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ctrlProps/ctrlProp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11.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2.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drawings/drawing13.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trlProps/ctrlProp55.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22.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23.xml" ContentType="application/vnd.openxmlformats-officedocument.drawing+xml"/>
  <Override PartName="/xl/activeX/activeX67.xml" ContentType="application/vnd.ms-office.activeX+xml"/>
  <Override PartName="/xl/activeX/activeX67.bin" ContentType="application/vnd.ms-office.activeX"/>
  <Override PartName="/xl/drawings/drawing24.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always" codeName="ThisWorkbook"/>
  <mc:AlternateContent xmlns:mc="http://schemas.openxmlformats.org/markup-compatibility/2006">
    <mc:Choice Requires="x15">
      <x15ac:absPath xmlns:x15ac="http://schemas.microsoft.com/office/spreadsheetml/2010/11/ac" url="C:\Roxana\Metodología\Fichas Tecnicas\Fichas actualizadas\"/>
    </mc:Choice>
  </mc:AlternateContent>
  <bookViews>
    <workbookView showSheetTabs="0" xWindow="-120" yWindow="-120" windowWidth="20730" windowHeight="11160" tabRatio="864"/>
  </bookViews>
  <sheets>
    <sheet name="MENÚ" sheetId="23" r:id="rId1"/>
    <sheet name="DATOS GENERALES" sheetId="24" r:id="rId2"/>
    <sheet name="AREA DE ESTUDIO" sheetId="25" r:id="rId3"/>
    <sheet name="UNIDAD PRODUCTORA" sheetId="26" r:id="rId4"/>
    <sheet name="INVOLUCRADOS" sheetId="5" r:id="rId5"/>
    <sheet name="PROBLEMA-OBJETIVO" sheetId="6" r:id="rId6"/>
    <sheet name="HORIZONTE DE EVALUACIÓN" sheetId="7" r:id="rId7"/>
    <sheet name="BRECHA DE SERVICIO" sheetId="29" r:id="rId8"/>
    <sheet name="ANALISIS TÉCNICO" sheetId="8" r:id="rId9"/>
    <sheet name="GESTIÓN" sheetId="27" r:id="rId10"/>
    <sheet name="SOSTENIBILIDAD" sheetId="11" r:id="rId11"/>
    <sheet name="COSTO TOTAL" sheetId="9" r:id="rId12"/>
    <sheet name="EVALUACION SOCIAL" sheetId="10" r:id="rId13"/>
    <sheet name="MARCO LOGICO" sheetId="22" r:id="rId14"/>
    <sheet name="CONCLUSIONES" sheetId="21" r:id="rId15"/>
    <sheet name="FIRMAS" sheetId="16" r:id="rId16"/>
    <sheet name="ANEXOS" sheetId="12" r:id="rId17"/>
    <sheet name="Protocolo final" sheetId="20" r:id="rId18"/>
    <sheet name="Personal " sheetId="34" r:id="rId19"/>
    <sheet name="Base de datos" sheetId="31" state="hidden" r:id="rId20"/>
    <sheet name="ReporteBalance" sheetId="35" r:id="rId21"/>
    <sheet name="BalanceHSP" sheetId="36" r:id="rId22"/>
    <sheet name="BalanceHCP" sheetId="37" r:id="rId23"/>
    <sheet name="Evaluacion_economicaAnexo" sheetId="38" r:id="rId24"/>
    <sheet name="BaseDatosCultivos" sheetId="40" r:id="rId25"/>
    <sheet name="Informacion" sheetId="41" r:id="rId26"/>
    <sheet name="Area de Impacto" sheetId="42" r:id="rId27"/>
    <sheet name="Caracterizacion" sheetId="43" r:id="rId28"/>
    <sheet name="Vulnerabilidad" sheetId="44" r:id="rId29"/>
    <sheet name="Vulnerabilidad_AT" sheetId="45" r:id="rId30"/>
    <sheet name="MRR MACC (COSTOS)" sheetId="46" r:id="rId31"/>
    <sheet name="Resumen" sheetId="47" r:id="rId32"/>
  </sheets>
  <functionGroups builtInGroupCount="18"/>
  <externalReferences>
    <externalReference r:id="rId33"/>
  </externalReferences>
  <definedNames>
    <definedName name="_01">'Base de datos'!$D$2:$D$8</definedName>
    <definedName name="_0101">'Base de datos'!$G$3:$G$23</definedName>
    <definedName name="_0102">'Base de datos'!$G$25:$G$30</definedName>
    <definedName name="_0103">'Base de datos'!$G$32:$G$43</definedName>
    <definedName name="_0104">'Base de datos'!$G$45:$G$47</definedName>
    <definedName name="_0105">'Base de datos'!$G$49:$G$71</definedName>
    <definedName name="_0106">'Base de datos'!$G$73:$G$84</definedName>
    <definedName name="_0107">'Base de datos'!$G$86:$G$92</definedName>
    <definedName name="_02">'Base de datos'!$D$10:$D$29</definedName>
    <definedName name="_0201">'Base de datos'!$G$95:$G$106</definedName>
    <definedName name="_0202">'Base de datos'!$G$108:$G$112</definedName>
    <definedName name="_0203">'Base de datos'!$G$114:$G$119</definedName>
    <definedName name="_0204">'Base de datos'!$G$121:$G$122</definedName>
    <definedName name="_0205">'Base de datos'!$G$124:$G$138</definedName>
    <definedName name="_0206">'Base de datos'!$G$140:$G$150</definedName>
    <definedName name="_0207">'Base de datos'!$G$152:$G$154</definedName>
    <definedName name="_0208">'Base de datos'!$G$156:$G$159</definedName>
    <definedName name="_0209">'Base de datos'!$G$161:$G$167</definedName>
    <definedName name="_0210">'Base de datos'!$G$169:$G$184</definedName>
    <definedName name="_0211">'Base de datos'!$G$186:$G$190</definedName>
    <definedName name="_0212">'Base de datos'!$G$192:$G$201</definedName>
    <definedName name="_0213">'Base de datos'!$G$203:$G$210</definedName>
    <definedName name="_0214">'Base de datos'!$G$212:$G$221</definedName>
    <definedName name="_0215">'Base de datos'!$G$223:$G$233</definedName>
    <definedName name="_0216">'Base de datos'!$G$235:$G$238</definedName>
    <definedName name="_0217">'Base de datos'!$G$240:$G$249</definedName>
    <definedName name="_0218">'Base de datos'!$G$251:$G$259</definedName>
    <definedName name="_0219">'Base de datos'!$G$261:$G$270</definedName>
    <definedName name="_0220">'Base de datos'!$G$272:$G$279</definedName>
    <definedName name="_03">'Base de datos'!$D$31:$D$37</definedName>
    <definedName name="_0301">'Base de datos'!$G$282:$G$290</definedName>
    <definedName name="_0302">'Base de datos'!$G$292:$G$311</definedName>
    <definedName name="_0303">'Base de datos'!$G$313:$G$319</definedName>
    <definedName name="_0304">'Base de datos'!$G$321:$G$337</definedName>
    <definedName name="_0305">'Base de datos'!$G$339:$G$344</definedName>
    <definedName name="_0306">'Base de datos'!$G$346:$G$355</definedName>
    <definedName name="_0307">'Base de datos'!$G$357:$G$370</definedName>
    <definedName name="_04">'Base de datos'!$D$39:$D$46</definedName>
    <definedName name="_0401">'Base de datos'!$G$373:$G$401</definedName>
    <definedName name="_0402">'Base de datos'!$G$403:$G$410</definedName>
    <definedName name="_0403">'Base de datos'!$G$412:$G$424</definedName>
    <definedName name="_0404">'Base de datos'!$G$426:$G$439</definedName>
    <definedName name="_0405">'Base de datos'!$G$441:$G$460</definedName>
    <definedName name="_0406">'Base de datos'!$G$462:$G$469</definedName>
    <definedName name="_0407">'Base de datos'!$G$471:$G$476</definedName>
    <definedName name="_0408">'Base de datos'!$G$478:$G$488</definedName>
    <definedName name="_05">'Base de datos'!$D$48:$D$58</definedName>
    <definedName name="_0501">'Base de datos'!$G$491:$G$506</definedName>
    <definedName name="_0502">'Base de datos'!$G$508:$G$513</definedName>
    <definedName name="_0503">'Base de datos'!$G$515:$G$518</definedName>
    <definedName name="_0504">'Base de datos'!$G$520:$G$531</definedName>
    <definedName name="_0505">'Base de datos'!$G$533:$G$542</definedName>
    <definedName name="_0506">'Base de datos'!$G$544:$G$564</definedName>
    <definedName name="_0507">'Base de datos'!$G$566:$G$573</definedName>
    <definedName name="_0508">'Base de datos'!$G$575:$G$584</definedName>
    <definedName name="_0509">'Base de datos'!$G$586:$G$596</definedName>
    <definedName name="_0510">'Base de datos'!$G$598:$G$609</definedName>
    <definedName name="_0511">'Base de datos'!$G$611:$G$618</definedName>
    <definedName name="_06">'Base de datos'!$D$60:$D$72</definedName>
    <definedName name="_0601">'Base de datos'!$G$621:$G$632</definedName>
    <definedName name="_0602">'Base de datos'!$G$634:$G$637</definedName>
    <definedName name="_0603">'Base de datos'!$G$639:$G$650</definedName>
    <definedName name="_0604">'Base de datos'!$G$652:$G$670</definedName>
    <definedName name="_0605">'Base de datos'!$G$672:$G$679</definedName>
    <definedName name="_0606">'Base de datos'!$G$681:$G$695</definedName>
    <definedName name="_0607">'Base de datos'!$G$697:$G$699</definedName>
    <definedName name="_0608">'Base de datos'!$G$701:$G$712</definedName>
    <definedName name="_0609">'Base de datos'!$G$714:$G$720</definedName>
    <definedName name="_0610">'Base de datos'!$G$722:$G$728</definedName>
    <definedName name="_0611">'Base de datos'!$G$730:$G$742</definedName>
    <definedName name="_0612">'Base de datos'!$G$744:$G$747</definedName>
    <definedName name="_0613">'Base de datos'!$G$749:$G$759</definedName>
    <definedName name="_07">'Base de datos'!$D$74</definedName>
    <definedName name="_0701">'Base de datos'!$G$762:$G$768</definedName>
    <definedName name="_08">'Base de datos'!$D$76:$D$88</definedName>
    <definedName name="_0801">'Base de datos'!$G$771:$G$778</definedName>
    <definedName name="_0802">'Base de datos'!$G$780:$G$786</definedName>
    <definedName name="_0803">'Base de datos'!$G$788:$G$796</definedName>
    <definedName name="_0804">'Base de datos'!$G$798:$G$805</definedName>
    <definedName name="_0805">'Base de datos'!$G$807:$G$814</definedName>
    <definedName name="_0806">'Base de datos'!$G$816:$G$823</definedName>
    <definedName name="_0807">'Base de datos'!$G$825:$G$832</definedName>
    <definedName name="_0808">'Base de datos'!$G$834:$G$841</definedName>
    <definedName name="_0809">'Base de datos'!$G$843:$G$856</definedName>
    <definedName name="_0810">'Base de datos'!$G$858:$G$866</definedName>
    <definedName name="_0811">'Base de datos'!$G$868:$G$873</definedName>
    <definedName name="_0812">'Base de datos'!$G$875:$G$886</definedName>
    <definedName name="_0813">'Base de datos'!$G$888:$G$894</definedName>
    <definedName name="_09">'Base de datos'!$D$90:$D$96</definedName>
    <definedName name="_0901">'Base de datos'!$G$897:$G$915</definedName>
    <definedName name="_0902">'Base de datos'!$G$917:$G$924</definedName>
    <definedName name="_0903">'Base de datos'!$G$926:$G$937</definedName>
    <definedName name="_0904">'Base de datos'!$G$939:$G$951</definedName>
    <definedName name="_0905">'Base de datos'!$G$953:$G$963</definedName>
    <definedName name="_0906">'Base de datos'!$G$965:$G$980</definedName>
    <definedName name="_0907">'Base de datos'!$G$982:$G$1004</definedName>
    <definedName name="_10">'Base de datos'!$D$98:$D$108</definedName>
    <definedName name="_1001">'Base de datos'!$G$1007:$G$1019</definedName>
    <definedName name="_1002">'Base de datos'!$G$1021:$G$1028</definedName>
    <definedName name="_1003">'Base de datos'!$G$1030:$G$1038</definedName>
    <definedName name="_1004">'Base de datos'!$G$1040:$G$1043</definedName>
    <definedName name="_1005">'Base de datos'!$G$1045:$G$1055</definedName>
    <definedName name="_1006">'Base de datos'!$G$1057:$G$1066</definedName>
    <definedName name="_1007">'Base de datos'!$G$1068:$G$1072</definedName>
    <definedName name="_1008">'Base de datos'!$G$1074:$G$1077</definedName>
    <definedName name="_1009">'Base de datos'!$G$1079:$G$1083</definedName>
    <definedName name="_1010">'Base de datos'!$G$1085:$G$1091</definedName>
    <definedName name="_1011">'Base de datos'!$G$1093:$G$1100</definedName>
    <definedName name="_11">'Base de datos'!$D$110:$D$114</definedName>
    <definedName name="_1101">'Base de datos'!$G$1103:$G$1116</definedName>
    <definedName name="_1102">'Base de datos'!$G$1118:$G$1128</definedName>
    <definedName name="_1103">'Base de datos'!$G$1130:$G$1134</definedName>
    <definedName name="_1104">'Base de datos'!$G$1136:$G$1140</definedName>
    <definedName name="_1105">'Base de datos'!$G$1142:$G$1149</definedName>
    <definedName name="_12">'Base de datos'!$D$116:$D$124</definedName>
    <definedName name="_1201">'Base de datos'!$G$1152:$G$1179</definedName>
    <definedName name="_1202">'Base de datos'!$G$1181:$G$1195</definedName>
    <definedName name="_1203">'Base de datos'!$G$1197:$G$1202</definedName>
    <definedName name="_1204">'Base de datos'!$G$1204:$G$1237</definedName>
    <definedName name="_1205">'Base de datos'!$G$1239:$G$1242</definedName>
    <definedName name="_1206">'Base de datos'!$G$1244:$G$1252</definedName>
    <definedName name="_1207">'Base de datos'!$G$1254:$G$1262</definedName>
    <definedName name="_1208">'Base de datos'!$G$1264:$G$1273</definedName>
    <definedName name="_1209">'Base de datos'!$G$1275:$G$1283</definedName>
    <definedName name="_13">'Base de datos'!$D$126:$D$137</definedName>
    <definedName name="_1301">'Base de datos'!$G$1286:$G$1296</definedName>
    <definedName name="_1302">'Base de datos'!$G$1298:$G$1305</definedName>
    <definedName name="_1303">'Base de datos'!$G$1307:$G$1312</definedName>
    <definedName name="_1304">'Base de datos'!$G$1314:$G$1316</definedName>
    <definedName name="_1305">'Base de datos'!$G$1318:$G$1321</definedName>
    <definedName name="_1306">'Base de datos'!$G$1323:$G$1332</definedName>
    <definedName name="_1307">'Base de datos'!$G$1334:$G$1338</definedName>
    <definedName name="_1308">'Base de datos'!$G$1340:$G$1352</definedName>
    <definedName name="_1309">'Base de datos'!$G$1354:$G$1361</definedName>
    <definedName name="_1310">'Base de datos'!$G$1363:$G$1370</definedName>
    <definedName name="_1311">'Base de datos'!$G$1372:$G$1375</definedName>
    <definedName name="_1312">'Base de datos'!$G$1377:$G$1379</definedName>
    <definedName name="_14">'Base de datos'!$D$139:$D$141</definedName>
    <definedName name="_1401">'Base de datos'!$G$1382:$G$1401</definedName>
    <definedName name="_1402">'Base de datos'!$G$1403:$G$1408</definedName>
    <definedName name="_1403">'Base de datos'!$G$1410:$G$1421</definedName>
    <definedName name="_15">'Base de datos'!$D$143:$D$152</definedName>
    <definedName name="_1501">'Base de datos'!$G$1424:$G$1466</definedName>
    <definedName name="_1502">'Base de datos'!$G$1468:$G$1472</definedName>
    <definedName name="_1503">'Base de datos'!$G$1474:$G$1478</definedName>
    <definedName name="_1504">'Base de datos'!$G$1480:$G$1486</definedName>
    <definedName name="_1505">'Base de datos'!$G$1488:$G$1503</definedName>
    <definedName name="_1506">'Base de datos'!$G$1505:$G$1516</definedName>
    <definedName name="_1507">'Base de datos'!$G$1518:$G$1549</definedName>
    <definedName name="_1508">'Base de datos'!$G$1551:$G$1562</definedName>
    <definedName name="_1509">'Base de datos'!$G$1564:$G$1569</definedName>
    <definedName name="_1510">'Base de datos'!$G$1571:$G$1603</definedName>
    <definedName name="_16">'Base de datos'!$D$154:$D$161</definedName>
    <definedName name="_1601">'Base de datos'!$G$1606:$G$1616</definedName>
    <definedName name="_1602">'Base de datos'!$G$1618:$G$1623</definedName>
    <definedName name="_1603">'Base de datos'!$G$1625:$G$1629</definedName>
    <definedName name="_1604">'Base de datos'!$G$1631:$G$1634</definedName>
    <definedName name="_1605">'Base de datos'!$G$1636:$G$1646</definedName>
    <definedName name="_1606">'Base de datos'!$G$1648:$G$1653</definedName>
    <definedName name="_1607">'Base de datos'!$G$1655:$G$1660</definedName>
    <definedName name="_1608">'Base de datos'!$G$1662:$G$1665</definedName>
    <definedName name="_17">'Base de datos'!$D$163:$D$165</definedName>
    <definedName name="_1701">'Base de datos'!$G$1668:$G$1671</definedName>
    <definedName name="_1702">'Base de datos'!$G$1673:$G$1676</definedName>
    <definedName name="_1703">'Base de datos'!$G$1678:$G$1680</definedName>
    <definedName name="_18">'Base de datos'!$D$167:$D$169</definedName>
    <definedName name="_1801">'Base de datos'!$G$1683:$G$1688</definedName>
    <definedName name="_1802">'Base de datos'!$G$1690:$G$1700</definedName>
    <definedName name="_1803">'Base de datos'!$G$1702:$G$1704</definedName>
    <definedName name="_19">'Base de datos'!$D$171:$D$173</definedName>
    <definedName name="_1901">'Base de datos'!$G$1707:$G$1719</definedName>
    <definedName name="_1902">'Base de datos'!$G$1721:$G$1728</definedName>
    <definedName name="_1903">'Base de datos'!$G$1730:$G$1737</definedName>
    <definedName name="_20">'Base de datos'!$D$175:$D$182</definedName>
    <definedName name="_2001">'Base de datos'!$G$1740:$G$1749</definedName>
    <definedName name="_2002">'Base de datos'!$G$1751:$G$1760</definedName>
    <definedName name="_2003">'Base de datos'!$G$1762:$G$1769</definedName>
    <definedName name="_2004">'Base de datos'!$G$1771:$G$1780</definedName>
    <definedName name="_2005">'Base de datos'!$G$1782:$G$1788</definedName>
    <definedName name="_2006">'Base de datos'!$G$1790:$G$1797</definedName>
    <definedName name="_2007">'Base de datos'!$G$1799:$G$1804</definedName>
    <definedName name="_2008">'Base de datos'!$G$1806:$G$1811</definedName>
    <definedName name="_21">'Base de datos'!$D$184:$D$196</definedName>
    <definedName name="_2101">'Base de datos'!$G$1814:$G$1828</definedName>
    <definedName name="_2102">'Base de datos'!$G$1830:$G$1844</definedName>
    <definedName name="_2103">'Base de datos'!$G$1846:$G$1855</definedName>
    <definedName name="_2104">'Base de datos'!$G$1857:$G$1863</definedName>
    <definedName name="_2105">'Base de datos'!$G$1865:$G$1869</definedName>
    <definedName name="_2106">'Base de datos'!$G$1871:$G$1878</definedName>
    <definedName name="_2107">'Base de datos'!$G$1880:$G$1889</definedName>
    <definedName name="_2108">'Base de datos'!$G$1891:$G$1899</definedName>
    <definedName name="_2109">'Base de datos'!$G$1901:$G$1904</definedName>
    <definedName name="_2110">'Base de datos'!$G$1906:$G$1910</definedName>
    <definedName name="_2111">'Base de datos'!$G$1912:$G$1916</definedName>
    <definedName name="_2112">'Base de datos'!$G$1918:$G$1927</definedName>
    <definedName name="_2113">'Base de datos'!$G$1929:$G$1935</definedName>
    <definedName name="_22">'Base de datos'!$D$198:$D$207</definedName>
    <definedName name="_2201">'Base de datos'!$G$1938:$G$1943</definedName>
    <definedName name="_2202">'Base de datos'!$G$1945:$G$1950</definedName>
    <definedName name="_2203">'Base de datos'!$G$1952:$G$1956</definedName>
    <definedName name="_2204">'Base de datos'!$G$1958:$G$1963</definedName>
    <definedName name="_2205">'Base de datos'!$G$1965:$G$1975</definedName>
    <definedName name="_2206">'Base de datos'!$G$1977:$G$1981</definedName>
    <definedName name="_2207">'Base de datos'!$G$1983:$G$1992</definedName>
    <definedName name="_2208">'Base de datos'!$G$1994:$G$2002</definedName>
    <definedName name="_2209">'Base de datos'!$G$2004:$G$2017</definedName>
    <definedName name="_2210">'Base de datos'!$G$2019:$G$2023</definedName>
    <definedName name="_23">'Base de datos'!$D$209:$D$212</definedName>
    <definedName name="_2301">'Base de datos'!$G$2026:$G$2036</definedName>
    <definedName name="_2302">'Base de datos'!$G$2038:$G$2043</definedName>
    <definedName name="_2303">'Base de datos'!$G$2045:$G$2047</definedName>
    <definedName name="_2304">'Base de datos'!$G$2049:$G$2056</definedName>
    <definedName name="_24">'Base de datos'!$D$214:$D$216</definedName>
    <definedName name="_2401">'Base de datos'!$G$2059:$G$2064</definedName>
    <definedName name="_2402">'Base de datos'!$G$2066:$G$2068</definedName>
    <definedName name="_2403">'Base de datos'!$G$2070:$G$2072</definedName>
    <definedName name="_25">'Base de datos'!$D$218:$D$221</definedName>
    <definedName name="_2501">'Base de datos'!$G$2076:$G$2082</definedName>
    <definedName name="_2502">'Base de datos'!$G$2084:$G$2087</definedName>
    <definedName name="_2503">'Base de datos'!$G$2089:$G$2093</definedName>
    <definedName name="_2504">'Base de datos'!$G$2095</definedName>
    <definedName name="_cd1">'Base de datos'!$O$3:$O$5</definedName>
    <definedName name="_cd11">'Base de datos'!$Z$63:$Z$69</definedName>
    <definedName name="_cd111">'Base de datos'!$Z$94:$Z$98</definedName>
    <definedName name="_cd12">'Base de datos'!$Z$79:$Z$82</definedName>
    <definedName name="_cd121">'Base de datos'!$Z$94:$Z$98</definedName>
    <definedName name="_cd13">'Base de datos'!$Z$84:$Z$88</definedName>
    <definedName name="_cd131">'Base de datos'!$Z$94:$Z$98</definedName>
    <definedName name="_cd2">'Base de datos'!$O$6:$O$8</definedName>
    <definedName name="_cd21">'Base de datos'!$Z$71:$Z$73</definedName>
    <definedName name="_cd211">'Base de datos'!$Z$100</definedName>
    <definedName name="_cd22">'Base de datos'!$Z$74:$Z$75</definedName>
    <definedName name="_cd221">'Base de datos'!$Z$100</definedName>
    <definedName name="_cd23">'Base de datos'!$Z$76:$Z$77</definedName>
    <definedName name="_cd231">'Base de datos'!$Z$100</definedName>
    <definedName name="_cd24">'Base de datos'!$Z$71:$Z$82</definedName>
    <definedName name="_cd241">'Base de datos'!$Z$100</definedName>
    <definedName name="_cd25">'Base de datos'!$Z$71:$Z$82</definedName>
    <definedName name="_cd251">'Base de datos'!$Z$100</definedName>
    <definedName name="_cd3">'Base de datos'!$O$9</definedName>
    <definedName name="_cd31">'Base de datos'!$Z$77:$Z$77</definedName>
    <definedName name="_cd311">'Base de datos'!$Z$100</definedName>
    <definedName name="_cd32">'Base de datos'!$Z$78:$Z$79</definedName>
    <definedName name="_cd321">'Base de datos'!$Z$100</definedName>
    <definedName name="_cd33">'Base de datos'!$Z$80:$Z$81</definedName>
    <definedName name="_cd331">'Base de datos'!$Z$100</definedName>
    <definedName name="_cd34">'Base de datos'!$Z$82</definedName>
    <definedName name="_cd341">'Base de datos'!$Z$100</definedName>
    <definedName name="_cd4">'Base de datos'!$O$13:$O$17</definedName>
    <definedName name="_cd41">'Base de datos'!$Z$71:$Z$82</definedName>
    <definedName name="_cd411">'Base de datos'!$Z$100</definedName>
    <definedName name="_cd42">'Base de datos'!$Z$71:$Z$82</definedName>
    <definedName name="_cd421">'Base de datos'!$Z$100</definedName>
    <definedName name="_cd43">'Base de datos'!$Z$71:$Z$82</definedName>
    <definedName name="_cd431">'Base de datos'!$Z$100</definedName>
    <definedName name="_cd44">'Base de datos'!$Z$71:$Z$82</definedName>
    <definedName name="_cd441">'Base de datos'!$Z$100</definedName>
    <definedName name="_cd45">'Base de datos'!$Z$71:$Z$82</definedName>
    <definedName name="_cd451">'Base de datos'!$Z$100</definedName>
    <definedName name="_ed1">'Base de datos'!$AD$3:$AD$4</definedName>
    <definedName name="_ed2">'Base de datos'!$AD$5:$AD$6</definedName>
    <definedName name="_fd1">'Base de datos'!$AF$3:$AF$4</definedName>
    <definedName name="_fd2">'Base de datos'!$AF$5:$AF$6</definedName>
    <definedName name="_xlnm._FilterDatabase" localSheetId="4" hidden="1">INVOLUCRADOS!$B$30:$E$30</definedName>
    <definedName name="a_1">'DATOS GENERALES'!$AI$44:$AI$47</definedName>
    <definedName name="a_2">'DATOS GENERALES'!$AL$44</definedName>
    <definedName name="Ac">'PROBLEMA-OBJETIVO'!$XFD$56:$XFD$61</definedName>
    <definedName name="Activos">'ANALISIS TÉCNICO'!$U$35:$U$36</definedName>
    <definedName name="Ae">'PROBLEMA-OBJETIVO'!$XFB$56:$XFB$65</definedName>
    <definedName name="Ai">'PROBLEMA-OBJETIVO'!$XFC$56:$XFC$58</definedName>
    <definedName name="_xlnm.Print_Area" localSheetId="8">'ANALISIS TÉCNICO'!$B$10:$O$345</definedName>
    <definedName name="_xlnm.Print_Area" localSheetId="16">ANEXOS!$B$1:$O$14</definedName>
    <definedName name="_xlnm.Print_Area" localSheetId="2">'AREA DE ESTUDIO'!$A$10:$AB$129</definedName>
    <definedName name="_xlnm.Print_Area" localSheetId="26">'Area de Impacto'!$B$2:$M$175</definedName>
    <definedName name="_xlnm.Print_Area" localSheetId="22">BalanceHCP!$A$7:$O$300</definedName>
    <definedName name="_xlnm.Print_Area" localSheetId="21">BalanceHSP!$A$7:$O$300</definedName>
    <definedName name="_xlnm.Print_Area" localSheetId="19">'Base de datos'!$T$3:$U$79</definedName>
    <definedName name="_xlnm.Print_Area" localSheetId="7">'BRECHA DE SERVICIO'!$B$10:$O$67</definedName>
    <definedName name="_xlnm.Print_Area" localSheetId="27">Caracterizacion!$B$2:$K$62</definedName>
    <definedName name="_xlnm.Print_Area" localSheetId="14">CONCLUSIONES!$B$2:$M$25</definedName>
    <definedName name="_xlnm.Print_Area" localSheetId="11">'COSTO TOTAL'!$B$10:$R$864</definedName>
    <definedName name="_xlnm.Print_Area" localSheetId="1">'DATOS GENERALES'!$A$10:$AB$61</definedName>
    <definedName name="_xlnm.Print_Area" localSheetId="12">'EVALUACION SOCIAL'!$B$10:$M$347</definedName>
    <definedName name="_xlnm.Print_Area" localSheetId="23">Evaluacion_economicaAnexo!$B$1:$N$244</definedName>
    <definedName name="_xlnm.Print_Area" localSheetId="15">FIRMAS!$B$2:$L$19</definedName>
    <definedName name="_xlnm.Print_Area" localSheetId="9">GESTIÓN!$B$10:$N$91</definedName>
    <definedName name="_xlnm.Print_Area" localSheetId="6">'HORIZONTE DE EVALUACIÓN'!$B$11:$N$30</definedName>
    <definedName name="_xlnm.Print_Area" localSheetId="25">Informacion!$B$2:$Q$376</definedName>
    <definedName name="_xlnm.Print_Area" localSheetId="4">INVOLUCRADOS!$B$10:$P$58</definedName>
    <definedName name="_xlnm.Print_Area" localSheetId="13">'MARCO LOGICO'!$A$10:$M$40</definedName>
    <definedName name="_xlnm.Print_Area" localSheetId="30">'MRR MACC (COSTOS)'!$B$2:$Q$56</definedName>
    <definedName name="_xlnm.Print_Area" localSheetId="18">'Personal '!$B$3:$O$23</definedName>
    <definedName name="_xlnm.Print_Area" localSheetId="5">'PROBLEMA-OBJETIVO'!$B$10:$Q$144</definedName>
    <definedName name="_xlnm.Print_Area" localSheetId="17">'Protocolo final'!$B$1:$M$43</definedName>
    <definedName name="_xlnm.Print_Area" localSheetId="31">Resumen!$B$2:$L$269</definedName>
    <definedName name="_xlnm.Print_Area" localSheetId="10">SOSTENIBILIDAD!$B$10:$O$60</definedName>
    <definedName name="_xlnm.Print_Area" localSheetId="3">'UNIDAD PRODUCTORA'!$B$10:$U$207</definedName>
    <definedName name="_xlnm.Print_Area" localSheetId="28">Vulnerabilidad!$B$2:$T$129</definedName>
    <definedName name="_xlnm.Print_Area" localSheetId="29">Vulnerabilidad_AT!$B$2:$T$131</definedName>
    <definedName name="Beneficios">'Base de datos'!$Z$51:$Z$59</definedName>
    <definedName name="Equipos">'Base de datos'!$Z$84:$Z$86</definedName>
    <definedName name="Inf_tecnologia">'Base de datos'!$Z$105:$Z$114</definedName>
    <definedName name="Infraestructura">'Base de datos'!$Z$127:$Z$142</definedName>
    <definedName name="Infraestructura_Captacion">'Base de datos'!$Z$63:$Z$69</definedName>
    <definedName name="Infraestructura_Conduccion">'Base de datos'!$Z$79:$Z$82</definedName>
    <definedName name="Infraestructura_Distribucion">'Base de datos'!$Z$84:$Z$88</definedName>
    <definedName name="Intangibles">'Base de datos'!$Z$71:$Z$82</definedName>
    <definedName name="Involucrado">'Base de datos'!$AD$14:$AD$33</definedName>
    <definedName name="Localizacion">'ANALISIS TÉCNICO'!#REF!</definedName>
    <definedName name="mm">'UNIDAD PRODUCTORA'!$M$102</definedName>
    <definedName name="nn">'UNIDAD PRODUCTORA'!$L$102:$L$103</definedName>
    <definedName name="NT_Infraestructura">'Base de datos'!$AB$15:$AB$28</definedName>
    <definedName name="NT_Intangibles">'Base de datos'!$AB$35:$AB$39</definedName>
    <definedName name="Tamaño">'ANALISIS TÉCNICO'!#REF!</definedName>
    <definedName name="Tecnologia">'ANALISIS TÉCNICO'!$G$34:$G$43</definedName>
    <definedName name="Terreno">'Base de datos'!$Z$88</definedName>
    <definedName name="Vehiculos">'Base de datos'!#REF!</definedName>
  </definedNames>
  <calcPr calcId="152511"/>
</workbook>
</file>

<file path=xl/calcChain.xml><?xml version="1.0" encoding="utf-8"?>
<calcChain xmlns="http://schemas.openxmlformats.org/spreadsheetml/2006/main">
  <c r="P52" i="45" l="1"/>
  <c r="I52" i="45"/>
  <c r="Q52" i="45" s="1"/>
  <c r="P50" i="44"/>
  <c r="I50" i="44"/>
  <c r="Q50" i="44" s="1"/>
  <c r="L89" i="41"/>
  <c r="I89" i="41"/>
  <c r="F89" i="41"/>
  <c r="B89" i="41"/>
  <c r="XFB66" i="26" l="1"/>
  <c r="XFD66" i="26"/>
  <c r="B17" i="22" l="1"/>
  <c r="AO4" i="31"/>
  <c r="AO5" i="31"/>
  <c r="AO8" i="31"/>
  <c r="AO7" i="31"/>
  <c r="AO6" i="31"/>
  <c r="B239" i="8" l="1"/>
  <c r="B269" i="8" l="1"/>
  <c r="B263" i="8"/>
  <c r="D263" i="8" s="1"/>
  <c r="B257" i="8"/>
  <c r="D260" i="8" s="1"/>
  <c r="B251" i="8"/>
  <c r="B245" i="8"/>
  <c r="D258" i="8" l="1"/>
  <c r="D259" i="8"/>
  <c r="D257" i="8"/>
  <c r="D268" i="8"/>
  <c r="D269" i="8"/>
  <c r="D274" i="8"/>
  <c r="D270" i="8"/>
  <c r="D271" i="8"/>
  <c r="D272" i="8"/>
  <c r="D273" i="8"/>
  <c r="D262" i="8"/>
  <c r="D266" i="8"/>
  <c r="D261" i="8"/>
  <c r="D265" i="8"/>
  <c r="D267" i="8"/>
  <c r="D264" i="8"/>
  <c r="B37" i="46"/>
  <c r="B31" i="46"/>
  <c r="B25" i="46"/>
  <c r="B19" i="46"/>
  <c r="B13" i="46"/>
  <c r="B7" i="46"/>
  <c r="F258" i="47"/>
  <c r="F257" i="47"/>
  <c r="F256" i="47"/>
  <c r="F255" i="47"/>
  <c r="F254" i="47"/>
  <c r="F253" i="47"/>
  <c r="F251" i="47"/>
  <c r="F250" i="47"/>
  <c r="F249" i="47"/>
  <c r="F248" i="47"/>
  <c r="F247" i="47"/>
  <c r="I41" i="47"/>
  <c r="I241" i="47"/>
  <c r="I239" i="47"/>
  <c r="I238" i="47"/>
  <c r="I234" i="47"/>
  <c r="I233" i="47"/>
  <c r="I229" i="47"/>
  <c r="I228" i="47"/>
  <c r="I224" i="47"/>
  <c r="I223" i="47"/>
  <c r="I219" i="47"/>
  <c r="I218" i="47"/>
  <c r="I214" i="47"/>
  <c r="I213" i="47"/>
  <c r="F241" i="47" l="1"/>
  <c r="F240" i="47"/>
  <c r="F239" i="47"/>
  <c r="F238" i="47"/>
  <c r="F234" i="47"/>
  <c r="F233" i="47"/>
  <c r="F229" i="47"/>
  <c r="F228" i="47"/>
  <c r="F224" i="47"/>
  <c r="F223" i="47"/>
  <c r="F219" i="47"/>
  <c r="F218" i="47"/>
  <c r="F214" i="47"/>
  <c r="F213" i="47"/>
  <c r="C235" i="47"/>
  <c r="C230" i="47"/>
  <c r="C225" i="47"/>
  <c r="C220" i="47"/>
  <c r="C215" i="47"/>
  <c r="C210" i="47"/>
  <c r="C170" i="47"/>
  <c r="K208" i="47"/>
  <c r="I201" i="47"/>
  <c r="I199" i="47"/>
  <c r="I198" i="47"/>
  <c r="I194" i="47"/>
  <c r="I193" i="47"/>
  <c r="I189" i="47"/>
  <c r="I188" i="47"/>
  <c r="I184" i="47"/>
  <c r="I183" i="47"/>
  <c r="I179" i="47"/>
  <c r="I178" i="47"/>
  <c r="I174" i="47"/>
  <c r="I173" i="47"/>
  <c r="F201" i="47"/>
  <c r="F200" i="47"/>
  <c r="F199" i="47"/>
  <c r="F198" i="47"/>
  <c r="F194" i="47"/>
  <c r="F193" i="47"/>
  <c r="F189" i="47"/>
  <c r="F188" i="47"/>
  <c r="F184" i="47"/>
  <c r="F183" i="47"/>
  <c r="F179" i="47"/>
  <c r="F178" i="47"/>
  <c r="F174" i="47"/>
  <c r="F173" i="47"/>
  <c r="C195" i="47"/>
  <c r="C190" i="47"/>
  <c r="C185" i="47"/>
  <c r="C180" i="47"/>
  <c r="C175" i="47"/>
  <c r="C130" i="47"/>
  <c r="K168" i="47"/>
  <c r="I161" i="47"/>
  <c r="I159" i="47"/>
  <c r="I158" i="47"/>
  <c r="F161" i="47"/>
  <c r="F160" i="47"/>
  <c r="F159" i="47"/>
  <c r="F158" i="47"/>
  <c r="I154" i="47"/>
  <c r="I153" i="47"/>
  <c r="F154" i="47"/>
  <c r="F153" i="47"/>
  <c r="I149" i="47"/>
  <c r="I148" i="47"/>
  <c r="F149" i="47"/>
  <c r="F148" i="47"/>
  <c r="I144" i="47"/>
  <c r="I143" i="47"/>
  <c r="F144" i="47"/>
  <c r="F143" i="47"/>
  <c r="I139" i="47"/>
  <c r="I138" i="47"/>
  <c r="F139" i="47"/>
  <c r="F138" i="47"/>
  <c r="F134" i="47"/>
  <c r="F133" i="47"/>
  <c r="I134" i="47"/>
  <c r="I133" i="47"/>
  <c r="C155" i="47"/>
  <c r="C150" i="47"/>
  <c r="C145" i="47"/>
  <c r="C140" i="47"/>
  <c r="C135" i="47"/>
  <c r="C90" i="47"/>
  <c r="K128" i="47"/>
  <c r="I121" i="47"/>
  <c r="I120" i="47"/>
  <c r="F121" i="47"/>
  <c r="F120" i="47"/>
  <c r="I119" i="47"/>
  <c r="I118" i="47"/>
  <c r="F119" i="47"/>
  <c r="F118" i="47"/>
  <c r="I114" i="47"/>
  <c r="I113" i="47"/>
  <c r="F114" i="47"/>
  <c r="F113" i="47"/>
  <c r="I109" i="47"/>
  <c r="I108" i="47"/>
  <c r="F109" i="47"/>
  <c r="F108" i="47"/>
  <c r="I104" i="47"/>
  <c r="I103" i="47"/>
  <c r="F104" i="47"/>
  <c r="F103" i="47"/>
  <c r="I99" i="47"/>
  <c r="I98" i="47"/>
  <c r="F99" i="47"/>
  <c r="F98" i="47"/>
  <c r="I94" i="47"/>
  <c r="I93" i="47"/>
  <c r="F94" i="47"/>
  <c r="F93" i="47"/>
  <c r="C115" i="47"/>
  <c r="C110" i="47"/>
  <c r="C105" i="47"/>
  <c r="C100" i="47"/>
  <c r="C95" i="47"/>
  <c r="C75" i="47"/>
  <c r="K88" i="47"/>
  <c r="C70" i="47"/>
  <c r="C65" i="47"/>
  <c r="C60" i="47"/>
  <c r="C55" i="47"/>
  <c r="C50" i="47"/>
  <c r="C10" i="47"/>
  <c r="C247" i="47" s="1"/>
  <c r="I81" i="47"/>
  <c r="I80" i="47"/>
  <c r="F81" i="47"/>
  <c r="F80" i="47"/>
  <c r="I79" i="47"/>
  <c r="I78" i="47"/>
  <c r="F79" i="47"/>
  <c r="F78" i="47"/>
  <c r="I74" i="47"/>
  <c r="I73" i="47"/>
  <c r="F74" i="47"/>
  <c r="F73" i="47"/>
  <c r="I69" i="47"/>
  <c r="I68" i="47"/>
  <c r="F69" i="47"/>
  <c r="F68" i="47"/>
  <c r="I63" i="47"/>
  <c r="F64" i="47"/>
  <c r="F63" i="47"/>
  <c r="I59" i="47"/>
  <c r="I58" i="47"/>
  <c r="F59" i="47"/>
  <c r="F58" i="47"/>
  <c r="I54" i="47"/>
  <c r="I53" i="47"/>
  <c r="F54" i="47"/>
  <c r="F53" i="47"/>
  <c r="K48" i="47"/>
  <c r="I40" i="47"/>
  <c r="F41" i="47"/>
  <c r="F40" i="47"/>
  <c r="I39" i="47"/>
  <c r="I38" i="47"/>
  <c r="F39" i="47"/>
  <c r="F38" i="47"/>
  <c r="I34" i="47"/>
  <c r="I33" i="47"/>
  <c r="F34" i="47"/>
  <c r="F33" i="47"/>
  <c r="I29" i="47"/>
  <c r="I28" i="47"/>
  <c r="F29" i="47"/>
  <c r="F28" i="47"/>
  <c r="I24" i="47"/>
  <c r="I23" i="47"/>
  <c r="F24" i="47"/>
  <c r="F23" i="47"/>
  <c r="I19" i="47"/>
  <c r="I18" i="47"/>
  <c r="F19" i="47"/>
  <c r="F18" i="47"/>
  <c r="I14" i="47"/>
  <c r="I13" i="47"/>
  <c r="F14" i="47"/>
  <c r="F13" i="47"/>
  <c r="C35" i="47"/>
  <c r="C257" i="47" s="1"/>
  <c r="C30" i="47"/>
  <c r="C255" i="47" s="1"/>
  <c r="C25" i="47"/>
  <c r="C253" i="47" s="1"/>
  <c r="C20" i="47"/>
  <c r="C251" i="47" s="1"/>
  <c r="C15" i="47"/>
  <c r="C249" i="47" s="1"/>
  <c r="K8" i="47"/>
  <c r="D127" i="26"/>
  <c r="D128" i="26"/>
  <c r="D129" i="26"/>
  <c r="D130" i="26"/>
  <c r="D131" i="26"/>
  <c r="D126" i="26"/>
  <c r="D121" i="26"/>
  <c r="D122" i="26"/>
  <c r="D123" i="26"/>
  <c r="D124" i="26"/>
  <c r="D125" i="26"/>
  <c r="D120" i="26"/>
  <c r="D115" i="26"/>
  <c r="D116" i="26"/>
  <c r="D117" i="26"/>
  <c r="D118" i="26"/>
  <c r="D119" i="26"/>
  <c r="D114" i="26"/>
  <c r="AA123" i="25"/>
  <c r="AC124" i="25"/>
  <c r="AC125" i="25"/>
  <c r="AC126" i="25"/>
  <c r="AC127" i="25"/>
  <c r="AC128" i="25"/>
  <c r="AC129" i="25"/>
  <c r="AC130" i="25"/>
  <c r="AC131" i="25"/>
  <c r="AC132" i="25"/>
  <c r="AC133" i="25"/>
  <c r="AC134" i="25"/>
  <c r="AC135" i="25"/>
  <c r="AC136" i="25"/>
  <c r="AC137" i="25"/>
  <c r="AC138" i="25"/>
  <c r="AC123" i="25"/>
  <c r="AA137" i="25"/>
  <c r="AA138" i="25"/>
  <c r="AA124" i="25"/>
  <c r="AA125" i="25"/>
  <c r="AA126" i="25"/>
  <c r="AA127" i="25"/>
  <c r="AA128" i="25"/>
  <c r="AA129" i="25"/>
  <c r="AA130" i="25"/>
  <c r="AA131" i="25"/>
  <c r="AA132" i="25"/>
  <c r="AA133" i="25"/>
  <c r="AA134" i="25"/>
  <c r="AA135" i="25"/>
  <c r="AA136" i="25"/>
  <c r="AE132" i="25"/>
  <c r="AE131" i="25"/>
  <c r="AE130" i="25"/>
  <c r="AE129" i="25"/>
  <c r="AB137" i="25" l="1"/>
  <c r="AB138" i="25"/>
  <c r="AB128" i="25"/>
  <c r="AB125" i="25"/>
  <c r="AB131" i="25"/>
  <c r="AB134" i="25"/>
  <c r="AB126" i="25"/>
  <c r="AB130" i="25"/>
  <c r="AB129" i="25"/>
  <c r="AB136" i="25"/>
  <c r="AB135" i="25"/>
  <c r="AB133" i="25"/>
  <c r="AB132" i="25"/>
  <c r="AB124" i="25"/>
  <c r="AB127" i="25"/>
  <c r="AB123" i="25"/>
  <c r="AE123" i="25" l="1"/>
  <c r="B123" i="25" s="1"/>
  <c r="AE127" i="25"/>
  <c r="B127" i="25" s="1"/>
  <c r="E48" i="5" s="1"/>
  <c r="AE128" i="25"/>
  <c r="B128" i="25" s="1"/>
  <c r="E49" i="5" s="1"/>
  <c r="AE125" i="25"/>
  <c r="B125" i="25" s="1"/>
  <c r="E46" i="5" s="1"/>
  <c r="AE126" i="25"/>
  <c r="B126" i="25" s="1"/>
  <c r="E47" i="5" s="1"/>
  <c r="AE124" i="25"/>
  <c r="B124" i="25" s="1"/>
  <c r="E45" i="5" s="1"/>
  <c r="D96" i="26" l="1"/>
  <c r="E44" i="5"/>
  <c r="B328" i="8"/>
  <c r="D242" i="8"/>
  <c r="D248" i="8"/>
  <c r="D254" i="8"/>
  <c r="E92" i="42"/>
  <c r="K126" i="47"/>
  <c r="B126" i="47" s="1"/>
  <c r="D105" i="26"/>
  <c r="D111" i="26"/>
  <c r="D99" i="26"/>
  <c r="B63" i="44" s="1"/>
  <c r="B18" i="43"/>
  <c r="B322" i="8"/>
  <c r="D241" i="8"/>
  <c r="D247" i="8"/>
  <c r="D253" i="8"/>
  <c r="K86" i="47"/>
  <c r="B86" i="47" s="1"/>
  <c r="D110" i="26"/>
  <c r="D98" i="26"/>
  <c r="B20" i="44" s="1"/>
  <c r="E64" i="42"/>
  <c r="B17" i="43"/>
  <c r="D104" i="26"/>
  <c r="B334" i="8"/>
  <c r="D243" i="8"/>
  <c r="D255" i="8"/>
  <c r="D249" i="8"/>
  <c r="B19" i="43"/>
  <c r="E120" i="42"/>
  <c r="D112" i="26"/>
  <c r="K166" i="47"/>
  <c r="B166" i="47" s="1"/>
  <c r="D106" i="26"/>
  <c r="D100" i="26"/>
  <c r="B146" i="26" s="1"/>
  <c r="B316" i="8"/>
  <c r="D240" i="8"/>
  <c r="D252" i="8"/>
  <c r="D246" i="8"/>
  <c r="D97" i="26"/>
  <c r="B169" i="26" s="1"/>
  <c r="D103" i="26"/>
  <c r="B16" i="43"/>
  <c r="E36" i="42"/>
  <c r="D109" i="26"/>
  <c r="K46" i="47"/>
  <c r="B46" i="47" s="1"/>
  <c r="B340" i="8"/>
  <c r="D244" i="8"/>
  <c r="D256" i="8"/>
  <c r="D250" i="8"/>
  <c r="K206" i="47"/>
  <c r="B206" i="47" s="1"/>
  <c r="D113" i="26"/>
  <c r="B20" i="43"/>
  <c r="D101" i="26"/>
  <c r="B147" i="26" s="1"/>
  <c r="D107" i="26"/>
  <c r="E148" i="42"/>
  <c r="B15" i="43"/>
  <c r="B310" i="8"/>
  <c r="B142" i="26"/>
  <c r="D239" i="8"/>
  <c r="D251" i="8"/>
  <c r="D245" i="8"/>
  <c r="D102" i="26"/>
  <c r="K6" i="47"/>
  <c r="B6" i="47" s="1"/>
  <c r="D108" i="26"/>
  <c r="E8" i="42"/>
  <c r="B51" i="44"/>
  <c r="H240" i="47"/>
  <c r="H238" i="47"/>
  <c r="H233" i="47"/>
  <c r="H228" i="47"/>
  <c r="H223" i="47"/>
  <c r="H218" i="47"/>
  <c r="H213" i="47"/>
  <c r="B204" i="47"/>
  <c r="H200" i="47"/>
  <c r="H198" i="47"/>
  <c r="H193" i="47"/>
  <c r="H188" i="47"/>
  <c r="H183" i="47"/>
  <c r="H178" i="47"/>
  <c r="H173" i="47"/>
  <c r="B164" i="47"/>
  <c r="H160" i="47"/>
  <c r="H158" i="47"/>
  <c r="H153" i="47"/>
  <c r="H148" i="47"/>
  <c r="H143" i="47"/>
  <c r="H138" i="47"/>
  <c r="H133" i="47"/>
  <c r="B124" i="47"/>
  <c r="H118" i="47"/>
  <c r="H113" i="47"/>
  <c r="H108" i="47"/>
  <c r="B84" i="47"/>
  <c r="H78" i="47"/>
  <c r="H73" i="47"/>
  <c r="H68" i="47"/>
  <c r="H63" i="47"/>
  <c r="B44" i="47"/>
  <c r="H38" i="47"/>
  <c r="H33" i="47"/>
  <c r="H28" i="47"/>
  <c r="P162" i="46"/>
  <c r="P156" i="46"/>
  <c r="P150" i="46"/>
  <c r="P144" i="46"/>
  <c r="P138" i="46"/>
  <c r="P132" i="46"/>
  <c r="P126" i="46"/>
  <c r="P120" i="46"/>
  <c r="P108" i="46"/>
  <c r="P102" i="46"/>
  <c r="P96" i="46"/>
  <c r="P90" i="46"/>
  <c r="P84" i="46"/>
  <c r="P78" i="46"/>
  <c r="P72" i="46"/>
  <c r="P66" i="46"/>
  <c r="P54" i="46"/>
  <c r="L265" i="47" s="1"/>
  <c r="P48" i="46"/>
  <c r="L259" i="47" s="1"/>
  <c r="P42" i="46"/>
  <c r="L257" i="47" s="1"/>
  <c r="P36" i="46"/>
  <c r="L255" i="47" s="1"/>
  <c r="P30" i="46"/>
  <c r="L253" i="47" s="1"/>
  <c r="P24" i="46"/>
  <c r="L251" i="47" s="1"/>
  <c r="P18" i="46"/>
  <c r="L249" i="47" s="1"/>
  <c r="P12" i="46"/>
  <c r="H391" i="45"/>
  <c r="H390" i="45"/>
  <c r="H389" i="45"/>
  <c r="H388" i="45"/>
  <c r="H387" i="45"/>
  <c r="H386" i="45"/>
  <c r="Q334" i="45"/>
  <c r="R334" i="45" s="1"/>
  <c r="F364" i="45" s="1"/>
  <c r="Q330" i="45"/>
  <c r="R330" i="45" s="1"/>
  <c r="F363" i="45" s="1"/>
  <c r="Q326" i="45"/>
  <c r="R326" i="45" s="1"/>
  <c r="F362" i="45" s="1"/>
  <c r="Q322" i="45"/>
  <c r="R322" i="45" s="1"/>
  <c r="F361" i="45" s="1"/>
  <c r="Q318" i="45"/>
  <c r="R318" i="45" s="1"/>
  <c r="F360" i="45" s="1"/>
  <c r="Q314" i="45"/>
  <c r="R314" i="45" s="1"/>
  <c r="F359" i="45" s="1"/>
  <c r="P313" i="45"/>
  <c r="I313" i="45"/>
  <c r="Q306" i="45"/>
  <c r="R306" i="45" s="1"/>
  <c r="Q305" i="45"/>
  <c r="R305" i="45" s="1"/>
  <c r="Q304" i="45"/>
  <c r="R304" i="45" s="1"/>
  <c r="Q303" i="45"/>
  <c r="R303" i="45" s="1"/>
  <c r="Q302" i="45"/>
  <c r="R302" i="45" s="1"/>
  <c r="Q301" i="45"/>
  <c r="S301" i="45" s="1"/>
  <c r="T301" i="45" s="1"/>
  <c r="D364" i="45" s="1"/>
  <c r="H364" i="45" s="1"/>
  <c r="F391" i="45" s="1"/>
  <c r="B364" i="45"/>
  <c r="B391" i="45" s="1"/>
  <c r="Q300" i="45"/>
  <c r="R300" i="45" s="1"/>
  <c r="Q299" i="45"/>
  <c r="R299" i="45" s="1"/>
  <c r="Q298" i="45"/>
  <c r="R298" i="45" s="1"/>
  <c r="Q297" i="45"/>
  <c r="R297" i="45" s="1"/>
  <c r="Q296" i="45"/>
  <c r="R296" i="45" s="1"/>
  <c r="Q295" i="45"/>
  <c r="R295" i="45" s="1"/>
  <c r="B363" i="45"/>
  <c r="B390" i="45" s="1"/>
  <c r="Q294" i="45"/>
  <c r="R294" i="45" s="1"/>
  <c r="Q293" i="45"/>
  <c r="R293" i="45" s="1"/>
  <c r="Q292" i="45"/>
  <c r="R292" i="45" s="1"/>
  <c r="Q291" i="45"/>
  <c r="R291" i="45" s="1"/>
  <c r="Q290" i="45"/>
  <c r="R290" i="45" s="1"/>
  <c r="Q289" i="45"/>
  <c r="S289" i="45" s="1"/>
  <c r="T289" i="45" s="1"/>
  <c r="D362" i="45" s="1"/>
  <c r="H362" i="45" s="1"/>
  <c r="F389" i="45" s="1"/>
  <c r="B362" i="45"/>
  <c r="B389" i="45" s="1"/>
  <c r="Q288" i="45"/>
  <c r="R288" i="45" s="1"/>
  <c r="Q287" i="45"/>
  <c r="R287" i="45" s="1"/>
  <c r="Q286" i="45"/>
  <c r="R286" i="45" s="1"/>
  <c r="Q285" i="45"/>
  <c r="R285" i="45" s="1"/>
  <c r="Q284" i="45"/>
  <c r="R284" i="45" s="1"/>
  <c r="Q283" i="45"/>
  <c r="R283" i="45" s="1"/>
  <c r="B361" i="45"/>
  <c r="B388" i="45" s="1"/>
  <c r="Q282" i="45"/>
  <c r="R282" i="45" s="1"/>
  <c r="Q281" i="45"/>
  <c r="R281" i="45" s="1"/>
  <c r="Q280" i="45"/>
  <c r="R280" i="45" s="1"/>
  <c r="Q279" i="45"/>
  <c r="R279" i="45" s="1"/>
  <c r="Q278" i="45"/>
  <c r="Q277" i="45"/>
  <c r="R277" i="45" s="1"/>
  <c r="B360" i="45"/>
  <c r="B387" i="45" s="1"/>
  <c r="Q276" i="45"/>
  <c r="R276" i="45" s="1"/>
  <c r="Q275" i="45"/>
  <c r="R275" i="45" s="1"/>
  <c r="Q274" i="45"/>
  <c r="R274" i="45" s="1"/>
  <c r="Q273" i="45"/>
  <c r="R273" i="45" s="1"/>
  <c r="Q272" i="45"/>
  <c r="R272" i="45" s="1"/>
  <c r="Q271" i="45"/>
  <c r="R271" i="45" s="1"/>
  <c r="B359" i="45"/>
  <c r="B386" i="45" s="1"/>
  <c r="H261" i="45"/>
  <c r="H260" i="45"/>
  <c r="H259" i="45"/>
  <c r="H258" i="45"/>
  <c r="H257" i="45"/>
  <c r="H256" i="45"/>
  <c r="Q204" i="45"/>
  <c r="R204" i="45" s="1"/>
  <c r="F234" i="45" s="1"/>
  <c r="Q200" i="45"/>
  <c r="R200" i="45" s="1"/>
  <c r="F233" i="45" s="1"/>
  <c r="Q196" i="45"/>
  <c r="R196" i="45" s="1"/>
  <c r="F232" i="45" s="1"/>
  <c r="Q192" i="45"/>
  <c r="R192" i="45" s="1"/>
  <c r="F231" i="45" s="1"/>
  <c r="Q188" i="45"/>
  <c r="R188" i="45" s="1"/>
  <c r="F230" i="45" s="1"/>
  <c r="Q184" i="45"/>
  <c r="R184" i="45" s="1"/>
  <c r="F229" i="45" s="1"/>
  <c r="P183" i="45"/>
  <c r="I183" i="45"/>
  <c r="Q176" i="45"/>
  <c r="R176" i="45" s="1"/>
  <c r="Q175" i="45"/>
  <c r="R175" i="45" s="1"/>
  <c r="Q174" i="45"/>
  <c r="R174" i="45" s="1"/>
  <c r="Q173" i="45"/>
  <c r="R173" i="45" s="1"/>
  <c r="Q172" i="45"/>
  <c r="R172" i="45" s="1"/>
  <c r="Q171" i="45"/>
  <c r="R171" i="45" s="1"/>
  <c r="B234" i="45"/>
  <c r="B261" i="45" s="1"/>
  <c r="Q170" i="45"/>
  <c r="R170" i="45" s="1"/>
  <c r="Q169" i="45"/>
  <c r="R169" i="45" s="1"/>
  <c r="Q168" i="45"/>
  <c r="R168" i="45" s="1"/>
  <c r="Q167" i="45"/>
  <c r="R167" i="45" s="1"/>
  <c r="Q166" i="45"/>
  <c r="R166" i="45" s="1"/>
  <c r="Q165" i="45"/>
  <c r="R165" i="45" s="1"/>
  <c r="B233" i="45"/>
  <c r="B260" i="45" s="1"/>
  <c r="Q164" i="45"/>
  <c r="R164" i="45" s="1"/>
  <c r="Q163" i="45"/>
  <c r="R163" i="45" s="1"/>
  <c r="Q162" i="45"/>
  <c r="R162" i="45" s="1"/>
  <c r="Q161" i="45"/>
  <c r="R161" i="45" s="1"/>
  <c r="Q160" i="45"/>
  <c r="R160" i="45" s="1"/>
  <c r="Q159" i="45"/>
  <c r="S159" i="45" s="1"/>
  <c r="T159" i="45" s="1"/>
  <c r="D232" i="45" s="1"/>
  <c r="H232" i="45" s="1"/>
  <c r="F259" i="45" s="1"/>
  <c r="B232" i="45"/>
  <c r="B259" i="45" s="1"/>
  <c r="Q158" i="45"/>
  <c r="R158" i="45" s="1"/>
  <c r="Q157" i="45"/>
  <c r="R157" i="45" s="1"/>
  <c r="Q156" i="45"/>
  <c r="R156" i="45" s="1"/>
  <c r="Q155" i="45"/>
  <c r="R155" i="45" s="1"/>
  <c r="Q154" i="45"/>
  <c r="R154" i="45" s="1"/>
  <c r="Q153" i="45"/>
  <c r="R153" i="45" s="1"/>
  <c r="B231" i="45"/>
  <c r="B258" i="45" s="1"/>
  <c r="Q152" i="45"/>
  <c r="R152" i="45" s="1"/>
  <c r="Q151" i="45"/>
  <c r="R151" i="45" s="1"/>
  <c r="Q150" i="45"/>
  <c r="R150" i="45" s="1"/>
  <c r="Q149" i="45"/>
  <c r="R149" i="45" s="1"/>
  <c r="Q148" i="45"/>
  <c r="Q147" i="45"/>
  <c r="R147" i="45" s="1"/>
  <c r="B230" i="45"/>
  <c r="B257" i="45" s="1"/>
  <c r="Q146" i="45"/>
  <c r="R146" i="45" s="1"/>
  <c r="Q145" i="45"/>
  <c r="R145" i="45" s="1"/>
  <c r="Q144" i="45"/>
  <c r="R144" i="45" s="1"/>
  <c r="Q143" i="45"/>
  <c r="R143" i="45" s="1"/>
  <c r="Q142" i="45"/>
  <c r="R142" i="45" s="1"/>
  <c r="Q141" i="45"/>
  <c r="R141" i="45" s="1"/>
  <c r="Q73" i="45"/>
  <c r="R73" i="45" s="1"/>
  <c r="F103" i="45" s="1"/>
  <c r="F293" i="8" s="1"/>
  <c r="Q69" i="45"/>
  <c r="R69" i="45" s="1"/>
  <c r="F102" i="45" s="1"/>
  <c r="F292" i="8" s="1"/>
  <c r="Q65" i="45"/>
  <c r="R65" i="45" s="1"/>
  <c r="F101" i="45" s="1"/>
  <c r="F291" i="8" s="1"/>
  <c r="Q61" i="45"/>
  <c r="R61" i="45" s="1"/>
  <c r="F100" i="45" s="1"/>
  <c r="F290" i="8" s="1"/>
  <c r="Q57" i="45"/>
  <c r="R57" i="45" s="1"/>
  <c r="F99" i="45" s="1"/>
  <c r="F289" i="8" s="1"/>
  <c r="Q53" i="45"/>
  <c r="R53" i="45" s="1"/>
  <c r="F98" i="45" s="1"/>
  <c r="F288" i="8" s="1"/>
  <c r="F265" i="47"/>
  <c r="F259" i="47"/>
  <c r="Q45" i="45"/>
  <c r="R45" i="45" s="1"/>
  <c r="Q44" i="45"/>
  <c r="R44" i="45" s="1"/>
  <c r="Q43" i="45"/>
  <c r="R43" i="45" s="1"/>
  <c r="Q42" i="45"/>
  <c r="R42" i="45" s="1"/>
  <c r="Q41" i="45"/>
  <c r="R41" i="45" s="1"/>
  <c r="Q40" i="45"/>
  <c r="R40" i="45" s="1"/>
  <c r="Q39" i="45"/>
  <c r="R39" i="45" s="1"/>
  <c r="Q38" i="45"/>
  <c r="R38" i="45" s="1"/>
  <c r="Q37" i="45"/>
  <c r="R37" i="45" s="1"/>
  <c r="Q36" i="45"/>
  <c r="R36" i="45" s="1"/>
  <c r="Q35" i="45"/>
  <c r="R35" i="45" s="1"/>
  <c r="Q34" i="45"/>
  <c r="R34" i="45" s="1"/>
  <c r="Q33" i="45"/>
  <c r="R33" i="45" s="1"/>
  <c r="Q32" i="45"/>
  <c r="R32" i="45" s="1"/>
  <c r="Q31" i="45"/>
  <c r="R31" i="45" s="1"/>
  <c r="Q30" i="45"/>
  <c r="R30" i="45" s="1"/>
  <c r="Q29" i="45"/>
  <c r="R29" i="45" s="1"/>
  <c r="Q28" i="45"/>
  <c r="R28" i="45" s="1"/>
  <c r="Q27" i="45"/>
  <c r="R27" i="45" s="1"/>
  <c r="Q26" i="45"/>
  <c r="R26" i="45" s="1"/>
  <c r="Q25" i="45"/>
  <c r="R25" i="45" s="1"/>
  <c r="Q24" i="45"/>
  <c r="R24" i="45" s="1"/>
  <c r="Q23" i="45"/>
  <c r="R23" i="45" s="1"/>
  <c r="Q22" i="45"/>
  <c r="Q21" i="45"/>
  <c r="R21" i="45" s="1"/>
  <c r="Q20" i="45"/>
  <c r="R20" i="45" s="1"/>
  <c r="Q19" i="45"/>
  <c r="R19" i="45" s="1"/>
  <c r="Q18" i="45"/>
  <c r="R18" i="45" s="1"/>
  <c r="Q17" i="45"/>
  <c r="R17" i="45" s="1"/>
  <c r="Q16" i="45"/>
  <c r="R16" i="45" s="1"/>
  <c r="Q15" i="45"/>
  <c r="R15" i="45" s="1"/>
  <c r="Q14" i="45"/>
  <c r="R14" i="45" s="1"/>
  <c r="Q13" i="45"/>
  <c r="R13" i="45" s="1"/>
  <c r="Q12" i="45"/>
  <c r="R12" i="45" s="1"/>
  <c r="Q11" i="45"/>
  <c r="R11" i="45" s="1"/>
  <c r="Q10" i="45"/>
  <c r="R10" i="45" s="1"/>
  <c r="Q71" i="44"/>
  <c r="R71" i="44" s="1"/>
  <c r="I240" i="47"/>
  <c r="Q67" i="44"/>
  <c r="R67" i="44" s="1"/>
  <c r="I200" i="47"/>
  <c r="Q63" i="44"/>
  <c r="R63" i="44" s="1"/>
  <c r="I160" i="47"/>
  <c r="Q59" i="44"/>
  <c r="R59" i="44" s="1"/>
  <c r="Q55" i="44"/>
  <c r="R55" i="44" s="1"/>
  <c r="Q51" i="44"/>
  <c r="R51" i="44" s="1"/>
  <c r="Q43" i="44"/>
  <c r="R43" i="44" s="1"/>
  <c r="Q42" i="44"/>
  <c r="R42" i="44" s="1"/>
  <c r="Q41" i="44"/>
  <c r="R41" i="44" s="1"/>
  <c r="Q40" i="44"/>
  <c r="R40" i="44" s="1"/>
  <c r="Q39" i="44"/>
  <c r="R39" i="44" s="1"/>
  <c r="Q38" i="44"/>
  <c r="S38" i="44" s="1"/>
  <c r="T38" i="44" s="1"/>
  <c r="D101" i="44" s="1"/>
  <c r="H101" i="44" s="1"/>
  <c r="F128" i="44" s="1"/>
  <c r="Q37" i="44"/>
  <c r="R37" i="44" s="1"/>
  <c r="Q36" i="44"/>
  <c r="R36" i="44" s="1"/>
  <c r="Q35" i="44"/>
  <c r="R35" i="44" s="1"/>
  <c r="Q34" i="44"/>
  <c r="R34" i="44" s="1"/>
  <c r="Q33" i="44"/>
  <c r="R33" i="44" s="1"/>
  <c r="Q32" i="44"/>
  <c r="R32" i="44" s="1"/>
  <c r="Q31" i="44"/>
  <c r="R31" i="44" s="1"/>
  <c r="Q30" i="44"/>
  <c r="R30" i="44" s="1"/>
  <c r="Q29" i="44"/>
  <c r="R29" i="44" s="1"/>
  <c r="Q28" i="44"/>
  <c r="R28" i="44" s="1"/>
  <c r="Q27" i="44"/>
  <c r="R27" i="44" s="1"/>
  <c r="Q26" i="44"/>
  <c r="S26" i="44" s="1"/>
  <c r="T26" i="44" s="1"/>
  <c r="D99" i="44" s="1"/>
  <c r="H99" i="44" s="1"/>
  <c r="F126" i="44" s="1"/>
  <c r="Q25" i="44"/>
  <c r="R25" i="44" s="1"/>
  <c r="Q24" i="44"/>
  <c r="R24" i="44" s="1"/>
  <c r="Q23" i="44"/>
  <c r="R23" i="44" s="1"/>
  <c r="Q22" i="44"/>
  <c r="R22" i="44" s="1"/>
  <c r="Q21" i="44"/>
  <c r="R21" i="44" s="1"/>
  <c r="Q20" i="44"/>
  <c r="R20" i="44" s="1"/>
  <c r="Q19" i="44"/>
  <c r="R19" i="44" s="1"/>
  <c r="Q18" i="44"/>
  <c r="R18" i="44" s="1"/>
  <c r="Q17" i="44"/>
  <c r="R17" i="44" s="1"/>
  <c r="Q16" i="44"/>
  <c r="R16" i="44" s="1"/>
  <c r="Q15" i="44"/>
  <c r="R15" i="44" s="1"/>
  <c r="Q14" i="44"/>
  <c r="R14" i="44" s="1"/>
  <c r="Q13" i="44"/>
  <c r="R13" i="44" s="1"/>
  <c r="Q12" i="44"/>
  <c r="R12" i="44" s="1"/>
  <c r="Q11" i="44"/>
  <c r="R11" i="44" s="1"/>
  <c r="Q10" i="44"/>
  <c r="R10" i="44" s="1"/>
  <c r="Q9" i="44"/>
  <c r="R9" i="44" s="1"/>
  <c r="Q8" i="44"/>
  <c r="R8" i="44" s="1"/>
  <c r="I38" i="43"/>
  <c r="F61" i="43" s="1"/>
  <c r="L128" i="25" s="1"/>
  <c r="E208" i="47" s="1"/>
  <c r="I37" i="43"/>
  <c r="F60" i="43" s="1"/>
  <c r="L127" i="25" s="1"/>
  <c r="E168" i="47" s="1"/>
  <c r="I36" i="43"/>
  <c r="F59" i="43" s="1"/>
  <c r="L126" i="25" s="1"/>
  <c r="E128" i="47" s="1"/>
  <c r="I35" i="43"/>
  <c r="F58" i="43" s="1"/>
  <c r="L125" i="25" s="1"/>
  <c r="E88" i="47" s="1"/>
  <c r="I34" i="43"/>
  <c r="F57" i="43" s="1"/>
  <c r="L124" i="25" s="1"/>
  <c r="E48" i="47" s="1"/>
  <c r="I33" i="43"/>
  <c r="F56" i="43" s="1"/>
  <c r="L123" i="25" s="1"/>
  <c r="E8" i="47" s="1"/>
  <c r="I20" i="43"/>
  <c r="D61" i="43" s="1"/>
  <c r="E20" i="43"/>
  <c r="G19" i="43"/>
  <c r="E19" i="43"/>
  <c r="I18" i="43"/>
  <c r="D59" i="43" s="1"/>
  <c r="E18" i="43"/>
  <c r="G17" i="43"/>
  <c r="E17" i="43"/>
  <c r="I16" i="43"/>
  <c r="D57" i="43" s="1"/>
  <c r="G124" i="25" s="1"/>
  <c r="C48" i="47" s="1"/>
  <c r="E16" i="43"/>
  <c r="G15" i="43"/>
  <c r="E15" i="43"/>
  <c r="B352" i="41"/>
  <c r="B325" i="41"/>
  <c r="B298" i="41"/>
  <c r="B196" i="41"/>
  <c r="B170" i="41"/>
  <c r="B144" i="41"/>
  <c r="B118" i="41"/>
  <c r="B55" i="44" l="1"/>
  <c r="S171" i="45"/>
  <c r="T171" i="45" s="1"/>
  <c r="D234" i="45" s="1"/>
  <c r="H234" i="45" s="1"/>
  <c r="F261" i="45" s="1"/>
  <c r="R26" i="44"/>
  <c r="R38" i="44"/>
  <c r="B145" i="26"/>
  <c r="B156" i="26"/>
  <c r="B175" i="26"/>
  <c r="B26" i="44"/>
  <c r="B99" i="44" s="1"/>
  <c r="B126" i="44" s="1"/>
  <c r="B181" i="26"/>
  <c r="B59" i="44"/>
  <c r="B154" i="26"/>
  <c r="B143" i="26"/>
  <c r="B187" i="26"/>
  <c r="B155" i="26"/>
  <c r="B144" i="26"/>
  <c r="B67" i="44"/>
  <c r="S40" i="45"/>
  <c r="T40" i="45" s="1"/>
  <c r="D103" i="45" s="1"/>
  <c r="H103" i="45" s="1"/>
  <c r="B32" i="44"/>
  <c r="B100" i="44" s="1"/>
  <c r="B127" i="44" s="1"/>
  <c r="R301" i="45"/>
  <c r="D147" i="26"/>
  <c r="F100" i="44"/>
  <c r="F146" i="26" s="1"/>
  <c r="H202" i="47"/>
  <c r="R159" i="45"/>
  <c r="B61" i="43"/>
  <c r="B38" i="43"/>
  <c r="D316" i="8"/>
  <c r="D320" i="8"/>
  <c r="D321" i="8"/>
  <c r="D319" i="8"/>
  <c r="D318" i="8"/>
  <c r="D317" i="8"/>
  <c r="P55" i="46"/>
  <c r="L247" i="47"/>
  <c r="L269" i="47" s="1"/>
  <c r="D314" i="8"/>
  <c r="D311" i="8"/>
  <c r="D315" i="8"/>
  <c r="D313" i="8"/>
  <c r="D312" i="8"/>
  <c r="D310" i="8"/>
  <c r="B301" i="8"/>
  <c r="B290" i="8"/>
  <c r="F97" i="44"/>
  <c r="F143" i="26" s="1"/>
  <c r="H82" i="47"/>
  <c r="B40" i="45"/>
  <c r="D44" i="45" s="1"/>
  <c r="B73" i="45"/>
  <c r="B299" i="8"/>
  <c r="B288" i="8"/>
  <c r="B34" i="45"/>
  <c r="D39" i="45" s="1"/>
  <c r="B69" i="45"/>
  <c r="B34" i="43"/>
  <c r="B57" i="43"/>
  <c r="R50" i="44"/>
  <c r="B158" i="26"/>
  <c r="B33" i="43"/>
  <c r="B56" i="43"/>
  <c r="B57" i="45"/>
  <c r="B16" i="45"/>
  <c r="B14" i="44"/>
  <c r="B97" i="44" s="1"/>
  <c r="B124" i="44" s="1"/>
  <c r="B58" i="43"/>
  <c r="B35" i="43"/>
  <c r="D322" i="8"/>
  <c r="D327" i="8"/>
  <c r="D326" i="8"/>
  <c r="D325" i="8"/>
  <c r="D324" i="8"/>
  <c r="D323" i="8"/>
  <c r="B300" i="8"/>
  <c r="B289" i="8"/>
  <c r="F99" i="44"/>
  <c r="F145" i="26" s="1"/>
  <c r="H162" i="47"/>
  <c r="B10" i="45"/>
  <c r="B53" i="45"/>
  <c r="B8" i="44"/>
  <c r="D8" i="44" s="1"/>
  <c r="D338" i="8"/>
  <c r="D335" i="8"/>
  <c r="D339" i="8"/>
  <c r="D337" i="8"/>
  <c r="D336" i="8"/>
  <c r="D334" i="8"/>
  <c r="F101" i="44"/>
  <c r="F147" i="26" s="1"/>
  <c r="H242" i="47"/>
  <c r="B153" i="26"/>
  <c r="B193" i="26"/>
  <c r="B38" i="44"/>
  <c r="B101" i="44" s="1"/>
  <c r="B128" i="44" s="1"/>
  <c r="B293" i="8"/>
  <c r="B304" i="8"/>
  <c r="B59" i="43"/>
  <c r="B36" i="43"/>
  <c r="B302" i="8"/>
  <c r="B291" i="8"/>
  <c r="F98" i="44"/>
  <c r="F144" i="26" s="1"/>
  <c r="H122" i="47"/>
  <c r="B292" i="8"/>
  <c r="B303" i="8"/>
  <c r="D145" i="26"/>
  <c r="F96" i="44"/>
  <c r="F142" i="26" s="1"/>
  <c r="H42" i="47"/>
  <c r="S28" i="45"/>
  <c r="T28" i="45" s="1"/>
  <c r="D101" i="45" s="1"/>
  <c r="H101" i="45" s="1"/>
  <c r="B163" i="26"/>
  <c r="D165" i="26" s="1"/>
  <c r="B157" i="26"/>
  <c r="B71" i="44"/>
  <c r="D345" i="8"/>
  <c r="D343" i="8"/>
  <c r="D341" i="8"/>
  <c r="D344" i="8"/>
  <c r="D342" i="8"/>
  <c r="D340" i="8"/>
  <c r="B60" i="43"/>
  <c r="B37" i="43"/>
  <c r="B22" i="45"/>
  <c r="B100" i="45" s="1"/>
  <c r="B127" i="45" s="1"/>
  <c r="B61" i="45"/>
  <c r="B28" i="45"/>
  <c r="D32" i="45" s="1"/>
  <c r="B65" i="45"/>
  <c r="D330" i="8"/>
  <c r="D332" i="8"/>
  <c r="D331" i="8"/>
  <c r="D329" i="8"/>
  <c r="D328" i="8"/>
  <c r="D333" i="8"/>
  <c r="Q183" i="45"/>
  <c r="R183" i="45" s="1"/>
  <c r="H61" i="43"/>
  <c r="G128" i="25"/>
  <c r="C208" i="47" s="1"/>
  <c r="H59" i="43"/>
  <c r="G126" i="25"/>
  <c r="C128" i="47" s="1"/>
  <c r="H18" i="47"/>
  <c r="H80" i="47"/>
  <c r="H255" i="47"/>
  <c r="D301" i="45"/>
  <c r="H257" i="47"/>
  <c r="H93" i="47"/>
  <c r="H259" i="47"/>
  <c r="H249" i="47"/>
  <c r="H98" i="47"/>
  <c r="I19" i="43"/>
  <c r="D60" i="43" s="1"/>
  <c r="H13" i="47"/>
  <c r="H53" i="47"/>
  <c r="H57" i="43"/>
  <c r="H253" i="47"/>
  <c r="I15" i="43"/>
  <c r="D56" i="43" s="1"/>
  <c r="S34" i="45"/>
  <c r="T34" i="45" s="1"/>
  <c r="D102" i="45" s="1"/>
  <c r="H102" i="45" s="1"/>
  <c r="G20" i="43"/>
  <c r="S22" i="45"/>
  <c r="T22" i="45" s="1"/>
  <c r="D100" i="45" s="1"/>
  <c r="H100" i="45" s="1"/>
  <c r="G16" i="43"/>
  <c r="R22" i="45"/>
  <c r="R289" i="45"/>
  <c r="H23" i="47"/>
  <c r="H103" i="47"/>
  <c r="S20" i="44"/>
  <c r="T20" i="44" s="1"/>
  <c r="D98" i="44" s="1"/>
  <c r="H98" i="44" s="1"/>
  <c r="F125" i="44" s="1"/>
  <c r="S32" i="44"/>
  <c r="T32" i="44" s="1"/>
  <c r="D100" i="44" s="1"/>
  <c r="H100" i="44" s="1"/>
  <c r="F127" i="44" s="1"/>
  <c r="R52" i="45"/>
  <c r="F269" i="47" s="1"/>
  <c r="Q313" i="45"/>
  <c r="R313" i="45" s="1"/>
  <c r="P109" i="46"/>
  <c r="P163" i="46"/>
  <c r="H40" i="47"/>
  <c r="H120" i="47"/>
  <c r="H251" i="47"/>
  <c r="H58" i="47"/>
  <c r="H247" i="47"/>
  <c r="S16" i="45"/>
  <c r="T16" i="45" s="1"/>
  <c r="D99" i="45" s="1"/>
  <c r="H99" i="45" s="1"/>
  <c r="R148" i="45"/>
  <c r="S147" i="45"/>
  <c r="T147" i="45" s="1"/>
  <c r="D230" i="45" s="1"/>
  <c r="H230" i="45" s="1"/>
  <c r="F257" i="45" s="1"/>
  <c r="D42" i="45"/>
  <c r="B229" i="45"/>
  <c r="B256" i="45" s="1"/>
  <c r="S271" i="45"/>
  <c r="T271" i="45" s="1"/>
  <c r="D359" i="45" s="1"/>
  <c r="H359" i="45" s="1"/>
  <c r="F386" i="45" s="1"/>
  <c r="S283" i="45"/>
  <c r="T283" i="45" s="1"/>
  <c r="D361" i="45" s="1"/>
  <c r="H361" i="45" s="1"/>
  <c r="F388" i="45" s="1"/>
  <c r="S295" i="45"/>
  <c r="T295" i="45" s="1"/>
  <c r="D363" i="45" s="1"/>
  <c r="H363" i="45" s="1"/>
  <c r="F390" i="45" s="1"/>
  <c r="R278" i="45"/>
  <c r="S277" i="45"/>
  <c r="T277" i="45" s="1"/>
  <c r="D360" i="45" s="1"/>
  <c r="H360" i="45" s="1"/>
  <c r="F387" i="45" s="1"/>
  <c r="S10" i="45"/>
  <c r="T10" i="45" s="1"/>
  <c r="D98" i="45" s="1"/>
  <c r="H98" i="45" s="1"/>
  <c r="S141" i="45"/>
  <c r="T141" i="45" s="1"/>
  <c r="D229" i="45" s="1"/>
  <c r="H229" i="45" s="1"/>
  <c r="F256" i="45" s="1"/>
  <c r="S153" i="45"/>
  <c r="T153" i="45" s="1"/>
  <c r="D231" i="45" s="1"/>
  <c r="H231" i="45" s="1"/>
  <c r="F258" i="45" s="1"/>
  <c r="S165" i="45"/>
  <c r="T165" i="45" s="1"/>
  <c r="D233" i="45" s="1"/>
  <c r="H233" i="45" s="1"/>
  <c r="F260" i="45" s="1"/>
  <c r="S8" i="44"/>
  <c r="T8" i="44" s="1"/>
  <c r="D96" i="44" s="1"/>
  <c r="H96" i="44" s="1"/>
  <c r="F123" i="44" s="1"/>
  <c r="B98" i="44"/>
  <c r="B125" i="44" s="1"/>
  <c r="S14" i="44"/>
  <c r="T14" i="44" s="1"/>
  <c r="D97" i="44" s="1"/>
  <c r="H97" i="44" s="1"/>
  <c r="F124" i="44" s="1"/>
  <c r="I17" i="43"/>
  <c r="D58" i="43" s="1"/>
  <c r="G18" i="43"/>
  <c r="D45" i="45" l="1"/>
  <c r="D305" i="45"/>
  <c r="D172" i="45"/>
  <c r="D174" i="45"/>
  <c r="D306" i="45"/>
  <c r="D303" i="45"/>
  <c r="D41" i="45"/>
  <c r="D40" i="45"/>
  <c r="Q124" i="25"/>
  <c r="H48" i="47" s="1"/>
  <c r="D124" i="44"/>
  <c r="D293" i="8"/>
  <c r="Q128" i="25"/>
  <c r="H208" i="47" s="1"/>
  <c r="D128" i="44"/>
  <c r="Q126" i="25"/>
  <c r="H128" i="47" s="1"/>
  <c r="D126" i="44"/>
  <c r="D292" i="45"/>
  <c r="D28" i="44"/>
  <c r="D167" i="45"/>
  <c r="D176" i="45"/>
  <c r="D298" i="45"/>
  <c r="D173" i="45"/>
  <c r="D295" i="45"/>
  <c r="D302" i="45"/>
  <c r="D43" i="45"/>
  <c r="D175" i="45"/>
  <c r="D304" i="45"/>
  <c r="D167" i="26"/>
  <c r="D185" i="26" s="1"/>
  <c r="D288" i="45"/>
  <c r="D166" i="45"/>
  <c r="D285" i="45"/>
  <c r="D34" i="45"/>
  <c r="D154" i="45"/>
  <c r="D10" i="44"/>
  <c r="D22" i="44" s="1"/>
  <c r="D297" i="45"/>
  <c r="D168" i="45"/>
  <c r="D293" i="45"/>
  <c r="D291" i="45"/>
  <c r="D31" i="45"/>
  <c r="D300" i="45"/>
  <c r="D156" i="45"/>
  <c r="D283" i="45"/>
  <c r="D169" i="45"/>
  <c r="D160" i="45"/>
  <c r="D161" i="45"/>
  <c r="D158" i="45"/>
  <c r="D289" i="45"/>
  <c r="D33" i="45"/>
  <c r="D30" i="45"/>
  <c r="D164" i="45"/>
  <c r="D28" i="45"/>
  <c r="D290" i="45"/>
  <c r="D164" i="26"/>
  <c r="D170" i="26" s="1"/>
  <c r="D294" i="45"/>
  <c r="D159" i="45"/>
  <c r="B99" i="45"/>
  <c r="B126" i="45" s="1"/>
  <c r="D19" i="45"/>
  <c r="B102" i="45"/>
  <c r="B129" i="45" s="1"/>
  <c r="D37" i="45"/>
  <c r="D142" i="26"/>
  <c r="D38" i="45"/>
  <c r="D162" i="45"/>
  <c r="D155" i="45"/>
  <c r="D29" i="45"/>
  <c r="D35" i="45"/>
  <c r="D296" i="45"/>
  <c r="D166" i="26"/>
  <c r="D196" i="26" s="1"/>
  <c r="D11" i="44"/>
  <c r="D41" i="44" s="1"/>
  <c r="D13" i="45"/>
  <c r="D25" i="45" s="1"/>
  <c r="D10" i="45"/>
  <c r="D16" i="45" s="1"/>
  <c r="D14" i="45"/>
  <c r="D20" i="45" s="1"/>
  <c r="D11" i="45"/>
  <c r="D17" i="45" s="1"/>
  <c r="B98" i="45"/>
  <c r="B125" i="45" s="1"/>
  <c r="D15" i="45"/>
  <c r="D21" i="45" s="1"/>
  <c r="D12" i="45"/>
  <c r="D24" i="45" s="1"/>
  <c r="D288" i="8"/>
  <c r="D287" i="45"/>
  <c r="D153" i="45"/>
  <c r="D284" i="45"/>
  <c r="D289" i="8"/>
  <c r="D146" i="26"/>
  <c r="D286" i="45"/>
  <c r="D13" i="44"/>
  <c r="D43" i="44" s="1"/>
  <c r="F156" i="26"/>
  <c r="H145" i="26"/>
  <c r="B96" i="44"/>
  <c r="B123" i="44" s="1"/>
  <c r="D299" i="45"/>
  <c r="D152" i="45"/>
  <c r="D144" i="26"/>
  <c r="D22" i="45"/>
  <c r="D168" i="26"/>
  <c r="D180" i="26" s="1"/>
  <c r="D14" i="44"/>
  <c r="D291" i="8"/>
  <c r="D292" i="8"/>
  <c r="D148" i="45"/>
  <c r="D163" i="26"/>
  <c r="D169" i="26" s="1"/>
  <c r="D9" i="44"/>
  <c r="D33" i="44" s="1"/>
  <c r="B103" i="45"/>
  <c r="B130" i="45" s="1"/>
  <c r="D171" i="45"/>
  <c r="D157" i="45"/>
  <c r="D290" i="8"/>
  <c r="D36" i="45"/>
  <c r="D143" i="26"/>
  <c r="D165" i="45"/>
  <c r="D170" i="45"/>
  <c r="D12" i="44"/>
  <c r="D30" i="44" s="1"/>
  <c r="B101" i="45"/>
  <c r="B128" i="45" s="1"/>
  <c r="D163" i="45"/>
  <c r="F130" i="45"/>
  <c r="F304" i="8" s="1"/>
  <c r="H293" i="8"/>
  <c r="F158" i="26"/>
  <c r="H147" i="26"/>
  <c r="H56" i="43"/>
  <c r="G123" i="25"/>
  <c r="C8" i="47" s="1"/>
  <c r="D39" i="44"/>
  <c r="D31" i="44"/>
  <c r="D37" i="44"/>
  <c r="D25" i="44"/>
  <c r="D197" i="26"/>
  <c r="H58" i="43"/>
  <c r="G125" i="25"/>
  <c r="C88" i="47" s="1"/>
  <c r="H60" i="43"/>
  <c r="G127" i="25"/>
  <c r="C168" i="47" s="1"/>
  <c r="D20" i="44"/>
  <c r="D27" i="44"/>
  <c r="D26" i="44"/>
  <c r="D186" i="26"/>
  <c r="D35" i="44"/>
  <c r="D42" i="44"/>
  <c r="D192" i="26"/>
  <c r="D16" i="44"/>
  <c r="D40" i="44"/>
  <c r="D34" i="44"/>
  <c r="D36" i="44"/>
  <c r="D38" i="44"/>
  <c r="D19" i="44"/>
  <c r="D32" i="44"/>
  <c r="D29" i="44"/>
  <c r="D187" i="26"/>
  <c r="D177" i="26"/>
  <c r="D279" i="45"/>
  <c r="D184" i="26"/>
  <c r="D191" i="26"/>
  <c r="D171" i="26"/>
  <c r="D189" i="26"/>
  <c r="D181" i="26"/>
  <c r="D193" i="26"/>
  <c r="D176" i="26"/>
  <c r="D188" i="26"/>
  <c r="D194" i="26"/>
  <c r="D179" i="26"/>
  <c r="D190" i="26"/>
  <c r="D182" i="26"/>
  <c r="D175" i="26"/>
  <c r="D173" i="26"/>
  <c r="D198" i="26"/>
  <c r="D183" i="26"/>
  <c r="D195" i="26"/>
  <c r="D150" i="45"/>
  <c r="D280" i="45"/>
  <c r="D147" i="45"/>
  <c r="D282" i="45"/>
  <c r="D281" i="45"/>
  <c r="D151" i="45"/>
  <c r="D149" i="45"/>
  <c r="D277" i="45"/>
  <c r="D278" i="45"/>
  <c r="D128" i="45" l="1"/>
  <c r="H126" i="44"/>
  <c r="H156" i="26" s="1"/>
  <c r="D156" i="26"/>
  <c r="D130" i="45"/>
  <c r="H128" i="44"/>
  <c r="H158" i="26" s="1"/>
  <c r="D158" i="26"/>
  <c r="H124" i="44"/>
  <c r="D126" i="45"/>
  <c r="D154" i="26"/>
  <c r="Q123" i="25"/>
  <c r="H8" i="47" s="1"/>
  <c r="D123" i="44"/>
  <c r="Q125" i="25"/>
  <c r="H88" i="47" s="1"/>
  <c r="D125" i="44"/>
  <c r="Q127" i="25"/>
  <c r="H168" i="47" s="1"/>
  <c r="D127" i="44"/>
  <c r="D18" i="44"/>
  <c r="D18" i="45"/>
  <c r="D24" i="44"/>
  <c r="D21" i="44"/>
  <c r="D174" i="26"/>
  <c r="D17" i="44"/>
  <c r="H143" i="26"/>
  <c r="F157" i="26"/>
  <c r="H146" i="26"/>
  <c r="D27" i="45"/>
  <c r="F125" i="45"/>
  <c r="H288" i="8"/>
  <c r="D178" i="26"/>
  <c r="F128" i="45"/>
  <c r="F302" i="8" s="1"/>
  <c r="H291" i="8"/>
  <c r="D15" i="44"/>
  <c r="D26" i="45"/>
  <c r="D23" i="44"/>
  <c r="F127" i="45"/>
  <c r="H290" i="8"/>
  <c r="F129" i="45"/>
  <c r="F303" i="8" s="1"/>
  <c r="H292" i="8"/>
  <c r="D23" i="45"/>
  <c r="F126" i="45"/>
  <c r="H289" i="8"/>
  <c r="D172" i="26"/>
  <c r="H144" i="26"/>
  <c r="H142" i="26"/>
  <c r="B75" i="26"/>
  <c r="B76" i="26"/>
  <c r="B77" i="26"/>
  <c r="B78" i="26"/>
  <c r="B79" i="26"/>
  <c r="B80" i="26"/>
  <c r="B81" i="26"/>
  <c r="B82" i="26"/>
  <c r="B83" i="26"/>
  <c r="B84" i="26"/>
  <c r="B85" i="26"/>
  <c r="B74" i="26"/>
  <c r="H126" i="45" l="1"/>
  <c r="D300" i="8"/>
  <c r="H127" i="44"/>
  <c r="H157" i="26" s="1"/>
  <c r="D129" i="45"/>
  <c r="D157" i="26"/>
  <c r="H125" i="44"/>
  <c r="H155" i="26" s="1"/>
  <c r="D127" i="45"/>
  <c r="D155" i="26"/>
  <c r="H130" i="45"/>
  <c r="H304" i="8" s="1"/>
  <c r="D304" i="8"/>
  <c r="D125" i="45"/>
  <c r="H123" i="44"/>
  <c r="H153" i="26" s="1"/>
  <c r="D153" i="26"/>
  <c r="H128" i="45"/>
  <c r="H302" i="8" s="1"/>
  <c r="D302" i="8"/>
  <c r="H300" i="8"/>
  <c r="F300" i="8"/>
  <c r="F153" i="26"/>
  <c r="F155" i="26"/>
  <c r="F299" i="8"/>
  <c r="H154" i="26"/>
  <c r="F154" i="26"/>
  <c r="F301" i="8"/>
  <c r="Z139" i="31"/>
  <c r="Z140" i="31"/>
  <c r="Z141" i="31"/>
  <c r="Z142" i="31"/>
  <c r="Z138" i="31"/>
  <c r="Z135" i="31"/>
  <c r="Z136" i="31"/>
  <c r="Z137" i="31"/>
  <c r="Z134" i="31"/>
  <c r="Z133" i="31"/>
  <c r="F178" i="26" s="1"/>
  <c r="Z132" i="31"/>
  <c r="Z128" i="31"/>
  <c r="Z129" i="31"/>
  <c r="Z130" i="31"/>
  <c r="Z131" i="31"/>
  <c r="Z127" i="31"/>
  <c r="H129" i="45" l="1"/>
  <c r="H303" i="8" s="1"/>
  <c r="D303" i="8"/>
  <c r="H127" i="45"/>
  <c r="H301" i="8" s="1"/>
  <c r="D301" i="8"/>
  <c r="H125" i="45"/>
  <c r="H299" i="8" s="1"/>
  <c r="D299" i="8"/>
  <c r="F316" i="8"/>
  <c r="F334" i="8"/>
  <c r="F326" i="8"/>
  <c r="F318" i="8"/>
  <c r="F311" i="8"/>
  <c r="F314" i="8"/>
  <c r="F344" i="8"/>
  <c r="F330" i="8"/>
  <c r="F163" i="26"/>
  <c r="F343" i="8"/>
  <c r="F329" i="8"/>
  <c r="F310" i="8"/>
  <c r="F185" i="26"/>
  <c r="F333" i="8"/>
  <c r="F320" i="8"/>
  <c r="F325" i="8"/>
  <c r="F317" i="8"/>
  <c r="F337" i="8"/>
  <c r="F328" i="8"/>
  <c r="F340" i="8"/>
  <c r="F339" i="8"/>
  <c r="F341" i="8"/>
  <c r="F338" i="8"/>
  <c r="F164" i="26"/>
  <c r="F323" i="8"/>
  <c r="F332" i="8"/>
  <c r="F322" i="8"/>
  <c r="F336" i="8"/>
  <c r="F319" i="8"/>
  <c r="F327" i="8"/>
  <c r="F331" i="8"/>
  <c r="F312" i="8"/>
  <c r="F342" i="8"/>
  <c r="F315" i="8"/>
  <c r="F335" i="8"/>
  <c r="F321" i="8"/>
  <c r="F165" i="26"/>
  <c r="F313" i="8"/>
  <c r="F345" i="8"/>
  <c r="F167" i="26"/>
  <c r="F324" i="8"/>
  <c r="F174" i="26"/>
  <c r="F191" i="26"/>
  <c r="F177" i="26"/>
  <c r="F179" i="26"/>
  <c r="F173" i="26"/>
  <c r="F197" i="26"/>
  <c r="F175" i="26"/>
  <c r="F182" i="26"/>
  <c r="F183" i="26"/>
  <c r="F170" i="26"/>
  <c r="F189" i="26"/>
  <c r="F193" i="26"/>
  <c r="F194" i="26"/>
  <c r="F192" i="26"/>
  <c r="F180" i="26"/>
  <c r="F168" i="26"/>
  <c r="F188" i="26"/>
  <c r="F166" i="26"/>
  <c r="F169" i="26"/>
  <c r="F184" i="26"/>
  <c r="F176" i="26"/>
  <c r="F171" i="26"/>
  <c r="F187" i="26"/>
  <c r="F190" i="26"/>
  <c r="F186" i="26"/>
  <c r="F198" i="26"/>
  <c r="F196" i="26"/>
  <c r="F195" i="26"/>
  <c r="F181" i="26"/>
  <c r="F172" i="26"/>
  <c r="G27" i="11"/>
  <c r="H27" i="11" s="1"/>
  <c r="I27" i="11" s="1"/>
  <c r="J27" i="11" s="1"/>
  <c r="K27" i="11" s="1"/>
  <c r="L27" i="11" s="1"/>
  <c r="M27" i="11" s="1"/>
  <c r="N27" i="11" s="1"/>
  <c r="O27" i="11" s="1"/>
  <c r="F26" i="11"/>
  <c r="G26" i="11" s="1"/>
  <c r="H20" i="11"/>
  <c r="E26" i="11" s="1"/>
  <c r="E28" i="11" s="1"/>
  <c r="F28" i="11" l="1"/>
  <c r="G29" i="11"/>
  <c r="E29" i="11"/>
  <c r="G28" i="11"/>
  <c r="H26" i="11"/>
  <c r="F29" i="11"/>
  <c r="O88" i="6"/>
  <c r="O87" i="6"/>
  <c r="O86" i="6"/>
  <c r="O85" i="6"/>
  <c r="O84" i="6"/>
  <c r="O83" i="6"/>
  <c r="O82" i="6"/>
  <c r="O81" i="6"/>
  <c r="O80" i="6"/>
  <c r="O79" i="6"/>
  <c r="O78" i="6"/>
  <c r="O77" i="6"/>
  <c r="O76" i="6"/>
  <c r="O75" i="6"/>
  <c r="O74" i="6"/>
  <c r="O73" i="6"/>
  <c r="O72" i="6"/>
  <c r="O71" i="6"/>
  <c r="O70" i="6"/>
  <c r="O69" i="6"/>
  <c r="O68" i="6"/>
  <c r="O67" i="6"/>
  <c r="O66" i="6"/>
  <c r="O65" i="6"/>
  <c r="O64" i="6"/>
  <c r="O63" i="6"/>
  <c r="O62" i="6"/>
  <c r="O61" i="6"/>
  <c r="O60" i="6"/>
  <c r="O59" i="6"/>
  <c r="O58" i="6"/>
  <c r="O57" i="6"/>
  <c r="O56" i="6"/>
  <c r="H28" i="11" l="1"/>
  <c r="H29" i="11"/>
  <c r="I26" i="11"/>
  <c r="P49" i="6"/>
  <c r="B8" i="21" s="1"/>
  <c r="J26" i="11" l="1"/>
  <c r="I29" i="11"/>
  <c r="I28" i="11"/>
  <c r="P16" i="6"/>
  <c r="K26" i="11" l="1"/>
  <c r="J28" i="11"/>
  <c r="J29" i="11"/>
  <c r="F45" i="29"/>
  <c r="F43" i="29"/>
  <c r="K28" i="11" l="1"/>
  <c r="L26" i="11"/>
  <c r="K29" i="11"/>
  <c r="D307" i="10"/>
  <c r="E307" i="10"/>
  <c r="F307" i="10"/>
  <c r="G307" i="10"/>
  <c r="D306" i="10"/>
  <c r="E306" i="10"/>
  <c r="F306" i="10"/>
  <c r="G306" i="10"/>
  <c r="I307" i="10"/>
  <c r="J307" i="10"/>
  <c r="K307" i="10"/>
  <c r="L307" i="10"/>
  <c r="M307" i="10"/>
  <c r="I306" i="10"/>
  <c r="J306" i="10"/>
  <c r="K306" i="10"/>
  <c r="L306" i="10"/>
  <c r="M306" i="10"/>
  <c r="D305" i="10"/>
  <c r="E305" i="10"/>
  <c r="F305" i="10"/>
  <c r="G305" i="10"/>
  <c r="I305" i="10"/>
  <c r="J305" i="10"/>
  <c r="K305" i="10"/>
  <c r="L305" i="10"/>
  <c r="M305" i="10"/>
  <c r="L29" i="11" l="1"/>
  <c r="M26" i="11"/>
  <c r="L28" i="11"/>
  <c r="B125" i="38"/>
  <c r="B124" i="38"/>
  <c r="B123" i="38"/>
  <c r="B122" i="38"/>
  <c r="B121" i="38"/>
  <c r="B120" i="38"/>
  <c r="B119" i="38"/>
  <c r="B118" i="38"/>
  <c r="B117" i="38"/>
  <c r="B116" i="38"/>
  <c r="B115" i="38"/>
  <c r="B16" i="38"/>
  <c r="B15" i="38"/>
  <c r="B14" i="38"/>
  <c r="B13" i="38"/>
  <c r="B12" i="38"/>
  <c r="B11" i="38"/>
  <c r="B10" i="38"/>
  <c r="B9" i="38"/>
  <c r="B8" i="38"/>
  <c r="B7" i="38"/>
  <c r="B6" i="38"/>
  <c r="A54" i="37"/>
  <c r="A54" i="36"/>
  <c r="A11" i="36"/>
  <c r="A12" i="36"/>
  <c r="A13" i="36"/>
  <c r="A14" i="36"/>
  <c r="A15" i="36"/>
  <c r="A16" i="36"/>
  <c r="A17" i="36"/>
  <c r="A18" i="36"/>
  <c r="A19" i="36"/>
  <c r="A20" i="36"/>
  <c r="A10" i="36"/>
  <c r="A11" i="37"/>
  <c r="A12" i="37"/>
  <c r="A13" i="37"/>
  <c r="A14" i="37"/>
  <c r="A15" i="37"/>
  <c r="A16" i="37"/>
  <c r="A17" i="37"/>
  <c r="A18" i="37"/>
  <c r="A19" i="37"/>
  <c r="A20" i="37"/>
  <c r="A10" i="37"/>
  <c r="M28" i="11" l="1"/>
  <c r="N26" i="11"/>
  <c r="M29" i="11"/>
  <c r="C116" i="38"/>
  <c r="D116" i="38" s="1"/>
  <c r="C117" i="38"/>
  <c r="D117" i="38" s="1"/>
  <c r="C118" i="38"/>
  <c r="D118" i="38" s="1"/>
  <c r="C119" i="38"/>
  <c r="D119" i="38" s="1"/>
  <c r="C120" i="38"/>
  <c r="C192" i="38" s="1"/>
  <c r="C121" i="38"/>
  <c r="C122" i="38"/>
  <c r="D122" i="38" s="1"/>
  <c r="E122" i="38" s="1"/>
  <c r="F122" i="38" s="1"/>
  <c r="C123" i="38"/>
  <c r="D123" i="38" s="1"/>
  <c r="C124" i="38"/>
  <c r="D124" i="38" s="1"/>
  <c r="E124" i="38" s="1"/>
  <c r="F124" i="38" s="1"/>
  <c r="C125" i="38"/>
  <c r="D125" i="38" s="1"/>
  <c r="C115" i="38"/>
  <c r="D115" i="38" s="1"/>
  <c r="C7" i="38"/>
  <c r="C67" i="38" s="1"/>
  <c r="C8" i="38"/>
  <c r="C9" i="38"/>
  <c r="C69" i="38" s="1"/>
  <c r="C10" i="38"/>
  <c r="C11" i="38"/>
  <c r="D11" i="38" s="1"/>
  <c r="C12" i="38"/>
  <c r="C13" i="38"/>
  <c r="C73" i="38" s="1"/>
  <c r="C14" i="38"/>
  <c r="C15" i="38"/>
  <c r="C75" i="38" s="1"/>
  <c r="C16" i="38"/>
  <c r="C88" i="38" s="1"/>
  <c r="C6" i="38"/>
  <c r="C146" i="37"/>
  <c r="C145" i="37"/>
  <c r="C142" i="37" a="1"/>
  <c r="N142" i="37" s="1"/>
  <c r="N139" i="37"/>
  <c r="N154" i="37" s="1"/>
  <c r="M139" i="37"/>
  <c r="L139" i="37"/>
  <c r="L154" i="37" s="1"/>
  <c r="L169" i="37" s="1"/>
  <c r="K139" i="37"/>
  <c r="K154" i="37" s="1"/>
  <c r="J139" i="37"/>
  <c r="J154" i="37" s="1"/>
  <c r="I139" i="37"/>
  <c r="H139" i="37"/>
  <c r="H154" i="37" s="1"/>
  <c r="H169" i="37" s="1"/>
  <c r="G139" i="37"/>
  <c r="G154" i="37" s="1"/>
  <c r="G169" i="37" s="1"/>
  <c r="F139" i="37"/>
  <c r="F154" i="37" s="1"/>
  <c r="E139" i="37"/>
  <c r="D139" i="37"/>
  <c r="D154" i="37" s="1"/>
  <c r="D169" i="37" s="1"/>
  <c r="C139" i="37"/>
  <c r="C154" i="37" s="1"/>
  <c r="C169" i="37" s="1"/>
  <c r="C184" i="37" s="1"/>
  <c r="C124" i="37"/>
  <c r="D124" i="37"/>
  <c r="E124" i="37"/>
  <c r="F124" i="37"/>
  <c r="G124" i="37"/>
  <c r="H124" i="37"/>
  <c r="I124" i="37"/>
  <c r="J124" i="37"/>
  <c r="K124" i="37"/>
  <c r="L124" i="37"/>
  <c r="M124" i="37"/>
  <c r="N124" i="37"/>
  <c r="C125" i="37"/>
  <c r="D125" i="37"/>
  <c r="E125" i="37"/>
  <c r="F125" i="37"/>
  <c r="G125" i="37"/>
  <c r="H125" i="37"/>
  <c r="I125" i="37"/>
  <c r="J125" i="37"/>
  <c r="K125" i="37"/>
  <c r="L125" i="37"/>
  <c r="M125" i="37"/>
  <c r="N125" i="37"/>
  <c r="C126" i="37"/>
  <c r="D126" i="37"/>
  <c r="E126" i="37"/>
  <c r="F126" i="37"/>
  <c r="G126" i="37"/>
  <c r="H126" i="37"/>
  <c r="I126" i="37"/>
  <c r="J126" i="37"/>
  <c r="K126" i="37"/>
  <c r="L126" i="37"/>
  <c r="M126" i="37"/>
  <c r="N126" i="37"/>
  <c r="C127" i="37"/>
  <c r="D127" i="37"/>
  <c r="E127" i="37"/>
  <c r="F127" i="37"/>
  <c r="G127" i="37"/>
  <c r="H127" i="37"/>
  <c r="I127" i="37"/>
  <c r="J127" i="37"/>
  <c r="K127" i="37"/>
  <c r="L127" i="37"/>
  <c r="M127" i="37"/>
  <c r="N127" i="37"/>
  <c r="C128" i="37"/>
  <c r="D128" i="37"/>
  <c r="E128" i="37"/>
  <c r="F128" i="37"/>
  <c r="G128" i="37"/>
  <c r="H128" i="37"/>
  <c r="I128" i="37"/>
  <c r="J128" i="37"/>
  <c r="K128" i="37"/>
  <c r="L128" i="37"/>
  <c r="M128" i="37"/>
  <c r="N128" i="37"/>
  <c r="C129" i="37"/>
  <c r="D129" i="37"/>
  <c r="E129" i="37"/>
  <c r="F129" i="37"/>
  <c r="G129" i="37"/>
  <c r="H129" i="37"/>
  <c r="I129" i="37"/>
  <c r="J129" i="37"/>
  <c r="K129" i="37"/>
  <c r="L129" i="37"/>
  <c r="M129" i="37"/>
  <c r="N129" i="37"/>
  <c r="C130" i="37"/>
  <c r="D130" i="37"/>
  <c r="E130" i="37"/>
  <c r="F130" i="37"/>
  <c r="G130" i="37"/>
  <c r="H130" i="37"/>
  <c r="I130" i="37"/>
  <c r="J130" i="37"/>
  <c r="K130" i="37"/>
  <c r="L130" i="37"/>
  <c r="M130" i="37"/>
  <c r="N130" i="37"/>
  <c r="C131" i="37"/>
  <c r="D131" i="37"/>
  <c r="E131" i="37"/>
  <c r="F131" i="37"/>
  <c r="G131" i="37"/>
  <c r="H131" i="37"/>
  <c r="I131" i="37"/>
  <c r="J131" i="37"/>
  <c r="K131" i="37"/>
  <c r="L131" i="37"/>
  <c r="M131" i="37"/>
  <c r="N131" i="37"/>
  <c r="C132" i="37"/>
  <c r="D132" i="37"/>
  <c r="E132" i="37"/>
  <c r="F132" i="37"/>
  <c r="G132" i="37"/>
  <c r="H132" i="37"/>
  <c r="I132" i="37"/>
  <c r="J132" i="37"/>
  <c r="K132" i="37"/>
  <c r="L132" i="37"/>
  <c r="M132" i="37"/>
  <c r="N132" i="37"/>
  <c r="C133" i="37"/>
  <c r="D133" i="37"/>
  <c r="E133" i="37"/>
  <c r="F133" i="37"/>
  <c r="G133" i="37"/>
  <c r="H133" i="37"/>
  <c r="I133" i="37"/>
  <c r="J133" i="37"/>
  <c r="K133" i="37"/>
  <c r="L133" i="37"/>
  <c r="M133" i="37"/>
  <c r="N133" i="37"/>
  <c r="D123" i="37"/>
  <c r="E123" i="37"/>
  <c r="F123" i="37"/>
  <c r="G123" i="37"/>
  <c r="H123" i="37"/>
  <c r="I123" i="37"/>
  <c r="J123" i="37"/>
  <c r="K123" i="37"/>
  <c r="L123" i="37"/>
  <c r="M123" i="37"/>
  <c r="N123" i="37"/>
  <c r="C123" i="37"/>
  <c r="C54" i="37" a="1"/>
  <c r="H54" i="37" s="1"/>
  <c r="H57" i="37" s="1"/>
  <c r="B11" i="37"/>
  <c r="B124" i="37" s="1"/>
  <c r="B12" i="37"/>
  <c r="B125" i="37" s="1"/>
  <c r="B13" i="37"/>
  <c r="B126" i="37" s="1"/>
  <c r="B14" i="37"/>
  <c r="B127" i="37" s="1"/>
  <c r="B15" i="37"/>
  <c r="B128" i="37" s="1"/>
  <c r="B16" i="37"/>
  <c r="B129" i="37" s="1"/>
  <c r="B17" i="37"/>
  <c r="B130" i="37" s="1"/>
  <c r="B18" i="37"/>
  <c r="B131" i="37" s="1"/>
  <c r="B19" i="37"/>
  <c r="B132" i="37" s="1"/>
  <c r="B20" i="37"/>
  <c r="B133" i="37" s="1"/>
  <c r="B10" i="37"/>
  <c r="C142" i="36" a="1"/>
  <c r="C142" i="36" s="1"/>
  <c r="C146" i="36"/>
  <c r="C145" i="36"/>
  <c r="C160" i="36" s="1"/>
  <c r="D160" i="36" s="1"/>
  <c r="N139" i="36"/>
  <c r="N154" i="36" s="1"/>
  <c r="M139" i="36"/>
  <c r="M154" i="36" s="1"/>
  <c r="M169" i="36" s="1"/>
  <c r="L139" i="36"/>
  <c r="L154" i="36" s="1"/>
  <c r="L169" i="36" s="1"/>
  <c r="L184" i="36" s="1"/>
  <c r="K139" i="36"/>
  <c r="K154" i="36" s="1"/>
  <c r="J139" i="36"/>
  <c r="J154" i="36" s="1"/>
  <c r="J169" i="36" s="1"/>
  <c r="I139" i="36"/>
  <c r="I154" i="36" s="1"/>
  <c r="H139" i="36"/>
  <c r="H154" i="36" s="1"/>
  <c r="H169" i="36" s="1"/>
  <c r="G139" i="36"/>
  <c r="F139" i="36"/>
  <c r="F154" i="36" s="1"/>
  <c r="E139" i="36"/>
  <c r="E154" i="36" s="1"/>
  <c r="E169" i="36" s="1"/>
  <c r="D139" i="36"/>
  <c r="D154" i="36" s="1"/>
  <c r="C139" i="36"/>
  <c r="C154" i="36" s="1"/>
  <c r="C124" i="36"/>
  <c r="D124" i="36"/>
  <c r="E124" i="36"/>
  <c r="F124" i="36"/>
  <c r="G124" i="36"/>
  <c r="H124" i="36"/>
  <c r="I124" i="36"/>
  <c r="J124" i="36"/>
  <c r="K124" i="36"/>
  <c r="L124" i="36"/>
  <c r="M124" i="36"/>
  <c r="N124" i="36"/>
  <c r="C125" i="36"/>
  <c r="D125" i="36"/>
  <c r="E125" i="36"/>
  <c r="F125" i="36"/>
  <c r="G125" i="36"/>
  <c r="H125" i="36"/>
  <c r="I125" i="36"/>
  <c r="J125" i="36"/>
  <c r="K125" i="36"/>
  <c r="L125" i="36"/>
  <c r="M125" i="36"/>
  <c r="N125" i="36"/>
  <c r="C126" i="36"/>
  <c r="D126" i="36"/>
  <c r="E126" i="36"/>
  <c r="F126" i="36"/>
  <c r="G126" i="36"/>
  <c r="H126" i="36"/>
  <c r="I126" i="36"/>
  <c r="J126" i="36"/>
  <c r="K126" i="36"/>
  <c r="L126" i="36"/>
  <c r="M126" i="36"/>
  <c r="N126" i="36"/>
  <c r="C127" i="36"/>
  <c r="D127" i="36"/>
  <c r="E127" i="36"/>
  <c r="F127" i="36"/>
  <c r="G127" i="36"/>
  <c r="H127" i="36"/>
  <c r="I127" i="36"/>
  <c r="J127" i="36"/>
  <c r="K127" i="36"/>
  <c r="L127" i="36"/>
  <c r="M127" i="36"/>
  <c r="N127" i="36"/>
  <c r="C128" i="36"/>
  <c r="D128" i="36"/>
  <c r="E128" i="36"/>
  <c r="F128" i="36"/>
  <c r="G128" i="36"/>
  <c r="H128" i="36"/>
  <c r="I128" i="36"/>
  <c r="J128" i="36"/>
  <c r="K128" i="36"/>
  <c r="L128" i="36"/>
  <c r="M128" i="36"/>
  <c r="N128" i="36"/>
  <c r="C129" i="36"/>
  <c r="D129" i="36"/>
  <c r="E129" i="36"/>
  <c r="F129" i="36"/>
  <c r="G129" i="36"/>
  <c r="H129" i="36"/>
  <c r="I129" i="36"/>
  <c r="J129" i="36"/>
  <c r="K129" i="36"/>
  <c r="L129" i="36"/>
  <c r="M129" i="36"/>
  <c r="N129" i="36"/>
  <c r="C130" i="36"/>
  <c r="D130" i="36"/>
  <c r="E130" i="36"/>
  <c r="F130" i="36"/>
  <c r="G130" i="36"/>
  <c r="H130" i="36"/>
  <c r="I130" i="36"/>
  <c r="J130" i="36"/>
  <c r="K130" i="36"/>
  <c r="L130" i="36"/>
  <c r="M130" i="36"/>
  <c r="N130" i="36"/>
  <c r="C131" i="36"/>
  <c r="D131" i="36"/>
  <c r="E131" i="36"/>
  <c r="F131" i="36"/>
  <c r="G131" i="36"/>
  <c r="H131" i="36"/>
  <c r="I131" i="36"/>
  <c r="J131" i="36"/>
  <c r="K131" i="36"/>
  <c r="L131" i="36"/>
  <c r="M131" i="36"/>
  <c r="N131" i="36"/>
  <c r="C132" i="36"/>
  <c r="D132" i="36"/>
  <c r="E132" i="36"/>
  <c r="F132" i="36"/>
  <c r="G132" i="36"/>
  <c r="H132" i="36"/>
  <c r="I132" i="36"/>
  <c r="J132" i="36"/>
  <c r="K132" i="36"/>
  <c r="L132" i="36"/>
  <c r="M132" i="36"/>
  <c r="N132" i="36"/>
  <c r="C133" i="36"/>
  <c r="D133" i="36"/>
  <c r="E133" i="36"/>
  <c r="F133" i="36"/>
  <c r="G133" i="36"/>
  <c r="H133" i="36"/>
  <c r="I133" i="36"/>
  <c r="J133" i="36"/>
  <c r="K133" i="36"/>
  <c r="L133" i="36"/>
  <c r="M133" i="36"/>
  <c r="N133" i="36"/>
  <c r="D123" i="36"/>
  <c r="E123" i="36"/>
  <c r="F123" i="36"/>
  <c r="G123" i="36"/>
  <c r="H123" i="36"/>
  <c r="I123" i="36"/>
  <c r="J123" i="36"/>
  <c r="K123" i="36"/>
  <c r="L123" i="36"/>
  <c r="M123" i="36"/>
  <c r="N123" i="36"/>
  <c r="C123" i="36"/>
  <c r="C54" i="36" a="1"/>
  <c r="C54" i="36" s="1"/>
  <c r="C57" i="36" s="1"/>
  <c r="B11" i="36"/>
  <c r="B12" i="36"/>
  <c r="B125" i="36" s="1"/>
  <c r="B13" i="36"/>
  <c r="B126" i="36" s="1"/>
  <c r="B14" i="36"/>
  <c r="B127" i="36" s="1"/>
  <c r="B15" i="36"/>
  <c r="B128" i="36" s="1"/>
  <c r="B16" i="36"/>
  <c r="B129" i="36" s="1"/>
  <c r="B17" i="36"/>
  <c r="B130" i="36" s="1"/>
  <c r="B18" i="36"/>
  <c r="B131" i="36" s="1"/>
  <c r="B19" i="36"/>
  <c r="B132" i="36" s="1"/>
  <c r="B20" i="36"/>
  <c r="B133" i="36" s="1"/>
  <c r="B10" i="36"/>
  <c r="B123" i="36" s="1"/>
  <c r="T191" i="40"/>
  <c r="S191" i="40"/>
  <c r="R191" i="40"/>
  <c r="Q191" i="40"/>
  <c r="P191" i="40"/>
  <c r="L191" i="40"/>
  <c r="M191" i="40" s="1"/>
  <c r="N191" i="40" s="1"/>
  <c r="O191" i="40" s="1"/>
  <c r="G191" i="40"/>
  <c r="A191" i="40" s="1"/>
  <c r="T190" i="40"/>
  <c r="S190" i="40"/>
  <c r="R190" i="40"/>
  <c r="Q190" i="40"/>
  <c r="P190" i="40"/>
  <c r="L190" i="40"/>
  <c r="M190" i="40" s="1"/>
  <c r="N190" i="40" s="1"/>
  <c r="O190" i="40" s="1"/>
  <c r="G190" i="40"/>
  <c r="A190" i="40" s="1"/>
  <c r="T189" i="40"/>
  <c r="S189" i="40"/>
  <c r="R189" i="40"/>
  <c r="Q189" i="40"/>
  <c r="P189" i="40"/>
  <c r="L189" i="40"/>
  <c r="M189" i="40" s="1"/>
  <c r="N189" i="40" s="1"/>
  <c r="O189" i="40" s="1"/>
  <c r="G189" i="40"/>
  <c r="A189" i="40" s="1"/>
  <c r="T188" i="40"/>
  <c r="S188" i="40"/>
  <c r="R188" i="40"/>
  <c r="Q188" i="40"/>
  <c r="P188" i="40"/>
  <c r="L188" i="40"/>
  <c r="M188" i="40" s="1"/>
  <c r="N188" i="40" s="1"/>
  <c r="O188" i="40" s="1"/>
  <c r="G188" i="40"/>
  <c r="A188" i="40" s="1"/>
  <c r="T187" i="40"/>
  <c r="S187" i="40"/>
  <c r="R187" i="40"/>
  <c r="Q187" i="40"/>
  <c r="P187" i="40"/>
  <c r="L187" i="40"/>
  <c r="M187" i="40" s="1"/>
  <c r="N187" i="40" s="1"/>
  <c r="O187" i="40" s="1"/>
  <c r="G187" i="40"/>
  <c r="A187" i="40" s="1"/>
  <c r="T186" i="40"/>
  <c r="S186" i="40"/>
  <c r="R186" i="40"/>
  <c r="Q186" i="40"/>
  <c r="P186" i="40"/>
  <c r="L186" i="40"/>
  <c r="M186" i="40" s="1"/>
  <c r="N186" i="40" s="1"/>
  <c r="O186" i="40" s="1"/>
  <c r="G186" i="40"/>
  <c r="A186" i="40" s="1"/>
  <c r="T185" i="40"/>
  <c r="S185" i="40"/>
  <c r="R185" i="40"/>
  <c r="Q185" i="40"/>
  <c r="P185" i="40"/>
  <c r="L185" i="40"/>
  <c r="M185" i="40" s="1"/>
  <c r="N185" i="40" s="1"/>
  <c r="O185" i="40" s="1"/>
  <c r="G185" i="40"/>
  <c r="A185" i="40" s="1"/>
  <c r="T184" i="40"/>
  <c r="S184" i="40"/>
  <c r="R184" i="40"/>
  <c r="Q184" i="40"/>
  <c r="P184" i="40"/>
  <c r="L184" i="40"/>
  <c r="M184" i="40" s="1"/>
  <c r="N184" i="40" s="1"/>
  <c r="O184" i="40" s="1"/>
  <c r="G184" i="40"/>
  <c r="A184" i="40" s="1"/>
  <c r="T183" i="40"/>
  <c r="S183" i="40"/>
  <c r="R183" i="40"/>
  <c r="Q183" i="40"/>
  <c r="P183" i="40"/>
  <c r="L183" i="40"/>
  <c r="M183" i="40" s="1"/>
  <c r="N183" i="40" s="1"/>
  <c r="O183" i="40" s="1"/>
  <c r="G183" i="40"/>
  <c r="A183" i="40" s="1"/>
  <c r="T182" i="40"/>
  <c r="S182" i="40"/>
  <c r="R182" i="40"/>
  <c r="Q182" i="40"/>
  <c r="P182" i="40"/>
  <c r="L182" i="40"/>
  <c r="M182" i="40" s="1"/>
  <c r="N182" i="40" s="1"/>
  <c r="O182" i="40" s="1"/>
  <c r="G182" i="40"/>
  <c r="A182" i="40" s="1"/>
  <c r="T181" i="40"/>
  <c r="S181" i="40"/>
  <c r="R181" i="40"/>
  <c r="Q181" i="40"/>
  <c r="P181" i="40"/>
  <c r="L181" i="40"/>
  <c r="M181" i="40" s="1"/>
  <c r="N181" i="40" s="1"/>
  <c r="O181" i="40" s="1"/>
  <c r="G181" i="40"/>
  <c r="A181" i="40" s="1"/>
  <c r="T180" i="40"/>
  <c r="S180" i="40"/>
  <c r="R180" i="40"/>
  <c r="Q180" i="40"/>
  <c r="P180" i="40"/>
  <c r="L180" i="40"/>
  <c r="M180" i="40" s="1"/>
  <c r="N180" i="40" s="1"/>
  <c r="O180" i="40" s="1"/>
  <c r="G180" i="40"/>
  <c r="A180" i="40" s="1"/>
  <c r="T179" i="40"/>
  <c r="S179" i="40"/>
  <c r="R179" i="40"/>
  <c r="Q179" i="40"/>
  <c r="P179" i="40"/>
  <c r="L179" i="40"/>
  <c r="M179" i="40" s="1"/>
  <c r="N179" i="40" s="1"/>
  <c r="O179" i="40" s="1"/>
  <c r="G179" i="40"/>
  <c r="A179" i="40" s="1"/>
  <c r="T178" i="40"/>
  <c r="S178" i="40"/>
  <c r="R178" i="40"/>
  <c r="Q178" i="40"/>
  <c r="P178" i="40"/>
  <c r="L178" i="40"/>
  <c r="M178" i="40" s="1"/>
  <c r="N178" i="40" s="1"/>
  <c r="O178" i="40" s="1"/>
  <c r="G178" i="40"/>
  <c r="A178" i="40" s="1"/>
  <c r="T177" i="40"/>
  <c r="S177" i="40"/>
  <c r="R177" i="40"/>
  <c r="Q177" i="40"/>
  <c r="P177" i="40"/>
  <c r="L177" i="40"/>
  <c r="M177" i="40" s="1"/>
  <c r="N177" i="40" s="1"/>
  <c r="O177" i="40" s="1"/>
  <c r="G177" i="40"/>
  <c r="A177" i="40" s="1"/>
  <c r="T176" i="40"/>
  <c r="S176" i="40"/>
  <c r="R176" i="40"/>
  <c r="Q176" i="40"/>
  <c r="P176" i="40"/>
  <c r="L176" i="40"/>
  <c r="M176" i="40" s="1"/>
  <c r="N176" i="40" s="1"/>
  <c r="O176" i="40" s="1"/>
  <c r="G176" i="40"/>
  <c r="A176" i="40" s="1"/>
  <c r="T175" i="40"/>
  <c r="S175" i="40"/>
  <c r="R175" i="40"/>
  <c r="Q175" i="40"/>
  <c r="P175" i="40"/>
  <c r="L175" i="40"/>
  <c r="M175" i="40" s="1"/>
  <c r="N175" i="40" s="1"/>
  <c r="O175" i="40" s="1"/>
  <c r="G175" i="40"/>
  <c r="A175" i="40" s="1"/>
  <c r="T174" i="40"/>
  <c r="S174" i="40"/>
  <c r="R174" i="40"/>
  <c r="Q174" i="40"/>
  <c r="P174" i="40"/>
  <c r="L174" i="40"/>
  <c r="M174" i="40" s="1"/>
  <c r="N174" i="40" s="1"/>
  <c r="O174" i="40" s="1"/>
  <c r="G174" i="40"/>
  <c r="A174" i="40" s="1"/>
  <c r="T173" i="40"/>
  <c r="S173" i="40"/>
  <c r="R173" i="40"/>
  <c r="Q173" i="40"/>
  <c r="P173" i="40"/>
  <c r="L173" i="40"/>
  <c r="M173" i="40" s="1"/>
  <c r="N173" i="40" s="1"/>
  <c r="O173" i="40" s="1"/>
  <c r="G173" i="40"/>
  <c r="A173" i="40" s="1"/>
  <c r="T172" i="40"/>
  <c r="S172" i="40"/>
  <c r="R172" i="40"/>
  <c r="Q172" i="40"/>
  <c r="P172" i="40"/>
  <c r="L172" i="40"/>
  <c r="M172" i="40" s="1"/>
  <c r="N172" i="40" s="1"/>
  <c r="O172" i="40" s="1"/>
  <c r="G172" i="40"/>
  <c r="A172" i="40" s="1"/>
  <c r="T171" i="40"/>
  <c r="S171" i="40"/>
  <c r="R171" i="40"/>
  <c r="Q171" i="40"/>
  <c r="P171" i="40"/>
  <c r="L171" i="40"/>
  <c r="M171" i="40" s="1"/>
  <c r="N171" i="40" s="1"/>
  <c r="O171" i="40" s="1"/>
  <c r="G171" i="40"/>
  <c r="A171" i="40" s="1"/>
  <c r="T170" i="40"/>
  <c r="S170" i="40"/>
  <c r="R170" i="40"/>
  <c r="Q170" i="40"/>
  <c r="P170" i="40"/>
  <c r="L170" i="40"/>
  <c r="M170" i="40" s="1"/>
  <c r="N170" i="40" s="1"/>
  <c r="O170" i="40" s="1"/>
  <c r="G170" i="40"/>
  <c r="A170" i="40" s="1"/>
  <c r="T169" i="40"/>
  <c r="S169" i="40"/>
  <c r="R169" i="40"/>
  <c r="Q169" i="40"/>
  <c r="P169" i="40"/>
  <c r="L169" i="40"/>
  <c r="M169" i="40" s="1"/>
  <c r="N169" i="40" s="1"/>
  <c r="O169" i="40" s="1"/>
  <c r="G169" i="40"/>
  <c r="A169" i="40" s="1"/>
  <c r="T168" i="40"/>
  <c r="S168" i="40"/>
  <c r="R168" i="40"/>
  <c r="Q168" i="40"/>
  <c r="P168" i="40"/>
  <c r="L168" i="40"/>
  <c r="M168" i="40" s="1"/>
  <c r="N168" i="40" s="1"/>
  <c r="O168" i="40" s="1"/>
  <c r="G168" i="40"/>
  <c r="A168" i="40" s="1"/>
  <c r="T167" i="40"/>
  <c r="S167" i="40"/>
  <c r="R167" i="40"/>
  <c r="Q167" i="40"/>
  <c r="P167" i="40"/>
  <c r="L167" i="40"/>
  <c r="M167" i="40" s="1"/>
  <c r="N167" i="40" s="1"/>
  <c r="O167" i="40" s="1"/>
  <c r="G167" i="40"/>
  <c r="A167" i="40" s="1"/>
  <c r="T166" i="40"/>
  <c r="S166" i="40"/>
  <c r="R166" i="40"/>
  <c r="Q166" i="40"/>
  <c r="P166" i="40"/>
  <c r="L166" i="40"/>
  <c r="M166" i="40" s="1"/>
  <c r="N166" i="40" s="1"/>
  <c r="O166" i="40" s="1"/>
  <c r="G166" i="40"/>
  <c r="A166" i="40" s="1"/>
  <c r="T165" i="40"/>
  <c r="S165" i="40"/>
  <c r="R165" i="40"/>
  <c r="Q165" i="40"/>
  <c r="P165" i="40"/>
  <c r="L165" i="40"/>
  <c r="M165" i="40" s="1"/>
  <c r="N165" i="40" s="1"/>
  <c r="O165" i="40" s="1"/>
  <c r="G165" i="40"/>
  <c r="A165" i="40" s="1"/>
  <c r="T164" i="40"/>
  <c r="S164" i="40"/>
  <c r="R164" i="40"/>
  <c r="Q164" i="40"/>
  <c r="P164" i="40"/>
  <c r="L164" i="40"/>
  <c r="M164" i="40" s="1"/>
  <c r="N164" i="40" s="1"/>
  <c r="O164" i="40" s="1"/>
  <c r="G164" i="40"/>
  <c r="A164" i="40" s="1"/>
  <c r="T163" i="40"/>
  <c r="S163" i="40"/>
  <c r="R163" i="40"/>
  <c r="Q163" i="40"/>
  <c r="P163" i="40"/>
  <c r="L163" i="40"/>
  <c r="M163" i="40" s="1"/>
  <c r="N163" i="40" s="1"/>
  <c r="O163" i="40" s="1"/>
  <c r="G163" i="40"/>
  <c r="A163" i="40" s="1"/>
  <c r="T162" i="40"/>
  <c r="S162" i="40"/>
  <c r="R162" i="40"/>
  <c r="Q162" i="40"/>
  <c r="P162" i="40"/>
  <c r="L162" i="40"/>
  <c r="M162" i="40" s="1"/>
  <c r="N162" i="40" s="1"/>
  <c r="O162" i="40" s="1"/>
  <c r="G162" i="40"/>
  <c r="A162" i="40" s="1"/>
  <c r="T161" i="40"/>
  <c r="S161" i="40"/>
  <c r="R161" i="40"/>
  <c r="Q161" i="40"/>
  <c r="P161" i="40"/>
  <c r="L161" i="40"/>
  <c r="M161" i="40" s="1"/>
  <c r="N161" i="40" s="1"/>
  <c r="O161" i="40" s="1"/>
  <c r="G161" i="40"/>
  <c r="A161" i="40" s="1"/>
  <c r="T160" i="40"/>
  <c r="S160" i="40"/>
  <c r="R160" i="40"/>
  <c r="Q160" i="40"/>
  <c r="P160" i="40"/>
  <c r="L160" i="40"/>
  <c r="M160" i="40" s="1"/>
  <c r="N160" i="40" s="1"/>
  <c r="O160" i="40" s="1"/>
  <c r="G160" i="40"/>
  <c r="A160" i="40" s="1"/>
  <c r="T159" i="40"/>
  <c r="S159" i="40"/>
  <c r="R159" i="40"/>
  <c r="Q159" i="40"/>
  <c r="P159" i="40"/>
  <c r="L159" i="40"/>
  <c r="M159" i="40" s="1"/>
  <c r="N159" i="40" s="1"/>
  <c r="O159" i="40" s="1"/>
  <c r="G159" i="40"/>
  <c r="A159" i="40" s="1"/>
  <c r="T158" i="40"/>
  <c r="S158" i="40"/>
  <c r="R158" i="40"/>
  <c r="Q158" i="40"/>
  <c r="P158" i="40"/>
  <c r="L158" i="40"/>
  <c r="M158" i="40" s="1"/>
  <c r="N158" i="40" s="1"/>
  <c r="O158" i="40" s="1"/>
  <c r="G158" i="40"/>
  <c r="A158" i="40" s="1"/>
  <c r="T157" i="40"/>
  <c r="S157" i="40"/>
  <c r="R157" i="40"/>
  <c r="Q157" i="40"/>
  <c r="P157" i="40"/>
  <c r="L157" i="40"/>
  <c r="M157" i="40" s="1"/>
  <c r="N157" i="40" s="1"/>
  <c r="O157" i="40" s="1"/>
  <c r="G157" i="40"/>
  <c r="A157" i="40" s="1"/>
  <c r="T156" i="40"/>
  <c r="S156" i="40"/>
  <c r="R156" i="40"/>
  <c r="Q156" i="40"/>
  <c r="P156" i="40"/>
  <c r="L156" i="40"/>
  <c r="M156" i="40" s="1"/>
  <c r="N156" i="40" s="1"/>
  <c r="O156" i="40" s="1"/>
  <c r="G156" i="40"/>
  <c r="A156" i="40" s="1"/>
  <c r="T155" i="40"/>
  <c r="S155" i="40"/>
  <c r="R155" i="40"/>
  <c r="Q155" i="40"/>
  <c r="P155" i="40"/>
  <c r="L155" i="40"/>
  <c r="M155" i="40" s="1"/>
  <c r="N155" i="40" s="1"/>
  <c r="O155" i="40" s="1"/>
  <c r="G155" i="40"/>
  <c r="A155" i="40" s="1"/>
  <c r="T154" i="40"/>
  <c r="S154" i="40"/>
  <c r="R154" i="40"/>
  <c r="Q154" i="40"/>
  <c r="P154" i="40"/>
  <c r="L154" i="40"/>
  <c r="M154" i="40" s="1"/>
  <c r="N154" i="40" s="1"/>
  <c r="O154" i="40" s="1"/>
  <c r="G154" i="40"/>
  <c r="A154" i="40" s="1"/>
  <c r="T153" i="40"/>
  <c r="S153" i="40"/>
  <c r="R153" i="40"/>
  <c r="Q153" i="40"/>
  <c r="P153" i="40"/>
  <c r="L153" i="40"/>
  <c r="M153" i="40" s="1"/>
  <c r="N153" i="40" s="1"/>
  <c r="O153" i="40" s="1"/>
  <c r="G153" i="40"/>
  <c r="A153" i="40" s="1"/>
  <c r="T152" i="40"/>
  <c r="S152" i="40"/>
  <c r="R152" i="40"/>
  <c r="Q152" i="40"/>
  <c r="P152" i="40"/>
  <c r="L152" i="40"/>
  <c r="M152" i="40" s="1"/>
  <c r="N152" i="40" s="1"/>
  <c r="O152" i="40" s="1"/>
  <c r="G152" i="40"/>
  <c r="A152" i="40" s="1"/>
  <c r="T151" i="40"/>
  <c r="S151" i="40"/>
  <c r="R151" i="40"/>
  <c r="Q151" i="40"/>
  <c r="P151" i="40"/>
  <c r="L151" i="40"/>
  <c r="M151" i="40" s="1"/>
  <c r="N151" i="40" s="1"/>
  <c r="O151" i="40" s="1"/>
  <c r="G151" i="40"/>
  <c r="A151" i="40" s="1"/>
  <c r="T150" i="40"/>
  <c r="S150" i="40"/>
  <c r="R150" i="40"/>
  <c r="Q150" i="40"/>
  <c r="P150" i="40"/>
  <c r="L150" i="40"/>
  <c r="M150" i="40" s="1"/>
  <c r="N150" i="40" s="1"/>
  <c r="O150" i="40" s="1"/>
  <c r="G150" i="40"/>
  <c r="A150" i="40" s="1"/>
  <c r="T149" i="40"/>
  <c r="S149" i="40"/>
  <c r="R149" i="40"/>
  <c r="Q149" i="40"/>
  <c r="P149" i="40"/>
  <c r="L149" i="40"/>
  <c r="M149" i="40" s="1"/>
  <c r="N149" i="40" s="1"/>
  <c r="O149" i="40" s="1"/>
  <c r="G149" i="40"/>
  <c r="A149" i="40" s="1"/>
  <c r="T148" i="40"/>
  <c r="S148" i="40"/>
  <c r="R148" i="40"/>
  <c r="Q148" i="40"/>
  <c r="P148" i="40"/>
  <c r="L148" i="40"/>
  <c r="M148" i="40" s="1"/>
  <c r="N148" i="40" s="1"/>
  <c r="O148" i="40" s="1"/>
  <c r="G148" i="40"/>
  <c r="A148" i="40" s="1"/>
  <c r="T147" i="40"/>
  <c r="S147" i="40"/>
  <c r="R147" i="40"/>
  <c r="Q147" i="40"/>
  <c r="P147" i="40"/>
  <c r="L147" i="40"/>
  <c r="M147" i="40" s="1"/>
  <c r="N147" i="40" s="1"/>
  <c r="O147" i="40" s="1"/>
  <c r="G147" i="40"/>
  <c r="A147" i="40" s="1"/>
  <c r="T146" i="40"/>
  <c r="S146" i="40"/>
  <c r="R146" i="40"/>
  <c r="Q146" i="40"/>
  <c r="P146" i="40"/>
  <c r="L146" i="40"/>
  <c r="M146" i="40" s="1"/>
  <c r="N146" i="40" s="1"/>
  <c r="O146" i="40" s="1"/>
  <c r="G146" i="40"/>
  <c r="A146" i="40" s="1"/>
  <c r="T145" i="40"/>
  <c r="S145" i="40"/>
  <c r="R145" i="40"/>
  <c r="Q145" i="40"/>
  <c r="P145" i="40"/>
  <c r="L145" i="40"/>
  <c r="M145" i="40" s="1"/>
  <c r="N145" i="40" s="1"/>
  <c r="O145" i="40" s="1"/>
  <c r="G145" i="40"/>
  <c r="A145" i="40" s="1"/>
  <c r="T144" i="40"/>
  <c r="S144" i="40"/>
  <c r="R144" i="40"/>
  <c r="Q144" i="40"/>
  <c r="P144" i="40"/>
  <c r="L144" i="40"/>
  <c r="M144" i="40" s="1"/>
  <c r="N144" i="40" s="1"/>
  <c r="O144" i="40" s="1"/>
  <c r="G144" i="40"/>
  <c r="A144" i="40" s="1"/>
  <c r="T143" i="40"/>
  <c r="S143" i="40"/>
  <c r="R143" i="40"/>
  <c r="Q143" i="40"/>
  <c r="P143" i="40"/>
  <c r="L143" i="40"/>
  <c r="M143" i="40" s="1"/>
  <c r="N143" i="40" s="1"/>
  <c r="O143" i="40" s="1"/>
  <c r="G143" i="40"/>
  <c r="A143" i="40" s="1"/>
  <c r="T142" i="40"/>
  <c r="S142" i="40"/>
  <c r="R142" i="40"/>
  <c r="Q142" i="40"/>
  <c r="P142" i="40"/>
  <c r="L142" i="40"/>
  <c r="M142" i="40" s="1"/>
  <c r="N142" i="40" s="1"/>
  <c r="O142" i="40" s="1"/>
  <c r="G142" i="40"/>
  <c r="A142" i="40" s="1"/>
  <c r="T141" i="40"/>
  <c r="S141" i="40"/>
  <c r="R141" i="40"/>
  <c r="Q141" i="40"/>
  <c r="P141" i="40"/>
  <c r="L141" i="40"/>
  <c r="M141" i="40" s="1"/>
  <c r="N141" i="40" s="1"/>
  <c r="O141" i="40" s="1"/>
  <c r="G141" i="40"/>
  <c r="A141" i="40" s="1"/>
  <c r="T140" i="40"/>
  <c r="S140" i="40"/>
  <c r="R140" i="40"/>
  <c r="Q140" i="40"/>
  <c r="P140" i="40"/>
  <c r="L140" i="40"/>
  <c r="M140" i="40" s="1"/>
  <c r="N140" i="40" s="1"/>
  <c r="O140" i="40" s="1"/>
  <c r="G140" i="40"/>
  <c r="A140" i="40" s="1"/>
  <c r="T139" i="40"/>
  <c r="S139" i="40"/>
  <c r="R139" i="40"/>
  <c r="Q139" i="40"/>
  <c r="P139" i="40"/>
  <c r="L139" i="40"/>
  <c r="M139" i="40" s="1"/>
  <c r="N139" i="40" s="1"/>
  <c r="O139" i="40" s="1"/>
  <c r="G139" i="40"/>
  <c r="A139" i="40" s="1"/>
  <c r="T138" i="40"/>
  <c r="S138" i="40"/>
  <c r="R138" i="40"/>
  <c r="Q138" i="40"/>
  <c r="P138" i="40"/>
  <c r="L138" i="40"/>
  <c r="M138" i="40" s="1"/>
  <c r="N138" i="40" s="1"/>
  <c r="O138" i="40" s="1"/>
  <c r="G138" i="40"/>
  <c r="A138" i="40" s="1"/>
  <c r="T137" i="40"/>
  <c r="S137" i="40"/>
  <c r="R137" i="40"/>
  <c r="Q137" i="40"/>
  <c r="P137" i="40"/>
  <c r="L137" i="40"/>
  <c r="M137" i="40" s="1"/>
  <c r="N137" i="40" s="1"/>
  <c r="O137" i="40" s="1"/>
  <c r="G137" i="40"/>
  <c r="A137" i="40" s="1"/>
  <c r="T136" i="40"/>
  <c r="S136" i="40"/>
  <c r="R136" i="40"/>
  <c r="Q136" i="40"/>
  <c r="P136" i="40"/>
  <c r="L136" i="40"/>
  <c r="M136" i="40" s="1"/>
  <c r="N136" i="40" s="1"/>
  <c r="O136" i="40" s="1"/>
  <c r="G136" i="40"/>
  <c r="A136" i="40" s="1"/>
  <c r="T135" i="40"/>
  <c r="S135" i="40"/>
  <c r="R135" i="40"/>
  <c r="Q135" i="40"/>
  <c r="P135" i="40"/>
  <c r="L135" i="40"/>
  <c r="M135" i="40" s="1"/>
  <c r="N135" i="40" s="1"/>
  <c r="O135" i="40" s="1"/>
  <c r="G135" i="40"/>
  <c r="A135" i="40" s="1"/>
  <c r="T134" i="40"/>
  <c r="S134" i="40"/>
  <c r="R134" i="40"/>
  <c r="Q134" i="40"/>
  <c r="P134" i="40"/>
  <c r="L134" i="40"/>
  <c r="M134" i="40" s="1"/>
  <c r="N134" i="40" s="1"/>
  <c r="O134" i="40" s="1"/>
  <c r="G134" i="40"/>
  <c r="A134" i="40" s="1"/>
  <c r="T133" i="40"/>
  <c r="S133" i="40"/>
  <c r="R133" i="40"/>
  <c r="Q133" i="40"/>
  <c r="P133" i="40"/>
  <c r="L133" i="40"/>
  <c r="M133" i="40" s="1"/>
  <c r="N133" i="40" s="1"/>
  <c r="O133" i="40" s="1"/>
  <c r="G133" i="40"/>
  <c r="A133" i="40" s="1"/>
  <c r="T132" i="40"/>
  <c r="S132" i="40"/>
  <c r="R132" i="40"/>
  <c r="Q132" i="40"/>
  <c r="P132" i="40"/>
  <c r="L132" i="40"/>
  <c r="M132" i="40" s="1"/>
  <c r="N132" i="40" s="1"/>
  <c r="O132" i="40" s="1"/>
  <c r="G132" i="40"/>
  <c r="A132" i="40" s="1"/>
  <c r="T131" i="40"/>
  <c r="S131" i="40"/>
  <c r="R131" i="40"/>
  <c r="Q131" i="40"/>
  <c r="P131" i="40"/>
  <c r="L131" i="40"/>
  <c r="M131" i="40" s="1"/>
  <c r="N131" i="40" s="1"/>
  <c r="O131" i="40" s="1"/>
  <c r="G131" i="40"/>
  <c r="A131" i="40" s="1"/>
  <c r="T130" i="40"/>
  <c r="S130" i="40"/>
  <c r="R130" i="40"/>
  <c r="Q130" i="40"/>
  <c r="P130" i="40"/>
  <c r="L130" i="40"/>
  <c r="M130" i="40" s="1"/>
  <c r="N130" i="40" s="1"/>
  <c r="O130" i="40" s="1"/>
  <c r="G130" i="40"/>
  <c r="A130" i="40" s="1"/>
  <c r="T129" i="40"/>
  <c r="S129" i="40"/>
  <c r="R129" i="40"/>
  <c r="Q129" i="40"/>
  <c r="P129" i="40"/>
  <c r="L129" i="40"/>
  <c r="M129" i="40" s="1"/>
  <c r="N129" i="40" s="1"/>
  <c r="O129" i="40" s="1"/>
  <c r="G129" i="40"/>
  <c r="A129" i="40" s="1"/>
  <c r="T128" i="40"/>
  <c r="S128" i="40"/>
  <c r="R128" i="40"/>
  <c r="Q128" i="40"/>
  <c r="P128" i="40"/>
  <c r="L128" i="40"/>
  <c r="M128" i="40" s="1"/>
  <c r="N128" i="40" s="1"/>
  <c r="O128" i="40" s="1"/>
  <c r="G128" i="40"/>
  <c r="A128" i="40" s="1"/>
  <c r="T127" i="40"/>
  <c r="S127" i="40"/>
  <c r="R127" i="40"/>
  <c r="Q127" i="40"/>
  <c r="P127" i="40"/>
  <c r="L127" i="40"/>
  <c r="M127" i="40" s="1"/>
  <c r="N127" i="40" s="1"/>
  <c r="O127" i="40" s="1"/>
  <c r="G127" i="40"/>
  <c r="A127" i="40" s="1"/>
  <c r="T126" i="40"/>
  <c r="S126" i="40"/>
  <c r="R126" i="40"/>
  <c r="Q126" i="40"/>
  <c r="P126" i="40"/>
  <c r="L126" i="40"/>
  <c r="M126" i="40" s="1"/>
  <c r="N126" i="40" s="1"/>
  <c r="O126" i="40" s="1"/>
  <c r="G126" i="40"/>
  <c r="A126" i="40" s="1"/>
  <c r="T125" i="40"/>
  <c r="S125" i="40"/>
  <c r="R125" i="40"/>
  <c r="Q125" i="40"/>
  <c r="P125" i="40"/>
  <c r="L125" i="40"/>
  <c r="M125" i="40" s="1"/>
  <c r="N125" i="40" s="1"/>
  <c r="O125" i="40" s="1"/>
  <c r="G125" i="40"/>
  <c r="A125" i="40" s="1"/>
  <c r="T124" i="40"/>
  <c r="S124" i="40"/>
  <c r="R124" i="40"/>
  <c r="Q124" i="40"/>
  <c r="P124" i="40"/>
  <c r="L124" i="40"/>
  <c r="M124" i="40" s="1"/>
  <c r="N124" i="40" s="1"/>
  <c r="O124" i="40" s="1"/>
  <c r="G124" i="40"/>
  <c r="A124" i="40" s="1"/>
  <c r="T123" i="40"/>
  <c r="S123" i="40"/>
  <c r="R123" i="40"/>
  <c r="Q123" i="40"/>
  <c r="P123" i="40"/>
  <c r="L123" i="40"/>
  <c r="M123" i="40" s="1"/>
  <c r="N123" i="40" s="1"/>
  <c r="O123" i="40" s="1"/>
  <c r="G123" i="40"/>
  <c r="A123" i="40" s="1"/>
  <c r="T122" i="40"/>
  <c r="S122" i="40"/>
  <c r="R122" i="40"/>
  <c r="Q122" i="40"/>
  <c r="P122" i="40"/>
  <c r="L122" i="40"/>
  <c r="M122" i="40" s="1"/>
  <c r="N122" i="40" s="1"/>
  <c r="O122" i="40" s="1"/>
  <c r="G122" i="40"/>
  <c r="A122" i="40" s="1"/>
  <c r="T121" i="40"/>
  <c r="S121" i="40"/>
  <c r="R121" i="40"/>
  <c r="Q121" i="40"/>
  <c r="P121" i="40"/>
  <c r="L121" i="40"/>
  <c r="M121" i="40" s="1"/>
  <c r="N121" i="40" s="1"/>
  <c r="O121" i="40" s="1"/>
  <c r="G121" i="40"/>
  <c r="A121" i="40" s="1"/>
  <c r="T120" i="40"/>
  <c r="S120" i="40"/>
  <c r="R120" i="40"/>
  <c r="Q120" i="40"/>
  <c r="P120" i="40"/>
  <c r="L120" i="40"/>
  <c r="M120" i="40" s="1"/>
  <c r="N120" i="40" s="1"/>
  <c r="O120" i="40" s="1"/>
  <c r="G120" i="40"/>
  <c r="A120" i="40"/>
  <c r="T119" i="40"/>
  <c r="S119" i="40"/>
  <c r="R119" i="40"/>
  <c r="Q119" i="40"/>
  <c r="P119" i="40"/>
  <c r="L119" i="40"/>
  <c r="M119" i="40" s="1"/>
  <c r="N119" i="40" s="1"/>
  <c r="O119" i="40" s="1"/>
  <c r="G119" i="40"/>
  <c r="A119" i="40" s="1"/>
  <c r="T118" i="40"/>
  <c r="S118" i="40"/>
  <c r="R118" i="40"/>
  <c r="Q118" i="40"/>
  <c r="P118" i="40"/>
  <c r="L118" i="40"/>
  <c r="M118" i="40" s="1"/>
  <c r="N118" i="40" s="1"/>
  <c r="O118" i="40" s="1"/>
  <c r="G118" i="40"/>
  <c r="A118" i="40" s="1"/>
  <c r="T117" i="40"/>
  <c r="S117" i="40"/>
  <c r="R117" i="40"/>
  <c r="Q117" i="40"/>
  <c r="P117" i="40"/>
  <c r="L117" i="40"/>
  <c r="M117" i="40" s="1"/>
  <c r="N117" i="40" s="1"/>
  <c r="O117" i="40" s="1"/>
  <c r="G117" i="40"/>
  <c r="A117" i="40" s="1"/>
  <c r="T116" i="40"/>
  <c r="S116" i="40"/>
  <c r="R116" i="40"/>
  <c r="Q116" i="40"/>
  <c r="P116" i="40"/>
  <c r="L116" i="40"/>
  <c r="M116" i="40" s="1"/>
  <c r="N116" i="40" s="1"/>
  <c r="O116" i="40" s="1"/>
  <c r="G116" i="40"/>
  <c r="A116" i="40" s="1"/>
  <c r="T115" i="40"/>
  <c r="S115" i="40"/>
  <c r="R115" i="40"/>
  <c r="Q115" i="40"/>
  <c r="P115" i="40"/>
  <c r="L115" i="40"/>
  <c r="M115" i="40" s="1"/>
  <c r="N115" i="40" s="1"/>
  <c r="O115" i="40" s="1"/>
  <c r="G115" i="40"/>
  <c r="A115" i="40" s="1"/>
  <c r="T114" i="40"/>
  <c r="S114" i="40"/>
  <c r="R114" i="40"/>
  <c r="Q114" i="40"/>
  <c r="P114" i="40"/>
  <c r="L114" i="40"/>
  <c r="M114" i="40" s="1"/>
  <c r="N114" i="40" s="1"/>
  <c r="O114" i="40" s="1"/>
  <c r="G114" i="40"/>
  <c r="A114" i="40" s="1"/>
  <c r="T113" i="40"/>
  <c r="S113" i="40"/>
  <c r="R113" i="40"/>
  <c r="Q113" i="40"/>
  <c r="P113" i="40"/>
  <c r="L113" i="40"/>
  <c r="M113" i="40" s="1"/>
  <c r="N113" i="40" s="1"/>
  <c r="O113" i="40" s="1"/>
  <c r="G113" i="40"/>
  <c r="A113" i="40" s="1"/>
  <c r="T112" i="40"/>
  <c r="S112" i="40"/>
  <c r="R112" i="40"/>
  <c r="Q112" i="40"/>
  <c r="P112" i="40"/>
  <c r="L112" i="40"/>
  <c r="M112" i="40" s="1"/>
  <c r="N112" i="40" s="1"/>
  <c r="O112" i="40" s="1"/>
  <c r="G112" i="40"/>
  <c r="A112" i="40" s="1"/>
  <c r="T111" i="40"/>
  <c r="S111" i="40"/>
  <c r="R111" i="40"/>
  <c r="Q111" i="40"/>
  <c r="P111" i="40"/>
  <c r="L111" i="40"/>
  <c r="M111" i="40" s="1"/>
  <c r="N111" i="40" s="1"/>
  <c r="O111" i="40" s="1"/>
  <c r="G111" i="40"/>
  <c r="A111" i="40" s="1"/>
  <c r="T110" i="40"/>
  <c r="S110" i="40"/>
  <c r="R110" i="40"/>
  <c r="Q110" i="40"/>
  <c r="P110" i="40"/>
  <c r="L110" i="40"/>
  <c r="M110" i="40" s="1"/>
  <c r="N110" i="40" s="1"/>
  <c r="O110" i="40" s="1"/>
  <c r="G110" i="40"/>
  <c r="A110" i="40" s="1"/>
  <c r="T109" i="40"/>
  <c r="S109" i="40"/>
  <c r="R109" i="40"/>
  <c r="Q109" i="40"/>
  <c r="P109" i="40"/>
  <c r="L109" i="40"/>
  <c r="M109" i="40" s="1"/>
  <c r="N109" i="40" s="1"/>
  <c r="O109" i="40" s="1"/>
  <c r="G109" i="40"/>
  <c r="A109" i="40" s="1"/>
  <c r="T108" i="40"/>
  <c r="S108" i="40"/>
  <c r="R108" i="40"/>
  <c r="Q108" i="40"/>
  <c r="P108" i="40"/>
  <c r="L108" i="40"/>
  <c r="M108" i="40" s="1"/>
  <c r="N108" i="40" s="1"/>
  <c r="O108" i="40" s="1"/>
  <c r="G108" i="40"/>
  <c r="A108" i="40" s="1"/>
  <c r="T107" i="40"/>
  <c r="S107" i="40"/>
  <c r="R107" i="40"/>
  <c r="Q107" i="40"/>
  <c r="P107" i="40"/>
  <c r="L107" i="40"/>
  <c r="M107" i="40" s="1"/>
  <c r="N107" i="40" s="1"/>
  <c r="O107" i="40" s="1"/>
  <c r="G107" i="40"/>
  <c r="A107" i="40" s="1"/>
  <c r="T106" i="40"/>
  <c r="S106" i="40"/>
  <c r="R106" i="40"/>
  <c r="Q106" i="40"/>
  <c r="P106" i="40"/>
  <c r="L106" i="40"/>
  <c r="M106" i="40" s="1"/>
  <c r="N106" i="40" s="1"/>
  <c r="O106" i="40" s="1"/>
  <c r="G106" i="40"/>
  <c r="A106" i="40" s="1"/>
  <c r="T105" i="40"/>
  <c r="S105" i="40"/>
  <c r="R105" i="40"/>
  <c r="Q105" i="40"/>
  <c r="P105" i="40"/>
  <c r="L105" i="40"/>
  <c r="M105" i="40" s="1"/>
  <c r="N105" i="40" s="1"/>
  <c r="O105" i="40" s="1"/>
  <c r="G105" i="40"/>
  <c r="A105" i="40" s="1"/>
  <c r="T104" i="40"/>
  <c r="S104" i="40"/>
  <c r="R104" i="40"/>
  <c r="Q104" i="40"/>
  <c r="P104" i="40"/>
  <c r="L104" i="40"/>
  <c r="M104" i="40" s="1"/>
  <c r="N104" i="40" s="1"/>
  <c r="O104" i="40" s="1"/>
  <c r="G104" i="40"/>
  <c r="A104" i="40" s="1"/>
  <c r="T103" i="40"/>
  <c r="S103" i="40"/>
  <c r="R103" i="40"/>
  <c r="Q103" i="40"/>
  <c r="P103" i="40"/>
  <c r="L103" i="40"/>
  <c r="M103" i="40" s="1"/>
  <c r="N103" i="40" s="1"/>
  <c r="O103" i="40" s="1"/>
  <c r="G103" i="40"/>
  <c r="A103" i="40" s="1"/>
  <c r="T102" i="40"/>
  <c r="S102" i="40"/>
  <c r="R102" i="40"/>
  <c r="Q102" i="40"/>
  <c r="P102" i="40"/>
  <c r="L102" i="40"/>
  <c r="M102" i="40" s="1"/>
  <c r="N102" i="40" s="1"/>
  <c r="O102" i="40" s="1"/>
  <c r="G102" i="40"/>
  <c r="A102" i="40" s="1"/>
  <c r="T101" i="40"/>
  <c r="S101" i="40"/>
  <c r="R101" i="40"/>
  <c r="Q101" i="40"/>
  <c r="P101" i="40"/>
  <c r="L101" i="40"/>
  <c r="M101" i="40" s="1"/>
  <c r="N101" i="40" s="1"/>
  <c r="O101" i="40" s="1"/>
  <c r="G101" i="40"/>
  <c r="A101" i="40" s="1"/>
  <c r="T100" i="40"/>
  <c r="S100" i="40"/>
  <c r="R100" i="40"/>
  <c r="Q100" i="40"/>
  <c r="P100" i="40"/>
  <c r="L100" i="40"/>
  <c r="M100" i="40" s="1"/>
  <c r="N100" i="40" s="1"/>
  <c r="O100" i="40" s="1"/>
  <c r="G100" i="40"/>
  <c r="A100" i="40" s="1"/>
  <c r="T99" i="40"/>
  <c r="S99" i="40"/>
  <c r="R99" i="40"/>
  <c r="Q99" i="40"/>
  <c r="P99" i="40"/>
  <c r="L99" i="40"/>
  <c r="M99" i="40" s="1"/>
  <c r="N99" i="40" s="1"/>
  <c r="O99" i="40" s="1"/>
  <c r="G99" i="40"/>
  <c r="A99" i="40" s="1"/>
  <c r="T98" i="40"/>
  <c r="S98" i="40"/>
  <c r="R98" i="40"/>
  <c r="Q98" i="40"/>
  <c r="P98" i="40"/>
  <c r="L98" i="40"/>
  <c r="M98" i="40" s="1"/>
  <c r="N98" i="40" s="1"/>
  <c r="O98" i="40" s="1"/>
  <c r="G98" i="40"/>
  <c r="A98" i="40" s="1"/>
  <c r="T97" i="40"/>
  <c r="S97" i="40"/>
  <c r="R97" i="40"/>
  <c r="Q97" i="40"/>
  <c r="P97" i="40"/>
  <c r="L97" i="40"/>
  <c r="M97" i="40" s="1"/>
  <c r="N97" i="40" s="1"/>
  <c r="O97" i="40" s="1"/>
  <c r="G97" i="40"/>
  <c r="A97" i="40" s="1"/>
  <c r="T96" i="40"/>
  <c r="S96" i="40"/>
  <c r="R96" i="40"/>
  <c r="Q96" i="40"/>
  <c r="P96" i="40"/>
  <c r="L96" i="40"/>
  <c r="M96" i="40" s="1"/>
  <c r="N96" i="40" s="1"/>
  <c r="O96" i="40" s="1"/>
  <c r="G96" i="40"/>
  <c r="A96" i="40" s="1"/>
  <c r="T95" i="40"/>
  <c r="S95" i="40"/>
  <c r="R95" i="40"/>
  <c r="Q95" i="40"/>
  <c r="P95" i="40"/>
  <c r="L95" i="40"/>
  <c r="M95" i="40" s="1"/>
  <c r="N95" i="40" s="1"/>
  <c r="O95" i="40" s="1"/>
  <c r="G95" i="40"/>
  <c r="A95" i="40" s="1"/>
  <c r="T94" i="40"/>
  <c r="S94" i="40"/>
  <c r="R94" i="40"/>
  <c r="Q94" i="40"/>
  <c r="P94" i="40"/>
  <c r="L94" i="40"/>
  <c r="M94" i="40" s="1"/>
  <c r="N94" i="40" s="1"/>
  <c r="O94" i="40" s="1"/>
  <c r="G94" i="40"/>
  <c r="A94" i="40" s="1"/>
  <c r="T93" i="40"/>
  <c r="S93" i="40"/>
  <c r="R93" i="40"/>
  <c r="Q93" i="40"/>
  <c r="P93" i="40"/>
  <c r="L93" i="40"/>
  <c r="M93" i="40" s="1"/>
  <c r="N93" i="40" s="1"/>
  <c r="O93" i="40" s="1"/>
  <c r="G93" i="40"/>
  <c r="A93" i="40" s="1"/>
  <c r="T92" i="40"/>
  <c r="S92" i="40"/>
  <c r="R92" i="40"/>
  <c r="Q92" i="40"/>
  <c r="P92" i="40"/>
  <c r="L92" i="40"/>
  <c r="M92" i="40" s="1"/>
  <c r="N92" i="40" s="1"/>
  <c r="O92" i="40" s="1"/>
  <c r="G92" i="40"/>
  <c r="A92" i="40" s="1"/>
  <c r="AH91" i="40"/>
  <c r="T91" i="40"/>
  <c r="S91" i="40"/>
  <c r="R91" i="40"/>
  <c r="Q91" i="40"/>
  <c r="P91" i="40"/>
  <c r="L91" i="40"/>
  <c r="M91" i="40" s="1"/>
  <c r="N91" i="40" s="1"/>
  <c r="O91" i="40" s="1"/>
  <c r="G91" i="40"/>
  <c r="A91" i="40" s="1"/>
  <c r="AH90" i="40"/>
  <c r="T90" i="40"/>
  <c r="S90" i="40"/>
  <c r="R90" i="40"/>
  <c r="Q90" i="40"/>
  <c r="P90" i="40"/>
  <c r="L90" i="40"/>
  <c r="M90" i="40" s="1"/>
  <c r="N90" i="40" s="1"/>
  <c r="O90" i="40" s="1"/>
  <c r="G90" i="40"/>
  <c r="A90" i="40" s="1"/>
  <c r="T89" i="40"/>
  <c r="S89" i="40"/>
  <c r="R89" i="40"/>
  <c r="Q89" i="40"/>
  <c r="P89" i="40"/>
  <c r="L89" i="40"/>
  <c r="M89" i="40" s="1"/>
  <c r="N89" i="40" s="1"/>
  <c r="O89" i="40" s="1"/>
  <c r="G89" i="40"/>
  <c r="A89" i="40" s="1"/>
  <c r="T88" i="40"/>
  <c r="S88" i="40"/>
  <c r="R88" i="40"/>
  <c r="Q88" i="40"/>
  <c r="P88" i="40"/>
  <c r="L88" i="40"/>
  <c r="M88" i="40" s="1"/>
  <c r="N88" i="40" s="1"/>
  <c r="O88" i="40" s="1"/>
  <c r="G88" i="40"/>
  <c r="A88" i="40" s="1"/>
  <c r="T87" i="40"/>
  <c r="S87" i="40"/>
  <c r="R87" i="40"/>
  <c r="Q87" i="40"/>
  <c r="P87" i="40"/>
  <c r="L87" i="40"/>
  <c r="M87" i="40" s="1"/>
  <c r="N87" i="40" s="1"/>
  <c r="O87" i="40" s="1"/>
  <c r="G87" i="40"/>
  <c r="A87" i="40" s="1"/>
  <c r="T86" i="40"/>
  <c r="S86" i="40"/>
  <c r="R86" i="40"/>
  <c r="Q86" i="40"/>
  <c r="P86" i="40"/>
  <c r="L86" i="40"/>
  <c r="M86" i="40" s="1"/>
  <c r="N86" i="40" s="1"/>
  <c r="O86" i="40" s="1"/>
  <c r="G86" i="40"/>
  <c r="A86" i="40" s="1"/>
  <c r="T85" i="40"/>
  <c r="S85" i="40"/>
  <c r="R85" i="40"/>
  <c r="Q85" i="40"/>
  <c r="P85" i="40"/>
  <c r="L85" i="40"/>
  <c r="M85" i="40" s="1"/>
  <c r="N85" i="40" s="1"/>
  <c r="O85" i="40" s="1"/>
  <c r="G85" i="40"/>
  <c r="A85" i="40" s="1"/>
  <c r="T84" i="40"/>
  <c r="S84" i="40"/>
  <c r="R84" i="40"/>
  <c r="Q84" i="40"/>
  <c r="P84" i="40"/>
  <c r="L84" i="40"/>
  <c r="M84" i="40" s="1"/>
  <c r="N84" i="40" s="1"/>
  <c r="O84" i="40" s="1"/>
  <c r="G84" i="40"/>
  <c r="A84" i="40" s="1"/>
  <c r="T83" i="40"/>
  <c r="S83" i="40"/>
  <c r="R83" i="40"/>
  <c r="Q83" i="40"/>
  <c r="P83" i="40"/>
  <c r="L83" i="40"/>
  <c r="M83" i="40" s="1"/>
  <c r="N83" i="40" s="1"/>
  <c r="O83" i="40" s="1"/>
  <c r="G83" i="40"/>
  <c r="A83" i="40" s="1"/>
  <c r="T82" i="40"/>
  <c r="S82" i="40"/>
  <c r="R82" i="40"/>
  <c r="Q82" i="40"/>
  <c r="P82" i="40"/>
  <c r="L82" i="40"/>
  <c r="M82" i="40" s="1"/>
  <c r="N82" i="40" s="1"/>
  <c r="O82" i="40" s="1"/>
  <c r="G82" i="40"/>
  <c r="A82" i="40" s="1"/>
  <c r="T81" i="40"/>
  <c r="S81" i="40"/>
  <c r="R81" i="40"/>
  <c r="Q81" i="40"/>
  <c r="P81" i="40"/>
  <c r="L81" i="40"/>
  <c r="M81" i="40" s="1"/>
  <c r="N81" i="40" s="1"/>
  <c r="O81" i="40" s="1"/>
  <c r="G81" i="40"/>
  <c r="A81" i="40" s="1"/>
  <c r="T80" i="40"/>
  <c r="S80" i="40"/>
  <c r="R80" i="40"/>
  <c r="Q80" i="40"/>
  <c r="P80" i="40"/>
  <c r="L80" i="40"/>
  <c r="M80" i="40" s="1"/>
  <c r="N80" i="40" s="1"/>
  <c r="O80" i="40" s="1"/>
  <c r="G80" i="40"/>
  <c r="A80" i="40" s="1"/>
  <c r="T79" i="40"/>
  <c r="S79" i="40"/>
  <c r="R79" i="40"/>
  <c r="Q79" i="40"/>
  <c r="P79" i="40"/>
  <c r="L79" i="40"/>
  <c r="M79" i="40" s="1"/>
  <c r="N79" i="40" s="1"/>
  <c r="O79" i="40" s="1"/>
  <c r="G79" i="40"/>
  <c r="A79" i="40" s="1"/>
  <c r="T78" i="40"/>
  <c r="S78" i="40"/>
  <c r="R78" i="40"/>
  <c r="Q78" i="40"/>
  <c r="P78" i="40"/>
  <c r="L78" i="40"/>
  <c r="M78" i="40" s="1"/>
  <c r="N78" i="40" s="1"/>
  <c r="O78" i="40" s="1"/>
  <c r="G78" i="40"/>
  <c r="A78" i="40" s="1"/>
  <c r="T77" i="40"/>
  <c r="S77" i="40"/>
  <c r="R77" i="40"/>
  <c r="Q77" i="40"/>
  <c r="P77" i="40"/>
  <c r="L77" i="40"/>
  <c r="M77" i="40" s="1"/>
  <c r="N77" i="40" s="1"/>
  <c r="O77" i="40" s="1"/>
  <c r="G77" i="40"/>
  <c r="A77" i="40" s="1"/>
  <c r="T76" i="40"/>
  <c r="S76" i="40"/>
  <c r="R76" i="40"/>
  <c r="Q76" i="40"/>
  <c r="P76" i="40"/>
  <c r="L76" i="40"/>
  <c r="M76" i="40" s="1"/>
  <c r="N76" i="40" s="1"/>
  <c r="O76" i="40" s="1"/>
  <c r="G76" i="40"/>
  <c r="A76" i="40" s="1"/>
  <c r="T75" i="40"/>
  <c r="S75" i="40"/>
  <c r="R75" i="40"/>
  <c r="Q75" i="40"/>
  <c r="P75" i="40"/>
  <c r="L75" i="40"/>
  <c r="M75" i="40" s="1"/>
  <c r="N75" i="40" s="1"/>
  <c r="O75" i="40" s="1"/>
  <c r="G75" i="40"/>
  <c r="A75" i="40" s="1"/>
  <c r="T74" i="40"/>
  <c r="S74" i="40"/>
  <c r="R74" i="40"/>
  <c r="Q74" i="40"/>
  <c r="P74" i="40"/>
  <c r="L74" i="40"/>
  <c r="M74" i="40" s="1"/>
  <c r="N74" i="40" s="1"/>
  <c r="O74" i="40" s="1"/>
  <c r="G74" i="40"/>
  <c r="A74" i="40" s="1"/>
  <c r="T73" i="40"/>
  <c r="S73" i="40"/>
  <c r="R73" i="40"/>
  <c r="Q73" i="40"/>
  <c r="P73" i="40"/>
  <c r="L73" i="40"/>
  <c r="M73" i="40" s="1"/>
  <c r="N73" i="40" s="1"/>
  <c r="O73" i="40" s="1"/>
  <c r="G73" i="40"/>
  <c r="A73" i="40" s="1"/>
  <c r="T72" i="40"/>
  <c r="S72" i="40"/>
  <c r="R72" i="40"/>
  <c r="Q72" i="40"/>
  <c r="P72" i="40"/>
  <c r="L72" i="40"/>
  <c r="M72" i="40" s="1"/>
  <c r="N72" i="40" s="1"/>
  <c r="O72" i="40" s="1"/>
  <c r="G72" i="40"/>
  <c r="A72" i="40" s="1"/>
  <c r="T71" i="40"/>
  <c r="S71" i="40"/>
  <c r="R71" i="40"/>
  <c r="Q71" i="40"/>
  <c r="P71" i="40"/>
  <c r="L71" i="40"/>
  <c r="M71" i="40" s="1"/>
  <c r="N71" i="40" s="1"/>
  <c r="O71" i="40" s="1"/>
  <c r="G71" i="40"/>
  <c r="A71" i="40"/>
  <c r="AH70" i="40"/>
  <c r="T70" i="40"/>
  <c r="S70" i="40"/>
  <c r="R70" i="40"/>
  <c r="Q70" i="40"/>
  <c r="P70" i="40"/>
  <c r="L70" i="40"/>
  <c r="M70" i="40" s="1"/>
  <c r="N70" i="40" s="1"/>
  <c r="O70" i="40" s="1"/>
  <c r="G70" i="40"/>
  <c r="A70" i="40" s="1"/>
  <c r="AH69" i="40"/>
  <c r="AH71" i="40" s="1"/>
  <c r="AH73" i="40" s="1"/>
  <c r="T69" i="40"/>
  <c r="S69" i="40"/>
  <c r="R69" i="40"/>
  <c r="Q69" i="40"/>
  <c r="P69" i="40"/>
  <c r="L69" i="40"/>
  <c r="M69" i="40" s="1"/>
  <c r="N69" i="40" s="1"/>
  <c r="O69" i="40" s="1"/>
  <c r="G69" i="40"/>
  <c r="A69" i="40" s="1"/>
  <c r="T68" i="40"/>
  <c r="S68" i="40"/>
  <c r="R68" i="40"/>
  <c r="Q68" i="40"/>
  <c r="P68" i="40"/>
  <c r="L68" i="40"/>
  <c r="M68" i="40" s="1"/>
  <c r="N68" i="40" s="1"/>
  <c r="O68" i="40" s="1"/>
  <c r="G68" i="40"/>
  <c r="A68" i="40" s="1"/>
  <c r="T67" i="40"/>
  <c r="S67" i="40"/>
  <c r="R67" i="40"/>
  <c r="Q67" i="40"/>
  <c r="P67" i="40"/>
  <c r="L67" i="40"/>
  <c r="M67" i="40" s="1"/>
  <c r="N67" i="40" s="1"/>
  <c r="O67" i="40" s="1"/>
  <c r="G67" i="40"/>
  <c r="A67" i="40" s="1"/>
  <c r="T66" i="40"/>
  <c r="S66" i="40"/>
  <c r="R66" i="40"/>
  <c r="Q66" i="40"/>
  <c r="P66" i="40"/>
  <c r="L66" i="40"/>
  <c r="M66" i="40" s="1"/>
  <c r="N66" i="40" s="1"/>
  <c r="O66" i="40" s="1"/>
  <c r="G66" i="40"/>
  <c r="A66" i="40" s="1"/>
  <c r="T65" i="40"/>
  <c r="S65" i="40"/>
  <c r="R65" i="40"/>
  <c r="Q65" i="40"/>
  <c r="P65" i="40"/>
  <c r="L65" i="40"/>
  <c r="M65" i="40" s="1"/>
  <c r="N65" i="40" s="1"/>
  <c r="O65" i="40" s="1"/>
  <c r="G65" i="40"/>
  <c r="A65" i="40" s="1"/>
  <c r="T64" i="40"/>
  <c r="S64" i="40"/>
  <c r="R64" i="40"/>
  <c r="Q64" i="40"/>
  <c r="P64" i="40"/>
  <c r="L64" i="40"/>
  <c r="M64" i="40" s="1"/>
  <c r="N64" i="40" s="1"/>
  <c r="O64" i="40" s="1"/>
  <c r="G64" i="40"/>
  <c r="A64" i="40" s="1"/>
  <c r="T63" i="40"/>
  <c r="S63" i="40"/>
  <c r="R63" i="40"/>
  <c r="Q63" i="40"/>
  <c r="P63" i="40"/>
  <c r="L63" i="40"/>
  <c r="M63" i="40" s="1"/>
  <c r="N63" i="40" s="1"/>
  <c r="O63" i="40" s="1"/>
  <c r="G63" i="40"/>
  <c r="A63" i="40" s="1"/>
  <c r="T62" i="40"/>
  <c r="S62" i="40"/>
  <c r="R62" i="40"/>
  <c r="Q62" i="40"/>
  <c r="P62" i="40"/>
  <c r="L62" i="40"/>
  <c r="M62" i="40" s="1"/>
  <c r="N62" i="40" s="1"/>
  <c r="O62" i="40" s="1"/>
  <c r="G62" i="40"/>
  <c r="A62" i="40" s="1"/>
  <c r="T61" i="40"/>
  <c r="S61" i="40"/>
  <c r="R61" i="40"/>
  <c r="Q61" i="40"/>
  <c r="P61" i="40"/>
  <c r="L61" i="40"/>
  <c r="M61" i="40" s="1"/>
  <c r="N61" i="40" s="1"/>
  <c r="O61" i="40" s="1"/>
  <c r="G61" i="40"/>
  <c r="A61" i="40" s="1"/>
  <c r="T60" i="40"/>
  <c r="S60" i="40"/>
  <c r="R60" i="40"/>
  <c r="Q60" i="40"/>
  <c r="P60" i="40"/>
  <c r="L60" i="40"/>
  <c r="M60" i="40" s="1"/>
  <c r="N60" i="40" s="1"/>
  <c r="O60" i="40" s="1"/>
  <c r="G60" i="40"/>
  <c r="A60" i="40" s="1"/>
  <c r="T59" i="40"/>
  <c r="S59" i="40"/>
  <c r="R59" i="40"/>
  <c r="Q59" i="40"/>
  <c r="P59" i="40"/>
  <c r="L59" i="40"/>
  <c r="M59" i="40" s="1"/>
  <c r="N59" i="40" s="1"/>
  <c r="O59" i="40" s="1"/>
  <c r="G59" i="40"/>
  <c r="A59" i="40" s="1"/>
  <c r="T58" i="40"/>
  <c r="S58" i="40"/>
  <c r="R58" i="40"/>
  <c r="Q58" i="40"/>
  <c r="P58" i="40"/>
  <c r="L58" i="40"/>
  <c r="M58" i="40" s="1"/>
  <c r="N58" i="40" s="1"/>
  <c r="O58" i="40" s="1"/>
  <c r="G58" i="40"/>
  <c r="A58" i="40" s="1"/>
  <c r="T57" i="40"/>
  <c r="S57" i="40"/>
  <c r="R57" i="40"/>
  <c r="Q57" i="40"/>
  <c r="P57" i="40"/>
  <c r="L57" i="40"/>
  <c r="M57" i="40" s="1"/>
  <c r="N57" i="40" s="1"/>
  <c r="O57" i="40" s="1"/>
  <c r="G57" i="40"/>
  <c r="A57" i="40" s="1"/>
  <c r="T56" i="40"/>
  <c r="S56" i="40"/>
  <c r="R56" i="40"/>
  <c r="Q56" i="40"/>
  <c r="P56" i="40"/>
  <c r="L56" i="40"/>
  <c r="M56" i="40" s="1"/>
  <c r="N56" i="40" s="1"/>
  <c r="O56" i="40" s="1"/>
  <c r="G56" i="40"/>
  <c r="A56" i="40" s="1"/>
  <c r="T55" i="40"/>
  <c r="S55" i="40"/>
  <c r="R55" i="40"/>
  <c r="Q55" i="40"/>
  <c r="P55" i="40"/>
  <c r="L55" i="40"/>
  <c r="M55" i="40" s="1"/>
  <c r="N55" i="40" s="1"/>
  <c r="O55" i="40" s="1"/>
  <c r="G55" i="40"/>
  <c r="A55" i="40" s="1"/>
  <c r="T54" i="40"/>
  <c r="S54" i="40"/>
  <c r="R54" i="40"/>
  <c r="Q54" i="40"/>
  <c r="P54" i="40"/>
  <c r="L54" i="40"/>
  <c r="M54" i="40" s="1"/>
  <c r="N54" i="40" s="1"/>
  <c r="O54" i="40" s="1"/>
  <c r="G54" i="40"/>
  <c r="A54" i="40" s="1"/>
  <c r="T53" i="40"/>
  <c r="S53" i="40"/>
  <c r="R53" i="40"/>
  <c r="Q53" i="40"/>
  <c r="P53" i="40"/>
  <c r="L53" i="40"/>
  <c r="M53" i="40" s="1"/>
  <c r="N53" i="40" s="1"/>
  <c r="O53" i="40" s="1"/>
  <c r="G53" i="40"/>
  <c r="A53" i="40" s="1"/>
  <c r="T52" i="40"/>
  <c r="S52" i="40"/>
  <c r="R52" i="40"/>
  <c r="Q52" i="40"/>
  <c r="P52" i="40"/>
  <c r="L52" i="40"/>
  <c r="M52" i="40" s="1"/>
  <c r="N52" i="40" s="1"/>
  <c r="O52" i="40" s="1"/>
  <c r="G52" i="40"/>
  <c r="A52" i="40" s="1"/>
  <c r="T51" i="40"/>
  <c r="S51" i="40"/>
  <c r="R51" i="40"/>
  <c r="Q51" i="40"/>
  <c r="P51" i="40"/>
  <c r="L51" i="40"/>
  <c r="M51" i="40" s="1"/>
  <c r="N51" i="40" s="1"/>
  <c r="O51" i="40" s="1"/>
  <c r="G51" i="40"/>
  <c r="A51" i="40" s="1"/>
  <c r="T50" i="40"/>
  <c r="S50" i="40"/>
  <c r="R50" i="40"/>
  <c r="Q50" i="40"/>
  <c r="P50" i="40"/>
  <c r="L50" i="40"/>
  <c r="M50" i="40" s="1"/>
  <c r="N50" i="40" s="1"/>
  <c r="O50" i="40" s="1"/>
  <c r="G50" i="40"/>
  <c r="A50" i="40" s="1"/>
  <c r="T49" i="40"/>
  <c r="S49" i="40"/>
  <c r="R49" i="40"/>
  <c r="Q49" i="40"/>
  <c r="P49" i="40"/>
  <c r="L49" i="40"/>
  <c r="M49" i="40" s="1"/>
  <c r="N49" i="40" s="1"/>
  <c r="O49" i="40" s="1"/>
  <c r="G49" i="40"/>
  <c r="A49" i="40" s="1"/>
  <c r="T48" i="40"/>
  <c r="S48" i="40"/>
  <c r="R48" i="40"/>
  <c r="Q48" i="40"/>
  <c r="P48" i="40"/>
  <c r="L48" i="40"/>
  <c r="M48" i="40" s="1"/>
  <c r="N48" i="40" s="1"/>
  <c r="O48" i="40" s="1"/>
  <c r="G48" i="40"/>
  <c r="A48" i="40" s="1"/>
  <c r="T47" i="40"/>
  <c r="S47" i="40"/>
  <c r="R47" i="40"/>
  <c r="Q47" i="40"/>
  <c r="P47" i="40"/>
  <c r="L47" i="40"/>
  <c r="M47" i="40" s="1"/>
  <c r="N47" i="40" s="1"/>
  <c r="O47" i="40" s="1"/>
  <c r="G47" i="40"/>
  <c r="A47" i="40" s="1"/>
  <c r="T46" i="40"/>
  <c r="S46" i="40"/>
  <c r="R46" i="40"/>
  <c r="Q46" i="40"/>
  <c r="P46" i="40"/>
  <c r="L46" i="40"/>
  <c r="M46" i="40" s="1"/>
  <c r="N46" i="40" s="1"/>
  <c r="O46" i="40" s="1"/>
  <c r="G46" i="40"/>
  <c r="A46" i="40" s="1"/>
  <c r="T45" i="40"/>
  <c r="S45" i="40"/>
  <c r="R45" i="40"/>
  <c r="Q45" i="40"/>
  <c r="P45" i="40"/>
  <c r="L45" i="40"/>
  <c r="M45" i="40" s="1"/>
  <c r="N45" i="40" s="1"/>
  <c r="O45" i="40" s="1"/>
  <c r="G45" i="40"/>
  <c r="A45" i="40" s="1"/>
  <c r="T44" i="40"/>
  <c r="S44" i="40"/>
  <c r="R44" i="40"/>
  <c r="Q44" i="40"/>
  <c r="P44" i="40"/>
  <c r="L44" i="40"/>
  <c r="M44" i="40" s="1"/>
  <c r="N44" i="40" s="1"/>
  <c r="O44" i="40" s="1"/>
  <c r="G44" i="40"/>
  <c r="A44" i="40" s="1"/>
  <c r="T43" i="40"/>
  <c r="S43" i="40"/>
  <c r="R43" i="40"/>
  <c r="Q43" i="40"/>
  <c r="P43" i="40"/>
  <c r="L43" i="40"/>
  <c r="M43" i="40" s="1"/>
  <c r="N43" i="40" s="1"/>
  <c r="O43" i="40" s="1"/>
  <c r="G43" i="40"/>
  <c r="A43" i="40" s="1"/>
  <c r="T42" i="40"/>
  <c r="S42" i="40"/>
  <c r="R42" i="40"/>
  <c r="Q42" i="40"/>
  <c r="P42" i="40"/>
  <c r="L42" i="40"/>
  <c r="M42" i="40" s="1"/>
  <c r="N42" i="40" s="1"/>
  <c r="O42" i="40" s="1"/>
  <c r="G42" i="40"/>
  <c r="A42" i="40" s="1"/>
  <c r="T41" i="40"/>
  <c r="S41" i="40"/>
  <c r="R41" i="40"/>
  <c r="Q41" i="40"/>
  <c r="P41" i="40"/>
  <c r="L41" i="40"/>
  <c r="M41" i="40" s="1"/>
  <c r="N41" i="40" s="1"/>
  <c r="O41" i="40" s="1"/>
  <c r="G41" i="40"/>
  <c r="A41" i="40" s="1"/>
  <c r="T40" i="40"/>
  <c r="S40" i="40"/>
  <c r="R40" i="40"/>
  <c r="Q40" i="40"/>
  <c r="P40" i="40"/>
  <c r="L40" i="40"/>
  <c r="M40" i="40" s="1"/>
  <c r="N40" i="40" s="1"/>
  <c r="O40" i="40" s="1"/>
  <c r="G40" i="40"/>
  <c r="A40" i="40" s="1"/>
  <c r="T39" i="40"/>
  <c r="S39" i="40"/>
  <c r="R39" i="40"/>
  <c r="Q39" i="40"/>
  <c r="P39" i="40"/>
  <c r="L39" i="40"/>
  <c r="M39" i="40" s="1"/>
  <c r="N39" i="40" s="1"/>
  <c r="O39" i="40" s="1"/>
  <c r="G39" i="40"/>
  <c r="A39" i="40" s="1"/>
  <c r="T38" i="40"/>
  <c r="S38" i="40"/>
  <c r="R38" i="40"/>
  <c r="Q38" i="40"/>
  <c r="P38" i="40"/>
  <c r="L38" i="40"/>
  <c r="M38" i="40" s="1"/>
  <c r="N38" i="40" s="1"/>
  <c r="O38" i="40" s="1"/>
  <c r="G38" i="40"/>
  <c r="A38" i="40" s="1"/>
  <c r="T37" i="40"/>
  <c r="S37" i="40"/>
  <c r="R37" i="40"/>
  <c r="Q37" i="40"/>
  <c r="P37" i="40"/>
  <c r="L37" i="40"/>
  <c r="M37" i="40" s="1"/>
  <c r="N37" i="40" s="1"/>
  <c r="O37" i="40" s="1"/>
  <c r="G37" i="40"/>
  <c r="A37" i="40" s="1"/>
  <c r="T36" i="40"/>
  <c r="S36" i="40"/>
  <c r="R36" i="40"/>
  <c r="Q36" i="40"/>
  <c r="P36" i="40"/>
  <c r="L36" i="40"/>
  <c r="M36" i="40" s="1"/>
  <c r="N36" i="40" s="1"/>
  <c r="O36" i="40" s="1"/>
  <c r="G36" i="40"/>
  <c r="A36" i="40" s="1"/>
  <c r="T35" i="40"/>
  <c r="S35" i="40"/>
  <c r="R35" i="40"/>
  <c r="Q35" i="40"/>
  <c r="P35" i="40"/>
  <c r="L35" i="40"/>
  <c r="M35" i="40" s="1"/>
  <c r="N35" i="40" s="1"/>
  <c r="O35" i="40" s="1"/>
  <c r="G35" i="40"/>
  <c r="A35" i="40" s="1"/>
  <c r="T34" i="40"/>
  <c r="S34" i="40"/>
  <c r="R34" i="40"/>
  <c r="Q34" i="40"/>
  <c r="P34" i="40"/>
  <c r="L34" i="40"/>
  <c r="M34" i="40" s="1"/>
  <c r="N34" i="40" s="1"/>
  <c r="O34" i="40" s="1"/>
  <c r="G34" i="40"/>
  <c r="A34" i="40" s="1"/>
  <c r="T33" i="40"/>
  <c r="S33" i="40"/>
  <c r="R33" i="40"/>
  <c r="Q33" i="40"/>
  <c r="P33" i="40"/>
  <c r="L33" i="40"/>
  <c r="M33" i="40" s="1"/>
  <c r="N33" i="40" s="1"/>
  <c r="O33" i="40" s="1"/>
  <c r="G33" i="40"/>
  <c r="A33" i="40"/>
  <c r="T32" i="40"/>
  <c r="S32" i="40"/>
  <c r="R32" i="40"/>
  <c r="Q32" i="40"/>
  <c r="P32" i="40"/>
  <c r="L32" i="40"/>
  <c r="M32" i="40" s="1"/>
  <c r="N32" i="40" s="1"/>
  <c r="O32" i="40" s="1"/>
  <c r="G32" i="40"/>
  <c r="A32" i="40" s="1"/>
  <c r="T31" i="40"/>
  <c r="S31" i="40"/>
  <c r="R31" i="40"/>
  <c r="Q31" i="40"/>
  <c r="P31" i="40"/>
  <c r="L31" i="40"/>
  <c r="M31" i="40" s="1"/>
  <c r="N31" i="40" s="1"/>
  <c r="O31" i="40" s="1"/>
  <c r="G31" i="40"/>
  <c r="A31" i="40" s="1"/>
  <c r="T30" i="40"/>
  <c r="S30" i="40"/>
  <c r="R30" i="40"/>
  <c r="Q30" i="40"/>
  <c r="P30" i="40"/>
  <c r="L30" i="40"/>
  <c r="M30" i="40" s="1"/>
  <c r="N30" i="40" s="1"/>
  <c r="O30" i="40" s="1"/>
  <c r="G30" i="40"/>
  <c r="A30" i="40" s="1"/>
  <c r="T29" i="40"/>
  <c r="S29" i="40"/>
  <c r="R29" i="40"/>
  <c r="Q29" i="40"/>
  <c r="P29" i="40"/>
  <c r="L29" i="40"/>
  <c r="M29" i="40" s="1"/>
  <c r="N29" i="40" s="1"/>
  <c r="O29" i="40" s="1"/>
  <c r="G29" i="40"/>
  <c r="A29" i="40" s="1"/>
  <c r="T28" i="40"/>
  <c r="S28" i="40"/>
  <c r="R28" i="40"/>
  <c r="Q28" i="40"/>
  <c r="P28" i="40"/>
  <c r="L28" i="40"/>
  <c r="M28" i="40" s="1"/>
  <c r="N28" i="40" s="1"/>
  <c r="O28" i="40" s="1"/>
  <c r="G28" i="40"/>
  <c r="A28" i="40" s="1"/>
  <c r="T27" i="40"/>
  <c r="S27" i="40"/>
  <c r="R27" i="40"/>
  <c r="Q27" i="40"/>
  <c r="P27" i="40"/>
  <c r="L27" i="40"/>
  <c r="M27" i="40" s="1"/>
  <c r="N27" i="40" s="1"/>
  <c r="O27" i="40" s="1"/>
  <c r="G27" i="40"/>
  <c r="A27" i="40" s="1"/>
  <c r="T26" i="40"/>
  <c r="S26" i="40"/>
  <c r="R26" i="40"/>
  <c r="Q26" i="40"/>
  <c r="P26" i="40"/>
  <c r="L26" i="40"/>
  <c r="M26" i="40" s="1"/>
  <c r="N26" i="40" s="1"/>
  <c r="O26" i="40" s="1"/>
  <c r="G26" i="40"/>
  <c r="A26" i="40" s="1"/>
  <c r="T25" i="40"/>
  <c r="S25" i="40"/>
  <c r="R25" i="40"/>
  <c r="Q25" i="40"/>
  <c r="P25" i="40"/>
  <c r="L25" i="40"/>
  <c r="M25" i="40" s="1"/>
  <c r="N25" i="40" s="1"/>
  <c r="O25" i="40" s="1"/>
  <c r="G25" i="40"/>
  <c r="A25" i="40"/>
  <c r="T24" i="40"/>
  <c r="S24" i="40"/>
  <c r="R24" i="40"/>
  <c r="Q24" i="40"/>
  <c r="P24" i="40"/>
  <c r="L24" i="40"/>
  <c r="M24" i="40" s="1"/>
  <c r="N24" i="40" s="1"/>
  <c r="O24" i="40" s="1"/>
  <c r="G24" i="40"/>
  <c r="A24" i="40" s="1"/>
  <c r="T23" i="40"/>
  <c r="S23" i="40"/>
  <c r="R23" i="40"/>
  <c r="Q23" i="40"/>
  <c r="P23" i="40"/>
  <c r="L23" i="40"/>
  <c r="M23" i="40" s="1"/>
  <c r="N23" i="40" s="1"/>
  <c r="O23" i="40" s="1"/>
  <c r="G23" i="40"/>
  <c r="A23" i="40" s="1"/>
  <c r="T22" i="40"/>
  <c r="S22" i="40"/>
  <c r="R22" i="40"/>
  <c r="Q22" i="40"/>
  <c r="P22" i="40"/>
  <c r="L22" i="40"/>
  <c r="M22" i="40" s="1"/>
  <c r="N22" i="40" s="1"/>
  <c r="O22" i="40" s="1"/>
  <c r="G22" i="40"/>
  <c r="A22" i="40" s="1"/>
  <c r="T21" i="40"/>
  <c r="S21" i="40"/>
  <c r="R21" i="40"/>
  <c r="Q21" i="40"/>
  <c r="P21" i="40"/>
  <c r="L21" i="40"/>
  <c r="M21" i="40" s="1"/>
  <c r="N21" i="40" s="1"/>
  <c r="O21" i="40" s="1"/>
  <c r="G21" i="40"/>
  <c r="A21" i="40" s="1"/>
  <c r="T20" i="40"/>
  <c r="S20" i="40"/>
  <c r="R20" i="40"/>
  <c r="Q20" i="40"/>
  <c r="P20" i="40"/>
  <c r="L20" i="40"/>
  <c r="M20" i="40" s="1"/>
  <c r="N20" i="40" s="1"/>
  <c r="O20" i="40" s="1"/>
  <c r="G20" i="40"/>
  <c r="A20" i="40" s="1"/>
  <c r="T19" i="40"/>
  <c r="S19" i="40"/>
  <c r="R19" i="40"/>
  <c r="Q19" i="40"/>
  <c r="P19" i="40"/>
  <c r="L19" i="40"/>
  <c r="M19" i="40" s="1"/>
  <c r="N19" i="40" s="1"/>
  <c r="O19" i="40" s="1"/>
  <c r="G19" i="40"/>
  <c r="A19" i="40" s="1"/>
  <c r="T18" i="40"/>
  <c r="S18" i="40"/>
  <c r="R18" i="40"/>
  <c r="Q18" i="40"/>
  <c r="P18" i="40"/>
  <c r="L18" i="40"/>
  <c r="M18" i="40" s="1"/>
  <c r="N18" i="40" s="1"/>
  <c r="O18" i="40" s="1"/>
  <c r="G18" i="40"/>
  <c r="A18" i="40" s="1"/>
  <c r="T17" i="40"/>
  <c r="S17" i="40"/>
  <c r="R17" i="40"/>
  <c r="Q17" i="40"/>
  <c r="P17" i="40"/>
  <c r="L17" i="40"/>
  <c r="M17" i="40" s="1"/>
  <c r="N17" i="40" s="1"/>
  <c r="O17" i="40" s="1"/>
  <c r="G17" i="40"/>
  <c r="A17" i="40" s="1"/>
  <c r="T16" i="40"/>
  <c r="S16" i="40"/>
  <c r="R16" i="40"/>
  <c r="Q16" i="40"/>
  <c r="P16" i="40"/>
  <c r="L16" i="40"/>
  <c r="M16" i="40" s="1"/>
  <c r="N16" i="40" s="1"/>
  <c r="O16" i="40" s="1"/>
  <c r="G16" i="40"/>
  <c r="A16" i="40" s="1"/>
  <c r="T15" i="40"/>
  <c r="S15" i="40"/>
  <c r="R15" i="40"/>
  <c r="Q15" i="40"/>
  <c r="P15" i="40"/>
  <c r="L15" i="40"/>
  <c r="M15" i="40" s="1"/>
  <c r="N15" i="40" s="1"/>
  <c r="O15" i="40" s="1"/>
  <c r="G15" i="40"/>
  <c r="A15" i="40" s="1"/>
  <c r="T14" i="40"/>
  <c r="S14" i="40"/>
  <c r="R14" i="40"/>
  <c r="Q14" i="40"/>
  <c r="P14" i="40"/>
  <c r="L14" i="40"/>
  <c r="M14" i="40" s="1"/>
  <c r="N14" i="40" s="1"/>
  <c r="O14" i="40" s="1"/>
  <c r="G14" i="40"/>
  <c r="A14" i="40" s="1"/>
  <c r="T13" i="40"/>
  <c r="S13" i="40"/>
  <c r="R13" i="40"/>
  <c r="Q13" i="40"/>
  <c r="P13" i="40"/>
  <c r="L13" i="40"/>
  <c r="M13" i="40" s="1"/>
  <c r="N13" i="40" s="1"/>
  <c r="O13" i="40" s="1"/>
  <c r="G13" i="40"/>
  <c r="A13" i="40"/>
  <c r="T12" i="40"/>
  <c r="S12" i="40"/>
  <c r="R12" i="40"/>
  <c r="Q12" i="40"/>
  <c r="P12" i="40"/>
  <c r="L12" i="40"/>
  <c r="M12" i="40" s="1"/>
  <c r="N12" i="40" s="1"/>
  <c r="O12" i="40" s="1"/>
  <c r="G12" i="40"/>
  <c r="A12" i="40"/>
  <c r="T11" i="40"/>
  <c r="S11" i="40"/>
  <c r="R11" i="40"/>
  <c r="Q11" i="40"/>
  <c r="P11" i="40"/>
  <c r="L11" i="40"/>
  <c r="M11" i="40" s="1"/>
  <c r="N11" i="40" s="1"/>
  <c r="O11" i="40" s="1"/>
  <c r="G11" i="40"/>
  <c r="A11" i="40" s="1"/>
  <c r="T10" i="40"/>
  <c r="S10" i="40"/>
  <c r="R10" i="40"/>
  <c r="Q10" i="40"/>
  <c r="P10" i="40"/>
  <c r="L10" i="40"/>
  <c r="M10" i="40" s="1"/>
  <c r="N10" i="40" s="1"/>
  <c r="O10" i="40" s="1"/>
  <c r="G10" i="40"/>
  <c r="A10" i="40" s="1"/>
  <c r="T9" i="40"/>
  <c r="S9" i="40"/>
  <c r="R9" i="40"/>
  <c r="Q9" i="40"/>
  <c r="P9" i="40"/>
  <c r="L9" i="40"/>
  <c r="M9" i="40" s="1"/>
  <c r="N9" i="40" s="1"/>
  <c r="O9" i="40" s="1"/>
  <c r="G9" i="40"/>
  <c r="A9" i="40" s="1"/>
  <c r="T8" i="40"/>
  <c r="S8" i="40"/>
  <c r="R8" i="40"/>
  <c r="Q8" i="40"/>
  <c r="P8" i="40"/>
  <c r="L8" i="40"/>
  <c r="M8" i="40" s="1"/>
  <c r="N8" i="40" s="1"/>
  <c r="O8" i="40" s="1"/>
  <c r="G8" i="40"/>
  <c r="A8" i="40" s="1"/>
  <c r="T7" i="40"/>
  <c r="S7" i="40"/>
  <c r="R7" i="40"/>
  <c r="Q7" i="40"/>
  <c r="P7" i="40"/>
  <c r="L7" i="40"/>
  <c r="M7" i="40" s="1"/>
  <c r="N7" i="40" s="1"/>
  <c r="O7" i="40" s="1"/>
  <c r="G7" i="40"/>
  <c r="A7" i="40" s="1"/>
  <c r="T6" i="40"/>
  <c r="S6" i="40"/>
  <c r="R6" i="40"/>
  <c r="Q6" i="40"/>
  <c r="P6" i="40"/>
  <c r="L6" i="40"/>
  <c r="M6" i="40" s="1"/>
  <c r="N6" i="40" s="1"/>
  <c r="O6" i="40" s="1"/>
  <c r="G6" i="40"/>
  <c r="A6" i="40" s="1"/>
  <c r="T5" i="40"/>
  <c r="S5" i="40"/>
  <c r="R5" i="40"/>
  <c r="Q5" i="40"/>
  <c r="P5" i="40"/>
  <c r="L5" i="40"/>
  <c r="M5" i="40" s="1"/>
  <c r="N5" i="40" s="1"/>
  <c r="O5" i="40" s="1"/>
  <c r="G5" i="40"/>
  <c r="A5" i="40" s="1"/>
  <c r="T4" i="40"/>
  <c r="S4" i="40"/>
  <c r="R4" i="40"/>
  <c r="Q4" i="40"/>
  <c r="P4" i="40"/>
  <c r="L4" i="40"/>
  <c r="M4" i="40" s="1"/>
  <c r="N4" i="40" s="1"/>
  <c r="O4" i="40" s="1"/>
  <c r="G4" i="40"/>
  <c r="A4" i="40" s="1"/>
  <c r="T3" i="40"/>
  <c r="S3" i="40"/>
  <c r="R3" i="40"/>
  <c r="Q3" i="40"/>
  <c r="P3" i="40"/>
  <c r="L3" i="40"/>
  <c r="M3" i="40" s="1"/>
  <c r="N3" i="40" s="1"/>
  <c r="O3" i="40" s="1"/>
  <c r="G3" i="40"/>
  <c r="A3" i="40" s="1"/>
  <c r="BB2" i="40"/>
  <c r="BB3" i="40" s="1"/>
  <c r="L1" i="40"/>
  <c r="N1" i="40" s="1"/>
  <c r="O1" i="40" s="1"/>
  <c r="G1" i="40"/>
  <c r="I1" i="40" s="1"/>
  <c r="C161" i="37"/>
  <c r="C176" i="37" s="1"/>
  <c r="C160" i="37"/>
  <c r="D160" i="37" s="1"/>
  <c r="B57" i="37"/>
  <c r="A133" i="37"/>
  <c r="B287" i="37" s="1"/>
  <c r="A132" i="37"/>
  <c r="B272" i="37" s="1"/>
  <c r="A131" i="37"/>
  <c r="B257" i="37" s="1"/>
  <c r="A130" i="37"/>
  <c r="B242" i="37" s="1"/>
  <c r="A129" i="37"/>
  <c r="B227" i="37" s="1"/>
  <c r="A128" i="37"/>
  <c r="B212" i="37" s="1"/>
  <c r="A127" i="37"/>
  <c r="B197" i="37" s="1"/>
  <c r="A126" i="37"/>
  <c r="B182" i="37" s="1"/>
  <c r="A125" i="37"/>
  <c r="B167" i="37" s="1"/>
  <c r="A124" i="37"/>
  <c r="B152" i="37" s="1"/>
  <c r="A123" i="37"/>
  <c r="B137" i="37" s="1"/>
  <c r="A124" i="36"/>
  <c r="B152" i="36" s="1"/>
  <c r="B57" i="36"/>
  <c r="A133" i="36"/>
  <c r="B287" i="36" s="1"/>
  <c r="A132" i="36"/>
  <c r="B272" i="36" s="1"/>
  <c r="A131" i="36"/>
  <c r="B257" i="36" s="1"/>
  <c r="A130" i="36"/>
  <c r="B242" i="36" s="1"/>
  <c r="A129" i="36"/>
  <c r="B227" i="36" s="1"/>
  <c r="A128" i="36"/>
  <c r="B212" i="36" s="1"/>
  <c r="A127" i="36"/>
  <c r="B197" i="36" s="1"/>
  <c r="A126" i="36"/>
  <c r="B182" i="36" s="1"/>
  <c r="A125" i="36"/>
  <c r="B167" i="36" s="1"/>
  <c r="A123" i="36"/>
  <c r="M242" i="38"/>
  <c r="L242" i="38"/>
  <c r="K242" i="38"/>
  <c r="J242" i="38"/>
  <c r="I242" i="38"/>
  <c r="H242" i="38"/>
  <c r="G242" i="38"/>
  <c r="F242" i="38"/>
  <c r="E242" i="38"/>
  <c r="D242" i="38"/>
  <c r="C242" i="38"/>
  <c r="C241" i="38"/>
  <c r="C243" i="38" s="1"/>
  <c r="M235" i="38"/>
  <c r="L235" i="38"/>
  <c r="K235" i="38"/>
  <c r="J235" i="38"/>
  <c r="I235" i="38"/>
  <c r="H235" i="38"/>
  <c r="G235" i="38"/>
  <c r="F235" i="38"/>
  <c r="E235" i="38"/>
  <c r="D235" i="38"/>
  <c r="C235" i="38"/>
  <c r="C234" i="38"/>
  <c r="M228" i="38"/>
  <c r="L228" i="38"/>
  <c r="K228" i="38"/>
  <c r="J228" i="38"/>
  <c r="I228" i="38"/>
  <c r="H228" i="38"/>
  <c r="G228" i="38"/>
  <c r="F228" i="38"/>
  <c r="E228" i="38"/>
  <c r="D228" i="38"/>
  <c r="C228" i="38"/>
  <c r="C227" i="38"/>
  <c r="C229" i="38" s="1"/>
  <c r="L212" i="38"/>
  <c r="K212" i="38"/>
  <c r="J212" i="38"/>
  <c r="I212" i="38"/>
  <c r="H212" i="38"/>
  <c r="G212" i="38"/>
  <c r="F212" i="38"/>
  <c r="E212" i="38"/>
  <c r="D212" i="38"/>
  <c r="C212" i="38"/>
  <c r="C173" i="38"/>
  <c r="C172" i="38"/>
  <c r="C171" i="38"/>
  <c r="C170" i="38"/>
  <c r="C169" i="38"/>
  <c r="C168" i="38"/>
  <c r="C167" i="38"/>
  <c r="C166" i="38"/>
  <c r="C165" i="38"/>
  <c r="C164" i="38"/>
  <c r="C163" i="38"/>
  <c r="C161" i="38"/>
  <c r="D161" i="38" s="1"/>
  <c r="E161" i="38" s="1"/>
  <c r="F161" i="38" s="1"/>
  <c r="G161" i="38" s="1"/>
  <c r="H161" i="38" s="1"/>
  <c r="I161" i="38" s="1"/>
  <c r="J161" i="38" s="1"/>
  <c r="K161" i="38" s="1"/>
  <c r="L161" i="38" s="1"/>
  <c r="C160" i="38"/>
  <c r="D160" i="38" s="1"/>
  <c r="E160" i="38" s="1"/>
  <c r="F160" i="38" s="1"/>
  <c r="G160" i="38" s="1"/>
  <c r="H160" i="38" s="1"/>
  <c r="I160" i="38" s="1"/>
  <c r="J160" i="38" s="1"/>
  <c r="K160" i="38" s="1"/>
  <c r="L160" i="38" s="1"/>
  <c r="C159" i="38"/>
  <c r="D159" i="38" s="1"/>
  <c r="E159" i="38" s="1"/>
  <c r="F159" i="38" s="1"/>
  <c r="G159" i="38" s="1"/>
  <c r="H159" i="38" s="1"/>
  <c r="I159" i="38" s="1"/>
  <c r="J159" i="38" s="1"/>
  <c r="K159" i="38" s="1"/>
  <c r="L159" i="38" s="1"/>
  <c r="C158" i="38"/>
  <c r="D158" i="38" s="1"/>
  <c r="E158" i="38" s="1"/>
  <c r="F158" i="38" s="1"/>
  <c r="G158" i="38" s="1"/>
  <c r="H158" i="38" s="1"/>
  <c r="I158" i="38" s="1"/>
  <c r="J158" i="38" s="1"/>
  <c r="K158" i="38" s="1"/>
  <c r="L158" i="38" s="1"/>
  <c r="C157" i="38"/>
  <c r="D157" i="38" s="1"/>
  <c r="E157" i="38" s="1"/>
  <c r="F157" i="38" s="1"/>
  <c r="G157" i="38" s="1"/>
  <c r="H157" i="38" s="1"/>
  <c r="I157" i="38" s="1"/>
  <c r="J157" i="38" s="1"/>
  <c r="K157" i="38" s="1"/>
  <c r="L157" i="38" s="1"/>
  <c r="C156" i="38"/>
  <c r="D156" i="38" s="1"/>
  <c r="E156" i="38" s="1"/>
  <c r="F156" i="38" s="1"/>
  <c r="G156" i="38" s="1"/>
  <c r="H156" i="38" s="1"/>
  <c r="I156" i="38" s="1"/>
  <c r="J156" i="38" s="1"/>
  <c r="K156" i="38" s="1"/>
  <c r="L156" i="38" s="1"/>
  <c r="C155" i="38"/>
  <c r="D155" i="38" s="1"/>
  <c r="E155" i="38" s="1"/>
  <c r="F155" i="38" s="1"/>
  <c r="G155" i="38" s="1"/>
  <c r="H155" i="38" s="1"/>
  <c r="I155" i="38" s="1"/>
  <c r="J155" i="38" s="1"/>
  <c r="K155" i="38" s="1"/>
  <c r="L155" i="38" s="1"/>
  <c r="C154" i="38"/>
  <c r="D154" i="38" s="1"/>
  <c r="E154" i="38" s="1"/>
  <c r="F154" i="38" s="1"/>
  <c r="G154" i="38" s="1"/>
  <c r="H154" i="38" s="1"/>
  <c r="I154" i="38" s="1"/>
  <c r="J154" i="38" s="1"/>
  <c r="K154" i="38" s="1"/>
  <c r="L154" i="38" s="1"/>
  <c r="C153" i="38"/>
  <c r="D153" i="38" s="1"/>
  <c r="E153" i="38" s="1"/>
  <c r="F153" i="38" s="1"/>
  <c r="G153" i="38" s="1"/>
  <c r="H153" i="38" s="1"/>
  <c r="I153" i="38" s="1"/>
  <c r="J153" i="38" s="1"/>
  <c r="K153" i="38" s="1"/>
  <c r="L153" i="38" s="1"/>
  <c r="C152" i="38"/>
  <c r="D152" i="38" s="1"/>
  <c r="E152" i="38" s="1"/>
  <c r="F152" i="38" s="1"/>
  <c r="G152" i="38" s="1"/>
  <c r="H152" i="38" s="1"/>
  <c r="I152" i="38" s="1"/>
  <c r="J152" i="38" s="1"/>
  <c r="K152" i="38" s="1"/>
  <c r="L152" i="38" s="1"/>
  <c r="C151" i="38"/>
  <c r="D151" i="38" s="1"/>
  <c r="E151" i="38" s="1"/>
  <c r="F151" i="38" s="1"/>
  <c r="G151" i="38" s="1"/>
  <c r="H151" i="38" s="1"/>
  <c r="I151" i="38" s="1"/>
  <c r="J151" i="38" s="1"/>
  <c r="K151" i="38" s="1"/>
  <c r="L151" i="38" s="1"/>
  <c r="D149" i="38"/>
  <c r="D148" i="38"/>
  <c r="E148" i="38" s="1"/>
  <c r="F148" i="38" s="1"/>
  <c r="G148" i="38" s="1"/>
  <c r="H148" i="38" s="1"/>
  <c r="I148" i="38" s="1"/>
  <c r="J148" i="38" s="1"/>
  <c r="K148" i="38" s="1"/>
  <c r="L148" i="38" s="1"/>
  <c r="D147" i="38"/>
  <c r="D146" i="38"/>
  <c r="D145" i="38"/>
  <c r="D144" i="38"/>
  <c r="E144" i="38" s="1"/>
  <c r="D143" i="38"/>
  <c r="D142" i="38"/>
  <c r="D141" i="38"/>
  <c r="D140" i="38"/>
  <c r="E140" i="38" s="1"/>
  <c r="F140" i="38" s="1"/>
  <c r="G140" i="38" s="1"/>
  <c r="H140" i="38" s="1"/>
  <c r="I140" i="38" s="1"/>
  <c r="J140" i="38" s="1"/>
  <c r="K140" i="38" s="1"/>
  <c r="L140" i="38" s="1"/>
  <c r="D139" i="38"/>
  <c r="D137" i="38"/>
  <c r="D136" i="38"/>
  <c r="D135" i="38"/>
  <c r="E135" i="38" s="1"/>
  <c r="F135" i="38" s="1"/>
  <c r="G135" i="38" s="1"/>
  <c r="H135" i="38" s="1"/>
  <c r="I135" i="38" s="1"/>
  <c r="J135" i="38" s="1"/>
  <c r="K135" i="38" s="1"/>
  <c r="L135" i="38" s="1"/>
  <c r="D134" i="38"/>
  <c r="D133" i="38"/>
  <c r="D132" i="38"/>
  <c r="D131" i="38"/>
  <c r="E131" i="38" s="1"/>
  <c r="D130" i="38"/>
  <c r="E130" i="38" s="1"/>
  <c r="F130" i="38" s="1"/>
  <c r="G130" i="38" s="1"/>
  <c r="H130" i="38" s="1"/>
  <c r="I130" i="38" s="1"/>
  <c r="J130" i="38" s="1"/>
  <c r="K130" i="38" s="1"/>
  <c r="L130" i="38" s="1"/>
  <c r="D129" i="38"/>
  <c r="D128" i="38"/>
  <c r="D127" i="38"/>
  <c r="E127" i="38" s="1"/>
  <c r="F127" i="38" s="1"/>
  <c r="G127" i="38" s="1"/>
  <c r="H127" i="38" s="1"/>
  <c r="I127" i="38" s="1"/>
  <c r="J127" i="38" s="1"/>
  <c r="K127" i="38" s="1"/>
  <c r="L127" i="38" s="1"/>
  <c r="B161" i="38"/>
  <c r="B159" i="38"/>
  <c r="D121" i="38"/>
  <c r="C193" i="38"/>
  <c r="B157" i="38"/>
  <c r="B155" i="38"/>
  <c r="B154" i="38"/>
  <c r="B153" i="38"/>
  <c r="B164" i="38"/>
  <c r="B163" i="38"/>
  <c r="L103" i="38"/>
  <c r="K103" i="38"/>
  <c r="J103" i="38"/>
  <c r="I103" i="38"/>
  <c r="H103" i="38"/>
  <c r="G103" i="38"/>
  <c r="F103" i="38"/>
  <c r="E103" i="38"/>
  <c r="D103" i="38"/>
  <c r="C103" i="38"/>
  <c r="D64" i="38"/>
  <c r="D63" i="38"/>
  <c r="D172" i="38" s="1"/>
  <c r="D62" i="38"/>
  <c r="D61" i="38"/>
  <c r="D170" i="38" s="1"/>
  <c r="D60" i="38"/>
  <c r="D169" i="38" s="1"/>
  <c r="D59" i="38"/>
  <c r="E59" i="38" s="1"/>
  <c r="D58" i="38"/>
  <c r="D57" i="38"/>
  <c r="D166" i="38" s="1"/>
  <c r="D56" i="38"/>
  <c r="D165" i="38" s="1"/>
  <c r="D55" i="38"/>
  <c r="D164" i="38" s="1"/>
  <c r="D54" i="38"/>
  <c r="D52" i="38"/>
  <c r="D51" i="38"/>
  <c r="D50" i="38"/>
  <c r="E50" i="38" s="1"/>
  <c r="F50" i="38" s="1"/>
  <c r="G50" i="38" s="1"/>
  <c r="H50" i="38" s="1"/>
  <c r="I50" i="38" s="1"/>
  <c r="J50" i="38" s="1"/>
  <c r="K50" i="38" s="1"/>
  <c r="L50" i="38" s="1"/>
  <c r="D49" i="38"/>
  <c r="D48" i="38"/>
  <c r="D47" i="38"/>
  <c r="D46" i="38"/>
  <c r="E46" i="38" s="1"/>
  <c r="F46" i="38" s="1"/>
  <c r="G46" i="38" s="1"/>
  <c r="H46" i="38" s="1"/>
  <c r="I46" i="38" s="1"/>
  <c r="D45" i="38"/>
  <c r="D44" i="38"/>
  <c r="D43" i="38"/>
  <c r="D42" i="38"/>
  <c r="E42" i="38" s="1"/>
  <c r="F42" i="38" s="1"/>
  <c r="G42" i="38" s="1"/>
  <c r="H42" i="38" s="1"/>
  <c r="I42" i="38" s="1"/>
  <c r="J42" i="38" s="1"/>
  <c r="K42" i="38" s="1"/>
  <c r="L42" i="38" s="1"/>
  <c r="D40" i="38"/>
  <c r="D39" i="38"/>
  <c r="B39" i="38"/>
  <c r="D38" i="38"/>
  <c r="D37" i="38"/>
  <c r="E37" i="38" s="1"/>
  <c r="F37" i="38" s="1"/>
  <c r="D36" i="38"/>
  <c r="D35" i="38"/>
  <c r="D34" i="38"/>
  <c r="D33" i="38"/>
  <c r="E33" i="38" s="1"/>
  <c r="D32" i="38"/>
  <c r="E32" i="38" s="1"/>
  <c r="F32" i="38" s="1"/>
  <c r="G32" i="38" s="1"/>
  <c r="H32" i="38" s="1"/>
  <c r="I32" i="38" s="1"/>
  <c r="J32" i="38" s="1"/>
  <c r="K32" i="38" s="1"/>
  <c r="L32" i="38" s="1"/>
  <c r="D31" i="38"/>
  <c r="E31" i="38" s="1"/>
  <c r="F31" i="38" s="1"/>
  <c r="G31" i="38" s="1"/>
  <c r="H31" i="38" s="1"/>
  <c r="I31" i="38" s="1"/>
  <c r="J31" i="38" s="1"/>
  <c r="K31" i="38" s="1"/>
  <c r="L31" i="38" s="1"/>
  <c r="D30" i="38"/>
  <c r="D28" i="38"/>
  <c r="E28" i="38" s="1"/>
  <c r="F28" i="38" s="1"/>
  <c r="D27" i="38"/>
  <c r="D26" i="38"/>
  <c r="D25" i="38"/>
  <c r="D24" i="38"/>
  <c r="E24" i="38" s="1"/>
  <c r="D23" i="38"/>
  <c r="D22" i="38"/>
  <c r="D21" i="38"/>
  <c r="E21" i="38" s="1"/>
  <c r="D20" i="38"/>
  <c r="D19" i="38"/>
  <c r="E19" i="38" s="1"/>
  <c r="F19" i="38" s="1"/>
  <c r="G19" i="38" s="1"/>
  <c r="H19" i="38" s="1"/>
  <c r="I19" i="38" s="1"/>
  <c r="J19" i="38" s="1"/>
  <c r="K19" i="38" s="1"/>
  <c r="L19" i="38" s="1"/>
  <c r="D18" i="38"/>
  <c r="B28" i="38"/>
  <c r="B26" i="38"/>
  <c r="B37" i="38"/>
  <c r="B48" i="38"/>
  <c r="B23" i="38"/>
  <c r="B33" i="38"/>
  <c r="B20" i="38"/>
  <c r="B19" i="38"/>
  <c r="B66" i="38"/>
  <c r="U48" i="40" l="1"/>
  <c r="W15" i="40"/>
  <c r="D145" i="36"/>
  <c r="E145" i="36" s="1"/>
  <c r="F145" i="36" s="1"/>
  <c r="G145" i="36" s="1"/>
  <c r="C194" i="38"/>
  <c r="W147" i="40"/>
  <c r="W136" i="40"/>
  <c r="W180" i="40"/>
  <c r="X180" i="40" s="1"/>
  <c r="U27" i="40"/>
  <c r="V27" i="40" s="1"/>
  <c r="U172" i="40"/>
  <c r="D191" i="38"/>
  <c r="N54" i="36"/>
  <c r="N57" i="36" s="1"/>
  <c r="N58" i="36" s="1"/>
  <c r="N91" i="36" s="1"/>
  <c r="L54" i="37"/>
  <c r="L57" i="37" s="1"/>
  <c r="L88" i="37" s="1"/>
  <c r="W117" i="40"/>
  <c r="X117" i="40" s="1"/>
  <c r="W42" i="40"/>
  <c r="X42" i="40" s="1"/>
  <c r="W48" i="40"/>
  <c r="X48" i="40" s="1"/>
  <c r="U35" i="40"/>
  <c r="U44" i="40"/>
  <c r="V44" i="40" s="1"/>
  <c r="W160" i="40"/>
  <c r="W58" i="40"/>
  <c r="W74" i="40"/>
  <c r="X74" i="40" s="1"/>
  <c r="U188" i="40"/>
  <c r="V188" i="40" s="1"/>
  <c r="W17" i="40"/>
  <c r="U15" i="40"/>
  <c r="V15" i="40" s="1"/>
  <c r="U87" i="40"/>
  <c r="W148" i="40"/>
  <c r="W54" i="40"/>
  <c r="U36" i="40"/>
  <c r="V36" i="40" s="1"/>
  <c r="U136" i="40"/>
  <c r="V136" i="40" s="1"/>
  <c r="U137" i="40"/>
  <c r="L142" i="36"/>
  <c r="L157" i="36" s="1"/>
  <c r="L172" i="36" s="1"/>
  <c r="L187" i="36" s="1"/>
  <c r="L202" i="36" s="1"/>
  <c r="L217" i="36" s="1"/>
  <c r="L232" i="36" s="1"/>
  <c r="L247" i="36" s="1"/>
  <c r="L262" i="36" s="1"/>
  <c r="L277" i="36" s="1"/>
  <c r="L292" i="36" s="1"/>
  <c r="W64" i="40"/>
  <c r="U150" i="40"/>
  <c r="V150" i="40" s="1"/>
  <c r="U187" i="40"/>
  <c r="V187" i="40" s="1"/>
  <c r="J54" i="36"/>
  <c r="J57" i="36" s="1"/>
  <c r="F142" i="36"/>
  <c r="F157" i="36" s="1"/>
  <c r="F172" i="36" s="1"/>
  <c r="F187" i="36" s="1"/>
  <c r="F202" i="36" s="1"/>
  <c r="F217" i="36" s="1"/>
  <c r="F232" i="36" s="1"/>
  <c r="F247" i="36" s="1"/>
  <c r="F262" i="36" s="1"/>
  <c r="F277" i="36" s="1"/>
  <c r="F292" i="36" s="1"/>
  <c r="J142" i="36"/>
  <c r="J157" i="36" s="1"/>
  <c r="J172" i="36" s="1"/>
  <c r="J187" i="36" s="1"/>
  <c r="J202" i="36" s="1"/>
  <c r="J217" i="36" s="1"/>
  <c r="J232" i="36" s="1"/>
  <c r="J247" i="36" s="1"/>
  <c r="J262" i="36" s="1"/>
  <c r="J277" i="36" s="1"/>
  <c r="J292" i="36" s="1"/>
  <c r="E55" i="38"/>
  <c r="E142" i="36"/>
  <c r="E157" i="36" s="1"/>
  <c r="E172" i="36" s="1"/>
  <c r="E187" i="36" s="1"/>
  <c r="E202" i="36" s="1"/>
  <c r="E217" i="36" s="1"/>
  <c r="E232" i="36" s="1"/>
  <c r="E247" i="36" s="1"/>
  <c r="E262" i="36" s="1"/>
  <c r="E277" i="36" s="1"/>
  <c r="E292" i="36" s="1"/>
  <c r="U3" i="40"/>
  <c r="V3" i="40" s="1"/>
  <c r="B21" i="36"/>
  <c r="W67" i="40"/>
  <c r="X67" i="40" s="1"/>
  <c r="U94" i="40"/>
  <c r="U128" i="40"/>
  <c r="V128" i="40" s="1"/>
  <c r="W140" i="40"/>
  <c r="X140" i="40" s="1"/>
  <c r="U157" i="40"/>
  <c r="U162" i="40"/>
  <c r="V162" i="40" s="1"/>
  <c r="U167" i="40"/>
  <c r="V167" i="40" s="1"/>
  <c r="D142" i="36"/>
  <c r="D157" i="36" s="1"/>
  <c r="D172" i="36" s="1"/>
  <c r="D187" i="36" s="1"/>
  <c r="D202" i="36" s="1"/>
  <c r="D217" i="36" s="1"/>
  <c r="D232" i="36" s="1"/>
  <c r="D247" i="36" s="1"/>
  <c r="D262" i="36" s="1"/>
  <c r="D277" i="36" s="1"/>
  <c r="D292" i="36" s="1"/>
  <c r="U24" i="40"/>
  <c r="V24" i="40" s="1"/>
  <c r="U34" i="40"/>
  <c r="W38" i="40"/>
  <c r="X38" i="40" s="1"/>
  <c r="U120" i="40"/>
  <c r="V120" i="40" s="1"/>
  <c r="W135" i="40"/>
  <c r="X135" i="40" s="1"/>
  <c r="U145" i="40"/>
  <c r="V145" i="40" s="1"/>
  <c r="W152" i="40"/>
  <c r="X152" i="40" s="1"/>
  <c r="W189" i="40"/>
  <c r="X189" i="40" s="1"/>
  <c r="N142" i="36"/>
  <c r="N157" i="36" s="1"/>
  <c r="N172" i="36" s="1"/>
  <c r="N187" i="36" s="1"/>
  <c r="N202" i="36" s="1"/>
  <c r="N217" i="36" s="1"/>
  <c r="N232" i="36" s="1"/>
  <c r="N247" i="36" s="1"/>
  <c r="N262" i="36" s="1"/>
  <c r="N277" i="36" s="1"/>
  <c r="N292" i="36" s="1"/>
  <c r="W5" i="40"/>
  <c r="X5" i="40" s="1"/>
  <c r="U26" i="40"/>
  <c r="V26" i="40" s="1"/>
  <c r="U31" i="40"/>
  <c r="V31" i="40" s="1"/>
  <c r="U52" i="40"/>
  <c r="V52" i="40" s="1"/>
  <c r="U83" i="40"/>
  <c r="V83" i="40" s="1"/>
  <c r="AH92" i="40"/>
  <c r="AH94" i="40" s="1"/>
  <c r="AH98" i="40" s="1"/>
  <c r="W120" i="40"/>
  <c r="X120" i="40" s="1"/>
  <c r="U144" i="40"/>
  <c r="V144" i="40" s="1"/>
  <c r="M142" i="36"/>
  <c r="M157" i="36" s="1"/>
  <c r="M172" i="36" s="1"/>
  <c r="M187" i="36" s="1"/>
  <c r="M202" i="36" s="1"/>
  <c r="M217" i="36" s="1"/>
  <c r="M232" i="36" s="1"/>
  <c r="M247" i="36" s="1"/>
  <c r="M262" i="36" s="1"/>
  <c r="M277" i="36" s="1"/>
  <c r="M292" i="36" s="1"/>
  <c r="D120" i="38"/>
  <c r="E120" i="38" s="1"/>
  <c r="F120" i="38" s="1"/>
  <c r="G120" i="38" s="1"/>
  <c r="U41" i="40"/>
  <c r="V41" i="40" s="1"/>
  <c r="U70" i="40"/>
  <c r="V70" i="40" s="1"/>
  <c r="W97" i="40"/>
  <c r="X97" i="40" s="1"/>
  <c r="U142" i="40"/>
  <c r="V142" i="40" s="1"/>
  <c r="W176" i="40"/>
  <c r="X176" i="40" s="1"/>
  <c r="C54" i="37"/>
  <c r="C57" i="37" s="1"/>
  <c r="D54" i="37"/>
  <c r="D57" i="37" s="1"/>
  <c r="D88" i="37" s="1"/>
  <c r="N54" i="37"/>
  <c r="N57" i="37" s="1"/>
  <c r="F54" i="37"/>
  <c r="F57" i="37" s="1"/>
  <c r="E54" i="37"/>
  <c r="E57" i="37" s="1"/>
  <c r="I54" i="37"/>
  <c r="I57" i="37" s="1"/>
  <c r="J54" i="37"/>
  <c r="J57" i="37" s="1"/>
  <c r="U8" i="40"/>
  <c r="V8" i="40" s="1"/>
  <c r="U21" i="40"/>
  <c r="V21" i="40" s="1"/>
  <c r="U30" i="40"/>
  <c r="U93" i="40"/>
  <c r="V93" i="40" s="1"/>
  <c r="U124" i="40"/>
  <c r="V124" i="40" s="1"/>
  <c r="W132" i="40"/>
  <c r="X132" i="40" s="1"/>
  <c r="W157" i="40"/>
  <c r="X157" i="40" s="1"/>
  <c r="W173" i="40"/>
  <c r="X173" i="40" s="1"/>
  <c r="U183" i="40"/>
  <c r="V183" i="40" s="1"/>
  <c r="C161" i="36"/>
  <c r="C176" i="36" s="1"/>
  <c r="C191" i="36" s="1"/>
  <c r="D191" i="36" s="1"/>
  <c r="E191" i="36" s="1"/>
  <c r="F191" i="36" s="1"/>
  <c r="G191" i="36" s="1"/>
  <c r="H191" i="36" s="1"/>
  <c r="I191" i="36" s="1"/>
  <c r="J191" i="36" s="1"/>
  <c r="K191" i="36" s="1"/>
  <c r="L191" i="36" s="1"/>
  <c r="M191" i="36" s="1"/>
  <c r="N191" i="36" s="1"/>
  <c r="D146" i="36"/>
  <c r="E146" i="36" s="1"/>
  <c r="F146" i="36" s="1"/>
  <c r="G146" i="36" s="1"/>
  <c r="H146" i="36" s="1"/>
  <c r="I146" i="36" s="1"/>
  <c r="J146" i="36" s="1"/>
  <c r="K146" i="36" s="1"/>
  <c r="L146" i="36" s="1"/>
  <c r="M146" i="36" s="1"/>
  <c r="N146" i="36" s="1"/>
  <c r="U12" i="40"/>
  <c r="V12" i="40" s="1"/>
  <c r="U28" i="40"/>
  <c r="V28" i="40" s="1"/>
  <c r="U50" i="40"/>
  <c r="U57" i="40"/>
  <c r="E63" i="38"/>
  <c r="E172" i="38" s="1"/>
  <c r="E184" i="38" s="1"/>
  <c r="U13" i="40"/>
  <c r="U17" i="40"/>
  <c r="V17" i="40" s="1"/>
  <c r="W19" i="40"/>
  <c r="X19" i="40" s="1"/>
  <c r="U32" i="40"/>
  <c r="V32" i="40" s="1"/>
  <c r="U54" i="40"/>
  <c r="V54" i="40" s="1"/>
  <c r="U64" i="40"/>
  <c r="U74" i="40"/>
  <c r="U102" i="40"/>
  <c r="V102" i="40" s="1"/>
  <c r="W184" i="40"/>
  <c r="X184" i="40" s="1"/>
  <c r="W31" i="40"/>
  <c r="X31" i="40" s="1"/>
  <c r="W107" i="40"/>
  <c r="X107" i="40" s="1"/>
  <c r="W111" i="40"/>
  <c r="X111" i="40" s="1"/>
  <c r="U123" i="40"/>
  <c r="V123" i="40" s="1"/>
  <c r="U71" i="40"/>
  <c r="U85" i="40"/>
  <c r="U149" i="40"/>
  <c r="V149" i="40" s="1"/>
  <c r="C142" i="37"/>
  <c r="C157" i="37" s="1"/>
  <c r="C172" i="37" s="1"/>
  <c r="C187" i="37" s="1"/>
  <c r="C202" i="37" s="1"/>
  <c r="C217" i="37" s="1"/>
  <c r="C232" i="37" s="1"/>
  <c r="C247" i="37" s="1"/>
  <c r="C262" i="37" s="1"/>
  <c r="C277" i="37" s="1"/>
  <c r="C292" i="37" s="1"/>
  <c r="F142" i="37"/>
  <c r="F157" i="37" s="1"/>
  <c r="F172" i="37" s="1"/>
  <c r="F187" i="37" s="1"/>
  <c r="F202" i="37" s="1"/>
  <c r="F217" i="37" s="1"/>
  <c r="F232" i="37" s="1"/>
  <c r="F247" i="37" s="1"/>
  <c r="F262" i="37" s="1"/>
  <c r="F277" i="37" s="1"/>
  <c r="F292" i="37" s="1"/>
  <c r="J142" i="37"/>
  <c r="J157" i="37" s="1"/>
  <c r="J172" i="37" s="1"/>
  <c r="J187" i="37" s="1"/>
  <c r="J202" i="37" s="1"/>
  <c r="J217" i="37" s="1"/>
  <c r="J232" i="37" s="1"/>
  <c r="J247" i="37" s="1"/>
  <c r="J262" i="37" s="1"/>
  <c r="J277" i="37" s="1"/>
  <c r="J292" i="37" s="1"/>
  <c r="U62" i="40"/>
  <c r="V62" i="40" s="1"/>
  <c r="U73" i="40"/>
  <c r="V73" i="40" s="1"/>
  <c r="U81" i="40"/>
  <c r="V81" i="40" s="1"/>
  <c r="W84" i="40"/>
  <c r="X84" i="40" s="1"/>
  <c r="U112" i="40"/>
  <c r="V112" i="40" s="1"/>
  <c r="W129" i="40"/>
  <c r="X129" i="40" s="1"/>
  <c r="W143" i="40"/>
  <c r="X143" i="40" s="1"/>
  <c r="W144" i="40"/>
  <c r="X144" i="40" s="1"/>
  <c r="U170" i="40"/>
  <c r="V170" i="40" s="1"/>
  <c r="U25" i="40"/>
  <c r="V25" i="40" s="1"/>
  <c r="U38" i="40"/>
  <c r="U110" i="40"/>
  <c r="V110" i="40" s="1"/>
  <c r="U33" i="40"/>
  <c r="V33" i="40" s="1"/>
  <c r="U68" i="40"/>
  <c r="V68" i="40" s="1"/>
  <c r="U72" i="40"/>
  <c r="V72" i="40" s="1"/>
  <c r="W73" i="40"/>
  <c r="W95" i="40"/>
  <c r="X95" i="40" s="1"/>
  <c r="W113" i="40"/>
  <c r="X113" i="40" s="1"/>
  <c r="U122" i="40"/>
  <c r="V122" i="40" s="1"/>
  <c r="W139" i="40"/>
  <c r="X139" i="40" s="1"/>
  <c r="U180" i="40"/>
  <c r="V180" i="40" s="1"/>
  <c r="M54" i="37"/>
  <c r="M57" i="37" s="1"/>
  <c r="U173" i="40"/>
  <c r="V173" i="40" s="1"/>
  <c r="U4" i="40"/>
  <c r="V4" i="40" s="1"/>
  <c r="W24" i="40"/>
  <c r="X24" i="40" s="1"/>
  <c r="W32" i="40"/>
  <c r="X32" i="40" s="1"/>
  <c r="W39" i="40"/>
  <c r="X39" i="40" s="1"/>
  <c r="U42" i="40"/>
  <c r="V42" i="40" s="1"/>
  <c r="U45" i="40"/>
  <c r="V45" i="40" s="1"/>
  <c r="W50" i="40"/>
  <c r="X50" i="40" s="1"/>
  <c r="W62" i="40"/>
  <c r="X62" i="40" s="1"/>
  <c r="U65" i="40"/>
  <c r="V65" i="40" s="1"/>
  <c r="W80" i="40"/>
  <c r="W93" i="40"/>
  <c r="X93" i="40" s="1"/>
  <c r="U95" i="40"/>
  <c r="V95" i="40" s="1"/>
  <c r="U106" i="40"/>
  <c r="V106" i="40" s="1"/>
  <c r="U126" i="40"/>
  <c r="V126" i="40" s="1"/>
  <c r="W142" i="40"/>
  <c r="X142" i="40" s="1"/>
  <c r="U153" i="40"/>
  <c r="V153" i="40" s="1"/>
  <c r="U154" i="40"/>
  <c r="W164" i="40"/>
  <c r="U182" i="40"/>
  <c r="U104" i="40"/>
  <c r="V104" i="40" s="1"/>
  <c r="W124" i="40"/>
  <c r="X124" i="40" s="1"/>
  <c r="U127" i="40"/>
  <c r="V127" i="40" s="1"/>
  <c r="U161" i="40"/>
  <c r="V161" i="40" s="1"/>
  <c r="U5" i="40"/>
  <c r="V5" i="40" s="1"/>
  <c r="U16" i="40"/>
  <c r="U19" i="40"/>
  <c r="W27" i="40"/>
  <c r="X27" i="40" s="1"/>
  <c r="U29" i="40"/>
  <c r="V29" i="40" s="1"/>
  <c r="W35" i="40"/>
  <c r="X35" i="40" s="1"/>
  <c r="U46" i="40"/>
  <c r="V46" i="40" s="1"/>
  <c r="W51" i="40"/>
  <c r="X51" i="40" s="1"/>
  <c r="U60" i="40"/>
  <c r="V60" i="40" s="1"/>
  <c r="U66" i="40"/>
  <c r="U79" i="40"/>
  <c r="V79" i="40" s="1"/>
  <c r="U108" i="40"/>
  <c r="V108" i="40" s="1"/>
  <c r="U130" i="40"/>
  <c r="V130" i="40" s="1"/>
  <c r="W133" i="40"/>
  <c r="X133" i="40" s="1"/>
  <c r="U140" i="40"/>
  <c r="V140" i="40" s="1"/>
  <c r="V157" i="40"/>
  <c r="U166" i="40"/>
  <c r="V166" i="40" s="1"/>
  <c r="F54" i="36"/>
  <c r="F57" i="36" s="1"/>
  <c r="I142" i="36"/>
  <c r="I157" i="36" s="1"/>
  <c r="I172" i="36" s="1"/>
  <c r="I187" i="36" s="1"/>
  <c r="I202" i="36" s="1"/>
  <c r="I217" i="36" s="1"/>
  <c r="I232" i="36" s="1"/>
  <c r="I247" i="36" s="1"/>
  <c r="I262" i="36" s="1"/>
  <c r="I277" i="36" s="1"/>
  <c r="I292" i="36" s="1"/>
  <c r="U118" i="40"/>
  <c r="V118" i="40" s="1"/>
  <c r="U9" i="40"/>
  <c r="V9" i="40" s="1"/>
  <c r="U20" i="40"/>
  <c r="V20" i="40" s="1"/>
  <c r="W28" i="40"/>
  <c r="X28" i="40" s="1"/>
  <c r="W46" i="40"/>
  <c r="X46" i="40" s="1"/>
  <c r="U49" i="40"/>
  <c r="V49" i="40" s="1"/>
  <c r="U58" i="40"/>
  <c r="V58" i="40" s="1"/>
  <c r="U61" i="40"/>
  <c r="V61" i="40" s="1"/>
  <c r="W66" i="40"/>
  <c r="X66" i="40" s="1"/>
  <c r="U141" i="40"/>
  <c r="V141" i="40" s="1"/>
  <c r="X147" i="40"/>
  <c r="U156" i="40"/>
  <c r="V156" i="40" s="1"/>
  <c r="U184" i="40"/>
  <c r="V184" i="40" s="1"/>
  <c r="U186" i="40"/>
  <c r="V186" i="40" s="1"/>
  <c r="H142" i="36"/>
  <c r="H157" i="36" s="1"/>
  <c r="H172" i="36" s="1"/>
  <c r="H187" i="36" s="1"/>
  <c r="H202" i="36" s="1"/>
  <c r="H217" i="36" s="1"/>
  <c r="H232" i="36" s="1"/>
  <c r="H247" i="36" s="1"/>
  <c r="H262" i="36" s="1"/>
  <c r="H277" i="36" s="1"/>
  <c r="H292" i="36" s="1"/>
  <c r="O26" i="11"/>
  <c r="N29" i="11"/>
  <c r="N28" i="11"/>
  <c r="F144" i="38"/>
  <c r="G144" i="38" s="1"/>
  <c r="H144" i="38" s="1"/>
  <c r="I144" i="38" s="1"/>
  <c r="J144" i="38" s="1"/>
  <c r="K144" i="38" s="1"/>
  <c r="L144" i="38" s="1"/>
  <c r="M144" i="38" s="1"/>
  <c r="E23" i="38"/>
  <c r="F23" i="38" s="1"/>
  <c r="G23" i="38" s="1"/>
  <c r="H23" i="38" s="1"/>
  <c r="I23" i="38" s="1"/>
  <c r="J23" i="38" s="1"/>
  <c r="K23" i="38" s="1"/>
  <c r="L23" i="38" s="1"/>
  <c r="E129" i="38"/>
  <c r="F129" i="38" s="1"/>
  <c r="G129" i="38" s="1"/>
  <c r="H129" i="38" s="1"/>
  <c r="I129" i="38" s="1"/>
  <c r="J129" i="38" s="1"/>
  <c r="K129" i="38" s="1"/>
  <c r="L129" i="38" s="1"/>
  <c r="M127" i="38"/>
  <c r="B21" i="38"/>
  <c r="B57" i="38"/>
  <c r="B72" i="38"/>
  <c r="B44" i="38"/>
  <c r="B52" i="38"/>
  <c r="B61" i="38"/>
  <c r="B25" i="38"/>
  <c r="H155" i="37"/>
  <c r="H163" i="37" s="1"/>
  <c r="B24" i="38"/>
  <c r="B127" i="38"/>
  <c r="B133" i="38"/>
  <c r="C170" i="37"/>
  <c r="C183" i="38"/>
  <c r="D161" i="37"/>
  <c r="E161" i="37" s="1"/>
  <c r="F161" i="37" s="1"/>
  <c r="G161" i="37" s="1"/>
  <c r="H161" i="37" s="1"/>
  <c r="I161" i="37" s="1"/>
  <c r="J161" i="37" s="1"/>
  <c r="K161" i="37" s="1"/>
  <c r="L161" i="37" s="1"/>
  <c r="M161" i="37" s="1"/>
  <c r="N161" i="37" s="1"/>
  <c r="M142" i="37"/>
  <c r="M157" i="37" s="1"/>
  <c r="M172" i="37" s="1"/>
  <c r="M187" i="37" s="1"/>
  <c r="M202" i="37" s="1"/>
  <c r="M217" i="37" s="1"/>
  <c r="M232" i="37" s="1"/>
  <c r="M247" i="37" s="1"/>
  <c r="M262" i="37" s="1"/>
  <c r="M277" i="37" s="1"/>
  <c r="M292" i="37" s="1"/>
  <c r="I142" i="37"/>
  <c r="I157" i="37" s="1"/>
  <c r="I172" i="37" s="1"/>
  <c r="I187" i="37" s="1"/>
  <c r="I202" i="37" s="1"/>
  <c r="I217" i="37" s="1"/>
  <c r="I232" i="37" s="1"/>
  <c r="I247" i="37" s="1"/>
  <c r="I262" i="37" s="1"/>
  <c r="I277" i="37" s="1"/>
  <c r="I292" i="37" s="1"/>
  <c r="E142" i="37"/>
  <c r="E157" i="37" s="1"/>
  <c r="E172" i="37" s="1"/>
  <c r="E187" i="37" s="1"/>
  <c r="E202" i="37" s="1"/>
  <c r="E217" i="37" s="1"/>
  <c r="E232" i="37" s="1"/>
  <c r="E247" i="37" s="1"/>
  <c r="E262" i="37" s="1"/>
  <c r="E277" i="37" s="1"/>
  <c r="E292" i="37" s="1"/>
  <c r="L142" i="37"/>
  <c r="L157" i="37" s="1"/>
  <c r="L172" i="37" s="1"/>
  <c r="L187" i="37" s="1"/>
  <c r="L202" i="37" s="1"/>
  <c r="L217" i="37" s="1"/>
  <c r="L232" i="37" s="1"/>
  <c r="L247" i="37" s="1"/>
  <c r="L262" i="37" s="1"/>
  <c r="L277" i="37" s="1"/>
  <c r="L292" i="37" s="1"/>
  <c r="H142" i="37"/>
  <c r="H157" i="37" s="1"/>
  <c r="H172" i="37" s="1"/>
  <c r="H187" i="37" s="1"/>
  <c r="H202" i="37" s="1"/>
  <c r="H217" i="37" s="1"/>
  <c r="H232" i="37" s="1"/>
  <c r="H247" i="37" s="1"/>
  <c r="H262" i="37" s="1"/>
  <c r="H277" i="37" s="1"/>
  <c r="H292" i="37" s="1"/>
  <c r="D142" i="37"/>
  <c r="D157" i="37" s="1"/>
  <c r="D172" i="37" s="1"/>
  <c r="D187" i="37" s="1"/>
  <c r="D202" i="37" s="1"/>
  <c r="D217" i="37" s="1"/>
  <c r="D232" i="37" s="1"/>
  <c r="D247" i="37" s="1"/>
  <c r="D262" i="37" s="1"/>
  <c r="D277" i="37" s="1"/>
  <c r="D292" i="37" s="1"/>
  <c r="K142" i="37"/>
  <c r="K157" i="37" s="1"/>
  <c r="K172" i="37" s="1"/>
  <c r="K187" i="37" s="1"/>
  <c r="K202" i="37" s="1"/>
  <c r="K217" i="37" s="1"/>
  <c r="K232" i="37" s="1"/>
  <c r="K247" i="37" s="1"/>
  <c r="K262" i="37" s="1"/>
  <c r="K277" i="37" s="1"/>
  <c r="K292" i="37" s="1"/>
  <c r="G142" i="37"/>
  <c r="G157" i="37" s="1"/>
  <c r="G172" i="37" s="1"/>
  <c r="G187" i="37" s="1"/>
  <c r="G202" i="37" s="1"/>
  <c r="G217" i="37" s="1"/>
  <c r="G232" i="37" s="1"/>
  <c r="G247" i="37" s="1"/>
  <c r="G262" i="37" s="1"/>
  <c r="G277" i="37" s="1"/>
  <c r="G292" i="37" s="1"/>
  <c r="K54" i="37"/>
  <c r="K57" i="37" s="1"/>
  <c r="G54" i="37"/>
  <c r="G57" i="37" s="1"/>
  <c r="K142" i="36"/>
  <c r="K157" i="36" s="1"/>
  <c r="K172" i="36" s="1"/>
  <c r="K187" i="36" s="1"/>
  <c r="K202" i="36" s="1"/>
  <c r="K217" i="36" s="1"/>
  <c r="K232" i="36" s="1"/>
  <c r="K247" i="36" s="1"/>
  <c r="K262" i="36" s="1"/>
  <c r="K277" i="36" s="1"/>
  <c r="K292" i="36" s="1"/>
  <c r="G142" i="36"/>
  <c r="G157" i="36" s="1"/>
  <c r="G172" i="36" s="1"/>
  <c r="G187" i="36" s="1"/>
  <c r="G202" i="36" s="1"/>
  <c r="G217" i="36" s="1"/>
  <c r="G232" i="36" s="1"/>
  <c r="G247" i="36" s="1"/>
  <c r="G262" i="36" s="1"/>
  <c r="G277" i="36" s="1"/>
  <c r="G292" i="36" s="1"/>
  <c r="M54" i="36"/>
  <c r="M57" i="36" s="1"/>
  <c r="M58" i="36" s="1"/>
  <c r="M91" i="36" s="1"/>
  <c r="I54" i="36"/>
  <c r="I57" i="36" s="1"/>
  <c r="I58" i="36" s="1"/>
  <c r="I91" i="36" s="1"/>
  <c r="E54" i="36"/>
  <c r="E57" i="36" s="1"/>
  <c r="E58" i="36" s="1"/>
  <c r="E91" i="36" s="1"/>
  <c r="L54" i="36"/>
  <c r="L57" i="36" s="1"/>
  <c r="L88" i="36" s="1"/>
  <c r="H54" i="36"/>
  <c r="H57" i="36" s="1"/>
  <c r="H58" i="36" s="1"/>
  <c r="H91" i="36" s="1"/>
  <c r="D54" i="36"/>
  <c r="D57" i="36" s="1"/>
  <c r="D58" i="36" s="1"/>
  <c r="D91" i="36" s="1"/>
  <c r="K54" i="36"/>
  <c r="K57" i="36" s="1"/>
  <c r="K58" i="36" s="1"/>
  <c r="K91" i="36" s="1"/>
  <c r="G54" i="36"/>
  <c r="G57" i="36" s="1"/>
  <c r="W6" i="40"/>
  <c r="X6" i="40" s="1"/>
  <c r="W23" i="40"/>
  <c r="X23" i="40" s="1"/>
  <c r="V34" i="40"/>
  <c r="AH77" i="40"/>
  <c r="AH76" i="40"/>
  <c r="AH75" i="40"/>
  <c r="W76" i="40"/>
  <c r="X76" i="40" s="1"/>
  <c r="W116" i="40"/>
  <c r="X116" i="40" s="1"/>
  <c r="W146" i="40"/>
  <c r="U7" i="40"/>
  <c r="V7" i="40" s="1"/>
  <c r="W10" i="40"/>
  <c r="X10" i="40" s="1"/>
  <c r="W11" i="40"/>
  <c r="X11" i="40" s="1"/>
  <c r="V16" i="40"/>
  <c r="X17" i="40"/>
  <c r="V19" i="40"/>
  <c r="W21" i="40"/>
  <c r="X21" i="40" s="1"/>
  <c r="U23" i="40"/>
  <c r="V23" i="40" s="1"/>
  <c r="W26" i="40"/>
  <c r="X26" i="40" s="1"/>
  <c r="W30" i="40"/>
  <c r="X30" i="40" s="1"/>
  <c r="W34" i="40"/>
  <c r="X34" i="40" s="1"/>
  <c r="U40" i="40"/>
  <c r="V40" i="40" s="1"/>
  <c r="W47" i="40"/>
  <c r="X47" i="40" s="1"/>
  <c r="U56" i="40"/>
  <c r="V56" i="40" s="1"/>
  <c r="W63" i="40"/>
  <c r="X63" i="40" s="1"/>
  <c r="V71" i="40"/>
  <c r="W13" i="40"/>
  <c r="X13" i="40" s="1"/>
  <c r="W18" i="40"/>
  <c r="X18" i="40" s="1"/>
  <c r="W91" i="40"/>
  <c r="X91" i="40" s="1"/>
  <c r="W7" i="40"/>
  <c r="X7" i="40" s="1"/>
  <c r="W22" i="40"/>
  <c r="X22" i="40" s="1"/>
  <c r="V30" i="40"/>
  <c r="W9" i="40"/>
  <c r="X9" i="40" s="1"/>
  <c r="U11" i="40"/>
  <c r="V11" i="40" s="1"/>
  <c r="W14" i="40"/>
  <c r="X14" i="40" s="1"/>
  <c r="U96" i="40"/>
  <c r="V96" i="40" s="1"/>
  <c r="U98" i="40"/>
  <c r="V98" i="40" s="1"/>
  <c r="W138" i="40"/>
  <c r="X138" i="40" s="1"/>
  <c r="V13" i="40"/>
  <c r="W82" i="40"/>
  <c r="X82" i="40" s="1"/>
  <c r="W83" i="40"/>
  <c r="X83" i="40" s="1"/>
  <c r="W89" i="40"/>
  <c r="W92" i="40"/>
  <c r="X92" i="40" s="1"/>
  <c r="W100" i="40"/>
  <c r="X100" i="40" s="1"/>
  <c r="U116" i="40"/>
  <c r="V116" i="40" s="1"/>
  <c r="U138" i="40"/>
  <c r="V138" i="40" s="1"/>
  <c r="U146" i="40"/>
  <c r="V146" i="40" s="1"/>
  <c r="W55" i="40"/>
  <c r="X55" i="40" s="1"/>
  <c r="W75" i="40"/>
  <c r="X75" i="40" s="1"/>
  <c r="W77" i="40"/>
  <c r="X77" i="40" s="1"/>
  <c r="W78" i="40"/>
  <c r="X78" i="40" s="1"/>
  <c r="W79" i="40"/>
  <c r="X79" i="40" s="1"/>
  <c r="W94" i="40"/>
  <c r="X94" i="40" s="1"/>
  <c r="W106" i="40"/>
  <c r="X106" i="40" s="1"/>
  <c r="U119" i="40"/>
  <c r="V119" i="40" s="1"/>
  <c r="W128" i="40"/>
  <c r="X128" i="40" s="1"/>
  <c r="W151" i="40"/>
  <c r="X151" i="40" s="1"/>
  <c r="V191" i="40"/>
  <c r="W3" i="40"/>
  <c r="X3" i="40" s="1"/>
  <c r="W4" i="40"/>
  <c r="X4" i="40" s="1"/>
  <c r="U6" i="40"/>
  <c r="V6" i="40" s="1"/>
  <c r="W8" i="40"/>
  <c r="X8" i="40" s="1"/>
  <c r="U10" i="40"/>
  <c r="V10" i="40" s="1"/>
  <c r="W12" i="40"/>
  <c r="X12" i="40" s="1"/>
  <c r="U14" i="40"/>
  <c r="V14" i="40" s="1"/>
  <c r="W16" i="40"/>
  <c r="X16" i="40" s="1"/>
  <c r="U18" i="40"/>
  <c r="V18" i="40" s="1"/>
  <c r="W20" i="40"/>
  <c r="X20" i="40" s="1"/>
  <c r="U22" i="40"/>
  <c r="V22" i="40" s="1"/>
  <c r="W25" i="40"/>
  <c r="X25" i="40" s="1"/>
  <c r="W29" i="40"/>
  <c r="X29" i="40" s="1"/>
  <c r="W33" i="40"/>
  <c r="X33" i="40" s="1"/>
  <c r="V35" i="40"/>
  <c r="U37" i="40"/>
  <c r="V37" i="40" s="1"/>
  <c r="W40" i="40"/>
  <c r="X40" i="40" s="1"/>
  <c r="W43" i="40"/>
  <c r="X43" i="40" s="1"/>
  <c r="V48" i="40"/>
  <c r="V50" i="40"/>
  <c r="U53" i="40"/>
  <c r="V53" i="40" s="1"/>
  <c r="X54" i="40"/>
  <c r="W56" i="40"/>
  <c r="X56" i="40" s="1"/>
  <c r="W59" i="40"/>
  <c r="X59" i="40" s="1"/>
  <c r="V64" i="40"/>
  <c r="X64" i="40"/>
  <c r="V66" i="40"/>
  <c r="U69" i="40"/>
  <c r="V69" i="40" s="1"/>
  <c r="W81" i="40"/>
  <c r="X81" i="40" s="1"/>
  <c r="W88" i="40"/>
  <c r="X88" i="40" s="1"/>
  <c r="U89" i="40"/>
  <c r="V89" i="40" s="1"/>
  <c r="W90" i="40"/>
  <c r="X90" i="40" s="1"/>
  <c r="W99" i="40"/>
  <c r="X99" i="40" s="1"/>
  <c r="U100" i="40"/>
  <c r="V100" i="40" s="1"/>
  <c r="W101" i="40"/>
  <c r="X101" i="40" s="1"/>
  <c r="W102" i="40"/>
  <c r="X102" i="40" s="1"/>
  <c r="W108" i="40"/>
  <c r="X108" i="40" s="1"/>
  <c r="U114" i="40"/>
  <c r="V114" i="40" s="1"/>
  <c r="W125" i="40"/>
  <c r="X125" i="40" s="1"/>
  <c r="U132" i="40"/>
  <c r="V132" i="40" s="1"/>
  <c r="X136" i="40"/>
  <c r="U148" i="40"/>
  <c r="V148" i="40" s="1"/>
  <c r="W153" i="40"/>
  <c r="X153" i="40" s="1"/>
  <c r="W170" i="40"/>
  <c r="X170" i="40" s="1"/>
  <c r="X15" i="40"/>
  <c r="V57" i="40"/>
  <c r="V85" i="40"/>
  <c r="U91" i="40"/>
  <c r="V91" i="40" s="1"/>
  <c r="W109" i="40"/>
  <c r="X109" i="40" s="1"/>
  <c r="W110" i="40"/>
  <c r="X110" i="40" s="1"/>
  <c r="W121" i="40"/>
  <c r="X121" i="40" s="1"/>
  <c r="W126" i="40"/>
  <c r="X126" i="40" s="1"/>
  <c r="W36" i="40"/>
  <c r="X36" i="40" s="1"/>
  <c r="W52" i="40"/>
  <c r="X52" i="40" s="1"/>
  <c r="W68" i="40"/>
  <c r="X68" i="40" s="1"/>
  <c r="X73" i="40"/>
  <c r="X80" i="40"/>
  <c r="W85" i="40"/>
  <c r="X85" i="40" s="1"/>
  <c r="W103" i="40"/>
  <c r="X103" i="40" s="1"/>
  <c r="W105" i="40"/>
  <c r="X105" i="40" s="1"/>
  <c r="W112" i="40"/>
  <c r="X112" i="40" s="1"/>
  <c r="W114" i="40"/>
  <c r="X114" i="40" s="1"/>
  <c r="V137" i="40"/>
  <c r="W141" i="40"/>
  <c r="X141" i="40" s="1"/>
  <c r="W190" i="40"/>
  <c r="X190" i="40" s="1"/>
  <c r="V38" i="40"/>
  <c r="W44" i="40"/>
  <c r="X44" i="40" s="1"/>
  <c r="X58" i="40"/>
  <c r="W60" i="40"/>
  <c r="X60" i="40" s="1"/>
  <c r="V74" i="40"/>
  <c r="W86" i="40"/>
  <c r="X86" i="40" s="1"/>
  <c r="W87" i="40"/>
  <c r="X87" i="40" s="1"/>
  <c r="W104" i="40"/>
  <c r="W130" i="40"/>
  <c r="X130" i="40" s="1"/>
  <c r="U134" i="40"/>
  <c r="V134" i="40" s="1"/>
  <c r="U135" i="40"/>
  <c r="V135" i="40" s="1"/>
  <c r="U143" i="40"/>
  <c r="V143" i="40" s="1"/>
  <c r="U151" i="40"/>
  <c r="V151" i="40" s="1"/>
  <c r="U152" i="40"/>
  <c r="V152" i="40" s="1"/>
  <c r="W37" i="40"/>
  <c r="X37" i="40" s="1"/>
  <c r="U39" i="40"/>
  <c r="V39" i="40" s="1"/>
  <c r="W41" i="40"/>
  <c r="X41" i="40" s="1"/>
  <c r="U43" i="40"/>
  <c r="V43" i="40" s="1"/>
  <c r="W45" i="40"/>
  <c r="X45" i="40" s="1"/>
  <c r="U47" i="40"/>
  <c r="V47" i="40" s="1"/>
  <c r="W49" i="40"/>
  <c r="X49" i="40" s="1"/>
  <c r="U51" i="40"/>
  <c r="V51" i="40" s="1"/>
  <c r="W53" i="40"/>
  <c r="X53" i="40" s="1"/>
  <c r="U55" i="40"/>
  <c r="V55" i="40" s="1"/>
  <c r="W57" i="40"/>
  <c r="X57" i="40" s="1"/>
  <c r="U59" i="40"/>
  <c r="V59" i="40" s="1"/>
  <c r="W61" i="40"/>
  <c r="X61" i="40" s="1"/>
  <c r="U63" i="40"/>
  <c r="V63" i="40" s="1"/>
  <c r="W65" i="40"/>
  <c r="X65" i="40" s="1"/>
  <c r="U67" i="40"/>
  <c r="V67" i="40" s="1"/>
  <c r="W69" i="40"/>
  <c r="X69" i="40" s="1"/>
  <c r="W70" i="40"/>
  <c r="X70" i="40" s="1"/>
  <c r="W71" i="40"/>
  <c r="X71" i="40" s="1"/>
  <c r="W72" i="40"/>
  <c r="X72" i="40" s="1"/>
  <c r="U75" i="40"/>
  <c r="V75" i="40" s="1"/>
  <c r="U76" i="40"/>
  <c r="V76" i="40" s="1"/>
  <c r="U77" i="40"/>
  <c r="V77" i="40" s="1"/>
  <c r="U78" i="40"/>
  <c r="V78" i="40" s="1"/>
  <c r="U80" i="40"/>
  <c r="V80" i="40" s="1"/>
  <c r="U82" i="40"/>
  <c r="V82" i="40" s="1"/>
  <c r="U84" i="40"/>
  <c r="V84" i="40" s="1"/>
  <c r="U86" i="40"/>
  <c r="V86" i="40" s="1"/>
  <c r="V87" i="40"/>
  <c r="U88" i="40"/>
  <c r="V88" i="40" s="1"/>
  <c r="U90" i="40"/>
  <c r="V90" i="40" s="1"/>
  <c r="U92" i="40"/>
  <c r="V92" i="40" s="1"/>
  <c r="U97" i="40"/>
  <c r="V97" i="40" s="1"/>
  <c r="U99" i="40"/>
  <c r="V99" i="40" s="1"/>
  <c r="U101" i="40"/>
  <c r="V101" i="40" s="1"/>
  <c r="U103" i="40"/>
  <c r="V103" i="40" s="1"/>
  <c r="U105" i="40"/>
  <c r="V105" i="40" s="1"/>
  <c r="U107" i="40"/>
  <c r="V107" i="40" s="1"/>
  <c r="U109" i="40"/>
  <c r="V109" i="40" s="1"/>
  <c r="U111" i="40"/>
  <c r="V111" i="40" s="1"/>
  <c r="U115" i="40"/>
  <c r="V115" i="40" s="1"/>
  <c r="W118" i="40"/>
  <c r="X118" i="40" s="1"/>
  <c r="U131" i="40"/>
  <c r="V131" i="40" s="1"/>
  <c r="W134" i="40"/>
  <c r="X134" i="40" s="1"/>
  <c r="W137" i="40"/>
  <c r="X137" i="40" s="1"/>
  <c r="U139" i="40"/>
  <c r="V139" i="40" s="1"/>
  <c r="W145" i="40"/>
  <c r="X145" i="40" s="1"/>
  <c r="U147" i="40"/>
  <c r="V147" i="40" s="1"/>
  <c r="V154" i="40"/>
  <c r="W155" i="40"/>
  <c r="X155" i="40" s="1"/>
  <c r="U164" i="40"/>
  <c r="V164" i="40" s="1"/>
  <c r="W165" i="40"/>
  <c r="X165" i="40" s="1"/>
  <c r="W171" i="40"/>
  <c r="X171" i="40" s="1"/>
  <c r="X89" i="40"/>
  <c r="V94" i="40"/>
  <c r="W96" i="40"/>
  <c r="X96" i="40" s="1"/>
  <c r="W98" i="40"/>
  <c r="X98" i="40" s="1"/>
  <c r="X104" i="40"/>
  <c r="W122" i="40"/>
  <c r="X122" i="40" s="1"/>
  <c r="W149" i="40"/>
  <c r="X149" i="40" s="1"/>
  <c r="W159" i="40"/>
  <c r="X159" i="40" s="1"/>
  <c r="W161" i="40"/>
  <c r="X161" i="40" s="1"/>
  <c r="W168" i="40"/>
  <c r="X168" i="40" s="1"/>
  <c r="W169" i="40"/>
  <c r="X169" i="40" s="1"/>
  <c r="W177" i="40"/>
  <c r="X177" i="40" s="1"/>
  <c r="W185" i="40"/>
  <c r="X185" i="40" s="1"/>
  <c r="U113" i="40"/>
  <c r="V113" i="40" s="1"/>
  <c r="W115" i="40"/>
  <c r="X115" i="40" s="1"/>
  <c r="U117" i="40"/>
  <c r="V117" i="40" s="1"/>
  <c r="W119" i="40"/>
  <c r="X119" i="40" s="1"/>
  <c r="U121" i="40"/>
  <c r="V121" i="40" s="1"/>
  <c r="W123" i="40"/>
  <c r="X123" i="40" s="1"/>
  <c r="U125" i="40"/>
  <c r="V125" i="40" s="1"/>
  <c r="W127" i="40"/>
  <c r="X127" i="40" s="1"/>
  <c r="U129" i="40"/>
  <c r="V129" i="40" s="1"/>
  <c r="W131" i="40"/>
  <c r="X131" i="40" s="1"/>
  <c r="U133" i="40"/>
  <c r="V133" i="40" s="1"/>
  <c r="X146" i="40"/>
  <c r="X148" i="40"/>
  <c r="U160" i="40"/>
  <c r="V160" i="40" s="1"/>
  <c r="U163" i="40"/>
  <c r="V163" i="40" s="1"/>
  <c r="W166" i="40"/>
  <c r="X166" i="40" s="1"/>
  <c r="U176" i="40"/>
  <c r="V176" i="40" s="1"/>
  <c r="W181" i="40"/>
  <c r="X181" i="40" s="1"/>
  <c r="W186" i="40"/>
  <c r="X186" i="40" s="1"/>
  <c r="U190" i="40"/>
  <c r="V190" i="40" s="1"/>
  <c r="W150" i="40"/>
  <c r="X150" i="40" s="1"/>
  <c r="W154" i="40"/>
  <c r="X154" i="40" s="1"/>
  <c r="W156" i="40"/>
  <c r="X156" i="40" s="1"/>
  <c r="U158" i="40"/>
  <c r="V158" i="40" s="1"/>
  <c r="U159" i="40"/>
  <c r="V159" i="40" s="1"/>
  <c r="W172" i="40"/>
  <c r="X172" i="40" s="1"/>
  <c r="U174" i="40"/>
  <c r="V174" i="40" s="1"/>
  <c r="U175" i="40"/>
  <c r="V175" i="40" s="1"/>
  <c r="U178" i="40"/>
  <c r="V178" i="40" s="1"/>
  <c r="U179" i="40"/>
  <c r="V179" i="40" s="1"/>
  <c r="V182" i="40"/>
  <c r="W188" i="40"/>
  <c r="X188" i="40" s="1"/>
  <c r="U155" i="40"/>
  <c r="V155" i="40" s="1"/>
  <c r="W158" i="40"/>
  <c r="X158" i="40" s="1"/>
  <c r="X160" i="40"/>
  <c r="W163" i="40"/>
  <c r="X163" i="40" s="1"/>
  <c r="U165" i="40"/>
  <c r="V165" i="40" s="1"/>
  <c r="U168" i="40"/>
  <c r="V168" i="40" s="1"/>
  <c r="U171" i="40"/>
  <c r="V171" i="40" s="1"/>
  <c r="V172" i="40"/>
  <c r="W174" i="40"/>
  <c r="X174" i="40" s="1"/>
  <c r="W178" i="40"/>
  <c r="X178" i="40" s="1"/>
  <c r="U191" i="40"/>
  <c r="W162" i="40"/>
  <c r="X162" i="40" s="1"/>
  <c r="X164" i="40"/>
  <c r="W167" i="40"/>
  <c r="X167" i="40" s="1"/>
  <c r="U169" i="40"/>
  <c r="V169" i="40" s="1"/>
  <c r="W182" i="40"/>
  <c r="X182" i="40" s="1"/>
  <c r="W175" i="40"/>
  <c r="X175" i="40" s="1"/>
  <c r="U177" i="40"/>
  <c r="V177" i="40" s="1"/>
  <c r="W179" i="40"/>
  <c r="X179" i="40" s="1"/>
  <c r="U181" i="40"/>
  <c r="V181" i="40" s="1"/>
  <c r="W183" i="40"/>
  <c r="X183" i="40" s="1"/>
  <c r="U185" i="40"/>
  <c r="V185" i="40" s="1"/>
  <c r="W187" i="40"/>
  <c r="X187" i="40" s="1"/>
  <c r="U189" i="40"/>
  <c r="V189" i="40" s="1"/>
  <c r="W191" i="40"/>
  <c r="X191" i="40" s="1"/>
  <c r="M140" i="37"/>
  <c r="M141" i="37" s="1"/>
  <c r="M143" i="37" s="1"/>
  <c r="M144" i="37" s="1"/>
  <c r="I140" i="37"/>
  <c r="I148" i="37" s="1"/>
  <c r="E140" i="37"/>
  <c r="E141" i="37" s="1"/>
  <c r="L140" i="37"/>
  <c r="L141" i="37" s="1"/>
  <c r="H140" i="37"/>
  <c r="H148" i="37" s="1"/>
  <c r="D140" i="37"/>
  <c r="D141" i="37" s="1"/>
  <c r="K140" i="37"/>
  <c r="K141" i="37" s="1"/>
  <c r="G140" i="37"/>
  <c r="G148" i="37" s="1"/>
  <c r="C140" i="37"/>
  <c r="C141" i="37" s="1"/>
  <c r="F140" i="37"/>
  <c r="F148" i="37" s="1"/>
  <c r="N140" i="37"/>
  <c r="J140" i="37"/>
  <c r="J148" i="37" s="1"/>
  <c r="G184" i="37"/>
  <c r="E160" i="37"/>
  <c r="C191" i="37"/>
  <c r="D176" i="37"/>
  <c r="E176" i="37" s="1"/>
  <c r="F176" i="37" s="1"/>
  <c r="G176" i="37" s="1"/>
  <c r="H176" i="37" s="1"/>
  <c r="I176" i="37" s="1"/>
  <c r="J176" i="37" s="1"/>
  <c r="K176" i="37" s="1"/>
  <c r="L176" i="37" s="1"/>
  <c r="M176" i="37" s="1"/>
  <c r="N176" i="37" s="1"/>
  <c r="H88" i="37"/>
  <c r="H58" i="37"/>
  <c r="H91" i="37" s="1"/>
  <c r="L155" i="37"/>
  <c r="D184" i="37"/>
  <c r="N170" i="37"/>
  <c r="J170" i="37"/>
  <c r="J178" i="37" s="1"/>
  <c r="F170" i="37"/>
  <c r="F178" i="37" s="1"/>
  <c r="M170" i="37"/>
  <c r="I170" i="37"/>
  <c r="I178" i="37" s="1"/>
  <c r="E170" i="37"/>
  <c r="L170" i="37"/>
  <c r="L178" i="37" s="1"/>
  <c r="H170" i="37"/>
  <c r="H178" i="37" s="1"/>
  <c r="D170" i="37"/>
  <c r="N215" i="37"/>
  <c r="B21" i="37"/>
  <c r="B123" i="37"/>
  <c r="B134" i="37" s="1"/>
  <c r="F169" i="37"/>
  <c r="J169" i="37"/>
  <c r="N169" i="37"/>
  <c r="L184" i="37"/>
  <c r="K170" i="37"/>
  <c r="K178" i="37" s="1"/>
  <c r="L200" i="37"/>
  <c r="L208" i="37" s="1"/>
  <c r="L14" i="37" s="1"/>
  <c r="H200" i="37"/>
  <c r="H208" i="37" s="1"/>
  <c r="H14" i="37" s="1"/>
  <c r="D200" i="37"/>
  <c r="D208" i="37" s="1"/>
  <c r="K200" i="37"/>
  <c r="K208" i="37" s="1"/>
  <c r="K14" i="37" s="1"/>
  <c r="F200" i="37"/>
  <c r="F208" i="37" s="1"/>
  <c r="F14" i="37" s="1"/>
  <c r="J200" i="37"/>
  <c r="J208" i="37" s="1"/>
  <c r="J14" i="37" s="1"/>
  <c r="E200" i="37"/>
  <c r="E208" i="37" s="1"/>
  <c r="E14" i="37" s="1"/>
  <c r="M200" i="37"/>
  <c r="M208" i="37" s="1"/>
  <c r="G200" i="37"/>
  <c r="G208" i="37" s="1"/>
  <c r="G14" i="37" s="1"/>
  <c r="N200" i="37"/>
  <c r="I200" i="37"/>
  <c r="I208" i="37" s="1"/>
  <c r="I14" i="37" s="1"/>
  <c r="C200" i="37"/>
  <c r="H184" i="37"/>
  <c r="C199" i="37"/>
  <c r="G170" i="37"/>
  <c r="G178" i="37" s="1"/>
  <c r="K155" i="37"/>
  <c r="K163" i="37" s="1"/>
  <c r="G155" i="37"/>
  <c r="G163" i="37" s="1"/>
  <c r="C155" i="37"/>
  <c r="N155" i="37"/>
  <c r="N163" i="37" s="1"/>
  <c r="J155" i="37"/>
  <c r="J163" i="37" s="1"/>
  <c r="F155" i="37"/>
  <c r="F163" i="37" s="1"/>
  <c r="M155" i="37"/>
  <c r="M163" i="37" s="1"/>
  <c r="I155" i="37"/>
  <c r="I163" i="37" s="1"/>
  <c r="E155" i="37"/>
  <c r="L185" i="37"/>
  <c r="L193" i="37" s="1"/>
  <c r="H185" i="37"/>
  <c r="H193" i="37" s="1"/>
  <c r="D185" i="37"/>
  <c r="D193" i="37" s="1"/>
  <c r="K185" i="37"/>
  <c r="K193" i="37" s="1"/>
  <c r="G185" i="37"/>
  <c r="G193" i="37" s="1"/>
  <c r="C185" i="37"/>
  <c r="M185" i="37"/>
  <c r="M193" i="37" s="1"/>
  <c r="I185" i="37"/>
  <c r="I193" i="37" s="1"/>
  <c r="E185" i="37"/>
  <c r="N185" i="37"/>
  <c r="J185" i="37"/>
  <c r="J193" i="37" s="1"/>
  <c r="F185" i="37"/>
  <c r="F193" i="37" s="1"/>
  <c r="K215" i="37"/>
  <c r="K223" i="37" s="1"/>
  <c r="K15" i="37" s="1"/>
  <c r="G215" i="37"/>
  <c r="G223" i="37" s="1"/>
  <c r="G15" i="37" s="1"/>
  <c r="C215" i="37"/>
  <c r="C223" i="37" s="1"/>
  <c r="L215" i="37"/>
  <c r="L223" i="37" s="1"/>
  <c r="L15" i="37" s="1"/>
  <c r="F215" i="37"/>
  <c r="F223" i="37" s="1"/>
  <c r="F15" i="37" s="1"/>
  <c r="J215" i="37"/>
  <c r="J223" i="37" s="1"/>
  <c r="J15" i="37" s="1"/>
  <c r="E215" i="37"/>
  <c r="E223" i="37" s="1"/>
  <c r="M215" i="37"/>
  <c r="M223" i="37" s="1"/>
  <c r="M15" i="37" s="1"/>
  <c r="H215" i="37"/>
  <c r="H223" i="37" s="1"/>
  <c r="H15" i="37" s="1"/>
  <c r="I215" i="37"/>
  <c r="I223" i="37" s="1"/>
  <c r="I15" i="37" s="1"/>
  <c r="D215" i="37"/>
  <c r="D223" i="37" s="1"/>
  <c r="L230" i="37"/>
  <c r="L238" i="37" s="1"/>
  <c r="H230" i="37"/>
  <c r="H238" i="37" s="1"/>
  <c r="D230" i="37"/>
  <c r="K230" i="37"/>
  <c r="K238" i="37" s="1"/>
  <c r="G230" i="37"/>
  <c r="G238" i="37" s="1"/>
  <c r="C230" i="37"/>
  <c r="M230" i="37"/>
  <c r="M238" i="37" s="1"/>
  <c r="I230" i="37"/>
  <c r="I238" i="37" s="1"/>
  <c r="E230" i="37"/>
  <c r="N230" i="37"/>
  <c r="J230" i="37"/>
  <c r="J238" i="37" s="1"/>
  <c r="F230" i="37"/>
  <c r="F238" i="37" s="1"/>
  <c r="K245" i="37"/>
  <c r="K253" i="37" s="1"/>
  <c r="K17" i="37" s="1"/>
  <c r="G245" i="37"/>
  <c r="G253" i="37" s="1"/>
  <c r="G17" i="37" s="1"/>
  <c r="C245" i="37"/>
  <c r="N245" i="37"/>
  <c r="N253" i="37" s="1"/>
  <c r="J245" i="37"/>
  <c r="J253" i="37" s="1"/>
  <c r="J17" i="37" s="1"/>
  <c r="F245" i="37"/>
  <c r="F253" i="37" s="1"/>
  <c r="L245" i="37"/>
  <c r="L253" i="37" s="1"/>
  <c r="H245" i="37"/>
  <c r="H253" i="37" s="1"/>
  <c r="H17" i="37" s="1"/>
  <c r="D245" i="37"/>
  <c r="M245" i="37"/>
  <c r="M253" i="37" s="1"/>
  <c r="I245" i="37"/>
  <c r="I253" i="37" s="1"/>
  <c r="I17" i="37" s="1"/>
  <c r="E245" i="37"/>
  <c r="E253" i="37" s="1"/>
  <c r="N260" i="37"/>
  <c r="J260" i="37"/>
  <c r="J268" i="37" s="1"/>
  <c r="J18" i="37" s="1"/>
  <c r="F260" i="37"/>
  <c r="F268" i="37" s="1"/>
  <c r="F18" i="37" s="1"/>
  <c r="M260" i="37"/>
  <c r="M268" i="37" s="1"/>
  <c r="I260" i="37"/>
  <c r="I268" i="37" s="1"/>
  <c r="I18" i="37" s="1"/>
  <c r="E260" i="37"/>
  <c r="K260" i="37"/>
  <c r="K268" i="37" s="1"/>
  <c r="K18" i="37" s="1"/>
  <c r="G260" i="37"/>
  <c r="G268" i="37" s="1"/>
  <c r="G18" i="37" s="1"/>
  <c r="C260" i="37"/>
  <c r="H260" i="37"/>
  <c r="H268" i="37" s="1"/>
  <c r="H18" i="37" s="1"/>
  <c r="D260" i="37"/>
  <c r="L260" i="37"/>
  <c r="L268" i="37" s="1"/>
  <c r="L18" i="37" s="1"/>
  <c r="K275" i="37"/>
  <c r="G275" i="37"/>
  <c r="G283" i="37" s="1"/>
  <c r="G19" i="37" s="1"/>
  <c r="C275" i="37"/>
  <c r="N275" i="37"/>
  <c r="J275" i="37"/>
  <c r="J283" i="37" s="1"/>
  <c r="J19" i="37" s="1"/>
  <c r="F275" i="37"/>
  <c r="F283" i="37" s="1"/>
  <c r="F19" i="37" s="1"/>
  <c r="M275" i="37"/>
  <c r="I275" i="37"/>
  <c r="I283" i="37" s="1"/>
  <c r="I19" i="37" s="1"/>
  <c r="E275" i="37"/>
  <c r="L275" i="37"/>
  <c r="H275" i="37"/>
  <c r="H283" i="37" s="1"/>
  <c r="H19" i="37" s="1"/>
  <c r="D275" i="37"/>
  <c r="N290" i="37"/>
  <c r="J290" i="37"/>
  <c r="J298" i="37" s="1"/>
  <c r="J20" i="37" s="1"/>
  <c r="F290" i="37"/>
  <c r="F298" i="37" s="1"/>
  <c r="F20" i="37" s="1"/>
  <c r="M290" i="37"/>
  <c r="M298" i="37" s="1"/>
  <c r="I290" i="37"/>
  <c r="I298" i="37" s="1"/>
  <c r="I20" i="37" s="1"/>
  <c r="E290" i="37"/>
  <c r="L290" i="37"/>
  <c r="L298" i="37" s="1"/>
  <c r="L20" i="37" s="1"/>
  <c r="H290" i="37"/>
  <c r="H298" i="37" s="1"/>
  <c r="H20" i="37" s="1"/>
  <c r="D290" i="37"/>
  <c r="K290" i="37"/>
  <c r="K298" i="37" s="1"/>
  <c r="K20" i="37" s="1"/>
  <c r="G290" i="37"/>
  <c r="G298" i="37" s="1"/>
  <c r="G20" i="37" s="1"/>
  <c r="C290" i="37"/>
  <c r="C298" i="37" s="1"/>
  <c r="D155" i="37"/>
  <c r="K169" i="37"/>
  <c r="C175" i="37"/>
  <c r="N157" i="37"/>
  <c r="N172" i="37" s="1"/>
  <c r="N187" i="37" s="1"/>
  <c r="N202" i="37" s="1"/>
  <c r="N217" i="37" s="1"/>
  <c r="N232" i="37" s="1"/>
  <c r="N247" i="37" s="1"/>
  <c r="N262" i="37" s="1"/>
  <c r="N277" i="37" s="1"/>
  <c r="N292" i="37" s="1"/>
  <c r="E154" i="37"/>
  <c r="I154" i="37"/>
  <c r="M154" i="37"/>
  <c r="D145" i="37"/>
  <c r="D146" i="37"/>
  <c r="E146" i="37" s="1"/>
  <c r="F146" i="37" s="1"/>
  <c r="G146" i="37" s="1"/>
  <c r="H146" i="37" s="1"/>
  <c r="I146" i="37" s="1"/>
  <c r="J146" i="37" s="1"/>
  <c r="K146" i="37" s="1"/>
  <c r="L146" i="37" s="1"/>
  <c r="M146" i="37" s="1"/>
  <c r="N146" i="37" s="1"/>
  <c r="L245" i="36"/>
  <c r="L253" i="36" s="1"/>
  <c r="H245" i="36"/>
  <c r="H253" i="36" s="1"/>
  <c r="H17" i="36" s="1"/>
  <c r="D245" i="36"/>
  <c r="D253" i="36" s="1"/>
  <c r="N245" i="36"/>
  <c r="N253" i="36" s="1"/>
  <c r="I245" i="36"/>
  <c r="I253" i="36" s="1"/>
  <c r="I17" i="36" s="1"/>
  <c r="C245" i="36"/>
  <c r="C253" i="36" s="1"/>
  <c r="M245" i="36"/>
  <c r="M253" i="36" s="1"/>
  <c r="F245" i="36"/>
  <c r="F253" i="36" s="1"/>
  <c r="G245" i="36"/>
  <c r="G253" i="36" s="1"/>
  <c r="G17" i="36" s="1"/>
  <c r="K245" i="36"/>
  <c r="K253" i="36" s="1"/>
  <c r="K17" i="36" s="1"/>
  <c r="J245" i="36"/>
  <c r="J253" i="36" s="1"/>
  <c r="J17" i="36" s="1"/>
  <c r="E245" i="36"/>
  <c r="E253" i="36" s="1"/>
  <c r="M170" i="36"/>
  <c r="M178" i="36" s="1"/>
  <c r="I170" i="36"/>
  <c r="I178" i="36" s="1"/>
  <c r="E170" i="36"/>
  <c r="E178" i="36" s="1"/>
  <c r="K170" i="36"/>
  <c r="K178" i="36" s="1"/>
  <c r="F170" i="36"/>
  <c r="F178" i="36" s="1"/>
  <c r="H170" i="36"/>
  <c r="H178" i="36" s="1"/>
  <c r="N170" i="36"/>
  <c r="N178" i="36" s="1"/>
  <c r="D170" i="36"/>
  <c r="D178" i="36" s="1"/>
  <c r="L170" i="36"/>
  <c r="L178" i="36" s="1"/>
  <c r="G170" i="36"/>
  <c r="G178" i="36" s="1"/>
  <c r="C170" i="36"/>
  <c r="C178" i="36" s="1"/>
  <c r="J170" i="36"/>
  <c r="J178" i="36" s="1"/>
  <c r="K200" i="36"/>
  <c r="K208" i="36" s="1"/>
  <c r="K14" i="36" s="1"/>
  <c r="G200" i="36"/>
  <c r="G208" i="36" s="1"/>
  <c r="G14" i="36" s="1"/>
  <c r="C200" i="36"/>
  <c r="C208" i="36" s="1"/>
  <c r="L200" i="36"/>
  <c r="L208" i="36" s="1"/>
  <c r="L14" i="36" s="1"/>
  <c r="F200" i="36"/>
  <c r="F208" i="36" s="1"/>
  <c r="F14" i="36" s="1"/>
  <c r="I200" i="36"/>
  <c r="I208" i="36" s="1"/>
  <c r="I14" i="36" s="1"/>
  <c r="M200" i="36"/>
  <c r="M208" i="36" s="1"/>
  <c r="E200" i="36"/>
  <c r="E208" i="36" s="1"/>
  <c r="E14" i="36" s="1"/>
  <c r="N200" i="36"/>
  <c r="N208" i="36" s="1"/>
  <c r="J200" i="36"/>
  <c r="J208" i="36" s="1"/>
  <c r="J14" i="36" s="1"/>
  <c r="D200" i="36"/>
  <c r="D208" i="36" s="1"/>
  <c r="H200" i="36"/>
  <c r="H208" i="36" s="1"/>
  <c r="H14" i="36" s="1"/>
  <c r="K260" i="36"/>
  <c r="K268" i="36" s="1"/>
  <c r="K18" i="36" s="1"/>
  <c r="G260" i="36"/>
  <c r="G268" i="36" s="1"/>
  <c r="G18" i="36" s="1"/>
  <c r="C260" i="36"/>
  <c r="C268" i="36" s="1"/>
  <c r="N260" i="36"/>
  <c r="N268" i="36" s="1"/>
  <c r="I260" i="36"/>
  <c r="I268" i="36" s="1"/>
  <c r="I18" i="36" s="1"/>
  <c r="D260" i="36"/>
  <c r="D268" i="36" s="1"/>
  <c r="H260" i="36"/>
  <c r="H268" i="36" s="1"/>
  <c r="H18" i="36" s="1"/>
  <c r="F260" i="36"/>
  <c r="F268" i="36" s="1"/>
  <c r="F18" i="36" s="1"/>
  <c r="M260" i="36"/>
  <c r="M268" i="36" s="1"/>
  <c r="E260" i="36"/>
  <c r="E268" i="36" s="1"/>
  <c r="E18" i="36" s="1"/>
  <c r="J260" i="36"/>
  <c r="J268" i="36" s="1"/>
  <c r="J18" i="36" s="1"/>
  <c r="L260" i="36"/>
  <c r="L268" i="36" s="1"/>
  <c r="L18" i="36" s="1"/>
  <c r="N290" i="36"/>
  <c r="N298" i="36" s="1"/>
  <c r="J290" i="36"/>
  <c r="J298" i="36" s="1"/>
  <c r="J20" i="36" s="1"/>
  <c r="F290" i="36"/>
  <c r="F298" i="36" s="1"/>
  <c r="F20" i="36" s="1"/>
  <c r="K290" i="36"/>
  <c r="K298" i="36" s="1"/>
  <c r="K20" i="36" s="1"/>
  <c r="G290" i="36"/>
  <c r="G298" i="36" s="1"/>
  <c r="G20" i="36" s="1"/>
  <c r="C290" i="36"/>
  <c r="C298" i="36" s="1"/>
  <c r="I290" i="36"/>
  <c r="I298" i="36" s="1"/>
  <c r="I20" i="36" s="1"/>
  <c r="L290" i="36"/>
  <c r="L298" i="36" s="1"/>
  <c r="L20" i="36" s="1"/>
  <c r="H290" i="36"/>
  <c r="H298" i="36" s="1"/>
  <c r="H20" i="36" s="1"/>
  <c r="E290" i="36"/>
  <c r="E298" i="36" s="1"/>
  <c r="E20" i="36" s="1"/>
  <c r="D290" i="36"/>
  <c r="D298" i="36" s="1"/>
  <c r="M290" i="36"/>
  <c r="M298" i="36" s="1"/>
  <c r="C58" i="36"/>
  <c r="C88" i="36"/>
  <c r="L185" i="36"/>
  <c r="L193" i="36" s="1"/>
  <c r="H185" i="36"/>
  <c r="H193" i="36" s="1"/>
  <c r="D185" i="36"/>
  <c r="D193" i="36" s="1"/>
  <c r="K185" i="36"/>
  <c r="K193" i="36" s="1"/>
  <c r="F185" i="36"/>
  <c r="F193" i="36" s="1"/>
  <c r="N185" i="36"/>
  <c r="N193" i="36" s="1"/>
  <c r="G185" i="36"/>
  <c r="G193" i="36" s="1"/>
  <c r="J185" i="36"/>
  <c r="J193" i="36" s="1"/>
  <c r="C185" i="36"/>
  <c r="C193" i="36" s="1"/>
  <c r="E185" i="36"/>
  <c r="E193" i="36" s="1"/>
  <c r="I185" i="36"/>
  <c r="I193" i="36" s="1"/>
  <c r="M185" i="36"/>
  <c r="M193" i="36" s="1"/>
  <c r="J184" i="36"/>
  <c r="H184" i="36"/>
  <c r="C169" i="36"/>
  <c r="D215" i="36"/>
  <c r="D223" i="36" s="1"/>
  <c r="B137" i="36"/>
  <c r="I169" i="36"/>
  <c r="N155" i="36"/>
  <c r="J155" i="36"/>
  <c r="J163" i="36" s="1"/>
  <c r="F155" i="36"/>
  <c r="K155" i="36"/>
  <c r="K156" i="36" s="1"/>
  <c r="E155" i="36"/>
  <c r="M230" i="36"/>
  <c r="M238" i="36" s="1"/>
  <c r="I230" i="36"/>
  <c r="I238" i="36" s="1"/>
  <c r="E230" i="36"/>
  <c r="E238" i="36" s="1"/>
  <c r="J230" i="36"/>
  <c r="J238" i="36" s="1"/>
  <c r="D230" i="36"/>
  <c r="D238" i="36" s="1"/>
  <c r="K230" i="36"/>
  <c r="K238" i="36" s="1"/>
  <c r="C230" i="36"/>
  <c r="C238" i="36" s="1"/>
  <c r="G230" i="36"/>
  <c r="G238" i="36" s="1"/>
  <c r="H230" i="36"/>
  <c r="H238" i="36" s="1"/>
  <c r="N230" i="36"/>
  <c r="N238" i="36" s="1"/>
  <c r="F230" i="36"/>
  <c r="F238" i="36" s="1"/>
  <c r="F169" i="36"/>
  <c r="N169" i="36"/>
  <c r="L155" i="36"/>
  <c r="B124" i="36"/>
  <c r="B134" i="36" s="1"/>
  <c r="C155" i="36"/>
  <c r="I155" i="36"/>
  <c r="I163" i="36" s="1"/>
  <c r="C175" i="36"/>
  <c r="K275" i="36"/>
  <c r="K283" i="36" s="1"/>
  <c r="G275" i="36"/>
  <c r="G283" i="36" s="1"/>
  <c r="G19" i="36" s="1"/>
  <c r="C275" i="36"/>
  <c r="C283" i="36" s="1"/>
  <c r="L275" i="36"/>
  <c r="L283" i="36" s="1"/>
  <c r="H275" i="36"/>
  <c r="H283" i="36" s="1"/>
  <c r="H19" i="36" s="1"/>
  <c r="D275" i="36"/>
  <c r="D283" i="36" s="1"/>
  <c r="N275" i="36"/>
  <c r="N283" i="36" s="1"/>
  <c r="F275" i="36"/>
  <c r="F283" i="36" s="1"/>
  <c r="F19" i="36" s="1"/>
  <c r="E275" i="36"/>
  <c r="E283" i="36" s="1"/>
  <c r="M275" i="36"/>
  <c r="M283" i="36" s="1"/>
  <c r="I275" i="36"/>
  <c r="I283" i="36" s="1"/>
  <c r="I19" i="36" s="1"/>
  <c r="J275" i="36"/>
  <c r="J283" i="36" s="1"/>
  <c r="J19" i="36" s="1"/>
  <c r="D155" i="36"/>
  <c r="K169" i="36"/>
  <c r="G154" i="36"/>
  <c r="G155" i="36"/>
  <c r="G163" i="36" s="1"/>
  <c r="M155" i="36"/>
  <c r="D169" i="36"/>
  <c r="E184" i="36"/>
  <c r="N215" i="36"/>
  <c r="N223" i="36" s="1"/>
  <c r="J215" i="36"/>
  <c r="J223" i="36" s="1"/>
  <c r="J15" i="36" s="1"/>
  <c r="F215" i="36"/>
  <c r="F223" i="36" s="1"/>
  <c r="F15" i="36" s="1"/>
  <c r="L215" i="36"/>
  <c r="L223" i="36" s="1"/>
  <c r="L15" i="36" s="1"/>
  <c r="G215" i="36"/>
  <c r="G223" i="36" s="1"/>
  <c r="G15" i="36" s="1"/>
  <c r="H215" i="36"/>
  <c r="H223" i="36" s="1"/>
  <c r="H15" i="36" s="1"/>
  <c r="I215" i="36"/>
  <c r="I223" i="36" s="1"/>
  <c r="I15" i="36" s="1"/>
  <c r="C215" i="36"/>
  <c r="C223" i="36" s="1"/>
  <c r="M215" i="36"/>
  <c r="M223" i="36" s="1"/>
  <c r="M15" i="36" s="1"/>
  <c r="E215" i="36"/>
  <c r="E223" i="36" s="1"/>
  <c r="C157" i="36"/>
  <c r="C172" i="36" s="1"/>
  <c r="C187" i="36" s="1"/>
  <c r="C202" i="36" s="1"/>
  <c r="C217" i="36" s="1"/>
  <c r="C232" i="36" s="1"/>
  <c r="C247" i="36" s="1"/>
  <c r="C262" i="36" s="1"/>
  <c r="C277" i="36" s="1"/>
  <c r="C292" i="36" s="1"/>
  <c r="M184" i="36"/>
  <c r="H155" i="36"/>
  <c r="E160" i="36"/>
  <c r="L199" i="36"/>
  <c r="K215" i="36"/>
  <c r="K223" i="36" s="1"/>
  <c r="K15" i="36" s="1"/>
  <c r="L230" i="36"/>
  <c r="L238" i="36" s="1"/>
  <c r="G28" i="38"/>
  <c r="H28" i="38" s="1"/>
  <c r="I28" i="38" s="1"/>
  <c r="J28" i="38" s="1"/>
  <c r="K28" i="38" s="1"/>
  <c r="L28" i="38" s="1"/>
  <c r="G37" i="38"/>
  <c r="H37" i="38" s="1"/>
  <c r="I37" i="38" s="1"/>
  <c r="J37" i="38" s="1"/>
  <c r="K37" i="38" s="1"/>
  <c r="L37" i="38" s="1"/>
  <c r="D83" i="38"/>
  <c r="D71" i="38"/>
  <c r="E11" i="38"/>
  <c r="J46" i="38"/>
  <c r="K46" i="38" s="1"/>
  <c r="L46" i="38" s="1"/>
  <c r="E34" i="38"/>
  <c r="F34" i="38" s="1"/>
  <c r="G34" i="38" s="1"/>
  <c r="H34" i="38" s="1"/>
  <c r="I34" i="38" s="1"/>
  <c r="J34" i="38" s="1"/>
  <c r="K34" i="38" s="1"/>
  <c r="L34" i="38" s="1"/>
  <c r="E49" i="38"/>
  <c r="F49" i="38" s="1"/>
  <c r="G49" i="38" s="1"/>
  <c r="H49" i="38" s="1"/>
  <c r="I49" i="38" s="1"/>
  <c r="J49" i="38" s="1"/>
  <c r="K49" i="38" s="1"/>
  <c r="L49" i="38" s="1"/>
  <c r="D167" i="38"/>
  <c r="D179" i="38" s="1"/>
  <c r="E58" i="38"/>
  <c r="E168" i="38"/>
  <c r="E173" i="38"/>
  <c r="F59" i="38"/>
  <c r="C79" i="38"/>
  <c r="C91" i="38" s="1"/>
  <c r="C87" i="38"/>
  <c r="C99" i="38" s="1"/>
  <c r="B90" i="38"/>
  <c r="B78" i="38"/>
  <c r="B42" i="38"/>
  <c r="B54" i="38"/>
  <c r="B91" i="38"/>
  <c r="B79" i="38"/>
  <c r="B55" i="38"/>
  <c r="B43" i="38"/>
  <c r="B92" i="38"/>
  <c r="B80" i="38"/>
  <c r="B56" i="38"/>
  <c r="B32" i="38"/>
  <c r="B93" i="38"/>
  <c r="B81" i="38"/>
  <c r="B45" i="38"/>
  <c r="B94" i="38"/>
  <c r="B82" i="38"/>
  <c r="B70" i="38"/>
  <c r="B46" i="38"/>
  <c r="B58" i="38"/>
  <c r="B95" i="38"/>
  <c r="B83" i="38"/>
  <c r="B59" i="38"/>
  <c r="B47" i="38"/>
  <c r="B71" i="38"/>
  <c r="B96" i="38"/>
  <c r="B84" i="38"/>
  <c r="B60" i="38"/>
  <c r="B36" i="38"/>
  <c r="B97" i="38"/>
  <c r="B85" i="38"/>
  <c r="B73" i="38"/>
  <c r="B49" i="38"/>
  <c r="B98" i="38"/>
  <c r="B86" i="38"/>
  <c r="B74" i="38"/>
  <c r="B50" i="38"/>
  <c r="B62" i="38"/>
  <c r="B99" i="38"/>
  <c r="B87" i="38"/>
  <c r="B63" i="38"/>
  <c r="B51" i="38"/>
  <c r="B75" i="38"/>
  <c r="B27" i="38"/>
  <c r="B100" i="38"/>
  <c r="B88" i="38"/>
  <c r="B76" i="38"/>
  <c r="B64" i="38"/>
  <c r="B40" i="38"/>
  <c r="B18" i="38"/>
  <c r="E20" i="38"/>
  <c r="F20" i="38" s="1"/>
  <c r="G20" i="38" s="1"/>
  <c r="H20" i="38" s="1"/>
  <c r="I20" i="38" s="1"/>
  <c r="J20" i="38" s="1"/>
  <c r="K20" i="38" s="1"/>
  <c r="L20" i="38" s="1"/>
  <c r="F21" i="38"/>
  <c r="G21" i="38" s="1"/>
  <c r="H21" i="38" s="1"/>
  <c r="I21" i="38" s="1"/>
  <c r="J21" i="38" s="1"/>
  <c r="K21" i="38" s="1"/>
  <c r="L21" i="38" s="1"/>
  <c r="B22" i="38"/>
  <c r="F24" i="38"/>
  <c r="G24" i="38" s="1"/>
  <c r="H24" i="38" s="1"/>
  <c r="I24" i="38" s="1"/>
  <c r="J24" i="38" s="1"/>
  <c r="K24" i="38" s="1"/>
  <c r="L24" i="38" s="1"/>
  <c r="E26" i="38"/>
  <c r="F26" i="38" s="1"/>
  <c r="G26" i="38" s="1"/>
  <c r="H26" i="38" s="1"/>
  <c r="I26" i="38" s="1"/>
  <c r="J26" i="38" s="1"/>
  <c r="K26" i="38" s="1"/>
  <c r="L26" i="38" s="1"/>
  <c r="E27" i="38"/>
  <c r="F27" i="38" s="1"/>
  <c r="G27" i="38" s="1"/>
  <c r="H27" i="38" s="1"/>
  <c r="I27" i="38" s="1"/>
  <c r="J27" i="38" s="1"/>
  <c r="K27" i="38" s="1"/>
  <c r="L27" i="38" s="1"/>
  <c r="B30" i="38"/>
  <c r="B31" i="38"/>
  <c r="M31" i="38"/>
  <c r="M32" i="38"/>
  <c r="F33" i="38"/>
  <c r="G33" i="38" s="1"/>
  <c r="H33" i="38" s="1"/>
  <c r="I33" i="38" s="1"/>
  <c r="J33" i="38" s="1"/>
  <c r="K33" i="38" s="1"/>
  <c r="L33" i="38" s="1"/>
  <c r="E35" i="38"/>
  <c r="F35" i="38" s="1"/>
  <c r="G35" i="38" s="1"/>
  <c r="H35" i="38" s="1"/>
  <c r="I35" i="38" s="1"/>
  <c r="J35" i="38" s="1"/>
  <c r="K35" i="38" s="1"/>
  <c r="L35" i="38" s="1"/>
  <c r="E36" i="38"/>
  <c r="F36" i="38" s="1"/>
  <c r="G36" i="38" s="1"/>
  <c r="H36" i="38" s="1"/>
  <c r="I36" i="38" s="1"/>
  <c r="J36" i="38" s="1"/>
  <c r="K36" i="38" s="1"/>
  <c r="L36" i="38" s="1"/>
  <c r="B38" i="38"/>
  <c r="E39" i="38"/>
  <c r="F39" i="38" s="1"/>
  <c r="G39" i="38" s="1"/>
  <c r="H39" i="38" s="1"/>
  <c r="I39" i="38" s="1"/>
  <c r="J39" i="38" s="1"/>
  <c r="K39" i="38" s="1"/>
  <c r="L39" i="38" s="1"/>
  <c r="B69" i="38"/>
  <c r="C76" i="38"/>
  <c r="C85" i="38"/>
  <c r="C97" i="38" s="1"/>
  <c r="E25" i="38"/>
  <c r="F25" i="38" s="1"/>
  <c r="G25" i="38" s="1"/>
  <c r="H25" i="38" s="1"/>
  <c r="I25" i="38" s="1"/>
  <c r="J25" i="38" s="1"/>
  <c r="K25" i="38" s="1"/>
  <c r="L25" i="38" s="1"/>
  <c r="E40" i="38"/>
  <c r="F40" i="38" s="1"/>
  <c r="G40" i="38" s="1"/>
  <c r="H40" i="38" s="1"/>
  <c r="I40" i="38" s="1"/>
  <c r="J40" i="38" s="1"/>
  <c r="K40" i="38" s="1"/>
  <c r="L40" i="38" s="1"/>
  <c r="C78" i="38"/>
  <c r="C66" i="38"/>
  <c r="C82" i="38"/>
  <c r="C70" i="38"/>
  <c r="C84" i="38"/>
  <c r="C72" i="38"/>
  <c r="C86" i="38"/>
  <c r="C74" i="38"/>
  <c r="E30" i="38"/>
  <c r="F30" i="38" s="1"/>
  <c r="G30" i="38" s="1"/>
  <c r="H30" i="38" s="1"/>
  <c r="I30" i="38" s="1"/>
  <c r="J30" i="38" s="1"/>
  <c r="K30" i="38" s="1"/>
  <c r="L30" i="38" s="1"/>
  <c r="E38" i="38"/>
  <c r="F38" i="38" s="1"/>
  <c r="G38" i="38" s="1"/>
  <c r="H38" i="38" s="1"/>
  <c r="I38" i="38" s="1"/>
  <c r="J38" i="38" s="1"/>
  <c r="K38" i="38" s="1"/>
  <c r="L38" i="38" s="1"/>
  <c r="M42" i="38"/>
  <c r="E45" i="38"/>
  <c r="F45" i="38" s="1"/>
  <c r="G45" i="38" s="1"/>
  <c r="H45" i="38" s="1"/>
  <c r="I45" i="38" s="1"/>
  <c r="J45" i="38" s="1"/>
  <c r="K45" i="38" s="1"/>
  <c r="L45" i="38" s="1"/>
  <c r="M50" i="38"/>
  <c r="D163" i="38"/>
  <c r="D175" i="38" s="1"/>
  <c r="E54" i="38"/>
  <c r="E164" i="38"/>
  <c r="F55" i="38"/>
  <c r="D171" i="38"/>
  <c r="D183" i="38" s="1"/>
  <c r="E62" i="38"/>
  <c r="B68" i="38"/>
  <c r="C71" i="38"/>
  <c r="C83" i="38"/>
  <c r="D176" i="38"/>
  <c r="D188" i="38"/>
  <c r="E116" i="38"/>
  <c r="M130" i="38"/>
  <c r="C80" i="38"/>
  <c r="C68" i="38"/>
  <c r="M19" i="38"/>
  <c r="D6" i="38"/>
  <c r="D7" i="38"/>
  <c r="D8" i="38"/>
  <c r="D9" i="38"/>
  <c r="D10" i="38"/>
  <c r="D12" i="38"/>
  <c r="D13" i="38"/>
  <c r="D14" i="38"/>
  <c r="D15" i="38"/>
  <c r="D16" i="38"/>
  <c r="E18" i="38"/>
  <c r="F18" i="38" s="1"/>
  <c r="G18" i="38" s="1"/>
  <c r="H18" i="38" s="1"/>
  <c r="I18" i="38" s="1"/>
  <c r="J18" i="38" s="1"/>
  <c r="K18" i="38" s="1"/>
  <c r="L18" i="38" s="1"/>
  <c r="E22" i="38"/>
  <c r="F22" i="38" s="1"/>
  <c r="G22" i="38" s="1"/>
  <c r="H22" i="38" s="1"/>
  <c r="I22" i="38" s="1"/>
  <c r="J22" i="38" s="1"/>
  <c r="K22" i="38" s="1"/>
  <c r="L22" i="38" s="1"/>
  <c r="B34" i="38"/>
  <c r="B35" i="38"/>
  <c r="B67" i="38"/>
  <c r="C81" i="38"/>
  <c r="C93" i="38" s="1"/>
  <c r="E134" i="38"/>
  <c r="F134" i="38" s="1"/>
  <c r="G134" i="38" s="1"/>
  <c r="H134" i="38" s="1"/>
  <c r="I134" i="38" s="1"/>
  <c r="J134" i="38" s="1"/>
  <c r="K134" i="38" s="1"/>
  <c r="L134" i="38" s="1"/>
  <c r="E43" i="38"/>
  <c r="F43" i="38" s="1"/>
  <c r="G43" i="38" s="1"/>
  <c r="H43" i="38" s="1"/>
  <c r="I43" i="38" s="1"/>
  <c r="J43" i="38" s="1"/>
  <c r="K43" i="38" s="1"/>
  <c r="L43" i="38" s="1"/>
  <c r="E47" i="38"/>
  <c r="F47" i="38" s="1"/>
  <c r="G47" i="38" s="1"/>
  <c r="H47" i="38" s="1"/>
  <c r="I47" i="38" s="1"/>
  <c r="J47" i="38" s="1"/>
  <c r="K47" i="38" s="1"/>
  <c r="L47" i="38" s="1"/>
  <c r="E51" i="38"/>
  <c r="F51" i="38" s="1"/>
  <c r="G51" i="38" s="1"/>
  <c r="H51" i="38" s="1"/>
  <c r="I51" i="38" s="1"/>
  <c r="J51" i="38" s="1"/>
  <c r="K51" i="38" s="1"/>
  <c r="L51" i="38" s="1"/>
  <c r="E56" i="38"/>
  <c r="D173" i="38"/>
  <c r="D168" i="38"/>
  <c r="E60" i="38"/>
  <c r="E64" i="38"/>
  <c r="F64" i="38" s="1"/>
  <c r="G64" i="38" s="1"/>
  <c r="H64" i="38" s="1"/>
  <c r="I64" i="38" s="1"/>
  <c r="J64" i="38" s="1"/>
  <c r="K64" i="38" s="1"/>
  <c r="L64" i="38" s="1"/>
  <c r="D187" i="38"/>
  <c r="E115" i="38"/>
  <c r="E119" i="38"/>
  <c r="B194" i="38"/>
  <c r="B206" i="38"/>
  <c r="B182" i="38"/>
  <c r="B170" i="38"/>
  <c r="B134" i="38"/>
  <c r="B146" i="38"/>
  <c r="B158" i="38"/>
  <c r="G122" i="38"/>
  <c r="D195" i="38"/>
  <c r="E123" i="38"/>
  <c r="E132" i="38"/>
  <c r="F132" i="38" s="1"/>
  <c r="G132" i="38" s="1"/>
  <c r="H132" i="38" s="1"/>
  <c r="I132" i="38" s="1"/>
  <c r="J132" i="38" s="1"/>
  <c r="K132" i="38" s="1"/>
  <c r="L132" i="38" s="1"/>
  <c r="M135" i="38"/>
  <c r="D177" i="38"/>
  <c r="D189" i="38"/>
  <c r="E117" i="38"/>
  <c r="B192" i="38"/>
  <c r="B204" i="38"/>
  <c r="B180" i="38"/>
  <c r="B168" i="38"/>
  <c r="B144" i="38"/>
  <c r="B132" i="38"/>
  <c r="B156" i="38"/>
  <c r="D181" i="38"/>
  <c r="D193" i="38"/>
  <c r="E121" i="38"/>
  <c r="B208" i="38"/>
  <c r="B184" i="38"/>
  <c r="B172" i="38"/>
  <c r="B148" i="38"/>
  <c r="B196" i="38"/>
  <c r="B160" i="38"/>
  <c r="G124" i="38"/>
  <c r="D197" i="38"/>
  <c r="D185" i="38"/>
  <c r="E125" i="38"/>
  <c r="F131" i="38"/>
  <c r="G131" i="38" s="1"/>
  <c r="H131" i="38" s="1"/>
  <c r="I131" i="38" s="1"/>
  <c r="J131" i="38" s="1"/>
  <c r="K131" i="38" s="1"/>
  <c r="L131" i="38" s="1"/>
  <c r="B136" i="38"/>
  <c r="E44" i="38"/>
  <c r="F44" i="38" s="1"/>
  <c r="G44" i="38" s="1"/>
  <c r="H44" i="38" s="1"/>
  <c r="I44" i="38" s="1"/>
  <c r="J44" i="38" s="1"/>
  <c r="K44" i="38" s="1"/>
  <c r="L44" i="38" s="1"/>
  <c r="E48" i="38"/>
  <c r="F48" i="38" s="1"/>
  <c r="G48" i="38" s="1"/>
  <c r="H48" i="38" s="1"/>
  <c r="I48" i="38" s="1"/>
  <c r="J48" i="38" s="1"/>
  <c r="K48" i="38" s="1"/>
  <c r="L48" i="38" s="1"/>
  <c r="E52" i="38"/>
  <c r="F52" i="38" s="1"/>
  <c r="G52" i="38" s="1"/>
  <c r="H52" i="38" s="1"/>
  <c r="I52" i="38" s="1"/>
  <c r="J52" i="38" s="1"/>
  <c r="K52" i="38" s="1"/>
  <c r="L52" i="38" s="1"/>
  <c r="E57" i="38"/>
  <c r="E61" i="38"/>
  <c r="D178" i="38"/>
  <c r="D190" i="38"/>
  <c r="E118" i="38"/>
  <c r="E133" i="38"/>
  <c r="F133" i="38" s="1"/>
  <c r="G133" i="38" s="1"/>
  <c r="H133" i="38" s="1"/>
  <c r="I133" i="38" s="1"/>
  <c r="J133" i="38" s="1"/>
  <c r="K133" i="38" s="1"/>
  <c r="L133" i="38" s="1"/>
  <c r="E139" i="38"/>
  <c r="F139" i="38" s="1"/>
  <c r="G139" i="38" s="1"/>
  <c r="H139" i="38" s="1"/>
  <c r="I139" i="38" s="1"/>
  <c r="J139" i="38" s="1"/>
  <c r="K139" i="38" s="1"/>
  <c r="L139" i="38" s="1"/>
  <c r="B128" i="38"/>
  <c r="B129" i="38"/>
  <c r="M140" i="38"/>
  <c r="B142" i="38"/>
  <c r="E143" i="38"/>
  <c r="F143" i="38" s="1"/>
  <c r="G143" i="38" s="1"/>
  <c r="H143" i="38" s="1"/>
  <c r="I143" i="38" s="1"/>
  <c r="J143" i="38" s="1"/>
  <c r="K143" i="38" s="1"/>
  <c r="L143" i="38" s="1"/>
  <c r="M148" i="38"/>
  <c r="B151" i="38"/>
  <c r="B152" i="38"/>
  <c r="B199" i="38"/>
  <c r="B187" i="38"/>
  <c r="B175" i="38"/>
  <c r="B139" i="38"/>
  <c r="B188" i="38"/>
  <c r="B176" i="38"/>
  <c r="B200" i="38"/>
  <c r="B140" i="38"/>
  <c r="B189" i="38"/>
  <c r="B177" i="38"/>
  <c r="B165" i="38"/>
  <c r="B201" i="38"/>
  <c r="B141" i="38"/>
  <c r="B190" i="38"/>
  <c r="B202" i="38"/>
  <c r="B178" i="38"/>
  <c r="B166" i="38"/>
  <c r="B130" i="38"/>
  <c r="B203" i="38"/>
  <c r="B191" i="38"/>
  <c r="B179" i="38"/>
  <c r="B167" i="38"/>
  <c r="B143" i="38"/>
  <c r="B193" i="38"/>
  <c r="B205" i="38"/>
  <c r="B181" i="38"/>
  <c r="B169" i="38"/>
  <c r="B145" i="38"/>
  <c r="D194" i="38"/>
  <c r="D182" i="38"/>
  <c r="B207" i="38"/>
  <c r="B183" i="38"/>
  <c r="B195" i="38"/>
  <c r="B171" i="38"/>
  <c r="B135" i="38"/>
  <c r="B147" i="38"/>
  <c r="D196" i="38"/>
  <c r="D184" i="38"/>
  <c r="B185" i="38"/>
  <c r="B197" i="38"/>
  <c r="B173" i="38"/>
  <c r="B209" i="38"/>
  <c r="B149" i="38"/>
  <c r="E128" i="38"/>
  <c r="F128" i="38" s="1"/>
  <c r="G128" i="38" s="1"/>
  <c r="H128" i="38" s="1"/>
  <c r="I128" i="38" s="1"/>
  <c r="J128" i="38" s="1"/>
  <c r="K128" i="38" s="1"/>
  <c r="L128" i="38" s="1"/>
  <c r="B131" i="38"/>
  <c r="B137" i="38"/>
  <c r="C187" i="38"/>
  <c r="C175" i="38"/>
  <c r="C188" i="38"/>
  <c r="C176" i="38"/>
  <c r="C189" i="38"/>
  <c r="C177" i="38"/>
  <c r="C190" i="38"/>
  <c r="C178" i="38"/>
  <c r="C191" i="38"/>
  <c r="C179" i="38"/>
  <c r="E137" i="38"/>
  <c r="F137" i="38" s="1"/>
  <c r="G137" i="38" s="1"/>
  <c r="H137" i="38" s="1"/>
  <c r="I137" i="38" s="1"/>
  <c r="J137" i="38" s="1"/>
  <c r="K137" i="38" s="1"/>
  <c r="L137" i="38" s="1"/>
  <c r="E147" i="38"/>
  <c r="F147" i="38" s="1"/>
  <c r="G147" i="38" s="1"/>
  <c r="H147" i="38" s="1"/>
  <c r="I147" i="38" s="1"/>
  <c r="J147" i="38" s="1"/>
  <c r="K147" i="38" s="1"/>
  <c r="L147" i="38" s="1"/>
  <c r="C196" i="38"/>
  <c r="C184" i="38"/>
  <c r="C197" i="38"/>
  <c r="C185" i="38"/>
  <c r="E136" i="38"/>
  <c r="F136" i="38" s="1"/>
  <c r="G136" i="38" s="1"/>
  <c r="H136" i="38" s="1"/>
  <c r="I136" i="38" s="1"/>
  <c r="J136" i="38" s="1"/>
  <c r="K136" i="38" s="1"/>
  <c r="L136" i="38" s="1"/>
  <c r="E141" i="38"/>
  <c r="F141" i="38" s="1"/>
  <c r="G141" i="38" s="1"/>
  <c r="H141" i="38" s="1"/>
  <c r="I141" i="38" s="1"/>
  <c r="J141" i="38" s="1"/>
  <c r="K141" i="38" s="1"/>
  <c r="L141" i="38" s="1"/>
  <c r="E145" i="38"/>
  <c r="F145" i="38" s="1"/>
  <c r="G145" i="38" s="1"/>
  <c r="H145" i="38" s="1"/>
  <c r="I145" i="38" s="1"/>
  <c r="J145" i="38" s="1"/>
  <c r="K145" i="38" s="1"/>
  <c r="L145" i="38" s="1"/>
  <c r="E149" i="38"/>
  <c r="F149" i="38" s="1"/>
  <c r="G149" i="38" s="1"/>
  <c r="H149" i="38" s="1"/>
  <c r="I149" i="38" s="1"/>
  <c r="J149" i="38" s="1"/>
  <c r="K149" i="38" s="1"/>
  <c r="L149" i="38" s="1"/>
  <c r="M151" i="38"/>
  <c r="M152" i="38"/>
  <c r="M153" i="38"/>
  <c r="M154" i="38"/>
  <c r="M155" i="38"/>
  <c r="M156" i="38"/>
  <c r="M157" i="38"/>
  <c r="M158" i="38"/>
  <c r="M159" i="38"/>
  <c r="M160" i="38"/>
  <c r="M161" i="38"/>
  <c r="C180" i="38"/>
  <c r="C182" i="38"/>
  <c r="C195" i="38"/>
  <c r="C181" i="38"/>
  <c r="E142" i="38"/>
  <c r="F142" i="38" s="1"/>
  <c r="G142" i="38" s="1"/>
  <c r="H142" i="38" s="1"/>
  <c r="I142" i="38" s="1"/>
  <c r="J142" i="38" s="1"/>
  <c r="K142" i="38" s="1"/>
  <c r="L142" i="38" s="1"/>
  <c r="E146" i="38"/>
  <c r="F146" i="38" s="1"/>
  <c r="G146" i="38" s="1"/>
  <c r="H146" i="38" s="1"/>
  <c r="I146" i="38" s="1"/>
  <c r="J146" i="38" s="1"/>
  <c r="K146" i="38" s="1"/>
  <c r="L146" i="38" s="1"/>
  <c r="C236" i="38"/>
  <c r="V332" i="9"/>
  <c r="T332" i="9"/>
  <c r="V331" i="9"/>
  <c r="T331" i="9"/>
  <c r="V330" i="9"/>
  <c r="T330" i="9"/>
  <c r="V329" i="9"/>
  <c r="T329" i="9"/>
  <c r="V328" i="9"/>
  <c r="T328" i="9"/>
  <c r="V327" i="9"/>
  <c r="T327" i="9"/>
  <c r="V305" i="9"/>
  <c r="T305" i="9"/>
  <c r="V304" i="9"/>
  <c r="T304" i="9"/>
  <c r="V303" i="9"/>
  <c r="T303" i="9"/>
  <c r="V302" i="9"/>
  <c r="T302" i="9"/>
  <c r="V301" i="9"/>
  <c r="T301" i="9"/>
  <c r="V300" i="9"/>
  <c r="T300" i="9"/>
  <c r="Y263" i="9"/>
  <c r="U262" i="9"/>
  <c r="Y262" i="9" s="1"/>
  <c r="Y259" i="9"/>
  <c r="Y255" i="9"/>
  <c r="U254" i="9"/>
  <c r="Y254" i="9" s="1"/>
  <c r="Y251" i="9"/>
  <c r="Y247" i="9"/>
  <c r="U245" i="9"/>
  <c r="Y245" i="9" s="1"/>
  <c r="Y243" i="9"/>
  <c r="V242" i="9"/>
  <c r="T242" i="9"/>
  <c r="V241" i="9"/>
  <c r="T241" i="9"/>
  <c r="V240" i="9"/>
  <c r="T240" i="9"/>
  <c r="V239" i="9"/>
  <c r="T239" i="9"/>
  <c r="V238" i="9"/>
  <c r="T238" i="9"/>
  <c r="V237" i="9"/>
  <c r="T237" i="9"/>
  <c r="V215" i="9"/>
  <c r="T215" i="9"/>
  <c r="V214" i="9"/>
  <c r="T214" i="9"/>
  <c r="V213" i="9"/>
  <c r="T213" i="9"/>
  <c r="V212" i="9"/>
  <c r="T212" i="9"/>
  <c r="V211" i="9"/>
  <c r="T211" i="9"/>
  <c r="V210" i="9"/>
  <c r="T210" i="9"/>
  <c r="Y199" i="9"/>
  <c r="Y195" i="9"/>
  <c r="Y190" i="9"/>
  <c r="Y186" i="9"/>
  <c r="Y182" i="9"/>
  <c r="Y178" i="9"/>
  <c r="Y174" i="9"/>
  <c r="Y158" i="9"/>
  <c r="U157" i="9"/>
  <c r="Y157" i="9" s="1"/>
  <c r="Y154" i="9"/>
  <c r="V152" i="9"/>
  <c r="T152" i="9"/>
  <c r="V151" i="9"/>
  <c r="T151" i="9"/>
  <c r="V150" i="9"/>
  <c r="T150" i="9"/>
  <c r="V149" i="9"/>
  <c r="T149" i="9"/>
  <c r="V148" i="9"/>
  <c r="T148" i="9"/>
  <c r="V147" i="9"/>
  <c r="T147" i="9"/>
  <c r="V125" i="9"/>
  <c r="T125" i="9"/>
  <c r="V124" i="9"/>
  <c r="T124" i="9"/>
  <c r="V123" i="9"/>
  <c r="T123" i="9"/>
  <c r="V122" i="9"/>
  <c r="T122" i="9"/>
  <c r="V121" i="9"/>
  <c r="T121" i="9"/>
  <c r="V120" i="9"/>
  <c r="T120" i="9"/>
  <c r="Y106" i="9"/>
  <c r="Y89" i="9"/>
  <c r="U87" i="9"/>
  <c r="Y87" i="9" s="1"/>
  <c r="Y85" i="9"/>
  <c r="Y81" i="9"/>
  <c r="Y77" i="9"/>
  <c r="U76" i="9"/>
  <c r="Y76" i="9" s="1"/>
  <c r="U75" i="9"/>
  <c r="Y75" i="9" s="1"/>
  <c r="U74" i="9"/>
  <c r="Y74" i="9" s="1"/>
  <c r="Y73" i="9"/>
  <c r="U72" i="9"/>
  <c r="Y72" i="9" s="1"/>
  <c r="U71" i="9"/>
  <c r="Y71" i="9" s="1"/>
  <c r="U70" i="9"/>
  <c r="Y70" i="9" s="1"/>
  <c r="Y69" i="9"/>
  <c r="V62" i="9"/>
  <c r="T62" i="9"/>
  <c r="V61" i="9"/>
  <c r="T61" i="9"/>
  <c r="V60" i="9"/>
  <c r="T60" i="9"/>
  <c r="V59" i="9"/>
  <c r="T59" i="9"/>
  <c r="V58" i="9"/>
  <c r="T58" i="9"/>
  <c r="V57" i="9"/>
  <c r="T57" i="9"/>
  <c r="V35" i="9"/>
  <c r="T35" i="9"/>
  <c r="V34" i="9"/>
  <c r="T34" i="9"/>
  <c r="V33" i="9"/>
  <c r="T33" i="9"/>
  <c r="V32" i="9"/>
  <c r="T32" i="9"/>
  <c r="V31" i="9"/>
  <c r="T31" i="9"/>
  <c r="V30" i="9"/>
  <c r="T30" i="9"/>
  <c r="V1" i="40" l="1"/>
  <c r="D163" i="37"/>
  <c r="D298" i="37"/>
  <c r="N298" i="37"/>
  <c r="C268" i="37"/>
  <c r="N268" i="37"/>
  <c r="D253" i="37"/>
  <c r="E238" i="37"/>
  <c r="E163" i="37"/>
  <c r="C208" i="37"/>
  <c r="D178" i="37"/>
  <c r="N178" i="37"/>
  <c r="E298" i="37"/>
  <c r="E20" i="37" s="1"/>
  <c r="E268" i="37"/>
  <c r="E18" i="37" s="1"/>
  <c r="N238" i="37"/>
  <c r="C238" i="37"/>
  <c r="E193" i="37"/>
  <c r="N223" i="37"/>
  <c r="E178" i="37"/>
  <c r="D268" i="37"/>
  <c r="C253" i="37"/>
  <c r="D238" i="37"/>
  <c r="N193" i="37"/>
  <c r="C193" i="37"/>
  <c r="C163" i="37"/>
  <c r="N208" i="37"/>
  <c r="F163" i="36"/>
  <c r="C206" i="36"/>
  <c r="D206" i="36" s="1"/>
  <c r="E206" i="36" s="1"/>
  <c r="F206" i="36" s="1"/>
  <c r="G206" i="36" s="1"/>
  <c r="H206" i="36" s="1"/>
  <c r="I206" i="36" s="1"/>
  <c r="J206" i="36" s="1"/>
  <c r="K206" i="36" s="1"/>
  <c r="L206" i="36" s="1"/>
  <c r="M206" i="36" s="1"/>
  <c r="N206" i="36" s="1"/>
  <c r="K88" i="36"/>
  <c r="M88" i="36"/>
  <c r="D161" i="36"/>
  <c r="E161" i="36" s="1"/>
  <c r="F161" i="36" s="1"/>
  <c r="G161" i="36" s="1"/>
  <c r="H161" i="36" s="1"/>
  <c r="I161" i="36" s="1"/>
  <c r="J161" i="36" s="1"/>
  <c r="K161" i="36" s="1"/>
  <c r="L161" i="36" s="1"/>
  <c r="M161" i="36" s="1"/>
  <c r="N161" i="36" s="1"/>
  <c r="D58" i="37"/>
  <c r="D91" i="37" s="1"/>
  <c r="D203" i="38"/>
  <c r="L58" i="37"/>
  <c r="L91" i="37" s="1"/>
  <c r="N88" i="36"/>
  <c r="E180" i="38"/>
  <c r="M178" i="37"/>
  <c r="C178" i="37"/>
  <c r="C207" i="38"/>
  <c r="E194" i="38"/>
  <c r="D180" i="38"/>
  <c r="E225" i="38" s="1"/>
  <c r="U258" i="9"/>
  <c r="Y258" i="9" s="1"/>
  <c r="U266" i="9"/>
  <c r="Y266" i="9" s="1"/>
  <c r="M44" i="38"/>
  <c r="D192" i="38"/>
  <c r="E232" i="38" s="1"/>
  <c r="H171" i="36"/>
  <c r="H173" i="36" s="1"/>
  <c r="H174" i="36" s="1"/>
  <c r="F63" i="38"/>
  <c r="F172" i="38" s="1"/>
  <c r="AH97" i="40"/>
  <c r="U109" i="9"/>
  <c r="Y109" i="9" s="1"/>
  <c r="M64" i="38"/>
  <c r="AH96" i="40"/>
  <c r="L58" i="36"/>
  <c r="L91" i="36" s="1"/>
  <c r="L143" i="37"/>
  <c r="L144" i="37" s="1"/>
  <c r="U84" i="9"/>
  <c r="Y84" i="9" s="1"/>
  <c r="U91" i="9"/>
  <c r="Y91" i="9" s="1"/>
  <c r="D176" i="36"/>
  <c r="E176" i="36" s="1"/>
  <c r="F176" i="36" s="1"/>
  <c r="G176" i="36" s="1"/>
  <c r="H176" i="36" s="1"/>
  <c r="I176" i="36" s="1"/>
  <c r="J176" i="36" s="1"/>
  <c r="K176" i="36" s="1"/>
  <c r="L176" i="36" s="1"/>
  <c r="M176" i="36" s="1"/>
  <c r="N176" i="36" s="1"/>
  <c r="E192" i="38"/>
  <c r="H88" i="36"/>
  <c r="D283" i="37"/>
  <c r="N283" i="37"/>
  <c r="M131" i="38"/>
  <c r="U252" i="9"/>
  <c r="Y252" i="9" s="1"/>
  <c r="U90" i="9"/>
  <c r="Y90" i="9" s="1"/>
  <c r="C283" i="37"/>
  <c r="U92" i="9"/>
  <c r="Y92" i="9" s="1"/>
  <c r="U261" i="9"/>
  <c r="Y261" i="9" s="1"/>
  <c r="E283" i="37"/>
  <c r="K283" i="37"/>
  <c r="U83" i="9"/>
  <c r="Y83" i="9" s="1"/>
  <c r="U253" i="9"/>
  <c r="Y253" i="9" s="1"/>
  <c r="L283" i="37"/>
  <c r="U80" i="9"/>
  <c r="Y80" i="9" s="1"/>
  <c r="E88" i="36"/>
  <c r="U184" i="9"/>
  <c r="Y184" i="9" s="1"/>
  <c r="D88" i="36"/>
  <c r="M283" i="37"/>
  <c r="E143" i="37"/>
  <c r="E144" i="37" s="1"/>
  <c r="O29" i="11"/>
  <c r="O28" i="11"/>
  <c r="M129" i="38"/>
  <c r="M141" i="38"/>
  <c r="D208" i="38"/>
  <c r="D206" i="38"/>
  <c r="M25" i="38"/>
  <c r="M145" i="38"/>
  <c r="M45" i="38"/>
  <c r="M21" i="38"/>
  <c r="M30" i="38"/>
  <c r="M137" i="38"/>
  <c r="M149" i="38"/>
  <c r="M28" i="38"/>
  <c r="M39" i="38"/>
  <c r="M147" i="38"/>
  <c r="F194" i="38"/>
  <c r="M49" i="38"/>
  <c r="M23" i="38"/>
  <c r="M143" i="38"/>
  <c r="M128" i="38"/>
  <c r="M18" i="38"/>
  <c r="C171" i="37"/>
  <c r="C173" i="37" s="1"/>
  <c r="C174" i="37" s="1"/>
  <c r="C177" i="37" s="1"/>
  <c r="H156" i="37"/>
  <c r="H158" i="37" s="1"/>
  <c r="H159" i="37" s="1"/>
  <c r="G156" i="37"/>
  <c r="G158" i="37" s="1"/>
  <c r="G159" i="37" s="1"/>
  <c r="L186" i="36"/>
  <c r="L188" i="36" s="1"/>
  <c r="L189" i="36" s="1"/>
  <c r="D205" i="38"/>
  <c r="D202" i="38"/>
  <c r="D201" i="38"/>
  <c r="D95" i="38"/>
  <c r="C156" i="37"/>
  <c r="C158" i="37" s="1"/>
  <c r="C159" i="37" s="1"/>
  <c r="C162" i="37" s="1"/>
  <c r="C164" i="37" s="1"/>
  <c r="C11" i="37" s="1"/>
  <c r="L171" i="37"/>
  <c r="L173" i="37" s="1"/>
  <c r="L174" i="37" s="1"/>
  <c r="G141" i="37"/>
  <c r="G143" i="37" s="1"/>
  <c r="G144" i="37" s="1"/>
  <c r="K88" i="37"/>
  <c r="K58" i="37"/>
  <c r="K91" i="37" s="1"/>
  <c r="J141" i="37"/>
  <c r="J143" i="37" s="1"/>
  <c r="J144" i="37" s="1"/>
  <c r="I141" i="37"/>
  <c r="I143" i="37" s="1"/>
  <c r="I144" i="37" s="1"/>
  <c r="K156" i="37"/>
  <c r="K158" i="37" s="1"/>
  <c r="K159" i="37" s="1"/>
  <c r="F141" i="37"/>
  <c r="F143" i="37" s="1"/>
  <c r="F144" i="37" s="1"/>
  <c r="H171" i="37"/>
  <c r="H173" i="37" s="1"/>
  <c r="H174" i="37" s="1"/>
  <c r="H141" i="37"/>
  <c r="H143" i="37" s="1"/>
  <c r="H144" i="37" s="1"/>
  <c r="K158" i="36"/>
  <c r="K159" i="36" s="1"/>
  <c r="G58" i="36"/>
  <c r="G91" i="36" s="1"/>
  <c r="G88" i="36"/>
  <c r="I88" i="36"/>
  <c r="C163" i="36"/>
  <c r="D163" i="36"/>
  <c r="E171" i="36"/>
  <c r="E173" i="36" s="1"/>
  <c r="E174" i="36" s="1"/>
  <c r="F156" i="36"/>
  <c r="F158" i="36" s="1"/>
  <c r="F159" i="36" s="1"/>
  <c r="D156" i="36"/>
  <c r="D158" i="36" s="1"/>
  <c r="D159" i="36" s="1"/>
  <c r="D162" i="36" s="1"/>
  <c r="J171" i="36"/>
  <c r="J173" i="36" s="1"/>
  <c r="J174" i="36" s="1"/>
  <c r="G88" i="37"/>
  <c r="G58" i="37"/>
  <c r="G91" i="37" s="1"/>
  <c r="F58" i="37"/>
  <c r="F91" i="37" s="1"/>
  <c r="F88" i="37"/>
  <c r="E88" i="37"/>
  <c r="E58" i="37"/>
  <c r="E91" i="37" s="1"/>
  <c r="C186" i="37"/>
  <c r="C188" i="37" s="1"/>
  <c r="C189" i="37" s="1"/>
  <c r="N171" i="37"/>
  <c r="N173" i="37" s="1"/>
  <c r="N174" i="37" s="1"/>
  <c r="N184" i="37"/>
  <c r="F171" i="37"/>
  <c r="F173" i="37" s="1"/>
  <c r="F174" i="37" s="1"/>
  <c r="F184" i="37"/>
  <c r="F160" i="37"/>
  <c r="L148" i="37"/>
  <c r="E145" i="37"/>
  <c r="C88" i="37"/>
  <c r="C58" i="37"/>
  <c r="M169" i="37"/>
  <c r="M156" i="37"/>
  <c r="M158" i="37" s="1"/>
  <c r="M159" i="37" s="1"/>
  <c r="C143" i="37"/>
  <c r="C144" i="37" s="1"/>
  <c r="C147" i="37" s="1"/>
  <c r="C190" i="37"/>
  <c r="D175" i="37"/>
  <c r="C214" i="37"/>
  <c r="C201" i="37"/>
  <c r="C203" i="37" s="1"/>
  <c r="C204" i="37" s="1"/>
  <c r="L199" i="37"/>
  <c r="L186" i="37"/>
  <c r="L188" i="37" s="1"/>
  <c r="L189" i="37" s="1"/>
  <c r="J156" i="37"/>
  <c r="J158" i="37" s="1"/>
  <c r="J159" i="37" s="1"/>
  <c r="L163" i="37"/>
  <c r="L156" i="37"/>
  <c r="L158" i="37" s="1"/>
  <c r="L159" i="37" s="1"/>
  <c r="C206" i="37"/>
  <c r="D191" i="37"/>
  <c r="E191" i="37" s="1"/>
  <c r="F191" i="37" s="1"/>
  <c r="G191" i="37" s="1"/>
  <c r="H191" i="37" s="1"/>
  <c r="I191" i="37" s="1"/>
  <c r="J191" i="37" s="1"/>
  <c r="K191" i="37" s="1"/>
  <c r="L191" i="37" s="1"/>
  <c r="M191" i="37" s="1"/>
  <c r="N191" i="37" s="1"/>
  <c r="G171" i="37"/>
  <c r="G173" i="37" s="1"/>
  <c r="G174" i="37" s="1"/>
  <c r="N148" i="37"/>
  <c r="N141" i="37"/>
  <c r="N143" i="37" s="1"/>
  <c r="N144" i="37" s="1"/>
  <c r="K148" i="37"/>
  <c r="E148" i="37"/>
  <c r="N58" i="37"/>
  <c r="N91" i="37" s="1"/>
  <c r="N88" i="37"/>
  <c r="I169" i="37"/>
  <c r="I156" i="37"/>
  <c r="I158" i="37" s="1"/>
  <c r="I159" i="37" s="1"/>
  <c r="M88" i="37"/>
  <c r="M58" i="37"/>
  <c r="M91" i="37" s="1"/>
  <c r="J184" i="37"/>
  <c r="J171" i="37"/>
  <c r="J173" i="37" s="1"/>
  <c r="J174" i="37" s="1"/>
  <c r="D171" i="37"/>
  <c r="D173" i="37" s="1"/>
  <c r="D174" i="37" s="1"/>
  <c r="D143" i="37"/>
  <c r="D144" i="37" s="1"/>
  <c r="D147" i="37" s="1"/>
  <c r="G199" i="37"/>
  <c r="G186" i="37"/>
  <c r="G188" i="37" s="1"/>
  <c r="G189" i="37" s="1"/>
  <c r="D148" i="37"/>
  <c r="J58" i="37"/>
  <c r="J91" i="37" s="1"/>
  <c r="J88" i="37"/>
  <c r="E169" i="37"/>
  <c r="E156" i="37"/>
  <c r="E158" i="37" s="1"/>
  <c r="E159" i="37" s="1"/>
  <c r="E162" i="37" s="1"/>
  <c r="E164" i="37" s="1"/>
  <c r="E11" i="37" s="1"/>
  <c r="K143" i="37"/>
  <c r="K144" i="37" s="1"/>
  <c r="I88" i="37"/>
  <c r="I58" i="37"/>
  <c r="I91" i="37" s="1"/>
  <c r="K184" i="37"/>
  <c r="K171" i="37"/>
  <c r="K173" i="37" s="1"/>
  <c r="K174" i="37" s="1"/>
  <c r="H199" i="37"/>
  <c r="H186" i="37"/>
  <c r="H188" i="37" s="1"/>
  <c r="H189" i="37" s="1"/>
  <c r="D156" i="37"/>
  <c r="D158" i="37" s="1"/>
  <c r="D159" i="37" s="1"/>
  <c r="D162" i="37" s="1"/>
  <c r="D164" i="37" s="1"/>
  <c r="D11" i="37" s="1"/>
  <c r="N156" i="37"/>
  <c r="N158" i="37" s="1"/>
  <c r="N159" i="37" s="1"/>
  <c r="F156" i="37"/>
  <c r="F158" i="37" s="1"/>
  <c r="F159" i="37" s="1"/>
  <c r="D186" i="37"/>
  <c r="D188" i="37" s="1"/>
  <c r="D189" i="37" s="1"/>
  <c r="D199" i="37"/>
  <c r="C148" i="37"/>
  <c r="M148" i="37"/>
  <c r="M163" i="36"/>
  <c r="M156" i="36"/>
  <c r="M158" i="36" s="1"/>
  <c r="M159" i="36" s="1"/>
  <c r="K171" i="36"/>
  <c r="K173" i="36" s="1"/>
  <c r="K174" i="36" s="1"/>
  <c r="K184" i="36"/>
  <c r="C156" i="36"/>
  <c r="C158" i="36" s="1"/>
  <c r="C159" i="36" s="1"/>
  <c r="C162" i="36" s="1"/>
  <c r="J186" i="36"/>
  <c r="J188" i="36" s="1"/>
  <c r="J189" i="36" s="1"/>
  <c r="J199" i="36"/>
  <c r="F88" i="36"/>
  <c r="F58" i="36"/>
  <c r="F91" i="36" s="1"/>
  <c r="L171" i="36"/>
  <c r="L173" i="36" s="1"/>
  <c r="L174" i="36" s="1"/>
  <c r="M171" i="36"/>
  <c r="M173" i="36" s="1"/>
  <c r="M174" i="36" s="1"/>
  <c r="E186" i="36"/>
  <c r="E188" i="36" s="1"/>
  <c r="E189" i="36" s="1"/>
  <c r="E199" i="36"/>
  <c r="C221" i="36"/>
  <c r="E163" i="36"/>
  <c r="F160" i="36"/>
  <c r="D184" i="36"/>
  <c r="D171" i="36"/>
  <c r="D173" i="36" s="1"/>
  <c r="D174" i="36" s="1"/>
  <c r="G169" i="36"/>
  <c r="G156" i="36"/>
  <c r="G158" i="36" s="1"/>
  <c r="G159" i="36" s="1"/>
  <c r="J156" i="36"/>
  <c r="J158" i="36" s="1"/>
  <c r="J159" i="36" s="1"/>
  <c r="E156" i="36"/>
  <c r="E158" i="36" s="1"/>
  <c r="E159" i="36" s="1"/>
  <c r="N171" i="36"/>
  <c r="N173" i="36" s="1"/>
  <c r="N174" i="36" s="1"/>
  <c r="N184" i="36"/>
  <c r="K163" i="36"/>
  <c r="I156" i="36"/>
  <c r="I158" i="36" s="1"/>
  <c r="I159" i="36" s="1"/>
  <c r="J88" i="36"/>
  <c r="J58" i="36"/>
  <c r="J91" i="36" s="1"/>
  <c r="L214" i="36"/>
  <c r="L201" i="36"/>
  <c r="L203" i="36" s="1"/>
  <c r="L204" i="36" s="1"/>
  <c r="M199" i="36"/>
  <c r="M186" i="36"/>
  <c r="M188" i="36" s="1"/>
  <c r="M189" i="36" s="1"/>
  <c r="F184" i="36"/>
  <c r="F171" i="36"/>
  <c r="F173" i="36" s="1"/>
  <c r="F174" i="36" s="1"/>
  <c r="C91" i="36"/>
  <c r="N163" i="36"/>
  <c r="H145" i="36"/>
  <c r="L140" i="36"/>
  <c r="H140" i="36"/>
  <c r="D140" i="36"/>
  <c r="N140" i="36"/>
  <c r="I140" i="36"/>
  <c r="C140" i="36"/>
  <c r="M140" i="36"/>
  <c r="F140" i="36"/>
  <c r="K140" i="36"/>
  <c r="E140" i="36"/>
  <c r="J140" i="36"/>
  <c r="G140" i="36"/>
  <c r="H156" i="36"/>
  <c r="H158" i="36" s="1"/>
  <c r="H159" i="36" s="1"/>
  <c r="H163" i="36"/>
  <c r="D175" i="36"/>
  <c r="C190" i="36"/>
  <c r="L163" i="36"/>
  <c r="L156" i="36"/>
  <c r="L158" i="36" s="1"/>
  <c r="L159" i="36" s="1"/>
  <c r="N156" i="36"/>
  <c r="N158" i="36" s="1"/>
  <c r="N159" i="36" s="1"/>
  <c r="I171" i="36"/>
  <c r="I173" i="36" s="1"/>
  <c r="I174" i="36" s="1"/>
  <c r="I184" i="36"/>
  <c r="C171" i="36"/>
  <c r="C173" i="36" s="1"/>
  <c r="C174" i="36" s="1"/>
  <c r="C177" i="36" s="1"/>
  <c r="C179" i="36" s="1"/>
  <c r="C12" i="36" s="1"/>
  <c r="C184" i="36"/>
  <c r="H186" i="36"/>
  <c r="H188" i="36" s="1"/>
  <c r="H189" i="36" s="1"/>
  <c r="H199" i="36"/>
  <c r="C206" i="38"/>
  <c r="F173" i="38"/>
  <c r="F168" i="38"/>
  <c r="F180" i="38" s="1"/>
  <c r="G59" i="38"/>
  <c r="C204" i="38"/>
  <c r="C209" i="38"/>
  <c r="C203" i="38"/>
  <c r="C201" i="38"/>
  <c r="D225" i="38"/>
  <c r="C199" i="38"/>
  <c r="M142" i="38"/>
  <c r="M133" i="38"/>
  <c r="D209" i="38"/>
  <c r="E193" i="38"/>
  <c r="F121" i="38"/>
  <c r="G192" i="38"/>
  <c r="H120" i="38"/>
  <c r="E195" i="38"/>
  <c r="F123" i="38"/>
  <c r="D199" i="38"/>
  <c r="E169" i="38"/>
  <c r="E181" i="38" s="1"/>
  <c r="F60" i="38"/>
  <c r="E165" i="38"/>
  <c r="E177" i="38" s="1"/>
  <c r="F56" i="38"/>
  <c r="M43" i="38"/>
  <c r="D85" i="38"/>
  <c r="D73" i="38"/>
  <c r="E13" i="38"/>
  <c r="D68" i="38"/>
  <c r="D80" i="38"/>
  <c r="E8" i="38"/>
  <c r="D200" i="38"/>
  <c r="E163" i="38"/>
  <c r="E175" i="38" s="1"/>
  <c r="F54" i="38"/>
  <c r="M38" i="38"/>
  <c r="M40" i="38"/>
  <c r="M48" i="38"/>
  <c r="M34" i="38"/>
  <c r="M33" i="38"/>
  <c r="F196" i="38"/>
  <c r="E191" i="38"/>
  <c r="F119" i="38"/>
  <c r="D86" i="38"/>
  <c r="E14" i="38"/>
  <c r="D74" i="38"/>
  <c r="D69" i="38"/>
  <c r="D81" i="38"/>
  <c r="E9" i="38"/>
  <c r="C94" i="38"/>
  <c r="C205" i="38"/>
  <c r="D232" i="38"/>
  <c r="E190" i="38"/>
  <c r="F118" i="38"/>
  <c r="E166" i="38"/>
  <c r="E178" i="38" s="1"/>
  <c r="F57" i="38"/>
  <c r="G194" i="38"/>
  <c r="H122" i="38"/>
  <c r="M52" i="38"/>
  <c r="D76" i="38"/>
  <c r="D88" i="38"/>
  <c r="E16" i="38"/>
  <c r="D72" i="38"/>
  <c r="D84" i="38"/>
  <c r="E12" i="38"/>
  <c r="D67" i="38"/>
  <c r="D79" i="38"/>
  <c r="E7" i="38"/>
  <c r="C92" i="38"/>
  <c r="C96" i="38"/>
  <c r="D226" i="38"/>
  <c r="C90" i="38"/>
  <c r="C100" i="38"/>
  <c r="M47" i="38"/>
  <c r="M46" i="38"/>
  <c r="M22" i="38"/>
  <c r="E83" i="38"/>
  <c r="E71" i="38"/>
  <c r="F11" i="38"/>
  <c r="M36" i="38"/>
  <c r="M37" i="38"/>
  <c r="M26" i="38"/>
  <c r="E196" i="38"/>
  <c r="E208" i="38" s="1"/>
  <c r="E189" i="38"/>
  <c r="F117" i="38"/>
  <c r="C98" i="38"/>
  <c r="C208" i="38"/>
  <c r="C202" i="38"/>
  <c r="C200" i="38"/>
  <c r="M136" i="38"/>
  <c r="M139" i="38"/>
  <c r="E170" i="38"/>
  <c r="F61" i="38"/>
  <c r="M146" i="38"/>
  <c r="E185" i="38"/>
  <c r="E197" i="38"/>
  <c r="F125" i="38"/>
  <c r="G196" i="38"/>
  <c r="H124" i="38"/>
  <c r="F192" i="38"/>
  <c r="M132" i="38"/>
  <c r="D207" i="38"/>
  <c r="E187" i="38"/>
  <c r="F115" i="38"/>
  <c r="M134" i="38"/>
  <c r="M51" i="38"/>
  <c r="D87" i="38"/>
  <c r="D75" i="38"/>
  <c r="E15" i="38"/>
  <c r="D82" i="38"/>
  <c r="E10" i="38"/>
  <c r="D70" i="38"/>
  <c r="D66" i="38"/>
  <c r="D78" i="38"/>
  <c r="E6" i="38"/>
  <c r="E188" i="38"/>
  <c r="F116" i="38"/>
  <c r="E176" i="38"/>
  <c r="C95" i="38"/>
  <c r="E171" i="38"/>
  <c r="F62" i="38"/>
  <c r="F164" i="38"/>
  <c r="G55" i="38"/>
  <c r="D233" i="38"/>
  <c r="E167" i="38"/>
  <c r="E179" i="38" s="1"/>
  <c r="F58" i="38"/>
  <c r="M20" i="38"/>
  <c r="M27" i="38"/>
  <c r="M35" i="38"/>
  <c r="M24" i="38"/>
  <c r="U79" i="9"/>
  <c r="Y79" i="9" s="1"/>
  <c r="U86" i="9"/>
  <c r="Y86" i="9" s="1"/>
  <c r="U88" i="9"/>
  <c r="Y88" i="9" s="1"/>
  <c r="U108" i="9"/>
  <c r="Y108" i="9" s="1"/>
  <c r="U244" i="9"/>
  <c r="Y244" i="9" s="1"/>
  <c r="U246" i="9"/>
  <c r="Y246" i="9" s="1"/>
  <c r="U82" i="9"/>
  <c r="Y82" i="9" s="1"/>
  <c r="U156" i="9"/>
  <c r="Y156" i="9" s="1"/>
  <c r="U177" i="9"/>
  <c r="Y177" i="9" s="1"/>
  <c r="U78" i="9"/>
  <c r="Y78" i="9" s="1"/>
  <c r="U107" i="9"/>
  <c r="Y107" i="9" s="1"/>
  <c r="U250" i="9"/>
  <c r="Y250" i="9" s="1"/>
  <c r="U260" i="9"/>
  <c r="Y260" i="9" s="1"/>
  <c r="U153" i="9"/>
  <c r="Y153" i="9" s="1"/>
  <c r="U189" i="9"/>
  <c r="Y189" i="9" s="1"/>
  <c r="U188" i="9"/>
  <c r="Y188" i="9" s="1"/>
  <c r="U187" i="9"/>
  <c r="Y187" i="9" s="1"/>
  <c r="U155" i="9"/>
  <c r="Y155" i="9" s="1"/>
  <c r="U176" i="9"/>
  <c r="Y176" i="9" s="1"/>
  <c r="U183" i="9"/>
  <c r="Y183" i="9" s="1"/>
  <c r="U185" i="9"/>
  <c r="Y185" i="9" s="1"/>
  <c r="U161" i="9"/>
  <c r="Y161" i="9" s="1"/>
  <c r="U160" i="9"/>
  <c r="Y160" i="9" s="1"/>
  <c r="U159" i="9"/>
  <c r="Y159" i="9" s="1"/>
  <c r="U193" i="9"/>
  <c r="Y193" i="9" s="1"/>
  <c r="U192" i="9"/>
  <c r="Y192" i="9" s="1"/>
  <c r="U191" i="9"/>
  <c r="Y191" i="9" s="1"/>
  <c r="U175" i="9"/>
  <c r="Y175" i="9" s="1"/>
  <c r="U173" i="9"/>
  <c r="Y173" i="9" s="1"/>
  <c r="U172" i="9"/>
  <c r="Y172" i="9" s="1"/>
  <c r="U171" i="9"/>
  <c r="Y171" i="9" s="1"/>
  <c r="U181" i="9"/>
  <c r="Y181" i="9" s="1"/>
  <c r="U180" i="9"/>
  <c r="Y180" i="9" s="1"/>
  <c r="U179" i="9"/>
  <c r="Y179" i="9" s="1"/>
  <c r="U198" i="9"/>
  <c r="Y198" i="9" s="1"/>
  <c r="U197" i="9"/>
  <c r="Y197" i="9" s="1"/>
  <c r="U196" i="9"/>
  <c r="Y196" i="9" s="1"/>
  <c r="U248" i="9"/>
  <c r="Y248" i="9" s="1"/>
  <c r="U249" i="9"/>
  <c r="Y249" i="9" s="1"/>
  <c r="U256" i="9"/>
  <c r="Y256" i="9" s="1"/>
  <c r="U257" i="9"/>
  <c r="Y257" i="9" s="1"/>
  <c r="U264" i="9"/>
  <c r="Y264" i="9" s="1"/>
  <c r="U265" i="9"/>
  <c r="Y265" i="9" s="1"/>
  <c r="G63" i="38" l="1"/>
  <c r="E162" i="36"/>
  <c r="E164" i="36" s="1"/>
  <c r="E11" i="36" s="1"/>
  <c r="C179" i="37"/>
  <c r="C12" i="37" s="1"/>
  <c r="E204" i="38"/>
  <c r="D204" i="38"/>
  <c r="D210" i="38" s="1"/>
  <c r="E202" i="38"/>
  <c r="E201" i="38"/>
  <c r="D96" i="38"/>
  <c r="D92" i="38"/>
  <c r="D164" i="36"/>
  <c r="D11" i="36" s="1"/>
  <c r="E209" i="38"/>
  <c r="E205" i="38"/>
  <c r="D100" i="38"/>
  <c r="D94" i="38"/>
  <c r="D149" i="37"/>
  <c r="D10" i="37" s="1"/>
  <c r="C164" i="36"/>
  <c r="C11" i="36" s="1"/>
  <c r="G214" i="37"/>
  <c r="G201" i="37"/>
  <c r="G203" i="37" s="1"/>
  <c r="G204" i="37" s="1"/>
  <c r="D177" i="37"/>
  <c r="D179" i="37" s="1"/>
  <c r="D12" i="37" s="1"/>
  <c r="E175" i="37"/>
  <c r="M184" i="37"/>
  <c r="M171" i="37"/>
  <c r="M173" i="37" s="1"/>
  <c r="M174" i="37" s="1"/>
  <c r="F145" i="37"/>
  <c r="E147" i="37"/>
  <c r="E149" i="37" s="1"/>
  <c r="E10" i="37" s="1"/>
  <c r="D201" i="37"/>
  <c r="D203" i="37" s="1"/>
  <c r="D204" i="37" s="1"/>
  <c r="D214" i="37"/>
  <c r="J186" i="37"/>
  <c r="J188" i="37" s="1"/>
  <c r="J189" i="37" s="1"/>
  <c r="J199" i="37"/>
  <c r="C229" i="37"/>
  <c r="C216" i="37"/>
  <c r="C218" i="37" s="1"/>
  <c r="C219" i="37" s="1"/>
  <c r="D190" i="37"/>
  <c r="C205" i="37"/>
  <c r="C192" i="37"/>
  <c r="C194" i="37" s="1"/>
  <c r="C13" i="37" s="1"/>
  <c r="C91" i="37"/>
  <c r="O58" i="37"/>
  <c r="G160" i="37"/>
  <c r="F162" i="37"/>
  <c r="F164" i="37" s="1"/>
  <c r="F11" i="37" s="1"/>
  <c r="F199" i="37"/>
  <c r="F186" i="37"/>
  <c r="F188" i="37" s="1"/>
  <c r="F189" i="37" s="1"/>
  <c r="K199" i="37"/>
  <c r="K186" i="37"/>
  <c r="K188" i="37" s="1"/>
  <c r="K189" i="37" s="1"/>
  <c r="I184" i="37"/>
  <c r="I171" i="37"/>
  <c r="I173" i="37" s="1"/>
  <c r="I174" i="37" s="1"/>
  <c r="C149" i="37"/>
  <c r="C10" i="37" s="1"/>
  <c r="H201" i="37"/>
  <c r="H203" i="37" s="1"/>
  <c r="H204" i="37" s="1"/>
  <c r="H214" i="37"/>
  <c r="E184" i="37"/>
  <c r="E171" i="37"/>
  <c r="E173" i="37" s="1"/>
  <c r="E174" i="37" s="1"/>
  <c r="C221" i="37"/>
  <c r="D206" i="37"/>
  <c r="E206" i="37" s="1"/>
  <c r="F206" i="37" s="1"/>
  <c r="G206" i="37" s="1"/>
  <c r="H206" i="37" s="1"/>
  <c r="I206" i="37" s="1"/>
  <c r="J206" i="37" s="1"/>
  <c r="K206" i="37" s="1"/>
  <c r="L206" i="37" s="1"/>
  <c r="M206" i="37" s="1"/>
  <c r="N206" i="37" s="1"/>
  <c r="L201" i="37"/>
  <c r="L203" i="37" s="1"/>
  <c r="L204" i="37" s="1"/>
  <c r="L214" i="37"/>
  <c r="N199" i="37"/>
  <c r="N186" i="37"/>
  <c r="N188" i="37" s="1"/>
  <c r="N189" i="37" s="1"/>
  <c r="I186" i="36"/>
  <c r="I188" i="36" s="1"/>
  <c r="I189" i="36" s="1"/>
  <c r="I199" i="36"/>
  <c r="C148" i="36"/>
  <c r="C141" i="36"/>
  <c r="C143" i="36" s="1"/>
  <c r="C144" i="36" s="1"/>
  <c r="C147" i="36" s="1"/>
  <c r="M214" i="36"/>
  <c r="M201" i="36"/>
  <c r="M203" i="36" s="1"/>
  <c r="M204" i="36" s="1"/>
  <c r="F162" i="36"/>
  <c r="F164" i="36" s="1"/>
  <c r="F11" i="36" s="1"/>
  <c r="G160" i="36"/>
  <c r="I141" i="36"/>
  <c r="I143" i="36" s="1"/>
  <c r="I144" i="36" s="1"/>
  <c r="I148" i="36"/>
  <c r="D186" i="36"/>
  <c r="D188" i="36" s="1"/>
  <c r="D189" i="36" s="1"/>
  <c r="D199" i="36"/>
  <c r="C205" i="36"/>
  <c r="D190" i="36"/>
  <c r="G148" i="36"/>
  <c r="G141" i="36"/>
  <c r="G143" i="36" s="1"/>
  <c r="G144" i="36" s="1"/>
  <c r="G147" i="36" s="1"/>
  <c r="G149" i="36" s="1"/>
  <c r="G10" i="36" s="1"/>
  <c r="F148" i="36"/>
  <c r="F141" i="36"/>
  <c r="F143" i="36" s="1"/>
  <c r="F144" i="36" s="1"/>
  <c r="F147" i="36" s="1"/>
  <c r="F149" i="36" s="1"/>
  <c r="F10" i="36" s="1"/>
  <c r="N148" i="36"/>
  <c r="N141" i="36"/>
  <c r="N143" i="36" s="1"/>
  <c r="N144" i="36" s="1"/>
  <c r="O58" i="36"/>
  <c r="G43" i="29" s="1"/>
  <c r="G48" i="29" s="1"/>
  <c r="L229" i="36"/>
  <c r="L216" i="36"/>
  <c r="L218" i="36" s="1"/>
  <c r="L219" i="36" s="1"/>
  <c r="N199" i="36"/>
  <c r="N186" i="36"/>
  <c r="N188" i="36" s="1"/>
  <c r="N189" i="36" s="1"/>
  <c r="G184" i="36"/>
  <c r="G171" i="36"/>
  <c r="G173" i="36" s="1"/>
  <c r="G174" i="36" s="1"/>
  <c r="E214" i="36"/>
  <c r="E201" i="36"/>
  <c r="E203" i="36" s="1"/>
  <c r="E204" i="36" s="1"/>
  <c r="J214" i="36"/>
  <c r="J201" i="36"/>
  <c r="J203" i="36" s="1"/>
  <c r="J204" i="36" s="1"/>
  <c r="E148" i="36"/>
  <c r="E141" i="36"/>
  <c r="E143" i="36" s="1"/>
  <c r="E144" i="36" s="1"/>
  <c r="E147" i="36" s="1"/>
  <c r="H148" i="36"/>
  <c r="H141" i="36"/>
  <c r="H143" i="36" s="1"/>
  <c r="H144" i="36" s="1"/>
  <c r="H147" i="36" s="1"/>
  <c r="H149" i="36" s="1"/>
  <c r="H10" i="36" s="1"/>
  <c r="F199" i="36"/>
  <c r="F186" i="36"/>
  <c r="F188" i="36" s="1"/>
  <c r="F189" i="36" s="1"/>
  <c r="C236" i="36"/>
  <c r="D221" i="36"/>
  <c r="E221" i="36" s="1"/>
  <c r="F221" i="36" s="1"/>
  <c r="G221" i="36" s="1"/>
  <c r="H221" i="36" s="1"/>
  <c r="I221" i="36" s="1"/>
  <c r="J221" i="36" s="1"/>
  <c r="K221" i="36" s="1"/>
  <c r="L221" i="36" s="1"/>
  <c r="M221" i="36" s="1"/>
  <c r="N221" i="36" s="1"/>
  <c r="K199" i="36"/>
  <c r="K186" i="36"/>
  <c r="K188" i="36" s="1"/>
  <c r="K189" i="36" s="1"/>
  <c r="C199" i="36"/>
  <c r="C186" i="36"/>
  <c r="C188" i="36" s="1"/>
  <c r="C189" i="36" s="1"/>
  <c r="C192" i="36" s="1"/>
  <c r="C194" i="36" s="1"/>
  <c r="C13" i="36" s="1"/>
  <c r="K148" i="36"/>
  <c r="K141" i="36"/>
  <c r="K143" i="36" s="1"/>
  <c r="K144" i="36" s="1"/>
  <c r="L148" i="36"/>
  <c r="L141" i="36"/>
  <c r="L143" i="36" s="1"/>
  <c r="L144" i="36" s="1"/>
  <c r="H214" i="36"/>
  <c r="H201" i="36"/>
  <c r="H203" i="36" s="1"/>
  <c r="H204" i="36" s="1"/>
  <c r="E175" i="36"/>
  <c r="D177" i="36"/>
  <c r="D179" i="36" s="1"/>
  <c r="D12" i="36" s="1"/>
  <c r="J148" i="36"/>
  <c r="J141" i="36"/>
  <c r="J143" i="36" s="1"/>
  <c r="J144" i="36" s="1"/>
  <c r="M148" i="36"/>
  <c r="M141" i="36"/>
  <c r="M143" i="36" s="1"/>
  <c r="M144" i="36" s="1"/>
  <c r="D148" i="36"/>
  <c r="D141" i="36"/>
  <c r="D143" i="36" s="1"/>
  <c r="D144" i="36" s="1"/>
  <c r="D147" i="36" s="1"/>
  <c r="I145" i="36"/>
  <c r="E203" i="38"/>
  <c r="G164" i="38"/>
  <c r="H55" i="38"/>
  <c r="F232" i="38"/>
  <c r="E84" i="38"/>
  <c r="E72" i="38"/>
  <c r="F12" i="38"/>
  <c r="E88" i="38"/>
  <c r="E76" i="38"/>
  <c r="F16" i="38"/>
  <c r="D93" i="38"/>
  <c r="I120" i="38"/>
  <c r="H192" i="38"/>
  <c r="G173" i="38"/>
  <c r="G168" i="38"/>
  <c r="H59" i="38"/>
  <c r="F167" i="38"/>
  <c r="F179" i="38" s="1"/>
  <c r="G58" i="38"/>
  <c r="E233" i="38"/>
  <c r="E234" i="38" s="1"/>
  <c r="E236" i="38" s="1"/>
  <c r="E82" i="38"/>
  <c r="E70" i="38"/>
  <c r="F10" i="38"/>
  <c r="D99" i="38"/>
  <c r="F185" i="38"/>
  <c r="G125" i="38"/>
  <c r="F197" i="38"/>
  <c r="F170" i="38"/>
  <c r="F182" i="38" s="1"/>
  <c r="F206" i="38" s="1"/>
  <c r="G61" i="38"/>
  <c r="F166" i="38"/>
  <c r="F178" i="38" s="1"/>
  <c r="G57" i="38"/>
  <c r="D98" i="38"/>
  <c r="F163" i="38"/>
  <c r="F175" i="38" s="1"/>
  <c r="G54" i="38"/>
  <c r="G172" i="38"/>
  <c r="G184" i="38" s="1"/>
  <c r="G208" i="38" s="1"/>
  <c r="H63" i="38"/>
  <c r="E80" i="38"/>
  <c r="E68" i="38"/>
  <c r="F8" i="38"/>
  <c r="E85" i="38"/>
  <c r="E73" i="38"/>
  <c r="F13" i="38"/>
  <c r="F195" i="38"/>
  <c r="G123" i="38"/>
  <c r="F204" i="38"/>
  <c r="E79" i="38"/>
  <c r="E67" i="38"/>
  <c r="F7" i="38"/>
  <c r="F190" i="38"/>
  <c r="G118" i="38"/>
  <c r="F169" i="38"/>
  <c r="F181" i="38" s="1"/>
  <c r="G60" i="38"/>
  <c r="F171" i="38"/>
  <c r="G62" i="38"/>
  <c r="E200" i="38"/>
  <c r="E226" i="38"/>
  <c r="D90" i="38"/>
  <c r="F187" i="38"/>
  <c r="G115" i="38"/>
  <c r="H196" i="38"/>
  <c r="I124" i="38"/>
  <c r="F83" i="38"/>
  <c r="F71" i="38"/>
  <c r="G11" i="38"/>
  <c r="H194" i="38"/>
  <c r="I122" i="38"/>
  <c r="E182" i="38"/>
  <c r="E81" i="38"/>
  <c r="E69" i="38"/>
  <c r="F9" i="38"/>
  <c r="E86" i="38"/>
  <c r="E74" i="38"/>
  <c r="F14" i="38"/>
  <c r="F191" i="38"/>
  <c r="G119" i="38"/>
  <c r="F184" i="38"/>
  <c r="F165" i="38"/>
  <c r="F177" i="38" s="1"/>
  <c r="G56" i="38"/>
  <c r="E183" i="38"/>
  <c r="C210" i="38"/>
  <c r="F188" i="38"/>
  <c r="F176" i="38"/>
  <c r="G116" i="38"/>
  <c r="E78" i="38"/>
  <c r="E66" i="38"/>
  <c r="F6" i="38"/>
  <c r="E87" i="38"/>
  <c r="E75" i="38"/>
  <c r="F15" i="38"/>
  <c r="E199" i="38"/>
  <c r="F189" i="38"/>
  <c r="G117" i="38"/>
  <c r="E95" i="38"/>
  <c r="C101" i="38"/>
  <c r="D91" i="38"/>
  <c r="D234" i="38"/>
  <c r="D236" i="38" s="1"/>
  <c r="D97" i="38"/>
  <c r="F193" i="38"/>
  <c r="G121" i="38"/>
  <c r="D227" i="38"/>
  <c r="D229" i="38" s="1"/>
  <c r="Z198" i="9"/>
  <c r="Z197" i="9"/>
  <c r="Z196" i="9"/>
  <c r="Z195" i="9"/>
  <c r="Z189" i="9"/>
  <c r="Z188" i="9"/>
  <c r="Z199" i="9"/>
  <c r="Z193" i="9"/>
  <c r="Z192" i="9"/>
  <c r="Z191" i="9"/>
  <c r="Z190" i="9"/>
  <c r="Z185" i="9"/>
  <c r="Z184" i="9"/>
  <c r="Z183" i="9"/>
  <c r="Z182" i="9"/>
  <c r="Z177" i="9"/>
  <c r="Z176" i="9"/>
  <c r="Z175" i="9"/>
  <c r="Z174" i="9"/>
  <c r="Z186" i="9"/>
  <c r="Z181" i="9"/>
  <c r="Z172" i="9"/>
  <c r="Z187" i="9"/>
  <c r="Z178" i="9"/>
  <c r="Z173" i="9"/>
  <c r="Z180" i="9"/>
  <c r="Z171" i="9"/>
  <c r="Z179" i="9"/>
  <c r="E16" i="22" l="1"/>
  <c r="E91" i="38"/>
  <c r="E96" i="38"/>
  <c r="E99" i="38"/>
  <c r="E94" i="38"/>
  <c r="E97" i="38"/>
  <c r="C149" i="36"/>
  <c r="C10" i="36" s="1"/>
  <c r="L229" i="37"/>
  <c r="L216" i="37"/>
  <c r="L218" i="37" s="1"/>
  <c r="L219" i="37" s="1"/>
  <c r="I199" i="37"/>
  <c r="I186" i="37"/>
  <c r="I188" i="37" s="1"/>
  <c r="I189" i="37" s="1"/>
  <c r="G162" i="37"/>
  <c r="G164" i="37" s="1"/>
  <c r="G11" i="37" s="1"/>
  <c r="H160" i="37"/>
  <c r="C220" i="37"/>
  <c r="D205" i="37"/>
  <c r="C207" i="37"/>
  <c r="C209" i="37" s="1"/>
  <c r="C14" i="37" s="1"/>
  <c r="J201" i="37"/>
  <c r="J203" i="37" s="1"/>
  <c r="J204" i="37" s="1"/>
  <c r="J214" i="37"/>
  <c r="G145" i="37"/>
  <c r="F147" i="37"/>
  <c r="F149" i="37" s="1"/>
  <c r="F10" i="37" s="1"/>
  <c r="G229" i="37"/>
  <c r="G216" i="37"/>
  <c r="G218" i="37" s="1"/>
  <c r="G219" i="37" s="1"/>
  <c r="H229" i="37"/>
  <c r="H216" i="37"/>
  <c r="H218" i="37" s="1"/>
  <c r="H219" i="37" s="1"/>
  <c r="F214" i="37"/>
  <c r="F201" i="37"/>
  <c r="F203" i="37" s="1"/>
  <c r="F204" i="37" s="1"/>
  <c r="D192" i="37"/>
  <c r="D194" i="37" s="1"/>
  <c r="D13" i="37" s="1"/>
  <c r="E190" i="37"/>
  <c r="K214" i="37"/>
  <c r="K201" i="37"/>
  <c r="K203" i="37" s="1"/>
  <c r="K204" i="37" s="1"/>
  <c r="M199" i="37"/>
  <c r="M186" i="37"/>
  <c r="M188" i="37" s="1"/>
  <c r="M189" i="37" s="1"/>
  <c r="N201" i="37"/>
  <c r="N203" i="37" s="1"/>
  <c r="N204" i="37" s="1"/>
  <c r="N214" i="37"/>
  <c r="C236" i="37"/>
  <c r="D221" i="37"/>
  <c r="E221" i="37" s="1"/>
  <c r="F221" i="37" s="1"/>
  <c r="G221" i="37" s="1"/>
  <c r="H221" i="37" s="1"/>
  <c r="I221" i="37" s="1"/>
  <c r="J221" i="37" s="1"/>
  <c r="K221" i="37" s="1"/>
  <c r="L221" i="37" s="1"/>
  <c r="M221" i="37" s="1"/>
  <c r="N221" i="37" s="1"/>
  <c r="E186" i="37"/>
  <c r="E188" i="37" s="1"/>
  <c r="E189" i="37" s="1"/>
  <c r="E199" i="37"/>
  <c r="C244" i="37"/>
  <c r="C231" i="37"/>
  <c r="C233" i="37" s="1"/>
  <c r="C234" i="37" s="1"/>
  <c r="D229" i="37"/>
  <c r="D216" i="37"/>
  <c r="D218" i="37" s="1"/>
  <c r="D219" i="37" s="1"/>
  <c r="E177" i="37"/>
  <c r="E179" i="37" s="1"/>
  <c r="E12" i="37" s="1"/>
  <c r="F175" i="37"/>
  <c r="H229" i="36"/>
  <c r="H216" i="36"/>
  <c r="H218" i="36" s="1"/>
  <c r="H219" i="36" s="1"/>
  <c r="D205" i="36"/>
  <c r="C220" i="36"/>
  <c r="J145" i="36"/>
  <c r="I147" i="36"/>
  <c r="I149" i="36" s="1"/>
  <c r="I10" i="36" s="1"/>
  <c r="E177" i="36"/>
  <c r="E179" i="36" s="1"/>
  <c r="E12" i="36" s="1"/>
  <c r="F175" i="36"/>
  <c r="C214" i="36"/>
  <c r="C201" i="36"/>
  <c r="C203" i="36" s="1"/>
  <c r="C204" i="36" s="1"/>
  <c r="C207" i="36" s="1"/>
  <c r="C209" i="36" s="1"/>
  <c r="C14" i="36" s="1"/>
  <c r="C251" i="36"/>
  <c r="D236" i="36"/>
  <c r="E236" i="36" s="1"/>
  <c r="F236" i="36" s="1"/>
  <c r="G236" i="36" s="1"/>
  <c r="H236" i="36" s="1"/>
  <c r="I236" i="36" s="1"/>
  <c r="J236" i="36" s="1"/>
  <c r="K236" i="36" s="1"/>
  <c r="L236" i="36" s="1"/>
  <c r="M236" i="36" s="1"/>
  <c r="N236" i="36" s="1"/>
  <c r="J216" i="36"/>
  <c r="J218" i="36" s="1"/>
  <c r="J219" i="36" s="1"/>
  <c r="J229" i="36"/>
  <c r="D201" i="36"/>
  <c r="D203" i="36" s="1"/>
  <c r="D204" i="36" s="1"/>
  <c r="D214" i="36"/>
  <c r="I201" i="36"/>
  <c r="I203" i="36" s="1"/>
  <c r="I204" i="36" s="1"/>
  <c r="I214" i="36"/>
  <c r="K201" i="36"/>
  <c r="K203" i="36" s="1"/>
  <c r="K204" i="36" s="1"/>
  <c r="K214" i="36"/>
  <c r="F214" i="36"/>
  <c r="F201" i="36"/>
  <c r="F203" i="36" s="1"/>
  <c r="F204" i="36" s="1"/>
  <c r="D192" i="36"/>
  <c r="D194" i="36" s="1"/>
  <c r="D13" i="36" s="1"/>
  <c r="E190" i="36"/>
  <c r="E229" i="36"/>
  <c r="E216" i="36"/>
  <c r="E218" i="36" s="1"/>
  <c r="E219" i="36" s="1"/>
  <c r="N214" i="36"/>
  <c r="N201" i="36"/>
  <c r="N203" i="36" s="1"/>
  <c r="N204" i="36" s="1"/>
  <c r="D149" i="36"/>
  <c r="D10" i="36" s="1"/>
  <c r="E149" i="36"/>
  <c r="E10" i="36" s="1"/>
  <c r="G199" i="36"/>
  <c r="G186" i="36"/>
  <c r="G188" i="36" s="1"/>
  <c r="G189" i="36" s="1"/>
  <c r="L244" i="36"/>
  <c r="L231" i="36"/>
  <c r="L233" i="36" s="1"/>
  <c r="L234" i="36" s="1"/>
  <c r="G162" i="36"/>
  <c r="G164" i="36" s="1"/>
  <c r="G11" i="36" s="1"/>
  <c r="H160" i="36"/>
  <c r="M229" i="36"/>
  <c r="M216" i="36"/>
  <c r="M218" i="36" s="1"/>
  <c r="M219" i="36" s="1"/>
  <c r="F202" i="38"/>
  <c r="F201" i="38"/>
  <c r="F205" i="38"/>
  <c r="D214" i="38"/>
  <c r="E239" i="38"/>
  <c r="D240" i="38"/>
  <c r="C105" i="38"/>
  <c r="F233" i="38"/>
  <c r="F234" i="38" s="1"/>
  <c r="F236" i="38" s="1"/>
  <c r="I194" i="38"/>
  <c r="J122" i="38"/>
  <c r="F80" i="38"/>
  <c r="F68" i="38"/>
  <c r="G8" i="38"/>
  <c r="G167" i="38"/>
  <c r="G179" i="38" s="1"/>
  <c r="H58" i="38"/>
  <c r="G193" i="38"/>
  <c r="H121" i="38"/>
  <c r="G165" i="38"/>
  <c r="G177" i="38" s="1"/>
  <c r="H56" i="38"/>
  <c r="F208" i="38"/>
  <c r="F86" i="38"/>
  <c r="F74" i="38"/>
  <c r="G14" i="38"/>
  <c r="E93" i="38"/>
  <c r="F95" i="38"/>
  <c r="F199" i="38"/>
  <c r="F79" i="38"/>
  <c r="G7" i="38"/>
  <c r="F67" i="38"/>
  <c r="G195" i="38"/>
  <c r="H123" i="38"/>
  <c r="F85" i="38"/>
  <c r="F73" i="38"/>
  <c r="G13" i="38"/>
  <c r="E92" i="38"/>
  <c r="F82" i="38"/>
  <c r="F70" i="38"/>
  <c r="G10" i="38"/>
  <c r="F84" i="38"/>
  <c r="F72" i="38"/>
  <c r="G12" i="38"/>
  <c r="D239" i="38"/>
  <c r="C214" i="38"/>
  <c r="E206" i="38"/>
  <c r="G83" i="38"/>
  <c r="G71" i="38"/>
  <c r="H11" i="38"/>
  <c r="G187" i="38"/>
  <c r="H115" i="38"/>
  <c r="F225" i="38"/>
  <c r="F78" i="38"/>
  <c r="G6" i="38"/>
  <c r="F66" i="38"/>
  <c r="G188" i="38"/>
  <c r="G176" i="38"/>
  <c r="H116" i="38"/>
  <c r="E207" i="38"/>
  <c r="G191" i="38"/>
  <c r="H119" i="38"/>
  <c r="E98" i="38"/>
  <c r="G232" i="38"/>
  <c r="G190" i="38"/>
  <c r="H118" i="38"/>
  <c r="F183" i="38"/>
  <c r="F207" i="38" s="1"/>
  <c r="G163" i="38"/>
  <c r="H54" i="38"/>
  <c r="H173" i="38"/>
  <c r="H168" i="38"/>
  <c r="H180" i="38" s="1"/>
  <c r="H204" i="38" s="1"/>
  <c r="I59" i="38"/>
  <c r="I192" i="38"/>
  <c r="J120" i="38"/>
  <c r="F88" i="38"/>
  <c r="F76" i="38"/>
  <c r="G16" i="38"/>
  <c r="H164" i="38"/>
  <c r="I55" i="38"/>
  <c r="F81" i="38"/>
  <c r="G9" i="38"/>
  <c r="F69" i="38"/>
  <c r="I196" i="38"/>
  <c r="J124" i="38"/>
  <c r="F209" i="38"/>
  <c r="G189" i="38"/>
  <c r="H117" i="38"/>
  <c r="F87" i="38"/>
  <c r="F75" i="38"/>
  <c r="G15" i="38"/>
  <c r="F226" i="38"/>
  <c r="E90" i="38"/>
  <c r="F200" i="38"/>
  <c r="E227" i="38"/>
  <c r="E229" i="38" s="1"/>
  <c r="F203" i="38"/>
  <c r="D101" i="38"/>
  <c r="G171" i="38"/>
  <c r="G183" i="38" s="1"/>
  <c r="H62" i="38"/>
  <c r="G169" i="38"/>
  <c r="G181" i="38" s="1"/>
  <c r="H60" i="38"/>
  <c r="H172" i="38"/>
  <c r="H184" i="38" s="1"/>
  <c r="H208" i="38" s="1"/>
  <c r="I63" i="38"/>
  <c r="G166" i="38"/>
  <c r="G178" i="38" s="1"/>
  <c r="H57" i="38"/>
  <c r="G170" i="38"/>
  <c r="G182" i="38" s="1"/>
  <c r="G206" i="38" s="1"/>
  <c r="H61" i="38"/>
  <c r="G197" i="38"/>
  <c r="G185" i="38"/>
  <c r="H125" i="38"/>
  <c r="G180" i="38"/>
  <c r="E100" i="38"/>
  <c r="F98" i="6"/>
  <c r="F97" i="6"/>
  <c r="F96" i="6"/>
  <c r="F95" i="6"/>
  <c r="F94" i="6"/>
  <c r="F93" i="6"/>
  <c r="B96" i="6"/>
  <c r="B93" i="6"/>
  <c r="G209" i="38" l="1"/>
  <c r="F99" i="38"/>
  <c r="G207" i="38"/>
  <c r="G205" i="38"/>
  <c r="G95" i="38"/>
  <c r="D231" i="37"/>
  <c r="D233" i="37" s="1"/>
  <c r="D234" i="37" s="1"/>
  <c r="D244" i="37"/>
  <c r="E192" i="37"/>
  <c r="E194" i="37" s="1"/>
  <c r="E13" i="37" s="1"/>
  <c r="F190" i="37"/>
  <c r="I201" i="37"/>
  <c r="I203" i="37" s="1"/>
  <c r="I204" i="37" s="1"/>
  <c r="I214" i="37"/>
  <c r="F177" i="37"/>
  <c r="F179" i="37" s="1"/>
  <c r="F12" i="37" s="1"/>
  <c r="G175" i="37"/>
  <c r="H231" i="37"/>
  <c r="H233" i="37" s="1"/>
  <c r="H234" i="37" s="1"/>
  <c r="H244" i="37"/>
  <c r="I160" i="37"/>
  <c r="H162" i="37"/>
  <c r="H164" i="37" s="1"/>
  <c r="H11" i="37" s="1"/>
  <c r="C246" i="37"/>
  <c r="C248" i="37" s="1"/>
  <c r="C249" i="37" s="1"/>
  <c r="C259" i="37"/>
  <c r="C251" i="37"/>
  <c r="D236" i="37"/>
  <c r="E236" i="37" s="1"/>
  <c r="F236" i="37" s="1"/>
  <c r="G236" i="37" s="1"/>
  <c r="H236" i="37" s="1"/>
  <c r="I236" i="37" s="1"/>
  <c r="J236" i="37" s="1"/>
  <c r="K236" i="37" s="1"/>
  <c r="L236" i="37" s="1"/>
  <c r="M236" i="37" s="1"/>
  <c r="N236" i="37" s="1"/>
  <c r="M214" i="37"/>
  <c r="M201" i="37"/>
  <c r="M203" i="37" s="1"/>
  <c r="M204" i="37" s="1"/>
  <c r="K229" i="37"/>
  <c r="K216" i="37"/>
  <c r="K218" i="37" s="1"/>
  <c r="K219" i="37" s="1"/>
  <c r="H145" i="37"/>
  <c r="G147" i="37"/>
  <c r="G149" i="37" s="1"/>
  <c r="G10" i="37" s="1"/>
  <c r="D207" i="37"/>
  <c r="D209" i="37" s="1"/>
  <c r="D14" i="37" s="1"/>
  <c r="E205" i="37"/>
  <c r="L231" i="37"/>
  <c r="L233" i="37" s="1"/>
  <c r="L234" i="37" s="1"/>
  <c r="L244" i="37"/>
  <c r="E201" i="37"/>
  <c r="E203" i="37" s="1"/>
  <c r="E204" i="37" s="1"/>
  <c r="E214" i="37"/>
  <c r="N229" i="37"/>
  <c r="N216" i="37"/>
  <c r="N218" i="37" s="1"/>
  <c r="N219" i="37" s="1"/>
  <c r="F229" i="37"/>
  <c r="F216" i="37"/>
  <c r="F218" i="37" s="1"/>
  <c r="F219" i="37" s="1"/>
  <c r="G244" i="37"/>
  <c r="G231" i="37"/>
  <c r="G233" i="37" s="1"/>
  <c r="G234" i="37" s="1"/>
  <c r="J229" i="37"/>
  <c r="J216" i="37"/>
  <c r="J218" i="37" s="1"/>
  <c r="J219" i="37" s="1"/>
  <c r="C235" i="37"/>
  <c r="D220" i="37"/>
  <c r="C222" i="37"/>
  <c r="C224" i="37" s="1"/>
  <c r="C15" i="37" s="1"/>
  <c r="D220" i="36"/>
  <c r="C235" i="36"/>
  <c r="I160" i="36"/>
  <c r="H162" i="36"/>
  <c r="H164" i="36" s="1"/>
  <c r="H11" i="36" s="1"/>
  <c r="L246" i="36"/>
  <c r="L248" i="36" s="1"/>
  <c r="L249" i="36" s="1"/>
  <c r="L259" i="36"/>
  <c r="E231" i="36"/>
  <c r="E233" i="36" s="1"/>
  <c r="E234" i="36" s="1"/>
  <c r="E244" i="36"/>
  <c r="F216" i="36"/>
  <c r="F218" i="36" s="1"/>
  <c r="F219" i="36" s="1"/>
  <c r="F229" i="36"/>
  <c r="C216" i="36"/>
  <c r="C218" i="36" s="1"/>
  <c r="C219" i="36" s="1"/>
  <c r="C222" i="36" s="1"/>
  <c r="C224" i="36" s="1"/>
  <c r="C15" i="36" s="1"/>
  <c r="C229" i="36"/>
  <c r="H244" i="36"/>
  <c r="H231" i="36"/>
  <c r="H233" i="36" s="1"/>
  <c r="H234" i="36" s="1"/>
  <c r="M231" i="36"/>
  <c r="M233" i="36" s="1"/>
  <c r="M234" i="36" s="1"/>
  <c r="M244" i="36"/>
  <c r="G201" i="36"/>
  <c r="G203" i="36" s="1"/>
  <c r="G204" i="36" s="1"/>
  <c r="G214" i="36"/>
  <c r="N216" i="36"/>
  <c r="N218" i="36" s="1"/>
  <c r="N219" i="36" s="1"/>
  <c r="N229" i="36"/>
  <c r="D251" i="36"/>
  <c r="E251" i="36" s="1"/>
  <c r="F251" i="36" s="1"/>
  <c r="G251" i="36" s="1"/>
  <c r="H251" i="36" s="1"/>
  <c r="I251" i="36" s="1"/>
  <c r="J251" i="36" s="1"/>
  <c r="K251" i="36" s="1"/>
  <c r="L251" i="36" s="1"/>
  <c r="M251" i="36" s="1"/>
  <c r="N251" i="36" s="1"/>
  <c r="C266" i="36"/>
  <c r="I229" i="36"/>
  <c r="I216" i="36"/>
  <c r="I218" i="36" s="1"/>
  <c r="I219" i="36" s="1"/>
  <c r="J244" i="36"/>
  <c r="J231" i="36"/>
  <c r="J233" i="36" s="1"/>
  <c r="J234" i="36" s="1"/>
  <c r="E205" i="36"/>
  <c r="D207" i="36"/>
  <c r="D209" i="36" s="1"/>
  <c r="D14" i="36" s="1"/>
  <c r="E192" i="36"/>
  <c r="E194" i="36" s="1"/>
  <c r="E13" i="36" s="1"/>
  <c r="F190" i="36"/>
  <c r="K229" i="36"/>
  <c r="K216" i="36"/>
  <c r="K218" i="36" s="1"/>
  <c r="K219" i="36" s="1"/>
  <c r="D216" i="36"/>
  <c r="D218" i="36" s="1"/>
  <c r="D219" i="36" s="1"/>
  <c r="D229" i="36"/>
  <c r="F177" i="36"/>
  <c r="F179" i="36" s="1"/>
  <c r="F12" i="36" s="1"/>
  <c r="G175" i="36"/>
  <c r="K145" i="36"/>
  <c r="J147" i="36"/>
  <c r="J149" i="36" s="1"/>
  <c r="J10" i="36" s="1"/>
  <c r="G201" i="38"/>
  <c r="H169" i="38"/>
  <c r="I60" i="38"/>
  <c r="J192" i="38"/>
  <c r="K120" i="38"/>
  <c r="I173" i="38"/>
  <c r="I168" i="38"/>
  <c r="J59" i="38"/>
  <c r="F91" i="38"/>
  <c r="J194" i="38"/>
  <c r="K122" i="38"/>
  <c r="E101" i="38"/>
  <c r="G76" i="38"/>
  <c r="H16" i="38"/>
  <c r="G88" i="38"/>
  <c r="H163" i="38"/>
  <c r="H175" i="38" s="1"/>
  <c r="I54" i="38"/>
  <c r="G200" i="38"/>
  <c r="G66" i="38"/>
  <c r="G78" i="38"/>
  <c r="H6" i="38"/>
  <c r="H187" i="38"/>
  <c r="I115" i="38"/>
  <c r="H12" i="38"/>
  <c r="G72" i="38"/>
  <c r="G84" i="38"/>
  <c r="H195" i="38"/>
  <c r="H183" i="38"/>
  <c r="I123" i="38"/>
  <c r="G79" i="38"/>
  <c r="G67" i="38"/>
  <c r="H7" i="38"/>
  <c r="G74" i="38"/>
  <c r="G86" i="38"/>
  <c r="H14" i="38"/>
  <c r="G68" i="38"/>
  <c r="H8" i="38"/>
  <c r="G80" i="38"/>
  <c r="H166" i="38"/>
  <c r="I57" i="38"/>
  <c r="G87" i="38"/>
  <c r="G75" i="38"/>
  <c r="H15" i="38"/>
  <c r="H189" i="38"/>
  <c r="I117" i="38"/>
  <c r="H176" i="38"/>
  <c r="H188" i="38"/>
  <c r="I116" i="38"/>
  <c r="G226" i="38"/>
  <c r="F90" i="38"/>
  <c r="H83" i="38"/>
  <c r="H71" i="38"/>
  <c r="I11" i="38"/>
  <c r="G225" i="38"/>
  <c r="H170" i="38"/>
  <c r="H182" i="38" s="1"/>
  <c r="H206" i="38" s="1"/>
  <c r="I61" i="38"/>
  <c r="H171" i="38"/>
  <c r="I62" i="38"/>
  <c r="J196" i="38"/>
  <c r="K124" i="38"/>
  <c r="F93" i="38"/>
  <c r="F100" i="38"/>
  <c r="H178" i="38"/>
  <c r="H190" i="38"/>
  <c r="I118" i="38"/>
  <c r="H191" i="38"/>
  <c r="I119" i="38"/>
  <c r="G233" i="38"/>
  <c r="G234" i="38" s="1"/>
  <c r="G236" i="38" s="1"/>
  <c r="G175" i="38"/>
  <c r="D241" i="38"/>
  <c r="F96" i="38"/>
  <c r="G70" i="38"/>
  <c r="H10" i="38"/>
  <c r="G82" i="38"/>
  <c r="G85" i="38"/>
  <c r="G73" i="38"/>
  <c r="H13" i="38"/>
  <c r="F98" i="38"/>
  <c r="H165" i="38"/>
  <c r="H177" i="38" s="1"/>
  <c r="I56" i="38"/>
  <c r="E210" i="38"/>
  <c r="H167" i="38"/>
  <c r="H179" i="38" s="1"/>
  <c r="I58" i="38"/>
  <c r="F92" i="38"/>
  <c r="G204" i="38"/>
  <c r="E240" i="38"/>
  <c r="E241" i="38" s="1"/>
  <c r="D105" i="38"/>
  <c r="H197" i="38"/>
  <c r="H185" i="38"/>
  <c r="I125" i="38"/>
  <c r="J63" i="38"/>
  <c r="I172" i="38"/>
  <c r="I184" i="38" s="1"/>
  <c r="I208" i="38" s="1"/>
  <c r="G81" i="38"/>
  <c r="G69" i="38"/>
  <c r="H9" i="38"/>
  <c r="I164" i="38"/>
  <c r="J55" i="38"/>
  <c r="G202" i="38"/>
  <c r="G203" i="38"/>
  <c r="F227" i="38"/>
  <c r="F229" i="38" s="1"/>
  <c r="H232" i="38"/>
  <c r="F94" i="38"/>
  <c r="F97" i="38"/>
  <c r="F210" i="38"/>
  <c r="H181" i="38"/>
  <c r="H193" i="38"/>
  <c r="I121" i="38"/>
  <c r="R45" i="27"/>
  <c r="R44" i="27"/>
  <c r="R43" i="27"/>
  <c r="R42" i="27"/>
  <c r="R41" i="27"/>
  <c r="R40" i="27"/>
  <c r="R39" i="27"/>
  <c r="R38" i="27"/>
  <c r="R37" i="27"/>
  <c r="R36" i="27"/>
  <c r="R35" i="27"/>
  <c r="R33" i="27"/>
  <c r="R32" i="27"/>
  <c r="R31" i="27"/>
  <c r="R30" i="27"/>
  <c r="R29" i="27"/>
  <c r="R28" i="27"/>
  <c r="R26" i="27"/>
  <c r="R25" i="27"/>
  <c r="R24" i="27"/>
  <c r="R23" i="27"/>
  <c r="R22" i="27"/>
  <c r="R21" i="27"/>
  <c r="S19" i="27"/>
  <c r="R19" i="27"/>
  <c r="E243" i="38" l="1"/>
  <c r="E23" i="10"/>
  <c r="E304" i="10" s="1"/>
  <c r="D243" i="38"/>
  <c r="D23" i="10"/>
  <c r="D304" i="10" s="1"/>
  <c r="H209" i="38"/>
  <c r="G97" i="38"/>
  <c r="H95" i="38"/>
  <c r="G94" i="38"/>
  <c r="G92" i="38"/>
  <c r="H207" i="38"/>
  <c r="H205" i="38"/>
  <c r="H200" i="38"/>
  <c r="I232" i="38"/>
  <c r="G91" i="38"/>
  <c r="G93" i="38"/>
  <c r="G227" i="38"/>
  <c r="G229" i="38" s="1"/>
  <c r="G246" i="37"/>
  <c r="G248" i="37" s="1"/>
  <c r="G249" i="37" s="1"/>
  <c r="G259" i="37"/>
  <c r="N244" i="37"/>
  <c r="N231" i="37"/>
  <c r="N233" i="37" s="1"/>
  <c r="N234" i="37" s="1"/>
  <c r="F205" i="37"/>
  <c r="E207" i="37"/>
  <c r="E209" i="37" s="1"/>
  <c r="H147" i="37"/>
  <c r="H149" i="37" s="1"/>
  <c r="H10" i="37" s="1"/>
  <c r="I145" i="37"/>
  <c r="J244" i="37"/>
  <c r="J231" i="37"/>
  <c r="J233" i="37" s="1"/>
  <c r="J234" i="37" s="1"/>
  <c r="F244" i="37"/>
  <c r="F231" i="37"/>
  <c r="F233" i="37" s="1"/>
  <c r="F234" i="37" s="1"/>
  <c r="C250" i="37"/>
  <c r="D235" i="37"/>
  <c r="C237" i="37"/>
  <c r="C239" i="37" s="1"/>
  <c r="C16" i="37" s="1"/>
  <c r="C274" i="37"/>
  <c r="C261" i="37"/>
  <c r="C263" i="37" s="1"/>
  <c r="C264" i="37" s="1"/>
  <c r="E229" i="37"/>
  <c r="E216" i="37"/>
  <c r="E218" i="37" s="1"/>
  <c r="E219" i="37" s="1"/>
  <c r="M229" i="37"/>
  <c r="M216" i="37"/>
  <c r="M218" i="37" s="1"/>
  <c r="M219" i="37" s="1"/>
  <c r="E220" i="37"/>
  <c r="D222" i="37"/>
  <c r="D224" i="37" s="1"/>
  <c r="D15" i="37" s="1"/>
  <c r="L246" i="37"/>
  <c r="L248" i="37" s="1"/>
  <c r="L249" i="37" s="1"/>
  <c r="L259" i="37"/>
  <c r="K244" i="37"/>
  <c r="K231" i="37"/>
  <c r="K233" i="37" s="1"/>
  <c r="K234" i="37" s="1"/>
  <c r="C266" i="37"/>
  <c r="D251" i="37"/>
  <c r="E251" i="37" s="1"/>
  <c r="F251" i="37" s="1"/>
  <c r="G251" i="37" s="1"/>
  <c r="H251" i="37" s="1"/>
  <c r="I251" i="37" s="1"/>
  <c r="J251" i="37" s="1"/>
  <c r="K251" i="37" s="1"/>
  <c r="L251" i="37" s="1"/>
  <c r="M251" i="37" s="1"/>
  <c r="N251" i="37" s="1"/>
  <c r="G177" i="37"/>
  <c r="G179" i="37" s="1"/>
  <c r="G12" i="37" s="1"/>
  <c r="H175" i="37"/>
  <c r="G190" i="37"/>
  <c r="F192" i="37"/>
  <c r="F194" i="37" s="1"/>
  <c r="F13" i="37" s="1"/>
  <c r="J160" i="37"/>
  <c r="I162" i="37"/>
  <c r="I164" i="37" s="1"/>
  <c r="I11" i="37" s="1"/>
  <c r="H246" i="37"/>
  <c r="H248" i="37" s="1"/>
  <c r="H249" i="37" s="1"/>
  <c r="H259" i="37"/>
  <c r="I229" i="37"/>
  <c r="I216" i="37"/>
  <c r="I218" i="37" s="1"/>
  <c r="I219" i="37" s="1"/>
  <c r="D246" i="37"/>
  <c r="D248" i="37" s="1"/>
  <c r="D249" i="37" s="1"/>
  <c r="D259" i="37"/>
  <c r="K147" i="36"/>
  <c r="K149" i="36" s="1"/>
  <c r="K10" i="36" s="1"/>
  <c r="L145" i="36"/>
  <c r="K244" i="36"/>
  <c r="K231" i="36"/>
  <c r="K233" i="36" s="1"/>
  <c r="K234" i="36" s="1"/>
  <c r="E207" i="36"/>
  <c r="E209" i="36" s="1"/>
  <c r="F205" i="36"/>
  <c r="H246" i="36"/>
  <c r="H248" i="36" s="1"/>
  <c r="H249" i="36" s="1"/>
  <c r="H259" i="36"/>
  <c r="L274" i="36"/>
  <c r="L261" i="36"/>
  <c r="L263" i="36" s="1"/>
  <c r="L264" i="36" s="1"/>
  <c r="E220" i="36"/>
  <c r="D222" i="36"/>
  <c r="D224" i="36" s="1"/>
  <c r="D15" i="36" s="1"/>
  <c r="G177" i="36"/>
  <c r="G179" i="36" s="1"/>
  <c r="G12" i="36" s="1"/>
  <c r="H175" i="36"/>
  <c r="J259" i="36"/>
  <c r="J246" i="36"/>
  <c r="J248" i="36" s="1"/>
  <c r="J249" i="36" s="1"/>
  <c r="C281" i="36"/>
  <c r="D266" i="36"/>
  <c r="E266" i="36" s="1"/>
  <c r="F266" i="36" s="1"/>
  <c r="G266" i="36" s="1"/>
  <c r="H266" i="36" s="1"/>
  <c r="I266" i="36" s="1"/>
  <c r="J266" i="36" s="1"/>
  <c r="K266" i="36" s="1"/>
  <c r="L266" i="36" s="1"/>
  <c r="M266" i="36" s="1"/>
  <c r="N266" i="36" s="1"/>
  <c r="G229" i="36"/>
  <c r="G216" i="36"/>
  <c r="G218" i="36" s="1"/>
  <c r="G219" i="36" s="1"/>
  <c r="F231" i="36"/>
  <c r="F233" i="36" s="1"/>
  <c r="F234" i="36" s="1"/>
  <c r="F244" i="36"/>
  <c r="J160" i="36"/>
  <c r="I162" i="36"/>
  <c r="I164" i="36" s="1"/>
  <c r="I11" i="36" s="1"/>
  <c r="D244" i="36"/>
  <c r="D231" i="36"/>
  <c r="D233" i="36" s="1"/>
  <c r="D234" i="36" s="1"/>
  <c r="G190" i="36"/>
  <c r="F192" i="36"/>
  <c r="F194" i="36" s="1"/>
  <c r="F13" i="36" s="1"/>
  <c r="I231" i="36"/>
  <c r="I233" i="36" s="1"/>
  <c r="I234" i="36" s="1"/>
  <c r="I244" i="36"/>
  <c r="N231" i="36"/>
  <c r="N233" i="36" s="1"/>
  <c r="N234" i="36" s="1"/>
  <c r="N244" i="36"/>
  <c r="M246" i="36"/>
  <c r="M248" i="36" s="1"/>
  <c r="M249" i="36" s="1"/>
  <c r="M259" i="36"/>
  <c r="C244" i="36"/>
  <c r="C231" i="36"/>
  <c r="C233" i="36" s="1"/>
  <c r="C234" i="36" s="1"/>
  <c r="C237" i="36" s="1"/>
  <c r="C239" i="36" s="1"/>
  <c r="C16" i="36" s="1"/>
  <c r="E259" i="36"/>
  <c r="E246" i="36"/>
  <c r="E248" i="36" s="1"/>
  <c r="E249" i="36" s="1"/>
  <c r="C250" i="36"/>
  <c r="D235" i="36"/>
  <c r="H203" i="38"/>
  <c r="H201" i="38"/>
  <c r="I165" i="38"/>
  <c r="I177" i="38" s="1"/>
  <c r="J56" i="38"/>
  <c r="H73" i="38"/>
  <c r="H85" i="38"/>
  <c r="I13" i="38"/>
  <c r="I170" i="38"/>
  <c r="I182" i="38" s="1"/>
  <c r="J61" i="38"/>
  <c r="F101" i="38"/>
  <c r="I166" i="38"/>
  <c r="J57" i="38"/>
  <c r="H68" i="38"/>
  <c r="H80" i="38"/>
  <c r="I8" i="38"/>
  <c r="I193" i="38"/>
  <c r="J121" i="38"/>
  <c r="J164" i="38"/>
  <c r="K55" i="38"/>
  <c r="J172" i="38"/>
  <c r="J184" i="38" s="1"/>
  <c r="J208" i="38" s="1"/>
  <c r="K63" i="38"/>
  <c r="H225" i="38"/>
  <c r="G199" i="38"/>
  <c r="H202" i="38"/>
  <c r="G239" i="38"/>
  <c r="F214" i="38"/>
  <c r="H86" i="38"/>
  <c r="H74" i="38"/>
  <c r="I14" i="38"/>
  <c r="H67" i="38"/>
  <c r="H79" i="38"/>
  <c r="I7" i="38"/>
  <c r="I195" i="38"/>
  <c r="J123" i="38"/>
  <c r="I187" i="38"/>
  <c r="J115" i="38"/>
  <c r="H233" i="38"/>
  <c r="H234" i="38" s="1"/>
  <c r="H236" i="38" s="1"/>
  <c r="G100" i="38"/>
  <c r="J173" i="38"/>
  <c r="J168" i="38"/>
  <c r="J180" i="38" s="1"/>
  <c r="J204" i="38" s="1"/>
  <c r="K59" i="38"/>
  <c r="K192" i="38"/>
  <c r="L120" i="38"/>
  <c r="H69" i="38"/>
  <c r="H81" i="38"/>
  <c r="I9" i="38"/>
  <c r="I197" i="38"/>
  <c r="I185" i="38"/>
  <c r="J125" i="38"/>
  <c r="I167" i="38"/>
  <c r="J58" i="38"/>
  <c r="I190" i="38"/>
  <c r="I178" i="38"/>
  <c r="J118" i="38"/>
  <c r="H87" i="38"/>
  <c r="I15" i="38"/>
  <c r="H75" i="38"/>
  <c r="K194" i="38"/>
  <c r="L122" i="38"/>
  <c r="M122" i="38" s="1"/>
  <c r="I191" i="38"/>
  <c r="I179" i="38"/>
  <c r="J119" i="38"/>
  <c r="K196" i="38"/>
  <c r="L124" i="38"/>
  <c r="M124" i="38" s="1"/>
  <c r="I171" i="38"/>
  <c r="I183" i="38" s="1"/>
  <c r="J62" i="38"/>
  <c r="I83" i="38"/>
  <c r="I71" i="38"/>
  <c r="J11" i="38"/>
  <c r="I189" i="38"/>
  <c r="J117" i="38"/>
  <c r="G99" i="38"/>
  <c r="G98" i="38"/>
  <c r="G96" i="38"/>
  <c r="H199" i="38"/>
  <c r="I225" i="38"/>
  <c r="H82" i="38"/>
  <c r="H70" i="38"/>
  <c r="I10" i="38"/>
  <c r="H226" i="38"/>
  <c r="G90" i="38"/>
  <c r="I180" i="38"/>
  <c r="I169" i="38"/>
  <c r="I181" i="38" s="1"/>
  <c r="J60" i="38"/>
  <c r="F239" i="38"/>
  <c r="E214" i="38"/>
  <c r="I188" i="38"/>
  <c r="I176" i="38"/>
  <c r="J116" i="38"/>
  <c r="H84" i="38"/>
  <c r="H72" i="38"/>
  <c r="I12" i="38"/>
  <c r="H66" i="38"/>
  <c r="H78" i="38"/>
  <c r="I6" i="38"/>
  <c r="I163" i="38"/>
  <c r="I175" i="38" s="1"/>
  <c r="J54" i="38"/>
  <c r="H88" i="38"/>
  <c r="H76" i="38"/>
  <c r="I16" i="38"/>
  <c r="F240" i="38"/>
  <c r="E105" i="38"/>
  <c r="T19" i="27"/>
  <c r="U19" i="27" s="1"/>
  <c r="I203" i="38" l="1"/>
  <c r="H94" i="38"/>
  <c r="H98" i="38"/>
  <c r="I200" i="38"/>
  <c r="I205" i="38"/>
  <c r="H99" i="38"/>
  <c r="H190" i="37"/>
  <c r="G192" i="37"/>
  <c r="G194" i="37" s="1"/>
  <c r="G13" i="37" s="1"/>
  <c r="I231" i="37"/>
  <c r="I233" i="37" s="1"/>
  <c r="I234" i="37" s="1"/>
  <c r="I244" i="37"/>
  <c r="H177" i="37"/>
  <c r="H179" i="37" s="1"/>
  <c r="H12" i="37" s="1"/>
  <c r="I175" i="37"/>
  <c r="F259" i="37"/>
  <c r="F246" i="37"/>
  <c r="F248" i="37" s="1"/>
  <c r="F249" i="37" s="1"/>
  <c r="F207" i="37"/>
  <c r="F209" i="37" s="1"/>
  <c r="G205" i="37"/>
  <c r="C281" i="37"/>
  <c r="D266" i="37"/>
  <c r="E266" i="37" s="1"/>
  <c r="F266" i="37" s="1"/>
  <c r="G266" i="37" s="1"/>
  <c r="H266" i="37" s="1"/>
  <c r="I266" i="37" s="1"/>
  <c r="J266" i="37" s="1"/>
  <c r="K266" i="37" s="1"/>
  <c r="L266" i="37" s="1"/>
  <c r="M266" i="37" s="1"/>
  <c r="N266" i="37" s="1"/>
  <c r="D274" i="37"/>
  <c r="D261" i="37"/>
  <c r="D263" i="37" s="1"/>
  <c r="D264" i="37" s="1"/>
  <c r="H274" i="37"/>
  <c r="H261" i="37"/>
  <c r="H263" i="37" s="1"/>
  <c r="H264" i="37" s="1"/>
  <c r="K160" i="37"/>
  <c r="J162" i="37"/>
  <c r="J164" i="37" s="1"/>
  <c r="J11" i="37" s="1"/>
  <c r="K246" i="37"/>
  <c r="K248" i="37" s="1"/>
  <c r="K249" i="37" s="1"/>
  <c r="K259" i="37"/>
  <c r="E222" i="37"/>
  <c r="E224" i="37" s="1"/>
  <c r="E15" i="37" s="1"/>
  <c r="F220" i="37"/>
  <c r="E231" i="37"/>
  <c r="E233" i="37" s="1"/>
  <c r="E234" i="37" s="1"/>
  <c r="E244" i="37"/>
  <c r="D237" i="37"/>
  <c r="D239" i="37" s="1"/>
  <c r="D16" i="37" s="1"/>
  <c r="E235" i="37"/>
  <c r="J145" i="37"/>
  <c r="I147" i="37"/>
  <c r="I149" i="37" s="1"/>
  <c r="I10" i="37" s="1"/>
  <c r="L274" i="37"/>
  <c r="L261" i="37"/>
  <c r="L263" i="37" s="1"/>
  <c r="L264" i="37" s="1"/>
  <c r="C265" i="37"/>
  <c r="C252" i="37"/>
  <c r="C254" i="37" s="1"/>
  <c r="C17" i="37" s="1"/>
  <c r="D250" i="37"/>
  <c r="J259" i="37"/>
  <c r="J246" i="37"/>
  <c r="J248" i="37" s="1"/>
  <c r="J249" i="37" s="1"/>
  <c r="N259" i="37"/>
  <c r="N246" i="37"/>
  <c r="N248" i="37" s="1"/>
  <c r="N249" i="37" s="1"/>
  <c r="M231" i="37"/>
  <c r="M233" i="37" s="1"/>
  <c r="M234" i="37" s="1"/>
  <c r="M244" i="37"/>
  <c r="C276" i="37"/>
  <c r="C278" i="37" s="1"/>
  <c r="C279" i="37" s="1"/>
  <c r="C289" i="37"/>
  <c r="C291" i="37" s="1"/>
  <c r="C293" i="37" s="1"/>
  <c r="C294" i="37" s="1"/>
  <c r="G274" i="37"/>
  <c r="G261" i="37"/>
  <c r="G263" i="37" s="1"/>
  <c r="G264" i="37" s="1"/>
  <c r="E235" i="36"/>
  <c r="D237" i="36"/>
  <c r="D239" i="36" s="1"/>
  <c r="D16" i="36" s="1"/>
  <c r="C296" i="36"/>
  <c r="D296" i="36" s="1"/>
  <c r="E296" i="36" s="1"/>
  <c r="F296" i="36" s="1"/>
  <c r="G296" i="36" s="1"/>
  <c r="H296" i="36" s="1"/>
  <c r="I296" i="36" s="1"/>
  <c r="J296" i="36" s="1"/>
  <c r="K296" i="36" s="1"/>
  <c r="L296" i="36" s="1"/>
  <c r="M296" i="36" s="1"/>
  <c r="N296" i="36" s="1"/>
  <c r="D281" i="36"/>
  <c r="E281" i="36" s="1"/>
  <c r="F281" i="36" s="1"/>
  <c r="G281" i="36" s="1"/>
  <c r="H281" i="36" s="1"/>
  <c r="I281" i="36" s="1"/>
  <c r="J281" i="36" s="1"/>
  <c r="K281" i="36" s="1"/>
  <c r="L281" i="36" s="1"/>
  <c r="M281" i="36" s="1"/>
  <c r="N281" i="36" s="1"/>
  <c r="D250" i="36"/>
  <c r="C265" i="36"/>
  <c r="C259" i="36"/>
  <c r="C246" i="36"/>
  <c r="C248" i="36" s="1"/>
  <c r="C249" i="36" s="1"/>
  <c r="C252" i="36" s="1"/>
  <c r="C254" i="36" s="1"/>
  <c r="C17" i="36" s="1"/>
  <c r="M261" i="36"/>
  <c r="M263" i="36" s="1"/>
  <c r="M264" i="36" s="1"/>
  <c r="M274" i="36"/>
  <c r="I246" i="36"/>
  <c r="I248" i="36" s="1"/>
  <c r="I249" i="36" s="1"/>
  <c r="I259" i="36"/>
  <c r="J162" i="36"/>
  <c r="J164" i="36" s="1"/>
  <c r="J11" i="36" s="1"/>
  <c r="K160" i="36"/>
  <c r="G231" i="36"/>
  <c r="G233" i="36" s="1"/>
  <c r="G234" i="36" s="1"/>
  <c r="G244" i="36"/>
  <c r="J274" i="36"/>
  <c r="J261" i="36"/>
  <c r="J263" i="36" s="1"/>
  <c r="J264" i="36" s="1"/>
  <c r="F220" i="36"/>
  <c r="E222" i="36"/>
  <c r="E224" i="36" s="1"/>
  <c r="E15" i="36" s="1"/>
  <c r="K259" i="36"/>
  <c r="K246" i="36"/>
  <c r="K248" i="36" s="1"/>
  <c r="K249" i="36" s="1"/>
  <c r="N246" i="36"/>
  <c r="N248" i="36" s="1"/>
  <c r="N249" i="36" s="1"/>
  <c r="N259" i="36"/>
  <c r="L276" i="36"/>
  <c r="L278" i="36" s="1"/>
  <c r="L279" i="36" s="1"/>
  <c r="L289" i="36"/>
  <c r="L291" i="36" s="1"/>
  <c r="L293" i="36" s="1"/>
  <c r="L294" i="36" s="1"/>
  <c r="L147" i="36"/>
  <c r="L149" i="36" s="1"/>
  <c r="L10" i="36" s="1"/>
  <c r="M145" i="36"/>
  <c r="H190" i="36"/>
  <c r="G192" i="36"/>
  <c r="G194" i="36" s="1"/>
  <c r="G13" i="36" s="1"/>
  <c r="H274" i="36"/>
  <c r="H261" i="36"/>
  <c r="H263" i="36" s="1"/>
  <c r="H264" i="36" s="1"/>
  <c r="E261" i="36"/>
  <c r="E263" i="36" s="1"/>
  <c r="E264" i="36" s="1"/>
  <c r="E274" i="36"/>
  <c r="D246" i="36"/>
  <c r="D248" i="36" s="1"/>
  <c r="D249" i="36" s="1"/>
  <c r="D259" i="36"/>
  <c r="F259" i="36"/>
  <c r="F246" i="36"/>
  <c r="F248" i="36" s="1"/>
  <c r="F249" i="36" s="1"/>
  <c r="I175" i="36"/>
  <c r="H177" i="36"/>
  <c r="H179" i="36" s="1"/>
  <c r="H12" i="36" s="1"/>
  <c r="G205" i="36"/>
  <c r="F207" i="36"/>
  <c r="F209" i="36" s="1"/>
  <c r="I207" i="38"/>
  <c r="H96" i="38"/>
  <c r="F241" i="38"/>
  <c r="K172" i="38"/>
  <c r="K184" i="38" s="1"/>
  <c r="L63" i="38"/>
  <c r="H100" i="38"/>
  <c r="I84" i="38"/>
  <c r="I72" i="38"/>
  <c r="J12" i="38"/>
  <c r="I204" i="38"/>
  <c r="G101" i="38"/>
  <c r="I82" i="38"/>
  <c r="I70" i="38"/>
  <c r="J10" i="38"/>
  <c r="H210" i="38"/>
  <c r="I201" i="38"/>
  <c r="I95" i="38"/>
  <c r="I209" i="38"/>
  <c r="H93" i="38"/>
  <c r="J195" i="38"/>
  <c r="K123" i="38"/>
  <c r="I79" i="38"/>
  <c r="I67" i="38"/>
  <c r="J7" i="38"/>
  <c r="I86" i="38"/>
  <c r="I74" i="38"/>
  <c r="J14" i="38"/>
  <c r="I80" i="38"/>
  <c r="I68" i="38"/>
  <c r="J8" i="38"/>
  <c r="I85" i="38"/>
  <c r="I73" i="38"/>
  <c r="J13" i="38"/>
  <c r="J188" i="38"/>
  <c r="J176" i="38"/>
  <c r="K116" i="38"/>
  <c r="L196" i="38"/>
  <c r="M196" i="38" s="1"/>
  <c r="L194" i="38"/>
  <c r="M194" i="38" s="1"/>
  <c r="J190" i="38"/>
  <c r="K118" i="38"/>
  <c r="J167" i="38"/>
  <c r="J179" i="38" s="1"/>
  <c r="K58" i="38"/>
  <c r="K168" i="38"/>
  <c r="K173" i="38"/>
  <c r="L59" i="38"/>
  <c r="M59" i="38" s="1"/>
  <c r="G210" i="38"/>
  <c r="J163" i="38"/>
  <c r="K54" i="38"/>
  <c r="J169" i="38"/>
  <c r="J181" i="38" s="1"/>
  <c r="K60" i="38"/>
  <c r="J171" i="38"/>
  <c r="J183" i="38" s="1"/>
  <c r="K62" i="38"/>
  <c r="I87" i="38"/>
  <c r="I75" i="38"/>
  <c r="J15" i="38"/>
  <c r="I202" i="38"/>
  <c r="I81" i="38"/>
  <c r="I69" i="38"/>
  <c r="J9" i="38"/>
  <c r="L192" i="38"/>
  <c r="M192" i="38" s="1"/>
  <c r="M120" i="38"/>
  <c r="J187" i="38"/>
  <c r="J175" i="38"/>
  <c r="K115" i="38"/>
  <c r="H91" i="38"/>
  <c r="H227" i="38"/>
  <c r="H229" i="38" s="1"/>
  <c r="J193" i="38"/>
  <c r="K121" i="38"/>
  <c r="H92" i="38"/>
  <c r="J170" i="38"/>
  <c r="J182" i="38" s="1"/>
  <c r="J206" i="38" s="1"/>
  <c r="K61" i="38"/>
  <c r="H97" i="38"/>
  <c r="I78" i="38"/>
  <c r="I66" i="38"/>
  <c r="J6" i="38"/>
  <c r="J191" i="38"/>
  <c r="K119" i="38"/>
  <c r="J225" i="38"/>
  <c r="I199" i="38"/>
  <c r="G240" i="38"/>
  <c r="F105" i="38"/>
  <c r="I233" i="38"/>
  <c r="I234" i="38" s="1"/>
  <c r="I236" i="38" s="1"/>
  <c r="I88" i="38"/>
  <c r="I76" i="38"/>
  <c r="J16" i="38"/>
  <c r="I226" i="38"/>
  <c r="I227" i="38" s="1"/>
  <c r="I229" i="38" s="1"/>
  <c r="H90" i="38"/>
  <c r="J189" i="38"/>
  <c r="K117" i="38"/>
  <c r="J83" i="38"/>
  <c r="J71" i="38"/>
  <c r="K11" i="38"/>
  <c r="J185" i="38"/>
  <c r="J197" i="38"/>
  <c r="K125" i="38"/>
  <c r="J232" i="38"/>
  <c r="K164" i="38"/>
  <c r="L55" i="38"/>
  <c r="L164" i="38" s="1"/>
  <c r="M164" i="38" s="1"/>
  <c r="J166" i="38"/>
  <c r="J178" i="38" s="1"/>
  <c r="K57" i="38"/>
  <c r="I206" i="38"/>
  <c r="J165" i="38"/>
  <c r="J177" i="38" s="1"/>
  <c r="K56" i="38"/>
  <c r="J17" i="27"/>
  <c r="S44" i="27" s="1"/>
  <c r="Q525" i="9"/>
  <c r="F243" i="38" l="1"/>
  <c r="F23" i="10"/>
  <c r="F304" i="10" s="1"/>
  <c r="M55" i="38"/>
  <c r="I92" i="38"/>
  <c r="I100" i="38"/>
  <c r="I97" i="38"/>
  <c r="J202" i="38"/>
  <c r="J201" i="38"/>
  <c r="J207" i="38"/>
  <c r="I98" i="38"/>
  <c r="M259" i="37"/>
  <c r="M246" i="37"/>
  <c r="M248" i="37" s="1"/>
  <c r="M249" i="37" s="1"/>
  <c r="C280" i="37"/>
  <c r="D265" i="37"/>
  <c r="C267" i="37"/>
  <c r="C269" i="37" s="1"/>
  <c r="C18" i="37" s="1"/>
  <c r="E259" i="37"/>
  <c r="E246" i="37"/>
  <c r="E248" i="37" s="1"/>
  <c r="E249" i="37" s="1"/>
  <c r="K274" i="37"/>
  <c r="K261" i="37"/>
  <c r="K263" i="37" s="1"/>
  <c r="K264" i="37" s="1"/>
  <c r="K162" i="37"/>
  <c r="K164" i="37" s="1"/>
  <c r="K11" i="37" s="1"/>
  <c r="L160" i="37"/>
  <c r="D289" i="37"/>
  <c r="D291" i="37" s="1"/>
  <c r="D293" i="37" s="1"/>
  <c r="D294" i="37" s="1"/>
  <c r="D276" i="37"/>
  <c r="D278" i="37" s="1"/>
  <c r="D279" i="37" s="1"/>
  <c r="H192" i="37"/>
  <c r="H194" i="37" s="1"/>
  <c r="H13" i="37" s="1"/>
  <c r="I190" i="37"/>
  <c r="G276" i="37"/>
  <c r="G278" i="37" s="1"/>
  <c r="G279" i="37" s="1"/>
  <c r="G289" i="37"/>
  <c r="G291" i="37" s="1"/>
  <c r="G293" i="37" s="1"/>
  <c r="G294" i="37" s="1"/>
  <c r="J274" i="37"/>
  <c r="J261" i="37"/>
  <c r="J263" i="37" s="1"/>
  <c r="J264" i="37" s="1"/>
  <c r="K145" i="37"/>
  <c r="J147" i="37"/>
  <c r="J149" i="37" s="1"/>
  <c r="J10" i="37" s="1"/>
  <c r="I259" i="37"/>
  <c r="I246" i="37"/>
  <c r="I248" i="37" s="1"/>
  <c r="I249" i="37" s="1"/>
  <c r="D252" i="37"/>
  <c r="D254" i="37" s="1"/>
  <c r="D17" i="37" s="1"/>
  <c r="E250" i="37"/>
  <c r="L289" i="37"/>
  <c r="L291" i="37" s="1"/>
  <c r="L293" i="37" s="1"/>
  <c r="L294" i="37" s="1"/>
  <c r="L276" i="37"/>
  <c r="L278" i="37" s="1"/>
  <c r="L279" i="37" s="1"/>
  <c r="E237" i="37"/>
  <c r="E239" i="37" s="1"/>
  <c r="E16" i="37" s="1"/>
  <c r="F235" i="37"/>
  <c r="G220" i="37"/>
  <c r="F222" i="37"/>
  <c r="F224" i="37" s="1"/>
  <c r="H289" i="37"/>
  <c r="H291" i="37" s="1"/>
  <c r="H293" i="37" s="1"/>
  <c r="H294" i="37" s="1"/>
  <c r="H276" i="37"/>
  <c r="H278" i="37" s="1"/>
  <c r="H279" i="37" s="1"/>
  <c r="C296" i="37"/>
  <c r="D296" i="37" s="1"/>
  <c r="E296" i="37" s="1"/>
  <c r="F296" i="37" s="1"/>
  <c r="G296" i="37" s="1"/>
  <c r="H296" i="37" s="1"/>
  <c r="I296" i="37" s="1"/>
  <c r="J296" i="37" s="1"/>
  <c r="K296" i="37" s="1"/>
  <c r="L296" i="37" s="1"/>
  <c r="M296" i="37" s="1"/>
  <c r="N296" i="37" s="1"/>
  <c r="D281" i="37"/>
  <c r="E281" i="37" s="1"/>
  <c r="F281" i="37" s="1"/>
  <c r="G281" i="37" s="1"/>
  <c r="H281" i="37" s="1"/>
  <c r="I281" i="37" s="1"/>
  <c r="J281" i="37" s="1"/>
  <c r="K281" i="37" s="1"/>
  <c r="L281" i="37" s="1"/>
  <c r="M281" i="37" s="1"/>
  <c r="N281" i="37" s="1"/>
  <c r="F274" i="37"/>
  <c r="F261" i="37"/>
  <c r="F263" i="37" s="1"/>
  <c r="F264" i="37" s="1"/>
  <c r="N274" i="37"/>
  <c r="N261" i="37"/>
  <c r="N263" i="37" s="1"/>
  <c r="N264" i="37" s="1"/>
  <c r="H205" i="37"/>
  <c r="G207" i="37"/>
  <c r="G209" i="37" s="1"/>
  <c r="I177" i="37"/>
  <c r="I179" i="37" s="1"/>
  <c r="I12" i="37" s="1"/>
  <c r="J175" i="37"/>
  <c r="F222" i="36"/>
  <c r="F224" i="36" s="1"/>
  <c r="G220" i="36"/>
  <c r="D252" i="36"/>
  <c r="D254" i="36" s="1"/>
  <c r="D17" i="36" s="1"/>
  <c r="E250" i="36"/>
  <c r="I177" i="36"/>
  <c r="I179" i="36" s="1"/>
  <c r="I12" i="36" s="1"/>
  <c r="J175" i="36"/>
  <c r="E289" i="36"/>
  <c r="E291" i="36" s="1"/>
  <c r="E293" i="36" s="1"/>
  <c r="E294" i="36" s="1"/>
  <c r="E276" i="36"/>
  <c r="E278" i="36" s="1"/>
  <c r="E279" i="36" s="1"/>
  <c r="H276" i="36"/>
  <c r="H278" i="36" s="1"/>
  <c r="H279" i="36" s="1"/>
  <c r="H289" i="36"/>
  <c r="H291" i="36" s="1"/>
  <c r="H293" i="36" s="1"/>
  <c r="H294" i="36" s="1"/>
  <c r="N145" i="36"/>
  <c r="M147" i="36"/>
  <c r="M149" i="36" s="1"/>
  <c r="M10" i="36" s="1"/>
  <c r="K274" i="36"/>
  <c r="K261" i="36"/>
  <c r="K263" i="36" s="1"/>
  <c r="K264" i="36" s="1"/>
  <c r="J289" i="36"/>
  <c r="J291" i="36" s="1"/>
  <c r="J293" i="36" s="1"/>
  <c r="J294" i="36" s="1"/>
  <c r="J276" i="36"/>
  <c r="J278" i="36" s="1"/>
  <c r="J279" i="36" s="1"/>
  <c r="M289" i="36"/>
  <c r="M291" i="36" s="1"/>
  <c r="M293" i="36" s="1"/>
  <c r="M294" i="36" s="1"/>
  <c r="M276" i="36"/>
  <c r="M278" i="36" s="1"/>
  <c r="M279" i="36" s="1"/>
  <c r="D274" i="36"/>
  <c r="D261" i="36"/>
  <c r="D263" i="36" s="1"/>
  <c r="D264" i="36" s="1"/>
  <c r="H192" i="36"/>
  <c r="H194" i="36" s="1"/>
  <c r="H13" i="36" s="1"/>
  <c r="I190" i="36"/>
  <c r="I261" i="36"/>
  <c r="I263" i="36" s="1"/>
  <c r="I264" i="36" s="1"/>
  <c r="I274" i="36"/>
  <c r="E237" i="36"/>
  <c r="E239" i="36" s="1"/>
  <c r="E16" i="36" s="1"/>
  <c r="F235" i="36"/>
  <c r="L160" i="36"/>
  <c r="K162" i="36"/>
  <c r="K164" i="36" s="1"/>
  <c r="K11" i="36" s="1"/>
  <c r="C274" i="36"/>
  <c r="C261" i="36"/>
  <c r="C263" i="36" s="1"/>
  <c r="C264" i="36" s="1"/>
  <c r="C267" i="36" s="1"/>
  <c r="C269" i="36" s="1"/>
  <c r="C18" i="36" s="1"/>
  <c r="G207" i="36"/>
  <c r="G209" i="36" s="1"/>
  <c r="H205" i="36"/>
  <c r="F274" i="36"/>
  <c r="F261" i="36"/>
  <c r="F263" i="36" s="1"/>
  <c r="F264" i="36" s="1"/>
  <c r="N261" i="36"/>
  <c r="N263" i="36" s="1"/>
  <c r="N264" i="36" s="1"/>
  <c r="N274" i="36"/>
  <c r="G259" i="36"/>
  <c r="G246" i="36"/>
  <c r="G248" i="36" s="1"/>
  <c r="G249" i="36" s="1"/>
  <c r="C280" i="36"/>
  <c r="D265" i="36"/>
  <c r="J95" i="38"/>
  <c r="K163" i="38"/>
  <c r="K175" i="38" s="1"/>
  <c r="L54" i="38"/>
  <c r="K180" i="38"/>
  <c r="J84" i="38"/>
  <c r="J72" i="38"/>
  <c r="K12" i="38"/>
  <c r="J209" i="38"/>
  <c r="K191" i="38"/>
  <c r="L119" i="38"/>
  <c r="J226" i="38"/>
  <c r="J227" i="38" s="1"/>
  <c r="J229" i="38" s="1"/>
  <c r="I90" i="38"/>
  <c r="K170" i="38"/>
  <c r="K182" i="38" s="1"/>
  <c r="L61" i="38"/>
  <c r="L170" i="38" s="1"/>
  <c r="K165" i="38"/>
  <c r="L56" i="38"/>
  <c r="L165" i="38" s="1"/>
  <c r="M56" i="38"/>
  <c r="K166" i="38"/>
  <c r="K178" i="38" s="1"/>
  <c r="L57" i="38"/>
  <c r="L166" i="38" s="1"/>
  <c r="J203" i="38"/>
  <c r="K193" i="38"/>
  <c r="L121" i="38"/>
  <c r="G241" i="38"/>
  <c r="K232" i="38"/>
  <c r="J81" i="38"/>
  <c r="J69" i="38"/>
  <c r="K9" i="38"/>
  <c r="J87" i="38"/>
  <c r="J75" i="38"/>
  <c r="K15" i="38"/>
  <c r="K171" i="38"/>
  <c r="L62" i="38"/>
  <c r="K169" i="38"/>
  <c r="K181" i="38" s="1"/>
  <c r="L60" i="38"/>
  <c r="L173" i="38"/>
  <c r="M173" i="38" s="1"/>
  <c r="L168" i="38"/>
  <c r="L180" i="38" s="1"/>
  <c r="L204" i="38" s="1"/>
  <c r="J79" i="38"/>
  <c r="K7" i="38"/>
  <c r="J67" i="38"/>
  <c r="K195" i="38"/>
  <c r="K183" i="38"/>
  <c r="L123" i="38"/>
  <c r="K185" i="38"/>
  <c r="K197" i="38"/>
  <c r="L125" i="38"/>
  <c r="K71" i="38"/>
  <c r="K83" i="38"/>
  <c r="L11" i="38"/>
  <c r="I210" i="38"/>
  <c r="J205" i="38"/>
  <c r="I93" i="38"/>
  <c r="I99" i="38"/>
  <c r="K190" i="38"/>
  <c r="L118" i="38"/>
  <c r="J200" i="38"/>
  <c r="J86" i="38"/>
  <c r="J74" i="38"/>
  <c r="K14" i="38"/>
  <c r="I91" i="38"/>
  <c r="I94" i="38"/>
  <c r="J78" i="38"/>
  <c r="J66" i="38"/>
  <c r="K6" i="38"/>
  <c r="K167" i="38"/>
  <c r="K179" i="38" s="1"/>
  <c r="K203" i="38" s="1"/>
  <c r="L58" i="38"/>
  <c r="J85" i="38"/>
  <c r="J73" i="38"/>
  <c r="K13" i="38"/>
  <c r="H214" i="38"/>
  <c r="I239" i="38"/>
  <c r="H240" i="38"/>
  <c r="G105" i="38"/>
  <c r="I96" i="38"/>
  <c r="L172" i="38"/>
  <c r="M63" i="38"/>
  <c r="K187" i="38"/>
  <c r="L115" i="38"/>
  <c r="H239" i="38"/>
  <c r="G214" i="38"/>
  <c r="J80" i="38"/>
  <c r="K8" i="38"/>
  <c r="J68" i="38"/>
  <c r="J88" i="38"/>
  <c r="J76" i="38"/>
  <c r="K16" i="38"/>
  <c r="K225" i="38"/>
  <c r="J199" i="38"/>
  <c r="K189" i="38"/>
  <c r="K177" i="38"/>
  <c r="L117" i="38"/>
  <c r="H101" i="38"/>
  <c r="J233" i="38"/>
  <c r="J234" i="38" s="1"/>
  <c r="J236" i="38" s="1"/>
  <c r="K188" i="38"/>
  <c r="K176" i="38"/>
  <c r="L116" i="38"/>
  <c r="J82" i="38"/>
  <c r="K10" i="38"/>
  <c r="J70" i="38"/>
  <c r="K208" i="38"/>
  <c r="S45" i="27"/>
  <c r="U45" i="27" s="1"/>
  <c r="S39" i="27"/>
  <c r="T39" i="27" s="1"/>
  <c r="W39" i="27" s="1"/>
  <c r="S29" i="27"/>
  <c r="T29" i="27" s="1"/>
  <c r="W29" i="27" s="1"/>
  <c r="S23" i="27"/>
  <c r="U23" i="27" s="1"/>
  <c r="S40" i="27"/>
  <c r="T40" i="27" s="1"/>
  <c r="W40" i="27" s="1"/>
  <c r="S24" i="27"/>
  <c r="U24" i="27" s="1"/>
  <c r="S26" i="27"/>
  <c r="T26" i="27" s="1"/>
  <c r="W26" i="27" s="1"/>
  <c r="S28" i="27"/>
  <c r="U28" i="27" s="1"/>
  <c r="S25" i="27"/>
  <c r="T25" i="27" s="1"/>
  <c r="W25" i="27" s="1"/>
  <c r="S36" i="27"/>
  <c r="T36" i="27" s="1"/>
  <c r="W36" i="27" s="1"/>
  <c r="S31" i="27"/>
  <c r="U31" i="27" s="1"/>
  <c r="S35" i="27"/>
  <c r="U35" i="27" s="1"/>
  <c r="S22" i="27"/>
  <c r="T22" i="27" s="1"/>
  <c r="W22" i="27" s="1"/>
  <c r="S41" i="27"/>
  <c r="T41" i="27" s="1"/>
  <c r="W41" i="27" s="1"/>
  <c r="S37" i="27"/>
  <c r="U37" i="27" s="1"/>
  <c r="S21" i="27"/>
  <c r="U21" i="27" s="1"/>
  <c r="V21" i="27" s="1"/>
  <c r="S43" i="27"/>
  <c r="T43" i="27" s="1"/>
  <c r="W43" i="27" s="1"/>
  <c r="S38" i="27"/>
  <c r="U38" i="27" s="1"/>
  <c r="S42" i="27"/>
  <c r="T42" i="27" s="1"/>
  <c r="W42" i="27" s="1"/>
  <c r="S33" i="27"/>
  <c r="U33" i="27" s="1"/>
  <c r="S32" i="27"/>
  <c r="T32" i="27" s="1"/>
  <c r="W32" i="27" s="1"/>
  <c r="S30" i="27"/>
  <c r="T30" i="27" s="1"/>
  <c r="W30" i="27" s="1"/>
  <c r="U44" i="27"/>
  <c r="T44" i="27"/>
  <c r="W44" i="27" s="1"/>
  <c r="B11" i="21"/>
  <c r="B7" i="21"/>
  <c r="B6" i="21"/>
  <c r="U44" i="24"/>
  <c r="J976" i="9"/>
  <c r="D793" i="9"/>
  <c r="I742" i="9"/>
  <c r="J922" i="9"/>
  <c r="D719" i="9"/>
  <c r="I668" i="9"/>
  <c r="J868" i="9"/>
  <c r="D645" i="9"/>
  <c r="I594" i="9"/>
  <c r="J814" i="9"/>
  <c r="D571" i="9"/>
  <c r="I520" i="9"/>
  <c r="L976" i="9"/>
  <c r="L922" i="9"/>
  <c r="L868" i="9"/>
  <c r="L814" i="9"/>
  <c r="K520" i="9"/>
  <c r="M61" i="38" l="1"/>
  <c r="G243" i="38"/>
  <c r="G23" i="10"/>
  <c r="G304" i="10" s="1"/>
  <c r="J99" i="38"/>
  <c r="K205" i="38"/>
  <c r="J94" i="38"/>
  <c r="K207" i="38"/>
  <c r="K200" i="38"/>
  <c r="K202" i="38"/>
  <c r="K95" i="38"/>
  <c r="L145" i="37"/>
  <c r="K147" i="37"/>
  <c r="K149" i="37" s="1"/>
  <c r="K10" i="37" s="1"/>
  <c r="E274" i="37"/>
  <c r="E261" i="37"/>
  <c r="E263" i="37" s="1"/>
  <c r="E264" i="37" s="1"/>
  <c r="N289" i="37"/>
  <c r="N291" i="37" s="1"/>
  <c r="N293" i="37" s="1"/>
  <c r="N294" i="37" s="1"/>
  <c r="N276" i="37"/>
  <c r="N278" i="37" s="1"/>
  <c r="N279" i="37" s="1"/>
  <c r="H220" i="37"/>
  <c r="G222" i="37"/>
  <c r="G224" i="37" s="1"/>
  <c r="I274" i="37"/>
  <c r="I261" i="37"/>
  <c r="I263" i="37" s="1"/>
  <c r="I264" i="37" s="1"/>
  <c r="M274" i="37"/>
  <c r="M261" i="37"/>
  <c r="M263" i="37" s="1"/>
  <c r="M264" i="37" s="1"/>
  <c r="H207" i="37"/>
  <c r="H209" i="37" s="1"/>
  <c r="I205" i="37"/>
  <c r="G235" i="37"/>
  <c r="F237" i="37"/>
  <c r="F239" i="37" s="1"/>
  <c r="F16" i="37" s="1"/>
  <c r="F250" i="37"/>
  <c r="E252" i="37"/>
  <c r="E254" i="37" s="1"/>
  <c r="E17" i="37" s="1"/>
  <c r="J289" i="37"/>
  <c r="J291" i="37" s="1"/>
  <c r="J293" i="37" s="1"/>
  <c r="J294" i="37" s="1"/>
  <c r="J276" i="37"/>
  <c r="J278" i="37" s="1"/>
  <c r="J279" i="37" s="1"/>
  <c r="I192" i="37"/>
  <c r="I194" i="37" s="1"/>
  <c r="I13" i="37" s="1"/>
  <c r="J190" i="37"/>
  <c r="K276" i="37"/>
  <c r="K278" i="37" s="1"/>
  <c r="K279" i="37" s="1"/>
  <c r="K289" i="37"/>
  <c r="K291" i="37" s="1"/>
  <c r="K293" i="37" s="1"/>
  <c r="K294" i="37" s="1"/>
  <c r="D267" i="37"/>
  <c r="D269" i="37" s="1"/>
  <c r="D18" i="37" s="1"/>
  <c r="E265" i="37"/>
  <c r="J177" i="37"/>
  <c r="J179" i="37" s="1"/>
  <c r="J12" i="37" s="1"/>
  <c r="K175" i="37"/>
  <c r="F289" i="37"/>
  <c r="F291" i="37" s="1"/>
  <c r="F293" i="37" s="1"/>
  <c r="F294" i="37" s="1"/>
  <c r="F276" i="37"/>
  <c r="F278" i="37" s="1"/>
  <c r="F279" i="37" s="1"/>
  <c r="M160" i="37"/>
  <c r="L162" i="37"/>
  <c r="L164" i="37" s="1"/>
  <c r="L11" i="37" s="1"/>
  <c r="C282" i="37"/>
  <c r="C284" i="37" s="1"/>
  <c r="C19" i="37" s="1"/>
  <c r="C295" i="37"/>
  <c r="D280" i="37"/>
  <c r="N147" i="36"/>
  <c r="N149" i="36" s="1"/>
  <c r="N10" i="36" s="1"/>
  <c r="H220" i="36"/>
  <c r="G222" i="36"/>
  <c r="G224" i="36" s="1"/>
  <c r="D267" i="36"/>
  <c r="D269" i="36" s="1"/>
  <c r="D18" i="36" s="1"/>
  <c r="E265" i="36"/>
  <c r="F289" i="36"/>
  <c r="F291" i="36" s="1"/>
  <c r="F293" i="36" s="1"/>
  <c r="F294" i="36" s="1"/>
  <c r="F276" i="36"/>
  <c r="F278" i="36" s="1"/>
  <c r="F279" i="36" s="1"/>
  <c r="C276" i="36"/>
  <c r="C278" i="36" s="1"/>
  <c r="C279" i="36" s="1"/>
  <c r="C282" i="36" s="1"/>
  <c r="C284" i="36" s="1"/>
  <c r="C19" i="36" s="1"/>
  <c r="C289" i="36"/>
  <c r="C291" i="36" s="1"/>
  <c r="C293" i="36" s="1"/>
  <c r="C294" i="36" s="1"/>
  <c r="D276" i="36"/>
  <c r="D278" i="36" s="1"/>
  <c r="D279" i="36" s="1"/>
  <c r="D289" i="36"/>
  <c r="D291" i="36" s="1"/>
  <c r="D293" i="36" s="1"/>
  <c r="D294" i="36" s="1"/>
  <c r="G274" i="36"/>
  <c r="G261" i="36"/>
  <c r="G263" i="36" s="1"/>
  <c r="G264" i="36" s="1"/>
  <c r="L162" i="36"/>
  <c r="L164" i="36" s="1"/>
  <c r="L11" i="36" s="1"/>
  <c r="M160" i="36"/>
  <c r="I276" i="36"/>
  <c r="I278" i="36" s="1"/>
  <c r="I279" i="36" s="1"/>
  <c r="I289" i="36"/>
  <c r="I291" i="36" s="1"/>
  <c r="I293" i="36" s="1"/>
  <c r="I294" i="36" s="1"/>
  <c r="K276" i="36"/>
  <c r="K278" i="36" s="1"/>
  <c r="K279" i="36" s="1"/>
  <c r="K289" i="36"/>
  <c r="K291" i="36" s="1"/>
  <c r="K293" i="36" s="1"/>
  <c r="K294" i="36" s="1"/>
  <c r="J177" i="36"/>
  <c r="J179" i="36" s="1"/>
  <c r="J12" i="36" s="1"/>
  <c r="K175" i="36"/>
  <c r="C295" i="36"/>
  <c r="D280" i="36"/>
  <c r="N289" i="36"/>
  <c r="N291" i="36" s="1"/>
  <c r="N293" i="36" s="1"/>
  <c r="N294" i="36" s="1"/>
  <c r="N276" i="36"/>
  <c r="N278" i="36" s="1"/>
  <c r="N279" i="36" s="1"/>
  <c r="H207" i="36"/>
  <c r="H209" i="36" s="1"/>
  <c r="I205" i="36"/>
  <c r="G235" i="36"/>
  <c r="F237" i="36"/>
  <c r="F239" i="36" s="1"/>
  <c r="F16" i="36" s="1"/>
  <c r="J190" i="36"/>
  <c r="I192" i="36"/>
  <c r="I194" i="36" s="1"/>
  <c r="I13" i="36" s="1"/>
  <c r="E252" i="36"/>
  <c r="E254" i="36" s="1"/>
  <c r="E17" i="36" s="1"/>
  <c r="F250" i="36"/>
  <c r="J239" i="38"/>
  <c r="I214" i="38"/>
  <c r="K82" i="38"/>
  <c r="K70" i="38"/>
  <c r="L10" i="38"/>
  <c r="I240" i="38"/>
  <c r="I241" i="38" s="1"/>
  <c r="H105" i="38"/>
  <c r="K88" i="38"/>
  <c r="L16" i="38"/>
  <c r="M16" i="38" s="1"/>
  <c r="K76" i="38"/>
  <c r="L232" i="38"/>
  <c r="L13" i="38"/>
  <c r="K85" i="38"/>
  <c r="K73" i="38"/>
  <c r="L83" i="38"/>
  <c r="M83" i="38" s="1"/>
  <c r="L71" i="38"/>
  <c r="M11" i="38"/>
  <c r="L171" i="38"/>
  <c r="M171" i="38" s="1"/>
  <c r="M62" i="38"/>
  <c r="M170" i="38"/>
  <c r="L182" i="38"/>
  <c r="L206" i="38" s="1"/>
  <c r="L191" i="38"/>
  <c r="M191" i="38" s="1"/>
  <c r="M119" i="38"/>
  <c r="M168" i="38"/>
  <c r="L225" i="38"/>
  <c r="K199" i="38"/>
  <c r="K233" i="38"/>
  <c r="K234" i="38" s="1"/>
  <c r="K236" i="38" s="1"/>
  <c r="L177" i="38"/>
  <c r="L189" i="38"/>
  <c r="M189" i="38" s="1"/>
  <c r="M117" i="38"/>
  <c r="J100" i="38"/>
  <c r="J92" i="38"/>
  <c r="H241" i="38"/>
  <c r="M172" i="38"/>
  <c r="L184" i="38"/>
  <c r="J97" i="38"/>
  <c r="K78" i="38"/>
  <c r="K66" i="38"/>
  <c r="L6" i="38"/>
  <c r="K86" i="38"/>
  <c r="K74" i="38"/>
  <c r="L14" i="38"/>
  <c r="L178" i="38"/>
  <c r="L190" i="38"/>
  <c r="M190" i="38" s="1"/>
  <c r="M118" i="38"/>
  <c r="K209" i="38"/>
  <c r="J91" i="38"/>
  <c r="K69" i="38"/>
  <c r="L9" i="38"/>
  <c r="K81" i="38"/>
  <c r="M57" i="38"/>
  <c r="M165" i="38"/>
  <c r="K206" i="38"/>
  <c r="K84" i="38"/>
  <c r="K72" i="38"/>
  <c r="L12" i="38"/>
  <c r="K204" i="38"/>
  <c r="M204" i="38" s="1"/>
  <c r="M180" i="38"/>
  <c r="L176" i="38"/>
  <c r="L188" i="38"/>
  <c r="M188" i="38" s="1"/>
  <c r="M116" i="38"/>
  <c r="L167" i="38"/>
  <c r="M167" i="38" s="1"/>
  <c r="M58" i="38"/>
  <c r="L197" i="38"/>
  <c r="M197" i="38" s="1"/>
  <c r="L185" i="38"/>
  <c r="M125" i="38"/>
  <c r="L193" i="38"/>
  <c r="M193" i="38" s="1"/>
  <c r="M121" i="38"/>
  <c r="K201" i="38"/>
  <c r="J210" i="38"/>
  <c r="K80" i="38"/>
  <c r="K68" i="38"/>
  <c r="L8" i="38"/>
  <c r="L187" i="38"/>
  <c r="M115" i="38"/>
  <c r="K226" i="38"/>
  <c r="K227" i="38" s="1"/>
  <c r="K229" i="38" s="1"/>
  <c r="J90" i="38"/>
  <c r="J98" i="38"/>
  <c r="L195" i="38"/>
  <c r="M195" i="38" s="1"/>
  <c r="M123" i="38"/>
  <c r="K67" i="38"/>
  <c r="L7" i="38"/>
  <c r="K79" i="38"/>
  <c r="L169" i="38"/>
  <c r="M169" i="38" s="1"/>
  <c r="M60" i="38"/>
  <c r="K75" i="38"/>
  <c r="L15" i="38"/>
  <c r="K87" i="38"/>
  <c r="J93" i="38"/>
  <c r="M166" i="38"/>
  <c r="I101" i="38"/>
  <c r="J96" i="38"/>
  <c r="L163" i="38"/>
  <c r="M163" i="38" s="1"/>
  <c r="M54" i="38"/>
  <c r="U39" i="27"/>
  <c r="U40" i="27"/>
  <c r="U25" i="27"/>
  <c r="T24" i="27"/>
  <c r="W24" i="27" s="1"/>
  <c r="U41" i="27"/>
  <c r="T45" i="27"/>
  <c r="W45" i="27" s="1"/>
  <c r="U26" i="27"/>
  <c r="U36" i="27"/>
  <c r="U29" i="27"/>
  <c r="T23" i="27"/>
  <c r="W23" i="27" s="1"/>
  <c r="U30" i="27"/>
  <c r="T38" i="27"/>
  <c r="W38" i="27" s="1"/>
  <c r="T31" i="27"/>
  <c r="W31" i="27" s="1"/>
  <c r="U43" i="27"/>
  <c r="U22" i="27"/>
  <c r="T28" i="27"/>
  <c r="W28" i="27" s="1"/>
  <c r="T35" i="27"/>
  <c r="W35" i="27" s="1"/>
  <c r="T33" i="27"/>
  <c r="W33" i="27" s="1"/>
  <c r="T21" i="27"/>
  <c r="W21" i="27" s="1"/>
  <c r="U42" i="27"/>
  <c r="T37" i="27"/>
  <c r="W37" i="27" s="1"/>
  <c r="U32" i="27"/>
  <c r="L175" i="38" l="1"/>
  <c r="L183" i="38"/>
  <c r="L207" i="38" s="1"/>
  <c r="M207" i="38" s="1"/>
  <c r="L179" i="38"/>
  <c r="L203" i="38" s="1"/>
  <c r="M203" i="38" s="1"/>
  <c r="I243" i="38"/>
  <c r="I23" i="10"/>
  <c r="I304" i="10" s="1"/>
  <c r="H243" i="38"/>
  <c r="H23" i="10"/>
  <c r="M182" i="38"/>
  <c r="K93" i="38"/>
  <c r="K97" i="38"/>
  <c r="G250" i="37"/>
  <c r="F252" i="37"/>
  <c r="F254" i="37" s="1"/>
  <c r="F17" i="37" s="1"/>
  <c r="F21" i="37" s="1"/>
  <c r="I289" i="37"/>
  <c r="I291" i="37" s="1"/>
  <c r="I293" i="37" s="1"/>
  <c r="I294" i="37" s="1"/>
  <c r="I276" i="37"/>
  <c r="I278" i="37" s="1"/>
  <c r="I279" i="37" s="1"/>
  <c r="E280" i="37"/>
  <c r="D282" i="37"/>
  <c r="D284" i="37" s="1"/>
  <c r="D19" i="37" s="1"/>
  <c r="K177" i="37"/>
  <c r="K179" i="37" s="1"/>
  <c r="K12" i="37" s="1"/>
  <c r="L175" i="37"/>
  <c r="L147" i="37"/>
  <c r="L149" i="37" s="1"/>
  <c r="L10" i="37" s="1"/>
  <c r="M145" i="37"/>
  <c r="D295" i="37"/>
  <c r="C297" i="37"/>
  <c r="C299" i="37" s="1"/>
  <c r="C20" i="37" s="1"/>
  <c r="C21" i="37" s="1"/>
  <c r="N160" i="37"/>
  <c r="M162" i="37"/>
  <c r="M164" i="37" s="1"/>
  <c r="M11" i="37" s="1"/>
  <c r="H235" i="37"/>
  <c r="G237" i="37"/>
  <c r="G239" i="37" s="1"/>
  <c r="G16" i="37" s="1"/>
  <c r="G21" i="37" s="1"/>
  <c r="M289" i="37"/>
  <c r="M291" i="37" s="1"/>
  <c r="M293" i="37" s="1"/>
  <c r="M294" i="37" s="1"/>
  <c r="M276" i="37"/>
  <c r="M278" i="37" s="1"/>
  <c r="M279" i="37" s="1"/>
  <c r="I220" i="37"/>
  <c r="H222" i="37"/>
  <c r="H224" i="37" s="1"/>
  <c r="E289" i="37"/>
  <c r="E291" i="37" s="1"/>
  <c r="E293" i="37" s="1"/>
  <c r="E294" i="37" s="1"/>
  <c r="E276" i="37"/>
  <c r="E278" i="37" s="1"/>
  <c r="E279" i="37" s="1"/>
  <c r="F265" i="37"/>
  <c r="E267" i="37"/>
  <c r="E269" i="37" s="1"/>
  <c r="K190" i="37"/>
  <c r="J192" i="37"/>
  <c r="J194" i="37" s="1"/>
  <c r="J13" i="37" s="1"/>
  <c r="J205" i="37"/>
  <c r="I207" i="37"/>
  <c r="I209" i="37" s="1"/>
  <c r="K190" i="36"/>
  <c r="J192" i="36"/>
  <c r="J194" i="36" s="1"/>
  <c r="J13" i="36" s="1"/>
  <c r="N160" i="36"/>
  <c r="M162" i="36"/>
  <c r="M164" i="36" s="1"/>
  <c r="M11" i="36" s="1"/>
  <c r="G276" i="36"/>
  <c r="G278" i="36" s="1"/>
  <c r="G279" i="36" s="1"/>
  <c r="G289" i="36"/>
  <c r="G291" i="36" s="1"/>
  <c r="G293" i="36" s="1"/>
  <c r="G294" i="36" s="1"/>
  <c r="G250" i="36"/>
  <c r="F252" i="36"/>
  <c r="F254" i="36" s="1"/>
  <c r="F17" i="36" s="1"/>
  <c r="F21" i="36" s="1"/>
  <c r="H235" i="36"/>
  <c r="G237" i="36"/>
  <c r="G239" i="36" s="1"/>
  <c r="G16" i="36" s="1"/>
  <c r="G21" i="36" s="1"/>
  <c r="L175" i="36"/>
  <c r="K177" i="36"/>
  <c r="K179" i="36" s="1"/>
  <c r="K12" i="36" s="1"/>
  <c r="C297" i="36"/>
  <c r="C299" i="36" s="1"/>
  <c r="C20" i="36" s="1"/>
  <c r="C21" i="36" s="1"/>
  <c r="D295" i="36"/>
  <c r="E267" i="36"/>
  <c r="E269" i="36" s="1"/>
  <c r="F265" i="36"/>
  <c r="I207" i="36"/>
  <c r="I209" i="36" s="1"/>
  <c r="J205" i="36"/>
  <c r="D282" i="36"/>
  <c r="D284" i="36" s="1"/>
  <c r="D19" i="36" s="1"/>
  <c r="E280" i="36"/>
  <c r="H222" i="36"/>
  <c r="H224" i="36" s="1"/>
  <c r="I220" i="36"/>
  <c r="L87" i="38"/>
  <c r="M87" i="38" s="1"/>
  <c r="L75" i="38"/>
  <c r="M15" i="38"/>
  <c r="J101" i="38"/>
  <c r="K239" i="38"/>
  <c r="J214" i="38"/>
  <c r="L181" i="38"/>
  <c r="L66" i="38"/>
  <c r="L78" i="38"/>
  <c r="M6" i="38"/>
  <c r="K99" i="38"/>
  <c r="L67" i="38"/>
  <c r="L79" i="38"/>
  <c r="M79" i="38" s="1"/>
  <c r="M7" i="38"/>
  <c r="L68" i="38"/>
  <c r="L80" i="38"/>
  <c r="M80" i="38" s="1"/>
  <c r="M8" i="38"/>
  <c r="L84" i="38"/>
  <c r="M84" i="38" s="1"/>
  <c r="L72" i="38"/>
  <c r="M12" i="38"/>
  <c r="L74" i="38"/>
  <c r="L86" i="38"/>
  <c r="M86" i="38" s="1"/>
  <c r="M14" i="38"/>
  <c r="L226" i="38"/>
  <c r="L227" i="38" s="1"/>
  <c r="L229" i="38" s="1"/>
  <c r="K90" i="38"/>
  <c r="L208" i="38"/>
  <c r="M208" i="38" s="1"/>
  <c r="M184" i="38"/>
  <c r="L201" i="38"/>
  <c r="M201" i="38" s="1"/>
  <c r="M177" i="38"/>
  <c r="M206" i="38"/>
  <c r="K100" i="38"/>
  <c r="J240" i="38"/>
  <c r="J241" i="38" s="1"/>
  <c r="I105" i="38"/>
  <c r="L199" i="38"/>
  <c r="M175" i="38"/>
  <c r="L202" i="38"/>
  <c r="M202" i="38" s="1"/>
  <c r="M178" i="38"/>
  <c r="K91" i="38"/>
  <c r="K92" i="38"/>
  <c r="L209" i="38"/>
  <c r="M209" i="38" s="1"/>
  <c r="M185" i="38"/>
  <c r="L200" i="38"/>
  <c r="M200" i="38" s="1"/>
  <c r="M176" i="38"/>
  <c r="K96" i="38"/>
  <c r="L81" i="38"/>
  <c r="M81" i="38" s="1"/>
  <c r="L69" i="38"/>
  <c r="M9" i="38"/>
  <c r="K98" i="38"/>
  <c r="L233" i="38"/>
  <c r="L234" i="38" s="1"/>
  <c r="L236" i="38" s="1"/>
  <c r="L95" i="38"/>
  <c r="M95" i="38" s="1"/>
  <c r="M71" i="38"/>
  <c r="L85" i="38"/>
  <c r="M85" i="38" s="1"/>
  <c r="L73" i="38"/>
  <c r="M13" i="38"/>
  <c r="L76" i="38"/>
  <c r="L88" i="38"/>
  <c r="M88" i="38" s="1"/>
  <c r="L70" i="38"/>
  <c r="L82" i="38"/>
  <c r="M82" i="38" s="1"/>
  <c r="M10" i="38"/>
  <c r="M232" i="38"/>
  <c r="M187" i="38"/>
  <c r="K210" i="38"/>
  <c r="K94" i="38"/>
  <c r="V22" i="27"/>
  <c r="X22" i="27" s="1"/>
  <c r="X21" i="27"/>
  <c r="M179" i="38" l="1"/>
  <c r="M183" i="38"/>
  <c r="J243" i="38"/>
  <c r="J23" i="10"/>
  <c r="J304" i="10" s="1"/>
  <c r="V23" i="27"/>
  <c r="V24" i="27" s="1"/>
  <c r="G23" i="37"/>
  <c r="G89" i="37" s="1"/>
  <c r="G90" i="37" s="1"/>
  <c r="G22" i="37"/>
  <c r="G92" i="37" s="1"/>
  <c r="G93" i="37" s="1"/>
  <c r="N162" i="37"/>
  <c r="N164" i="37" s="1"/>
  <c r="N11" i="37" s="1"/>
  <c r="N145" i="37"/>
  <c r="M147" i="37"/>
  <c r="M149" i="37" s="1"/>
  <c r="M10" i="37" s="1"/>
  <c r="F22" i="37"/>
  <c r="F92" i="37" s="1"/>
  <c r="F93" i="37" s="1"/>
  <c r="F23" i="37"/>
  <c r="F89" i="37" s="1"/>
  <c r="F90" i="37" s="1"/>
  <c r="K205" i="37"/>
  <c r="J207" i="37"/>
  <c r="J209" i="37" s="1"/>
  <c r="G265" i="37"/>
  <c r="F267" i="37"/>
  <c r="F269" i="37" s="1"/>
  <c r="I222" i="37"/>
  <c r="I224" i="37" s="1"/>
  <c r="J220" i="37"/>
  <c r="H237" i="37"/>
  <c r="H239" i="37" s="1"/>
  <c r="H16" i="37" s="1"/>
  <c r="H21" i="37" s="1"/>
  <c r="I235" i="37"/>
  <c r="C23" i="37"/>
  <c r="C89" i="37" s="1"/>
  <c r="C90" i="37" s="1"/>
  <c r="C22" i="37"/>
  <c r="F280" i="37"/>
  <c r="E282" i="37"/>
  <c r="E284" i="37" s="1"/>
  <c r="E19" i="37" s="1"/>
  <c r="E21" i="37" s="1"/>
  <c r="G252" i="37"/>
  <c r="G254" i="37" s="1"/>
  <c r="H250" i="37"/>
  <c r="E295" i="37"/>
  <c r="D297" i="37"/>
  <c r="D299" i="37" s="1"/>
  <c r="D20" i="37" s="1"/>
  <c r="D21" i="37" s="1"/>
  <c r="L177" i="37"/>
  <c r="L179" i="37" s="1"/>
  <c r="L12" i="37" s="1"/>
  <c r="M175" i="37"/>
  <c r="L190" i="37"/>
  <c r="K192" i="37"/>
  <c r="K194" i="37" s="1"/>
  <c r="K13" i="37" s="1"/>
  <c r="C22" i="36"/>
  <c r="C23" i="36"/>
  <c r="C89" i="36" s="1"/>
  <c r="C90" i="36" s="1"/>
  <c r="I235" i="36"/>
  <c r="H237" i="36"/>
  <c r="H239" i="36" s="1"/>
  <c r="H16" i="36" s="1"/>
  <c r="H21" i="36" s="1"/>
  <c r="F280" i="36"/>
  <c r="E282" i="36"/>
  <c r="E284" i="36" s="1"/>
  <c r="E19" i="36" s="1"/>
  <c r="E21" i="36" s="1"/>
  <c r="G265" i="36"/>
  <c r="F267" i="36"/>
  <c r="F269" i="36" s="1"/>
  <c r="F23" i="36"/>
  <c r="F89" i="36" s="1"/>
  <c r="F90" i="36" s="1"/>
  <c r="F22" i="36"/>
  <c r="F92" i="36" s="1"/>
  <c r="F93" i="36" s="1"/>
  <c r="L190" i="36"/>
  <c r="K192" i="36"/>
  <c r="K194" i="36" s="1"/>
  <c r="K13" i="36" s="1"/>
  <c r="J220" i="36"/>
  <c r="I222" i="36"/>
  <c r="I224" i="36" s="1"/>
  <c r="M175" i="36"/>
  <c r="L177" i="36"/>
  <c r="L179" i="36" s="1"/>
  <c r="L12" i="36" s="1"/>
  <c r="H250" i="36"/>
  <c r="G252" i="36"/>
  <c r="G254" i="36" s="1"/>
  <c r="K205" i="36"/>
  <c r="J207" i="36"/>
  <c r="J209" i="36" s="1"/>
  <c r="E295" i="36"/>
  <c r="D297" i="36"/>
  <c r="D299" i="36" s="1"/>
  <c r="D20" i="36" s="1"/>
  <c r="D21" i="36" s="1"/>
  <c r="G22" i="36"/>
  <c r="G92" i="36" s="1"/>
  <c r="G93" i="36" s="1"/>
  <c r="G23" i="36"/>
  <c r="G89" i="36" s="1"/>
  <c r="G90" i="36" s="1"/>
  <c r="N162" i="36"/>
  <c r="N164" i="36" s="1"/>
  <c r="N11" i="36" s="1"/>
  <c r="L205" i="38"/>
  <c r="M205" i="38" s="1"/>
  <c r="M181" i="38"/>
  <c r="M225" i="38"/>
  <c r="K101" i="38"/>
  <c r="L98" i="38"/>
  <c r="M98" i="38" s="1"/>
  <c r="M74" i="38"/>
  <c r="L97" i="38"/>
  <c r="M97" i="38" s="1"/>
  <c r="M73" i="38"/>
  <c r="K240" i="38"/>
  <c r="K241" i="38" s="1"/>
  <c r="J105" i="38"/>
  <c r="L239" i="38"/>
  <c r="K214" i="38"/>
  <c r="L100" i="38"/>
  <c r="M100" i="38" s="1"/>
  <c r="M76" i="38"/>
  <c r="M199" i="38"/>
  <c r="L91" i="38"/>
  <c r="M91" i="38" s="1"/>
  <c r="M67" i="38"/>
  <c r="M233" i="38"/>
  <c r="N233" i="38" s="1"/>
  <c r="M78" i="38"/>
  <c r="L99" i="38"/>
  <c r="M99" i="38" s="1"/>
  <c r="M75" i="38"/>
  <c r="N232" i="38"/>
  <c r="L94" i="38"/>
  <c r="M94" i="38" s="1"/>
  <c r="M70" i="38"/>
  <c r="L93" i="38"/>
  <c r="M93" i="38" s="1"/>
  <c r="M69" i="38"/>
  <c r="L96" i="38"/>
  <c r="M96" i="38" s="1"/>
  <c r="M72" i="38"/>
  <c r="L92" i="38"/>
  <c r="M92" i="38" s="1"/>
  <c r="M68" i="38"/>
  <c r="M226" i="38"/>
  <c r="N226" i="38" s="1"/>
  <c r="L90" i="38"/>
  <c r="M66" i="38"/>
  <c r="D248" i="10"/>
  <c r="D249" i="10"/>
  <c r="D250" i="10"/>
  <c r="D251" i="10"/>
  <c r="D247" i="10"/>
  <c r="K243" i="38" l="1"/>
  <c r="K23" i="10"/>
  <c r="K304" i="10" s="1"/>
  <c r="X23" i="27"/>
  <c r="M210" i="38"/>
  <c r="M214" i="38" s="1"/>
  <c r="M234" i="38"/>
  <c r="M236" i="38" s="1"/>
  <c r="N234" i="38"/>
  <c r="N236" i="38" s="1"/>
  <c r="L205" i="37"/>
  <c r="K207" i="37"/>
  <c r="K209" i="37" s="1"/>
  <c r="D23" i="37"/>
  <c r="D89" i="37" s="1"/>
  <c r="D90" i="37" s="1"/>
  <c r="D22" i="37"/>
  <c r="D92" i="37" s="1"/>
  <c r="D93" i="37" s="1"/>
  <c r="E23" i="37"/>
  <c r="E89" i="37" s="1"/>
  <c r="E90" i="37" s="1"/>
  <c r="E22" i="37"/>
  <c r="E92" i="37" s="1"/>
  <c r="E93" i="37" s="1"/>
  <c r="I237" i="37"/>
  <c r="I239" i="37" s="1"/>
  <c r="I16" i="37" s="1"/>
  <c r="I21" i="37" s="1"/>
  <c r="J235" i="37"/>
  <c r="N147" i="37"/>
  <c r="N149" i="37" s="1"/>
  <c r="N10" i="37" s="1"/>
  <c r="L192" i="37"/>
  <c r="L194" i="37" s="1"/>
  <c r="L13" i="37" s="1"/>
  <c r="M190" i="37"/>
  <c r="F295" i="37"/>
  <c r="E297" i="37"/>
  <c r="E299" i="37" s="1"/>
  <c r="G280" i="37"/>
  <c r="F282" i="37"/>
  <c r="F284" i="37" s="1"/>
  <c r="H23" i="37"/>
  <c r="H89" i="37" s="1"/>
  <c r="H90" i="37" s="1"/>
  <c r="H22" i="37"/>
  <c r="H92" i="37" s="1"/>
  <c r="H93" i="37" s="1"/>
  <c r="H265" i="37"/>
  <c r="G267" i="37"/>
  <c r="G269" i="37" s="1"/>
  <c r="M177" i="37"/>
  <c r="M179" i="37" s="1"/>
  <c r="M12" i="37" s="1"/>
  <c r="N175" i="37"/>
  <c r="N177" i="37" s="1"/>
  <c r="N179" i="37" s="1"/>
  <c r="N12" i="37" s="1"/>
  <c r="H252" i="37"/>
  <c r="H254" i="37" s="1"/>
  <c r="I250" i="37"/>
  <c r="C92" i="37"/>
  <c r="C93" i="37" s="1"/>
  <c r="K220" i="37"/>
  <c r="J222" i="37"/>
  <c r="J224" i="37" s="1"/>
  <c r="D23" i="36"/>
  <c r="D89" i="36" s="1"/>
  <c r="D90" i="36" s="1"/>
  <c r="D22" i="36"/>
  <c r="D92" i="36" s="1"/>
  <c r="D93" i="36" s="1"/>
  <c r="F295" i="36"/>
  <c r="E297" i="36"/>
  <c r="E299" i="36" s="1"/>
  <c r="L192" i="36"/>
  <c r="L194" i="36" s="1"/>
  <c r="L13" i="36" s="1"/>
  <c r="M190" i="36"/>
  <c r="E22" i="36"/>
  <c r="E92" i="36" s="1"/>
  <c r="E93" i="36" s="1"/>
  <c r="E23" i="36"/>
  <c r="E89" i="36" s="1"/>
  <c r="E90" i="36" s="1"/>
  <c r="H23" i="36"/>
  <c r="H89" i="36" s="1"/>
  <c r="H90" i="36" s="1"/>
  <c r="H22" i="36"/>
  <c r="H92" i="36" s="1"/>
  <c r="H93" i="36" s="1"/>
  <c r="M177" i="36"/>
  <c r="M179" i="36" s="1"/>
  <c r="M12" i="36" s="1"/>
  <c r="N175" i="36"/>
  <c r="N177" i="36" s="1"/>
  <c r="N179" i="36" s="1"/>
  <c r="N12" i="36" s="1"/>
  <c r="H265" i="36"/>
  <c r="G267" i="36"/>
  <c r="G269" i="36" s="1"/>
  <c r="I237" i="36"/>
  <c r="I239" i="36" s="1"/>
  <c r="I16" i="36" s="1"/>
  <c r="I21" i="36" s="1"/>
  <c r="J235" i="36"/>
  <c r="K207" i="36"/>
  <c r="K209" i="36" s="1"/>
  <c r="L205" i="36"/>
  <c r="H252" i="36"/>
  <c r="H254" i="36" s="1"/>
  <c r="I250" i="36"/>
  <c r="J222" i="36"/>
  <c r="J224" i="36" s="1"/>
  <c r="K220" i="36"/>
  <c r="G280" i="36"/>
  <c r="F282" i="36"/>
  <c r="F284" i="36" s="1"/>
  <c r="C92" i="36"/>
  <c r="C93" i="36" s="1"/>
  <c r="L101" i="38"/>
  <c r="M90" i="38"/>
  <c r="M101" i="38" s="1"/>
  <c r="M105" i="38" s="1"/>
  <c r="L240" i="38"/>
  <c r="L241" i="38" s="1"/>
  <c r="K105" i="38"/>
  <c r="L210" i="38"/>
  <c r="M227" i="38"/>
  <c r="M229" i="38" s="1"/>
  <c r="N225" i="38"/>
  <c r="N227" i="38" s="1"/>
  <c r="N229" i="38" s="1"/>
  <c r="V25" i="27"/>
  <c r="X24" i="27"/>
  <c r="N22" i="7"/>
  <c r="L22" i="7"/>
  <c r="J22" i="7"/>
  <c r="H22" i="7"/>
  <c r="O49" i="6"/>
  <c r="L243" i="38" l="1"/>
  <c r="L23" i="10"/>
  <c r="L304" i="10" s="1"/>
  <c r="I23" i="37"/>
  <c r="I89" i="37" s="1"/>
  <c r="I90" i="37" s="1"/>
  <c r="I22" i="37"/>
  <c r="I92" i="37" s="1"/>
  <c r="I93" i="37" s="1"/>
  <c r="J250" i="37"/>
  <c r="I252" i="37"/>
  <c r="I254" i="37" s="1"/>
  <c r="L220" i="37"/>
  <c r="K222" i="37"/>
  <c r="K224" i="37" s="1"/>
  <c r="F297" i="37"/>
  <c r="F299" i="37" s="1"/>
  <c r="G295" i="37"/>
  <c r="M192" i="37"/>
  <c r="M194" i="37" s="1"/>
  <c r="M13" i="37" s="1"/>
  <c r="N190" i="37"/>
  <c r="N192" i="37" s="1"/>
  <c r="N194" i="37" s="1"/>
  <c r="N13" i="37" s="1"/>
  <c r="K235" i="37"/>
  <c r="J237" i="37"/>
  <c r="J239" i="37" s="1"/>
  <c r="J16" i="37" s="1"/>
  <c r="J21" i="37" s="1"/>
  <c r="L207" i="37"/>
  <c r="L209" i="37" s="1"/>
  <c r="M205" i="37"/>
  <c r="H267" i="37"/>
  <c r="H269" i="37" s="1"/>
  <c r="I265" i="37"/>
  <c r="G282" i="37"/>
  <c r="G284" i="37" s="1"/>
  <c r="H280" i="37"/>
  <c r="K222" i="36"/>
  <c r="K224" i="36" s="1"/>
  <c r="L220" i="36"/>
  <c r="L207" i="36"/>
  <c r="L209" i="36" s="1"/>
  <c r="M205" i="36"/>
  <c r="H267" i="36"/>
  <c r="H269" i="36" s="1"/>
  <c r="I265" i="36"/>
  <c r="F297" i="36"/>
  <c r="F299" i="36" s="1"/>
  <c r="G295" i="36"/>
  <c r="J250" i="36"/>
  <c r="I252" i="36"/>
  <c r="I254" i="36" s="1"/>
  <c r="J237" i="36"/>
  <c r="J239" i="36" s="1"/>
  <c r="J16" i="36" s="1"/>
  <c r="J21" i="36" s="1"/>
  <c r="K235" i="36"/>
  <c r="M192" i="36"/>
  <c r="M194" i="36" s="1"/>
  <c r="M13" i="36" s="1"/>
  <c r="N190" i="36"/>
  <c r="N192" i="36" s="1"/>
  <c r="N194" i="36" s="1"/>
  <c r="N13" i="36" s="1"/>
  <c r="G282" i="36"/>
  <c r="G284" i="36" s="1"/>
  <c r="H280" i="36"/>
  <c r="I22" i="36"/>
  <c r="I92" i="36" s="1"/>
  <c r="I93" i="36" s="1"/>
  <c r="I23" i="36"/>
  <c r="I89" i="36" s="1"/>
  <c r="I90" i="36" s="1"/>
  <c r="L214" i="38"/>
  <c r="M239" i="38"/>
  <c r="M240" i="38"/>
  <c r="N240" i="38" s="1"/>
  <c r="L105" i="38"/>
  <c r="V26" i="27"/>
  <c r="X25" i="27"/>
  <c r="M220" i="37" l="1"/>
  <c r="L222" i="37"/>
  <c r="L224" i="37" s="1"/>
  <c r="L235" i="37"/>
  <c r="K237" i="37"/>
  <c r="K239" i="37" s="1"/>
  <c r="K16" i="37" s="1"/>
  <c r="K250" i="37"/>
  <c r="J252" i="37"/>
  <c r="J254" i="37" s="1"/>
  <c r="I280" i="37"/>
  <c r="H282" i="37"/>
  <c r="H284" i="37" s="1"/>
  <c r="M207" i="37"/>
  <c r="M209" i="37" s="1"/>
  <c r="M14" i="37" s="1"/>
  <c r="N205" i="37"/>
  <c r="N207" i="37" s="1"/>
  <c r="N209" i="37" s="1"/>
  <c r="N14" i="37" s="1"/>
  <c r="J265" i="37"/>
  <c r="I267" i="37"/>
  <c r="I269" i="37" s="1"/>
  <c r="J22" i="37"/>
  <c r="J23" i="37"/>
  <c r="J89" i="37" s="1"/>
  <c r="J90" i="37" s="1"/>
  <c r="H295" i="37"/>
  <c r="G297" i="37"/>
  <c r="G299" i="37" s="1"/>
  <c r="J265" i="36"/>
  <c r="I267" i="36"/>
  <c r="I269" i="36" s="1"/>
  <c r="M220" i="36"/>
  <c r="L222" i="36"/>
  <c r="L224" i="36" s="1"/>
  <c r="H282" i="36"/>
  <c r="H284" i="36" s="1"/>
  <c r="I280" i="36"/>
  <c r="L235" i="36"/>
  <c r="K237" i="36"/>
  <c r="K239" i="36" s="1"/>
  <c r="K16" i="36" s="1"/>
  <c r="G297" i="36"/>
  <c r="G299" i="36" s="1"/>
  <c r="H295" i="36"/>
  <c r="J252" i="36"/>
  <c r="J254" i="36" s="1"/>
  <c r="K250" i="36"/>
  <c r="J23" i="36"/>
  <c r="J89" i="36" s="1"/>
  <c r="J90" i="36" s="1"/>
  <c r="J22" i="36"/>
  <c r="J92" i="36" s="1"/>
  <c r="J93" i="36" s="1"/>
  <c r="M207" i="36"/>
  <c r="M209" i="36" s="1"/>
  <c r="M14" i="36" s="1"/>
  <c r="N205" i="36"/>
  <c r="N207" i="36" s="1"/>
  <c r="N209" i="36" s="1"/>
  <c r="N14" i="36" s="1"/>
  <c r="M241" i="38"/>
  <c r="N239" i="38"/>
  <c r="N241" i="38" s="1"/>
  <c r="N243" i="38" s="1"/>
  <c r="X26" i="27"/>
  <c r="V35" i="27"/>
  <c r="V28" i="27"/>
  <c r="AN17" i="31"/>
  <c r="AN16" i="31"/>
  <c r="AN15" i="31"/>
  <c r="AN14" i="31"/>
  <c r="AN13" i="31"/>
  <c r="AN12" i="31"/>
  <c r="AN11" i="31"/>
  <c r="AN10" i="31"/>
  <c r="AN9" i="31"/>
  <c r="AN8" i="31"/>
  <c r="AN7" i="31"/>
  <c r="AN6" i="31"/>
  <c r="AN5" i="31"/>
  <c r="AN4" i="31"/>
  <c r="AN3" i="31"/>
  <c r="M243" i="38" l="1"/>
  <c r="M23" i="10"/>
  <c r="M304" i="10" s="1"/>
  <c r="I295" i="37"/>
  <c r="H297" i="37"/>
  <c r="H299" i="37" s="1"/>
  <c r="J280" i="37"/>
  <c r="I282" i="37"/>
  <c r="I284" i="37" s="1"/>
  <c r="L237" i="37"/>
  <c r="L239" i="37" s="1"/>
  <c r="L16" i="37" s="1"/>
  <c r="M235" i="37"/>
  <c r="K265" i="37"/>
  <c r="J267" i="37"/>
  <c r="J269" i="37" s="1"/>
  <c r="J92" i="37"/>
  <c r="J93" i="37" s="1"/>
  <c r="K252" i="37"/>
  <c r="K254" i="37" s="1"/>
  <c r="L250" i="37"/>
  <c r="M222" i="37"/>
  <c r="M224" i="37" s="1"/>
  <c r="N220" i="37"/>
  <c r="N222" i="37" s="1"/>
  <c r="N224" i="37" s="1"/>
  <c r="N15" i="37" s="1"/>
  <c r="N220" i="36"/>
  <c r="N222" i="36" s="1"/>
  <c r="N224" i="36" s="1"/>
  <c r="N15" i="36" s="1"/>
  <c r="M222" i="36"/>
  <c r="M224" i="36" s="1"/>
  <c r="I295" i="36"/>
  <c r="H297" i="36"/>
  <c r="H299" i="36" s="1"/>
  <c r="J280" i="36"/>
  <c r="I282" i="36"/>
  <c r="I284" i="36" s="1"/>
  <c r="M235" i="36"/>
  <c r="L237" i="36"/>
  <c r="L239" i="36" s="1"/>
  <c r="L16" i="36" s="1"/>
  <c r="L250" i="36"/>
  <c r="K252" i="36"/>
  <c r="K254" i="36" s="1"/>
  <c r="J267" i="36"/>
  <c r="J269" i="36" s="1"/>
  <c r="K265" i="36"/>
  <c r="V29" i="27"/>
  <c r="X28" i="27"/>
  <c r="V36" i="27"/>
  <c r="X35" i="27"/>
  <c r="F571" i="9"/>
  <c r="F793" i="9"/>
  <c r="P668" i="9"/>
  <c r="O668" i="9"/>
  <c r="N668" i="9"/>
  <c r="M668" i="9"/>
  <c r="L668" i="9"/>
  <c r="K668" i="9"/>
  <c r="J668" i="9"/>
  <c r="P594" i="9"/>
  <c r="O594" i="9"/>
  <c r="N594" i="9"/>
  <c r="M594" i="9"/>
  <c r="J594" i="9"/>
  <c r="L594" i="9"/>
  <c r="K594" i="9"/>
  <c r="K742" i="9"/>
  <c r="E1024" i="9"/>
  <c r="E1023" i="9"/>
  <c r="E1022" i="9"/>
  <c r="E1021" i="9"/>
  <c r="E1020" i="9"/>
  <c r="B1024" i="9"/>
  <c r="B1023" i="9"/>
  <c r="B1022" i="9"/>
  <c r="B1021" i="9"/>
  <c r="B1020" i="9"/>
  <c r="E1019" i="9"/>
  <c r="B1019" i="9"/>
  <c r="B1018" i="9"/>
  <c r="D996" i="9"/>
  <c r="B996" i="9"/>
  <c r="B995" i="9"/>
  <c r="B994" i="9"/>
  <c r="B993" i="9"/>
  <c r="B992" i="9"/>
  <c r="B991" i="9"/>
  <c r="E995" i="9"/>
  <c r="E994" i="9"/>
  <c r="E993" i="9"/>
  <c r="E992" i="9"/>
  <c r="E991" i="9"/>
  <c r="E990" i="9"/>
  <c r="B990" i="9"/>
  <c r="B989" i="9"/>
  <c r="D979" i="9"/>
  <c r="B979" i="9"/>
  <c r="R1024" i="9"/>
  <c r="R1023" i="9"/>
  <c r="R1022" i="9"/>
  <c r="R1021" i="9"/>
  <c r="R1020" i="9"/>
  <c r="R1019" i="9"/>
  <c r="R1017" i="9"/>
  <c r="R1016" i="9"/>
  <c r="R1015" i="9"/>
  <c r="R1014" i="9"/>
  <c r="R1013" i="9"/>
  <c r="R1012" i="9"/>
  <c r="R1011" i="9"/>
  <c r="R1010" i="9"/>
  <c r="R1009" i="9"/>
  <c r="R1008" i="9"/>
  <c r="R1007" i="9"/>
  <c r="R1006" i="9"/>
  <c r="R1005" i="9"/>
  <c r="R1004" i="9"/>
  <c r="R1003" i="9"/>
  <c r="R1002" i="9"/>
  <c r="R1001" i="9"/>
  <c r="R1000" i="9"/>
  <c r="R999" i="9"/>
  <c r="R998" i="9"/>
  <c r="R997" i="9"/>
  <c r="R996" i="9"/>
  <c r="I996" i="9"/>
  <c r="R995" i="9"/>
  <c r="R994" i="9"/>
  <c r="R993" i="9"/>
  <c r="R992" i="9"/>
  <c r="R991" i="9"/>
  <c r="R990" i="9"/>
  <c r="R988" i="9"/>
  <c r="R987" i="9"/>
  <c r="R986" i="9"/>
  <c r="R985" i="9"/>
  <c r="R984" i="9"/>
  <c r="R983" i="9"/>
  <c r="R982" i="9"/>
  <c r="R981" i="9"/>
  <c r="R980" i="9"/>
  <c r="E970" i="9"/>
  <c r="E969" i="9"/>
  <c r="E968" i="9"/>
  <c r="E967" i="9"/>
  <c r="E966" i="9"/>
  <c r="B970" i="9"/>
  <c r="B969" i="9"/>
  <c r="B968" i="9"/>
  <c r="B967" i="9"/>
  <c r="B966" i="9"/>
  <c r="E965" i="9"/>
  <c r="B965" i="9"/>
  <c r="B964" i="9"/>
  <c r="D942" i="9"/>
  <c r="B942" i="9"/>
  <c r="E941" i="9"/>
  <c r="E940" i="9"/>
  <c r="E939" i="9"/>
  <c r="E938" i="9"/>
  <c r="E937" i="9"/>
  <c r="B941" i="9"/>
  <c r="B940" i="9"/>
  <c r="B939" i="9"/>
  <c r="B938" i="9"/>
  <c r="B937" i="9"/>
  <c r="E936" i="9"/>
  <c r="B936" i="9"/>
  <c r="B935" i="9"/>
  <c r="D925" i="9"/>
  <c r="B925" i="9"/>
  <c r="R970" i="9"/>
  <c r="R969" i="9"/>
  <c r="R968" i="9"/>
  <c r="R967" i="9"/>
  <c r="R966" i="9"/>
  <c r="R965" i="9"/>
  <c r="R963" i="9"/>
  <c r="R962" i="9"/>
  <c r="R961" i="9"/>
  <c r="R960" i="9"/>
  <c r="R959" i="9"/>
  <c r="R958" i="9"/>
  <c r="R957" i="9"/>
  <c r="R956" i="9"/>
  <c r="R955" i="9"/>
  <c r="R954" i="9"/>
  <c r="R953" i="9"/>
  <c r="R952" i="9"/>
  <c r="R951" i="9"/>
  <c r="R950" i="9"/>
  <c r="R949" i="9"/>
  <c r="R948" i="9"/>
  <c r="R947" i="9"/>
  <c r="R946" i="9"/>
  <c r="R945" i="9"/>
  <c r="R944" i="9"/>
  <c r="R943" i="9"/>
  <c r="R942" i="9"/>
  <c r="I942" i="9"/>
  <c r="R941" i="9"/>
  <c r="R940" i="9"/>
  <c r="R939" i="9"/>
  <c r="R938" i="9"/>
  <c r="R937" i="9"/>
  <c r="R936" i="9"/>
  <c r="R934" i="9"/>
  <c r="R933" i="9"/>
  <c r="R932" i="9"/>
  <c r="R931" i="9"/>
  <c r="R930" i="9"/>
  <c r="R929" i="9"/>
  <c r="R928" i="9"/>
  <c r="R927" i="9"/>
  <c r="R926" i="9"/>
  <c r="E916" i="9"/>
  <c r="E915" i="9"/>
  <c r="E914" i="9"/>
  <c r="E913" i="9"/>
  <c r="E912" i="9"/>
  <c r="B916" i="9"/>
  <c r="B915" i="9"/>
  <c r="B914" i="9"/>
  <c r="B913" i="9"/>
  <c r="B912" i="9"/>
  <c r="E911" i="9"/>
  <c r="B911" i="9"/>
  <c r="B910" i="9"/>
  <c r="D888" i="9"/>
  <c r="B888" i="9"/>
  <c r="E887" i="9"/>
  <c r="E886" i="9"/>
  <c r="E885" i="9"/>
  <c r="E884" i="9"/>
  <c r="E883" i="9"/>
  <c r="B887" i="9"/>
  <c r="B886" i="9"/>
  <c r="B885" i="9"/>
  <c r="B884" i="9"/>
  <c r="B883" i="9"/>
  <c r="E882" i="9"/>
  <c r="B882" i="9"/>
  <c r="B881" i="9"/>
  <c r="D871" i="9"/>
  <c r="B871" i="9"/>
  <c r="R916" i="9"/>
  <c r="R915" i="9"/>
  <c r="R914" i="9"/>
  <c r="R913" i="9"/>
  <c r="R912" i="9"/>
  <c r="R911" i="9"/>
  <c r="R909" i="9"/>
  <c r="R908" i="9"/>
  <c r="R907" i="9"/>
  <c r="R906" i="9"/>
  <c r="R905" i="9"/>
  <c r="R904" i="9"/>
  <c r="R903" i="9"/>
  <c r="R902" i="9"/>
  <c r="R901" i="9"/>
  <c r="R900" i="9"/>
  <c r="R899" i="9"/>
  <c r="R898" i="9"/>
  <c r="R897" i="9"/>
  <c r="R896" i="9"/>
  <c r="R895" i="9"/>
  <c r="R894" i="9"/>
  <c r="R893" i="9"/>
  <c r="R892" i="9"/>
  <c r="R891" i="9"/>
  <c r="R890" i="9"/>
  <c r="R889" i="9"/>
  <c r="R888" i="9"/>
  <c r="G888" i="9"/>
  <c r="E888" i="9"/>
  <c r="R887" i="9"/>
  <c r="R886" i="9"/>
  <c r="R885" i="9"/>
  <c r="R884" i="9"/>
  <c r="R883" i="9"/>
  <c r="R882" i="9"/>
  <c r="R880" i="9"/>
  <c r="R879" i="9"/>
  <c r="R878" i="9"/>
  <c r="R877" i="9"/>
  <c r="R876" i="9"/>
  <c r="R875" i="9"/>
  <c r="R874" i="9"/>
  <c r="R873" i="9"/>
  <c r="R872" i="9"/>
  <c r="E862" i="9"/>
  <c r="E861" i="9"/>
  <c r="E860" i="9"/>
  <c r="E859" i="9"/>
  <c r="E858" i="9"/>
  <c r="E857" i="9"/>
  <c r="B862" i="9"/>
  <c r="B861" i="9"/>
  <c r="B860" i="9"/>
  <c r="B859" i="9"/>
  <c r="B858" i="9"/>
  <c r="B857" i="9"/>
  <c r="R862" i="9"/>
  <c r="R861" i="9"/>
  <c r="R860" i="9"/>
  <c r="R859" i="9"/>
  <c r="R858" i="9"/>
  <c r="R857" i="9"/>
  <c r="B856" i="9"/>
  <c r="R855" i="9"/>
  <c r="R854" i="9"/>
  <c r="R853" i="9"/>
  <c r="R852" i="9"/>
  <c r="R851" i="9"/>
  <c r="R850" i="9"/>
  <c r="R849" i="9"/>
  <c r="R848" i="9"/>
  <c r="R847" i="9"/>
  <c r="R846" i="9"/>
  <c r="R845" i="9"/>
  <c r="R844" i="9"/>
  <c r="R843" i="9"/>
  <c r="R842" i="9"/>
  <c r="R841" i="9"/>
  <c r="R840" i="9"/>
  <c r="R839" i="9"/>
  <c r="R838" i="9"/>
  <c r="R837" i="9"/>
  <c r="R836" i="9"/>
  <c r="D834" i="9"/>
  <c r="B834" i="9"/>
  <c r="B817" i="9"/>
  <c r="R833" i="9"/>
  <c r="R832" i="9"/>
  <c r="R831" i="9"/>
  <c r="R830" i="9"/>
  <c r="R829" i="9"/>
  <c r="E833" i="9"/>
  <c r="E832" i="9"/>
  <c r="E831" i="9"/>
  <c r="E830" i="9"/>
  <c r="E829" i="9"/>
  <c r="B833" i="9"/>
  <c r="B832" i="9"/>
  <c r="B831" i="9"/>
  <c r="B830" i="9"/>
  <c r="B829" i="9"/>
  <c r="E828" i="9"/>
  <c r="B828" i="9"/>
  <c r="R826" i="9"/>
  <c r="R825" i="9"/>
  <c r="R824" i="9"/>
  <c r="R823" i="9"/>
  <c r="R822" i="9"/>
  <c r="R821" i="9"/>
  <c r="B827" i="9"/>
  <c r="D817" i="9"/>
  <c r="E790" i="9"/>
  <c r="E789" i="9"/>
  <c r="E788" i="9"/>
  <c r="E787" i="9"/>
  <c r="E786" i="9"/>
  <c r="B790" i="9"/>
  <c r="B789" i="9"/>
  <c r="B788" i="9"/>
  <c r="B787" i="9"/>
  <c r="B786" i="9"/>
  <c r="E785" i="9"/>
  <c r="B785" i="9"/>
  <c r="B784" i="9"/>
  <c r="D762" i="9"/>
  <c r="B762" i="9"/>
  <c r="E761" i="9"/>
  <c r="E760" i="9"/>
  <c r="E759" i="9"/>
  <c r="E758" i="9"/>
  <c r="E757" i="9"/>
  <c r="B761" i="9"/>
  <c r="B760" i="9"/>
  <c r="B759" i="9"/>
  <c r="B758" i="9"/>
  <c r="B757" i="9"/>
  <c r="E756" i="9"/>
  <c r="B756" i="9"/>
  <c r="B755" i="9"/>
  <c r="D745" i="9"/>
  <c r="B745" i="9"/>
  <c r="Q790" i="9"/>
  <c r="Q789" i="9"/>
  <c r="Q788" i="9"/>
  <c r="Q787" i="9"/>
  <c r="Q786" i="9"/>
  <c r="Q785" i="9"/>
  <c r="Q783" i="9"/>
  <c r="Q782" i="9"/>
  <c r="Q781" i="9"/>
  <c r="Q780" i="9"/>
  <c r="Q779" i="9"/>
  <c r="Q778" i="9"/>
  <c r="Q777" i="9"/>
  <c r="Q776" i="9"/>
  <c r="Q775" i="9"/>
  <c r="Q774" i="9"/>
  <c r="Q773" i="9"/>
  <c r="Q772" i="9"/>
  <c r="Q771" i="9"/>
  <c r="Q770" i="9"/>
  <c r="Q769" i="9"/>
  <c r="Q768" i="9"/>
  <c r="Q767" i="9"/>
  <c r="Q766" i="9"/>
  <c r="Q765" i="9"/>
  <c r="Q764" i="9"/>
  <c r="Q763" i="9"/>
  <c r="Q761" i="9"/>
  <c r="Q760" i="9"/>
  <c r="Q759" i="9"/>
  <c r="Q758" i="9"/>
  <c r="Q757" i="9"/>
  <c r="Q756" i="9"/>
  <c r="Q754" i="9"/>
  <c r="Q753" i="9"/>
  <c r="Q752" i="9"/>
  <c r="Q751" i="9"/>
  <c r="Q750" i="9"/>
  <c r="Q749" i="9"/>
  <c r="Q748" i="9"/>
  <c r="Q747" i="9"/>
  <c r="Q746" i="9"/>
  <c r="E716" i="9"/>
  <c r="E715" i="9"/>
  <c r="E714" i="9"/>
  <c r="E713" i="9"/>
  <c r="E712" i="9"/>
  <c r="B716" i="9"/>
  <c r="B715" i="9"/>
  <c r="B714" i="9"/>
  <c r="B713" i="9"/>
  <c r="B712" i="9"/>
  <c r="E711" i="9"/>
  <c r="B711" i="9"/>
  <c r="B710" i="9"/>
  <c r="D688" i="9"/>
  <c r="B688" i="9"/>
  <c r="E687" i="9"/>
  <c r="E686" i="9"/>
  <c r="E685" i="9"/>
  <c r="E684" i="9"/>
  <c r="E683" i="9"/>
  <c r="B687" i="9"/>
  <c r="B686" i="9"/>
  <c r="B685" i="9"/>
  <c r="B684" i="9"/>
  <c r="B683" i="9"/>
  <c r="E682" i="9"/>
  <c r="B682" i="9"/>
  <c r="B681" i="9"/>
  <c r="D671" i="9"/>
  <c r="B671" i="9"/>
  <c r="Q716" i="9"/>
  <c r="Q715" i="9"/>
  <c r="Q714" i="9"/>
  <c r="Q713" i="9"/>
  <c r="Q712" i="9"/>
  <c r="Q711" i="9"/>
  <c r="Q709" i="9"/>
  <c r="Q708" i="9"/>
  <c r="Q707" i="9"/>
  <c r="Q706" i="9"/>
  <c r="Q705" i="9"/>
  <c r="Q704" i="9"/>
  <c r="Q703" i="9"/>
  <c r="Q702" i="9"/>
  <c r="Q701" i="9"/>
  <c r="Q700" i="9"/>
  <c r="Q699" i="9"/>
  <c r="Q698" i="9"/>
  <c r="Q697" i="9"/>
  <c r="Q696" i="9"/>
  <c r="Q695" i="9"/>
  <c r="Q694" i="9"/>
  <c r="Q693" i="9"/>
  <c r="Q692" i="9"/>
  <c r="Q691" i="9"/>
  <c r="Q690" i="9"/>
  <c r="Q689" i="9"/>
  <c r="Q687" i="9"/>
  <c r="Q686" i="9"/>
  <c r="Q685" i="9"/>
  <c r="Q684" i="9"/>
  <c r="Q683" i="9"/>
  <c r="Q682" i="9"/>
  <c r="Q680" i="9"/>
  <c r="Q679" i="9"/>
  <c r="Q678" i="9"/>
  <c r="Q677" i="9"/>
  <c r="Q676" i="9"/>
  <c r="Q675" i="9"/>
  <c r="Q674" i="9"/>
  <c r="Q673" i="9"/>
  <c r="Q672" i="9"/>
  <c r="E642" i="9"/>
  <c r="E641" i="9"/>
  <c r="E640" i="9"/>
  <c r="E639" i="9"/>
  <c r="E638" i="9"/>
  <c r="B642" i="9"/>
  <c r="B641" i="9"/>
  <c r="B640" i="9"/>
  <c r="B639" i="9"/>
  <c r="B638" i="9"/>
  <c r="E637" i="9"/>
  <c r="B637" i="9"/>
  <c r="B636" i="9"/>
  <c r="D614" i="9"/>
  <c r="B614" i="9"/>
  <c r="E613" i="9"/>
  <c r="E612" i="9"/>
  <c r="E611" i="9"/>
  <c r="E610" i="9"/>
  <c r="E609" i="9"/>
  <c r="B613" i="9"/>
  <c r="B612" i="9"/>
  <c r="B611" i="9"/>
  <c r="B610" i="9"/>
  <c r="B609" i="9"/>
  <c r="E608" i="9"/>
  <c r="B608" i="9"/>
  <c r="B607" i="9"/>
  <c r="D597" i="9"/>
  <c r="B597" i="9"/>
  <c r="L650" i="9"/>
  <c r="Q642" i="9"/>
  <c r="Q641" i="9"/>
  <c r="Q640" i="9"/>
  <c r="Q639" i="9"/>
  <c r="Q638" i="9"/>
  <c r="Q637" i="9"/>
  <c r="Q635" i="9"/>
  <c r="Q634" i="9"/>
  <c r="Q633" i="9"/>
  <c r="Q632" i="9"/>
  <c r="Q631" i="9"/>
  <c r="Q630" i="9"/>
  <c r="Q629" i="9"/>
  <c r="Q628" i="9"/>
  <c r="Q627" i="9"/>
  <c r="Q626" i="9"/>
  <c r="Q625" i="9"/>
  <c r="Q624" i="9"/>
  <c r="Q623" i="9"/>
  <c r="Q622" i="9"/>
  <c r="Q621" i="9"/>
  <c r="Q620" i="9"/>
  <c r="Q619" i="9"/>
  <c r="Q618" i="9"/>
  <c r="Q617" i="9"/>
  <c r="Q616" i="9"/>
  <c r="Q615" i="9"/>
  <c r="Q613" i="9"/>
  <c r="Q612" i="9"/>
  <c r="Q611" i="9"/>
  <c r="Q610" i="9"/>
  <c r="Q609" i="9"/>
  <c r="Q608" i="9"/>
  <c r="Q606" i="9"/>
  <c r="Q605" i="9"/>
  <c r="Q604" i="9"/>
  <c r="Q603" i="9"/>
  <c r="Q602" i="9"/>
  <c r="Q601" i="9"/>
  <c r="Q600" i="9"/>
  <c r="L265" i="37" l="1"/>
  <c r="K267" i="37"/>
  <c r="K269" i="37" s="1"/>
  <c r="K280" i="37"/>
  <c r="J282" i="37"/>
  <c r="J284" i="37" s="1"/>
  <c r="M237" i="37"/>
  <c r="M239" i="37" s="1"/>
  <c r="M16" i="37" s="1"/>
  <c r="N235" i="37"/>
  <c r="N237" i="37" s="1"/>
  <c r="N239" i="37" s="1"/>
  <c r="N16" i="37" s="1"/>
  <c r="L252" i="37"/>
  <c r="L254" i="37" s="1"/>
  <c r="L17" i="37" s="1"/>
  <c r="M250" i="37"/>
  <c r="J295" i="37"/>
  <c r="I297" i="37"/>
  <c r="I299" i="37" s="1"/>
  <c r="M237" i="36"/>
  <c r="M239" i="36" s="1"/>
  <c r="M16" i="36" s="1"/>
  <c r="N235" i="36"/>
  <c r="N237" i="36" s="1"/>
  <c r="N239" i="36" s="1"/>
  <c r="N16" i="36" s="1"/>
  <c r="L252" i="36"/>
  <c r="L254" i="36" s="1"/>
  <c r="L17" i="36" s="1"/>
  <c r="M250" i="36"/>
  <c r="K280" i="36"/>
  <c r="J282" i="36"/>
  <c r="J284" i="36" s="1"/>
  <c r="J295" i="36"/>
  <c r="I297" i="36"/>
  <c r="I299" i="36" s="1"/>
  <c r="L265" i="36"/>
  <c r="K267" i="36"/>
  <c r="K269" i="36" s="1"/>
  <c r="X36" i="27"/>
  <c r="V37" i="27"/>
  <c r="X29" i="27"/>
  <c r="V30" i="27"/>
  <c r="Q791" i="9"/>
  <c r="Q717" i="9"/>
  <c r="Q568" i="9"/>
  <c r="Q567" i="9"/>
  <c r="Q566" i="9"/>
  <c r="Q565" i="9"/>
  <c r="Q564" i="9"/>
  <c r="Q561" i="9"/>
  <c r="Q560" i="9"/>
  <c r="Q559" i="9"/>
  <c r="Q558" i="9"/>
  <c r="Q557" i="9"/>
  <c r="Q556" i="9"/>
  <c r="Q555" i="9"/>
  <c r="Q554" i="9"/>
  <c r="Q553" i="9"/>
  <c r="Q552" i="9"/>
  <c r="Q551" i="9"/>
  <c r="Q550" i="9"/>
  <c r="Q549" i="9"/>
  <c r="Q548" i="9"/>
  <c r="Q547" i="9"/>
  <c r="Q546" i="9"/>
  <c r="Q545" i="9"/>
  <c r="Q544" i="9"/>
  <c r="Q543" i="9"/>
  <c r="Q542" i="9"/>
  <c r="Q541" i="9"/>
  <c r="E568" i="9"/>
  <c r="E567" i="9"/>
  <c r="E566" i="9"/>
  <c r="E565" i="9"/>
  <c r="E564" i="9"/>
  <c r="E563" i="9"/>
  <c r="B568" i="9"/>
  <c r="B567" i="9"/>
  <c r="B566" i="9"/>
  <c r="B565" i="9"/>
  <c r="B564" i="9"/>
  <c r="B563" i="9"/>
  <c r="B562" i="9"/>
  <c r="D540" i="9"/>
  <c r="B540" i="9"/>
  <c r="B533" i="9"/>
  <c r="D523" i="9"/>
  <c r="B523" i="9"/>
  <c r="E539" i="9"/>
  <c r="E538" i="9"/>
  <c r="E537" i="9"/>
  <c r="E536" i="9"/>
  <c r="E535" i="9"/>
  <c r="E534" i="9"/>
  <c r="B539" i="9"/>
  <c r="B538" i="9"/>
  <c r="B537" i="9"/>
  <c r="B536" i="9"/>
  <c r="B535" i="9"/>
  <c r="B534" i="9"/>
  <c r="Q531" i="9"/>
  <c r="Q527" i="9"/>
  <c r="D388" i="9"/>
  <c r="D406" i="9"/>
  <c r="D405" i="9"/>
  <c r="D404" i="9"/>
  <c r="D398" i="9"/>
  <c r="D397" i="9"/>
  <c r="D396" i="9"/>
  <c r="D390" i="9"/>
  <c r="D389" i="9"/>
  <c r="D382" i="9"/>
  <c r="D381" i="9"/>
  <c r="D380" i="9"/>
  <c r="I347" i="9"/>
  <c r="I1020" i="9" s="1"/>
  <c r="I348" i="9"/>
  <c r="I1021" i="9" s="1"/>
  <c r="I349" i="9"/>
  <c r="I1022" i="9" s="1"/>
  <c r="I350" i="9"/>
  <c r="I1023" i="9" s="1"/>
  <c r="I351" i="9"/>
  <c r="I1024" i="9" s="1"/>
  <c r="N250" i="37" l="1"/>
  <c r="N252" i="37" s="1"/>
  <c r="N254" i="37" s="1"/>
  <c r="N17" i="37" s="1"/>
  <c r="M252" i="37"/>
  <c r="M254" i="37" s="1"/>
  <c r="M17" i="37" s="1"/>
  <c r="L267" i="37"/>
  <c r="L269" i="37" s="1"/>
  <c r="M265" i="37"/>
  <c r="K282" i="37"/>
  <c r="K284" i="37" s="1"/>
  <c r="K19" i="37" s="1"/>
  <c r="K21" i="37" s="1"/>
  <c r="L280" i="37"/>
  <c r="J297" i="37"/>
  <c r="J299" i="37" s="1"/>
  <c r="K295" i="37"/>
  <c r="N250" i="36"/>
  <c r="N252" i="36" s="1"/>
  <c r="N254" i="36" s="1"/>
  <c r="N17" i="36" s="1"/>
  <c r="M252" i="36"/>
  <c r="M254" i="36" s="1"/>
  <c r="M17" i="36" s="1"/>
  <c r="J297" i="36"/>
  <c r="J299" i="36" s="1"/>
  <c r="K295" i="36"/>
  <c r="L267" i="36"/>
  <c r="L269" i="36" s="1"/>
  <c r="M265" i="36"/>
  <c r="K282" i="36"/>
  <c r="K284" i="36" s="1"/>
  <c r="K19" i="36" s="1"/>
  <c r="K21" i="36" s="1"/>
  <c r="L280" i="36"/>
  <c r="V31" i="27"/>
  <c r="X30" i="27"/>
  <c r="V38" i="27"/>
  <c r="X37" i="27"/>
  <c r="M371" i="9"/>
  <c r="M360" i="9"/>
  <c r="G351" i="9"/>
  <c r="G1024" i="9" s="1"/>
  <c r="G350" i="9"/>
  <c r="G1023" i="9" s="1"/>
  <c r="G349" i="9"/>
  <c r="G1022" i="9" s="1"/>
  <c r="G348" i="9"/>
  <c r="G1021" i="9" s="1"/>
  <c r="G347" i="9"/>
  <c r="G1020" i="9" s="1"/>
  <c r="I346" i="9"/>
  <c r="I1019" i="9" s="1"/>
  <c r="G346" i="9"/>
  <c r="G1019" i="9" s="1"/>
  <c r="M315" i="9"/>
  <c r="K306" i="9"/>
  <c r="I306" i="9"/>
  <c r="I995" i="9" s="1"/>
  <c r="G306" i="9"/>
  <c r="G995" i="9" s="1"/>
  <c r="K305" i="9"/>
  <c r="I305" i="9"/>
  <c r="I994" i="9" s="1"/>
  <c r="G305" i="9"/>
  <c r="G994" i="9" s="1"/>
  <c r="K304" i="9"/>
  <c r="I304" i="9"/>
  <c r="I993" i="9" s="1"/>
  <c r="G304" i="9"/>
  <c r="G993" i="9" s="1"/>
  <c r="K303" i="9"/>
  <c r="I303" i="9"/>
  <c r="I992" i="9" s="1"/>
  <c r="G303" i="9"/>
  <c r="G992" i="9" s="1"/>
  <c r="K302" i="9"/>
  <c r="I302" i="9"/>
  <c r="I991" i="9" s="1"/>
  <c r="G302" i="9"/>
  <c r="G991" i="9" s="1"/>
  <c r="K301" i="9"/>
  <c r="I301" i="9"/>
  <c r="I990" i="9" s="1"/>
  <c r="G301" i="9"/>
  <c r="G990" i="9" s="1"/>
  <c r="M281" i="9"/>
  <c r="M270" i="9"/>
  <c r="I261" i="9"/>
  <c r="I970" i="9" s="1"/>
  <c r="G261" i="9"/>
  <c r="G970" i="9" s="1"/>
  <c r="I260" i="9"/>
  <c r="I969" i="9" s="1"/>
  <c r="G260" i="9"/>
  <c r="G969" i="9" s="1"/>
  <c r="I259" i="9"/>
  <c r="I968" i="9" s="1"/>
  <c r="G259" i="9"/>
  <c r="G968" i="9" s="1"/>
  <c r="I258" i="9"/>
  <c r="I967" i="9" s="1"/>
  <c r="G258" i="9"/>
  <c r="G967" i="9" s="1"/>
  <c r="I257" i="9"/>
  <c r="I966" i="9" s="1"/>
  <c r="G257" i="9"/>
  <c r="G966" i="9" s="1"/>
  <c r="I256" i="9"/>
  <c r="I965" i="9" s="1"/>
  <c r="G256" i="9"/>
  <c r="G965" i="9" s="1"/>
  <c r="M225" i="9"/>
  <c r="K216" i="9"/>
  <c r="I216" i="9"/>
  <c r="I941" i="9" s="1"/>
  <c r="G216" i="9"/>
  <c r="G941" i="9" s="1"/>
  <c r="K215" i="9"/>
  <c r="I215" i="9"/>
  <c r="I940" i="9" s="1"/>
  <c r="G215" i="9"/>
  <c r="G940" i="9" s="1"/>
  <c r="K214" i="9"/>
  <c r="I214" i="9"/>
  <c r="I939" i="9" s="1"/>
  <c r="G214" i="9"/>
  <c r="G939" i="9" s="1"/>
  <c r="K213" i="9"/>
  <c r="I213" i="9"/>
  <c r="I938" i="9" s="1"/>
  <c r="G213" i="9"/>
  <c r="G938" i="9" s="1"/>
  <c r="K212" i="9"/>
  <c r="I212" i="9"/>
  <c r="I937" i="9" s="1"/>
  <c r="G212" i="9"/>
  <c r="G937" i="9" s="1"/>
  <c r="K211" i="9"/>
  <c r="I211" i="9"/>
  <c r="I936" i="9" s="1"/>
  <c r="G211" i="9"/>
  <c r="G936" i="9" s="1"/>
  <c r="M191" i="9"/>
  <c r="M180" i="9"/>
  <c r="I171" i="9"/>
  <c r="I916" i="9" s="1"/>
  <c r="G171" i="9"/>
  <c r="G916" i="9" s="1"/>
  <c r="I170" i="9"/>
  <c r="I915" i="9" s="1"/>
  <c r="G170" i="9"/>
  <c r="G915" i="9" s="1"/>
  <c r="I169" i="9"/>
  <c r="I914" i="9" s="1"/>
  <c r="G169" i="9"/>
  <c r="G914" i="9" s="1"/>
  <c r="I168" i="9"/>
  <c r="I913" i="9" s="1"/>
  <c r="G168" i="9"/>
  <c r="G913" i="9" s="1"/>
  <c r="I167" i="9"/>
  <c r="I912" i="9" s="1"/>
  <c r="G167" i="9"/>
  <c r="G912" i="9" s="1"/>
  <c r="I166" i="9"/>
  <c r="I911" i="9" s="1"/>
  <c r="G166" i="9"/>
  <c r="G911" i="9" s="1"/>
  <c r="M135" i="9"/>
  <c r="K126" i="9"/>
  <c r="I126" i="9"/>
  <c r="I887" i="9" s="1"/>
  <c r="G126" i="9"/>
  <c r="G887" i="9" s="1"/>
  <c r="K125" i="9"/>
  <c r="I125" i="9"/>
  <c r="I886" i="9" s="1"/>
  <c r="G125" i="9"/>
  <c r="G886" i="9" s="1"/>
  <c r="K124" i="9"/>
  <c r="I124" i="9"/>
  <c r="G124" i="9"/>
  <c r="G885" i="9" s="1"/>
  <c r="K123" i="9"/>
  <c r="I123" i="9"/>
  <c r="I884" i="9" s="1"/>
  <c r="G123" i="9"/>
  <c r="G884" i="9" s="1"/>
  <c r="K122" i="9"/>
  <c r="I122" i="9"/>
  <c r="I883" i="9" s="1"/>
  <c r="G122" i="9"/>
  <c r="G883" i="9" s="1"/>
  <c r="K121" i="9"/>
  <c r="I121" i="9"/>
  <c r="I882" i="9" s="1"/>
  <c r="G121" i="9"/>
  <c r="G882" i="9" s="1"/>
  <c r="M101" i="9"/>
  <c r="G77" i="9"/>
  <c r="G858" i="9" s="1"/>
  <c r="G78" i="9"/>
  <c r="G859" i="9" s="1"/>
  <c r="G79" i="9"/>
  <c r="G860" i="9" s="1"/>
  <c r="G80" i="9"/>
  <c r="G861" i="9" s="1"/>
  <c r="G81" i="9"/>
  <c r="G862" i="9" s="1"/>
  <c r="G76" i="9"/>
  <c r="G857" i="9" s="1"/>
  <c r="M90" i="9"/>
  <c r="I81" i="9"/>
  <c r="I862" i="9" s="1"/>
  <c r="I80" i="9"/>
  <c r="I861" i="9" s="1"/>
  <c r="I79" i="9"/>
  <c r="I860" i="9" s="1"/>
  <c r="I78" i="9"/>
  <c r="I859" i="9" s="1"/>
  <c r="I77" i="9"/>
  <c r="I858" i="9" s="1"/>
  <c r="I76" i="9"/>
  <c r="I857" i="9" s="1"/>
  <c r="K32" i="9"/>
  <c r="K33" i="9"/>
  <c r="K34" i="9"/>
  <c r="K35" i="9"/>
  <c r="K36" i="9"/>
  <c r="I32" i="9"/>
  <c r="I829" i="9" s="1"/>
  <c r="I33" i="9"/>
  <c r="I830" i="9" s="1"/>
  <c r="I34" i="9"/>
  <c r="I831" i="9" s="1"/>
  <c r="I35" i="9"/>
  <c r="I832" i="9" s="1"/>
  <c r="I36" i="9"/>
  <c r="I833" i="9" s="1"/>
  <c r="K31" i="9"/>
  <c r="I31" i="9"/>
  <c r="I828" i="9" s="1"/>
  <c r="G31" i="9"/>
  <c r="G828" i="9" s="1"/>
  <c r="M45" i="9"/>
  <c r="G36" i="9"/>
  <c r="G833" i="9" s="1"/>
  <c r="G35" i="9"/>
  <c r="G34" i="9"/>
  <c r="K23" i="37" l="1"/>
  <c r="K89" i="37" s="1"/>
  <c r="K90" i="37" s="1"/>
  <c r="K22" i="37"/>
  <c r="L295" i="37"/>
  <c r="K297" i="37"/>
  <c r="K299" i="37" s="1"/>
  <c r="N265" i="37"/>
  <c r="N267" i="37" s="1"/>
  <c r="N269" i="37" s="1"/>
  <c r="N18" i="37" s="1"/>
  <c r="M267" i="37"/>
  <c r="M269" i="37" s="1"/>
  <c r="M18" i="37" s="1"/>
  <c r="M280" i="37"/>
  <c r="L282" i="37"/>
  <c r="L284" i="37" s="1"/>
  <c r="L19" i="37" s="1"/>
  <c r="L21" i="37" s="1"/>
  <c r="K297" i="36"/>
  <c r="K299" i="36" s="1"/>
  <c r="L295" i="36"/>
  <c r="N265" i="36"/>
  <c r="N267" i="36" s="1"/>
  <c r="N269" i="36" s="1"/>
  <c r="N18" i="36" s="1"/>
  <c r="M267" i="36"/>
  <c r="M269" i="36" s="1"/>
  <c r="M18" i="36" s="1"/>
  <c r="L282" i="36"/>
  <c r="L284" i="36" s="1"/>
  <c r="L19" i="36" s="1"/>
  <c r="L21" i="36" s="1"/>
  <c r="M280" i="36"/>
  <c r="K22" i="36"/>
  <c r="K23" i="36"/>
  <c r="K89" i="36" s="1"/>
  <c r="K90" i="36" s="1"/>
  <c r="V39" i="27"/>
  <c r="X38" i="27"/>
  <c r="X31" i="27"/>
  <c r="V32" i="27"/>
  <c r="I888" i="9"/>
  <c r="I885" i="9"/>
  <c r="G537" i="9"/>
  <c r="G831" i="9"/>
  <c r="G538" i="9"/>
  <c r="G832" i="9"/>
  <c r="N348" i="9"/>
  <c r="G787" i="9"/>
  <c r="N349" i="9"/>
  <c r="G788" i="9"/>
  <c r="N304" i="9"/>
  <c r="G759" i="9"/>
  <c r="N351" i="9"/>
  <c r="G790" i="9"/>
  <c r="N303" i="9"/>
  <c r="G758" i="9"/>
  <c r="N306" i="9"/>
  <c r="G761" i="9"/>
  <c r="N301" i="9"/>
  <c r="G756" i="9"/>
  <c r="N350" i="9"/>
  <c r="G789" i="9"/>
  <c r="N305" i="9"/>
  <c r="G760" i="9"/>
  <c r="N347" i="9"/>
  <c r="G786" i="9"/>
  <c r="N302" i="9"/>
  <c r="G757" i="9"/>
  <c r="N346" i="9"/>
  <c r="G785" i="9"/>
  <c r="N261" i="9"/>
  <c r="G716" i="9"/>
  <c r="N121" i="9"/>
  <c r="G608" i="9"/>
  <c r="N216" i="9"/>
  <c r="G687" i="9"/>
  <c r="N124" i="9"/>
  <c r="G611" i="9"/>
  <c r="N211" i="9"/>
  <c r="G682" i="9"/>
  <c r="N214" i="9"/>
  <c r="G685" i="9"/>
  <c r="N259" i="9"/>
  <c r="G714" i="9"/>
  <c r="N123" i="9"/>
  <c r="G610" i="9"/>
  <c r="N257" i="9"/>
  <c r="G712" i="9"/>
  <c r="N258" i="9"/>
  <c r="G713" i="9"/>
  <c r="N122" i="9"/>
  <c r="G609" i="9"/>
  <c r="N125" i="9"/>
  <c r="G612" i="9"/>
  <c r="N212" i="9"/>
  <c r="G683" i="9"/>
  <c r="N256" i="9"/>
  <c r="G711" i="9"/>
  <c r="N260" i="9"/>
  <c r="G715" i="9"/>
  <c r="N126" i="9"/>
  <c r="G613" i="9"/>
  <c r="N213" i="9"/>
  <c r="G684" i="9"/>
  <c r="N166" i="9"/>
  <c r="G637" i="9"/>
  <c r="N215" i="9"/>
  <c r="G686" i="9"/>
  <c r="N170" i="9"/>
  <c r="G641" i="9"/>
  <c r="N168" i="9"/>
  <c r="G639" i="9"/>
  <c r="N169" i="9"/>
  <c r="G640" i="9"/>
  <c r="N167" i="9"/>
  <c r="G638" i="9"/>
  <c r="N171" i="9"/>
  <c r="G642" i="9"/>
  <c r="N76" i="9"/>
  <c r="G563" i="9"/>
  <c r="N81" i="9"/>
  <c r="G568" i="9"/>
  <c r="N77" i="9"/>
  <c r="G564" i="9"/>
  <c r="N79" i="9"/>
  <c r="G566" i="9"/>
  <c r="N80" i="9"/>
  <c r="G567" i="9"/>
  <c r="N78" i="9"/>
  <c r="G565" i="9"/>
  <c r="N31" i="9"/>
  <c r="G534" i="9"/>
  <c r="N36" i="9"/>
  <c r="G539" i="9"/>
  <c r="N35" i="9"/>
  <c r="N34" i="9"/>
  <c r="T125" i="6"/>
  <c r="T126" i="6"/>
  <c r="T127" i="6"/>
  <c r="T128" i="6"/>
  <c r="T129" i="6"/>
  <c r="T130" i="6"/>
  <c r="T131" i="6"/>
  <c r="T132" i="6"/>
  <c r="T133" i="6"/>
  <c r="T124" i="6"/>
  <c r="T115" i="6"/>
  <c r="T116" i="6"/>
  <c r="T117" i="6"/>
  <c r="T118" i="6"/>
  <c r="T119" i="6"/>
  <c r="T120" i="6"/>
  <c r="T121" i="6"/>
  <c r="T122" i="6"/>
  <c r="T123" i="6"/>
  <c r="T114" i="6"/>
  <c r="T105" i="6"/>
  <c r="T106" i="6"/>
  <c r="T107" i="6"/>
  <c r="T108" i="6"/>
  <c r="T109" i="6"/>
  <c r="T110" i="6"/>
  <c r="T111" i="6"/>
  <c r="T112" i="6"/>
  <c r="T113" i="6"/>
  <c r="T104" i="6"/>
  <c r="U105" i="6" s="1"/>
  <c r="L23" i="37" l="1"/>
  <c r="L89" i="37" s="1"/>
  <c r="L90" i="37" s="1"/>
  <c r="L22" i="37"/>
  <c r="L92" i="37" s="1"/>
  <c r="L93" i="37" s="1"/>
  <c r="N280" i="37"/>
  <c r="N282" i="37" s="1"/>
  <c r="N284" i="37" s="1"/>
  <c r="N19" i="37" s="1"/>
  <c r="M282" i="37"/>
  <c r="M284" i="37" s="1"/>
  <c r="M19" i="37" s="1"/>
  <c r="M295" i="37"/>
  <c r="L297" i="37"/>
  <c r="L299" i="37" s="1"/>
  <c r="K92" i="37"/>
  <c r="K93" i="37" s="1"/>
  <c r="M282" i="36"/>
  <c r="M284" i="36" s="1"/>
  <c r="M19" i="36" s="1"/>
  <c r="N280" i="36"/>
  <c r="N282" i="36" s="1"/>
  <c r="N284" i="36" s="1"/>
  <c r="N19" i="36" s="1"/>
  <c r="M295" i="36"/>
  <c r="L297" i="36"/>
  <c r="L299" i="36" s="1"/>
  <c r="K92" i="36"/>
  <c r="K93" i="36" s="1"/>
  <c r="L23" i="36"/>
  <c r="L89" i="36" s="1"/>
  <c r="L90" i="36" s="1"/>
  <c r="L22" i="36"/>
  <c r="L92" i="36" s="1"/>
  <c r="L93" i="36" s="1"/>
  <c r="X39" i="27"/>
  <c r="V40" i="27"/>
  <c r="V33" i="27"/>
  <c r="X33" i="27" s="1"/>
  <c r="X32" i="27"/>
  <c r="XEZ88" i="6"/>
  <c r="XEZ87" i="6"/>
  <c r="XEZ86" i="6"/>
  <c r="XEZ85" i="6"/>
  <c r="XEZ84" i="6"/>
  <c r="XEZ83" i="6"/>
  <c r="Q88" i="6"/>
  <c r="Q87" i="6"/>
  <c r="Q86" i="6"/>
  <c r="Q85" i="6"/>
  <c r="Q84" i="6"/>
  <c r="Q83" i="6"/>
  <c r="Q82" i="6"/>
  <c r="Q81" i="6"/>
  <c r="Q80" i="6"/>
  <c r="Q79" i="6"/>
  <c r="Q78" i="6"/>
  <c r="Q77" i="6"/>
  <c r="Q76" i="6"/>
  <c r="Q75" i="6"/>
  <c r="Q74" i="6"/>
  <c r="Q73" i="6"/>
  <c r="Q72" i="6"/>
  <c r="Q71" i="6"/>
  <c r="Q70" i="6"/>
  <c r="Q69" i="6"/>
  <c r="Q68" i="6"/>
  <c r="Q67" i="6"/>
  <c r="Q66" i="6"/>
  <c r="Q65" i="6"/>
  <c r="Q64" i="6"/>
  <c r="Q63" i="6"/>
  <c r="Q62" i="6"/>
  <c r="Q61" i="6"/>
  <c r="Q60" i="6"/>
  <c r="Q59" i="6"/>
  <c r="Q58" i="6"/>
  <c r="Q57" i="6"/>
  <c r="Q56" i="6"/>
  <c r="N295" i="37" l="1"/>
  <c r="N297" i="37" s="1"/>
  <c r="N299" i="37" s="1"/>
  <c r="N20" i="37" s="1"/>
  <c r="N21" i="37" s="1"/>
  <c r="M297" i="37"/>
  <c r="M299" i="37" s="1"/>
  <c r="M20" i="37" s="1"/>
  <c r="M21" i="37" s="1"/>
  <c r="N295" i="36"/>
  <c r="N297" i="36" s="1"/>
  <c r="N299" i="36" s="1"/>
  <c r="N20" i="36" s="1"/>
  <c r="N21" i="36" s="1"/>
  <c r="M297" i="36"/>
  <c r="M299" i="36" s="1"/>
  <c r="M20" i="36" s="1"/>
  <c r="M21" i="36" s="1"/>
  <c r="X40" i="27"/>
  <c r="V41" i="27"/>
  <c r="XEZ82" i="6"/>
  <c r="XEZ81" i="6"/>
  <c r="XEZ80" i="6"/>
  <c r="XEZ79" i="6"/>
  <c r="XEZ78" i="6"/>
  <c r="XEZ77" i="6"/>
  <c r="XEZ76" i="6"/>
  <c r="XEZ75" i="6"/>
  <c r="XEZ74" i="6"/>
  <c r="XEZ73" i="6"/>
  <c r="XEZ72" i="6"/>
  <c r="XEZ71" i="6"/>
  <c r="XEZ70" i="6"/>
  <c r="XEZ69" i="6"/>
  <c r="XEZ68" i="6"/>
  <c r="XEZ67" i="6"/>
  <c r="XEZ66" i="6"/>
  <c r="XEZ65" i="6"/>
  <c r="XEZ64" i="6"/>
  <c r="XEZ63" i="6"/>
  <c r="XEZ62" i="6"/>
  <c r="XEZ61" i="6"/>
  <c r="XEZ60" i="6"/>
  <c r="XEZ59" i="6"/>
  <c r="XEZ58" i="6"/>
  <c r="XEZ57" i="6"/>
  <c r="XEZ56" i="6"/>
  <c r="M23" i="37" l="1"/>
  <c r="M89" i="37" s="1"/>
  <c r="M90" i="37" s="1"/>
  <c r="M22" i="37"/>
  <c r="M92" i="37" s="1"/>
  <c r="M93" i="37" s="1"/>
  <c r="N22" i="37"/>
  <c r="N23" i="37"/>
  <c r="N89" i="37" s="1"/>
  <c r="N90" i="37" s="1"/>
  <c r="M22" i="36"/>
  <c r="M92" i="36" s="1"/>
  <c r="M93" i="36" s="1"/>
  <c r="M23" i="36"/>
  <c r="M89" i="36" s="1"/>
  <c r="M90" i="36" s="1"/>
  <c r="N22" i="36"/>
  <c r="N23" i="36"/>
  <c r="N89" i="36" s="1"/>
  <c r="N90" i="36" s="1"/>
  <c r="X41" i="27"/>
  <c r="V42" i="27"/>
  <c r="N92" i="37" l="1"/>
  <c r="N93" i="37" s="1"/>
  <c r="O22" i="37"/>
  <c r="F37" i="29" s="1"/>
  <c r="N92" i="36"/>
  <c r="N93" i="36" s="1"/>
  <c r="O22" i="36"/>
  <c r="D24" i="29" s="1"/>
  <c r="X42" i="27"/>
  <c r="V43" i="27"/>
  <c r="XFD74" i="27"/>
  <c r="XFD73" i="27"/>
  <c r="XFD72" i="27"/>
  <c r="XFD71" i="27"/>
  <c r="XFD70" i="27"/>
  <c r="XFD65" i="27"/>
  <c r="XFD66" i="27"/>
  <c r="XFD67" i="27"/>
  <c r="XFD68" i="27"/>
  <c r="XFD64" i="27"/>
  <c r="XFD43" i="20"/>
  <c r="XFD42" i="20"/>
  <c r="XFD41" i="20"/>
  <c r="XFD40" i="20"/>
  <c r="XFD39" i="20"/>
  <c r="XFD38" i="20"/>
  <c r="XFD37" i="20"/>
  <c r="XFD36" i="20"/>
  <c r="XFD35" i="20"/>
  <c r="XFD33" i="20"/>
  <c r="XFD32" i="20"/>
  <c r="XFD31" i="20"/>
  <c r="XFD30" i="20"/>
  <c r="XFD29" i="20"/>
  <c r="XFD28" i="20"/>
  <c r="XFD27" i="20"/>
  <c r="XFD26" i="20"/>
  <c r="XFD25" i="20"/>
  <c r="XFD24" i="20"/>
  <c r="XFD23" i="20"/>
  <c r="XFD22" i="20"/>
  <c r="XFD21" i="20"/>
  <c r="XFD20" i="20"/>
  <c r="XFD18" i="20"/>
  <c r="XFD17" i="20"/>
  <c r="XFD16" i="20"/>
  <c r="XFD15" i="20"/>
  <c r="XFD14" i="20"/>
  <c r="XFD13" i="20"/>
  <c r="XFD12" i="20"/>
  <c r="XFD11" i="20"/>
  <c r="XFD10" i="20"/>
  <c r="XFD8" i="20"/>
  <c r="X43" i="27" l="1"/>
  <c r="V44" i="27"/>
  <c r="L48" i="29"/>
  <c r="G37" i="29"/>
  <c r="O54" i="6"/>
  <c r="V45" i="27" l="1"/>
  <c r="X45" i="27" s="1"/>
  <c r="X44" i="27"/>
  <c r="F59" i="29"/>
  <c r="G59" i="29" s="1"/>
  <c r="H37" i="29"/>
  <c r="F65" i="29" l="1"/>
  <c r="E17" i="22" s="1"/>
  <c r="H59" i="29"/>
  <c r="I59" i="29" s="1"/>
  <c r="J59" i="29" s="1"/>
  <c r="K59" i="29" s="1"/>
  <c r="L59" i="29" s="1"/>
  <c r="M59" i="29" s="1"/>
  <c r="N59" i="29" s="1"/>
  <c r="O59" i="29" s="1"/>
  <c r="G65" i="29"/>
  <c r="I37" i="29"/>
  <c r="H65" i="29" l="1"/>
  <c r="J37" i="29"/>
  <c r="I65" i="29"/>
  <c r="E241" i="10"/>
  <c r="C240" i="10"/>
  <c r="E234" i="10"/>
  <c r="C233" i="10"/>
  <c r="E227" i="10"/>
  <c r="C226" i="10"/>
  <c r="E220" i="10"/>
  <c r="C219" i="10"/>
  <c r="E213" i="10"/>
  <c r="C212" i="10"/>
  <c r="E206" i="10"/>
  <c r="C205" i="10"/>
  <c r="E199" i="10"/>
  <c r="C198" i="10"/>
  <c r="E192" i="10"/>
  <c r="C191" i="10"/>
  <c r="E185" i="10"/>
  <c r="C184" i="10"/>
  <c r="E178" i="10"/>
  <c r="C177" i="10"/>
  <c r="E171" i="10"/>
  <c r="C170" i="10"/>
  <c r="E164" i="10"/>
  <c r="C163" i="10"/>
  <c r="E157" i="10"/>
  <c r="C156" i="10"/>
  <c r="E150" i="10"/>
  <c r="C149" i="10"/>
  <c r="E143" i="10"/>
  <c r="C142" i="10"/>
  <c r="E136" i="10"/>
  <c r="C135" i="10"/>
  <c r="E129" i="10"/>
  <c r="C128" i="10"/>
  <c r="E122" i="10"/>
  <c r="C121" i="10"/>
  <c r="E115" i="10"/>
  <c r="C114" i="10"/>
  <c r="E108" i="10"/>
  <c r="C107" i="10"/>
  <c r="E101" i="10"/>
  <c r="C100" i="10"/>
  <c r="E94" i="10"/>
  <c r="C93" i="10"/>
  <c r="E87" i="10"/>
  <c r="C86" i="10"/>
  <c r="E80" i="10"/>
  <c r="C79" i="10"/>
  <c r="Q976" i="9"/>
  <c r="P976" i="9"/>
  <c r="O976" i="9"/>
  <c r="N976" i="9"/>
  <c r="M976" i="9"/>
  <c r="K976" i="9"/>
  <c r="Q922" i="9"/>
  <c r="P922" i="9"/>
  <c r="O922" i="9"/>
  <c r="N922" i="9"/>
  <c r="M922" i="9"/>
  <c r="K922" i="9"/>
  <c r="Q868" i="9"/>
  <c r="P868" i="9"/>
  <c r="O868" i="9"/>
  <c r="N868" i="9"/>
  <c r="M868" i="9"/>
  <c r="K868" i="9"/>
  <c r="K793" i="9"/>
  <c r="P742" i="9"/>
  <c r="J793" i="9"/>
  <c r="O742" i="9"/>
  <c r="I793" i="9"/>
  <c r="N742" i="9"/>
  <c r="H793" i="9"/>
  <c r="M742" i="9"/>
  <c r="G793" i="9"/>
  <c r="L742" i="9"/>
  <c r="E793" i="9"/>
  <c r="J742" i="9"/>
  <c r="K37" i="29" l="1"/>
  <c r="J65" i="29"/>
  <c r="L798" i="9"/>
  <c r="L797" i="9"/>
  <c r="L796" i="9"/>
  <c r="L795" i="9"/>
  <c r="K719" i="9"/>
  <c r="J719" i="9"/>
  <c r="I719" i="9"/>
  <c r="H719" i="9"/>
  <c r="G719" i="9"/>
  <c r="F719" i="9"/>
  <c r="E719" i="9"/>
  <c r="K645" i="9"/>
  <c r="J645" i="9"/>
  <c r="I645" i="9"/>
  <c r="H645" i="9"/>
  <c r="G645" i="9"/>
  <c r="G942" i="9" s="1"/>
  <c r="F645" i="9"/>
  <c r="E645" i="9"/>
  <c r="E942" i="9" s="1"/>
  <c r="L724" i="9"/>
  <c r="L723" i="9"/>
  <c r="L722" i="9"/>
  <c r="L721" i="9"/>
  <c r="L649" i="9"/>
  <c r="L648" i="9"/>
  <c r="L647" i="9"/>
  <c r="O506" i="9"/>
  <c r="N506" i="9"/>
  <c r="M506" i="9"/>
  <c r="L506" i="9"/>
  <c r="K506" i="9"/>
  <c r="J506" i="9"/>
  <c r="I506" i="9"/>
  <c r="H506" i="9"/>
  <c r="G506" i="9"/>
  <c r="F506" i="9"/>
  <c r="O501" i="9"/>
  <c r="N501" i="9"/>
  <c r="M501" i="9"/>
  <c r="L501" i="9"/>
  <c r="K501" i="9"/>
  <c r="J501" i="9"/>
  <c r="I501" i="9"/>
  <c r="H501" i="9"/>
  <c r="G501" i="9"/>
  <c r="F501" i="9"/>
  <c r="O499" i="9"/>
  <c r="N499" i="9"/>
  <c r="M499" i="9"/>
  <c r="L499" i="9"/>
  <c r="K499" i="9"/>
  <c r="J499" i="9"/>
  <c r="I499" i="9"/>
  <c r="H499" i="9"/>
  <c r="G499" i="9"/>
  <c r="F499" i="9"/>
  <c r="O494" i="9"/>
  <c r="N494" i="9"/>
  <c r="M494" i="9"/>
  <c r="L494" i="9"/>
  <c r="K494" i="9"/>
  <c r="J494" i="9"/>
  <c r="I494" i="9"/>
  <c r="H494" i="9"/>
  <c r="G494" i="9"/>
  <c r="F494" i="9"/>
  <c r="O480" i="9"/>
  <c r="N480" i="9"/>
  <c r="M480" i="9"/>
  <c r="L480" i="9"/>
  <c r="K480" i="9"/>
  <c r="J480" i="9"/>
  <c r="I480" i="9"/>
  <c r="H480" i="9"/>
  <c r="G480" i="9"/>
  <c r="F480" i="9"/>
  <c r="O475" i="9"/>
  <c r="N475" i="9"/>
  <c r="M475" i="9"/>
  <c r="L475" i="9"/>
  <c r="K475" i="9"/>
  <c r="J475" i="9"/>
  <c r="I475" i="9"/>
  <c r="H475" i="9"/>
  <c r="G475" i="9"/>
  <c r="F475" i="9"/>
  <c r="O473" i="9"/>
  <c r="N473" i="9"/>
  <c r="M473" i="9"/>
  <c r="L473" i="9"/>
  <c r="K473" i="9"/>
  <c r="J473" i="9"/>
  <c r="I473" i="9"/>
  <c r="H473" i="9"/>
  <c r="G473" i="9"/>
  <c r="F473" i="9"/>
  <c r="O468" i="9"/>
  <c r="N468" i="9"/>
  <c r="M468" i="9"/>
  <c r="L468" i="9"/>
  <c r="K468" i="9"/>
  <c r="J468" i="9"/>
  <c r="I468" i="9"/>
  <c r="H468" i="9"/>
  <c r="G468" i="9"/>
  <c r="F468" i="9"/>
  <c r="O454" i="9"/>
  <c r="N454" i="9"/>
  <c r="M454" i="9"/>
  <c r="L454" i="9"/>
  <c r="K454" i="9"/>
  <c r="J454" i="9"/>
  <c r="I454" i="9"/>
  <c r="H454" i="9"/>
  <c r="G454" i="9"/>
  <c r="F454" i="9"/>
  <c r="O449" i="9"/>
  <c r="N449" i="9"/>
  <c r="M449" i="9"/>
  <c r="L449" i="9"/>
  <c r="K449" i="9"/>
  <c r="J449" i="9"/>
  <c r="I449" i="9"/>
  <c r="H449" i="9"/>
  <c r="G449" i="9"/>
  <c r="F449" i="9"/>
  <c r="O447" i="9"/>
  <c r="N447" i="9"/>
  <c r="M447" i="9"/>
  <c r="L447" i="9"/>
  <c r="K447" i="9"/>
  <c r="J447" i="9"/>
  <c r="I447" i="9"/>
  <c r="H447" i="9"/>
  <c r="G447" i="9"/>
  <c r="F447" i="9"/>
  <c r="O442" i="9"/>
  <c r="N442" i="9"/>
  <c r="M442" i="9"/>
  <c r="L442" i="9"/>
  <c r="K442" i="9"/>
  <c r="J442" i="9"/>
  <c r="I442" i="9"/>
  <c r="H442" i="9"/>
  <c r="G442" i="9"/>
  <c r="F442" i="9"/>
  <c r="L799" i="9" l="1"/>
  <c r="L725" i="9"/>
  <c r="L651" i="9"/>
  <c r="L37" i="29"/>
  <c r="K65" i="29"/>
  <c r="F482" i="9"/>
  <c r="N482" i="9"/>
  <c r="L483" i="9"/>
  <c r="F508" i="9"/>
  <c r="I456" i="9"/>
  <c r="G457" i="9"/>
  <c r="O457" i="9"/>
  <c r="I482" i="9"/>
  <c r="G483" i="9"/>
  <c r="O483" i="9"/>
  <c r="I508" i="9"/>
  <c r="G509" i="9"/>
  <c r="O509" i="9"/>
  <c r="J482" i="9"/>
  <c r="H509" i="9"/>
  <c r="K482" i="9"/>
  <c r="I483" i="9"/>
  <c r="K508" i="9"/>
  <c r="I509" i="9"/>
  <c r="H483" i="9"/>
  <c r="J508" i="9"/>
  <c r="L482" i="9"/>
  <c r="J483" i="9"/>
  <c r="L508" i="9"/>
  <c r="J509" i="9"/>
  <c r="N508" i="9"/>
  <c r="L509" i="9"/>
  <c r="G482" i="9"/>
  <c r="O482" i="9"/>
  <c r="M483" i="9"/>
  <c r="G508" i="9"/>
  <c r="O508" i="9"/>
  <c r="M509" i="9"/>
  <c r="H482" i="9"/>
  <c r="F483" i="9"/>
  <c r="N483" i="9"/>
  <c r="H508" i="9"/>
  <c r="F509" i="9"/>
  <c r="N509" i="9"/>
  <c r="M482" i="9"/>
  <c r="K483" i="9"/>
  <c r="M508" i="9"/>
  <c r="K509" i="9"/>
  <c r="F456" i="9"/>
  <c r="N456" i="9"/>
  <c r="L457" i="9"/>
  <c r="G456" i="9"/>
  <c r="O456" i="9"/>
  <c r="M457" i="9"/>
  <c r="H456" i="9"/>
  <c r="F457" i="9"/>
  <c r="N457" i="9"/>
  <c r="J456" i="9"/>
  <c r="H457" i="9"/>
  <c r="K456" i="9"/>
  <c r="I457" i="9"/>
  <c r="L456" i="9"/>
  <c r="J457" i="9"/>
  <c r="M456" i="9"/>
  <c r="K457" i="9"/>
  <c r="AW125" i="6"/>
  <c r="AW126" i="6"/>
  <c r="AW127" i="6"/>
  <c r="AW128" i="6"/>
  <c r="AW129" i="6"/>
  <c r="AW130" i="6"/>
  <c r="AW131" i="6"/>
  <c r="AW132" i="6"/>
  <c r="AW133" i="6"/>
  <c r="AW124" i="6"/>
  <c r="AW115" i="6"/>
  <c r="AW116" i="6"/>
  <c r="AW117" i="6"/>
  <c r="AW118" i="6"/>
  <c r="AW119" i="6"/>
  <c r="AW120" i="6"/>
  <c r="AW121" i="6"/>
  <c r="AW122" i="6"/>
  <c r="AW123" i="6"/>
  <c r="AW114" i="6"/>
  <c r="AW105" i="6"/>
  <c r="AW106" i="6"/>
  <c r="AW107" i="6"/>
  <c r="AW108" i="6"/>
  <c r="AW109" i="6"/>
  <c r="AW110" i="6"/>
  <c r="AW111" i="6"/>
  <c r="AW112" i="6"/>
  <c r="AW113" i="6"/>
  <c r="AW104" i="6"/>
  <c r="AU125" i="6"/>
  <c r="AU126" i="6"/>
  <c r="AU127" i="6"/>
  <c r="AU128" i="6"/>
  <c r="AU129" i="6"/>
  <c r="AU130" i="6"/>
  <c r="AU131" i="6"/>
  <c r="AU132" i="6"/>
  <c r="AU133" i="6"/>
  <c r="AU124" i="6"/>
  <c r="AU123" i="6"/>
  <c r="AU115" i="6"/>
  <c r="AU116" i="6"/>
  <c r="AU117" i="6"/>
  <c r="AU118" i="6"/>
  <c r="AU119" i="6"/>
  <c r="AU120" i="6"/>
  <c r="AU121" i="6"/>
  <c r="AU122" i="6"/>
  <c r="AU114" i="6"/>
  <c r="AU105" i="6"/>
  <c r="AU106" i="6"/>
  <c r="AU107" i="6"/>
  <c r="AU108" i="6"/>
  <c r="AU109" i="6"/>
  <c r="AU110" i="6"/>
  <c r="AU111" i="6"/>
  <c r="AU112" i="6"/>
  <c r="AU113" i="6"/>
  <c r="AU104" i="6"/>
  <c r="AN125" i="6"/>
  <c r="AN126" i="6"/>
  <c r="AN127" i="6"/>
  <c r="AN128" i="6"/>
  <c r="AN129" i="6"/>
  <c r="AN130" i="6"/>
  <c r="AN131" i="6"/>
  <c r="AN132" i="6"/>
  <c r="AN133" i="6"/>
  <c r="AN124" i="6"/>
  <c r="AN123" i="6"/>
  <c r="AN115" i="6"/>
  <c r="AN116" i="6"/>
  <c r="AN117" i="6"/>
  <c r="AN118" i="6"/>
  <c r="AN119" i="6"/>
  <c r="AN120" i="6"/>
  <c r="AN121" i="6"/>
  <c r="AN122" i="6"/>
  <c r="AN114" i="6"/>
  <c r="AN105" i="6"/>
  <c r="AN106" i="6"/>
  <c r="AN107" i="6"/>
  <c r="AN108" i="6"/>
  <c r="AN109" i="6"/>
  <c r="AN110" i="6"/>
  <c r="AN111" i="6"/>
  <c r="AN112" i="6"/>
  <c r="AN113" i="6"/>
  <c r="AN104" i="6"/>
  <c r="AL125" i="6"/>
  <c r="AL126" i="6"/>
  <c r="AL127" i="6"/>
  <c r="AL128" i="6"/>
  <c r="AL129" i="6"/>
  <c r="AL130" i="6"/>
  <c r="AL131" i="6"/>
  <c r="AL132" i="6"/>
  <c r="AL133" i="6"/>
  <c r="AL124" i="6"/>
  <c r="AL121" i="6"/>
  <c r="AL122" i="6"/>
  <c r="AL123" i="6"/>
  <c r="AL115" i="6"/>
  <c r="AL116" i="6"/>
  <c r="AL117" i="6"/>
  <c r="AL118" i="6"/>
  <c r="AL119" i="6"/>
  <c r="AL120" i="6"/>
  <c r="AL114" i="6"/>
  <c r="AL113" i="6"/>
  <c r="AL112" i="6"/>
  <c r="AL111" i="6"/>
  <c r="AL110" i="6"/>
  <c r="AL109" i="6"/>
  <c r="AL108" i="6"/>
  <c r="AL107" i="6"/>
  <c r="AL106" i="6"/>
  <c r="AL105" i="6"/>
  <c r="AL104" i="6"/>
  <c r="AC125" i="6"/>
  <c r="AC126" i="6"/>
  <c r="AC127" i="6"/>
  <c r="AC128" i="6"/>
  <c r="AC129" i="6"/>
  <c r="AC130" i="6"/>
  <c r="AC131" i="6"/>
  <c r="AC132" i="6"/>
  <c r="AC133" i="6"/>
  <c r="AC124" i="6"/>
  <c r="AC115" i="6"/>
  <c r="AC116" i="6"/>
  <c r="AC117" i="6"/>
  <c r="AC118" i="6"/>
  <c r="AC119" i="6"/>
  <c r="AC120" i="6"/>
  <c r="AC121" i="6"/>
  <c r="AC122" i="6"/>
  <c r="AC123" i="6"/>
  <c r="AC114" i="6"/>
  <c r="AC105" i="6"/>
  <c r="AC106" i="6"/>
  <c r="AC107" i="6"/>
  <c r="AC108" i="6"/>
  <c r="AC109" i="6"/>
  <c r="AC110" i="6"/>
  <c r="AC111" i="6"/>
  <c r="AC112" i="6"/>
  <c r="AC113" i="6"/>
  <c r="AC104" i="6"/>
  <c r="AE125" i="6"/>
  <c r="AE126" i="6"/>
  <c r="AE127" i="6"/>
  <c r="AE128" i="6"/>
  <c r="AE129" i="6"/>
  <c r="AE130" i="6"/>
  <c r="AE131" i="6"/>
  <c r="AE132" i="6"/>
  <c r="AE133" i="6"/>
  <c r="AE124" i="6"/>
  <c r="AE115" i="6"/>
  <c r="AE116" i="6"/>
  <c r="AE117" i="6"/>
  <c r="AE118" i="6"/>
  <c r="AE119" i="6"/>
  <c r="AE120" i="6"/>
  <c r="AE121" i="6"/>
  <c r="AE122" i="6"/>
  <c r="AE123" i="6"/>
  <c r="AE114" i="6"/>
  <c r="AE105" i="6"/>
  <c r="AE106" i="6"/>
  <c r="AE107" i="6"/>
  <c r="AE108" i="6"/>
  <c r="AE109" i="6"/>
  <c r="AE110" i="6"/>
  <c r="AE111" i="6"/>
  <c r="AE112" i="6"/>
  <c r="AE113" i="6"/>
  <c r="AE104" i="6"/>
  <c r="V125" i="6"/>
  <c r="V126" i="6"/>
  <c r="V127" i="6"/>
  <c r="V128" i="6"/>
  <c r="V129" i="6"/>
  <c r="V130" i="6"/>
  <c r="V131" i="6"/>
  <c r="V132" i="6"/>
  <c r="V133" i="6"/>
  <c r="V124" i="6"/>
  <c r="V115" i="6"/>
  <c r="V116" i="6"/>
  <c r="V117" i="6"/>
  <c r="V118" i="6"/>
  <c r="V119" i="6"/>
  <c r="V120" i="6"/>
  <c r="V121" i="6"/>
  <c r="V122" i="6"/>
  <c r="V123" i="6"/>
  <c r="V114" i="6"/>
  <c r="V105" i="6"/>
  <c r="V106" i="6"/>
  <c r="V107" i="6"/>
  <c r="V108" i="6"/>
  <c r="V109" i="6"/>
  <c r="V110" i="6"/>
  <c r="V111" i="6"/>
  <c r="V112" i="6"/>
  <c r="V113" i="6"/>
  <c r="V104" i="6"/>
  <c r="M37" i="29" l="1"/>
  <c r="L65" i="29"/>
  <c r="AD110" i="6"/>
  <c r="AD116" i="6"/>
  <c r="AD106" i="6"/>
  <c r="AD105" i="6"/>
  <c r="AD107" i="6"/>
  <c r="AV111" i="6"/>
  <c r="AM121" i="6"/>
  <c r="AD131" i="6"/>
  <c r="AM107" i="6"/>
  <c r="AD117" i="6"/>
  <c r="AM108" i="6"/>
  <c r="L800" i="9"/>
  <c r="F808" i="9" s="1"/>
  <c r="L726" i="9"/>
  <c r="F734" i="9" s="1"/>
  <c r="AV118" i="6"/>
  <c r="AV125" i="6"/>
  <c r="AV117" i="6"/>
  <c r="AV109" i="6"/>
  <c r="AV132" i="6"/>
  <c r="AV124" i="6"/>
  <c r="AV108" i="6"/>
  <c r="AV131" i="6"/>
  <c r="AV115" i="6"/>
  <c r="AV130" i="6"/>
  <c r="AV122" i="6"/>
  <c r="AV114" i="6"/>
  <c r="AV106" i="6"/>
  <c r="AV104" i="6"/>
  <c r="AV133" i="6"/>
  <c r="AV116" i="6"/>
  <c r="AV123" i="6"/>
  <c r="AV107" i="6"/>
  <c r="AV129" i="6"/>
  <c r="AV121" i="6"/>
  <c r="AV113" i="6"/>
  <c r="AV105" i="6"/>
  <c r="AV126" i="6"/>
  <c r="AV110" i="6"/>
  <c r="AV128" i="6"/>
  <c r="AV120" i="6"/>
  <c r="AV112" i="6"/>
  <c r="AV127" i="6"/>
  <c r="AV119" i="6"/>
  <c r="AM116" i="6"/>
  <c r="AM114" i="6"/>
  <c r="AM113" i="6"/>
  <c r="AM112" i="6"/>
  <c r="AM126" i="6"/>
  <c r="AM118" i="6"/>
  <c r="AM110" i="6"/>
  <c r="AM106" i="6"/>
  <c r="AM105" i="6"/>
  <c r="AM104" i="6"/>
  <c r="AM111" i="6"/>
  <c r="AM125" i="6"/>
  <c r="AM117" i="6"/>
  <c r="AM109" i="6"/>
  <c r="AM123" i="6"/>
  <c r="AM115" i="6"/>
  <c r="AM131" i="6"/>
  <c r="AM133" i="6"/>
  <c r="AM124" i="6"/>
  <c r="AM128" i="6"/>
  <c r="AM120" i="6"/>
  <c r="AM127" i="6"/>
  <c r="AM119" i="6"/>
  <c r="AM130" i="6"/>
  <c r="AM122" i="6"/>
  <c r="AM132" i="6"/>
  <c r="AM129" i="6"/>
  <c r="AD130" i="6"/>
  <c r="AD129" i="6"/>
  <c r="AD115" i="6"/>
  <c r="AD125" i="6"/>
  <c r="AD114" i="6"/>
  <c r="AD124" i="6"/>
  <c r="AD113" i="6"/>
  <c r="AD123" i="6"/>
  <c r="AD109" i="6"/>
  <c r="AD133" i="6"/>
  <c r="AD122" i="6"/>
  <c r="AD108" i="6"/>
  <c r="AD132" i="6"/>
  <c r="AD121" i="6"/>
  <c r="AD128" i="6"/>
  <c r="AD120" i="6"/>
  <c r="AD112" i="6"/>
  <c r="AD127" i="6"/>
  <c r="AD119" i="6"/>
  <c r="AD111" i="6"/>
  <c r="AD104" i="6"/>
  <c r="AD126" i="6"/>
  <c r="AD118" i="6"/>
  <c r="N37" i="29" l="1"/>
  <c r="M65" i="29"/>
  <c r="AY105" i="6"/>
  <c r="AY113" i="6"/>
  <c r="AY121" i="6"/>
  <c r="AY129" i="6"/>
  <c r="AY106" i="6"/>
  <c r="AY114" i="6"/>
  <c r="AY122" i="6"/>
  <c r="AY130" i="6"/>
  <c r="AY112" i="6"/>
  <c r="AY107" i="6"/>
  <c r="AY115" i="6"/>
  <c r="AY123" i="6"/>
  <c r="AY131" i="6"/>
  <c r="AY117" i="6"/>
  <c r="AY125" i="6"/>
  <c r="AY110" i="6"/>
  <c r="AY126" i="6"/>
  <c r="AY119" i="6"/>
  <c r="AY127" i="6"/>
  <c r="AY120" i="6"/>
  <c r="AY108" i="6"/>
  <c r="AY116" i="6"/>
  <c r="AY124" i="6"/>
  <c r="AY132" i="6"/>
  <c r="AY109" i="6"/>
  <c r="AY133" i="6"/>
  <c r="AY118" i="6"/>
  <c r="AY104" i="6"/>
  <c r="AY111" i="6"/>
  <c r="AY128" i="6"/>
  <c r="AP107" i="6"/>
  <c r="AP115" i="6"/>
  <c r="AP123" i="6"/>
  <c r="AP131" i="6"/>
  <c r="AP124" i="6"/>
  <c r="AP109" i="6"/>
  <c r="AP117" i="6"/>
  <c r="AP125" i="6"/>
  <c r="AP133" i="6"/>
  <c r="AP111" i="6"/>
  <c r="AP119" i="6"/>
  <c r="AP127" i="6"/>
  <c r="AP112" i="6"/>
  <c r="AP128" i="6"/>
  <c r="AP105" i="6"/>
  <c r="AP121" i="6"/>
  <c r="AP106" i="6"/>
  <c r="AP122" i="6"/>
  <c r="AP110" i="6"/>
  <c r="AP118" i="6"/>
  <c r="AP126" i="6"/>
  <c r="AP104" i="6"/>
  <c r="AP120" i="6"/>
  <c r="AP113" i="6"/>
  <c r="AP129" i="6"/>
  <c r="AP114" i="6"/>
  <c r="AP130" i="6"/>
  <c r="AP108" i="6"/>
  <c r="AP116" i="6"/>
  <c r="AP132" i="6"/>
  <c r="AG106" i="6"/>
  <c r="AG107" i="6"/>
  <c r="AG122" i="6"/>
  <c r="AG130" i="6"/>
  <c r="AG121" i="6"/>
  <c r="AG108" i="6"/>
  <c r="AG123" i="6"/>
  <c r="AG131" i="6"/>
  <c r="AG129" i="6"/>
  <c r="AG109" i="6"/>
  <c r="AG124" i="6"/>
  <c r="AG132" i="6"/>
  <c r="AG110" i="6"/>
  <c r="AG125" i="6"/>
  <c r="AG133" i="6"/>
  <c r="AG114" i="6"/>
  <c r="AG126" i="6"/>
  <c r="AG104" i="6"/>
  <c r="AG118" i="6"/>
  <c r="AG127" i="6"/>
  <c r="AG120" i="6"/>
  <c r="AG128" i="6"/>
  <c r="AG115" i="6"/>
  <c r="AG117" i="6"/>
  <c r="AG112" i="6"/>
  <c r="AG116" i="6"/>
  <c r="AG119" i="6"/>
  <c r="AG105" i="6"/>
  <c r="AG111" i="6"/>
  <c r="AG113" i="6"/>
  <c r="U104" i="6"/>
  <c r="X104" i="6" s="1"/>
  <c r="S134" i="6"/>
  <c r="S124" i="6"/>
  <c r="S114" i="6"/>
  <c r="S104" i="6"/>
  <c r="B138" i="8" l="1"/>
  <c r="D138" i="8"/>
  <c r="D126" i="8"/>
  <c r="B126" i="8"/>
  <c r="B131" i="8"/>
  <c r="D131" i="8"/>
  <c r="B129" i="8"/>
  <c r="D129" i="8"/>
  <c r="B172" i="8"/>
  <c r="D172" i="8"/>
  <c r="B180" i="8"/>
  <c r="D180" i="8"/>
  <c r="B186" i="8"/>
  <c r="D186" i="8"/>
  <c r="B190" i="8"/>
  <c r="D190" i="8"/>
  <c r="B229" i="8"/>
  <c r="D229" i="8"/>
  <c r="B213" i="8"/>
  <c r="D213" i="8"/>
  <c r="B203" i="8"/>
  <c r="D203" i="8"/>
  <c r="B209" i="8"/>
  <c r="D209" i="8"/>
  <c r="B133" i="8"/>
  <c r="D133" i="8"/>
  <c r="B142" i="8"/>
  <c r="D142" i="8"/>
  <c r="B132" i="8"/>
  <c r="D132" i="8"/>
  <c r="B143" i="8"/>
  <c r="D143" i="8"/>
  <c r="B189" i="8"/>
  <c r="D189" i="8"/>
  <c r="B169" i="8"/>
  <c r="D169" i="8"/>
  <c r="B164" i="8"/>
  <c r="D164" i="8"/>
  <c r="B178" i="8"/>
  <c r="D178" i="8"/>
  <c r="B176" i="8"/>
  <c r="D176" i="8"/>
  <c r="B182" i="8"/>
  <c r="D182" i="8"/>
  <c r="B207" i="8"/>
  <c r="D207" i="8"/>
  <c r="B205" i="8"/>
  <c r="D205" i="8"/>
  <c r="B204" i="8"/>
  <c r="D204" i="8"/>
  <c r="B222" i="8"/>
  <c r="D222" i="8"/>
  <c r="B227" i="8"/>
  <c r="D227" i="8"/>
  <c r="B208" i="8"/>
  <c r="D208" i="8"/>
  <c r="B202" i="8"/>
  <c r="D202" i="8"/>
  <c r="B201" i="8"/>
  <c r="D201" i="8"/>
  <c r="B127" i="8"/>
  <c r="D127" i="8"/>
  <c r="B139" i="8"/>
  <c r="D139" i="8"/>
  <c r="B149" i="8"/>
  <c r="D149" i="8"/>
  <c r="B136" i="8"/>
  <c r="D136" i="8"/>
  <c r="B154" i="8"/>
  <c r="D154" i="8"/>
  <c r="B153" i="8"/>
  <c r="D153" i="8"/>
  <c r="B152" i="8"/>
  <c r="D152" i="8"/>
  <c r="B191" i="8"/>
  <c r="D191" i="8"/>
  <c r="B173" i="8"/>
  <c r="D173" i="8"/>
  <c r="D163" i="8"/>
  <c r="B163" i="8"/>
  <c r="B181" i="8"/>
  <c r="D181" i="8"/>
  <c r="B187" i="8"/>
  <c r="D187" i="8"/>
  <c r="B170" i="8"/>
  <c r="D170" i="8"/>
  <c r="B168" i="8"/>
  <c r="D168" i="8"/>
  <c r="B174" i="8"/>
  <c r="D174" i="8"/>
  <c r="D200" i="8"/>
  <c r="B200" i="8"/>
  <c r="B228" i="8"/>
  <c r="D228" i="8"/>
  <c r="B216" i="8"/>
  <c r="D216" i="8"/>
  <c r="B206" i="8"/>
  <c r="D206" i="8"/>
  <c r="B219" i="8"/>
  <c r="D219" i="8"/>
  <c r="B226" i="8"/>
  <c r="D226" i="8"/>
  <c r="B225" i="8"/>
  <c r="D225" i="8"/>
  <c r="B135" i="8"/>
  <c r="D135" i="8"/>
  <c r="B150" i="8"/>
  <c r="D150" i="8"/>
  <c r="B147" i="8"/>
  <c r="D147" i="8"/>
  <c r="B130" i="8"/>
  <c r="D130" i="8"/>
  <c r="B167" i="8"/>
  <c r="D167" i="8"/>
  <c r="B177" i="8"/>
  <c r="D177" i="8"/>
  <c r="B184" i="8"/>
  <c r="D184" i="8"/>
  <c r="B224" i="8"/>
  <c r="D224" i="8"/>
  <c r="B212" i="8"/>
  <c r="D212" i="8"/>
  <c r="B215" i="8"/>
  <c r="D215" i="8"/>
  <c r="B210" i="8"/>
  <c r="D210" i="8"/>
  <c r="B134" i="8"/>
  <c r="D134" i="8"/>
  <c r="B148" i="8"/>
  <c r="D148" i="8"/>
  <c r="B151" i="8"/>
  <c r="D151" i="8"/>
  <c r="B128" i="8"/>
  <c r="D128" i="8"/>
  <c r="B179" i="8"/>
  <c r="D179" i="8"/>
  <c r="B141" i="8"/>
  <c r="D141" i="8"/>
  <c r="B137" i="8"/>
  <c r="D137" i="8"/>
  <c r="B140" i="8"/>
  <c r="D140" i="8"/>
  <c r="B155" i="8"/>
  <c r="D155" i="8"/>
  <c r="B146" i="8"/>
  <c r="D146" i="8"/>
  <c r="B145" i="8"/>
  <c r="D145" i="8"/>
  <c r="B144" i="8"/>
  <c r="D144" i="8"/>
  <c r="B175" i="8"/>
  <c r="D175" i="8"/>
  <c r="B188" i="8"/>
  <c r="D188" i="8"/>
  <c r="B185" i="8"/>
  <c r="D185" i="8"/>
  <c r="B165" i="8"/>
  <c r="D165" i="8"/>
  <c r="B171" i="8"/>
  <c r="D171" i="8"/>
  <c r="B192" i="8"/>
  <c r="D192" i="8"/>
  <c r="B183" i="8"/>
  <c r="D183" i="8"/>
  <c r="B166" i="8"/>
  <c r="D166" i="8"/>
  <c r="B214" i="8"/>
  <c r="D214" i="8"/>
  <c r="B220" i="8"/>
  <c r="D220" i="8"/>
  <c r="B223" i="8"/>
  <c r="D223" i="8"/>
  <c r="B221" i="8"/>
  <c r="D221" i="8"/>
  <c r="B211" i="8"/>
  <c r="D211" i="8"/>
  <c r="B218" i="8"/>
  <c r="D218" i="8"/>
  <c r="B217" i="8"/>
  <c r="D217" i="8"/>
  <c r="D89" i="8"/>
  <c r="B89" i="8"/>
  <c r="B24" i="22" s="1"/>
  <c r="O37" i="29"/>
  <c r="O65" i="29" s="1"/>
  <c r="N65" i="29"/>
  <c r="AI106" i="6"/>
  <c r="BA108" i="6"/>
  <c r="AZ108" i="6"/>
  <c r="BA132" i="6"/>
  <c r="AZ132" i="6"/>
  <c r="BA110" i="6"/>
  <c r="AZ110" i="6"/>
  <c r="BA130" i="6"/>
  <c r="AZ130" i="6"/>
  <c r="BA124" i="6"/>
  <c r="AZ124" i="6"/>
  <c r="AZ125" i="6"/>
  <c r="BA125" i="6"/>
  <c r="BA122" i="6"/>
  <c r="AZ122" i="6"/>
  <c r="BA128" i="6"/>
  <c r="AZ128" i="6"/>
  <c r="BA116" i="6"/>
  <c r="AZ116" i="6"/>
  <c r="BA117" i="6"/>
  <c r="AZ117" i="6"/>
  <c r="BA114" i="6"/>
  <c r="AZ114" i="6"/>
  <c r="BA111" i="6"/>
  <c r="AZ111" i="6"/>
  <c r="BA131" i="6"/>
  <c r="AZ131" i="6"/>
  <c r="BA120" i="6"/>
  <c r="AZ120" i="6"/>
  <c r="AZ129" i="6"/>
  <c r="BA129" i="6"/>
  <c r="BA127" i="6"/>
  <c r="AZ127" i="6"/>
  <c r="AZ133" i="6"/>
  <c r="BA133" i="6"/>
  <c r="BA107" i="6"/>
  <c r="AZ107" i="6"/>
  <c r="AZ113" i="6"/>
  <c r="BA113" i="6"/>
  <c r="BA106" i="6"/>
  <c r="AZ106" i="6"/>
  <c r="AZ104" i="6"/>
  <c r="BA104" i="6"/>
  <c r="AZ123" i="6"/>
  <c r="BA123" i="6"/>
  <c r="BA118" i="6"/>
  <c r="AZ118" i="6"/>
  <c r="AZ115" i="6"/>
  <c r="BA115" i="6"/>
  <c r="BA121" i="6"/>
  <c r="AZ121" i="6"/>
  <c r="BA119" i="6"/>
  <c r="AZ119" i="6"/>
  <c r="AZ109" i="6"/>
  <c r="BA109" i="6"/>
  <c r="BA126" i="6"/>
  <c r="AZ126" i="6"/>
  <c r="BA112" i="6"/>
  <c r="AZ112" i="6"/>
  <c r="AZ105" i="6"/>
  <c r="BA105" i="6"/>
  <c r="AR113" i="6"/>
  <c r="AQ113" i="6"/>
  <c r="AR105" i="6"/>
  <c r="AQ105" i="6"/>
  <c r="AR132" i="6"/>
  <c r="AQ132" i="6"/>
  <c r="AR109" i="6"/>
  <c r="AQ109" i="6"/>
  <c r="AR126" i="6"/>
  <c r="AQ126" i="6"/>
  <c r="AR112" i="6"/>
  <c r="AQ112" i="6"/>
  <c r="AR124" i="6"/>
  <c r="AQ124" i="6"/>
  <c r="AQ108" i="6"/>
  <c r="AR108" i="6"/>
  <c r="AR118" i="6"/>
  <c r="AQ118" i="6"/>
  <c r="AR127" i="6"/>
  <c r="AQ127" i="6"/>
  <c r="AQ131" i="6"/>
  <c r="AR131" i="6"/>
  <c r="AR121" i="6"/>
  <c r="AQ121" i="6"/>
  <c r="AR117" i="6"/>
  <c r="AQ117" i="6"/>
  <c r="AR128" i="6"/>
  <c r="AQ128" i="6"/>
  <c r="AR130" i="6"/>
  <c r="AQ130" i="6"/>
  <c r="AR123" i="6"/>
  <c r="AQ123" i="6"/>
  <c r="AR114" i="6"/>
  <c r="AQ114" i="6"/>
  <c r="AR122" i="6"/>
  <c r="AQ122" i="6"/>
  <c r="AR111" i="6"/>
  <c r="AQ111" i="6"/>
  <c r="AQ115" i="6"/>
  <c r="AR115" i="6"/>
  <c r="AR125" i="6"/>
  <c r="AQ125" i="6"/>
  <c r="AQ120" i="6"/>
  <c r="AR120" i="6"/>
  <c r="AR104" i="6"/>
  <c r="AQ104" i="6"/>
  <c r="AQ116" i="6"/>
  <c r="AR116" i="6"/>
  <c r="AR110" i="6"/>
  <c r="AQ110" i="6"/>
  <c r="AR119" i="6"/>
  <c r="AQ119" i="6"/>
  <c r="AQ129" i="6"/>
  <c r="AR129" i="6"/>
  <c r="AR106" i="6"/>
  <c r="AQ106" i="6"/>
  <c r="AR133" i="6"/>
  <c r="AQ133" i="6"/>
  <c r="AR107" i="6"/>
  <c r="AQ107" i="6"/>
  <c r="AH106" i="6"/>
  <c r="AI105" i="6"/>
  <c r="AH105" i="6"/>
  <c r="AI127" i="6"/>
  <c r="AH127" i="6"/>
  <c r="AI119" i="6"/>
  <c r="AH119" i="6"/>
  <c r="AI118" i="6"/>
  <c r="AH118" i="6"/>
  <c r="AH116" i="6"/>
  <c r="AI116" i="6"/>
  <c r="AH107" i="6"/>
  <c r="AI107" i="6"/>
  <c r="AI115" i="6"/>
  <c r="AH115" i="6"/>
  <c r="AI133" i="6"/>
  <c r="AH133" i="6"/>
  <c r="AI123" i="6"/>
  <c r="AH123" i="6"/>
  <c r="AI113" i="6"/>
  <c r="AH113" i="6"/>
  <c r="AI128" i="6"/>
  <c r="AH128" i="6"/>
  <c r="AI125" i="6"/>
  <c r="AH125" i="6"/>
  <c r="AH108" i="6"/>
  <c r="AI108" i="6"/>
  <c r="AH111" i="6"/>
  <c r="AI111" i="6"/>
  <c r="AI120" i="6"/>
  <c r="AH120" i="6"/>
  <c r="AH110" i="6"/>
  <c r="AI110" i="6"/>
  <c r="AH121" i="6"/>
  <c r="AI121" i="6"/>
  <c r="AH132" i="6"/>
  <c r="AI132" i="6"/>
  <c r="AI122" i="6"/>
  <c r="AH122" i="6"/>
  <c r="AH126" i="6"/>
  <c r="AI126" i="6"/>
  <c r="AI130" i="6"/>
  <c r="AH130" i="6"/>
  <c r="AH124" i="6"/>
  <c r="AI124" i="6"/>
  <c r="AI104" i="6"/>
  <c r="AH104" i="6"/>
  <c r="AI109" i="6"/>
  <c r="AH109" i="6"/>
  <c r="AI112" i="6"/>
  <c r="AH112" i="6"/>
  <c r="AI129" i="6"/>
  <c r="AH129" i="6"/>
  <c r="AI117" i="6"/>
  <c r="AH117" i="6"/>
  <c r="AI114" i="6"/>
  <c r="AH114" i="6"/>
  <c r="AI131" i="6"/>
  <c r="AH131" i="6"/>
  <c r="U119" i="6"/>
  <c r="Z104" i="6"/>
  <c r="Y104" i="6"/>
  <c r="U109" i="6"/>
  <c r="U107" i="6"/>
  <c r="U116" i="6"/>
  <c r="U113" i="6"/>
  <c r="U106" i="6"/>
  <c r="U127" i="6"/>
  <c r="U118" i="6"/>
  <c r="U117" i="6"/>
  <c r="U115" i="6"/>
  <c r="U120" i="6"/>
  <c r="U125" i="6"/>
  <c r="U110" i="6"/>
  <c r="U124" i="6"/>
  <c r="U123" i="6"/>
  <c r="U108" i="6"/>
  <c r="U130" i="6"/>
  <c r="U122" i="6"/>
  <c r="U114" i="6"/>
  <c r="U112" i="6"/>
  <c r="U126" i="6"/>
  <c r="U111" i="6"/>
  <c r="U133" i="6"/>
  <c r="U132" i="6"/>
  <c r="U131" i="6"/>
  <c r="U129" i="6"/>
  <c r="U121" i="6"/>
  <c r="U128" i="6"/>
  <c r="Q538" i="9"/>
  <c r="Q535" i="9"/>
  <c r="Q529" i="9"/>
  <c r="Q563" i="9"/>
  <c r="Q539" i="9"/>
  <c r="Q537" i="9"/>
  <c r="Q536" i="9"/>
  <c r="Q534" i="9"/>
  <c r="Q532" i="9"/>
  <c r="R819" i="9"/>
  <c r="R820" i="9"/>
  <c r="R828" i="9"/>
  <c r="R834" i="9"/>
  <c r="R835" i="9"/>
  <c r="F211" i="8" l="1"/>
  <c r="S211" i="8"/>
  <c r="F214" i="8"/>
  <c r="J214" i="8" s="1"/>
  <c r="S214" i="8"/>
  <c r="F171" i="8"/>
  <c r="S171" i="8"/>
  <c r="F175" i="8"/>
  <c r="J175" i="8" s="1"/>
  <c r="S175" i="8"/>
  <c r="F155" i="8"/>
  <c r="S155" i="8"/>
  <c r="F179" i="8"/>
  <c r="S179" i="8"/>
  <c r="F134" i="8"/>
  <c r="S134" i="8"/>
  <c r="F224" i="8"/>
  <c r="J224" i="8" s="1"/>
  <c r="S224" i="8"/>
  <c r="F130" i="8"/>
  <c r="J130" i="8" s="1"/>
  <c r="S130" i="8"/>
  <c r="F225" i="8"/>
  <c r="J225" i="8" s="1"/>
  <c r="S225" i="8"/>
  <c r="F216" i="8"/>
  <c r="S216" i="8"/>
  <c r="F168" i="8"/>
  <c r="J168" i="8" s="1"/>
  <c r="S168" i="8"/>
  <c r="W163" i="8"/>
  <c r="R163" i="8"/>
  <c r="P163" i="8"/>
  <c r="F153" i="8"/>
  <c r="S153" i="8"/>
  <c r="F139" i="8"/>
  <c r="J139" i="8" s="1"/>
  <c r="S139" i="8"/>
  <c r="F208" i="8"/>
  <c r="S208" i="8"/>
  <c r="F205" i="8"/>
  <c r="J205" i="8" s="1"/>
  <c r="S205" i="8"/>
  <c r="F178" i="8"/>
  <c r="S178" i="8"/>
  <c r="F143" i="8"/>
  <c r="J143" i="8" s="1"/>
  <c r="S143" i="8"/>
  <c r="F209" i="8"/>
  <c r="S209" i="8"/>
  <c r="F190" i="8"/>
  <c r="J190" i="8" s="1"/>
  <c r="S190" i="8"/>
  <c r="F129" i="8"/>
  <c r="J129" i="8" s="1"/>
  <c r="S129" i="8"/>
  <c r="W211" i="8"/>
  <c r="R211" i="8"/>
  <c r="P211" i="8"/>
  <c r="W214" i="8"/>
  <c r="P214" i="8"/>
  <c r="R214" i="8"/>
  <c r="W171" i="8"/>
  <c r="R171" i="8"/>
  <c r="P171" i="8"/>
  <c r="W175" i="8"/>
  <c r="R175" i="8"/>
  <c r="P175" i="8"/>
  <c r="W155" i="8"/>
  <c r="R155" i="8"/>
  <c r="P155" i="8"/>
  <c r="W179" i="8"/>
  <c r="R179" i="8"/>
  <c r="P179" i="8"/>
  <c r="W134" i="8"/>
  <c r="R134" i="8"/>
  <c r="P134" i="8"/>
  <c r="W224" i="8"/>
  <c r="R224" i="8"/>
  <c r="P224" i="8"/>
  <c r="W130" i="8"/>
  <c r="R130" i="8"/>
  <c r="P130" i="8"/>
  <c r="W225" i="8"/>
  <c r="R225" i="8"/>
  <c r="P225" i="8"/>
  <c r="W216" i="8"/>
  <c r="R216" i="8"/>
  <c r="P216" i="8"/>
  <c r="W168" i="8"/>
  <c r="R168" i="8"/>
  <c r="P168" i="8"/>
  <c r="F163" i="8"/>
  <c r="S163" i="8"/>
  <c r="W153" i="8"/>
  <c r="P153" i="8"/>
  <c r="R153" i="8"/>
  <c r="W139" i="8"/>
  <c r="R139" i="8"/>
  <c r="P139" i="8"/>
  <c r="W208" i="8"/>
  <c r="R208" i="8"/>
  <c r="P208" i="8"/>
  <c r="W205" i="8"/>
  <c r="R205" i="8"/>
  <c r="P205" i="8"/>
  <c r="W178" i="8"/>
  <c r="R178" i="8"/>
  <c r="P178" i="8"/>
  <c r="W143" i="8"/>
  <c r="R143" i="8"/>
  <c r="P143" i="8"/>
  <c r="W209" i="8"/>
  <c r="R209" i="8"/>
  <c r="P209" i="8"/>
  <c r="W190" i="8"/>
  <c r="R190" i="8"/>
  <c r="P190" i="8"/>
  <c r="W129" i="8"/>
  <c r="P129" i="8"/>
  <c r="R129" i="8"/>
  <c r="F165" i="8"/>
  <c r="J165" i="8" s="1"/>
  <c r="S165" i="8"/>
  <c r="F144" i="8"/>
  <c r="J144" i="8" s="1"/>
  <c r="S144" i="8"/>
  <c r="F210" i="8"/>
  <c r="J210" i="8" s="1"/>
  <c r="S210" i="8"/>
  <c r="F147" i="8"/>
  <c r="S147" i="8"/>
  <c r="F170" i="8"/>
  <c r="S170" i="8"/>
  <c r="F164" i="8"/>
  <c r="J164" i="8" s="1"/>
  <c r="S164" i="8"/>
  <c r="F203" i="8"/>
  <c r="J203" i="8" s="1"/>
  <c r="S203" i="8"/>
  <c r="W165" i="8"/>
  <c r="P165" i="8"/>
  <c r="R165" i="8"/>
  <c r="W144" i="8"/>
  <c r="R144" i="8"/>
  <c r="P144" i="8"/>
  <c r="W128" i="8"/>
  <c r="R128" i="8"/>
  <c r="P128" i="8"/>
  <c r="W147" i="8"/>
  <c r="P147" i="8"/>
  <c r="R147" i="8"/>
  <c r="W127" i="8"/>
  <c r="R127" i="8"/>
  <c r="P127" i="8"/>
  <c r="W207" i="8"/>
  <c r="R207" i="8"/>
  <c r="P207" i="8"/>
  <c r="F223" i="8"/>
  <c r="S223" i="8"/>
  <c r="F137" i="8"/>
  <c r="J137" i="8" s="1"/>
  <c r="S137" i="8"/>
  <c r="F177" i="8"/>
  <c r="J177" i="8" s="1"/>
  <c r="S177" i="8"/>
  <c r="F201" i="8"/>
  <c r="S201" i="8"/>
  <c r="F182" i="8"/>
  <c r="S182" i="8"/>
  <c r="F213" i="8"/>
  <c r="J213" i="8" s="1"/>
  <c r="S213" i="8"/>
  <c r="W217" i="8"/>
  <c r="R217" i="8"/>
  <c r="P217" i="8"/>
  <c r="W223" i="8"/>
  <c r="R223" i="8"/>
  <c r="P223" i="8"/>
  <c r="W183" i="8"/>
  <c r="R183" i="8"/>
  <c r="P183" i="8"/>
  <c r="W185" i="8"/>
  <c r="R185" i="8"/>
  <c r="P185" i="8"/>
  <c r="W145" i="8"/>
  <c r="R145" i="8"/>
  <c r="P145" i="8"/>
  <c r="W137" i="8"/>
  <c r="R137" i="8"/>
  <c r="P137" i="8"/>
  <c r="W151" i="8"/>
  <c r="R151" i="8"/>
  <c r="P151" i="8"/>
  <c r="W215" i="8"/>
  <c r="R215" i="8"/>
  <c r="P215" i="8"/>
  <c r="W177" i="8"/>
  <c r="R177" i="8"/>
  <c r="P177" i="8"/>
  <c r="W150" i="8"/>
  <c r="P150" i="8"/>
  <c r="R150" i="8"/>
  <c r="W219" i="8"/>
  <c r="R219" i="8"/>
  <c r="P219" i="8"/>
  <c r="F200" i="8"/>
  <c r="S200" i="8"/>
  <c r="W187" i="8"/>
  <c r="R187" i="8"/>
  <c r="P187" i="8"/>
  <c r="W191" i="8"/>
  <c r="R191" i="8"/>
  <c r="P191" i="8"/>
  <c r="W136" i="8"/>
  <c r="R136" i="8"/>
  <c r="P136" i="8"/>
  <c r="W201" i="8"/>
  <c r="R201" i="8"/>
  <c r="P201" i="8"/>
  <c r="W222" i="8"/>
  <c r="R222" i="8"/>
  <c r="P222" i="8"/>
  <c r="W182" i="8"/>
  <c r="R182" i="8"/>
  <c r="P182" i="8"/>
  <c r="W169" i="8"/>
  <c r="R169" i="8"/>
  <c r="P169" i="8"/>
  <c r="W142" i="8"/>
  <c r="R142" i="8"/>
  <c r="P142" i="8"/>
  <c r="W213" i="8"/>
  <c r="R213" i="8"/>
  <c r="P213" i="8"/>
  <c r="W180" i="8"/>
  <c r="R180" i="8"/>
  <c r="P180" i="8"/>
  <c r="F126" i="8"/>
  <c r="S126" i="8"/>
  <c r="F166" i="8"/>
  <c r="J166" i="8" s="1"/>
  <c r="S166" i="8"/>
  <c r="F184" i="8"/>
  <c r="J184" i="8" s="1"/>
  <c r="S184" i="8"/>
  <c r="F228" i="8"/>
  <c r="S228" i="8"/>
  <c r="F173" i="8"/>
  <c r="S173" i="8"/>
  <c r="F154" i="8"/>
  <c r="S154" i="8"/>
  <c r="F227" i="8"/>
  <c r="J227" i="8" s="1"/>
  <c r="S227" i="8"/>
  <c r="F132" i="8"/>
  <c r="S132" i="8"/>
  <c r="F131" i="8"/>
  <c r="S131" i="8"/>
  <c r="W166" i="8"/>
  <c r="R166" i="8"/>
  <c r="P166" i="8"/>
  <c r="W184" i="8"/>
  <c r="P184" i="8"/>
  <c r="R184" i="8"/>
  <c r="W228" i="8"/>
  <c r="R228" i="8"/>
  <c r="P228" i="8"/>
  <c r="W170" i="8"/>
  <c r="R170" i="8"/>
  <c r="P170" i="8"/>
  <c r="W154" i="8"/>
  <c r="R154" i="8"/>
  <c r="P154" i="8"/>
  <c r="W164" i="8"/>
  <c r="P164" i="8"/>
  <c r="R164" i="8"/>
  <c r="W132" i="8"/>
  <c r="R132" i="8"/>
  <c r="P132" i="8"/>
  <c r="W203" i="8"/>
  <c r="P203" i="8"/>
  <c r="R203" i="8"/>
  <c r="W186" i="8"/>
  <c r="P186" i="8"/>
  <c r="R186" i="8"/>
  <c r="W131" i="8"/>
  <c r="R131" i="8"/>
  <c r="P131" i="8"/>
  <c r="F217" i="8"/>
  <c r="J217" i="8" s="1"/>
  <c r="S217" i="8"/>
  <c r="F183" i="8"/>
  <c r="S183" i="8"/>
  <c r="F185" i="8"/>
  <c r="J185" i="8" s="1"/>
  <c r="S185" i="8"/>
  <c r="F215" i="8"/>
  <c r="S215" i="8"/>
  <c r="F150" i="8"/>
  <c r="J150" i="8" s="1"/>
  <c r="S150" i="8"/>
  <c r="F219" i="8"/>
  <c r="J219" i="8" s="1"/>
  <c r="S219" i="8"/>
  <c r="F187" i="8"/>
  <c r="S187" i="8"/>
  <c r="F136" i="8"/>
  <c r="S136" i="8"/>
  <c r="F222" i="8"/>
  <c r="J222" i="8" s="1"/>
  <c r="S222" i="8"/>
  <c r="F169" i="8"/>
  <c r="S169" i="8"/>
  <c r="F180" i="8"/>
  <c r="J180" i="8" s="1"/>
  <c r="S180" i="8"/>
  <c r="W126" i="8"/>
  <c r="P126" i="8"/>
  <c r="R126" i="8"/>
  <c r="F218" i="8"/>
  <c r="S218" i="8"/>
  <c r="F220" i="8"/>
  <c r="S220" i="8"/>
  <c r="F192" i="8"/>
  <c r="J192" i="8" s="1"/>
  <c r="S192" i="8"/>
  <c r="F188" i="8"/>
  <c r="J188" i="8" s="1"/>
  <c r="S188" i="8"/>
  <c r="F146" i="8"/>
  <c r="J146" i="8" s="1"/>
  <c r="S146" i="8"/>
  <c r="F141" i="8"/>
  <c r="S141" i="8"/>
  <c r="F148" i="8"/>
  <c r="S148" i="8"/>
  <c r="F212" i="8"/>
  <c r="J212" i="8" s="1"/>
  <c r="S212" i="8"/>
  <c r="F167" i="8"/>
  <c r="J167" i="8" s="1"/>
  <c r="S167" i="8"/>
  <c r="F135" i="8"/>
  <c r="J135" i="8" s="1"/>
  <c r="S135" i="8"/>
  <c r="F206" i="8"/>
  <c r="J206" i="8" s="1"/>
  <c r="S206" i="8"/>
  <c r="F174" i="8"/>
  <c r="S174" i="8"/>
  <c r="F181" i="8"/>
  <c r="J181" i="8" s="1"/>
  <c r="S181" i="8"/>
  <c r="F152" i="8"/>
  <c r="J152" i="8" s="1"/>
  <c r="S152" i="8"/>
  <c r="F149" i="8"/>
  <c r="J149" i="8" s="1"/>
  <c r="S149" i="8"/>
  <c r="F202" i="8"/>
  <c r="S202" i="8"/>
  <c r="F204" i="8"/>
  <c r="J204" i="8" s="1"/>
  <c r="S204" i="8"/>
  <c r="F176" i="8"/>
  <c r="S176" i="8"/>
  <c r="F189" i="8"/>
  <c r="J189" i="8" s="1"/>
  <c r="S189" i="8"/>
  <c r="F133" i="8"/>
  <c r="S133" i="8"/>
  <c r="F229" i="8"/>
  <c r="J229" i="8" s="1"/>
  <c r="S229" i="8"/>
  <c r="F172" i="8"/>
  <c r="S172" i="8"/>
  <c r="F138" i="8"/>
  <c r="J138" i="8" s="1"/>
  <c r="S138" i="8"/>
  <c r="F221" i="8"/>
  <c r="S221" i="8"/>
  <c r="F140" i="8"/>
  <c r="S140" i="8"/>
  <c r="F128" i="8"/>
  <c r="S128" i="8"/>
  <c r="F226" i="8"/>
  <c r="J226" i="8" s="1"/>
  <c r="S226" i="8"/>
  <c r="F127" i="8"/>
  <c r="J127" i="8" s="1"/>
  <c r="S127" i="8"/>
  <c r="F207" i="8"/>
  <c r="J207" i="8" s="1"/>
  <c r="S207" i="8"/>
  <c r="F186" i="8"/>
  <c r="S186" i="8"/>
  <c r="W221" i="8"/>
  <c r="R221" i="8"/>
  <c r="P221" i="8"/>
  <c r="W140" i="8"/>
  <c r="R140" i="8"/>
  <c r="P140" i="8"/>
  <c r="W210" i="8"/>
  <c r="R210" i="8"/>
  <c r="P210" i="8"/>
  <c r="W226" i="8"/>
  <c r="R226" i="8"/>
  <c r="P226" i="8"/>
  <c r="W173" i="8"/>
  <c r="P173" i="8"/>
  <c r="R173" i="8"/>
  <c r="W227" i="8"/>
  <c r="R227" i="8"/>
  <c r="P227" i="8"/>
  <c r="F145" i="8"/>
  <c r="J145" i="8" s="1"/>
  <c r="S145" i="8"/>
  <c r="F151" i="8"/>
  <c r="S151" i="8"/>
  <c r="W200" i="8"/>
  <c r="R200" i="8"/>
  <c r="P200" i="8"/>
  <c r="F191" i="8"/>
  <c r="J191" i="8" s="1"/>
  <c r="S191" i="8"/>
  <c r="F142" i="8"/>
  <c r="J142" i="8" s="1"/>
  <c r="S142" i="8"/>
  <c r="W218" i="8"/>
  <c r="R218" i="8"/>
  <c r="P218" i="8"/>
  <c r="W220" i="8"/>
  <c r="R220" i="8"/>
  <c r="P220" i="8"/>
  <c r="W192" i="8"/>
  <c r="P192" i="8"/>
  <c r="R192" i="8"/>
  <c r="W188" i="8"/>
  <c r="R188" i="8"/>
  <c r="P188" i="8"/>
  <c r="W146" i="8"/>
  <c r="R146" i="8"/>
  <c r="P146" i="8"/>
  <c r="W141" i="8"/>
  <c r="R141" i="8"/>
  <c r="P141" i="8"/>
  <c r="W148" i="8"/>
  <c r="P148" i="8"/>
  <c r="R148" i="8"/>
  <c r="W212" i="8"/>
  <c r="R212" i="8"/>
  <c r="P212" i="8"/>
  <c r="W167" i="8"/>
  <c r="R167" i="8"/>
  <c r="P167" i="8"/>
  <c r="W135" i="8"/>
  <c r="R135" i="8"/>
  <c r="P135" i="8"/>
  <c r="W206" i="8"/>
  <c r="R206" i="8"/>
  <c r="P206" i="8"/>
  <c r="W174" i="8"/>
  <c r="P174" i="8"/>
  <c r="R174" i="8"/>
  <c r="W181" i="8"/>
  <c r="R181" i="8"/>
  <c r="P181" i="8"/>
  <c r="W152" i="8"/>
  <c r="R152" i="8"/>
  <c r="P152" i="8"/>
  <c r="W149" i="8"/>
  <c r="R149" i="8"/>
  <c r="P149" i="8"/>
  <c r="W202" i="8"/>
  <c r="R202" i="8"/>
  <c r="P202" i="8"/>
  <c r="W204" i="8"/>
  <c r="R204" i="8"/>
  <c r="P204" i="8"/>
  <c r="W176" i="8"/>
  <c r="P176" i="8"/>
  <c r="R176" i="8"/>
  <c r="W189" i="8"/>
  <c r="P189" i="8"/>
  <c r="R189" i="8"/>
  <c r="W133" i="8"/>
  <c r="R133" i="8"/>
  <c r="P133" i="8"/>
  <c r="W229" i="8"/>
  <c r="R229" i="8"/>
  <c r="P229" i="8"/>
  <c r="W172" i="8"/>
  <c r="R172" i="8"/>
  <c r="P172" i="8"/>
  <c r="W138" i="8"/>
  <c r="R138" i="8"/>
  <c r="P138" i="8"/>
  <c r="W89" i="8"/>
  <c r="P89" i="8"/>
  <c r="F89" i="8"/>
  <c r="J89" i="8" s="1"/>
  <c r="S89" i="8"/>
  <c r="R89" i="8"/>
  <c r="AJ122" i="6"/>
  <c r="H130" i="8"/>
  <c r="AJ117" i="6"/>
  <c r="AJ115" i="6"/>
  <c r="AJ119" i="6"/>
  <c r="AJ104" i="6"/>
  <c r="AJ106" i="6"/>
  <c r="AJ124" i="6"/>
  <c r="AJ132" i="6"/>
  <c r="BB114" i="6"/>
  <c r="AJ120" i="6"/>
  <c r="AJ111" i="6"/>
  <c r="AJ128" i="6"/>
  <c r="AJ107" i="6"/>
  <c r="AJ129" i="6"/>
  <c r="AJ131" i="6"/>
  <c r="AJ114" i="6"/>
  <c r="AJ109" i="6"/>
  <c r="AJ125" i="6"/>
  <c r="AJ133" i="6"/>
  <c r="AJ118" i="6"/>
  <c r="AJ121" i="6"/>
  <c r="AS115" i="6"/>
  <c r="AJ112" i="6"/>
  <c r="AJ130" i="6"/>
  <c r="AJ123" i="6"/>
  <c r="AJ105" i="6"/>
  <c r="AJ113" i="6"/>
  <c r="AJ127" i="6"/>
  <c r="AS116" i="6"/>
  <c r="AJ108" i="6"/>
  <c r="AJ116" i="6"/>
  <c r="AJ126" i="6"/>
  <c r="AJ110" i="6"/>
  <c r="BB110" i="6"/>
  <c r="BB115" i="6"/>
  <c r="BB126" i="6"/>
  <c r="BB106" i="6"/>
  <c r="BB127" i="6"/>
  <c r="BB111" i="6"/>
  <c r="BB128" i="6"/>
  <c r="BB130" i="6"/>
  <c r="BB109" i="6"/>
  <c r="BB113" i="6"/>
  <c r="BB129" i="6"/>
  <c r="BB118" i="6"/>
  <c r="BB122" i="6"/>
  <c r="BB105" i="6"/>
  <c r="BB125" i="6"/>
  <c r="BB119" i="6"/>
  <c r="BB107" i="6"/>
  <c r="BB120" i="6"/>
  <c r="BB117" i="6"/>
  <c r="BB132" i="6"/>
  <c r="BB104" i="6"/>
  <c r="BB133" i="6"/>
  <c r="BB123" i="6"/>
  <c r="BB112" i="6"/>
  <c r="BB121" i="6"/>
  <c r="BB131" i="6"/>
  <c r="BB116" i="6"/>
  <c r="BB124" i="6"/>
  <c r="BB108" i="6"/>
  <c r="AS106" i="6"/>
  <c r="AS121" i="6"/>
  <c r="AS104" i="6"/>
  <c r="AS111" i="6"/>
  <c r="AS130" i="6"/>
  <c r="AS124" i="6"/>
  <c r="AS132" i="6"/>
  <c r="AS120" i="6"/>
  <c r="AS123" i="6"/>
  <c r="AS109" i="6"/>
  <c r="AS131" i="6"/>
  <c r="AS128" i="6"/>
  <c r="AS105" i="6"/>
  <c r="AS108" i="6"/>
  <c r="AS129" i="6"/>
  <c r="AS107" i="6"/>
  <c r="AS119" i="6"/>
  <c r="AS122" i="6"/>
  <c r="AS127" i="6"/>
  <c r="AS112" i="6"/>
  <c r="AS133" i="6"/>
  <c r="AS110" i="6"/>
  <c r="AS125" i="6"/>
  <c r="AS114" i="6"/>
  <c r="AS117" i="6"/>
  <c r="AS118" i="6"/>
  <c r="AS126" i="6"/>
  <c r="AS113" i="6"/>
  <c r="X105" i="6"/>
  <c r="X108" i="6"/>
  <c r="X130" i="6"/>
  <c r="X120" i="6"/>
  <c r="X119" i="6"/>
  <c r="X132" i="6"/>
  <c r="X110" i="6"/>
  <c r="X114" i="6"/>
  <c r="X112" i="6"/>
  <c r="X124" i="6"/>
  <c r="X131" i="6"/>
  <c r="X106" i="6"/>
  <c r="X117" i="6"/>
  <c r="X111" i="6"/>
  <c r="X122" i="6"/>
  <c r="X118" i="6"/>
  <c r="X115" i="6"/>
  <c r="X121" i="6"/>
  <c r="X133" i="6"/>
  <c r="X128" i="6"/>
  <c r="X107" i="6"/>
  <c r="X113" i="6"/>
  <c r="X109" i="6"/>
  <c r="X126" i="6"/>
  <c r="X116" i="6"/>
  <c r="X123" i="6"/>
  <c r="X129" i="6"/>
  <c r="X125" i="6"/>
  <c r="X127" i="6"/>
  <c r="H144" i="8" l="1"/>
  <c r="H149" i="8"/>
  <c r="H190" i="8"/>
  <c r="H189" i="8"/>
  <c r="N143" i="9"/>
  <c r="N110" i="9"/>
  <c r="N323" i="9"/>
  <c r="N290" i="9"/>
  <c r="N233" i="9"/>
  <c r="N200" i="9"/>
  <c r="H214" i="8"/>
  <c r="H220" i="8"/>
  <c r="J220" i="8"/>
  <c r="H205" i="8"/>
  <c r="H169" i="8"/>
  <c r="J169" i="8"/>
  <c r="H183" i="8"/>
  <c r="J183" i="8"/>
  <c r="H154" i="8"/>
  <c r="J154" i="8"/>
  <c r="H151" i="8"/>
  <c r="J151" i="8"/>
  <c r="H140" i="8"/>
  <c r="J140" i="8"/>
  <c r="H218" i="8"/>
  <c r="J218" i="8"/>
  <c r="H201" i="8"/>
  <c r="J201" i="8"/>
  <c r="H147" i="8"/>
  <c r="J147" i="8"/>
  <c r="H216" i="8"/>
  <c r="J216" i="8"/>
  <c r="H134" i="8"/>
  <c r="J134" i="8"/>
  <c r="H171" i="8"/>
  <c r="J171" i="8"/>
  <c r="H186" i="8"/>
  <c r="J186" i="8"/>
  <c r="H128" i="8"/>
  <c r="J128" i="8"/>
  <c r="H172" i="8"/>
  <c r="J172" i="8"/>
  <c r="H176" i="8"/>
  <c r="J176" i="8"/>
  <c r="H141" i="8"/>
  <c r="J141" i="8"/>
  <c r="H182" i="8"/>
  <c r="J182" i="8"/>
  <c r="H223" i="8"/>
  <c r="J223" i="8"/>
  <c r="H170" i="8"/>
  <c r="J170" i="8"/>
  <c r="H191" i="8"/>
  <c r="H131" i="8"/>
  <c r="J131" i="8"/>
  <c r="H173" i="8"/>
  <c r="J173" i="8"/>
  <c r="J126" i="8"/>
  <c r="H200" i="8"/>
  <c r="J200" i="8"/>
  <c r="H178" i="8"/>
  <c r="J178" i="8"/>
  <c r="H153" i="8"/>
  <c r="J153" i="8"/>
  <c r="H226" i="8"/>
  <c r="H133" i="8"/>
  <c r="J133" i="8"/>
  <c r="H202" i="8"/>
  <c r="J202" i="8"/>
  <c r="H174" i="8"/>
  <c r="J174" i="8"/>
  <c r="H179" i="8"/>
  <c r="J179" i="8"/>
  <c r="H187" i="8"/>
  <c r="J187" i="8"/>
  <c r="H209" i="8"/>
  <c r="J209" i="8"/>
  <c r="H208" i="8"/>
  <c r="J208" i="8"/>
  <c r="H136" i="8"/>
  <c r="J136" i="8"/>
  <c r="H215" i="8"/>
  <c r="J215" i="8"/>
  <c r="H132" i="8"/>
  <c r="J132" i="8"/>
  <c r="H228" i="8"/>
  <c r="J228" i="8"/>
  <c r="H163" i="8"/>
  <c r="J163" i="8"/>
  <c r="H148" i="8"/>
  <c r="J148" i="8"/>
  <c r="H155" i="8"/>
  <c r="J155" i="8"/>
  <c r="H211" i="8"/>
  <c r="J211" i="8"/>
  <c r="H221" i="8"/>
  <c r="J221" i="8"/>
  <c r="H138" i="8"/>
  <c r="H225" i="8"/>
  <c r="H185" i="8"/>
  <c r="H177" i="8"/>
  <c r="H180" i="8"/>
  <c r="H143" i="8"/>
  <c r="H152" i="8"/>
  <c r="H135" i="8"/>
  <c r="H139" i="8"/>
  <c r="H175" i="8"/>
  <c r="H219" i="8"/>
  <c r="H165" i="8"/>
  <c r="H126" i="8"/>
  <c r="H168" i="8"/>
  <c r="H217" i="8"/>
  <c r="H204" i="8"/>
  <c r="H167" i="8"/>
  <c r="H224" i="8"/>
  <c r="H207" i="8"/>
  <c r="Q130" i="8"/>
  <c r="H229" i="8"/>
  <c r="H181" i="8"/>
  <c r="H145" i="8"/>
  <c r="H146" i="8"/>
  <c r="H166" i="8"/>
  <c r="H137" i="8"/>
  <c r="H184" i="8"/>
  <c r="X133" i="8"/>
  <c r="X129" i="8"/>
  <c r="X143" i="8"/>
  <c r="X139" i="8"/>
  <c r="X150" i="8"/>
  <c r="X146" i="8"/>
  <c r="X130" i="8"/>
  <c r="X152" i="8"/>
  <c r="X148" i="8"/>
  <c r="X126" i="8"/>
  <c r="N126" i="8" s="1"/>
  <c r="X127" i="8"/>
  <c r="X128" i="8"/>
  <c r="X134" i="8"/>
  <c r="X141" i="8"/>
  <c r="X142" i="8"/>
  <c r="X147" i="8"/>
  <c r="X151" i="8"/>
  <c r="X135" i="8"/>
  <c r="X132" i="8"/>
  <c r="X136" i="8"/>
  <c r="X140" i="8"/>
  <c r="X131" i="8"/>
  <c r="X155" i="8"/>
  <c r="X137" i="8"/>
  <c r="X149" i="8"/>
  <c r="X144" i="8"/>
  <c r="X145" i="8"/>
  <c r="X138" i="8"/>
  <c r="X153" i="8"/>
  <c r="X154" i="8"/>
  <c r="H210" i="8"/>
  <c r="Q200" i="8"/>
  <c r="Q229" i="8"/>
  <c r="Q207" i="8"/>
  <c r="Q218" i="8"/>
  <c r="Q216" i="8"/>
  <c r="Q214" i="8"/>
  <c r="Q221" i="8"/>
  <c r="Q215" i="8"/>
  <c r="Q226" i="8"/>
  <c r="Q209" i="8"/>
  <c r="Q220" i="8"/>
  <c r="Q211" i="8"/>
  <c r="Q227" i="8"/>
  <c r="Q202" i="8"/>
  <c r="Q201" i="8"/>
  <c r="Q225" i="8"/>
  <c r="Q223" i="8"/>
  <c r="Q203" i="8"/>
  <c r="Q222" i="8"/>
  <c r="Q204" i="8"/>
  <c r="Q212" i="8"/>
  <c r="Q208" i="8"/>
  <c r="Q228" i="8"/>
  <c r="Q206" i="8"/>
  <c r="Q219" i="8"/>
  <c r="Q224" i="8"/>
  <c r="Q213" i="8"/>
  <c r="Q217" i="8"/>
  <c r="Q210" i="8"/>
  <c r="Q134" i="8"/>
  <c r="Q137" i="8"/>
  <c r="Q146" i="8"/>
  <c r="Q133" i="8"/>
  <c r="Q149" i="8"/>
  <c r="Q152" i="8"/>
  <c r="Q144" i="8"/>
  <c r="Q131" i="8"/>
  <c r="Q142" i="8"/>
  <c r="Q145" i="8"/>
  <c r="Q132" i="8"/>
  <c r="Q155" i="8"/>
  <c r="Q127" i="8"/>
  <c r="Q136" i="8"/>
  <c r="Q143" i="8"/>
  <c r="Q138" i="8"/>
  <c r="Q140" i="8"/>
  <c r="Q139" i="8"/>
  <c r="Q154" i="8"/>
  <c r="Q150" i="8"/>
  <c r="Q153" i="8"/>
  <c r="Q148" i="8"/>
  <c r="Q141" i="8"/>
  <c r="Q147" i="8"/>
  <c r="Q135" i="8"/>
  <c r="M135" i="8" s="1"/>
  <c r="Q151" i="8"/>
  <c r="Q128" i="8"/>
  <c r="Q129" i="8"/>
  <c r="Q126" i="8"/>
  <c r="H150" i="8"/>
  <c r="H212" i="8"/>
  <c r="H129" i="8"/>
  <c r="H213" i="8"/>
  <c r="H206" i="8"/>
  <c r="H192" i="8"/>
  <c r="H203" i="8"/>
  <c r="H227" i="8"/>
  <c r="X228" i="8"/>
  <c r="X205" i="8"/>
  <c r="X215" i="8"/>
  <c r="X221" i="8"/>
  <c r="X217" i="8"/>
  <c r="X213" i="8"/>
  <c r="X214" i="8"/>
  <c r="X227" i="8"/>
  <c r="X206" i="8"/>
  <c r="X201" i="8"/>
  <c r="X229" i="8"/>
  <c r="X209" i="8"/>
  <c r="X226" i="8"/>
  <c r="X202" i="8"/>
  <c r="X200" i="8"/>
  <c r="N200" i="8" s="1"/>
  <c r="X204" i="8"/>
  <c r="X224" i="8"/>
  <c r="X207" i="8"/>
  <c r="X216" i="8"/>
  <c r="N216" i="8" s="1"/>
  <c r="X211" i="8"/>
  <c r="X212" i="8"/>
  <c r="X223" i="8"/>
  <c r="X218" i="8"/>
  <c r="X210" i="8"/>
  <c r="X220" i="8"/>
  <c r="X219" i="8"/>
  <c r="X222" i="8"/>
  <c r="X225" i="8"/>
  <c r="X203" i="8"/>
  <c r="X208" i="8"/>
  <c r="X192" i="8"/>
  <c r="X168" i="8"/>
  <c r="X186" i="8"/>
  <c r="X185" i="8"/>
  <c r="X169" i="8"/>
  <c r="X189" i="8"/>
  <c r="X188" i="8"/>
  <c r="X175" i="8"/>
  <c r="X170" i="8"/>
  <c r="X179" i="8"/>
  <c r="X164" i="8"/>
  <c r="X178" i="8"/>
  <c r="X174" i="8"/>
  <c r="X171" i="8"/>
  <c r="X191" i="8"/>
  <c r="X181" i="8"/>
  <c r="X180" i="8"/>
  <c r="X177" i="8"/>
  <c r="X182" i="8"/>
  <c r="X163" i="8"/>
  <c r="N163" i="8" s="1"/>
  <c r="X176" i="8"/>
  <c r="X187" i="8"/>
  <c r="X183" i="8"/>
  <c r="X173" i="8"/>
  <c r="X172" i="8"/>
  <c r="X184" i="8"/>
  <c r="X165" i="8"/>
  <c r="X167" i="8"/>
  <c r="X190" i="8"/>
  <c r="X166" i="8"/>
  <c r="Q179" i="8"/>
  <c r="H188" i="8"/>
  <c r="H142" i="8"/>
  <c r="H222" i="8"/>
  <c r="H164" i="8"/>
  <c r="H127" i="8"/>
  <c r="Q172" i="8"/>
  <c r="Q175" i="8"/>
  <c r="Q181" i="8"/>
  <c r="Q177" i="8"/>
  <c r="Q186" i="8"/>
  <c r="Q182" i="8"/>
  <c r="Q190" i="8"/>
  <c r="Q167" i="8"/>
  <c r="Q187" i="8"/>
  <c r="Q183" i="8"/>
  <c r="Q171" i="8"/>
  <c r="Q184" i="8"/>
  <c r="Q169" i="8"/>
  <c r="Q176" i="8"/>
  <c r="Q192" i="8"/>
  <c r="Q174" i="8"/>
  <c r="Q173" i="8"/>
  <c r="Q178" i="8"/>
  <c r="Q163" i="8"/>
  <c r="Q180" i="8"/>
  <c r="Q164" i="8"/>
  <c r="Q170" i="8"/>
  <c r="Q191" i="8"/>
  <c r="Q188" i="8"/>
  <c r="Q166" i="8"/>
  <c r="Q189" i="8"/>
  <c r="Q165" i="8"/>
  <c r="Q185" i="8"/>
  <c r="Q168" i="8"/>
  <c r="Q205" i="8"/>
  <c r="X89" i="8"/>
  <c r="Q89" i="8"/>
  <c r="M89" i="8" s="1"/>
  <c r="D98" i="8"/>
  <c r="B98" i="8"/>
  <c r="D96" i="8"/>
  <c r="B96" i="8"/>
  <c r="B109" i="8"/>
  <c r="D109" i="8"/>
  <c r="B93" i="8"/>
  <c r="D93" i="8"/>
  <c r="B112" i="8"/>
  <c r="D112" i="8"/>
  <c r="B101" i="8"/>
  <c r="D101" i="8"/>
  <c r="D92" i="8"/>
  <c r="B92" i="8"/>
  <c r="D100" i="8"/>
  <c r="B100" i="8"/>
  <c r="B102" i="8"/>
  <c r="D102" i="8"/>
  <c r="B97" i="8"/>
  <c r="D97" i="8"/>
  <c r="D104" i="8"/>
  <c r="B104" i="8"/>
  <c r="B90" i="8"/>
  <c r="D90" i="8"/>
  <c r="H89" i="8"/>
  <c r="B114" i="8"/>
  <c r="D114" i="8"/>
  <c r="B94" i="8"/>
  <c r="D94" i="8"/>
  <c r="B118" i="8"/>
  <c r="D118" i="8"/>
  <c r="D107" i="8"/>
  <c r="B107" i="8"/>
  <c r="B116" i="8"/>
  <c r="D116" i="8"/>
  <c r="B95" i="8"/>
  <c r="D95" i="8"/>
  <c r="D115" i="8"/>
  <c r="B115" i="8"/>
  <c r="B108" i="8"/>
  <c r="D108" i="8"/>
  <c r="B106" i="8"/>
  <c r="D106" i="8"/>
  <c r="B117" i="8"/>
  <c r="D117" i="8"/>
  <c r="B110" i="8"/>
  <c r="D110" i="8"/>
  <c r="D111" i="8"/>
  <c r="B111" i="8"/>
  <c r="B113" i="8"/>
  <c r="D113" i="8"/>
  <c r="B103" i="8"/>
  <c r="D103" i="8"/>
  <c r="B91" i="8"/>
  <c r="D91" i="8"/>
  <c r="B99" i="8"/>
  <c r="D99" i="8"/>
  <c r="B105" i="8"/>
  <c r="D105" i="8"/>
  <c r="Y105" i="6"/>
  <c r="Z105" i="6"/>
  <c r="Y122" i="6"/>
  <c r="Z122" i="6"/>
  <c r="Y110" i="6"/>
  <c r="Z110" i="6"/>
  <c r="Y127" i="6"/>
  <c r="Z127" i="6"/>
  <c r="Y107" i="6"/>
  <c r="Z107" i="6"/>
  <c r="Y117" i="6"/>
  <c r="Z117" i="6"/>
  <c r="Y119" i="6"/>
  <c r="Z119" i="6"/>
  <c r="Y125" i="6"/>
  <c r="Z125" i="6"/>
  <c r="Y128" i="6"/>
  <c r="Z128" i="6"/>
  <c r="Y106" i="6"/>
  <c r="Z106" i="6"/>
  <c r="Y120" i="6"/>
  <c r="Z120" i="6"/>
  <c r="Y129" i="6"/>
  <c r="Z129" i="6"/>
  <c r="Y133" i="6"/>
  <c r="Z133" i="6"/>
  <c r="Y131" i="6"/>
  <c r="Z131" i="6"/>
  <c r="Y130" i="6"/>
  <c r="Z130" i="6"/>
  <c r="Y126" i="6"/>
  <c r="Z126" i="6"/>
  <c r="Y118" i="6"/>
  <c r="Z118" i="6"/>
  <c r="Y114" i="6"/>
  <c r="Z114" i="6"/>
  <c r="Y109" i="6"/>
  <c r="Z109" i="6"/>
  <c r="Y113" i="6"/>
  <c r="Z113" i="6"/>
  <c r="Y111" i="6"/>
  <c r="Z111" i="6"/>
  <c r="Y132" i="6"/>
  <c r="Z132" i="6"/>
  <c r="Y123" i="6"/>
  <c r="Z123" i="6"/>
  <c r="Y121" i="6"/>
  <c r="Z121" i="6"/>
  <c r="Y124" i="6"/>
  <c r="Z124" i="6"/>
  <c r="Y108" i="6"/>
  <c r="Z108" i="6"/>
  <c r="Y116" i="6"/>
  <c r="Z116" i="6"/>
  <c r="Y115" i="6"/>
  <c r="Z115" i="6"/>
  <c r="Y112" i="6"/>
  <c r="Z112" i="6"/>
  <c r="E24" i="29"/>
  <c r="F24" i="29" s="1"/>
  <c r="G24" i="29" s="1"/>
  <c r="H24" i="29" s="1"/>
  <c r="I24" i="29" s="1"/>
  <c r="J24" i="29" s="1"/>
  <c r="K24" i="29" s="1"/>
  <c r="L24" i="29" s="1"/>
  <c r="M24" i="29" s="1"/>
  <c r="B37" i="22" l="1"/>
  <c r="B35" i="22"/>
  <c r="B32" i="22"/>
  <c r="B36" i="22"/>
  <c r="B26" i="22"/>
  <c r="B39" i="22"/>
  <c r="B27" i="22"/>
  <c r="B38" i="22"/>
  <c r="B30" i="22"/>
  <c r="B29" i="22"/>
  <c r="B31" i="22"/>
  <c r="B28" i="22"/>
  <c r="B34" i="22"/>
  <c r="B25" i="22"/>
  <c r="B33" i="22"/>
  <c r="M173" i="8"/>
  <c r="N149" i="8"/>
  <c r="N165" i="8"/>
  <c r="M204" i="8"/>
  <c r="M131" i="8"/>
  <c r="N166" i="8"/>
  <c r="N225" i="8"/>
  <c r="N211" i="8"/>
  <c r="N221" i="8"/>
  <c r="N187" i="8"/>
  <c r="N180" i="8"/>
  <c r="N169" i="8"/>
  <c r="N229" i="8"/>
  <c r="M129" i="8"/>
  <c r="M155" i="8"/>
  <c r="N145" i="8"/>
  <c r="N127" i="8"/>
  <c r="N143" i="8"/>
  <c r="N131" i="8"/>
  <c r="M166" i="8"/>
  <c r="N209" i="8"/>
  <c r="N132" i="8"/>
  <c r="M190" i="8"/>
  <c r="N176" i="8"/>
  <c r="N174" i="8"/>
  <c r="N215" i="8"/>
  <c r="M146" i="8"/>
  <c r="M222" i="8"/>
  <c r="M207" i="8"/>
  <c r="N135" i="8"/>
  <c r="M172" i="8"/>
  <c r="N171" i="8"/>
  <c r="M164" i="8"/>
  <c r="N182" i="8"/>
  <c r="N224" i="8"/>
  <c r="N228" i="8"/>
  <c r="M142" i="8"/>
  <c r="M226" i="8"/>
  <c r="N147" i="8"/>
  <c r="M184" i="8"/>
  <c r="M217" i="8"/>
  <c r="M191" i="8"/>
  <c r="M128" i="8"/>
  <c r="M154" i="8"/>
  <c r="M213" i="8"/>
  <c r="M220" i="8"/>
  <c r="N129" i="8"/>
  <c r="M182" i="8"/>
  <c r="N178" i="8"/>
  <c r="N185" i="8"/>
  <c r="N219" i="8"/>
  <c r="N207" i="8"/>
  <c r="N201" i="8"/>
  <c r="M139" i="8"/>
  <c r="M145" i="8"/>
  <c r="M137" i="8"/>
  <c r="M224" i="8"/>
  <c r="M203" i="8"/>
  <c r="M209" i="8"/>
  <c r="M229" i="8"/>
  <c r="N151" i="8"/>
  <c r="N148" i="8"/>
  <c r="M150" i="8"/>
  <c r="M180" i="8"/>
  <c r="N227" i="8"/>
  <c r="N142" i="8"/>
  <c r="M211" i="8"/>
  <c r="M168" i="8"/>
  <c r="M187" i="8"/>
  <c r="N218" i="8"/>
  <c r="N189" i="8"/>
  <c r="N137" i="8"/>
  <c r="M228" i="8"/>
  <c r="M189" i="8"/>
  <c r="M175" i="8"/>
  <c r="N173" i="8"/>
  <c r="N181" i="8"/>
  <c r="N213" i="8"/>
  <c r="M202" i="8"/>
  <c r="N140" i="8"/>
  <c r="M205" i="8"/>
  <c r="M177" i="8"/>
  <c r="M176" i="8"/>
  <c r="N222" i="8"/>
  <c r="M188" i="8"/>
  <c r="M174" i="8"/>
  <c r="M167" i="8"/>
  <c r="M130" i="8"/>
  <c r="N183" i="8"/>
  <c r="N191" i="8"/>
  <c r="N188" i="8"/>
  <c r="N203" i="8"/>
  <c r="N212" i="8"/>
  <c r="N226" i="8"/>
  <c r="N217" i="8"/>
  <c r="M126" i="8"/>
  <c r="U155" i="8"/>
  <c r="V155" i="8"/>
  <c r="U126" i="8"/>
  <c r="U132" i="8"/>
  <c r="U142" i="8"/>
  <c r="U138" i="8"/>
  <c r="V145" i="8"/>
  <c r="V139" i="8"/>
  <c r="U141" i="8"/>
  <c r="V150" i="8"/>
  <c r="V143" i="8"/>
  <c r="V141" i="8"/>
  <c r="V148" i="8"/>
  <c r="V137" i="8"/>
  <c r="V151" i="8"/>
  <c r="V153" i="8"/>
  <c r="U127" i="8"/>
  <c r="V127" i="8"/>
  <c r="V128" i="8"/>
  <c r="U129" i="8"/>
  <c r="U140" i="8"/>
  <c r="U150" i="8"/>
  <c r="U154" i="8"/>
  <c r="U130" i="8"/>
  <c r="U139" i="8"/>
  <c r="V146" i="8"/>
  <c r="V144" i="8"/>
  <c r="V129" i="8"/>
  <c r="U147" i="8"/>
  <c r="V149" i="8"/>
  <c r="V152" i="8"/>
  <c r="U152" i="8"/>
  <c r="U131" i="8"/>
  <c r="V131" i="8"/>
  <c r="V132" i="8"/>
  <c r="U133" i="8"/>
  <c r="U148" i="8"/>
  <c r="V134" i="8"/>
  <c r="V138" i="8"/>
  <c r="U146" i="8"/>
  <c r="U135" i="8"/>
  <c r="V135" i="8"/>
  <c r="V136" i="8"/>
  <c r="U137" i="8"/>
  <c r="V126" i="8"/>
  <c r="V142" i="8"/>
  <c r="V154" i="8"/>
  <c r="V130" i="8"/>
  <c r="V140" i="8"/>
  <c r="V133" i="8"/>
  <c r="U128" i="8"/>
  <c r="U143" i="8"/>
  <c r="U145" i="8"/>
  <c r="U136" i="8"/>
  <c r="V147" i="8"/>
  <c r="U149" i="8"/>
  <c r="U144" i="8"/>
  <c r="U151" i="8"/>
  <c r="U153" i="8"/>
  <c r="U134" i="8"/>
  <c r="M153" i="8"/>
  <c r="M127" i="8"/>
  <c r="M210" i="8"/>
  <c r="M212" i="8"/>
  <c r="M227" i="8"/>
  <c r="M216" i="8"/>
  <c r="N138" i="8"/>
  <c r="N136" i="8"/>
  <c r="N128" i="8"/>
  <c r="N139" i="8"/>
  <c r="M169" i="8"/>
  <c r="M186" i="8"/>
  <c r="M185" i="8"/>
  <c r="N164" i="8"/>
  <c r="N220" i="8"/>
  <c r="M141" i="8"/>
  <c r="M140" i="8"/>
  <c r="M134" i="8"/>
  <c r="M219" i="8"/>
  <c r="M223" i="8"/>
  <c r="M200" i="8"/>
  <c r="V219" i="8"/>
  <c r="U211" i="8"/>
  <c r="U207" i="8"/>
  <c r="V202" i="8"/>
  <c r="U229" i="8"/>
  <c r="V215" i="8"/>
  <c r="U221" i="8"/>
  <c r="U217" i="8"/>
  <c r="V207" i="8"/>
  <c r="V210" i="8"/>
  <c r="V209" i="8"/>
  <c r="U215" i="8"/>
  <c r="U222" i="8"/>
  <c r="U210" i="8"/>
  <c r="V229" i="8"/>
  <c r="V221" i="8"/>
  <c r="U213" i="8"/>
  <c r="U209" i="8"/>
  <c r="V201" i="8"/>
  <c r="V212" i="8"/>
  <c r="U223" i="8"/>
  <c r="U220" i="8"/>
  <c r="V228" i="8"/>
  <c r="U208" i="8"/>
  <c r="V205" i="8"/>
  <c r="V220" i="8"/>
  <c r="U219" i="8"/>
  <c r="U200" i="8"/>
  <c r="V218" i="8"/>
  <c r="U226" i="8"/>
  <c r="U228" i="8"/>
  <c r="V211" i="8"/>
  <c r="V214" i="8"/>
  <c r="V223" i="8"/>
  <c r="U201" i="8"/>
  <c r="U224" i="8"/>
  <c r="V226" i="8"/>
  <c r="V216" i="8"/>
  <c r="U206" i="8"/>
  <c r="U218" i="8"/>
  <c r="U203" i="8"/>
  <c r="U214" i="8"/>
  <c r="V225" i="8"/>
  <c r="U202" i="8"/>
  <c r="V224" i="8"/>
  <c r="U216" i="8"/>
  <c r="V213" i="8"/>
  <c r="V206" i="8"/>
  <c r="U225" i="8"/>
  <c r="U212" i="8"/>
  <c r="V203" i="8"/>
  <c r="U204" i="8"/>
  <c r="U227" i="8"/>
  <c r="V204" i="8"/>
  <c r="U205" i="8"/>
  <c r="V208" i="8"/>
  <c r="V222" i="8"/>
  <c r="V200" i="8"/>
  <c r="V227" i="8"/>
  <c r="V217" i="8"/>
  <c r="N152" i="8"/>
  <c r="M165" i="8"/>
  <c r="U166" i="8"/>
  <c r="V170" i="8"/>
  <c r="V175" i="8"/>
  <c r="U176" i="8"/>
  <c r="U191" i="8"/>
  <c r="V163" i="8"/>
  <c r="U165" i="8"/>
  <c r="V188" i="8"/>
  <c r="V189" i="8"/>
  <c r="V190" i="8"/>
  <c r="U169" i="8"/>
  <c r="U190" i="8"/>
  <c r="U175" i="8"/>
  <c r="U179" i="8"/>
  <c r="V166" i="8"/>
  <c r="U183" i="8"/>
  <c r="U187" i="8"/>
  <c r="U170" i="8"/>
  <c r="V174" i="8"/>
  <c r="V179" i="8"/>
  <c r="U180" i="8"/>
  <c r="V168" i="8"/>
  <c r="V169" i="8"/>
  <c r="U173" i="8"/>
  <c r="U181" i="8"/>
  <c r="U164" i="8"/>
  <c r="V164" i="8"/>
  <c r="V167" i="8"/>
  <c r="U177" i="8"/>
  <c r="U172" i="8"/>
  <c r="V180" i="8"/>
  <c r="U174" i="8"/>
  <c r="V178" i="8"/>
  <c r="V183" i="8"/>
  <c r="U184" i="8"/>
  <c r="V176" i="8"/>
  <c r="V177" i="8"/>
  <c r="U189" i="8"/>
  <c r="V165" i="8"/>
  <c r="U178" i="8"/>
  <c r="V182" i="8"/>
  <c r="V187" i="8"/>
  <c r="U188" i="8"/>
  <c r="V184" i="8"/>
  <c r="V185" i="8"/>
  <c r="V173" i="8"/>
  <c r="V181" i="8"/>
  <c r="U182" i="8"/>
  <c r="V186" i="8"/>
  <c r="V191" i="8"/>
  <c r="U192" i="8"/>
  <c r="V192" i="8"/>
  <c r="U163" i="8"/>
  <c r="U186" i="8"/>
  <c r="U167" i="8"/>
  <c r="U171" i="8"/>
  <c r="U168" i="8"/>
  <c r="V172" i="8"/>
  <c r="M163" i="8"/>
  <c r="V171" i="8"/>
  <c r="U185" i="8"/>
  <c r="M181" i="8"/>
  <c r="N184" i="8"/>
  <c r="N177" i="8"/>
  <c r="N179" i="8"/>
  <c r="N210" i="8"/>
  <c r="N205" i="8"/>
  <c r="N204" i="8"/>
  <c r="M147" i="8"/>
  <c r="M138" i="8"/>
  <c r="M206" i="8"/>
  <c r="M225" i="8"/>
  <c r="M215" i="8"/>
  <c r="N155" i="8"/>
  <c r="N130" i="8"/>
  <c r="M192" i="8"/>
  <c r="M171" i="8"/>
  <c r="M170" i="8"/>
  <c r="M133" i="8"/>
  <c r="M132" i="8"/>
  <c r="M151" i="8"/>
  <c r="N206" i="8"/>
  <c r="M179" i="8"/>
  <c r="M178" i="8"/>
  <c r="M183" i="8"/>
  <c r="N172" i="8"/>
  <c r="N170" i="8"/>
  <c r="N192" i="8"/>
  <c r="N214" i="8"/>
  <c r="M143" i="8"/>
  <c r="M144" i="8"/>
  <c r="M201" i="8"/>
  <c r="M221" i="8"/>
  <c r="N154" i="8"/>
  <c r="N141" i="8"/>
  <c r="N146" i="8"/>
  <c r="M218" i="8"/>
  <c r="N190" i="8"/>
  <c r="N144" i="8"/>
  <c r="N168" i="8"/>
  <c r="N167" i="8"/>
  <c r="N133" i="8"/>
  <c r="N186" i="8"/>
  <c r="N175" i="8"/>
  <c r="N208" i="8"/>
  <c r="N223" i="8"/>
  <c r="N202" i="8"/>
  <c r="M149" i="8"/>
  <c r="M148" i="8"/>
  <c r="M136" i="8"/>
  <c r="M152" i="8"/>
  <c r="M208" i="8"/>
  <c r="M214" i="8"/>
  <c r="N153" i="8"/>
  <c r="N134" i="8"/>
  <c r="N150" i="8"/>
  <c r="W90" i="8"/>
  <c r="P90" i="8"/>
  <c r="W93" i="8"/>
  <c r="P93" i="8"/>
  <c r="P105" i="8"/>
  <c r="W105" i="8"/>
  <c r="W91" i="8"/>
  <c r="P91" i="8"/>
  <c r="P113" i="8"/>
  <c r="W113" i="8"/>
  <c r="P110" i="8"/>
  <c r="W110" i="8"/>
  <c r="W106" i="8"/>
  <c r="P106" i="8"/>
  <c r="W116" i="8"/>
  <c r="P116" i="8"/>
  <c r="P118" i="8"/>
  <c r="W118" i="8"/>
  <c r="W114" i="8"/>
  <c r="P114" i="8"/>
  <c r="P104" i="8"/>
  <c r="W104" i="8"/>
  <c r="W92" i="8"/>
  <c r="P92" i="8"/>
  <c r="W98" i="8"/>
  <c r="P98" i="8"/>
  <c r="W111" i="8"/>
  <c r="P111" i="8"/>
  <c r="W107" i="8"/>
  <c r="P107" i="8"/>
  <c r="P102" i="8"/>
  <c r="W102" i="8"/>
  <c r="P112" i="8"/>
  <c r="W112" i="8"/>
  <c r="W109" i="8"/>
  <c r="P109" i="8"/>
  <c r="W115" i="8"/>
  <c r="P115" i="8"/>
  <c r="P97" i="8"/>
  <c r="W97" i="8"/>
  <c r="W101" i="8"/>
  <c r="P101" i="8"/>
  <c r="W99" i="8"/>
  <c r="P99" i="8"/>
  <c r="W103" i="8"/>
  <c r="P103" i="8"/>
  <c r="W117" i="8"/>
  <c r="P117" i="8"/>
  <c r="W108" i="8"/>
  <c r="P108" i="8"/>
  <c r="W95" i="8"/>
  <c r="P95" i="8"/>
  <c r="P94" i="8"/>
  <c r="W94" i="8"/>
  <c r="W100" i="8"/>
  <c r="P100" i="8"/>
  <c r="P96" i="8"/>
  <c r="W96" i="8"/>
  <c r="R91" i="8"/>
  <c r="R110" i="8"/>
  <c r="S115" i="8"/>
  <c r="F115" i="8"/>
  <c r="J115" i="8" s="1"/>
  <c r="R118" i="8"/>
  <c r="S90" i="8"/>
  <c r="F90" i="8"/>
  <c r="J90" i="8" s="1"/>
  <c r="R100" i="8"/>
  <c r="S93" i="8"/>
  <c r="F93" i="8"/>
  <c r="J93" i="8" s="1"/>
  <c r="S99" i="8"/>
  <c r="F99" i="8"/>
  <c r="J99" i="8" s="1"/>
  <c r="R111" i="8"/>
  <c r="S95" i="8"/>
  <c r="F95" i="8"/>
  <c r="J95" i="8" s="1"/>
  <c r="R107" i="8"/>
  <c r="S100" i="8"/>
  <c r="F100" i="8"/>
  <c r="J100" i="8" s="1"/>
  <c r="R99" i="8"/>
  <c r="R103" i="8"/>
  <c r="S111" i="8"/>
  <c r="F111" i="8"/>
  <c r="J111" i="8" s="1"/>
  <c r="R117" i="8"/>
  <c r="R108" i="8"/>
  <c r="R95" i="8"/>
  <c r="S107" i="8"/>
  <c r="F107" i="8"/>
  <c r="J107" i="8" s="1"/>
  <c r="R94" i="8"/>
  <c r="R104" i="8"/>
  <c r="S102" i="8"/>
  <c r="F102" i="8"/>
  <c r="J102" i="8" s="1"/>
  <c r="R92" i="8"/>
  <c r="S112" i="8"/>
  <c r="F112" i="8"/>
  <c r="J112" i="8" s="1"/>
  <c r="S109" i="8"/>
  <c r="F109" i="8"/>
  <c r="J109" i="8" s="1"/>
  <c r="R98" i="8"/>
  <c r="R105" i="8"/>
  <c r="R113" i="8"/>
  <c r="R106" i="8"/>
  <c r="R116" i="8"/>
  <c r="R114" i="8"/>
  <c r="S97" i="8"/>
  <c r="F97" i="8"/>
  <c r="J97" i="8" s="1"/>
  <c r="S101" i="8"/>
  <c r="F101" i="8"/>
  <c r="J101" i="8" s="1"/>
  <c r="R96" i="8"/>
  <c r="S103" i="8"/>
  <c r="F103" i="8"/>
  <c r="J103" i="8" s="1"/>
  <c r="S117" i="8"/>
  <c r="F117" i="8"/>
  <c r="J117" i="8" s="1"/>
  <c r="S108" i="8"/>
  <c r="F108" i="8"/>
  <c r="J108" i="8" s="1"/>
  <c r="S94" i="8"/>
  <c r="F94" i="8"/>
  <c r="J94" i="8" s="1"/>
  <c r="R90" i="8"/>
  <c r="R97" i="8"/>
  <c r="R101" i="8"/>
  <c r="R93" i="8"/>
  <c r="S96" i="8"/>
  <c r="F96" i="8"/>
  <c r="J96" i="8" s="1"/>
  <c r="S105" i="8"/>
  <c r="F105" i="8"/>
  <c r="J105" i="8" s="1"/>
  <c r="S91" i="8"/>
  <c r="F91" i="8"/>
  <c r="J91" i="8" s="1"/>
  <c r="S113" i="8"/>
  <c r="F113" i="8"/>
  <c r="J113" i="8" s="1"/>
  <c r="S110" i="8"/>
  <c r="F110" i="8"/>
  <c r="J110" i="8" s="1"/>
  <c r="S106" i="8"/>
  <c r="F106" i="8"/>
  <c r="J106" i="8" s="1"/>
  <c r="R115" i="8"/>
  <c r="S116" i="8"/>
  <c r="F116" i="8"/>
  <c r="J116" i="8" s="1"/>
  <c r="S118" i="8"/>
  <c r="F118" i="8"/>
  <c r="J118" i="8" s="1"/>
  <c r="S114" i="8"/>
  <c r="F114" i="8"/>
  <c r="J114" i="8" s="1"/>
  <c r="S104" i="8"/>
  <c r="F104" i="8"/>
  <c r="J104" i="8" s="1"/>
  <c r="R102" i="8"/>
  <c r="S92" i="8"/>
  <c r="F92" i="8"/>
  <c r="J92" i="8" s="1"/>
  <c r="R112" i="8"/>
  <c r="R109" i="8"/>
  <c r="S98" i="8"/>
  <c r="F98" i="8"/>
  <c r="J98" i="8" s="1"/>
  <c r="AA108" i="6"/>
  <c r="AA116" i="6"/>
  <c r="AA131" i="6"/>
  <c r="AA117" i="6"/>
  <c r="AA110" i="6"/>
  <c r="AA109" i="6"/>
  <c r="AA126" i="6"/>
  <c r="AA120" i="6"/>
  <c r="AA112" i="6"/>
  <c r="AA121" i="6"/>
  <c r="AA111" i="6"/>
  <c r="AA125" i="6"/>
  <c r="AA133" i="6"/>
  <c r="AA107" i="6"/>
  <c r="AA114" i="6"/>
  <c r="AA106" i="6"/>
  <c r="AA119" i="6"/>
  <c r="AA122" i="6"/>
  <c r="AA123" i="6"/>
  <c r="AA130" i="6"/>
  <c r="AA127" i="6"/>
  <c r="AA115" i="6"/>
  <c r="AA124" i="6"/>
  <c r="AA113" i="6"/>
  <c r="AA118" i="6"/>
  <c r="AA129" i="6"/>
  <c r="AA128" i="6"/>
  <c r="AA105" i="6"/>
  <c r="AA104" i="6"/>
  <c r="AA132" i="6"/>
  <c r="L112" i="9" l="1"/>
  <c r="L202" i="9"/>
  <c r="I325" i="9"/>
  <c r="I998" i="9" s="1"/>
  <c r="J330" i="9"/>
  <c r="J344" i="9"/>
  <c r="I238" i="9"/>
  <c r="I947" i="9" s="1"/>
  <c r="B327" i="9"/>
  <c r="J325" i="9"/>
  <c r="E328" i="9"/>
  <c r="E326" i="9"/>
  <c r="B328" i="9"/>
  <c r="J328" i="9"/>
  <c r="E329" i="9"/>
  <c r="E325" i="9"/>
  <c r="E340" i="9"/>
  <c r="I330" i="9"/>
  <c r="I1003" i="9" s="1"/>
  <c r="I332" i="9"/>
  <c r="I1005" i="9" s="1"/>
  <c r="I341" i="9"/>
  <c r="I1014" i="9" s="1"/>
  <c r="B341" i="9"/>
  <c r="I327" i="9"/>
  <c r="I1000" i="9" s="1"/>
  <c r="J336" i="9"/>
  <c r="B326" i="9"/>
  <c r="J337" i="9"/>
  <c r="B339" i="9"/>
  <c r="J326" i="9"/>
  <c r="B335" i="9"/>
  <c r="E336" i="9"/>
  <c r="E341" i="9"/>
  <c r="E332" i="9"/>
  <c r="J338" i="9"/>
  <c r="E343" i="9"/>
  <c r="E331" i="9"/>
  <c r="B337" i="9"/>
  <c r="E342" i="9"/>
  <c r="B325" i="9"/>
  <c r="E330" i="9"/>
  <c r="I337" i="9"/>
  <c r="I1010" i="9" s="1"/>
  <c r="E333" i="9"/>
  <c r="I342" i="9"/>
  <c r="I1015" i="9" s="1"/>
  <c r="E334" i="9"/>
  <c r="I335" i="9"/>
  <c r="I1008" i="9" s="1"/>
  <c r="B338" i="9"/>
  <c r="B336" i="9"/>
  <c r="I334" i="9"/>
  <c r="I1007" i="9" s="1"/>
  <c r="J329" i="9"/>
  <c r="B333" i="9"/>
  <c r="I343" i="9"/>
  <c r="I1016" i="9" s="1"/>
  <c r="E327" i="9"/>
  <c r="I339" i="9"/>
  <c r="I1012" i="9" s="1"/>
  <c r="B342" i="9"/>
  <c r="E337" i="9"/>
  <c r="J343" i="9"/>
  <c r="J341" i="9"/>
  <c r="I336" i="9"/>
  <c r="I1009" i="9" s="1"/>
  <c r="E338" i="9"/>
  <c r="B330" i="9"/>
  <c r="I331" i="9"/>
  <c r="I1004" i="9" s="1"/>
  <c r="J332" i="9"/>
  <c r="I340" i="9"/>
  <c r="I1013" i="9" s="1"/>
  <c r="J331" i="9"/>
  <c r="E344" i="9"/>
  <c r="I333" i="9"/>
  <c r="I1006" i="9" s="1"/>
  <c r="B344" i="9"/>
  <c r="I338" i="9"/>
  <c r="I1011" i="9" s="1"/>
  <c r="J342" i="9"/>
  <c r="I326" i="9"/>
  <c r="I999" i="9" s="1"/>
  <c r="I344" i="9"/>
  <c r="I1017" i="9" s="1"/>
  <c r="B332" i="9"/>
  <c r="J333" i="9"/>
  <c r="B334" i="9"/>
  <c r="J335" i="9"/>
  <c r="E339" i="9"/>
  <c r="J327" i="9"/>
  <c r="E335" i="9"/>
  <c r="B343" i="9"/>
  <c r="I329" i="9"/>
  <c r="I1002" i="9" s="1"/>
  <c r="J340" i="9"/>
  <c r="I328" i="9"/>
  <c r="I1001" i="9" s="1"/>
  <c r="B331" i="9"/>
  <c r="J334" i="9"/>
  <c r="J339" i="9"/>
  <c r="B329" i="9"/>
  <c r="B340" i="9"/>
  <c r="E235" i="9"/>
  <c r="B239" i="9"/>
  <c r="J236" i="9"/>
  <c r="J145" i="9"/>
  <c r="I235" i="9"/>
  <c r="I944" i="9" s="1"/>
  <c r="J163" i="9"/>
  <c r="I247" i="9"/>
  <c r="I956" i="9" s="1"/>
  <c r="B236" i="9"/>
  <c r="J146" i="9"/>
  <c r="B242" i="9"/>
  <c r="J150" i="9"/>
  <c r="E243" i="9"/>
  <c r="I148" i="9"/>
  <c r="J160" i="9"/>
  <c r="I245" i="9"/>
  <c r="I954" i="9" s="1"/>
  <c r="E250" i="9"/>
  <c r="B244" i="9"/>
  <c r="J241" i="9"/>
  <c r="E254" i="9"/>
  <c r="J237" i="9"/>
  <c r="J252" i="9"/>
  <c r="J239" i="9"/>
  <c r="E237" i="9"/>
  <c r="I242" i="9"/>
  <c r="I951" i="9" s="1"/>
  <c r="I164" i="9"/>
  <c r="J152" i="9"/>
  <c r="J149" i="9"/>
  <c r="I159" i="9"/>
  <c r="J147" i="9"/>
  <c r="J240" i="9"/>
  <c r="E242" i="9"/>
  <c r="B252" i="9"/>
  <c r="B237" i="9"/>
  <c r="E238" i="9"/>
  <c r="B241" i="9"/>
  <c r="J244" i="9"/>
  <c r="B247" i="9"/>
  <c r="I248" i="9"/>
  <c r="I957" i="9" s="1"/>
  <c r="I250" i="9"/>
  <c r="I959" i="9" s="1"/>
  <c r="J157" i="9"/>
  <c r="I146" i="9"/>
  <c r="I149" i="9"/>
  <c r="J162" i="9"/>
  <c r="I144" i="9"/>
  <c r="I249" i="9"/>
  <c r="I958" i="9" s="1"/>
  <c r="E253" i="9"/>
  <c r="I151" i="9"/>
  <c r="E249" i="9"/>
  <c r="J245" i="9"/>
  <c r="I157" i="9"/>
  <c r="I152" i="9"/>
  <c r="I243" i="9"/>
  <c r="I952" i="9" s="1"/>
  <c r="J248" i="9"/>
  <c r="E252" i="9"/>
  <c r="I239" i="9"/>
  <c r="I948" i="9" s="1"/>
  <c r="J243" i="9"/>
  <c r="I162" i="9"/>
  <c r="I160" i="9"/>
  <c r="I246" i="9"/>
  <c r="I955" i="9" s="1"/>
  <c r="I251" i="9"/>
  <c r="I960" i="9" s="1"/>
  <c r="I236" i="9"/>
  <c r="I945" i="9" s="1"/>
  <c r="B238" i="9"/>
  <c r="B240" i="9"/>
  <c r="E244" i="9"/>
  <c r="I237" i="9"/>
  <c r="I946" i="9" s="1"/>
  <c r="J254" i="9"/>
  <c r="B250" i="9"/>
  <c r="J235" i="9"/>
  <c r="I145" i="9"/>
  <c r="J159" i="9"/>
  <c r="I158" i="9"/>
  <c r="J158" i="9"/>
  <c r="J161" i="9"/>
  <c r="E248" i="9"/>
  <c r="B246" i="9"/>
  <c r="E240" i="9"/>
  <c r="B249" i="9"/>
  <c r="E246" i="9"/>
  <c r="J251" i="9"/>
  <c r="I154" i="9"/>
  <c r="J154" i="9"/>
  <c r="I150" i="9"/>
  <c r="L203" i="9"/>
  <c r="K208" i="9"/>
  <c r="J203" i="9"/>
  <c r="I208" i="9"/>
  <c r="I933" i="9" s="1"/>
  <c r="E203" i="9"/>
  <c r="B208" i="9"/>
  <c r="L205" i="9"/>
  <c r="I206" i="9"/>
  <c r="I931" i="9" s="1"/>
  <c r="E205" i="9"/>
  <c r="L206" i="9"/>
  <c r="I205" i="9"/>
  <c r="I930" i="9" s="1"/>
  <c r="L207" i="9"/>
  <c r="I204" i="9"/>
  <c r="I929" i="9" s="1"/>
  <c r="B204" i="9"/>
  <c r="K203" i="9"/>
  <c r="E208" i="9"/>
  <c r="L204" i="9"/>
  <c r="K207" i="9"/>
  <c r="J204" i="9"/>
  <c r="I207" i="9"/>
  <c r="I932" i="9" s="1"/>
  <c r="E204" i="9"/>
  <c r="B207" i="9"/>
  <c r="K206" i="9"/>
  <c r="J205" i="9"/>
  <c r="B206" i="9"/>
  <c r="J206" i="9"/>
  <c r="E206" i="9"/>
  <c r="J207" i="9"/>
  <c r="J208" i="9"/>
  <c r="B203" i="9"/>
  <c r="L209" i="9"/>
  <c r="K202" i="9"/>
  <c r="J209" i="9"/>
  <c r="I202" i="9"/>
  <c r="I927" i="9" s="1"/>
  <c r="E209" i="9"/>
  <c r="B202" i="9"/>
  <c r="K209" i="9"/>
  <c r="J202" i="9"/>
  <c r="I209" i="9"/>
  <c r="I934" i="9" s="1"/>
  <c r="E202" i="9"/>
  <c r="B209" i="9"/>
  <c r="K205" i="9"/>
  <c r="B205" i="9"/>
  <c r="K204" i="9"/>
  <c r="E207" i="9"/>
  <c r="L208" i="9"/>
  <c r="I203" i="9"/>
  <c r="I928" i="9" s="1"/>
  <c r="J247" i="9"/>
  <c r="J250" i="9"/>
  <c r="I244" i="9"/>
  <c r="I953" i="9" s="1"/>
  <c r="E247" i="9"/>
  <c r="E245" i="9"/>
  <c r="E236" i="9"/>
  <c r="I253" i="9"/>
  <c r="I962" i="9" s="1"/>
  <c r="J238" i="9"/>
  <c r="E251" i="9"/>
  <c r="I147" i="9"/>
  <c r="I153" i="9"/>
  <c r="J151" i="9"/>
  <c r="J155" i="9"/>
  <c r="I156" i="9"/>
  <c r="J153" i="9"/>
  <c r="B251" i="9"/>
  <c r="J249" i="9"/>
  <c r="J253" i="9"/>
  <c r="J164" i="9"/>
  <c r="E239" i="9"/>
  <c r="E241" i="9"/>
  <c r="J246" i="9"/>
  <c r="B253" i="9"/>
  <c r="J148" i="9"/>
  <c r="L292" i="9"/>
  <c r="K299" i="9"/>
  <c r="J292" i="9"/>
  <c r="I299" i="9"/>
  <c r="I988" i="9" s="1"/>
  <c r="E292" i="9"/>
  <c r="B299" i="9"/>
  <c r="K297" i="9"/>
  <c r="I297" i="9"/>
  <c r="I986" i="9" s="1"/>
  <c r="B297" i="9"/>
  <c r="L295" i="9"/>
  <c r="J295" i="9"/>
  <c r="E295" i="9"/>
  <c r="L296" i="9"/>
  <c r="I295" i="9"/>
  <c r="I984" i="9" s="1"/>
  <c r="K294" i="9"/>
  <c r="B294" i="9"/>
  <c r="L293" i="9"/>
  <c r="K298" i="9"/>
  <c r="J293" i="9"/>
  <c r="I298" i="9"/>
  <c r="I987" i="9" s="1"/>
  <c r="E293" i="9"/>
  <c r="B298" i="9"/>
  <c r="L294" i="9"/>
  <c r="J294" i="9"/>
  <c r="E294" i="9"/>
  <c r="K296" i="9"/>
  <c r="I296" i="9"/>
  <c r="I985" i="9" s="1"/>
  <c r="B296" i="9"/>
  <c r="J296" i="9"/>
  <c r="B295" i="9"/>
  <c r="J297" i="9"/>
  <c r="E297" i="9"/>
  <c r="L298" i="9"/>
  <c r="K293" i="9"/>
  <c r="J298" i="9"/>
  <c r="I293" i="9"/>
  <c r="I982" i="9" s="1"/>
  <c r="E298" i="9"/>
  <c r="B293" i="9"/>
  <c r="L299" i="9"/>
  <c r="K292" i="9"/>
  <c r="J299" i="9"/>
  <c r="I292" i="9"/>
  <c r="I981" i="9" s="1"/>
  <c r="E299" i="9"/>
  <c r="B292" i="9"/>
  <c r="K295" i="9"/>
  <c r="E296" i="9"/>
  <c r="L297" i="9"/>
  <c r="I294" i="9"/>
  <c r="I983" i="9" s="1"/>
  <c r="B245" i="9"/>
  <c r="B243" i="9"/>
  <c r="J242" i="9"/>
  <c r="I252" i="9"/>
  <c r="I961" i="9" s="1"/>
  <c r="I254" i="9"/>
  <c r="I963" i="9" s="1"/>
  <c r="I240" i="9"/>
  <c r="I949" i="9" s="1"/>
  <c r="I241" i="9"/>
  <c r="I950" i="9" s="1"/>
  <c r="B254" i="9"/>
  <c r="B248" i="9"/>
  <c r="I155" i="9"/>
  <c r="I161" i="9"/>
  <c r="I163" i="9"/>
  <c r="J144" i="9"/>
  <c r="J156" i="9"/>
  <c r="E151" i="9"/>
  <c r="E158" i="9"/>
  <c r="B156" i="9"/>
  <c r="E161" i="9"/>
  <c r="B151" i="9"/>
  <c r="E157" i="9"/>
  <c r="E145" i="9"/>
  <c r="B157" i="9"/>
  <c r="E153" i="9"/>
  <c r="E154" i="9"/>
  <c r="E160" i="9"/>
  <c r="B158" i="9"/>
  <c r="B164" i="9"/>
  <c r="B161" i="9"/>
  <c r="B152" i="9"/>
  <c r="E164" i="9"/>
  <c r="E163" i="9"/>
  <c r="B154" i="9"/>
  <c r="B153" i="9"/>
  <c r="E156" i="9"/>
  <c r="B163" i="9"/>
  <c r="E155" i="9"/>
  <c r="B160" i="9"/>
  <c r="B162" i="9"/>
  <c r="E148" i="9"/>
  <c r="E150" i="9"/>
  <c r="E147" i="9"/>
  <c r="B159" i="9"/>
  <c r="E162" i="9"/>
  <c r="E146" i="9"/>
  <c r="E149" i="9"/>
  <c r="E152" i="9"/>
  <c r="E159" i="9"/>
  <c r="B155" i="9"/>
  <c r="B146" i="9"/>
  <c r="B149" i="9"/>
  <c r="B145" i="9"/>
  <c r="B150" i="9"/>
  <c r="B147" i="9"/>
  <c r="B148" i="9"/>
  <c r="L115" i="9"/>
  <c r="K116" i="9"/>
  <c r="J117" i="9"/>
  <c r="I114" i="9"/>
  <c r="I875" i="9" s="1"/>
  <c r="E113" i="9"/>
  <c r="L116" i="9"/>
  <c r="K115" i="9"/>
  <c r="J118" i="9"/>
  <c r="I113" i="9"/>
  <c r="I874" i="9" s="1"/>
  <c r="B119" i="9"/>
  <c r="K112" i="9"/>
  <c r="L117" i="9"/>
  <c r="K114" i="9"/>
  <c r="J119" i="9"/>
  <c r="E119" i="9"/>
  <c r="B118" i="9"/>
  <c r="J112" i="9"/>
  <c r="L118" i="9"/>
  <c r="K113" i="9"/>
  <c r="I119" i="9"/>
  <c r="I880" i="9" s="1"/>
  <c r="E118" i="9"/>
  <c r="B117" i="9"/>
  <c r="I112" i="9"/>
  <c r="I873" i="9" s="1"/>
  <c r="L119" i="9"/>
  <c r="J113" i="9"/>
  <c r="I118" i="9"/>
  <c r="I879" i="9" s="1"/>
  <c r="E117" i="9"/>
  <c r="B116" i="9"/>
  <c r="E112" i="9"/>
  <c r="K119" i="9"/>
  <c r="J114" i="9"/>
  <c r="I117" i="9"/>
  <c r="I878" i="9" s="1"/>
  <c r="E116" i="9"/>
  <c r="B115" i="9"/>
  <c r="B112" i="9"/>
  <c r="L113" i="9"/>
  <c r="K118" i="9"/>
  <c r="J115" i="9"/>
  <c r="I116" i="9"/>
  <c r="I877" i="9" s="1"/>
  <c r="E115" i="9"/>
  <c r="B114" i="9"/>
  <c r="L114" i="9"/>
  <c r="K117" i="9"/>
  <c r="J116" i="9"/>
  <c r="I115" i="9"/>
  <c r="I876" i="9" s="1"/>
  <c r="E114" i="9"/>
  <c r="B113" i="9"/>
  <c r="N53" i="9"/>
  <c r="H110" i="8"/>
  <c r="H108" i="8"/>
  <c r="H118" i="8"/>
  <c r="H115" i="8"/>
  <c r="H112" i="8"/>
  <c r="H103" i="8"/>
  <c r="H91" i="8"/>
  <c r="H109" i="8"/>
  <c r="H117" i="8"/>
  <c r="H106" i="8"/>
  <c r="H105" i="8"/>
  <c r="E324" i="9"/>
  <c r="B144" i="9"/>
  <c r="B234" i="9"/>
  <c r="I324" i="9"/>
  <c r="I997" i="9" s="1"/>
  <c r="B235" i="9"/>
  <c r="J291" i="9"/>
  <c r="E291" i="9"/>
  <c r="L291" i="9"/>
  <c r="K291" i="9"/>
  <c r="B291" i="9"/>
  <c r="I291" i="9"/>
  <c r="I980" i="9" s="1"/>
  <c r="L111" i="9"/>
  <c r="K111" i="9"/>
  <c r="J111" i="9"/>
  <c r="E111" i="9"/>
  <c r="I111" i="9"/>
  <c r="I872" i="9" s="1"/>
  <c r="B111" i="9"/>
  <c r="E234" i="9"/>
  <c r="J234" i="9"/>
  <c r="B324" i="9"/>
  <c r="J324" i="9"/>
  <c r="E144" i="9"/>
  <c r="I234" i="9"/>
  <c r="I943" i="9" s="1"/>
  <c r="I201" i="9"/>
  <c r="I926" i="9" s="1"/>
  <c r="L201" i="9"/>
  <c r="K201" i="9"/>
  <c r="B201" i="9"/>
  <c r="J201" i="9"/>
  <c r="E201" i="9"/>
  <c r="Q108" i="8"/>
  <c r="Q111" i="8"/>
  <c r="Q102" i="8"/>
  <c r="Q91" i="8"/>
  <c r="Q104" i="8"/>
  <c r="Q105" i="8"/>
  <c r="Q106" i="8"/>
  <c r="Q90" i="8"/>
  <c r="Q116" i="8"/>
  <c r="Q114" i="8"/>
  <c r="Q118" i="8"/>
  <c r="Q97" i="8"/>
  <c r="Q110" i="8"/>
  <c r="Q112" i="8"/>
  <c r="Q99" i="8"/>
  <c r="Q113" i="8"/>
  <c r="Q93" i="8"/>
  <c r="Q96" i="8"/>
  <c r="Q101" i="8"/>
  <c r="Q107" i="8"/>
  <c r="Q92" i="8"/>
  <c r="Q103" i="8"/>
  <c r="Q109" i="8"/>
  <c r="Q98" i="8"/>
  <c r="Q94" i="8"/>
  <c r="Q117" i="8"/>
  <c r="Q95" i="8"/>
  <c r="Q100" i="8"/>
  <c r="Q115" i="8"/>
  <c r="X90" i="8"/>
  <c r="X93" i="8"/>
  <c r="X92" i="8"/>
  <c r="X97" i="8"/>
  <c r="X114" i="8"/>
  <c r="X96" i="8"/>
  <c r="X108" i="8"/>
  <c r="X110" i="8"/>
  <c r="X98" i="8"/>
  <c r="X101" i="8"/>
  <c r="X104" i="8"/>
  <c r="X111" i="8"/>
  <c r="X117" i="8"/>
  <c r="X94" i="8"/>
  <c r="X103" i="8"/>
  <c r="X116" i="8"/>
  <c r="X106" i="8"/>
  <c r="X109" i="8"/>
  <c r="X118" i="8"/>
  <c r="X95" i="8"/>
  <c r="X107" i="8"/>
  <c r="X115" i="8"/>
  <c r="X91" i="8"/>
  <c r="X102" i="8"/>
  <c r="X105" i="8"/>
  <c r="X100" i="8"/>
  <c r="X99" i="8"/>
  <c r="X113" i="8"/>
  <c r="X112" i="8"/>
  <c r="H116" i="8"/>
  <c r="H93" i="8"/>
  <c r="H101" i="8"/>
  <c r="H111" i="8"/>
  <c r="H114" i="8"/>
  <c r="N89" i="8"/>
  <c r="H107" i="8"/>
  <c r="H113" i="8"/>
  <c r="H104" i="8"/>
  <c r="N20" i="9"/>
  <c r="H94" i="8"/>
  <c r="H102" i="8"/>
  <c r="H90" i="8"/>
  <c r="H97" i="8"/>
  <c r="H92" i="8"/>
  <c r="H96" i="8"/>
  <c r="H95" i="8"/>
  <c r="H99" i="8"/>
  <c r="H100" i="8"/>
  <c r="H98" i="8"/>
  <c r="V117" i="9" l="1"/>
  <c r="T117" i="9"/>
  <c r="T132" i="9"/>
  <c r="V132" i="9"/>
  <c r="V143" i="9"/>
  <c r="T143" i="9"/>
  <c r="V292" i="9"/>
  <c r="T292" i="9"/>
  <c r="V296" i="9"/>
  <c r="T296" i="9"/>
  <c r="V205" i="9"/>
  <c r="T205" i="9"/>
  <c r="V231" i="9"/>
  <c r="T231" i="9"/>
  <c r="V229" i="9"/>
  <c r="T229" i="9"/>
  <c r="V312" i="9"/>
  <c r="T312" i="9"/>
  <c r="V321" i="9"/>
  <c r="T321" i="9"/>
  <c r="V127" i="9"/>
  <c r="T127" i="9"/>
  <c r="V145" i="9"/>
  <c r="T145" i="9"/>
  <c r="V146" i="9"/>
  <c r="T146" i="9"/>
  <c r="V133" i="9"/>
  <c r="T133" i="9"/>
  <c r="V313" i="9"/>
  <c r="T313" i="9"/>
  <c r="V326" i="9"/>
  <c r="T326" i="9"/>
  <c r="V309" i="9"/>
  <c r="T309" i="9"/>
  <c r="V217" i="9"/>
  <c r="T217" i="9"/>
  <c r="T116" i="9"/>
  <c r="V116" i="9"/>
  <c r="V131" i="9"/>
  <c r="T131" i="9"/>
  <c r="V141" i="9"/>
  <c r="T141" i="9"/>
  <c r="T140" i="9"/>
  <c r="V140" i="9"/>
  <c r="V225" i="9"/>
  <c r="T225" i="9"/>
  <c r="V209" i="9"/>
  <c r="T209" i="9"/>
  <c r="V206" i="9"/>
  <c r="T206" i="9"/>
  <c r="V228" i="9"/>
  <c r="T228" i="9"/>
  <c r="V232" i="9"/>
  <c r="T232" i="9"/>
  <c r="V223" i="9"/>
  <c r="T223" i="9"/>
  <c r="V316" i="9"/>
  <c r="T316" i="9"/>
  <c r="V315" i="9"/>
  <c r="T315" i="9"/>
  <c r="V308" i="9"/>
  <c r="T308" i="9"/>
  <c r="V306" i="9"/>
  <c r="T306" i="9"/>
  <c r="T112" i="9"/>
  <c r="V112" i="9"/>
  <c r="T128" i="9"/>
  <c r="V128" i="9"/>
  <c r="V135" i="9"/>
  <c r="T135" i="9"/>
  <c r="V138" i="9"/>
  <c r="T138" i="9"/>
  <c r="V230" i="9"/>
  <c r="T230" i="9"/>
  <c r="V227" i="9"/>
  <c r="T227" i="9"/>
  <c r="V297" i="9"/>
  <c r="T297" i="9"/>
  <c r="V224" i="9"/>
  <c r="T224" i="9"/>
  <c r="V221" i="9"/>
  <c r="T221" i="9"/>
  <c r="V201" i="9"/>
  <c r="T201" i="9"/>
  <c r="V216" i="9"/>
  <c r="T216" i="9"/>
  <c r="V115" i="9"/>
  <c r="T115" i="9"/>
  <c r="V119" i="9"/>
  <c r="T119" i="9"/>
  <c r="V137" i="9"/>
  <c r="T137" i="9"/>
  <c r="T136" i="9"/>
  <c r="V136" i="9"/>
  <c r="V236" i="9"/>
  <c r="T236" i="9"/>
  <c r="V294" i="9"/>
  <c r="T294" i="9"/>
  <c r="V233" i="9"/>
  <c r="T233" i="9"/>
  <c r="V219" i="9"/>
  <c r="T219" i="9"/>
  <c r="V226" i="9"/>
  <c r="T226" i="9"/>
  <c r="V314" i="9"/>
  <c r="T314" i="9"/>
  <c r="V291" i="9"/>
  <c r="T291" i="9"/>
  <c r="V126" i="9"/>
  <c r="T126" i="9"/>
  <c r="V114" i="9"/>
  <c r="T114" i="9"/>
  <c r="V235" i="9"/>
  <c r="T235" i="9"/>
  <c r="V203" i="9"/>
  <c r="T203" i="9"/>
  <c r="V207" i="9"/>
  <c r="T207" i="9"/>
  <c r="V204" i="9"/>
  <c r="T204" i="9"/>
  <c r="V208" i="9"/>
  <c r="T208" i="9"/>
  <c r="V234" i="9"/>
  <c r="T234" i="9"/>
  <c r="V218" i="9"/>
  <c r="T218" i="9"/>
  <c r="V322" i="9"/>
  <c r="T322" i="9"/>
  <c r="V325" i="9"/>
  <c r="T325" i="9"/>
  <c r="V318" i="9"/>
  <c r="T318" i="9"/>
  <c r="V307" i="9"/>
  <c r="T307" i="9"/>
  <c r="V323" i="9"/>
  <c r="T323" i="9"/>
  <c r="V310" i="9"/>
  <c r="T310" i="9"/>
  <c r="V111" i="9"/>
  <c r="T111" i="9"/>
  <c r="V118" i="9"/>
  <c r="T118" i="9"/>
  <c r="V130" i="9"/>
  <c r="T130" i="9"/>
  <c r="T144" i="9"/>
  <c r="V144" i="9"/>
  <c r="V139" i="9"/>
  <c r="T139" i="9"/>
  <c r="V293" i="9"/>
  <c r="T293" i="9"/>
  <c r="V295" i="9"/>
  <c r="T295" i="9"/>
  <c r="V298" i="9"/>
  <c r="T298" i="9"/>
  <c r="V299" i="9"/>
  <c r="T299" i="9"/>
  <c r="V222" i="9"/>
  <c r="T222" i="9"/>
  <c r="V311" i="9"/>
  <c r="T311" i="9"/>
  <c r="V324" i="9"/>
  <c r="T324" i="9"/>
  <c r="V320" i="9"/>
  <c r="T320" i="9"/>
  <c r="V317" i="9"/>
  <c r="T317" i="9"/>
  <c r="V113" i="9"/>
  <c r="T113" i="9"/>
  <c r="V129" i="9"/>
  <c r="T129" i="9"/>
  <c r="V142" i="9"/>
  <c r="T142" i="9"/>
  <c r="V134" i="9"/>
  <c r="T134" i="9"/>
  <c r="V202" i="9"/>
  <c r="T202" i="9"/>
  <c r="V220" i="9"/>
  <c r="T220" i="9"/>
  <c r="V319" i="9"/>
  <c r="T319" i="9"/>
  <c r="I895" i="9"/>
  <c r="I903" i="9"/>
  <c r="I889" i="9"/>
  <c r="I907" i="9"/>
  <c r="I896" i="9"/>
  <c r="I909" i="9"/>
  <c r="I890" i="9"/>
  <c r="I902" i="9"/>
  <c r="I894" i="9"/>
  <c r="I893" i="9"/>
  <c r="I897" i="9"/>
  <c r="I891" i="9"/>
  <c r="I901" i="9"/>
  <c r="I906" i="9"/>
  <c r="I908" i="9"/>
  <c r="I892" i="9"/>
  <c r="I905" i="9"/>
  <c r="I899" i="9"/>
  <c r="I904" i="9"/>
  <c r="I900" i="9"/>
  <c r="I898" i="9"/>
  <c r="M90" i="8"/>
  <c r="V89" i="8"/>
  <c r="U89" i="8"/>
  <c r="B774" i="9"/>
  <c r="B1008" i="9"/>
  <c r="B771" i="9"/>
  <c r="B1005" i="9"/>
  <c r="B780" i="9"/>
  <c r="B1014" i="9"/>
  <c r="B773" i="9"/>
  <c r="B1007" i="9"/>
  <c r="B746" i="9"/>
  <c r="B980" i="9"/>
  <c r="B765" i="9"/>
  <c r="B999" i="9"/>
  <c r="B767" i="9"/>
  <c r="B1001" i="9"/>
  <c r="B752" i="9"/>
  <c r="B986" i="9"/>
  <c r="B770" i="9"/>
  <c r="B1004" i="9"/>
  <c r="B764" i="9"/>
  <c r="B998" i="9"/>
  <c r="B783" i="9"/>
  <c r="B1017" i="9"/>
  <c r="E769" i="9"/>
  <c r="E1003" i="9"/>
  <c r="E781" i="9"/>
  <c r="E1015" i="9"/>
  <c r="E754" i="9"/>
  <c r="E988" i="9"/>
  <c r="E765" i="9"/>
  <c r="E999" i="9"/>
  <c r="B747" i="9"/>
  <c r="B981" i="9"/>
  <c r="B768" i="9"/>
  <c r="B1002" i="9"/>
  <c r="E752" i="9"/>
  <c r="E986" i="9"/>
  <c r="B778" i="9"/>
  <c r="B1012" i="9"/>
  <c r="E774" i="9"/>
  <c r="E1008" i="9"/>
  <c r="B781" i="9"/>
  <c r="B1015" i="9"/>
  <c r="E767" i="9"/>
  <c r="E1001" i="9"/>
  <c r="E764" i="9"/>
  <c r="E998" i="9"/>
  <c r="B763" i="9"/>
  <c r="B997" i="9"/>
  <c r="B754" i="9"/>
  <c r="B988" i="9"/>
  <c r="E747" i="9"/>
  <c r="E981" i="9"/>
  <c r="E746" i="9"/>
  <c r="E980" i="9"/>
  <c r="E771" i="9"/>
  <c r="E1005" i="9"/>
  <c r="E775" i="9"/>
  <c r="E1009" i="9"/>
  <c r="B766" i="9"/>
  <c r="B1000" i="9"/>
  <c r="B769" i="9"/>
  <c r="B1003" i="9"/>
  <c r="B772" i="9"/>
  <c r="B1006" i="9"/>
  <c r="E772" i="9"/>
  <c r="E1006" i="9"/>
  <c r="E749" i="9"/>
  <c r="E983" i="9"/>
  <c r="E777" i="9"/>
  <c r="E1011" i="9"/>
  <c r="E750" i="9"/>
  <c r="E984" i="9"/>
  <c r="E782" i="9"/>
  <c r="E1016" i="9"/>
  <c r="B782" i="9"/>
  <c r="B1016" i="9"/>
  <c r="E768" i="9"/>
  <c r="E1002" i="9"/>
  <c r="B748" i="9"/>
  <c r="B982" i="9"/>
  <c r="B749" i="9"/>
  <c r="B983" i="9"/>
  <c r="B750" i="9"/>
  <c r="B984" i="9"/>
  <c r="E779" i="9"/>
  <c r="E1013" i="9"/>
  <c r="E776" i="9"/>
  <c r="E1010" i="9"/>
  <c r="B775" i="9"/>
  <c r="B1009" i="9"/>
  <c r="E753" i="9"/>
  <c r="E987" i="9"/>
  <c r="E748" i="9"/>
  <c r="E982" i="9"/>
  <c r="E766" i="9"/>
  <c r="E1000" i="9"/>
  <c r="E763" i="9"/>
  <c r="E997" i="9"/>
  <c r="B777" i="9"/>
  <c r="B1011" i="9"/>
  <c r="B751" i="9"/>
  <c r="B985" i="9"/>
  <c r="B776" i="9"/>
  <c r="B1010" i="9"/>
  <c r="E778" i="9"/>
  <c r="E1012" i="9"/>
  <c r="B779" i="9"/>
  <c r="B1013" i="9"/>
  <c r="B753" i="9"/>
  <c r="B987" i="9"/>
  <c r="E751" i="9"/>
  <c r="E985" i="9"/>
  <c r="E770" i="9"/>
  <c r="E1004" i="9"/>
  <c r="E783" i="9"/>
  <c r="E1017" i="9"/>
  <c r="E773" i="9"/>
  <c r="E1007" i="9"/>
  <c r="E780" i="9"/>
  <c r="E1014" i="9"/>
  <c r="B680" i="9"/>
  <c r="B934" i="9"/>
  <c r="E678" i="9"/>
  <c r="E932" i="9"/>
  <c r="E706" i="9"/>
  <c r="E960" i="9"/>
  <c r="B708" i="9"/>
  <c r="B962" i="9"/>
  <c r="E708" i="9"/>
  <c r="E962" i="9"/>
  <c r="B675" i="9"/>
  <c r="B929" i="9"/>
  <c r="E694" i="9"/>
  <c r="E948" i="9"/>
  <c r="B698" i="9"/>
  <c r="B952" i="9"/>
  <c r="B703" i="9"/>
  <c r="B957" i="9"/>
  <c r="E703" i="9"/>
  <c r="E957" i="9"/>
  <c r="B701" i="9"/>
  <c r="B955" i="9"/>
  <c r="E677" i="9"/>
  <c r="E931" i="9"/>
  <c r="E673" i="9"/>
  <c r="E927" i="9"/>
  <c r="E700" i="9"/>
  <c r="E954" i="9"/>
  <c r="E707" i="9"/>
  <c r="E961" i="9"/>
  <c r="B705" i="9"/>
  <c r="B959" i="9"/>
  <c r="B674" i="9"/>
  <c r="B928" i="9"/>
  <c r="E674" i="9"/>
  <c r="E928" i="9"/>
  <c r="B704" i="9"/>
  <c r="B958" i="9"/>
  <c r="E699" i="9"/>
  <c r="E996" i="9" s="1"/>
  <c r="E953" i="9"/>
  <c r="B697" i="9"/>
  <c r="B951" i="9"/>
  <c r="B689" i="9"/>
  <c r="B943" i="9"/>
  <c r="E689" i="9"/>
  <c r="E943" i="9"/>
  <c r="B695" i="9"/>
  <c r="B949" i="9"/>
  <c r="B700" i="9"/>
  <c r="B954" i="9"/>
  <c r="E696" i="9"/>
  <c r="E950" i="9"/>
  <c r="B691" i="9"/>
  <c r="B945" i="9"/>
  <c r="B690" i="9"/>
  <c r="B944" i="9"/>
  <c r="E695" i="9"/>
  <c r="E949" i="9"/>
  <c r="B677" i="9"/>
  <c r="B931" i="9"/>
  <c r="B709" i="9"/>
  <c r="B963" i="9"/>
  <c r="E691" i="9"/>
  <c r="E945" i="9"/>
  <c r="E705" i="9"/>
  <c r="E959" i="9"/>
  <c r="E675" i="9"/>
  <c r="E929" i="9"/>
  <c r="E679" i="9"/>
  <c r="E933" i="9"/>
  <c r="B673" i="9"/>
  <c r="B927" i="9"/>
  <c r="B707" i="9"/>
  <c r="B961" i="9"/>
  <c r="B702" i="9"/>
  <c r="B956" i="9"/>
  <c r="B694" i="9"/>
  <c r="B948" i="9"/>
  <c r="E697" i="9"/>
  <c r="E951" i="9"/>
  <c r="B699" i="9"/>
  <c r="B953" i="9"/>
  <c r="E704" i="9"/>
  <c r="E958" i="9"/>
  <c r="E692" i="9"/>
  <c r="E946" i="9"/>
  <c r="E709" i="9"/>
  <c r="E963" i="9"/>
  <c r="E693" i="9"/>
  <c r="E947" i="9"/>
  <c r="E672" i="9"/>
  <c r="E926" i="9"/>
  <c r="E680" i="9"/>
  <c r="E934" i="9"/>
  <c r="B672" i="9"/>
  <c r="B926" i="9"/>
  <c r="E701" i="9"/>
  <c r="E955" i="9"/>
  <c r="E690" i="9"/>
  <c r="E944" i="9"/>
  <c r="B679" i="9"/>
  <c r="B933" i="9"/>
  <c r="B678" i="9"/>
  <c r="B932" i="9"/>
  <c r="B676" i="9"/>
  <c r="B930" i="9"/>
  <c r="E676" i="9"/>
  <c r="E930" i="9"/>
  <c r="B706" i="9"/>
  <c r="B960" i="9"/>
  <c r="B692" i="9"/>
  <c r="B946" i="9"/>
  <c r="E698" i="9"/>
  <c r="E952" i="9"/>
  <c r="E702" i="9"/>
  <c r="E956" i="9"/>
  <c r="B696" i="9"/>
  <c r="B950" i="9"/>
  <c r="B693" i="9"/>
  <c r="B947" i="9"/>
  <c r="B635" i="9"/>
  <c r="B909" i="9"/>
  <c r="B620" i="9"/>
  <c r="B894" i="9"/>
  <c r="E635" i="9"/>
  <c r="E909" i="9"/>
  <c r="B615" i="9"/>
  <c r="B889" i="9"/>
  <c r="B629" i="9"/>
  <c r="B903" i="9"/>
  <c r="B606" i="9"/>
  <c r="B880" i="9"/>
  <c r="E619" i="9"/>
  <c r="E893" i="9"/>
  <c r="E618" i="9"/>
  <c r="E892" i="9"/>
  <c r="E620" i="9"/>
  <c r="E894" i="9"/>
  <c r="E627" i="9"/>
  <c r="E901" i="9"/>
  <c r="E603" i="9"/>
  <c r="E877" i="9"/>
  <c r="B599" i="9"/>
  <c r="B873" i="9"/>
  <c r="E605" i="9"/>
  <c r="E879" i="9"/>
  <c r="B601" i="9"/>
  <c r="B875" i="9"/>
  <c r="E624" i="9"/>
  <c r="E898" i="9"/>
  <c r="E631" i="9"/>
  <c r="E905" i="9"/>
  <c r="E621" i="9"/>
  <c r="E895" i="9"/>
  <c r="B624" i="9"/>
  <c r="B898" i="9"/>
  <c r="E628" i="9"/>
  <c r="E902" i="9"/>
  <c r="E615" i="9"/>
  <c r="E889" i="9"/>
  <c r="B617" i="9"/>
  <c r="B891" i="9"/>
  <c r="B600" i="9"/>
  <c r="B874" i="9"/>
  <c r="B604" i="9"/>
  <c r="B878" i="9"/>
  <c r="E616" i="9"/>
  <c r="E890" i="9"/>
  <c r="B631" i="9"/>
  <c r="B905" i="9"/>
  <c r="E617" i="9"/>
  <c r="E891" i="9"/>
  <c r="E604" i="9"/>
  <c r="E878" i="9"/>
  <c r="E634" i="9"/>
  <c r="E908" i="9"/>
  <c r="E626" i="9"/>
  <c r="E900" i="9"/>
  <c r="B618" i="9"/>
  <c r="B892" i="9"/>
  <c r="B616" i="9"/>
  <c r="B890" i="9"/>
  <c r="E633" i="9"/>
  <c r="E907" i="9"/>
  <c r="B598" i="9"/>
  <c r="B872" i="9"/>
  <c r="B632" i="9"/>
  <c r="B906" i="9"/>
  <c r="B628" i="9"/>
  <c r="B902" i="9"/>
  <c r="B619" i="9"/>
  <c r="B893" i="9"/>
  <c r="E600" i="9"/>
  <c r="E874" i="9"/>
  <c r="E622" i="9"/>
  <c r="E896" i="9"/>
  <c r="B634" i="9"/>
  <c r="B908" i="9"/>
  <c r="E598" i="9"/>
  <c r="E872" i="9"/>
  <c r="E599" i="9"/>
  <c r="E873" i="9"/>
  <c r="B605" i="9"/>
  <c r="B879" i="9"/>
  <c r="B602" i="9"/>
  <c r="B876" i="9"/>
  <c r="B626" i="9"/>
  <c r="B900" i="9"/>
  <c r="E601" i="9"/>
  <c r="E875" i="9"/>
  <c r="E625" i="9"/>
  <c r="E899" i="9"/>
  <c r="E602" i="9"/>
  <c r="E876" i="9"/>
  <c r="B630" i="9"/>
  <c r="B904" i="9"/>
  <c r="E623" i="9"/>
  <c r="E897" i="9"/>
  <c r="B633" i="9"/>
  <c r="B907" i="9"/>
  <c r="E629" i="9"/>
  <c r="E903" i="9"/>
  <c r="B603" i="9"/>
  <c r="B877" i="9"/>
  <c r="B622" i="9"/>
  <c r="B896" i="9"/>
  <c r="B621" i="9"/>
  <c r="B895" i="9"/>
  <c r="B625" i="9"/>
  <c r="B899" i="9"/>
  <c r="B623" i="9"/>
  <c r="B897" i="9"/>
  <c r="E632" i="9"/>
  <c r="E906" i="9"/>
  <c r="E606" i="9"/>
  <c r="E880" i="9"/>
  <c r="E630" i="9"/>
  <c r="E904" i="9"/>
  <c r="B627" i="9"/>
  <c r="B901" i="9"/>
  <c r="N112" i="8"/>
  <c r="M98" i="8"/>
  <c r="M118" i="8"/>
  <c r="M109" i="8"/>
  <c r="M93" i="8"/>
  <c r="N91" i="8"/>
  <c r="M114" i="8"/>
  <c r="N96" i="8"/>
  <c r="G291" i="9"/>
  <c r="G980" i="9" s="1"/>
  <c r="G111" i="9"/>
  <c r="G872" i="9" s="1"/>
  <c r="G112" i="9"/>
  <c r="G873" i="9" s="1"/>
  <c r="G292" i="9"/>
  <c r="G981" i="9" s="1"/>
  <c r="M106" i="8"/>
  <c r="N92" i="8"/>
  <c r="N94" i="8"/>
  <c r="M100" i="8"/>
  <c r="M96" i="8"/>
  <c r="M102" i="8"/>
  <c r="N115" i="8"/>
  <c r="N117" i="8"/>
  <c r="N111" i="8"/>
  <c r="M116" i="8"/>
  <c r="M112" i="8"/>
  <c r="M110" i="8"/>
  <c r="M92" i="8"/>
  <c r="N98" i="8"/>
  <c r="N100" i="8"/>
  <c r="N102" i="8"/>
  <c r="N107" i="8"/>
  <c r="N109" i="8"/>
  <c r="N105" i="8"/>
  <c r="M107" i="8"/>
  <c r="M99" i="8"/>
  <c r="M105" i="8"/>
  <c r="N113" i="8"/>
  <c r="M94" i="8"/>
  <c r="N103" i="8"/>
  <c r="M117" i="8"/>
  <c r="N106" i="8"/>
  <c r="N108" i="8"/>
  <c r="N110" i="8"/>
  <c r="N99" i="8"/>
  <c r="N101" i="8"/>
  <c r="N95" i="8"/>
  <c r="N97" i="8"/>
  <c r="M115" i="8"/>
  <c r="M111" i="8"/>
  <c r="M104" i="8"/>
  <c r="M97" i="8"/>
  <c r="M91" i="8"/>
  <c r="M113" i="8"/>
  <c r="N104" i="8"/>
  <c r="N114" i="8"/>
  <c r="N116" i="8"/>
  <c r="N118" i="8"/>
  <c r="N93" i="8"/>
  <c r="N90" i="8"/>
  <c r="M101" i="8"/>
  <c r="M95" i="8"/>
  <c r="M103" i="8"/>
  <c r="M108" i="8"/>
  <c r="U91" i="8"/>
  <c r="V91" i="8"/>
  <c r="V90" i="8"/>
  <c r="U90" i="8"/>
  <c r="U103" i="8"/>
  <c r="V106" i="8"/>
  <c r="U112" i="8"/>
  <c r="U104" i="8"/>
  <c r="U96" i="8"/>
  <c r="U117" i="8"/>
  <c r="U101" i="8"/>
  <c r="V108" i="8"/>
  <c r="V98" i="8"/>
  <c r="V113" i="8"/>
  <c r="V105" i="8"/>
  <c r="V97" i="8"/>
  <c r="U115" i="8"/>
  <c r="U99" i="8"/>
  <c r="U110" i="8"/>
  <c r="U102" i="8"/>
  <c r="U113" i="8"/>
  <c r="V116" i="8"/>
  <c r="V96" i="8"/>
  <c r="V111" i="8"/>
  <c r="V103" i="8"/>
  <c r="U111" i="8"/>
  <c r="V118" i="8"/>
  <c r="U116" i="8"/>
  <c r="U108" i="8"/>
  <c r="U100" i="8"/>
  <c r="U92" i="8"/>
  <c r="U109" i="8"/>
  <c r="U95" i="8"/>
  <c r="V112" i="8"/>
  <c r="V102" i="8"/>
  <c r="V94" i="8"/>
  <c r="V117" i="8"/>
  <c r="V109" i="8"/>
  <c r="V101" i="8"/>
  <c r="V93" i="8"/>
  <c r="U107" i="8"/>
  <c r="V114" i="8"/>
  <c r="U114" i="8"/>
  <c r="U106" i="8"/>
  <c r="U98" i="8"/>
  <c r="U105" i="8"/>
  <c r="U93" i="8"/>
  <c r="V110" i="8"/>
  <c r="V100" i="8"/>
  <c r="V92" i="8"/>
  <c r="V115" i="8"/>
  <c r="V107" i="8"/>
  <c r="V99" i="8"/>
  <c r="U118" i="8"/>
  <c r="U94" i="8"/>
  <c r="U97" i="8"/>
  <c r="V104" i="8"/>
  <c r="V95" i="8"/>
  <c r="G33" i="9"/>
  <c r="U141" i="9" l="1"/>
  <c r="Y141" i="9" s="1"/>
  <c r="U111" i="9"/>
  <c r="U143" i="9"/>
  <c r="Y143" i="9" s="1"/>
  <c r="U142" i="9"/>
  <c r="Y142" i="9" s="1"/>
  <c r="U140" i="9"/>
  <c r="U148" i="9"/>
  <c r="U137" i="9"/>
  <c r="U115" i="9"/>
  <c r="U147" i="9"/>
  <c r="U114" i="9"/>
  <c r="U146" i="9"/>
  <c r="Y146" i="9" s="1"/>
  <c r="U112" i="9"/>
  <c r="U144" i="9"/>
  <c r="Y144" i="9" s="1"/>
  <c r="U133" i="9"/>
  <c r="U119" i="9"/>
  <c r="U116" i="9"/>
  <c r="U118" i="9"/>
  <c r="U129" i="9"/>
  <c r="U123" i="9"/>
  <c r="U151" i="9"/>
  <c r="U122" i="9"/>
  <c r="U120" i="9"/>
  <c r="U125" i="9"/>
  <c r="U127" i="9"/>
  <c r="U152" i="9"/>
  <c r="U126" i="9"/>
  <c r="U124" i="9"/>
  <c r="U117" i="9"/>
  <c r="U135" i="9"/>
  <c r="U134" i="9"/>
  <c r="U150" i="9"/>
  <c r="U121" i="9"/>
  <c r="U131" i="9"/>
  <c r="U130" i="9"/>
  <c r="U128" i="9"/>
  <c r="U149" i="9"/>
  <c r="U132" i="9"/>
  <c r="U145" i="9"/>
  <c r="Y145" i="9" s="1"/>
  <c r="U113" i="9"/>
  <c r="U139" i="9"/>
  <c r="U138" i="9"/>
  <c r="U136" i="9"/>
  <c r="U331" i="9"/>
  <c r="U325" i="9"/>
  <c r="Y325" i="9" s="1"/>
  <c r="U302" i="9"/>
  <c r="U300" i="9"/>
  <c r="U299" i="9"/>
  <c r="U303" i="9"/>
  <c r="U309" i="9"/>
  <c r="U322" i="9"/>
  <c r="Y322" i="9" s="1"/>
  <c r="U314" i="9"/>
  <c r="U293" i="9"/>
  <c r="U304" i="9"/>
  <c r="U317" i="9"/>
  <c r="U318" i="9"/>
  <c r="U307" i="9"/>
  <c r="U297" i="9"/>
  <c r="U306" i="9"/>
  <c r="U298" i="9"/>
  <c r="U321" i="9"/>
  <c r="Y321" i="9" s="1"/>
  <c r="U312" i="9"/>
  <c r="U311" i="9"/>
  <c r="U292" i="9"/>
  <c r="U323" i="9"/>
  <c r="Y323" i="9" s="1"/>
  <c r="U301" i="9"/>
  <c r="U326" i="9"/>
  <c r="Y326" i="9" s="1"/>
  <c r="U316" i="9"/>
  <c r="U315" i="9"/>
  <c r="U319" i="9"/>
  <c r="U329" i="9"/>
  <c r="U324" i="9"/>
  <c r="Y324" i="9" s="1"/>
  <c r="U332" i="9"/>
  <c r="U305" i="9"/>
  <c r="U320" i="9"/>
  <c r="U294" i="9"/>
  <c r="U291" i="9"/>
  <c r="U310" i="9"/>
  <c r="U328" i="9"/>
  <c r="U313" i="9"/>
  <c r="U296" i="9"/>
  <c r="U330" i="9"/>
  <c r="U295" i="9"/>
  <c r="U327" i="9"/>
  <c r="U308" i="9"/>
  <c r="U228" i="9"/>
  <c r="U219" i="9"/>
  <c r="U226" i="9"/>
  <c r="U237" i="9"/>
  <c r="U203" i="9"/>
  <c r="U211" i="9"/>
  <c r="U224" i="9"/>
  <c r="U220" i="9"/>
  <c r="U215" i="9"/>
  <c r="U222" i="9"/>
  <c r="U233" i="9"/>
  <c r="Y233" i="9" s="1"/>
  <c r="U232" i="9"/>
  <c r="Y232" i="9" s="1"/>
  <c r="U218" i="9"/>
  <c r="U240" i="9"/>
  <c r="U229" i="9"/>
  <c r="U206" i="9"/>
  <c r="U239" i="9"/>
  <c r="U207" i="9"/>
  <c r="U214" i="9"/>
  <c r="U225" i="9"/>
  <c r="U216" i="9"/>
  <c r="U202" i="9"/>
  <c r="U236" i="9"/>
  <c r="Y236" i="9" s="1"/>
  <c r="U235" i="9"/>
  <c r="Y235" i="9" s="1"/>
  <c r="U242" i="9"/>
  <c r="U210" i="9"/>
  <c r="U221" i="9"/>
  <c r="U208" i="9"/>
  <c r="U227" i="9"/>
  <c r="U201" i="9"/>
  <c r="U231" i="9"/>
  <c r="Y231" i="9" s="1"/>
  <c r="U241" i="9"/>
  <c r="U205" i="9"/>
  <c r="U217" i="9"/>
  <c r="U204" i="9"/>
  <c r="U234" i="9"/>
  <c r="Y234" i="9" s="1"/>
  <c r="U213" i="9"/>
  <c r="U223" i="9"/>
  <c r="U230" i="9"/>
  <c r="U238" i="9"/>
  <c r="U209" i="9"/>
  <c r="U212" i="9"/>
  <c r="U200" i="9"/>
  <c r="Y200" i="9" s="1"/>
  <c r="Z200" i="9" s="1"/>
  <c r="E21" i="9"/>
  <c r="E818" i="9" s="1"/>
  <c r="J21" i="9"/>
  <c r="I21" i="9"/>
  <c r="L22" i="9"/>
  <c r="B22" i="9"/>
  <c r="K21" i="9"/>
  <c r="B21" i="9"/>
  <c r="L21" i="9"/>
  <c r="K22" i="9"/>
  <c r="E22" i="9"/>
  <c r="E819" i="9" s="1"/>
  <c r="J22" i="9"/>
  <c r="I22" i="9"/>
  <c r="I819" i="9" s="1"/>
  <c r="K23" i="9"/>
  <c r="G536" i="9"/>
  <c r="G830" i="9"/>
  <c r="N292" i="9"/>
  <c r="G747" i="9"/>
  <c r="N291" i="9"/>
  <c r="G746" i="9"/>
  <c r="N112" i="9"/>
  <c r="G599" i="9"/>
  <c r="N111" i="9"/>
  <c r="G598" i="9"/>
  <c r="N33" i="9"/>
  <c r="G201" i="9"/>
  <c r="G926" i="9" s="1"/>
  <c r="G113" i="9"/>
  <c r="G874" i="9" s="1"/>
  <c r="G203" i="9"/>
  <c r="G928" i="9" s="1"/>
  <c r="G327" i="9"/>
  <c r="G1000" i="9" s="1"/>
  <c r="G329" i="9"/>
  <c r="G1002" i="9" s="1"/>
  <c r="G247" i="9"/>
  <c r="G956" i="9" s="1"/>
  <c r="G158" i="9"/>
  <c r="G903" i="9" s="1"/>
  <c r="G330" i="9"/>
  <c r="G1003" i="9" s="1"/>
  <c r="G239" i="9"/>
  <c r="G948" i="9" s="1"/>
  <c r="G150" i="9"/>
  <c r="G340" i="9"/>
  <c r="G1013" i="9" s="1"/>
  <c r="G163" i="9"/>
  <c r="G908" i="9" s="1"/>
  <c r="G335" i="9"/>
  <c r="G1008" i="9" s="1"/>
  <c r="G331" i="9"/>
  <c r="G1004" i="9" s="1"/>
  <c r="G341" i="9"/>
  <c r="G1014" i="9" s="1"/>
  <c r="G164" i="9"/>
  <c r="G909" i="9" s="1"/>
  <c r="G338" i="9"/>
  <c r="G1011" i="9" s="1"/>
  <c r="G336" i="9"/>
  <c r="G1009" i="9" s="1"/>
  <c r="G344" i="9"/>
  <c r="G1017" i="9" s="1"/>
  <c r="G251" i="9"/>
  <c r="G960" i="9" s="1"/>
  <c r="G235" i="9"/>
  <c r="G944" i="9" s="1"/>
  <c r="G162" i="9"/>
  <c r="G907" i="9" s="1"/>
  <c r="G146" i="9"/>
  <c r="G334" i="9"/>
  <c r="G1007" i="9" s="1"/>
  <c r="G332" i="9"/>
  <c r="G1005" i="9" s="1"/>
  <c r="G328" i="9"/>
  <c r="G1001" i="9" s="1"/>
  <c r="G114" i="9"/>
  <c r="G875" i="9" s="1"/>
  <c r="G339" i="9"/>
  <c r="G1012" i="9" s="1"/>
  <c r="G342" i="9"/>
  <c r="G1015" i="9" s="1"/>
  <c r="G324" i="9"/>
  <c r="G997" i="9" s="1"/>
  <c r="G325" i="9"/>
  <c r="G998" i="9" s="1"/>
  <c r="G154" i="9"/>
  <c r="G243" i="9"/>
  <c r="G952" i="9" s="1"/>
  <c r="G295" i="9"/>
  <c r="G984" i="9" s="1"/>
  <c r="G118" i="9"/>
  <c r="G879" i="9" s="1"/>
  <c r="G294" i="9"/>
  <c r="G983" i="9" s="1"/>
  <c r="G296" i="9"/>
  <c r="G985" i="9" s="1"/>
  <c r="G117" i="9"/>
  <c r="G878" i="9" s="1"/>
  <c r="G333" i="9"/>
  <c r="G1006" i="9" s="1"/>
  <c r="G337" i="9"/>
  <c r="G1010" i="9" s="1"/>
  <c r="G343" i="9"/>
  <c r="G1016" i="9" s="1"/>
  <c r="G326" i="9"/>
  <c r="G999" i="9" s="1"/>
  <c r="G298" i="9"/>
  <c r="G987" i="9" s="1"/>
  <c r="G115" i="9"/>
  <c r="G876" i="9" s="1"/>
  <c r="G202" i="9"/>
  <c r="G927" i="9" s="1"/>
  <c r="G116" i="9"/>
  <c r="G877" i="9" s="1"/>
  <c r="G299" i="9"/>
  <c r="G988" i="9" s="1"/>
  <c r="G297" i="9"/>
  <c r="G986" i="9" s="1"/>
  <c r="G207" i="9"/>
  <c r="G932" i="9" s="1"/>
  <c r="G293" i="9"/>
  <c r="G982" i="9" s="1"/>
  <c r="E54" i="9"/>
  <c r="E835" i="9" s="1"/>
  <c r="B63" i="9"/>
  <c r="E71" i="9"/>
  <c r="E852" i="9" s="1"/>
  <c r="J57" i="9"/>
  <c r="B68" i="9"/>
  <c r="E64" i="9"/>
  <c r="I58" i="9"/>
  <c r="I839" i="9" s="1"/>
  <c r="I74" i="9"/>
  <c r="I855" i="9" s="1"/>
  <c r="J70" i="9"/>
  <c r="B65" i="9"/>
  <c r="E61" i="9"/>
  <c r="I55" i="9"/>
  <c r="I836" i="9" s="1"/>
  <c r="I71" i="9"/>
  <c r="I852" i="9" s="1"/>
  <c r="J67" i="9"/>
  <c r="E63" i="9"/>
  <c r="J61" i="9"/>
  <c r="B58" i="9"/>
  <c r="B74" i="9"/>
  <c r="E70" i="9"/>
  <c r="E851" i="9" s="1"/>
  <c r="I64" i="9"/>
  <c r="I845" i="9" s="1"/>
  <c r="J60" i="9"/>
  <c r="B71" i="9"/>
  <c r="I57" i="9"/>
  <c r="I838" i="9" s="1"/>
  <c r="J65" i="9"/>
  <c r="B72" i="9"/>
  <c r="E68" i="9"/>
  <c r="I62" i="9"/>
  <c r="I843" i="9" s="1"/>
  <c r="J58" i="9"/>
  <c r="J74" i="9"/>
  <c r="B69" i="9"/>
  <c r="E65" i="9"/>
  <c r="I59" i="9"/>
  <c r="I840" i="9" s="1"/>
  <c r="J55" i="9"/>
  <c r="J71" i="9"/>
  <c r="I54" i="9"/>
  <c r="I835" i="9" s="1"/>
  <c r="J69" i="9"/>
  <c r="B62" i="9"/>
  <c r="E58" i="9"/>
  <c r="E74" i="9"/>
  <c r="I68" i="9"/>
  <c r="I849" i="9" s="1"/>
  <c r="J64" i="9"/>
  <c r="B55" i="9"/>
  <c r="E59" i="9"/>
  <c r="I65" i="9"/>
  <c r="I846" i="9" s="1"/>
  <c r="J73" i="9"/>
  <c r="E56" i="9"/>
  <c r="E837" i="9" s="1"/>
  <c r="E72" i="9"/>
  <c r="E853" i="9" s="1"/>
  <c r="I66" i="9"/>
  <c r="I847" i="9" s="1"/>
  <c r="J62" i="9"/>
  <c r="B57" i="9"/>
  <c r="B73" i="9"/>
  <c r="E69" i="9"/>
  <c r="I63" i="9"/>
  <c r="I844" i="9" s="1"/>
  <c r="J59" i="9"/>
  <c r="B67" i="9"/>
  <c r="I61" i="9"/>
  <c r="I842" i="9" s="1"/>
  <c r="B56" i="9"/>
  <c r="B66" i="9"/>
  <c r="E62" i="9"/>
  <c r="I56" i="9"/>
  <c r="I837" i="9" s="1"/>
  <c r="I72" i="9"/>
  <c r="I853" i="9" s="1"/>
  <c r="J68" i="9"/>
  <c r="B59" i="9"/>
  <c r="E67" i="9"/>
  <c r="I69" i="9"/>
  <c r="I850" i="9" s="1"/>
  <c r="B60" i="9"/>
  <c r="E60" i="9"/>
  <c r="J54" i="9"/>
  <c r="I70" i="9"/>
  <c r="I851" i="9" s="1"/>
  <c r="J66" i="9"/>
  <c r="B61" i="9"/>
  <c r="E57" i="9"/>
  <c r="E73" i="9"/>
  <c r="I67" i="9"/>
  <c r="I848" i="9" s="1"/>
  <c r="J63" i="9"/>
  <c r="E55" i="9"/>
  <c r="E836" i="9" s="1"/>
  <c r="I73" i="9"/>
  <c r="I854" i="9" s="1"/>
  <c r="B64" i="9"/>
  <c r="B70" i="9"/>
  <c r="E66" i="9"/>
  <c r="I60" i="9"/>
  <c r="I841" i="9" s="1"/>
  <c r="J56" i="9"/>
  <c r="J72" i="9"/>
  <c r="B54" i="9"/>
  <c r="B23" i="9"/>
  <c r="E29" i="9"/>
  <c r="B26" i="9"/>
  <c r="K26" i="9"/>
  <c r="E23" i="9"/>
  <c r="I26" i="9"/>
  <c r="I823" i="9" s="1"/>
  <c r="J26" i="9"/>
  <c r="E25" i="9"/>
  <c r="K27" i="9"/>
  <c r="E27" i="9"/>
  <c r="E24" i="9"/>
  <c r="B25" i="9"/>
  <c r="E28" i="9"/>
  <c r="E825" i="9" s="1"/>
  <c r="B27" i="9"/>
  <c r="B24" i="9"/>
  <c r="J25" i="9"/>
  <c r="B28" i="9"/>
  <c r="J27" i="9"/>
  <c r="J24" i="9"/>
  <c r="I25" i="9"/>
  <c r="I822" i="9" s="1"/>
  <c r="I23" i="9"/>
  <c r="I820" i="9" s="1"/>
  <c r="J28" i="9"/>
  <c r="I29" i="9"/>
  <c r="I826" i="9" s="1"/>
  <c r="I27" i="9"/>
  <c r="I824" i="9" s="1"/>
  <c r="I24" i="9"/>
  <c r="I821" i="9" s="1"/>
  <c r="L24" i="9"/>
  <c r="J23" i="9"/>
  <c r="I28" i="9"/>
  <c r="I825" i="9" s="1"/>
  <c r="J29" i="9"/>
  <c r="E26" i="9"/>
  <c r="K25" i="9"/>
  <c r="K29" i="9"/>
  <c r="B29" i="9"/>
  <c r="L23" i="9"/>
  <c r="K24" i="9"/>
  <c r="L28" i="9"/>
  <c r="L29" i="9"/>
  <c r="L26" i="9"/>
  <c r="L27" i="9"/>
  <c r="K28" i="9"/>
  <c r="L25" i="9"/>
  <c r="G32" i="9"/>
  <c r="V27" i="9" l="1"/>
  <c r="T27" i="9"/>
  <c r="V26" i="9"/>
  <c r="T26" i="9"/>
  <c r="V52" i="9"/>
  <c r="T52" i="9"/>
  <c r="V43" i="9"/>
  <c r="T43" i="9"/>
  <c r="V41" i="9"/>
  <c r="T41" i="9"/>
  <c r="V49" i="9"/>
  <c r="T49" i="9"/>
  <c r="V46" i="9"/>
  <c r="T46" i="9"/>
  <c r="V51" i="9"/>
  <c r="T51" i="9"/>
  <c r="V53" i="9"/>
  <c r="T53" i="9"/>
  <c r="V24" i="9"/>
  <c r="T24" i="9"/>
  <c r="V29" i="9"/>
  <c r="T29" i="9"/>
  <c r="V28" i="9"/>
  <c r="T28" i="9"/>
  <c r="V23" i="9"/>
  <c r="T23" i="9"/>
  <c r="V44" i="9"/>
  <c r="T44" i="9"/>
  <c r="V50" i="9"/>
  <c r="T50" i="9"/>
  <c r="V21" i="9"/>
  <c r="T21" i="9"/>
  <c r="V36" i="9"/>
  <c r="T36" i="9"/>
  <c r="V55" i="9"/>
  <c r="T55" i="9"/>
  <c r="V22" i="9"/>
  <c r="T22" i="9"/>
  <c r="Y302" i="9"/>
  <c r="Y299" i="9"/>
  <c r="Y313" i="9"/>
  <c r="Y293" i="9"/>
  <c r="Y298" i="9"/>
  <c r="Y295" i="9"/>
  <c r="Y304" i="9"/>
  <c r="Y317" i="9"/>
  <c r="Y294" i="9"/>
  <c r="Y297" i="9"/>
  <c r="Y291" i="9"/>
  <c r="Y319" i="9"/>
  <c r="Y312" i="9"/>
  <c r="Y301" i="9"/>
  <c r="Y318" i="9"/>
  <c r="Y315" i="9"/>
  <c r="Y305" i="9"/>
  <c r="Y309" i="9"/>
  <c r="Y314" i="9"/>
  <c r="Y311" i="9"/>
  <c r="Y296" i="9"/>
  <c r="Y300" i="9"/>
  <c r="Y307" i="9"/>
  <c r="Y316" i="9"/>
  <c r="Y310" i="9"/>
  <c r="Y292" i="9"/>
  <c r="Y306" i="9"/>
  <c r="Y303" i="9"/>
  <c r="Y320" i="9"/>
  <c r="Y308" i="9"/>
  <c r="V48" i="9"/>
  <c r="T48" i="9"/>
  <c r="V37" i="9"/>
  <c r="T37" i="9"/>
  <c r="V47" i="9"/>
  <c r="T47" i="9"/>
  <c r="V45" i="9"/>
  <c r="T45" i="9"/>
  <c r="V42" i="9"/>
  <c r="T42" i="9"/>
  <c r="V39" i="9"/>
  <c r="T39" i="9"/>
  <c r="V56" i="9"/>
  <c r="T56" i="9"/>
  <c r="V38" i="9"/>
  <c r="T38" i="9"/>
  <c r="V54" i="9"/>
  <c r="T54" i="9"/>
  <c r="V40" i="9"/>
  <c r="T40" i="9"/>
  <c r="Y222" i="9"/>
  <c r="Y221" i="9"/>
  <c r="Y204" i="9"/>
  <c r="Y202" i="9"/>
  <c r="Y218" i="9"/>
  <c r="Y228" i="9"/>
  <c r="Y219" i="9"/>
  <c r="Y205" i="9"/>
  <c r="Y214" i="9"/>
  <c r="Y217" i="9"/>
  <c r="Y224" i="9"/>
  <c r="Y201" i="9"/>
  <c r="Y206" i="9"/>
  <c r="Y210" i="9"/>
  <c r="Y215" i="9"/>
  <c r="Y220" i="9"/>
  <c r="Y203" i="9"/>
  <c r="Y227" i="9"/>
  <c r="Y207" i="9"/>
  <c r="Y229" i="9"/>
  <c r="Y213" i="9"/>
  <c r="Y216" i="9"/>
  <c r="Y212" i="9"/>
  <c r="Y211" i="9"/>
  <c r="Y230" i="9"/>
  <c r="Y225" i="9"/>
  <c r="Y209" i="9"/>
  <c r="Y208" i="9"/>
  <c r="Y226" i="9"/>
  <c r="Y223" i="9"/>
  <c r="Y117" i="9"/>
  <c r="Y115" i="9"/>
  <c r="Y113" i="9"/>
  <c r="Y111" i="9"/>
  <c r="Y118" i="9"/>
  <c r="Y116" i="9"/>
  <c r="Y114" i="9"/>
  <c r="Y112" i="9"/>
  <c r="Y119" i="9"/>
  <c r="V25" i="9"/>
  <c r="T25" i="9"/>
  <c r="B836" i="9"/>
  <c r="B845" i="9"/>
  <c r="B850" i="9"/>
  <c r="B852" i="9"/>
  <c r="B826" i="9"/>
  <c r="B825" i="9"/>
  <c r="B843" i="9"/>
  <c r="B849" i="9"/>
  <c r="B818" i="9"/>
  <c r="B854" i="9"/>
  <c r="G22" i="9"/>
  <c r="G525" i="9" s="1"/>
  <c r="B824" i="9"/>
  <c r="B847" i="9"/>
  <c r="B855" i="9"/>
  <c r="B844" i="9"/>
  <c r="B822" i="9"/>
  <c r="B841" i="9"/>
  <c r="B838" i="9"/>
  <c r="B846" i="9"/>
  <c r="B853" i="9"/>
  <c r="B839" i="9"/>
  <c r="B823" i="9"/>
  <c r="B851" i="9"/>
  <c r="B842" i="9"/>
  <c r="B840" i="9"/>
  <c r="B848" i="9"/>
  <c r="E525" i="9"/>
  <c r="B524" i="9"/>
  <c r="B819" i="9"/>
  <c r="B525" i="9"/>
  <c r="G21" i="9"/>
  <c r="N21" i="9" s="1"/>
  <c r="G535" i="9"/>
  <c r="G829" i="9"/>
  <c r="G621" i="9"/>
  <c r="G895" i="9"/>
  <c r="G617" i="9"/>
  <c r="G891" i="9"/>
  <c r="G625" i="9"/>
  <c r="G899" i="9"/>
  <c r="E547" i="9"/>
  <c r="E841" i="9"/>
  <c r="E529" i="9"/>
  <c r="E823" i="9"/>
  <c r="E555" i="9"/>
  <c r="E849" i="9"/>
  <c r="E526" i="9"/>
  <c r="E820" i="9"/>
  <c r="E560" i="9"/>
  <c r="E854" i="9"/>
  <c r="B543" i="9"/>
  <c r="B837" i="9"/>
  <c r="B526" i="9"/>
  <c r="B820" i="9"/>
  <c r="E528" i="9"/>
  <c r="E822" i="9"/>
  <c r="B527" i="9"/>
  <c r="B821" i="9"/>
  <c r="E549" i="9"/>
  <c r="E843" i="9"/>
  <c r="E546" i="9"/>
  <c r="E840" i="9"/>
  <c r="E553" i="9"/>
  <c r="E847" i="9"/>
  <c r="E554" i="9"/>
  <c r="E848" i="9"/>
  <c r="E527" i="9"/>
  <c r="E821" i="9"/>
  <c r="E561" i="9"/>
  <c r="E855" i="9"/>
  <c r="E552" i="9"/>
  <c r="E846" i="9"/>
  <c r="E550" i="9"/>
  <c r="E844" i="9"/>
  <c r="B541" i="9"/>
  <c r="B835" i="9"/>
  <c r="E556" i="9"/>
  <c r="E850" i="9"/>
  <c r="E548" i="9"/>
  <c r="E842" i="9"/>
  <c r="E544" i="9"/>
  <c r="E838" i="9"/>
  <c r="E530" i="9"/>
  <c r="E824" i="9"/>
  <c r="E532" i="9"/>
  <c r="E826" i="9"/>
  <c r="E545" i="9"/>
  <c r="E839" i="9"/>
  <c r="E551" i="9"/>
  <c r="E845" i="9"/>
  <c r="N299" i="9"/>
  <c r="G754" i="9"/>
  <c r="N342" i="9"/>
  <c r="G781" i="9"/>
  <c r="N329" i="9"/>
  <c r="G768" i="9"/>
  <c r="N328" i="9"/>
  <c r="G767" i="9"/>
  <c r="N341" i="9"/>
  <c r="G780" i="9"/>
  <c r="N333" i="9"/>
  <c r="G772" i="9"/>
  <c r="N344" i="9"/>
  <c r="G783" i="9"/>
  <c r="N338" i="9"/>
  <c r="G777" i="9"/>
  <c r="N340" i="9"/>
  <c r="G779" i="9"/>
  <c r="N326" i="9"/>
  <c r="G765" i="9"/>
  <c r="N343" i="9"/>
  <c r="G782" i="9"/>
  <c r="N294" i="9"/>
  <c r="G749" i="9"/>
  <c r="N336" i="9"/>
  <c r="G775" i="9"/>
  <c r="N331" i="9"/>
  <c r="G770" i="9"/>
  <c r="N334" i="9"/>
  <c r="G773" i="9"/>
  <c r="N327" i="9"/>
  <c r="G766" i="9"/>
  <c r="N337" i="9"/>
  <c r="G776" i="9"/>
  <c r="N325" i="9"/>
  <c r="G764" i="9"/>
  <c r="N332" i="9"/>
  <c r="G771" i="9"/>
  <c r="N335" i="9"/>
  <c r="G774" i="9"/>
  <c r="N297" i="9"/>
  <c r="G752" i="9"/>
  <c r="N298" i="9"/>
  <c r="G753" i="9"/>
  <c r="N293" i="9"/>
  <c r="G748" i="9"/>
  <c r="N296" i="9"/>
  <c r="G751" i="9"/>
  <c r="N330" i="9"/>
  <c r="G769" i="9"/>
  <c r="N295" i="9"/>
  <c r="G750" i="9"/>
  <c r="N324" i="9"/>
  <c r="G763" i="9"/>
  <c r="N339" i="9"/>
  <c r="G778" i="9"/>
  <c r="N202" i="9"/>
  <c r="G673" i="9"/>
  <c r="N251" i="9"/>
  <c r="G706" i="9"/>
  <c r="N201" i="9"/>
  <c r="G672" i="9"/>
  <c r="N207" i="9"/>
  <c r="G678" i="9"/>
  <c r="N247" i="9"/>
  <c r="G702" i="9"/>
  <c r="N235" i="9"/>
  <c r="G690" i="9"/>
  <c r="N243" i="9"/>
  <c r="G698" i="9"/>
  <c r="N239" i="9"/>
  <c r="G694" i="9"/>
  <c r="N203" i="9"/>
  <c r="G674" i="9"/>
  <c r="N164" i="9"/>
  <c r="G635" i="9"/>
  <c r="N162" i="9"/>
  <c r="G633" i="9"/>
  <c r="N113" i="9"/>
  <c r="G600" i="9"/>
  <c r="N115" i="9"/>
  <c r="G602" i="9"/>
  <c r="N114" i="9"/>
  <c r="G601" i="9"/>
  <c r="N163" i="9"/>
  <c r="G634" i="9"/>
  <c r="N118" i="9"/>
  <c r="G605" i="9"/>
  <c r="N158" i="9"/>
  <c r="G629" i="9"/>
  <c r="N116" i="9"/>
  <c r="G603" i="9"/>
  <c r="N117" i="9"/>
  <c r="G604" i="9"/>
  <c r="N146" i="9"/>
  <c r="N150" i="9"/>
  <c r="N154" i="9"/>
  <c r="G66" i="9"/>
  <c r="B553" i="9"/>
  <c r="G63" i="9"/>
  <c r="B550" i="9"/>
  <c r="E834" i="9"/>
  <c r="E557" i="9"/>
  <c r="G57" i="9"/>
  <c r="B544" i="9"/>
  <c r="G72" i="9"/>
  <c r="G853" i="9" s="1"/>
  <c r="B559" i="9"/>
  <c r="G70" i="9"/>
  <c r="G851" i="9" s="1"/>
  <c r="B557" i="9"/>
  <c r="G61" i="9"/>
  <c r="N61" i="9" s="1"/>
  <c r="B548" i="9"/>
  <c r="G59" i="9"/>
  <c r="B546" i="9"/>
  <c r="G67" i="9"/>
  <c r="G848" i="9" s="1"/>
  <c r="B554" i="9"/>
  <c r="E559" i="9"/>
  <c r="G65" i="9"/>
  <c r="B552" i="9"/>
  <c r="G58" i="9"/>
  <c r="B545" i="9"/>
  <c r="G71" i="9"/>
  <c r="G852" i="9" s="1"/>
  <c r="B558" i="9"/>
  <c r="G62" i="9"/>
  <c r="B549" i="9"/>
  <c r="G68" i="9"/>
  <c r="G849" i="9" s="1"/>
  <c r="B555" i="9"/>
  <c r="G73" i="9"/>
  <c r="G854" i="9" s="1"/>
  <c r="B560" i="9"/>
  <c r="E558" i="9"/>
  <c r="G60" i="9"/>
  <c r="B547" i="9"/>
  <c r="B542" i="9"/>
  <c r="G74" i="9"/>
  <c r="G855" i="9" s="1"/>
  <c r="B561" i="9"/>
  <c r="G64" i="9"/>
  <c r="B551" i="9"/>
  <c r="E543" i="9"/>
  <c r="G69" i="9"/>
  <c r="G850" i="9" s="1"/>
  <c r="B556" i="9"/>
  <c r="E542" i="9"/>
  <c r="E531" i="9"/>
  <c r="E541" i="9"/>
  <c r="G25" i="9"/>
  <c r="G822" i="9" s="1"/>
  <c r="B528" i="9"/>
  <c r="G26" i="9"/>
  <c r="G823" i="9" s="1"/>
  <c r="B529" i="9"/>
  <c r="G27" i="9"/>
  <c r="G824" i="9" s="1"/>
  <c r="B530" i="9"/>
  <c r="G29" i="9"/>
  <c r="G826" i="9" s="1"/>
  <c r="B532" i="9"/>
  <c r="G28" i="9"/>
  <c r="B531" i="9"/>
  <c r="G24" i="9"/>
  <c r="G23" i="9"/>
  <c r="N32" i="9"/>
  <c r="G151" i="9"/>
  <c r="G144" i="9"/>
  <c r="G157" i="9"/>
  <c r="G902" i="9" s="1"/>
  <c r="G155" i="9"/>
  <c r="G240" i="9"/>
  <c r="G949" i="9" s="1"/>
  <c r="G250" i="9"/>
  <c r="G959" i="9" s="1"/>
  <c r="G147" i="9"/>
  <c r="G238" i="9"/>
  <c r="G947" i="9" s="1"/>
  <c r="G145" i="9"/>
  <c r="G149" i="9"/>
  <c r="G894" i="9" s="1"/>
  <c r="G209" i="9"/>
  <c r="G934" i="9" s="1"/>
  <c r="G148" i="9"/>
  <c r="G245" i="9"/>
  <c r="G954" i="9" s="1"/>
  <c r="G160" i="9"/>
  <c r="G905" i="9" s="1"/>
  <c r="G244" i="9"/>
  <c r="G953" i="9" s="1"/>
  <c r="G241" i="9"/>
  <c r="G950" i="9" s="1"/>
  <c r="G119" i="9"/>
  <c r="G880" i="9" s="1"/>
  <c r="G208" i="9"/>
  <c r="G933" i="9" s="1"/>
  <c r="G234" i="9"/>
  <c r="G943" i="9" s="1"/>
  <c r="G242" i="9"/>
  <c r="G951" i="9" s="1"/>
  <c r="G152" i="9"/>
  <c r="G204" i="9"/>
  <c r="G929" i="9" s="1"/>
  <c r="G153" i="9"/>
  <c r="G248" i="9"/>
  <c r="G957" i="9" s="1"/>
  <c r="G205" i="9"/>
  <c r="G930" i="9" s="1"/>
  <c r="G156" i="9"/>
  <c r="G901" i="9" s="1"/>
  <c r="G161" i="9"/>
  <c r="G906" i="9" s="1"/>
  <c r="G159" i="9"/>
  <c r="G904" i="9" s="1"/>
  <c r="G237" i="9"/>
  <c r="G946" i="9" s="1"/>
  <c r="G252" i="9"/>
  <c r="G961" i="9" s="1"/>
  <c r="G206" i="9"/>
  <c r="G931" i="9" s="1"/>
  <c r="G246" i="9"/>
  <c r="G955" i="9" s="1"/>
  <c r="G249" i="9"/>
  <c r="G958" i="9" s="1"/>
  <c r="G253" i="9"/>
  <c r="G962" i="9" s="1"/>
  <c r="G254" i="9"/>
  <c r="G963" i="9" s="1"/>
  <c r="G236" i="9"/>
  <c r="G945" i="9" s="1"/>
  <c r="G55" i="9"/>
  <c r="G54" i="9"/>
  <c r="G835" i="9" s="1"/>
  <c r="G56" i="9"/>
  <c r="G837" i="9" s="1"/>
  <c r="U27" i="9" l="1"/>
  <c r="U35" i="9"/>
  <c r="U33" i="9"/>
  <c r="U36" i="9"/>
  <c r="U22" i="9"/>
  <c r="U54" i="9"/>
  <c r="Y54" i="9" s="1"/>
  <c r="U59" i="9"/>
  <c r="U25" i="9"/>
  <c r="U44" i="9"/>
  <c r="U30" i="9"/>
  <c r="U61" i="9"/>
  <c r="U29" i="9"/>
  <c r="U40" i="9"/>
  <c r="U26" i="9"/>
  <c r="U57" i="9"/>
  <c r="U55" i="9"/>
  <c r="Y55" i="9" s="1"/>
  <c r="U53" i="9"/>
  <c r="Y53" i="9" s="1"/>
  <c r="U23" i="9"/>
  <c r="U48" i="9"/>
  <c r="U34" i="9"/>
  <c r="U60" i="9"/>
  <c r="U51" i="9"/>
  <c r="Y51" i="9" s="1"/>
  <c r="U49" i="9"/>
  <c r="U31" i="9"/>
  <c r="U52" i="9"/>
  <c r="Y52" i="9" s="1"/>
  <c r="U38" i="9"/>
  <c r="U41" i="9"/>
  <c r="U21" i="9"/>
  <c r="U47" i="9"/>
  <c r="U45" i="9"/>
  <c r="U24" i="9"/>
  <c r="U56" i="9"/>
  <c r="Y56" i="9" s="1"/>
  <c r="U42" i="9"/>
  <c r="U58" i="9"/>
  <c r="U46" i="9"/>
  <c r="U43" i="9"/>
  <c r="U28" i="9"/>
  <c r="U39" i="9"/>
  <c r="U37" i="9"/>
  <c r="U32" i="9"/>
  <c r="U62" i="9"/>
  <c r="U50" i="9"/>
  <c r="Z253" i="9"/>
  <c r="Z256" i="9"/>
  <c r="Z263" i="9"/>
  <c r="Z251" i="9"/>
  <c r="Z252" i="9"/>
  <c r="Z250" i="9"/>
  <c r="Z247" i="9"/>
  <c r="Z264" i="9"/>
  <c r="Z249" i="9"/>
  <c r="Z262" i="9"/>
  <c r="Z246" i="9"/>
  <c r="Z258" i="9"/>
  <c r="Z259" i="9"/>
  <c r="Z261" i="9"/>
  <c r="Z245" i="9"/>
  <c r="Z248" i="9"/>
  <c r="Z255" i="9"/>
  <c r="Z260" i="9"/>
  <c r="Z244" i="9"/>
  <c r="Z257" i="9"/>
  <c r="Z243" i="9"/>
  <c r="Z254" i="9"/>
  <c r="Z266" i="9"/>
  <c r="Z265" i="9"/>
  <c r="N22" i="9"/>
  <c r="G819" i="9"/>
  <c r="N352" i="9"/>
  <c r="AA321" i="9" s="1"/>
  <c r="W321" i="9" s="1"/>
  <c r="N307" i="9"/>
  <c r="AA295" i="9" s="1"/>
  <c r="W295" i="9" s="1"/>
  <c r="Z295" i="9" s="1"/>
  <c r="G818" i="9"/>
  <c r="G616" i="9"/>
  <c r="G890" i="9"/>
  <c r="G626" i="9"/>
  <c r="G900" i="9"/>
  <c r="G623" i="9"/>
  <c r="G897" i="9"/>
  <c r="G615" i="9"/>
  <c r="G889" i="9"/>
  <c r="G624" i="9"/>
  <c r="G898" i="9"/>
  <c r="G618" i="9"/>
  <c r="G892" i="9"/>
  <c r="G622" i="9"/>
  <c r="G896" i="9"/>
  <c r="G619" i="9"/>
  <c r="G893" i="9"/>
  <c r="G527" i="9"/>
  <c r="G821" i="9"/>
  <c r="G547" i="9"/>
  <c r="G841" i="9"/>
  <c r="G553" i="9"/>
  <c r="G847" i="9"/>
  <c r="G542" i="9"/>
  <c r="G836" i="9"/>
  <c r="G546" i="9"/>
  <c r="G840" i="9"/>
  <c r="G544" i="9"/>
  <c r="G838" i="9"/>
  <c r="G531" i="9"/>
  <c r="G825" i="9"/>
  <c r="G551" i="9"/>
  <c r="G845" i="9"/>
  <c r="G545" i="9"/>
  <c r="G839" i="9"/>
  <c r="G552" i="9"/>
  <c r="G846" i="9"/>
  <c r="N60" i="9"/>
  <c r="G550" i="9"/>
  <c r="G844" i="9"/>
  <c r="G548" i="9"/>
  <c r="G842" i="9"/>
  <c r="G526" i="9"/>
  <c r="G820" i="9"/>
  <c r="G549" i="9"/>
  <c r="G843" i="9"/>
  <c r="N248" i="9"/>
  <c r="G703" i="9"/>
  <c r="N242" i="9"/>
  <c r="G697" i="9"/>
  <c r="N241" i="9"/>
  <c r="G696" i="9"/>
  <c r="N238" i="9"/>
  <c r="G693" i="9"/>
  <c r="N254" i="9"/>
  <c r="G709" i="9"/>
  <c r="N206" i="9"/>
  <c r="G677" i="9"/>
  <c r="N234" i="9"/>
  <c r="G689" i="9"/>
  <c r="N244" i="9"/>
  <c r="G699" i="9"/>
  <c r="G996" i="9" s="1"/>
  <c r="N209" i="9"/>
  <c r="G680" i="9"/>
  <c r="N246" i="9"/>
  <c r="G701" i="9"/>
  <c r="N204" i="9"/>
  <c r="G675" i="9"/>
  <c r="N208" i="9"/>
  <c r="G679" i="9"/>
  <c r="N250" i="9"/>
  <c r="G705" i="9"/>
  <c r="N253" i="9"/>
  <c r="G708" i="9"/>
  <c r="N249" i="9"/>
  <c r="G704" i="9"/>
  <c r="N237" i="9"/>
  <c r="G692" i="9"/>
  <c r="N236" i="9"/>
  <c r="G691" i="9"/>
  <c r="N252" i="9"/>
  <c r="G707" i="9"/>
  <c r="N205" i="9"/>
  <c r="G676" i="9"/>
  <c r="N245" i="9"/>
  <c r="G700" i="9"/>
  <c r="N240" i="9"/>
  <c r="G695" i="9"/>
  <c r="N161" i="9"/>
  <c r="G632" i="9"/>
  <c r="N119" i="9"/>
  <c r="G606" i="9"/>
  <c r="N157" i="9"/>
  <c r="G628" i="9"/>
  <c r="N159" i="9"/>
  <c r="G630" i="9"/>
  <c r="N156" i="9"/>
  <c r="G627" i="9"/>
  <c r="N160" i="9"/>
  <c r="G631" i="9"/>
  <c r="N149" i="9"/>
  <c r="G620" i="9"/>
  <c r="N64" i="9"/>
  <c r="N63" i="9"/>
  <c r="N65" i="9"/>
  <c r="N144" i="9"/>
  <c r="N148" i="9"/>
  <c r="N155" i="9"/>
  <c r="N153" i="9"/>
  <c r="N147" i="9"/>
  <c r="N152" i="9"/>
  <c r="N145" i="9"/>
  <c r="N151" i="9"/>
  <c r="N66" i="9"/>
  <c r="N62" i="9"/>
  <c r="N69" i="9"/>
  <c r="G556" i="9"/>
  <c r="N68" i="9"/>
  <c r="G555" i="9"/>
  <c r="N56" i="9"/>
  <c r="G543" i="9"/>
  <c r="N58" i="9"/>
  <c r="N59" i="9"/>
  <c r="N70" i="9"/>
  <c r="G557" i="9"/>
  <c r="N74" i="9"/>
  <c r="G561" i="9"/>
  <c r="N73" i="9"/>
  <c r="G560" i="9"/>
  <c r="N57" i="9"/>
  <c r="N71" i="9"/>
  <c r="G558" i="9"/>
  <c r="N67" i="9"/>
  <c r="G554" i="9"/>
  <c r="N72" i="9"/>
  <c r="G559" i="9"/>
  <c r="N26" i="9"/>
  <c r="G529" i="9"/>
  <c r="N27" i="9"/>
  <c r="G530" i="9"/>
  <c r="N54" i="9"/>
  <c r="G541" i="9"/>
  <c r="N25" i="9"/>
  <c r="G528" i="9"/>
  <c r="N28" i="9"/>
  <c r="N29" i="9"/>
  <c r="G532" i="9"/>
  <c r="N23" i="9"/>
  <c r="N24" i="9"/>
  <c r="N55" i="9"/>
  <c r="G834" i="9"/>
  <c r="XEZ33" i="6"/>
  <c r="XFA33" i="6" s="1"/>
  <c r="XEZ32" i="6"/>
  <c r="XFA32" i="6" s="1"/>
  <c r="XEZ31" i="6"/>
  <c r="XFA31" i="6" s="1"/>
  <c r="XEZ30" i="6"/>
  <c r="XFA30" i="6" s="1"/>
  <c r="XEZ29" i="6"/>
  <c r="XFA29" i="6" s="1"/>
  <c r="XEZ28" i="6"/>
  <c r="XFA28" i="6" s="1"/>
  <c r="XEZ27" i="6"/>
  <c r="XFA27" i="6" s="1"/>
  <c r="XEZ26" i="6"/>
  <c r="XFA26" i="6" s="1"/>
  <c r="XEZ25" i="6"/>
  <c r="XFA25" i="6" s="1"/>
  <c r="XEZ24" i="6"/>
  <c r="XFA24" i="6" s="1"/>
  <c r="XEZ23" i="6"/>
  <c r="XFA23" i="6" s="1"/>
  <c r="XEZ22" i="6"/>
  <c r="XFA22" i="6" s="1"/>
  <c r="XEX33" i="6"/>
  <c r="XEX32" i="6"/>
  <c r="XEX31" i="6"/>
  <c r="XEX30" i="6"/>
  <c r="XEX29" i="6"/>
  <c r="XEX28" i="6"/>
  <c r="XEX27" i="6"/>
  <c r="XEX26" i="6"/>
  <c r="XEX25" i="6"/>
  <c r="XEX24" i="6"/>
  <c r="XEX23" i="6"/>
  <c r="XEX22" i="6"/>
  <c r="AA312" i="9" l="1"/>
  <c r="W312" i="9" s="1"/>
  <c r="Z312" i="9" s="1"/>
  <c r="AA320" i="9"/>
  <c r="W320" i="9" s="1"/>
  <c r="Z320" i="9" s="1"/>
  <c r="Y39" i="9"/>
  <c r="D164" i="10" s="1"/>
  <c r="Y121" i="9"/>
  <c r="Y130" i="9"/>
  <c r="Y129" i="9"/>
  <c r="Y27" i="9"/>
  <c r="D80" i="10" s="1"/>
  <c r="Y131" i="9"/>
  <c r="Y34" i="9"/>
  <c r="D129" i="10" s="1"/>
  <c r="Y33" i="9"/>
  <c r="D122" i="10" s="1"/>
  <c r="Y35" i="9"/>
  <c r="D136" i="10" s="1"/>
  <c r="Y139" i="9"/>
  <c r="Y41" i="9"/>
  <c r="D178" i="10" s="1"/>
  <c r="Y42" i="9"/>
  <c r="D185" i="10" s="1"/>
  <c r="Y137" i="9"/>
  <c r="Y50" i="9"/>
  <c r="D241" i="10" s="1"/>
  <c r="Y132" i="9"/>
  <c r="Y127" i="9"/>
  <c r="Y128" i="9"/>
  <c r="Y43" i="9"/>
  <c r="D192" i="10" s="1"/>
  <c r="Y30" i="9"/>
  <c r="D101" i="10" s="1"/>
  <c r="Y26" i="9"/>
  <c r="D73" i="10" s="1"/>
  <c r="Y49" i="9"/>
  <c r="D234" i="10" s="1"/>
  <c r="Y32" i="9"/>
  <c r="D115" i="10" s="1"/>
  <c r="Y44" i="9"/>
  <c r="D199" i="10" s="1"/>
  <c r="Y21" i="9"/>
  <c r="D38" i="10" s="1"/>
  <c r="Y135" i="9"/>
  <c r="Y122" i="9"/>
  <c r="Y22" i="9"/>
  <c r="D45" i="10" s="1"/>
  <c r="Y134" i="9"/>
  <c r="Y125" i="9"/>
  <c r="Y140" i="9"/>
  <c r="Y38" i="9"/>
  <c r="D157" i="10" s="1"/>
  <c r="Y47" i="9"/>
  <c r="D220" i="10" s="1"/>
  <c r="Y124" i="9"/>
  <c r="Y24" i="9"/>
  <c r="D59" i="10" s="1"/>
  <c r="Y138" i="9"/>
  <c r="Y28" i="9"/>
  <c r="D87" i="10" s="1"/>
  <c r="Y29" i="9"/>
  <c r="D94" i="10" s="1"/>
  <c r="Y133" i="9"/>
  <c r="Y45" i="9"/>
  <c r="D206" i="10" s="1"/>
  <c r="Y48" i="9"/>
  <c r="D227" i="10" s="1"/>
  <c r="Y25" i="9"/>
  <c r="D66" i="10" s="1"/>
  <c r="Y36" i="9"/>
  <c r="D143" i="10" s="1"/>
  <c r="Y120" i="9"/>
  <c r="Y23" i="9"/>
  <c r="D52" i="10" s="1"/>
  <c r="Y37" i="9"/>
  <c r="D150" i="10" s="1"/>
  <c r="Y40" i="9"/>
  <c r="D171" i="10" s="1"/>
  <c r="Y46" i="9"/>
  <c r="D213" i="10" s="1"/>
  <c r="Y31" i="9"/>
  <c r="D108" i="10" s="1"/>
  <c r="Y126" i="9"/>
  <c r="Y136" i="9"/>
  <c r="Y123" i="9"/>
  <c r="AA306" i="9"/>
  <c r="W306" i="9" s="1"/>
  <c r="Z306" i="9" s="1"/>
  <c r="AA313" i="9"/>
  <c r="W313" i="9" s="1"/>
  <c r="Z313" i="9" s="1"/>
  <c r="AA326" i="9"/>
  <c r="W326" i="9" s="1"/>
  <c r="AA315" i="9"/>
  <c r="W315" i="9" s="1"/>
  <c r="Z315" i="9" s="1"/>
  <c r="AA307" i="9"/>
  <c r="W307" i="9" s="1"/>
  <c r="Z307" i="9" s="1"/>
  <c r="AA325" i="9"/>
  <c r="W325" i="9" s="1"/>
  <c r="AA308" i="9"/>
  <c r="W308" i="9" s="1"/>
  <c r="Z308" i="9" s="1"/>
  <c r="AA317" i="9"/>
  <c r="W317" i="9" s="1"/>
  <c r="Z317" i="9" s="1"/>
  <c r="AA298" i="9"/>
  <c r="W298" i="9" s="1"/>
  <c r="Z298" i="9" s="1"/>
  <c r="AA296" i="9"/>
  <c r="W296" i="9" s="1"/>
  <c r="Z296" i="9" s="1"/>
  <c r="AA323" i="9"/>
  <c r="W323" i="9" s="1"/>
  <c r="AA318" i="9"/>
  <c r="W318" i="9" s="1"/>
  <c r="Z318" i="9" s="1"/>
  <c r="AA319" i="9"/>
  <c r="W319" i="9" s="1"/>
  <c r="Z319" i="9" s="1"/>
  <c r="AA297" i="9"/>
  <c r="W297" i="9" s="1"/>
  <c r="Z297" i="9" s="1"/>
  <c r="AA324" i="9"/>
  <c r="W324" i="9" s="1"/>
  <c r="M317" i="9"/>
  <c r="AA300" i="9"/>
  <c r="W300" i="9" s="1"/>
  <c r="Z300" i="9" s="1"/>
  <c r="AA301" i="9"/>
  <c r="W301" i="9" s="1"/>
  <c r="Z301" i="9" s="1"/>
  <c r="AA303" i="9"/>
  <c r="W303" i="9" s="1"/>
  <c r="Z303" i="9" s="1"/>
  <c r="AA304" i="9"/>
  <c r="W304" i="9" s="1"/>
  <c r="Z304" i="9" s="1"/>
  <c r="AA305" i="9"/>
  <c r="W305" i="9" s="1"/>
  <c r="Z305" i="9" s="1"/>
  <c r="AA302" i="9"/>
  <c r="W302" i="9" s="1"/>
  <c r="Z302" i="9" s="1"/>
  <c r="AA291" i="9"/>
  <c r="W291" i="9" s="1"/>
  <c r="Z291" i="9" s="1"/>
  <c r="AA292" i="9"/>
  <c r="W292" i="9" s="1"/>
  <c r="Z292" i="9" s="1"/>
  <c r="AA299" i="9"/>
  <c r="W299" i="9" s="1"/>
  <c r="Z299" i="9" s="1"/>
  <c r="AA293" i="9"/>
  <c r="W293" i="9" s="1"/>
  <c r="Z293" i="9" s="1"/>
  <c r="AA294" i="9"/>
  <c r="W294" i="9" s="1"/>
  <c r="Z294" i="9" s="1"/>
  <c r="M362" i="9"/>
  <c r="AA327" i="9"/>
  <c r="W327" i="9" s="1"/>
  <c r="AA332" i="9"/>
  <c r="W332" i="9" s="1"/>
  <c r="AA330" i="9"/>
  <c r="W330" i="9" s="1"/>
  <c r="AA331" i="9"/>
  <c r="W331" i="9" s="1"/>
  <c r="AA329" i="9"/>
  <c r="W329" i="9" s="1"/>
  <c r="AA328" i="9"/>
  <c r="W328" i="9" s="1"/>
  <c r="AA311" i="9"/>
  <c r="W311" i="9" s="1"/>
  <c r="Z311" i="9" s="1"/>
  <c r="AA322" i="9"/>
  <c r="W322" i="9" s="1"/>
  <c r="AA316" i="9"/>
  <c r="W316" i="9" s="1"/>
  <c r="Z316" i="9" s="1"/>
  <c r="AA314" i="9"/>
  <c r="W314" i="9" s="1"/>
  <c r="Z314" i="9" s="1"/>
  <c r="AA309" i="9"/>
  <c r="W309" i="9" s="1"/>
  <c r="Z309" i="9" s="1"/>
  <c r="AA310" i="9"/>
  <c r="W310" i="9" s="1"/>
  <c r="Z310" i="9" s="1"/>
  <c r="N127" i="9"/>
  <c r="AA119" i="9" s="1"/>
  <c r="W119" i="9" s="1"/>
  <c r="Z119" i="9" s="1"/>
  <c r="N262" i="9"/>
  <c r="AA235" i="9" s="1"/>
  <c r="W235" i="9" s="1"/>
  <c r="N217" i="9"/>
  <c r="N172" i="9"/>
  <c r="AA129" i="9" s="1"/>
  <c r="W129" i="9" s="1"/>
  <c r="Z129" i="9" s="1"/>
  <c r="N37" i="9"/>
  <c r="N82" i="9"/>
  <c r="AA55" i="9" s="1"/>
  <c r="W55" i="9" s="1"/>
  <c r="XEY30" i="6"/>
  <c r="XEY29" i="6"/>
  <c r="XEY33" i="6"/>
  <c r="XEY25" i="6"/>
  <c r="XEY32" i="6"/>
  <c r="XEY24" i="6"/>
  <c r="XEY28" i="6"/>
  <c r="XEY27" i="6"/>
  <c r="XEY31" i="6"/>
  <c r="XEY23" i="6"/>
  <c r="XEY22" i="6"/>
  <c r="XEY26" i="6"/>
  <c r="M373" i="9" l="1"/>
  <c r="AA40" i="9"/>
  <c r="W40" i="9" s="1"/>
  <c r="Z160" i="9"/>
  <c r="Z161" i="9"/>
  <c r="Z157" i="9"/>
  <c r="Z158" i="9"/>
  <c r="Z153" i="9"/>
  <c r="Z156" i="9"/>
  <c r="Z155" i="9"/>
  <c r="Z154" i="9"/>
  <c r="Z159" i="9"/>
  <c r="Z325" i="9"/>
  <c r="Z232" i="9"/>
  <c r="Z109" i="9"/>
  <c r="Z55" i="9"/>
  <c r="Z56" i="9"/>
  <c r="Z91" i="9"/>
  <c r="Z146" i="9"/>
  <c r="Z235" i="9"/>
  <c r="Z90" i="9"/>
  <c r="Z52" i="9"/>
  <c r="Z75" i="9"/>
  <c r="Z89" i="9"/>
  <c r="Z323" i="9"/>
  <c r="Z233" i="9"/>
  <c r="Z82" i="9"/>
  <c r="Z85" i="9"/>
  <c r="Z74" i="9"/>
  <c r="Z78" i="9"/>
  <c r="Z80" i="9"/>
  <c r="Z53" i="9"/>
  <c r="Z324" i="9"/>
  <c r="Z77" i="9"/>
  <c r="Z107" i="9"/>
  <c r="Z71" i="9"/>
  <c r="Z144" i="9"/>
  <c r="Z76" i="9"/>
  <c r="Z88" i="9"/>
  <c r="Z145" i="9"/>
  <c r="Z234" i="9"/>
  <c r="Z106" i="9"/>
  <c r="Z51" i="9"/>
  <c r="Z79" i="9"/>
  <c r="Z72" i="9"/>
  <c r="Z92" i="9"/>
  <c r="Z143" i="9"/>
  <c r="Z322" i="9"/>
  <c r="Z141" i="9"/>
  <c r="Z73" i="9"/>
  <c r="Z142" i="9"/>
  <c r="Z69" i="9"/>
  <c r="Z326" i="9"/>
  <c r="Z81" i="9"/>
  <c r="Z87" i="9"/>
  <c r="Z236" i="9"/>
  <c r="Z84" i="9"/>
  <c r="Z321" i="9"/>
  <c r="Z54" i="9"/>
  <c r="Z70" i="9"/>
  <c r="Z231" i="9"/>
  <c r="Z86" i="9"/>
  <c r="Z83" i="9"/>
  <c r="Z108" i="9"/>
  <c r="AA230" i="9"/>
  <c r="W230" i="9" s="1"/>
  <c r="Z230" i="9" s="1"/>
  <c r="AA218" i="9"/>
  <c r="W218" i="9" s="1"/>
  <c r="Z218" i="9" s="1"/>
  <c r="AA234" i="9"/>
  <c r="W234" i="9" s="1"/>
  <c r="AA223" i="9"/>
  <c r="W223" i="9" s="1"/>
  <c r="Z223" i="9" s="1"/>
  <c r="AA222" i="9"/>
  <c r="W222" i="9" s="1"/>
  <c r="Z222" i="9" s="1"/>
  <c r="AA226" i="9"/>
  <c r="W226" i="9" s="1"/>
  <c r="Z226" i="9" s="1"/>
  <c r="AA216" i="9"/>
  <c r="W216" i="9" s="1"/>
  <c r="Z216" i="9" s="1"/>
  <c r="AA228" i="9"/>
  <c r="W228" i="9" s="1"/>
  <c r="Z228" i="9" s="1"/>
  <c r="AA220" i="9"/>
  <c r="W220" i="9" s="1"/>
  <c r="Z220" i="9" s="1"/>
  <c r="AA232" i="9"/>
  <c r="W232" i="9" s="1"/>
  <c r="AA224" i="9"/>
  <c r="W224" i="9" s="1"/>
  <c r="Z224" i="9" s="1"/>
  <c r="AA131" i="9"/>
  <c r="W131" i="9" s="1"/>
  <c r="Z131" i="9" s="1"/>
  <c r="AA141" i="9"/>
  <c r="W141" i="9" s="1"/>
  <c r="AA135" i="9"/>
  <c r="W135" i="9" s="1"/>
  <c r="Z135" i="9" s="1"/>
  <c r="AA126" i="9"/>
  <c r="W126" i="9" s="1"/>
  <c r="Z126" i="9" s="1"/>
  <c r="AA138" i="9"/>
  <c r="W138" i="9" s="1"/>
  <c r="Z138" i="9" s="1"/>
  <c r="AA134" i="9"/>
  <c r="W134" i="9" s="1"/>
  <c r="Z134" i="9" s="1"/>
  <c r="AA139" i="9"/>
  <c r="W139" i="9" s="1"/>
  <c r="Z139" i="9" s="1"/>
  <c r="AA133" i="9"/>
  <c r="W133" i="9" s="1"/>
  <c r="Z133" i="9" s="1"/>
  <c r="AA51" i="9"/>
  <c r="W51" i="9" s="1"/>
  <c r="AA39" i="9"/>
  <c r="W39" i="9" s="1"/>
  <c r="Z39" i="9" s="1"/>
  <c r="D163" i="10" s="1"/>
  <c r="AA46" i="9"/>
  <c r="W46" i="9" s="1"/>
  <c r="AA45" i="9"/>
  <c r="W45" i="9" s="1"/>
  <c r="Z45" i="9" s="1"/>
  <c r="D205" i="10" s="1"/>
  <c r="AA44" i="9"/>
  <c r="W44" i="9" s="1"/>
  <c r="AA49" i="9"/>
  <c r="W49" i="9" s="1"/>
  <c r="Z49" i="9" s="1"/>
  <c r="D233" i="10" s="1"/>
  <c r="AA37" i="9"/>
  <c r="W37" i="9" s="1"/>
  <c r="AA53" i="9"/>
  <c r="W53" i="9" s="1"/>
  <c r="AA36" i="9"/>
  <c r="W36" i="9" s="1"/>
  <c r="AA48" i="9"/>
  <c r="W48" i="9" s="1"/>
  <c r="Z48" i="9" s="1"/>
  <c r="D226" i="10" s="1"/>
  <c r="AA33" i="9"/>
  <c r="W33" i="9" s="1"/>
  <c r="AA35" i="9"/>
  <c r="W35" i="9" s="1"/>
  <c r="AA34" i="9"/>
  <c r="W34" i="9" s="1"/>
  <c r="AA30" i="9"/>
  <c r="W30" i="9" s="1"/>
  <c r="AA32" i="9"/>
  <c r="W32" i="9" s="1"/>
  <c r="AA31" i="9"/>
  <c r="W31" i="9" s="1"/>
  <c r="AA21" i="9"/>
  <c r="W21" i="9" s="1"/>
  <c r="Z21" i="9" s="1"/>
  <c r="D37" i="10" s="1"/>
  <c r="F40" i="10" s="1"/>
  <c r="M227" i="9"/>
  <c r="AA214" i="9"/>
  <c r="W214" i="9" s="1"/>
  <c r="Z214" i="9" s="1"/>
  <c r="AA215" i="9"/>
  <c r="W215" i="9" s="1"/>
  <c r="Z215" i="9" s="1"/>
  <c r="AA212" i="9"/>
  <c r="W212" i="9" s="1"/>
  <c r="Z212" i="9" s="1"/>
  <c r="AA211" i="9"/>
  <c r="W211" i="9" s="1"/>
  <c r="Z211" i="9" s="1"/>
  <c r="AA210" i="9"/>
  <c r="W210" i="9" s="1"/>
  <c r="Z210" i="9" s="1"/>
  <c r="AA213" i="9"/>
  <c r="W213" i="9" s="1"/>
  <c r="Z213" i="9" s="1"/>
  <c r="AA207" i="9"/>
  <c r="W207" i="9" s="1"/>
  <c r="Z207" i="9" s="1"/>
  <c r="AA201" i="9"/>
  <c r="W201" i="9" s="1"/>
  <c r="Z201" i="9" s="1"/>
  <c r="AA203" i="9"/>
  <c r="W203" i="9" s="1"/>
  <c r="Z203" i="9" s="1"/>
  <c r="AA202" i="9"/>
  <c r="W202" i="9" s="1"/>
  <c r="Z202" i="9" s="1"/>
  <c r="AA27" i="9"/>
  <c r="W27" i="9" s="1"/>
  <c r="AA24" i="9"/>
  <c r="W24" i="9" s="1"/>
  <c r="Z24" i="9" s="1"/>
  <c r="D58" i="10" s="1"/>
  <c r="M92" i="9"/>
  <c r="AA58" i="9"/>
  <c r="W58" i="9" s="1"/>
  <c r="AA59" i="9"/>
  <c r="W59" i="9" s="1"/>
  <c r="AA60" i="9"/>
  <c r="W60" i="9" s="1"/>
  <c r="AA61" i="9"/>
  <c r="W61" i="9" s="1"/>
  <c r="AA62" i="9"/>
  <c r="W62" i="9" s="1"/>
  <c r="AA57" i="9"/>
  <c r="W57" i="9" s="1"/>
  <c r="AA43" i="9"/>
  <c r="W43" i="9" s="1"/>
  <c r="Z43" i="9" s="1"/>
  <c r="D191" i="10" s="1"/>
  <c r="M272" i="9"/>
  <c r="AA242" i="9"/>
  <c r="W242" i="9" s="1"/>
  <c r="AA237" i="9"/>
  <c r="W237" i="9" s="1"/>
  <c r="AA241" i="9"/>
  <c r="W241" i="9" s="1"/>
  <c r="AA240" i="9"/>
  <c r="W240" i="9" s="1"/>
  <c r="AA239" i="9"/>
  <c r="W239" i="9" s="1"/>
  <c r="AA238" i="9"/>
  <c r="W238" i="9" s="1"/>
  <c r="AA221" i="9"/>
  <c r="W221" i="9" s="1"/>
  <c r="Z221" i="9" s="1"/>
  <c r="AA217" i="9"/>
  <c r="W217" i="9" s="1"/>
  <c r="Z217" i="9" s="1"/>
  <c r="AA233" i="9"/>
  <c r="W233" i="9" s="1"/>
  <c r="AA225" i="9"/>
  <c r="W225" i="9" s="1"/>
  <c r="Z225" i="9" s="1"/>
  <c r="AA229" i="9"/>
  <c r="W229" i="9" s="1"/>
  <c r="Z229" i="9" s="1"/>
  <c r="AA209" i="9"/>
  <c r="W209" i="9" s="1"/>
  <c r="Z209" i="9" s="1"/>
  <c r="AA231" i="9"/>
  <c r="W231" i="9" s="1"/>
  <c r="AA130" i="9"/>
  <c r="W130" i="9" s="1"/>
  <c r="Z130" i="9" s="1"/>
  <c r="AA41" i="9"/>
  <c r="W41" i="9" s="1"/>
  <c r="Z41" i="9" s="1"/>
  <c r="D177" i="10" s="1"/>
  <c r="AA25" i="9"/>
  <c r="W25" i="9" s="1"/>
  <c r="AA127" i="9"/>
  <c r="W127" i="9" s="1"/>
  <c r="Z127" i="9" s="1"/>
  <c r="AA22" i="9"/>
  <c r="W22" i="9" s="1"/>
  <c r="Z22" i="9" s="1"/>
  <c r="D44" i="10" s="1"/>
  <c r="AA206" i="9"/>
  <c r="W206" i="9" s="1"/>
  <c r="Z206" i="9" s="1"/>
  <c r="AA219" i="9"/>
  <c r="W219" i="9" s="1"/>
  <c r="Z219" i="9" s="1"/>
  <c r="AA143" i="9"/>
  <c r="W143" i="9" s="1"/>
  <c r="AA26" i="9"/>
  <c r="W26" i="9" s="1"/>
  <c r="AA56" i="9"/>
  <c r="W56" i="9" s="1"/>
  <c r="AA38" i="9"/>
  <c r="W38" i="9" s="1"/>
  <c r="AA204" i="9"/>
  <c r="W204" i="9" s="1"/>
  <c r="Z204" i="9" s="1"/>
  <c r="AA208" i="9"/>
  <c r="W208" i="9" s="1"/>
  <c r="Z208" i="9" s="1"/>
  <c r="M182" i="9"/>
  <c r="AA152" i="9"/>
  <c r="W152" i="9" s="1"/>
  <c r="AA148" i="9"/>
  <c r="W148" i="9" s="1"/>
  <c r="AA151" i="9"/>
  <c r="W151" i="9" s="1"/>
  <c r="AA149" i="9"/>
  <c r="W149" i="9" s="1"/>
  <c r="AA147" i="9"/>
  <c r="W147" i="9" s="1"/>
  <c r="AA150" i="9"/>
  <c r="W150" i="9" s="1"/>
  <c r="AA132" i="9"/>
  <c r="W132" i="9" s="1"/>
  <c r="Z132" i="9" s="1"/>
  <c r="AA136" i="9"/>
  <c r="W136" i="9" s="1"/>
  <c r="Z136" i="9" s="1"/>
  <c r="AA145" i="9"/>
  <c r="W145" i="9" s="1"/>
  <c r="AA146" i="9"/>
  <c r="W146" i="9" s="1"/>
  <c r="AA144" i="9"/>
  <c r="W144" i="9" s="1"/>
  <c r="AA128" i="9"/>
  <c r="W128" i="9" s="1"/>
  <c r="Z128" i="9" s="1"/>
  <c r="AA140" i="9"/>
  <c r="W140" i="9" s="1"/>
  <c r="Z140" i="9" s="1"/>
  <c r="AA121" i="9"/>
  <c r="W121" i="9" s="1"/>
  <c r="Z121" i="9" s="1"/>
  <c r="AA125" i="9"/>
  <c r="W125" i="9" s="1"/>
  <c r="Z125" i="9" s="1"/>
  <c r="AA122" i="9"/>
  <c r="W122" i="9" s="1"/>
  <c r="Z122" i="9" s="1"/>
  <c r="AA124" i="9"/>
  <c r="W124" i="9" s="1"/>
  <c r="Z124" i="9" s="1"/>
  <c r="AA123" i="9"/>
  <c r="W123" i="9" s="1"/>
  <c r="Z123" i="9" s="1"/>
  <c r="AA120" i="9"/>
  <c r="W120" i="9" s="1"/>
  <c r="Z120" i="9" s="1"/>
  <c r="AA111" i="9"/>
  <c r="W111" i="9" s="1"/>
  <c r="Z111" i="9" s="1"/>
  <c r="AA112" i="9"/>
  <c r="W112" i="9" s="1"/>
  <c r="Z112" i="9" s="1"/>
  <c r="AA118" i="9"/>
  <c r="W118" i="9" s="1"/>
  <c r="Z118" i="9" s="1"/>
  <c r="AA114" i="9"/>
  <c r="W114" i="9" s="1"/>
  <c r="Z114" i="9" s="1"/>
  <c r="AA117" i="9"/>
  <c r="W117" i="9" s="1"/>
  <c r="Z117" i="9" s="1"/>
  <c r="AA115" i="9"/>
  <c r="W115" i="9" s="1"/>
  <c r="Z115" i="9" s="1"/>
  <c r="AA116" i="9"/>
  <c r="W116" i="9" s="1"/>
  <c r="Z116" i="9" s="1"/>
  <c r="AA113" i="9"/>
  <c r="W113" i="9" s="1"/>
  <c r="Z113" i="9" s="1"/>
  <c r="AA236" i="9"/>
  <c r="W236" i="9" s="1"/>
  <c r="AA205" i="9"/>
  <c r="W205" i="9" s="1"/>
  <c r="Z205" i="9" s="1"/>
  <c r="AA142" i="9"/>
  <c r="W142" i="9" s="1"/>
  <c r="AA54" i="9"/>
  <c r="W54" i="9" s="1"/>
  <c r="AA137" i="9"/>
  <c r="W137" i="9" s="1"/>
  <c r="Z137" i="9" s="1"/>
  <c r="AA52" i="9"/>
  <c r="W52" i="9" s="1"/>
  <c r="AA227" i="9"/>
  <c r="W227" i="9" s="1"/>
  <c r="Z227" i="9" s="1"/>
  <c r="AA47" i="9"/>
  <c r="W47" i="9" s="1"/>
  <c r="Z47" i="9" s="1"/>
  <c r="D219" i="10" s="1"/>
  <c r="AA28" i="9"/>
  <c r="W28" i="9" s="1"/>
  <c r="AA42" i="9"/>
  <c r="W42" i="9" s="1"/>
  <c r="AA50" i="9"/>
  <c r="W50" i="9" s="1"/>
  <c r="Z50" i="9" s="1"/>
  <c r="D240" i="10" s="1"/>
  <c r="AA29" i="9"/>
  <c r="W29" i="9" s="1"/>
  <c r="AA23" i="9"/>
  <c r="W23" i="9" s="1"/>
  <c r="Z23" i="9" s="1"/>
  <c r="D51" i="10" s="1"/>
  <c r="M137" i="9"/>
  <c r="Q599" i="9"/>
  <c r="M47" i="9"/>
  <c r="XFC22" i="6"/>
  <c r="XFC28" i="6"/>
  <c r="XFC24" i="6"/>
  <c r="XFC23" i="6"/>
  <c r="XFC29" i="6"/>
  <c r="XFC25" i="6"/>
  <c r="XFC32" i="6"/>
  <c r="XFC26" i="6"/>
  <c r="XFC30" i="6"/>
  <c r="XFC27" i="6"/>
  <c r="XFC31" i="6"/>
  <c r="H24" i="10"/>
  <c r="Z44" i="9" l="1"/>
  <c r="D198" i="10" s="1"/>
  <c r="Z46" i="9"/>
  <c r="D212" i="10" s="1"/>
  <c r="Z40" i="9"/>
  <c r="D170" i="10" s="1"/>
  <c r="Z42" i="9"/>
  <c r="D184" i="10" s="1"/>
  <c r="Z38" i="9"/>
  <c r="D156" i="10" s="1"/>
  <c r="Z37" i="9"/>
  <c r="D149" i="10" s="1"/>
  <c r="E21" i="22"/>
  <c r="B21" i="22"/>
  <c r="H21" i="22"/>
  <c r="B18" i="22"/>
  <c r="H18" i="22"/>
  <c r="E18" i="22"/>
  <c r="E19" i="22"/>
  <c r="B19" i="22"/>
  <c r="H19" i="22"/>
  <c r="E22" i="22"/>
  <c r="B22" i="22"/>
  <c r="H22" i="22"/>
  <c r="E20" i="22"/>
  <c r="B20" i="22"/>
  <c r="H20" i="22"/>
  <c r="E23" i="22"/>
  <c r="H23" i="22"/>
  <c r="B23" i="22"/>
  <c r="Z28" i="9"/>
  <c r="D86" i="10" s="1"/>
  <c r="Z36" i="9"/>
  <c r="D142" i="10" s="1"/>
  <c r="Z35" i="9"/>
  <c r="D135" i="10" s="1"/>
  <c r="Z34" i="9"/>
  <c r="D128" i="10" s="1"/>
  <c r="Z33" i="9"/>
  <c r="D121" i="10" s="1"/>
  <c r="Z32" i="9"/>
  <c r="D114" i="10" s="1"/>
  <c r="Z30" i="9"/>
  <c r="D100" i="10" s="1"/>
  <c r="Z31" i="9"/>
  <c r="D107" i="10" s="1"/>
  <c r="Z29" i="9"/>
  <c r="D93" i="10" s="1"/>
  <c r="Z27" i="9"/>
  <c r="D79" i="10" s="1"/>
  <c r="Z26" i="9"/>
  <c r="D72" i="10" s="1"/>
  <c r="Z25" i="9"/>
  <c r="D65" i="10" s="1"/>
  <c r="M283" i="9"/>
  <c r="F38" i="10"/>
  <c r="F41" i="10"/>
  <c r="F42" i="10"/>
  <c r="E35" i="22"/>
  <c r="F43" i="10"/>
  <c r="F39" i="10"/>
  <c r="M193" i="9"/>
  <c r="Q598" i="9"/>
  <c r="Q643" i="9" s="1"/>
  <c r="L652" i="9" s="1"/>
  <c r="F660" i="9" s="1"/>
  <c r="M103" i="9"/>
  <c r="E24" i="22" s="1"/>
  <c r="C77" i="6"/>
  <c r="C59" i="6"/>
  <c r="C71" i="6"/>
  <c r="C56" i="6"/>
  <c r="C68" i="6"/>
  <c r="C62" i="6"/>
  <c r="C74" i="6"/>
  <c r="C80" i="6"/>
  <c r="C86" i="6"/>
  <c r="C83" i="6"/>
  <c r="C65" i="6"/>
  <c r="N20" i="7"/>
  <c r="N29" i="7" s="1"/>
  <c r="L20" i="7"/>
  <c r="L29" i="7" s="1"/>
  <c r="J20" i="7"/>
  <c r="J29" i="7" s="1"/>
  <c r="H29" i="7"/>
  <c r="F210" i="10" l="1"/>
  <c r="F206" i="10"/>
  <c r="F207" i="10"/>
  <c r="F208" i="10"/>
  <c r="F209" i="10"/>
  <c r="F211" i="10"/>
  <c r="F218" i="10"/>
  <c r="F213" i="10"/>
  <c r="F215" i="10"/>
  <c r="F217" i="10"/>
  <c r="F214" i="10"/>
  <c r="F216" i="10"/>
  <c r="F237" i="10"/>
  <c r="F239" i="10"/>
  <c r="F234" i="10"/>
  <c r="F235" i="10"/>
  <c r="F238" i="10"/>
  <c r="F236" i="10"/>
  <c r="F50" i="10"/>
  <c r="F49" i="10"/>
  <c r="F45" i="10"/>
  <c r="F46" i="10"/>
  <c r="F48" i="10"/>
  <c r="F47" i="10"/>
  <c r="F224" i="10"/>
  <c r="F222" i="10"/>
  <c r="F225" i="10"/>
  <c r="F220" i="10"/>
  <c r="F223" i="10"/>
  <c r="F221" i="10"/>
  <c r="F241" i="10"/>
  <c r="F243" i="10"/>
  <c r="F244" i="10"/>
  <c r="F246" i="10"/>
  <c r="F245" i="10"/>
  <c r="F242" i="10"/>
  <c r="F194" i="10"/>
  <c r="F192" i="10"/>
  <c r="F196" i="10"/>
  <c r="F195" i="10"/>
  <c r="F193" i="10"/>
  <c r="F197" i="10"/>
  <c r="F117" i="10" l="1"/>
  <c r="F116" i="10"/>
  <c r="F119" i="10"/>
  <c r="F115" i="10"/>
  <c r="F118" i="10"/>
  <c r="F120" i="10"/>
  <c r="F129" i="10"/>
  <c r="F133" i="10"/>
  <c r="F132" i="10"/>
  <c r="F131" i="10"/>
  <c r="F134" i="10"/>
  <c r="F130" i="10"/>
  <c r="F101" i="10"/>
  <c r="F102" i="10"/>
  <c r="F104" i="10"/>
  <c r="F105" i="10"/>
  <c r="F103" i="10"/>
  <c r="F106" i="10"/>
  <c r="F112" i="10"/>
  <c r="F113" i="10"/>
  <c r="F110" i="10"/>
  <c r="F109" i="10"/>
  <c r="F111" i="10"/>
  <c r="F108" i="10"/>
  <c r="F157" i="10"/>
  <c r="F158" i="10"/>
  <c r="F160" i="10"/>
  <c r="F162" i="10"/>
  <c r="F159" i="10"/>
  <c r="F161" i="10"/>
  <c r="F229" i="10"/>
  <c r="F231" i="10"/>
  <c r="F232" i="10"/>
  <c r="F227" i="10"/>
  <c r="F228" i="10"/>
  <c r="F230" i="10"/>
  <c r="F173" i="10"/>
  <c r="F172" i="10"/>
  <c r="F174" i="10"/>
  <c r="F175" i="10"/>
  <c r="F171" i="10"/>
  <c r="F176" i="10"/>
  <c r="F201" i="10"/>
  <c r="F202" i="10"/>
  <c r="F204" i="10"/>
  <c r="F199" i="10"/>
  <c r="F200" i="10"/>
  <c r="F203" i="10"/>
  <c r="F88" i="10"/>
  <c r="F91" i="10"/>
  <c r="F92" i="10"/>
  <c r="F87" i="10"/>
  <c r="F89" i="10"/>
  <c r="F90" i="10"/>
  <c r="F179" i="10"/>
  <c r="F181" i="10"/>
  <c r="F182" i="10"/>
  <c r="F183" i="10"/>
  <c r="F180" i="10"/>
  <c r="F178" i="10"/>
  <c r="F123" i="10"/>
  <c r="F125" i="10"/>
  <c r="F122" i="10"/>
  <c r="F126" i="10"/>
  <c r="F127" i="10"/>
  <c r="F124" i="10"/>
  <c r="F154" i="10"/>
  <c r="F150" i="10"/>
  <c r="F152" i="10"/>
  <c r="F153" i="10"/>
  <c r="F151" i="10"/>
  <c r="F155" i="10"/>
  <c r="F81" i="10"/>
  <c r="F83" i="10"/>
  <c r="F80" i="10"/>
  <c r="F84" i="10"/>
  <c r="F82" i="10"/>
  <c r="F85" i="10"/>
  <c r="F53" i="10"/>
  <c r="F52" i="10"/>
  <c r="F54" i="10"/>
  <c r="F57" i="10"/>
  <c r="F55" i="10"/>
  <c r="F56" i="10"/>
  <c r="F64" i="10"/>
  <c r="F59" i="10"/>
  <c r="F60" i="10"/>
  <c r="F62" i="10"/>
  <c r="F61" i="10"/>
  <c r="F63" i="10"/>
  <c r="F74" i="10"/>
  <c r="F76" i="10"/>
  <c r="F78" i="10"/>
  <c r="F75" i="10"/>
  <c r="F77" i="10"/>
  <c r="F73" i="10"/>
  <c r="F69" i="10"/>
  <c r="F71" i="10"/>
  <c r="F67" i="10"/>
  <c r="F68" i="10"/>
  <c r="F70" i="10"/>
  <c r="F66" i="10"/>
  <c r="F145" i="10"/>
  <c r="F148" i="10"/>
  <c r="F147" i="10"/>
  <c r="F144" i="10"/>
  <c r="F146" i="10"/>
  <c r="F143" i="10"/>
  <c r="F168" i="10"/>
  <c r="F166" i="10"/>
  <c r="F165" i="10"/>
  <c r="F167" i="10"/>
  <c r="F164" i="10"/>
  <c r="F169" i="10"/>
  <c r="F96" i="10"/>
  <c r="F98" i="10"/>
  <c r="F97" i="10"/>
  <c r="F95" i="10"/>
  <c r="F99" i="10"/>
  <c r="F94" i="10"/>
  <c r="F140" i="10"/>
  <c r="F137" i="10"/>
  <c r="F139" i="10"/>
  <c r="F138" i="10"/>
  <c r="F141" i="10"/>
  <c r="F136" i="10"/>
  <c r="F185" i="10"/>
  <c r="F189" i="10"/>
  <c r="F190" i="10"/>
  <c r="F187" i="10"/>
  <c r="F188" i="10"/>
  <c r="F186" i="10"/>
  <c r="F114" i="10" l="1"/>
  <c r="B73" i="26"/>
  <c r="D341" i="10"/>
  <c r="E341" i="10"/>
  <c r="F341" i="10"/>
  <c r="G341" i="10"/>
  <c r="H341" i="10"/>
  <c r="I341" i="10"/>
  <c r="J341" i="10"/>
  <c r="D342" i="10"/>
  <c r="E342" i="10"/>
  <c r="F342" i="10"/>
  <c r="G342" i="10"/>
  <c r="H342" i="10"/>
  <c r="I342" i="10"/>
  <c r="J342" i="10"/>
  <c r="D343" i="10"/>
  <c r="E343" i="10"/>
  <c r="F343" i="10"/>
  <c r="G343" i="10"/>
  <c r="H343" i="10"/>
  <c r="I343" i="10"/>
  <c r="J343" i="10"/>
  <c r="D344" i="10"/>
  <c r="E344" i="10"/>
  <c r="F344" i="10"/>
  <c r="G344" i="10"/>
  <c r="H344" i="10"/>
  <c r="I344" i="10"/>
  <c r="J344" i="10"/>
  <c r="D345" i="10"/>
  <c r="E345" i="10"/>
  <c r="F345" i="10"/>
  <c r="G345" i="10"/>
  <c r="H345" i="10"/>
  <c r="I345" i="10"/>
  <c r="J345" i="10"/>
  <c r="D346" i="10"/>
  <c r="E346" i="10"/>
  <c r="F346" i="10"/>
  <c r="G346" i="10"/>
  <c r="H346" i="10"/>
  <c r="I346" i="10"/>
  <c r="J346" i="10"/>
  <c r="E340" i="10"/>
  <c r="F340" i="10"/>
  <c r="G340" i="10"/>
  <c r="H340" i="10"/>
  <c r="I340" i="10"/>
  <c r="J340" i="10"/>
  <c r="D340" i="10"/>
  <c r="H305" i="10" l="1"/>
  <c r="H306" i="10"/>
  <c r="H307" i="10"/>
  <c r="E524" i="9" l="1"/>
  <c r="D252" i="10" l="1"/>
  <c r="R818" i="9" l="1"/>
  <c r="L574" i="9"/>
  <c r="L575" i="9"/>
  <c r="L576" i="9"/>
  <c r="L573" i="9"/>
  <c r="G416" i="9"/>
  <c r="H416" i="9"/>
  <c r="I416" i="9"/>
  <c r="J416" i="9"/>
  <c r="K416" i="9"/>
  <c r="L416" i="9"/>
  <c r="M416" i="9"/>
  <c r="N416" i="9"/>
  <c r="O416" i="9"/>
  <c r="G421" i="9"/>
  <c r="H421" i="9"/>
  <c r="I421" i="9"/>
  <c r="J421" i="9"/>
  <c r="K421" i="9"/>
  <c r="L421" i="9"/>
  <c r="M421" i="9"/>
  <c r="N421" i="9"/>
  <c r="O421" i="9"/>
  <c r="G423" i="9"/>
  <c r="H423" i="9"/>
  <c r="I423" i="9"/>
  <c r="J423" i="9"/>
  <c r="K423" i="9"/>
  <c r="L423" i="9"/>
  <c r="M423" i="9"/>
  <c r="N423" i="9"/>
  <c r="O423" i="9"/>
  <c r="G428" i="9"/>
  <c r="H428" i="9"/>
  <c r="I428" i="9"/>
  <c r="J428" i="9"/>
  <c r="K428" i="9"/>
  <c r="L428" i="9"/>
  <c r="M428" i="9"/>
  <c r="N428" i="9"/>
  <c r="O428" i="9"/>
  <c r="F428" i="9"/>
  <c r="F423" i="9"/>
  <c r="F421" i="9"/>
  <c r="F416" i="9"/>
  <c r="L577" i="9" l="1"/>
  <c r="I431" i="9"/>
  <c r="J431" i="9"/>
  <c r="L431" i="9"/>
  <c r="M430" i="9"/>
  <c r="K431" i="9"/>
  <c r="L430" i="9"/>
  <c r="K430" i="9"/>
  <c r="O430" i="9"/>
  <c r="N431" i="9"/>
  <c r="G430" i="9"/>
  <c r="I430" i="9"/>
  <c r="J430" i="9"/>
  <c r="F431" i="9"/>
  <c r="H431" i="9"/>
  <c r="M431" i="9"/>
  <c r="N430" i="9"/>
  <c r="O431" i="9"/>
  <c r="G431" i="9"/>
  <c r="H430" i="9"/>
  <c r="F430" i="9"/>
  <c r="Q526" i="9"/>
  <c r="Q524" i="9"/>
  <c r="Q528" i="9"/>
  <c r="Q530" i="9"/>
  <c r="C305" i="10"/>
  <c r="C306" i="10"/>
  <c r="C307" i="10"/>
  <c r="C304" i="10"/>
  <c r="D290" i="10"/>
  <c r="D282" i="10"/>
  <c r="D275" i="10"/>
  <c r="D268" i="10"/>
  <c r="D264" i="10"/>
  <c r="I308" i="10" l="1"/>
  <c r="K308" i="10"/>
  <c r="J308" i="10"/>
  <c r="G308" i="10"/>
  <c r="E308" i="10"/>
  <c r="F308" i="10"/>
  <c r="M308" i="10"/>
  <c r="D308" i="10"/>
  <c r="C308" i="10"/>
  <c r="L308" i="10"/>
  <c r="F266" i="10"/>
  <c r="F267" i="10"/>
  <c r="F265" i="10"/>
  <c r="F269" i="10"/>
  <c r="F274" i="10"/>
  <c r="F272" i="10"/>
  <c r="F271" i="10"/>
  <c r="F270" i="10"/>
  <c r="F273" i="10"/>
  <c r="F287" i="10"/>
  <c r="F288" i="10"/>
  <c r="F285" i="10"/>
  <c r="F283" i="10"/>
  <c r="F284" i="10"/>
  <c r="F286" i="10"/>
  <c r="F293" i="10"/>
  <c r="F294" i="10"/>
  <c r="F295" i="10"/>
  <c r="F296" i="10"/>
  <c r="F291" i="10"/>
  <c r="F292" i="10"/>
  <c r="F278" i="10"/>
  <c r="F279" i="10"/>
  <c r="F277" i="10"/>
  <c r="F276" i="10"/>
  <c r="F281" i="10"/>
  <c r="F280" i="10"/>
  <c r="Q569" i="9"/>
  <c r="L578" i="9" s="1"/>
  <c r="F586" i="9" s="1"/>
  <c r="D289" i="10"/>
  <c r="D263" i="10"/>
  <c r="F290" i="10" l="1"/>
  <c r="F268" i="10"/>
  <c r="F282" i="10"/>
  <c r="F264" i="10"/>
  <c r="F275" i="10"/>
  <c r="F128" i="10"/>
  <c r="F198" i="10"/>
  <c r="F212" i="10"/>
  <c r="F163" i="10"/>
  <c r="F79" i="10"/>
  <c r="F226" i="10"/>
  <c r="F121" i="10"/>
  <c r="F191" i="10"/>
  <c r="F142" i="10"/>
  <c r="F233" i="10"/>
  <c r="F184" i="10"/>
  <c r="F86" i="10"/>
  <c r="F205" i="10"/>
  <c r="F149" i="10"/>
  <c r="F107" i="10"/>
  <c r="F240" i="10"/>
  <c r="F156" i="10"/>
  <c r="F100" i="10"/>
  <c r="F170" i="10"/>
  <c r="F263" i="10" l="1"/>
  <c r="D314" i="10" s="1"/>
  <c r="F135" i="10"/>
  <c r="F93" i="10"/>
  <c r="F219" i="10"/>
  <c r="F177" i="10"/>
  <c r="H304" i="10" l="1"/>
  <c r="H308" i="10" s="1"/>
  <c r="C264" i="10"/>
  <c r="C268" i="10"/>
  <c r="C275" i="10"/>
  <c r="C290" i="10"/>
  <c r="C282" i="10"/>
  <c r="F289" i="10" l="1"/>
  <c r="D313" i="10" s="1"/>
  <c r="D316" i="10" s="1"/>
  <c r="D317" i="10" s="1"/>
  <c r="E38" i="10"/>
  <c r="C72" i="10"/>
  <c r="C65" i="10"/>
  <c r="C58" i="10"/>
  <c r="C51" i="10"/>
  <c r="C44" i="10"/>
  <c r="C37" i="10"/>
  <c r="F248" i="10"/>
  <c r="F249" i="10"/>
  <c r="F250" i="10"/>
  <c r="F251" i="10"/>
  <c r="F247" i="10"/>
  <c r="E73" i="10"/>
  <c r="E66" i="10"/>
  <c r="E59" i="10"/>
  <c r="E52" i="10"/>
  <c r="E45" i="10"/>
  <c r="E251" i="10"/>
  <c r="E314" i="10" l="1"/>
  <c r="F314" i="10" s="1"/>
  <c r="G314" i="10" s="1"/>
  <c r="H314" i="10" s="1"/>
  <c r="I314" i="10" s="1"/>
  <c r="J314" i="10" s="1"/>
  <c r="K314" i="10" s="1"/>
  <c r="L314" i="10" s="1"/>
  <c r="M314" i="10" s="1"/>
  <c r="E313" i="10"/>
  <c r="Q814" i="9"/>
  <c r="K571" i="9"/>
  <c r="P814" i="9"/>
  <c r="J571" i="9"/>
  <c r="O814" i="9"/>
  <c r="I571" i="9"/>
  <c r="N814" i="9"/>
  <c r="H571" i="9"/>
  <c r="M814" i="9"/>
  <c r="G571" i="9"/>
  <c r="K814" i="9"/>
  <c r="J520" i="9"/>
  <c r="P520" i="9"/>
  <c r="O520" i="9"/>
  <c r="N520" i="9"/>
  <c r="M520" i="9"/>
  <c r="L520" i="9"/>
  <c r="E571" i="9"/>
  <c r="E316" i="10" l="1"/>
  <c r="E317" i="10" s="1"/>
  <c r="F313" i="10"/>
  <c r="G313" i="10" l="1"/>
  <c r="G316" i="10" s="1"/>
  <c r="G317" i="10" s="1"/>
  <c r="F316" i="10"/>
  <c r="F317" i="10" s="1"/>
  <c r="H313" i="10" l="1"/>
  <c r="H316" i="10" s="1"/>
  <c r="H317" i="10" s="1"/>
  <c r="I313" i="10" l="1"/>
  <c r="I316" i="10" s="1"/>
  <c r="I317" i="10" s="1"/>
  <c r="J313" i="10" l="1"/>
  <c r="J316" i="10" s="1"/>
  <c r="J317" i="10" s="1"/>
  <c r="G524" i="9"/>
  <c r="K313" i="10" l="1"/>
  <c r="K316" i="10" s="1"/>
  <c r="K317" i="10" s="1"/>
  <c r="L313" i="10" l="1"/>
  <c r="L316" i="10" s="1"/>
  <c r="L317" i="10" s="1"/>
  <c r="F65" i="10"/>
  <c r="F44" i="10"/>
  <c r="F72" i="10"/>
  <c r="F51" i="10"/>
  <c r="F37" i="10"/>
  <c r="F58" i="10"/>
  <c r="B69" i="8"/>
  <c r="B64" i="8"/>
  <c r="B75" i="8"/>
  <c r="B59" i="8"/>
  <c r="M313" i="10" l="1"/>
  <c r="M316" i="10" s="1"/>
  <c r="M317" i="10" s="1"/>
  <c r="F252" i="10"/>
  <c r="B9" i="21" s="1"/>
  <c r="I818" i="9"/>
  <c r="I834" i="9"/>
  <c r="C311" i="10" l="1"/>
  <c r="C316" i="10" l="1"/>
  <c r="C317" i="10" s="1"/>
  <c r="E21" i="29"/>
  <c r="F21" i="29"/>
  <c r="G21" i="29"/>
  <c r="H21" i="29"/>
  <c r="I21" i="29"/>
  <c r="J21" i="29"/>
  <c r="K21" i="29"/>
  <c r="L21" i="29"/>
  <c r="M21" i="29"/>
  <c r="F326" i="10" l="1"/>
  <c r="F325" i="10"/>
  <c r="XEW57" i="6"/>
  <c r="XEY57" i="6"/>
  <c r="XEW58" i="6"/>
  <c r="XEY58" i="6"/>
  <c r="XEW59" i="6"/>
  <c r="XEY59" i="6"/>
  <c r="XEW60" i="6"/>
  <c r="XEY60" i="6"/>
  <c r="XEW61" i="6"/>
  <c r="XEY61" i="6"/>
  <c r="XEW62" i="6"/>
  <c r="XEY62" i="6"/>
  <c r="XEW63" i="6"/>
  <c r="XEY63" i="6"/>
  <c r="XEW64" i="6"/>
  <c r="XEY64" i="6"/>
  <c r="XEW65" i="6"/>
  <c r="XEY65" i="6"/>
  <c r="XEW66" i="6"/>
  <c r="XEY66" i="6"/>
  <c r="XEW67" i="6"/>
  <c r="XEY67" i="6"/>
  <c r="XEW68" i="6"/>
  <c r="XEY68" i="6"/>
  <c r="XEW69" i="6"/>
  <c r="XEY69" i="6"/>
  <c r="XEW70" i="6"/>
  <c r="XEY70" i="6"/>
  <c r="XEW71" i="6"/>
  <c r="XEY71" i="6"/>
  <c r="XEW72" i="6"/>
  <c r="XEY72" i="6"/>
  <c r="XEW73" i="6"/>
  <c r="XEY73" i="6"/>
  <c r="XEW74" i="6"/>
  <c r="XEY74" i="6"/>
  <c r="XEW75" i="6"/>
  <c r="XEY75" i="6"/>
  <c r="XEW76" i="6"/>
  <c r="XEY76" i="6"/>
  <c r="XEW77" i="6"/>
  <c r="XEY77" i="6"/>
  <c r="XEW78" i="6"/>
  <c r="XEY78" i="6"/>
  <c r="XEW79" i="6"/>
  <c r="XEY79" i="6"/>
  <c r="XEW80" i="6"/>
  <c r="XEY80" i="6"/>
  <c r="XEW81" i="6"/>
  <c r="XEY81" i="6"/>
  <c r="XEW82" i="6"/>
  <c r="XEY82" i="6"/>
  <c r="XEW83" i="6"/>
  <c r="XEY83" i="6"/>
  <c r="XEW84" i="6"/>
  <c r="XEY84" i="6"/>
  <c r="XEW85" i="6"/>
  <c r="XEY85" i="6"/>
  <c r="XEW86" i="6"/>
  <c r="XEY86" i="6"/>
  <c r="XEW87" i="6"/>
  <c r="XEY87" i="6"/>
  <c r="XEW88" i="6"/>
  <c r="XEY88" i="6"/>
  <c r="XEY56" i="6"/>
  <c r="XEX56" i="6" s="1"/>
  <c r="XEW56" i="6"/>
  <c r="XEU57" i="6"/>
  <c r="XEU58" i="6"/>
  <c r="XEU59" i="6"/>
  <c r="XEU60" i="6"/>
  <c r="XEU61" i="6"/>
  <c r="XEU62" i="6"/>
  <c r="XEU63" i="6"/>
  <c r="XEU64" i="6"/>
  <c r="XEU65" i="6"/>
  <c r="XEU66" i="6"/>
  <c r="XEU67" i="6"/>
  <c r="XEU68" i="6"/>
  <c r="XEU69" i="6"/>
  <c r="XEU70" i="6"/>
  <c r="XEU71" i="6"/>
  <c r="XEU72" i="6"/>
  <c r="XEU73" i="6"/>
  <c r="XEU74" i="6"/>
  <c r="XEU75" i="6"/>
  <c r="XEU76" i="6"/>
  <c r="XEU77" i="6"/>
  <c r="XEU78" i="6"/>
  <c r="XEU79" i="6"/>
  <c r="XEU80" i="6"/>
  <c r="XEU81" i="6"/>
  <c r="XEU82" i="6"/>
  <c r="XEU83" i="6"/>
  <c r="XEU84" i="6"/>
  <c r="XEU85" i="6"/>
  <c r="XEU86" i="6"/>
  <c r="XEU87" i="6"/>
  <c r="XEU88" i="6"/>
  <c r="XEU56" i="6"/>
  <c r="B10" i="21" l="1"/>
  <c r="Q339" i="10"/>
  <c r="XEV57" i="6"/>
  <c r="XET63" i="6"/>
  <c r="XEV56" i="6"/>
  <c r="XEX57" i="6"/>
  <c r="XET69" i="6"/>
  <c r="XET68" i="6"/>
  <c r="XET86" i="6"/>
  <c r="XET78" i="6"/>
  <c r="XET77" i="6"/>
  <c r="XET70" i="6"/>
  <c r="XET85" i="6"/>
  <c r="XET61" i="6"/>
  <c r="XET84" i="6"/>
  <c r="XET60" i="6"/>
  <c r="XET83" i="6"/>
  <c r="XET75" i="6"/>
  <c r="XET67" i="6"/>
  <c r="XET59" i="6"/>
  <c r="XET62" i="6"/>
  <c r="XET76" i="6"/>
  <c r="XET74" i="6"/>
  <c r="XET58" i="6"/>
  <c r="XET56" i="6"/>
  <c r="XET65" i="6"/>
  <c r="XET88" i="6"/>
  <c r="XET80" i="6"/>
  <c r="XET72" i="6"/>
  <c r="XET64" i="6"/>
  <c r="XEX79" i="6"/>
  <c r="XET82" i="6"/>
  <c r="XET66" i="6"/>
  <c r="XET81" i="6"/>
  <c r="XET73" i="6"/>
  <c r="XET57" i="6"/>
  <c r="XET87" i="6"/>
  <c r="XET79" i="6"/>
  <c r="XET71" i="6"/>
  <c r="XEV59" i="6"/>
  <c r="XEX88" i="6"/>
  <c r="XEX82" i="6"/>
  <c r="XEX76" i="6"/>
  <c r="XEX70" i="6"/>
  <c r="XEX66" i="6"/>
  <c r="XEX58" i="6"/>
  <c r="XEV86" i="6"/>
  <c r="XEV84" i="6"/>
  <c r="XEV82" i="6"/>
  <c r="XEV80" i="6"/>
  <c r="XEV78" i="6"/>
  <c r="XEV76" i="6"/>
  <c r="XEV74" i="6"/>
  <c r="XEV72" i="6"/>
  <c r="XEV70" i="6"/>
  <c r="XEV68" i="6"/>
  <c r="XEV66" i="6"/>
  <c r="XEV64" i="6"/>
  <c r="XEV62" i="6"/>
  <c r="XEV60" i="6"/>
  <c r="XEV58" i="6"/>
  <c r="XEX84" i="6"/>
  <c r="XEX78" i="6"/>
  <c r="XEX72" i="6"/>
  <c r="XEX62" i="6"/>
  <c r="XEV88" i="6"/>
  <c r="XEX85" i="6"/>
  <c r="XEX81" i="6"/>
  <c r="XEX77" i="6"/>
  <c r="XEX75" i="6"/>
  <c r="XEX73" i="6"/>
  <c r="XEX71" i="6"/>
  <c r="XEX69" i="6"/>
  <c r="XEX67" i="6"/>
  <c r="XEX65" i="6"/>
  <c r="XEX63" i="6"/>
  <c r="XEX61" i="6"/>
  <c r="XEX59" i="6"/>
  <c r="XEX86" i="6"/>
  <c r="XEX80" i="6"/>
  <c r="XEX74" i="6"/>
  <c r="XEX68" i="6"/>
  <c r="XEX64" i="6"/>
  <c r="XEX60" i="6"/>
  <c r="XEX87" i="6"/>
  <c r="XEX83" i="6"/>
  <c r="XEV87" i="6"/>
  <c r="XEV85" i="6"/>
  <c r="XEV83" i="6"/>
  <c r="XEV81" i="6"/>
  <c r="XEV79" i="6"/>
  <c r="XEV77" i="6"/>
  <c r="XEV75" i="6"/>
  <c r="XEV73" i="6"/>
  <c r="XEV71" i="6"/>
  <c r="XEV69" i="6"/>
  <c r="XEV67" i="6"/>
  <c r="XEV65" i="6"/>
  <c r="XEV63" i="6"/>
  <c r="XEV61" i="6"/>
  <c r="XFD56" i="6" l="1"/>
  <c r="XFB59" i="6"/>
  <c r="XFB65" i="6"/>
  <c r="XFB78" i="6"/>
  <c r="XFB60" i="6"/>
  <c r="XFB75" i="6"/>
  <c r="XFB73" i="6"/>
  <c r="XFB63" i="6"/>
  <c r="XFB61" i="6"/>
  <c r="XFB72" i="6"/>
  <c r="XFB79" i="6"/>
  <c r="XFB67" i="6"/>
  <c r="XFB64" i="6"/>
  <c r="XFB56" i="6"/>
  <c r="XFB80" i="6"/>
  <c r="XFB66" i="6"/>
  <c r="XFB68" i="6"/>
  <c r="XFD69" i="6"/>
  <c r="XFD77" i="6"/>
  <c r="XFB57" i="6"/>
  <c r="XFB74" i="6"/>
  <c r="XFB76" i="6"/>
  <c r="XFD80" i="6"/>
  <c r="XFB69" i="6"/>
  <c r="XFB62" i="6"/>
  <c r="XFB71" i="6"/>
  <c r="XFB58" i="6"/>
  <c r="XFD64" i="6"/>
  <c r="XFB77" i="6"/>
  <c r="XFB70" i="6"/>
  <c r="XFC58" i="6"/>
  <c r="XFC66" i="6"/>
  <c r="XFC74" i="6"/>
  <c r="XFC64" i="6"/>
  <c r="XFC62" i="6"/>
  <c r="XFC60" i="6"/>
  <c r="XFC68" i="6"/>
  <c r="XFC67" i="6"/>
  <c r="XFC76" i="6"/>
  <c r="XFC56" i="6"/>
  <c r="XFC72" i="6"/>
  <c r="XFC63" i="6"/>
  <c r="XFC78" i="6"/>
  <c r="XFC71" i="6"/>
  <c r="XFD66" i="6"/>
  <c r="XFD72" i="6"/>
  <c r="XFD58" i="6"/>
  <c r="XFD74" i="6"/>
  <c r="XFC57" i="6"/>
  <c r="XFC59" i="6"/>
  <c r="XFC69" i="6"/>
  <c r="XFC75" i="6"/>
  <c r="XFC70" i="6"/>
  <c r="XFD61" i="6"/>
  <c r="XFC77" i="6"/>
  <c r="XFC65" i="6"/>
  <c r="XFD63" i="6"/>
  <c r="XFD71" i="6"/>
  <c r="XFD79" i="6"/>
  <c r="XFD59" i="6"/>
  <c r="XFD67" i="6"/>
  <c r="XFD75" i="6"/>
  <c r="XFD62" i="6"/>
  <c r="XFD70" i="6"/>
  <c r="XFD78" i="6"/>
  <c r="XFD57" i="6"/>
  <c r="XFD73" i="6"/>
  <c r="XFD60" i="6"/>
  <c r="XFD68" i="6"/>
  <c r="XFD76" i="6"/>
  <c r="XFD65" i="6"/>
  <c r="XFC80" i="6"/>
  <c r="XFC79" i="6"/>
  <c r="XFC73" i="6"/>
  <c r="XFC61" i="6"/>
  <c r="W29" i="25" l="1"/>
  <c r="W28" i="25"/>
  <c r="W27" i="25"/>
  <c r="W21" i="25"/>
  <c r="W20" i="25"/>
  <c r="W19" i="25"/>
  <c r="S29" i="25"/>
  <c r="S28" i="25"/>
  <c r="S27" i="25"/>
  <c r="S21" i="25"/>
  <c r="S20" i="25"/>
  <c r="S19" i="25"/>
  <c r="U55" i="24" l="1"/>
  <c r="E291" i="10" l="1"/>
  <c r="E283" i="10"/>
  <c r="E276" i="10"/>
  <c r="E269" i="10"/>
  <c r="E250" i="10"/>
  <c r="E249" i="10"/>
  <c r="E248" i="10"/>
  <c r="E247" i="10"/>
</calcChain>
</file>

<file path=xl/sharedStrings.xml><?xml version="1.0" encoding="utf-8"?>
<sst xmlns="http://schemas.openxmlformats.org/spreadsheetml/2006/main" count="13109" uniqueCount="5625">
  <si>
    <t>Nota: Se puede incluir más de un servicio público con brecha y más de un indicador</t>
  </si>
  <si>
    <t>Espacio geográfico</t>
  </si>
  <si>
    <t>Valor:</t>
  </si>
  <si>
    <t>Nivel de gobierno :</t>
  </si>
  <si>
    <t>Entidad :</t>
  </si>
  <si>
    <t>Nombre de la UF:  (Nombre de la Unidad Orgánica a la que pertenece la UF)</t>
  </si>
  <si>
    <t>Naturaleza de intervención</t>
  </si>
  <si>
    <t>Objeto de intervención</t>
  </si>
  <si>
    <t>Localización</t>
  </si>
  <si>
    <t>Función</t>
  </si>
  <si>
    <t>División funcional</t>
  </si>
  <si>
    <t>Grupo funcional</t>
  </si>
  <si>
    <t>Valor</t>
  </si>
  <si>
    <t>Contribución del Cierre de Brecha (Valor)</t>
  </si>
  <si>
    <t>Tipología de proyecto</t>
  </si>
  <si>
    <t>Año</t>
  </si>
  <si>
    <t>a</t>
  </si>
  <si>
    <t>Responsable de la UF</t>
  </si>
  <si>
    <t>Departamento</t>
  </si>
  <si>
    <t>Provincia</t>
  </si>
  <si>
    <t>Distrito</t>
  </si>
  <si>
    <t>Coordenadas geográficas</t>
  </si>
  <si>
    <t>Leyenda del croquis:</t>
  </si>
  <si>
    <t>Fuente de información:</t>
  </si>
  <si>
    <t>Físicas</t>
  </si>
  <si>
    <t>Descripción</t>
  </si>
  <si>
    <t>Fuente de información</t>
  </si>
  <si>
    <t>Peligros</t>
  </si>
  <si>
    <t>Sí</t>
  </si>
  <si>
    <t>No</t>
  </si>
  <si>
    <t>Inundaciones</t>
  </si>
  <si>
    <t>Movimientos en masa</t>
  </si>
  <si>
    <t>Lluvias intensas</t>
  </si>
  <si>
    <t>Helada</t>
  </si>
  <si>
    <t>Nevadas</t>
  </si>
  <si>
    <t>Friaje</t>
  </si>
  <si>
    <t>Sismos</t>
  </si>
  <si>
    <t>Sequías</t>
  </si>
  <si>
    <t>Vulcanismo</t>
  </si>
  <si>
    <t>Tsunamis</t>
  </si>
  <si>
    <t>Incendios forestales</t>
  </si>
  <si>
    <t>Erosión</t>
  </si>
  <si>
    <t>Vientos fuertes</t>
  </si>
  <si>
    <t>Incendios urbanos</t>
  </si>
  <si>
    <t>Coordenadas de ubicación</t>
  </si>
  <si>
    <t>Nota: Si la Unidad Productora del proyecto abarca más de una localización o si el proyecto presenta más de una Unidad Productora, se podrán añadir más localizaciones</t>
  </si>
  <si>
    <t>N°</t>
  </si>
  <si>
    <t>Caracterización de los procesos de producción de la UP</t>
  </si>
  <si>
    <t>Procesos</t>
  </si>
  <si>
    <t>Tipo de Factor productivo</t>
  </si>
  <si>
    <t>Cumple con los estándares de calidad del Sector</t>
  </si>
  <si>
    <t>Estado Situacional</t>
  </si>
  <si>
    <t>Acciones correctivas</t>
  </si>
  <si>
    <t>Sustento</t>
  </si>
  <si>
    <t>Infraestructura</t>
  </si>
  <si>
    <t>Tipo de mantenimiento</t>
  </si>
  <si>
    <t>Fecha de último mantenimiento realizado</t>
  </si>
  <si>
    <t>Acciones de mantenimiento realizadas</t>
  </si>
  <si>
    <t>Costo de último mantenimiento realizado</t>
  </si>
  <si>
    <t>¿En el año actual dispone de fondos para su ejecución?</t>
  </si>
  <si>
    <t>Órgano o área técnica responsable</t>
  </si>
  <si>
    <t>Precisar restricciones</t>
  </si>
  <si>
    <t>Acciones</t>
  </si>
  <si>
    <t>UP o activos de la UP* expuestos</t>
  </si>
  <si>
    <t>Servicios</t>
  </si>
  <si>
    <t>Unidad de Medida</t>
  </si>
  <si>
    <t>Año -4</t>
  </si>
  <si>
    <t>Año -3</t>
  </si>
  <si>
    <t>Año -2</t>
  </si>
  <si>
    <t>Año -1</t>
  </si>
  <si>
    <t>Total de la población afectada</t>
  </si>
  <si>
    <t>Otros</t>
  </si>
  <si>
    <t>Posición (Cooperante, Beneficiario, Oponente, Perjudicado)</t>
  </si>
  <si>
    <t>Intereses o expectativas</t>
  </si>
  <si>
    <t>Contribución</t>
  </si>
  <si>
    <t xml:space="preserve">Indicador </t>
  </si>
  <si>
    <t>Sustento (evidencias)</t>
  </si>
  <si>
    <t>Medios fundamentales</t>
  </si>
  <si>
    <t>Alternativas</t>
  </si>
  <si>
    <t>Alternativa 1</t>
  </si>
  <si>
    <t>Alternativa 2</t>
  </si>
  <si>
    <t>Periodo en años de la ejecución del proyecto</t>
  </si>
  <si>
    <t>Nota: Debe considerar los plazos del Estudios Definitivos (incluyendo los plazos de contratación) y la Ejecución Física (Incluye los plazos de contratación y liquidación)</t>
  </si>
  <si>
    <t>Periodo en años del funcionamiento del proyecto</t>
  </si>
  <si>
    <t xml:space="preserve">a) La vida útil de los activos principales: </t>
  </si>
  <si>
    <t xml:space="preserve">     Infraestructura: Vida útil de diseño</t>
  </si>
  <si>
    <t>Número de años del horizonte de evaluación</t>
  </si>
  <si>
    <t>Variables para la estimación de la demanda</t>
  </si>
  <si>
    <t>Tasa de crecimiento anual</t>
  </si>
  <si>
    <t>Tipo de población</t>
  </si>
  <si>
    <t>Año 1</t>
  </si>
  <si>
    <t>Año 2</t>
  </si>
  <si>
    <t>Año 3</t>
  </si>
  <si>
    <t>Servicio</t>
  </si>
  <si>
    <t>Acciones de optimización</t>
  </si>
  <si>
    <t>Total capacidad actual</t>
  </si>
  <si>
    <t>Total capacidad optimizada</t>
  </si>
  <si>
    <t>Servicios con brecha</t>
  </si>
  <si>
    <t>Año 10</t>
  </si>
  <si>
    <t>*Nota: Los servicios con brecha corresponden a los servicios públicos con indicadores de cobertura</t>
  </si>
  <si>
    <t>Combustibles</t>
  </si>
  <si>
    <t xml:space="preserve">N° </t>
  </si>
  <si>
    <t>UM</t>
  </si>
  <si>
    <t>Alternativas técnicas</t>
  </si>
  <si>
    <t xml:space="preserve">Tecnología </t>
  </si>
  <si>
    <t xml:space="preserve">Activos </t>
  </si>
  <si>
    <t>Tipo de factor productivo</t>
  </si>
  <si>
    <t>Unidad Física</t>
  </si>
  <si>
    <t>Unidad de 
medida</t>
  </si>
  <si>
    <t>Cantidad</t>
  </si>
  <si>
    <t>Nota: este cuadro se repite por cada unidad productora intervenida por el proyecto de inversión</t>
  </si>
  <si>
    <t>La estimación de los costos deberá ser sustentada a nivel de ingeniería conceptual</t>
  </si>
  <si>
    <t>Otros costos</t>
  </si>
  <si>
    <t>Gestión del proyecto</t>
  </si>
  <si>
    <t>Supervisión</t>
  </si>
  <si>
    <t>Liquidación</t>
  </si>
  <si>
    <t>Activos</t>
  </si>
  <si>
    <t>AÑOS (Soles)</t>
  </si>
  <si>
    <t xml:space="preserve">Fecha prevista de inicio de operaciones:  (mes / año): </t>
  </si>
  <si>
    <t>Horizonte de funcionamiento (años)</t>
  </si>
  <si>
    <t>SIN PROYECTO</t>
  </si>
  <si>
    <t>OPERACIÓN</t>
  </si>
  <si>
    <t>Personal</t>
  </si>
  <si>
    <t>Bienes</t>
  </si>
  <si>
    <t>MANTENIMIENTO</t>
  </si>
  <si>
    <t>Actividades</t>
  </si>
  <si>
    <t>CON PROYECTO</t>
  </si>
  <si>
    <t>INCREMENTAL</t>
  </si>
  <si>
    <t>Fecha prevista de inicio de ejecución:</t>
  </si>
  <si>
    <t>(mes y año)</t>
  </si>
  <si>
    <t>Tipo de periodo</t>
  </si>
  <si>
    <t>Número de periodos</t>
  </si>
  <si>
    <t>(valor)</t>
  </si>
  <si>
    <t>Cronograma de inversión</t>
  </si>
  <si>
    <t>Costo estimado de inversión a precios de mercado (Soles)</t>
  </si>
  <si>
    <t>Sub total :</t>
  </si>
  <si>
    <t>Expediente técnico</t>
  </si>
  <si>
    <t>Costo total de la Inversión :</t>
  </si>
  <si>
    <t>¿El proyecto tiene aporte de los beneficiarios?</t>
  </si>
  <si>
    <t>Aporte de los beneficiarios (S/):</t>
  </si>
  <si>
    <t>Periodo</t>
  </si>
  <si>
    <t>Total Meta Física</t>
  </si>
  <si>
    <t>Meta física</t>
  </si>
  <si>
    <t>Fuentes de información</t>
  </si>
  <si>
    <t>Beneficios directos</t>
  </si>
  <si>
    <t>Beneficios indirectos</t>
  </si>
  <si>
    <t>Externalidades positivas</t>
  </si>
  <si>
    <t>* Sólo si corresponde a la tipología del proyecto</t>
  </si>
  <si>
    <t>Costos de inversión a precios sociales</t>
  </si>
  <si>
    <t>Composición porcentual</t>
  </si>
  <si>
    <t>Costo total a precios de mercado</t>
  </si>
  <si>
    <t xml:space="preserve">Factor de corrección </t>
  </si>
  <si>
    <t xml:space="preserve">Costo a precios sociales </t>
  </si>
  <si>
    <t>Acción 1</t>
  </si>
  <si>
    <t>Insumo no transable</t>
  </si>
  <si>
    <t>Mano de obra calificada</t>
  </si>
  <si>
    <t>Mano de obra semicalificada</t>
  </si>
  <si>
    <t>Total</t>
  </si>
  <si>
    <t>Composición</t>
  </si>
  <si>
    <t>Costos de operación incremental</t>
  </si>
  <si>
    <t>Mano de obra no calificada</t>
  </si>
  <si>
    <t xml:space="preserve">Insumo transable </t>
  </si>
  <si>
    <t>Costos de mantenimiento incremental</t>
  </si>
  <si>
    <t>Años</t>
  </si>
  <si>
    <t>I. Beneficios  (+)</t>
  </si>
  <si>
    <t>Total beneficios*</t>
  </si>
  <si>
    <t>II. Costos de inversión, operación y mantenimiento (-) a precios sociales</t>
  </si>
  <si>
    <t>1. Costos de inversión</t>
  </si>
  <si>
    <t>Total Costos</t>
  </si>
  <si>
    <t>Nota: se realiza por cada alternativa considerada en el proyecto</t>
  </si>
  <si>
    <t>Tipo</t>
  </si>
  <si>
    <t>Criterio de elección**</t>
  </si>
  <si>
    <t>Costo / Beneficio*</t>
  </si>
  <si>
    <t>Valor Actual Neto (VAN)</t>
  </si>
  <si>
    <t>Tasa Interna de Retorno (TIR)</t>
  </si>
  <si>
    <t>Valor Anual Equivalente (VAE)</t>
  </si>
  <si>
    <t>* A precios sociales</t>
  </si>
  <si>
    <t>ANALISIS DE SENSIBILIDAD BIDIMENSIONAL</t>
  </si>
  <si>
    <t>ICE / VAN</t>
  </si>
  <si>
    <t>Fuente de Información</t>
  </si>
  <si>
    <t>Tipo de riesgo (operacional, contexto de cambio climático, mercado, financiero, legal, …)</t>
  </si>
  <si>
    <t>Descripción del riesgo</t>
  </si>
  <si>
    <t>Probabilidad de ocurrencia* (baja, media, alta)</t>
  </si>
  <si>
    <t>Medidas de mitigación</t>
  </si>
  <si>
    <t>* Dicha probabilidad resultará de un juicio técnico sobre que tan posible es la ocurrencia del riesgo afecte el desempeño del proyecto.</t>
  </si>
  <si>
    <t xml:space="preserve">Fecha </t>
  </si>
  <si>
    <t>Inicio</t>
  </si>
  <si>
    <t>Fin</t>
  </si>
  <si>
    <t>Expediente Técnico (ET) o Estudio Definitivo (ED)</t>
  </si>
  <si>
    <t>Proceso de selección</t>
  </si>
  <si>
    <t>Convocatoria</t>
  </si>
  <si>
    <t>Integración de Bases</t>
  </si>
  <si>
    <t>Buena Pro</t>
  </si>
  <si>
    <t>Suscripción del Contrato</t>
  </si>
  <si>
    <t>Elaboración del ET o ED</t>
  </si>
  <si>
    <t>Supervisión del PI</t>
  </si>
  <si>
    <t xml:space="preserve">Ejecución </t>
  </si>
  <si>
    <t>Recepción</t>
  </si>
  <si>
    <t>Liquidación física y financiera</t>
  </si>
  <si>
    <t>Transferencia</t>
  </si>
  <si>
    <t>Tipo de ejecución</t>
  </si>
  <si>
    <t>Marcar</t>
  </si>
  <si>
    <t>Administración directa</t>
  </si>
  <si>
    <t>Administración indirecta – por contrata</t>
  </si>
  <si>
    <t>Administración indirecta – Núcleo Ejecutor</t>
  </si>
  <si>
    <t>(Referido a los aspectos técnicos y regulatorios que el proyecto deberá cumplir durante la fase de Ejecución).</t>
  </si>
  <si>
    <t>Condiciones previas relevantes</t>
  </si>
  <si>
    <t>Saneamiento técnico legal</t>
  </si>
  <si>
    <t>Factibilidad de servicios de agua, desagüe y electricidad</t>
  </si>
  <si>
    <t>Certificado de parámetros urbanísticos</t>
  </si>
  <si>
    <t>Cumplimiento de permisos y autorizaciones</t>
  </si>
  <si>
    <t>Fuente de Financiamiento</t>
  </si>
  <si>
    <t>Recursos ordinarios</t>
  </si>
  <si>
    <t>Recursos directamente recaudados</t>
  </si>
  <si>
    <t>Recursos por operaciones oficiales de crédito</t>
  </si>
  <si>
    <t>Donaciones y transferencias</t>
  </si>
  <si>
    <t>Recursos determinados</t>
  </si>
  <si>
    <t>En caso se seleccione como fuente de financiamiento ROOC, se deberá sustentar la estructuración financiera del monto de inversión del Proyecto.</t>
  </si>
  <si>
    <t>Nivel de objetivo</t>
  </si>
  <si>
    <t>Indicadores</t>
  </si>
  <si>
    <t>Medios de verificación</t>
  </si>
  <si>
    <t>Supuestos</t>
  </si>
  <si>
    <t>Propósito</t>
  </si>
  <si>
    <t>…………………………………………………………………………….</t>
  </si>
  <si>
    <t>Acceso a servicios públicos</t>
  </si>
  <si>
    <t>Sí / No</t>
  </si>
  <si>
    <t>Dimensión física</t>
  </si>
  <si>
    <t>Intangibles</t>
  </si>
  <si>
    <t xml:space="preserve">Este análisis sustenta la elección de una alternativa técnica de tamaño, localización y tecnología, en mérito a las características particulares de cada tipología de proyecto de inversión. </t>
  </si>
  <si>
    <t>Jefe de Proyecto</t>
  </si>
  <si>
    <t>Tipo de beneficio</t>
  </si>
  <si>
    <t>Procedimiento de cálculo</t>
  </si>
  <si>
    <t>Agente involucrado</t>
  </si>
  <si>
    <t>¿Se ha delimitado el área de influencia/área de estudio y definido sus características?</t>
  </si>
  <si>
    <t>¿Se ha examinado el desempeño de la oferta actual del servicio?</t>
  </si>
  <si>
    <t>Comentarios</t>
  </si>
  <si>
    <t>¿Se han identificado y caracterizado a los agentes afectados y/o beneficiados con el proyecto de inversión?</t>
  </si>
  <si>
    <t>¿Las acciones que contemplan las alternativas de solución se derivan del análisis de los medios fundamentales?</t>
  </si>
  <si>
    <t>¿Las alternativas planteadas se basan en evidencia técnica, científica o experiencia de otros proyectos?</t>
  </si>
  <si>
    <t>¿El Horizonte de Evaluación del Proyecto ha sido adecuadamente determinado?</t>
  </si>
  <si>
    <t>¿Han sido identificados los factores de producción que determinan la oferta actual?</t>
  </si>
  <si>
    <t>¿La oferta actual optimizada ha sido cuantificada considerando los principales factores de producción?</t>
  </si>
  <si>
    <t>¿Las soluciones técnicas están respaldadas por estudios de base o campo que el sector establece?</t>
  </si>
  <si>
    <t>¿Las alternativas consideran acciones para reducir el impacto ambiental que podría generar el proyecto?</t>
  </si>
  <si>
    <t>¿El tamaño del proyecto (capacidad de producción) guarda correspondencia con la brecha de servicio existente?</t>
  </si>
  <si>
    <t>¿La localización propuesta para el proyecto se encuentra adecuadamente justificada?</t>
  </si>
  <si>
    <t>¿Se ha analizado el comportamiento de la rentabilidad de las alternativas ante posibles cambios en las principales variables como demanda y costos?</t>
  </si>
  <si>
    <t>¿Se presenta el plan de implementación con las actividades necesarias (ruta crítica) para la ejecución del proyecto?</t>
  </si>
  <si>
    <t>¿Se han identificado los probables impactos positivos y/o negativos del proyecto en el medioambiente?</t>
  </si>
  <si>
    <t>¿Se ha definido quién financiará la operación y mantenimiento del proyecto?</t>
  </si>
  <si>
    <t>¿Los costos de operación y mantenimiento tienen un razonable nivel de desagregación y se encuentran justificados en relación a la demanda por atender con el proyecto?</t>
  </si>
  <si>
    <t>¿Existe evidencia que respalda la atribución de los beneficios a los resultados del proyecto, y estos han sido estimados en base a parámetros y procedimientos de cálculo razonables?</t>
  </si>
  <si>
    <t>¿Han sido calculados los indicadores de evaluación social para cada alternativa de solución?</t>
  </si>
  <si>
    <t>¿Se han definido los requerimientos institucionales y normativos que se deben cumplir durante la fase de ejecución y fase de funcionamiento?</t>
  </si>
  <si>
    <t>¿Las alternativas consideran acciones para reducir probables daños o pérdidas que podrían generar en caso de la ocurrencia de desastres?</t>
  </si>
  <si>
    <t>Identificación:</t>
  </si>
  <si>
    <t>¿El proyecto de inversión contribuye a la meta de cierre de una brecha prioritaria?</t>
  </si>
  <si>
    <t>Formulación:</t>
  </si>
  <si>
    <t>Evaluación:</t>
  </si>
  <si>
    <t>¿El problema central ha sido definido como una situación negativa ó hecho real que afecta a un sector de la población? Las causas explican el problema central? ¿Los efectos son consecuencia del problema identificado?</t>
  </si>
  <si>
    <t>¿El objetivo central o propósito del proyecto expresa la solución del problema central y los medios definidos para el proyecto son suficientes para alcanzar el objetivo central?</t>
  </si>
  <si>
    <t>¿La demanda efectiva (o demanda objetivo) y su proyección han sido estimadas en base a parámetros, supuestos y metodologías adecuadas? ¿Se presenta evidencia técnica que respalda los supuestos utilizados?</t>
  </si>
  <si>
    <t>¿Ha sido calculada la brecha existente entre la demanda efectiva (o demanda objetivo) con proyecto y la oferta optimizada sin proyecto?</t>
  </si>
  <si>
    <t>¿La opción tecnológica propuesta para el proyecto se encuentra adecuadamente justificada?</t>
  </si>
  <si>
    <t xml:space="preserve">¿Las alternativas de solución están conforme guardan correspondencia con los niveles de servicio y estándares de calidad establecidos por el Sector competente? </t>
  </si>
  <si>
    <t>¿El presupuesto de inversión de cada alternativa de solución está desagregado a nivel de acciones, actividades y tareas? ¿El presupuesto de inversión del proyecto ha incluido los costos de mitigación ambiental y riesgos?</t>
  </si>
  <si>
    <t>¿La metodología de evaluación social seleccionada (costo beneficio o costo efectividad) guarda correspondencia con la tipología de proyecto de inversión?</t>
  </si>
  <si>
    <t>Número</t>
  </si>
  <si>
    <t>Alineamiento al cierre de una brecha prioritaria:</t>
  </si>
  <si>
    <t>Criterios de cumplimiento</t>
  </si>
  <si>
    <t>¿Se ha realizado un análisis tarifario, tasas o contribuciones para la sostenibilidad financiera del proyecto?</t>
  </si>
  <si>
    <t>Medios fundamentales (componentes)</t>
  </si>
  <si>
    <t>Preparado o supervisado por:</t>
  </si>
  <si>
    <t>Declarado viable por:</t>
  </si>
  <si>
    <t xml:space="preserve">Nro. </t>
  </si>
  <si>
    <t>Documentos de saneamiento físico legal</t>
  </si>
  <si>
    <t>¿Se ha examinado la exposición y vulnerabilidad de la UP frente a peligros identificados en el área de estudio?</t>
  </si>
  <si>
    <t>ÍTEM</t>
  </si>
  <si>
    <t>Costos a precio de mercado</t>
  </si>
  <si>
    <t>Disponibilidad de recursos e insumos para el proyecto</t>
  </si>
  <si>
    <t>Precisar los activos esenciales que reciben mantenimiento</t>
  </si>
  <si>
    <t>¿La entidad dispone de los materiales, recursos humanos y gestión para el mantenimiento?</t>
  </si>
  <si>
    <t>Descripción del problema central</t>
  </si>
  <si>
    <t>Causas Directas (CD)</t>
  </si>
  <si>
    <t>Causas indirectas (CI)</t>
  </si>
  <si>
    <t>Efectos Directos (ED)</t>
  </si>
  <si>
    <t>Efectos Indirectos (EI)</t>
  </si>
  <si>
    <t>Descripción del objetivo central</t>
  </si>
  <si>
    <t>Fines directos (FD)</t>
  </si>
  <si>
    <t>Fines Indirectos (FI)</t>
  </si>
  <si>
    <t>Acciones excluyentes (Ae)</t>
  </si>
  <si>
    <t>Acciones independientes (Ai)</t>
  </si>
  <si>
    <t>Acciones complementarias (Ac)</t>
  </si>
  <si>
    <t>Nota: Se refiere a la capacidad de producción que aporta el proyecto (incremental). Su estimación proviene de la diferencia entre la oferta con proyecto (tamaño) respecto a la oferta optimizada sin proyecto (cuando corresponda).</t>
  </si>
  <si>
    <t>Tipo de suelo</t>
  </si>
  <si>
    <t>Recursos</t>
  </si>
  <si>
    <t>Servicio público</t>
  </si>
  <si>
    <t>Rutinario</t>
  </si>
  <si>
    <t>Periódico</t>
  </si>
  <si>
    <t>Correctivo</t>
  </si>
  <si>
    <t>¿Se dispone de un plan operativo aprobado?</t>
  </si>
  <si>
    <t>Precisar documento (en caso la anterior pregunta sea afirmativa)</t>
  </si>
  <si>
    <t>Descripción del indicador</t>
  </si>
  <si>
    <t>Factor 1</t>
  </si>
  <si>
    <t>Factor 2</t>
  </si>
  <si>
    <t>Factor 3</t>
  </si>
  <si>
    <t>Factores relevantes que condicionan la tecnología</t>
  </si>
  <si>
    <t>Documentos que respaldan el planteamiento del diseño técnico preliminar</t>
  </si>
  <si>
    <t>Unidad de medida</t>
  </si>
  <si>
    <t>Componentes</t>
  </si>
  <si>
    <t>Localidad/Centro poblado</t>
  </si>
  <si>
    <t>Problemas percibidos</t>
  </si>
  <si>
    <t>b) Tiempo esperado que durará la demanda por 
    el bien o el servicio a proveer.</t>
  </si>
  <si>
    <t>Meses</t>
  </si>
  <si>
    <t>COSTOS*</t>
  </si>
  <si>
    <t>* Agregar anexo de costos</t>
  </si>
  <si>
    <t xml:space="preserve">Factor de corrección* </t>
  </si>
  <si>
    <t>Insumo transable**</t>
  </si>
  <si>
    <t>Mano de obra no calificada***</t>
  </si>
  <si>
    <t>** El valor asignado dependerá si el bien es exportado o importado.</t>
  </si>
  <si>
    <t>*** Este valor dependerá de la región geográfica y la zona que corresponda (urbano/rural)</t>
  </si>
  <si>
    <t xml:space="preserve">* Según corresponda </t>
  </si>
  <si>
    <t>Órgano técnico responsable de la operación y mantenimiento del proyecto</t>
  </si>
  <si>
    <t>Análisis de la disponibilidad oportuna de recursos para la operación y mantenimiento</t>
  </si>
  <si>
    <t>Descripción de la capacidad de gestión del operador</t>
  </si>
  <si>
    <t>Ítem</t>
  </si>
  <si>
    <t>Considerar los siguientes anexos (según corresponda):</t>
  </si>
  <si>
    <t>Sector responsable</t>
  </si>
  <si>
    <t>UNIDAD FORMULADORA  (UF)</t>
  </si>
  <si>
    <t>Principales características del uso del suelo de la zona de interés (localización potencial de la UP)</t>
  </si>
  <si>
    <t>Año -5</t>
  </si>
  <si>
    <t>2. Costos de reinversión</t>
  </si>
  <si>
    <t>3. Costos de operación incremental</t>
  </si>
  <si>
    <t>4. Costos de mantenimiento incremental</t>
  </si>
  <si>
    <t>Otros (línea de base, etc.)</t>
  </si>
  <si>
    <t xml:space="preserve">Análisis de los resultados de la evaluación social </t>
  </si>
  <si>
    <t>Ubigeo</t>
  </si>
  <si>
    <t>Describir características de accesibilidad y dinámica económica</t>
  </si>
  <si>
    <t>Radiación solar</t>
  </si>
  <si>
    <t>SECCIÓN N°01: DATOS GENERALES DEL PROYECTO</t>
  </si>
  <si>
    <t>SECCIÓN N°02: DIAGNÓSTICO DEL ÁREA DE ESTUDIO</t>
  </si>
  <si>
    <t>SECCIÓN N°03: DIAGNÓSTICO DE LA UNIDAD PRODUCTORA</t>
  </si>
  <si>
    <t>SECCIÓN N°04: DIAGNÓSTICO DE LOS INVOLUCRADOS</t>
  </si>
  <si>
    <t xml:space="preserve">Indicador* </t>
  </si>
  <si>
    <t>Descripción del indicador*</t>
  </si>
  <si>
    <t>UM*</t>
  </si>
  <si>
    <t>Valor*</t>
  </si>
  <si>
    <t>SECCIÓN N°06: HORIZONTE DE EVALUACIÓN</t>
  </si>
  <si>
    <t>SECCIÓN N°07: BRECHA DE SERVICIO</t>
  </si>
  <si>
    <t>Servicio*</t>
  </si>
  <si>
    <t>Capacidad actual**</t>
  </si>
  <si>
    <t>Capacidad optimizada**</t>
  </si>
  <si>
    <t>LA UNIDAD PRODUCTORA DE BIENES Y SERVICIOS (En caso exista)</t>
  </si>
  <si>
    <t>FORMULACIÓN</t>
  </si>
  <si>
    <t>ESTUDIO DE MERCADO DEL SERVICIO PÚBLICO</t>
  </si>
  <si>
    <t>SECCIÓN N°08: ANÁLISIS TÉCNICO</t>
  </si>
  <si>
    <t>Tipo de tecnología</t>
  </si>
  <si>
    <t>Nombre del proceso de producción</t>
  </si>
  <si>
    <t>Descripción ¿En qué consiste el proceso?</t>
  </si>
  <si>
    <t>Situación actual</t>
  </si>
  <si>
    <t>3.01 Nombre de la Unidad Productora:</t>
  </si>
  <si>
    <t>DIAGNÓSTICO</t>
  </si>
  <si>
    <t>2.01 Localización del área de estudio del proyecto</t>
  </si>
  <si>
    <t>2.02 Localización del área de influencia del proyecto</t>
  </si>
  <si>
    <t>2.03 Croquis con la ubicación de los beneficiarios o los demandantes actuales y futuros y la localización de los elementos de la UP (en caso exista) o la UP que se conformará producto de las alternativas de solución.</t>
  </si>
  <si>
    <t>2.05 Identificar los peligros que pueden ocurrir en el área de estudio</t>
  </si>
  <si>
    <t>5.01 DEFINICIÓN DEL PROBLEMA, SUS CAUSAS Y EFECTOS</t>
  </si>
  <si>
    <t xml:space="preserve">7.02 Análisis de la demanda del servicio </t>
  </si>
  <si>
    <t>7.03 Proyección de la demanda del servicio</t>
  </si>
  <si>
    <t>7.04 Estimación de la oferta optimizada (sin proyecto)</t>
  </si>
  <si>
    <t>7.06 Brecha del servicio (balance oferta optimizada sin proyecto-demanda con proyecto)</t>
  </si>
  <si>
    <t>8.01 ANÁLISIS DE TAMAÑO (¿Cuánto producir?)</t>
  </si>
  <si>
    <t>ANÁLISIS TÉCNICO</t>
  </si>
  <si>
    <t>8.02 ANÁLISIS DE LOCALIZACIÓN (¿Dónde producir?)</t>
  </si>
  <si>
    <t>Acción sobre el activo</t>
  </si>
  <si>
    <t>5.02 DEFINICIÓN DE LOS OBJETIVOS DEL PROYECTO</t>
  </si>
  <si>
    <t>5.03 DESCRIPCIÓN DE LAS ALTERNATIVAS DE SOLUCIÓN AL PROBLEMA</t>
  </si>
  <si>
    <t>6.01 HORIZONTE DE EVALUACIÓN</t>
  </si>
  <si>
    <t>Acción sobre los activos</t>
  </si>
  <si>
    <t>7.01 Definición y caracterización del servicio o de la cartera de servicios</t>
  </si>
  <si>
    <t>Procedencia de los beneficios</t>
  </si>
  <si>
    <t>Transformación de precios de mercado a precios sociales</t>
  </si>
  <si>
    <t>Costos de operación y mantenimiento a precios sociales</t>
  </si>
  <si>
    <t>Parámetros, supuestos considerados y fuentes de información</t>
  </si>
  <si>
    <t>5. Externalidades negativas</t>
  </si>
  <si>
    <t>i) Determinar las variables (demanda, costos de los principales insumos, tarifas o precios cobrados a los usuarios, periodo de ejecución, entre otros) , cuyas variaciones pueden afectar la condición de rentabilidad social del proyecto, su sostenibilidad financiera (cuando corresponda) o la selección de alternativas.
ii) Definir y sustentar los rangos de variación de dichas variables que afectarían la condición de rentabilidad social o la selección de alternativas.</t>
  </si>
  <si>
    <t>Variación % de los Costos / periodo de ejecución/ otros</t>
  </si>
  <si>
    <t>Flujo de beneficios netos a precios sociales</t>
  </si>
  <si>
    <t xml:space="preserve">Indicar el criterio o factor condicionante del tamaño del proyecto. </t>
  </si>
  <si>
    <t xml:space="preserve">Indicar el criterio o factor condicionante de la localización del proyecto. </t>
  </si>
  <si>
    <t xml:space="preserve">Proceso de selección </t>
  </si>
  <si>
    <t>Especialista de la UF o Responsable de la UF</t>
  </si>
  <si>
    <t>Fecha:</t>
  </si>
  <si>
    <t>Nota: La unidad de medida representativa proviene de las unidades físicas, a excepción del ítem de Infraestructura que proviene de las dimensiones físicas.</t>
  </si>
  <si>
    <t xml:space="preserve">Resultado final*
</t>
  </si>
  <si>
    <t xml:space="preserve">Tamaño </t>
  </si>
  <si>
    <t xml:space="preserve">Localización </t>
  </si>
  <si>
    <t>Estructura de costos de inversión</t>
  </si>
  <si>
    <t>Dimensión Física</t>
  </si>
  <si>
    <t>9.02 Costos de reinversión</t>
  </si>
  <si>
    <t>8.06 METAS FISICAS DE LOS ACTIVOS QUE SE BUSCAN CREAR O INTERVENIR CON EL PROYECTO*</t>
  </si>
  <si>
    <t>8.05 RESUMEN DE LAS ALTERNATIVAS TÉCNICAS</t>
  </si>
  <si>
    <t>8.04 IDENTIFICACIÓN DE MEDIDAS DE REDUCCIÓN DEL RIESGO DE DESASTRES</t>
  </si>
  <si>
    <t>Descripción de las medidas de reducción del riesgo de desastres (asociadas al análisis de la exposición y fragilidad de la UP sujeta de intervención y de la resiliencia de la población afectada).</t>
  </si>
  <si>
    <t>Ejecución</t>
  </si>
  <si>
    <t>4.01 Descripción de la población afectada</t>
  </si>
  <si>
    <t>4.03 Matriz de involucrados</t>
  </si>
  <si>
    <t>Estado situacional</t>
  </si>
  <si>
    <t>Actividades del Plan de Implementación</t>
  </si>
  <si>
    <t>2.04 Análisis de las características (físicas, accesibilidad, disponibilidad de servicios, insumos, etc.) que influirán en el diseño del proyecto, en la demanda, en los costos, etc.)</t>
  </si>
  <si>
    <t>Nota: Si el área de estudio del proyecto abarca más de una localización, se podrán añadir más localizaciones.</t>
  </si>
  <si>
    <t>Nota: Si el área de influencia del proyecto abarca más de una localización, se podrán añadir más localizaciones.</t>
  </si>
  <si>
    <t>Consumo per cápita</t>
  </si>
  <si>
    <t>7.05 Proyección de la oferta del servicio</t>
  </si>
  <si>
    <t>Descripción del proceso de producción del servicio (con proyecto)</t>
  </si>
  <si>
    <t>Descripción de alternativas de solución</t>
  </si>
  <si>
    <t>Resumen de las características relevantes del diseño técnico preliminar</t>
  </si>
  <si>
    <t>* Descripción de la alternativa de solución al que se le agrega cada uno de los aspectos técnicos analizados (tamaño, localización y tecnología, -incluye medidas de reducción de riesgo- de corresponder) y que será evaluada en la Sección 10 "Evaluación Social".</t>
  </si>
  <si>
    <t>Nota: La gestión del proyecto, el expediente técnico o documento equivalente, la supervisión y la liquidación no son ítems. 
Los gastos generales, la utilidad y el IGV forman parte de los ítem.</t>
  </si>
  <si>
    <t>Órgano
Responsable</t>
  </si>
  <si>
    <t>Descripción del anexo</t>
  </si>
  <si>
    <t>¿Han sido identificados los peligros naturales, socionaturales y antrópicos que podrían impactar sobre la infraestructura existente o sobre el proyecto durante su vida útil?</t>
  </si>
  <si>
    <t>* Esta información proviene de la información registrada en la tabla 1.04</t>
  </si>
  <si>
    <t>SECCIÓN N° 05: PROBLEMA/OBJETIVO</t>
  </si>
  <si>
    <t>8.03 ANÁLISIS DE TECNOLOGÍA (¿Cómo producir?)</t>
  </si>
  <si>
    <t>Monto de inversión financiados con fondos públicos</t>
  </si>
  <si>
    <t>Financiado con fondos públicos (S/):</t>
  </si>
  <si>
    <t>EVALUACIÓN</t>
  </si>
  <si>
    <t>Descripción de los arreglos institucionales para la fase de Funcionamiento</t>
  </si>
  <si>
    <t>Administración indirecta – Asociación Público Privado (APP)</t>
  </si>
  <si>
    <t>Administración indirecta – Ley 29230 (Obras por Impuestos)</t>
  </si>
  <si>
    <t>ÁREA DE ESTUDIO</t>
  </si>
  <si>
    <t>Muy alto</t>
  </si>
  <si>
    <t>Bajo</t>
  </si>
  <si>
    <t>Medio</t>
  </si>
  <si>
    <t>Alto</t>
  </si>
  <si>
    <t>013 AGRICULTURA</t>
  </si>
  <si>
    <t>DEPARTAMENTOS</t>
  </si>
  <si>
    <t>Amazonas</t>
  </si>
  <si>
    <t>Áncash</t>
  </si>
  <si>
    <t>Apurímac</t>
  </si>
  <si>
    <t>Arequipa</t>
  </si>
  <si>
    <t>Ayacucho</t>
  </si>
  <si>
    <t>Cajamarca</t>
  </si>
  <si>
    <t>Callao</t>
  </si>
  <si>
    <t>Cusco</t>
  </si>
  <si>
    <t>Huancavelica</t>
  </si>
  <si>
    <t>Huánuco</t>
  </si>
  <si>
    <t>Ica</t>
  </si>
  <si>
    <t>Junín</t>
  </si>
  <si>
    <t>Lambayeque</t>
  </si>
  <si>
    <t>Lima</t>
  </si>
  <si>
    <t>Loreto</t>
  </si>
  <si>
    <t>Moquegua</t>
  </si>
  <si>
    <t>Pasco</t>
  </si>
  <si>
    <t>Piura</t>
  </si>
  <si>
    <t>Puno</t>
  </si>
  <si>
    <t>Tacna</t>
  </si>
  <si>
    <t>Tumbes</t>
  </si>
  <si>
    <t>Ucayali</t>
  </si>
  <si>
    <t xml:space="preserve"> </t>
  </si>
  <si>
    <t>Chachapoyas</t>
  </si>
  <si>
    <t>Bagua</t>
  </si>
  <si>
    <t>Bongará</t>
  </si>
  <si>
    <t>Condorcanqui</t>
  </si>
  <si>
    <t>Luya</t>
  </si>
  <si>
    <t>Utcubamba</t>
  </si>
  <si>
    <t>Huaraz</t>
  </si>
  <si>
    <t>Aija</t>
  </si>
  <si>
    <t>Asunción</t>
  </si>
  <si>
    <t>Bolognesi</t>
  </si>
  <si>
    <t>Carhuaz</t>
  </si>
  <si>
    <t>Casma</t>
  </si>
  <si>
    <t>Corongo</t>
  </si>
  <si>
    <t>Huari</t>
  </si>
  <si>
    <t>Huarmey</t>
  </si>
  <si>
    <t>Huaylas</t>
  </si>
  <si>
    <t>Ocros</t>
  </si>
  <si>
    <t>Pallasca</t>
  </si>
  <si>
    <t>Pomabamba</t>
  </si>
  <si>
    <t>Recuay</t>
  </si>
  <si>
    <t>Santa</t>
  </si>
  <si>
    <t>Sihuas</t>
  </si>
  <si>
    <t>Yungay</t>
  </si>
  <si>
    <t>Abancay</t>
  </si>
  <si>
    <t>Andahuaylas</t>
  </si>
  <si>
    <t>Antabamba</t>
  </si>
  <si>
    <t>Aymaraes</t>
  </si>
  <si>
    <t>Cotabambas</t>
  </si>
  <si>
    <t>Chincheros</t>
  </si>
  <si>
    <t>Grau</t>
  </si>
  <si>
    <t>Camaná</t>
  </si>
  <si>
    <t>Caravelí</t>
  </si>
  <si>
    <t>Castilla</t>
  </si>
  <si>
    <t>Caylloma</t>
  </si>
  <si>
    <t>Condesuyos</t>
  </si>
  <si>
    <t>Islay</t>
  </si>
  <si>
    <t>Huamanga</t>
  </si>
  <si>
    <t>Cangallo</t>
  </si>
  <si>
    <t>Huanta</t>
  </si>
  <si>
    <t>La Mar</t>
  </si>
  <si>
    <t>Lucanas</t>
  </si>
  <si>
    <t>Parinacochas</t>
  </si>
  <si>
    <t>Sucre</t>
  </si>
  <si>
    <t>Cajabamba</t>
  </si>
  <si>
    <t>Celendín</t>
  </si>
  <si>
    <t>Chota</t>
  </si>
  <si>
    <t>Contumazá</t>
  </si>
  <si>
    <t>Cutervo</t>
  </si>
  <si>
    <t>Hualgayoc</t>
  </si>
  <si>
    <t>Jaén</t>
  </si>
  <si>
    <t>Acomayo</t>
  </si>
  <si>
    <t>Anta</t>
  </si>
  <si>
    <t>Calca</t>
  </si>
  <si>
    <t>Canas</t>
  </si>
  <si>
    <t>Canchis</t>
  </si>
  <si>
    <t>Chumbivilcas</t>
  </si>
  <si>
    <t>Espinar</t>
  </si>
  <si>
    <t>Paruro</t>
  </si>
  <si>
    <t>Paucartambo</t>
  </si>
  <si>
    <t>Quispicanchi</t>
  </si>
  <si>
    <t>Urubamba</t>
  </si>
  <si>
    <t>Acobamba</t>
  </si>
  <si>
    <t>Angaraes</t>
  </si>
  <si>
    <t>Castrovirreyna</t>
  </si>
  <si>
    <t>Churcampa</t>
  </si>
  <si>
    <t>Huaytará</t>
  </si>
  <si>
    <t>Tayacaja</t>
  </si>
  <si>
    <t>Ambo</t>
  </si>
  <si>
    <t>Huacaybamba</t>
  </si>
  <si>
    <t>Huamalíes</t>
  </si>
  <si>
    <t>Marañón</t>
  </si>
  <si>
    <t>Pachitea</t>
  </si>
  <si>
    <t>Puerto Inca</t>
  </si>
  <si>
    <t xml:space="preserve">Lauricocha </t>
  </si>
  <si>
    <t xml:space="preserve">Yarowilca </t>
  </si>
  <si>
    <t xml:space="preserve">Chincha </t>
  </si>
  <si>
    <t xml:space="preserve">Nasca </t>
  </si>
  <si>
    <t xml:space="preserve">Palpa </t>
  </si>
  <si>
    <t xml:space="preserve">Pisco </t>
  </si>
  <si>
    <t xml:space="preserve">Huancayo </t>
  </si>
  <si>
    <t xml:space="preserve">Concepción </t>
  </si>
  <si>
    <t xml:space="preserve">Chanchamayo </t>
  </si>
  <si>
    <t xml:space="preserve">Jauja </t>
  </si>
  <si>
    <t xml:space="preserve">Junin </t>
  </si>
  <si>
    <t xml:space="preserve">Satipo </t>
  </si>
  <si>
    <t xml:space="preserve">Tarma </t>
  </si>
  <si>
    <t xml:space="preserve">Yauli </t>
  </si>
  <si>
    <t xml:space="preserve">Chupaca </t>
  </si>
  <si>
    <t xml:space="preserve">Trujillo </t>
  </si>
  <si>
    <t xml:space="preserve">Ascope </t>
  </si>
  <si>
    <t xml:space="preserve">Bolívar </t>
  </si>
  <si>
    <t xml:space="preserve">Chepén </t>
  </si>
  <si>
    <t xml:space="preserve">Julcán </t>
  </si>
  <si>
    <t xml:space="preserve">Otuzco </t>
  </si>
  <si>
    <t xml:space="preserve">Pacasmayo </t>
  </si>
  <si>
    <t xml:space="preserve">Pataz </t>
  </si>
  <si>
    <t xml:space="preserve">Virú </t>
  </si>
  <si>
    <t xml:space="preserve">Chiclayo </t>
  </si>
  <si>
    <t xml:space="preserve">Ferreñafe </t>
  </si>
  <si>
    <t xml:space="preserve">Barranca </t>
  </si>
  <si>
    <t xml:space="preserve">Cajatambo </t>
  </si>
  <si>
    <t xml:space="preserve">Canta </t>
  </si>
  <si>
    <t xml:space="preserve">Cañete </t>
  </si>
  <si>
    <t xml:space="preserve">Huaral </t>
  </si>
  <si>
    <t xml:space="preserve">Huarochirí </t>
  </si>
  <si>
    <t xml:space="preserve">Huaura </t>
  </si>
  <si>
    <t xml:space="preserve">Oyón </t>
  </si>
  <si>
    <t xml:space="preserve">Yauyos </t>
  </si>
  <si>
    <t xml:space="preserve">Maynas </t>
  </si>
  <si>
    <t xml:space="preserve">Requena </t>
  </si>
  <si>
    <t xml:space="preserve">Ucayali </t>
  </si>
  <si>
    <t>Putumayo</t>
  </si>
  <si>
    <t xml:space="preserve">Tambopata </t>
  </si>
  <si>
    <t xml:space="preserve">Manu </t>
  </si>
  <si>
    <t xml:space="preserve">Tahuamanu </t>
  </si>
  <si>
    <t xml:space="preserve">Ilo </t>
  </si>
  <si>
    <t>Oxapampa</t>
  </si>
  <si>
    <t xml:space="preserve">Ayabaca </t>
  </si>
  <si>
    <t xml:space="preserve">Huancabamba </t>
  </si>
  <si>
    <t xml:space="preserve">Morropón </t>
  </si>
  <si>
    <t xml:space="preserve">Paita </t>
  </si>
  <si>
    <t xml:space="preserve">Sullana </t>
  </si>
  <si>
    <t xml:space="preserve">Talara </t>
  </si>
  <si>
    <t xml:space="preserve">Sechura </t>
  </si>
  <si>
    <t xml:space="preserve">Azángaro </t>
  </si>
  <si>
    <t xml:space="preserve">Carabaya </t>
  </si>
  <si>
    <t xml:space="preserve">Chucuito </t>
  </si>
  <si>
    <t xml:space="preserve">Huancané </t>
  </si>
  <si>
    <t xml:space="preserve">Lampa </t>
  </si>
  <si>
    <t xml:space="preserve">Melgar </t>
  </si>
  <si>
    <t xml:space="preserve">Moho </t>
  </si>
  <si>
    <t xml:space="preserve">Sandia </t>
  </si>
  <si>
    <t xml:space="preserve">Yunguyo </t>
  </si>
  <si>
    <t xml:space="preserve">Moyobamba </t>
  </si>
  <si>
    <t xml:space="preserve">Bellavista </t>
  </si>
  <si>
    <t xml:space="preserve">Huallaga </t>
  </si>
  <si>
    <t xml:space="preserve">Lamas </t>
  </si>
  <si>
    <t xml:space="preserve">Picota </t>
  </si>
  <si>
    <t xml:space="preserve">Rioja </t>
  </si>
  <si>
    <t xml:space="preserve">Tocache </t>
  </si>
  <si>
    <t xml:space="preserve">Candarave </t>
  </si>
  <si>
    <t xml:space="preserve">Tarata </t>
  </si>
  <si>
    <t xml:space="preserve">Zarumilla </t>
  </si>
  <si>
    <t xml:space="preserve">Atalaya </t>
  </si>
  <si>
    <t>Purús</t>
  </si>
  <si>
    <t>Madre de Dios</t>
  </si>
  <si>
    <t>San Martín</t>
  </si>
  <si>
    <t>Rodríguez de Mendoza</t>
  </si>
  <si>
    <t>Antonio Raymondi</t>
  </si>
  <si>
    <t>Carlos Fermín Fitzcarrald</t>
  </si>
  <si>
    <t>Mariscal Luzuriaga</t>
  </si>
  <si>
    <t>La Unión</t>
  </si>
  <si>
    <t>Huanca Sancos</t>
  </si>
  <si>
    <t>Páucar del Sara Sara</t>
  </si>
  <si>
    <t>Víctor Fajardo</t>
  </si>
  <si>
    <t>Vilcas Huamán</t>
  </si>
  <si>
    <t>Santa Cruz</t>
  </si>
  <si>
    <t>San Pablo</t>
  </si>
  <si>
    <t>San Miguel</t>
  </si>
  <si>
    <t>San Marcos</t>
  </si>
  <si>
    <t>San Ignacio</t>
  </si>
  <si>
    <t>La Convención</t>
  </si>
  <si>
    <t>Dos de Mayo</t>
  </si>
  <si>
    <t>Leoncio Prado</t>
  </si>
  <si>
    <t xml:space="preserve">Gran Chimú </t>
  </si>
  <si>
    <t xml:space="preserve">Sánchez Carrión </t>
  </si>
  <si>
    <t xml:space="preserve">Santiago de Chuco </t>
  </si>
  <si>
    <t xml:space="preserve">Alto Amazonas </t>
  </si>
  <si>
    <t xml:space="preserve">Mariscal Ramón Castilla </t>
  </si>
  <si>
    <t xml:space="preserve">Datem del Marañón </t>
  </si>
  <si>
    <t xml:space="preserve">Mariscal Nieto </t>
  </si>
  <si>
    <t xml:space="preserve">General Sánchez Cerro </t>
  </si>
  <si>
    <t xml:space="preserve">Daniel Alcides Carrión </t>
  </si>
  <si>
    <t xml:space="preserve">El Collao </t>
  </si>
  <si>
    <t xml:space="preserve">San Antonio de Putina </t>
  </si>
  <si>
    <t xml:space="preserve">San Román </t>
  </si>
  <si>
    <t xml:space="preserve">El Dorado </t>
  </si>
  <si>
    <t xml:space="preserve">Mariscal Cáceres </t>
  </si>
  <si>
    <t xml:space="preserve">Jorge Basadre </t>
  </si>
  <si>
    <t xml:space="preserve">Contralmirante Villar </t>
  </si>
  <si>
    <t xml:space="preserve">Coronel Portillo </t>
  </si>
  <si>
    <t xml:space="preserve">Padre Abad </t>
  </si>
  <si>
    <t>La Libertad</t>
  </si>
  <si>
    <t>010101</t>
  </si>
  <si>
    <t>Sierra</t>
  </si>
  <si>
    <t>Sierra Norte</t>
  </si>
  <si>
    <t>010102</t>
  </si>
  <si>
    <t>Balsas</t>
  </si>
  <si>
    <t>010103</t>
  </si>
  <si>
    <t>Cheto</t>
  </si>
  <si>
    <t>010104</t>
  </si>
  <si>
    <t>Chiliquin</t>
  </si>
  <si>
    <t>010105</t>
  </si>
  <si>
    <t>Chuquibamba</t>
  </si>
  <si>
    <t>010106</t>
  </si>
  <si>
    <t>Granada</t>
  </si>
  <si>
    <t>010107</t>
  </si>
  <si>
    <t>Huancas</t>
  </si>
  <si>
    <t>010108</t>
  </si>
  <si>
    <t>La Jalca</t>
  </si>
  <si>
    <t>010109</t>
  </si>
  <si>
    <t>Leimebamba</t>
  </si>
  <si>
    <t>010110</t>
  </si>
  <si>
    <t>Levanto</t>
  </si>
  <si>
    <t>010111</t>
  </si>
  <si>
    <t>Magdalena</t>
  </si>
  <si>
    <t>010112</t>
  </si>
  <si>
    <t>Mariscal Castilla</t>
  </si>
  <si>
    <t>010113</t>
  </si>
  <si>
    <t>Molinopampa</t>
  </si>
  <si>
    <t>010114</t>
  </si>
  <si>
    <t>Montevideo</t>
  </si>
  <si>
    <t>010115</t>
  </si>
  <si>
    <t>Olleros</t>
  </si>
  <si>
    <t>010116</t>
  </si>
  <si>
    <t>Quinjalca</t>
  </si>
  <si>
    <t>010117</t>
  </si>
  <si>
    <t>San Francisco de Daguas</t>
  </si>
  <si>
    <t>010118</t>
  </si>
  <si>
    <t>San Isidro de Maino</t>
  </si>
  <si>
    <t>010119</t>
  </si>
  <si>
    <t>Soloco</t>
  </si>
  <si>
    <t>010120</t>
  </si>
  <si>
    <t>Sonche</t>
  </si>
  <si>
    <t>010121</t>
  </si>
  <si>
    <t xml:space="preserve">0102 </t>
  </si>
  <si>
    <t>010201</t>
  </si>
  <si>
    <t>Selva</t>
  </si>
  <si>
    <t>Aramango</t>
  </si>
  <si>
    <t>010202</t>
  </si>
  <si>
    <t>Copallin</t>
  </si>
  <si>
    <t>010203</t>
  </si>
  <si>
    <t>El Parco</t>
  </si>
  <si>
    <t>010204</t>
  </si>
  <si>
    <t>Imaza</t>
  </si>
  <si>
    <t>010205</t>
  </si>
  <si>
    <t>La Peca</t>
  </si>
  <si>
    <t>010206</t>
  </si>
  <si>
    <t xml:space="preserve">0103 </t>
  </si>
  <si>
    <t>Jumbilla</t>
  </si>
  <si>
    <t>010301</t>
  </si>
  <si>
    <t>Chisquilla</t>
  </si>
  <si>
    <t>010302</t>
  </si>
  <si>
    <t>Churuja</t>
  </si>
  <si>
    <t>010303</t>
  </si>
  <si>
    <t>Corosha</t>
  </si>
  <si>
    <t>010304</t>
  </si>
  <si>
    <t>Cuispes</t>
  </si>
  <si>
    <t>010305</t>
  </si>
  <si>
    <t>Florida</t>
  </si>
  <si>
    <t>010306</t>
  </si>
  <si>
    <t>Jazan</t>
  </si>
  <si>
    <t>010307</t>
  </si>
  <si>
    <t>Recta</t>
  </si>
  <si>
    <t>010308</t>
  </si>
  <si>
    <t>San Carlos</t>
  </si>
  <si>
    <t>010309</t>
  </si>
  <si>
    <t>Shipasbamba</t>
  </si>
  <si>
    <t>010310</t>
  </si>
  <si>
    <t>Valera</t>
  </si>
  <si>
    <t>010311</t>
  </si>
  <si>
    <t>Yambrasbamba</t>
  </si>
  <si>
    <t>010312</t>
  </si>
  <si>
    <t xml:space="preserve">0104 </t>
  </si>
  <si>
    <t>Nieva</t>
  </si>
  <si>
    <t>010401</t>
  </si>
  <si>
    <t>El Cenepa</t>
  </si>
  <si>
    <t>010402</t>
  </si>
  <si>
    <t>Río Santiago</t>
  </si>
  <si>
    <t>010403</t>
  </si>
  <si>
    <t xml:space="preserve">0105 </t>
  </si>
  <si>
    <t>Lamud</t>
  </si>
  <si>
    <t>010501</t>
  </si>
  <si>
    <t>Camporredondo</t>
  </si>
  <si>
    <t>010502</t>
  </si>
  <si>
    <t>Cocabamba</t>
  </si>
  <si>
    <t>010503</t>
  </si>
  <si>
    <t>Colcamar</t>
  </si>
  <si>
    <t>010504</t>
  </si>
  <si>
    <t>Conila</t>
  </si>
  <si>
    <t>010505</t>
  </si>
  <si>
    <t>Inguilpata</t>
  </si>
  <si>
    <t>010506</t>
  </si>
  <si>
    <t>Longuita</t>
  </si>
  <si>
    <t>010507</t>
  </si>
  <si>
    <t>Lonya Chico</t>
  </si>
  <si>
    <t>010508</t>
  </si>
  <si>
    <t>010509</t>
  </si>
  <si>
    <t>Luya Viejo</t>
  </si>
  <si>
    <t>010510</t>
  </si>
  <si>
    <t>María</t>
  </si>
  <si>
    <t>010511</t>
  </si>
  <si>
    <t>Ocalli</t>
  </si>
  <si>
    <t>010512</t>
  </si>
  <si>
    <t>Ocumal</t>
  </si>
  <si>
    <t>010513</t>
  </si>
  <si>
    <t>Pisuquia</t>
  </si>
  <si>
    <t>010514</t>
  </si>
  <si>
    <t>Providencia</t>
  </si>
  <si>
    <t>010515</t>
  </si>
  <si>
    <t>San Cristóbal</t>
  </si>
  <si>
    <t>010516</t>
  </si>
  <si>
    <t>San Francisco de Yeso</t>
  </si>
  <si>
    <t>010517</t>
  </si>
  <si>
    <t>San Jerónimo</t>
  </si>
  <si>
    <t>010518</t>
  </si>
  <si>
    <t>San Juan de Lopecancha</t>
  </si>
  <si>
    <t>010519</t>
  </si>
  <si>
    <t>Santa Catalina</t>
  </si>
  <si>
    <t>010520</t>
  </si>
  <si>
    <t>Santo Tomas</t>
  </si>
  <si>
    <t>010521</t>
  </si>
  <si>
    <t>Tingo</t>
  </si>
  <si>
    <t>010522</t>
  </si>
  <si>
    <t>Trita</t>
  </si>
  <si>
    <t>010523</t>
  </si>
  <si>
    <t xml:space="preserve">0106 </t>
  </si>
  <si>
    <t>San Nicolás</t>
  </si>
  <si>
    <t>010601</t>
  </si>
  <si>
    <t>Chirimoto</t>
  </si>
  <si>
    <t>010602</t>
  </si>
  <si>
    <t>Cochamal</t>
  </si>
  <si>
    <t>010603</t>
  </si>
  <si>
    <t>Huambo</t>
  </si>
  <si>
    <t>010604</t>
  </si>
  <si>
    <t>Limabamba</t>
  </si>
  <si>
    <t>010605</t>
  </si>
  <si>
    <t>Longar</t>
  </si>
  <si>
    <t>010606</t>
  </si>
  <si>
    <t>Mariscal Benavides</t>
  </si>
  <si>
    <t>010607</t>
  </si>
  <si>
    <t>Milpuc</t>
  </si>
  <si>
    <t>010608</t>
  </si>
  <si>
    <t>Omia</t>
  </si>
  <si>
    <t>010609</t>
  </si>
  <si>
    <t>Santa_Rosa</t>
  </si>
  <si>
    <t>010610</t>
  </si>
  <si>
    <t>Totora</t>
  </si>
  <si>
    <t>010611</t>
  </si>
  <si>
    <t>Vista Alegre</t>
  </si>
  <si>
    <t>010612</t>
  </si>
  <si>
    <t xml:space="preserve">0107 </t>
  </si>
  <si>
    <t>Bagua Grande</t>
  </si>
  <si>
    <t>010701</t>
  </si>
  <si>
    <t>Cajaruro</t>
  </si>
  <si>
    <t>010702</t>
  </si>
  <si>
    <t>Cumba</t>
  </si>
  <si>
    <t>010703</t>
  </si>
  <si>
    <t>El Milagro</t>
  </si>
  <si>
    <t>010704</t>
  </si>
  <si>
    <t>Jamalca</t>
  </si>
  <si>
    <t>010705</t>
  </si>
  <si>
    <t>Lonya Grande</t>
  </si>
  <si>
    <t>010706</t>
  </si>
  <si>
    <t>Yamon</t>
  </si>
  <si>
    <t>010707</t>
  </si>
  <si>
    <t xml:space="preserve">0201 </t>
  </si>
  <si>
    <t>020101</t>
  </si>
  <si>
    <t>Sierra Centro</t>
  </si>
  <si>
    <t>Cochabamba</t>
  </si>
  <si>
    <t>020102</t>
  </si>
  <si>
    <t>020103</t>
  </si>
  <si>
    <t>Huanchay</t>
  </si>
  <si>
    <t>020104</t>
  </si>
  <si>
    <t>020105</t>
  </si>
  <si>
    <t>Jangas</t>
  </si>
  <si>
    <t>020106</t>
  </si>
  <si>
    <t>020107</t>
  </si>
  <si>
    <t>020108</t>
  </si>
  <si>
    <t>Pampas Grande</t>
  </si>
  <si>
    <t>020109</t>
  </si>
  <si>
    <t>Pariacoto</t>
  </si>
  <si>
    <t>020110</t>
  </si>
  <si>
    <t>Pira</t>
  </si>
  <si>
    <t>020111</t>
  </si>
  <si>
    <t>Tarica</t>
  </si>
  <si>
    <t>020112</t>
  </si>
  <si>
    <t xml:space="preserve">0202 </t>
  </si>
  <si>
    <t>020201</t>
  </si>
  <si>
    <t>Coris</t>
  </si>
  <si>
    <t>020202</t>
  </si>
  <si>
    <t>Huacllan</t>
  </si>
  <si>
    <t>020203</t>
  </si>
  <si>
    <t>La Merced</t>
  </si>
  <si>
    <t>020204</t>
  </si>
  <si>
    <t>Succha</t>
  </si>
  <si>
    <t>020205</t>
  </si>
  <si>
    <t xml:space="preserve">0203 </t>
  </si>
  <si>
    <t>Llamellin</t>
  </si>
  <si>
    <t>020301</t>
  </si>
  <si>
    <t>Aczo</t>
  </si>
  <si>
    <t>020302</t>
  </si>
  <si>
    <t>Chaccho</t>
  </si>
  <si>
    <t>020303</t>
  </si>
  <si>
    <t>Chingas</t>
  </si>
  <si>
    <t>020304</t>
  </si>
  <si>
    <t>Mirgas</t>
  </si>
  <si>
    <t>020305</t>
  </si>
  <si>
    <t>San Juan de Rontoy</t>
  </si>
  <si>
    <t>020306</t>
  </si>
  <si>
    <t xml:space="preserve">0204 </t>
  </si>
  <si>
    <t>Chacas</t>
  </si>
  <si>
    <t>020401</t>
  </si>
  <si>
    <t>Acochaca</t>
  </si>
  <si>
    <t>020402</t>
  </si>
  <si>
    <t xml:space="preserve">0205 </t>
  </si>
  <si>
    <t>Chiquian</t>
  </si>
  <si>
    <t>020501</t>
  </si>
  <si>
    <t>Abelardo Pardo Lezameta</t>
  </si>
  <si>
    <t>020502</t>
  </si>
  <si>
    <t>020503</t>
  </si>
  <si>
    <t>Aquia</t>
  </si>
  <si>
    <t>020504</t>
  </si>
  <si>
    <t>Cajacay</t>
  </si>
  <si>
    <t>020505</t>
  </si>
  <si>
    <t>Canis</t>
  </si>
  <si>
    <t>020506</t>
  </si>
  <si>
    <t>Colquioc</t>
  </si>
  <si>
    <t>020507</t>
  </si>
  <si>
    <t>Huallanca</t>
  </si>
  <si>
    <t>020508</t>
  </si>
  <si>
    <t>Huasta</t>
  </si>
  <si>
    <t>020509</t>
  </si>
  <si>
    <t>Huayllacayan</t>
  </si>
  <si>
    <t>020510</t>
  </si>
  <si>
    <t>La Primavera</t>
  </si>
  <si>
    <t>020511</t>
  </si>
  <si>
    <t>Mangas</t>
  </si>
  <si>
    <t>020512</t>
  </si>
  <si>
    <t>Pacllon</t>
  </si>
  <si>
    <t>020513</t>
  </si>
  <si>
    <t>San Miguel de Corpanqui</t>
  </si>
  <si>
    <t>020514</t>
  </si>
  <si>
    <t>Ticllos</t>
  </si>
  <si>
    <t>020515</t>
  </si>
  <si>
    <t xml:space="preserve">0206 </t>
  </si>
  <si>
    <t>020601</t>
  </si>
  <si>
    <t>Acopampa</t>
  </si>
  <si>
    <t>020602</t>
  </si>
  <si>
    <t>Amashca</t>
  </si>
  <si>
    <t>020603</t>
  </si>
  <si>
    <t>020604</t>
  </si>
  <si>
    <t>Ataquero</t>
  </si>
  <si>
    <t>020605</t>
  </si>
  <si>
    <t>Marcara</t>
  </si>
  <si>
    <t>020606</t>
  </si>
  <si>
    <t>Pariahuanca</t>
  </si>
  <si>
    <t>020607</t>
  </si>
  <si>
    <t>San Miguel de Aco</t>
  </si>
  <si>
    <t>020608</t>
  </si>
  <si>
    <t>Shilla</t>
  </si>
  <si>
    <t>020609</t>
  </si>
  <si>
    <t>Tinco</t>
  </si>
  <si>
    <t>020610</t>
  </si>
  <si>
    <t>Yungar</t>
  </si>
  <si>
    <t>020611</t>
  </si>
  <si>
    <t xml:space="preserve">0207 </t>
  </si>
  <si>
    <t>020701</t>
  </si>
  <si>
    <t>020702</t>
  </si>
  <si>
    <t>Yauya</t>
  </si>
  <si>
    <t>020703</t>
  </si>
  <si>
    <t xml:space="preserve">0208 </t>
  </si>
  <si>
    <t>020801</t>
  </si>
  <si>
    <t>Costa</t>
  </si>
  <si>
    <t>Costa Centro</t>
  </si>
  <si>
    <t>Buena Vista Alta</t>
  </si>
  <si>
    <t>020802</t>
  </si>
  <si>
    <t>Comandante Noel</t>
  </si>
  <si>
    <t>020803</t>
  </si>
  <si>
    <t>Yautan</t>
  </si>
  <si>
    <t>020804</t>
  </si>
  <si>
    <t xml:space="preserve">0209 </t>
  </si>
  <si>
    <t>020901</t>
  </si>
  <si>
    <t>Aco</t>
  </si>
  <si>
    <t>020902</t>
  </si>
  <si>
    <t>Bambas</t>
  </si>
  <si>
    <t>020903</t>
  </si>
  <si>
    <t>Cusca</t>
  </si>
  <si>
    <t>020904</t>
  </si>
  <si>
    <t>La Pampa</t>
  </si>
  <si>
    <t>020905</t>
  </si>
  <si>
    <t>Yanac</t>
  </si>
  <si>
    <t>020906</t>
  </si>
  <si>
    <t>Yupan</t>
  </si>
  <si>
    <t>020907</t>
  </si>
  <si>
    <t xml:space="preserve">0210 </t>
  </si>
  <si>
    <t>021001</t>
  </si>
  <si>
    <t>Anra</t>
  </si>
  <si>
    <t>021002</t>
  </si>
  <si>
    <t>Cajay</t>
  </si>
  <si>
    <t>021003</t>
  </si>
  <si>
    <t>Chavin de Huantar</t>
  </si>
  <si>
    <t>021004</t>
  </si>
  <si>
    <t>Huacachi</t>
  </si>
  <si>
    <t>021005</t>
  </si>
  <si>
    <t>Huacchis</t>
  </si>
  <si>
    <t>021006</t>
  </si>
  <si>
    <t>Huachis</t>
  </si>
  <si>
    <t>021007</t>
  </si>
  <si>
    <t>Huantar</t>
  </si>
  <si>
    <t>021008</t>
  </si>
  <si>
    <t>Masin</t>
  </si>
  <si>
    <t>021009</t>
  </si>
  <si>
    <t>Paucas</t>
  </si>
  <si>
    <t>021010</t>
  </si>
  <si>
    <t>Ponto</t>
  </si>
  <si>
    <t>021011</t>
  </si>
  <si>
    <t>Rahuapampa</t>
  </si>
  <si>
    <t>021012</t>
  </si>
  <si>
    <t>Rapayan</t>
  </si>
  <si>
    <t>021013</t>
  </si>
  <si>
    <t>021014</t>
  </si>
  <si>
    <t>San Pedro de Chana</t>
  </si>
  <si>
    <t>021015</t>
  </si>
  <si>
    <t>Uco</t>
  </si>
  <si>
    <t>021016</t>
  </si>
  <si>
    <t xml:space="preserve">0211 </t>
  </si>
  <si>
    <t>021101</t>
  </si>
  <si>
    <t>Cochapeti</t>
  </si>
  <si>
    <t>021102</t>
  </si>
  <si>
    <t>Culebras</t>
  </si>
  <si>
    <t>021103</t>
  </si>
  <si>
    <t>Huayan</t>
  </si>
  <si>
    <t>021104</t>
  </si>
  <si>
    <t>Malvas</t>
  </si>
  <si>
    <t>021105</t>
  </si>
  <si>
    <t xml:space="preserve">0212 </t>
  </si>
  <si>
    <t>Caraz</t>
  </si>
  <si>
    <t>021201</t>
  </si>
  <si>
    <t>021202</t>
  </si>
  <si>
    <t>021203</t>
  </si>
  <si>
    <t>021204</t>
  </si>
  <si>
    <t>Mato</t>
  </si>
  <si>
    <t>021205</t>
  </si>
  <si>
    <t>Pamparomas</t>
  </si>
  <si>
    <t>021206</t>
  </si>
  <si>
    <t>Pueblo Libre</t>
  </si>
  <si>
    <t>021207</t>
  </si>
  <si>
    <t>021208</t>
  </si>
  <si>
    <t>Santo Toribio</t>
  </si>
  <si>
    <t>021209</t>
  </si>
  <si>
    <t>Yuracmarca</t>
  </si>
  <si>
    <t>021210</t>
  </si>
  <si>
    <t xml:space="preserve">0213 </t>
  </si>
  <si>
    <t>Piscobamba</t>
  </si>
  <si>
    <t>021301</t>
  </si>
  <si>
    <t>Casca</t>
  </si>
  <si>
    <t>021302</t>
  </si>
  <si>
    <t>Eleazar Guzmán Barron</t>
  </si>
  <si>
    <t>021303</t>
  </si>
  <si>
    <t>Fidel Olivas Escudero</t>
  </si>
  <si>
    <t>021304</t>
  </si>
  <si>
    <t>Llama</t>
  </si>
  <si>
    <t>021305</t>
  </si>
  <si>
    <t>Llumpa</t>
  </si>
  <si>
    <t>021306</t>
  </si>
  <si>
    <t>Lucma</t>
  </si>
  <si>
    <t>021307</t>
  </si>
  <si>
    <t>Musga</t>
  </si>
  <si>
    <t>021308</t>
  </si>
  <si>
    <t xml:space="preserve">0214 </t>
  </si>
  <si>
    <t>021401</t>
  </si>
  <si>
    <t>Acas</t>
  </si>
  <si>
    <t>021402</t>
  </si>
  <si>
    <t>Cajamarquilla</t>
  </si>
  <si>
    <t>021403</t>
  </si>
  <si>
    <t>Carhuapampa</t>
  </si>
  <si>
    <t>021404</t>
  </si>
  <si>
    <t>021405</t>
  </si>
  <si>
    <t>Congas</t>
  </si>
  <si>
    <t>021406</t>
  </si>
  <si>
    <t>Llipa</t>
  </si>
  <si>
    <t>021407</t>
  </si>
  <si>
    <t>San Cristóbal de Rajan</t>
  </si>
  <si>
    <t>021408</t>
  </si>
  <si>
    <t>021409</t>
  </si>
  <si>
    <t>Santiago de Chilcas</t>
  </si>
  <si>
    <t>021410</t>
  </si>
  <si>
    <t xml:space="preserve">0215 </t>
  </si>
  <si>
    <t>021501</t>
  </si>
  <si>
    <t>021502</t>
  </si>
  <si>
    <t>Conchucos</t>
  </si>
  <si>
    <t>021503</t>
  </si>
  <si>
    <t>Huacaschuque</t>
  </si>
  <si>
    <t>021504</t>
  </si>
  <si>
    <t>Huandoval</t>
  </si>
  <si>
    <t>021505</t>
  </si>
  <si>
    <t>Lacabamba</t>
  </si>
  <si>
    <t>021506</t>
  </si>
  <si>
    <t>Llapo</t>
  </si>
  <si>
    <t>021507</t>
  </si>
  <si>
    <t>021508</t>
  </si>
  <si>
    <t>Pampas</t>
  </si>
  <si>
    <t>021509</t>
  </si>
  <si>
    <t>021510</t>
  </si>
  <si>
    <t>Tauca</t>
  </si>
  <si>
    <t>021511</t>
  </si>
  <si>
    <t xml:space="preserve">0216 </t>
  </si>
  <si>
    <t>021601</t>
  </si>
  <si>
    <t>Huayllan</t>
  </si>
  <si>
    <t>021602</t>
  </si>
  <si>
    <t>Parobamba</t>
  </si>
  <si>
    <t>021603</t>
  </si>
  <si>
    <t>Quinuabamba</t>
  </si>
  <si>
    <t>021604</t>
  </si>
  <si>
    <t xml:space="preserve">0217 </t>
  </si>
  <si>
    <t>021701</t>
  </si>
  <si>
    <t>Catac</t>
  </si>
  <si>
    <t>021702</t>
  </si>
  <si>
    <t>Cotaparaco</t>
  </si>
  <si>
    <t>021703</t>
  </si>
  <si>
    <t>Huayllapampa</t>
  </si>
  <si>
    <t>021704</t>
  </si>
  <si>
    <t>Llacllin</t>
  </si>
  <si>
    <t>021705</t>
  </si>
  <si>
    <t>Marca</t>
  </si>
  <si>
    <t>021706</t>
  </si>
  <si>
    <t>Pampas Chico</t>
  </si>
  <si>
    <t>021707</t>
  </si>
  <si>
    <t>Pararin</t>
  </si>
  <si>
    <t>021708</t>
  </si>
  <si>
    <t>Tapacocha</t>
  </si>
  <si>
    <t>021709</t>
  </si>
  <si>
    <t>Ticapampa</t>
  </si>
  <si>
    <t>021710</t>
  </si>
  <si>
    <t xml:space="preserve">0218 </t>
  </si>
  <si>
    <t>Chimbote</t>
  </si>
  <si>
    <t>021801</t>
  </si>
  <si>
    <t>Cáceres del Perú</t>
  </si>
  <si>
    <t>021802</t>
  </si>
  <si>
    <t>Coishco</t>
  </si>
  <si>
    <t>021803</t>
  </si>
  <si>
    <t>Macate</t>
  </si>
  <si>
    <t>021804</t>
  </si>
  <si>
    <t>Moro</t>
  </si>
  <si>
    <t>021805</t>
  </si>
  <si>
    <t>Nepeña</t>
  </si>
  <si>
    <t>021806</t>
  </si>
  <si>
    <t>Samanco</t>
  </si>
  <si>
    <t>021807</t>
  </si>
  <si>
    <t>021808</t>
  </si>
  <si>
    <t>Nuevo Chimbote</t>
  </si>
  <si>
    <t>021809</t>
  </si>
  <si>
    <t xml:space="preserve">0219 </t>
  </si>
  <si>
    <t>021901</t>
  </si>
  <si>
    <t>021902</t>
  </si>
  <si>
    <t>Alfonso Ugarte</t>
  </si>
  <si>
    <t>021903</t>
  </si>
  <si>
    <t>Cashapampa</t>
  </si>
  <si>
    <t>021904</t>
  </si>
  <si>
    <t>Chingalpo</t>
  </si>
  <si>
    <t>021905</t>
  </si>
  <si>
    <t>Huayllabamba</t>
  </si>
  <si>
    <t>021906</t>
  </si>
  <si>
    <t>Quiches</t>
  </si>
  <si>
    <t>021907</t>
  </si>
  <si>
    <t>Ragash</t>
  </si>
  <si>
    <t>021908</t>
  </si>
  <si>
    <t>021909</t>
  </si>
  <si>
    <t>Sicsibamba</t>
  </si>
  <si>
    <t>021910</t>
  </si>
  <si>
    <t xml:space="preserve">0220 </t>
  </si>
  <si>
    <t>022001</t>
  </si>
  <si>
    <t>Cascapara</t>
  </si>
  <si>
    <t>022002</t>
  </si>
  <si>
    <t>Mancos</t>
  </si>
  <si>
    <t>022003</t>
  </si>
  <si>
    <t>Matacoto</t>
  </si>
  <si>
    <t>022004</t>
  </si>
  <si>
    <t>Quillo</t>
  </si>
  <si>
    <t>022005</t>
  </si>
  <si>
    <t>Ranrahirca</t>
  </si>
  <si>
    <t>022006</t>
  </si>
  <si>
    <t>Shupluy</t>
  </si>
  <si>
    <t>022007</t>
  </si>
  <si>
    <t>Yanama</t>
  </si>
  <si>
    <t>022008</t>
  </si>
  <si>
    <t xml:space="preserve">0301 </t>
  </si>
  <si>
    <t>030101</t>
  </si>
  <si>
    <t>Sierra Sur</t>
  </si>
  <si>
    <t>Chacoche</t>
  </si>
  <si>
    <t>030102</t>
  </si>
  <si>
    <t>Circa</t>
  </si>
  <si>
    <t>030103</t>
  </si>
  <si>
    <t>Curahuasi</t>
  </si>
  <si>
    <t>030104</t>
  </si>
  <si>
    <t>Huanipaca</t>
  </si>
  <si>
    <t>030105</t>
  </si>
  <si>
    <t>Lambrama</t>
  </si>
  <si>
    <t>030106</t>
  </si>
  <si>
    <t>Pichirhua</t>
  </si>
  <si>
    <t>030107</t>
  </si>
  <si>
    <t>San Pedro de Cachora</t>
  </si>
  <si>
    <t>030108</t>
  </si>
  <si>
    <t>Tamburco</t>
  </si>
  <si>
    <t>030109</t>
  </si>
  <si>
    <t xml:space="preserve">0302 </t>
  </si>
  <si>
    <t>030201</t>
  </si>
  <si>
    <t>Andarapa</t>
  </si>
  <si>
    <t>030202</t>
  </si>
  <si>
    <t>Chiara</t>
  </si>
  <si>
    <t>030203</t>
  </si>
  <si>
    <t>Huancarama</t>
  </si>
  <si>
    <t>030204</t>
  </si>
  <si>
    <t>Huancaray</t>
  </si>
  <si>
    <t>030205</t>
  </si>
  <si>
    <t>Huayana</t>
  </si>
  <si>
    <t>030206</t>
  </si>
  <si>
    <t>Kishuara</t>
  </si>
  <si>
    <t>030207</t>
  </si>
  <si>
    <t>Pacobamba</t>
  </si>
  <si>
    <t>030208</t>
  </si>
  <si>
    <t>Pacucha</t>
  </si>
  <si>
    <t>030209</t>
  </si>
  <si>
    <t>Pampachiri</t>
  </si>
  <si>
    <t>030210</t>
  </si>
  <si>
    <t>Pomacocha</t>
  </si>
  <si>
    <t>030211</t>
  </si>
  <si>
    <t>San Antonio de Cachi</t>
  </si>
  <si>
    <t>030212</t>
  </si>
  <si>
    <t>San Jeronimo</t>
  </si>
  <si>
    <t>030213</t>
  </si>
  <si>
    <t>San Miguel de Chaccrampa</t>
  </si>
  <si>
    <t>030214</t>
  </si>
  <si>
    <t>Santa María de Chicmo</t>
  </si>
  <si>
    <t>030215</t>
  </si>
  <si>
    <t>Talavera</t>
  </si>
  <si>
    <t>030216</t>
  </si>
  <si>
    <t>Tumay Huaraca</t>
  </si>
  <si>
    <t>030217</t>
  </si>
  <si>
    <t>Turpo</t>
  </si>
  <si>
    <t>030218</t>
  </si>
  <si>
    <t>Kaquiabamba</t>
  </si>
  <si>
    <t>030219</t>
  </si>
  <si>
    <t>José María Arguedas</t>
  </si>
  <si>
    <t>030220</t>
  </si>
  <si>
    <t xml:space="preserve">0303 </t>
  </si>
  <si>
    <t>030301</t>
  </si>
  <si>
    <t>El Oro</t>
  </si>
  <si>
    <t>030302</t>
  </si>
  <si>
    <t>Huaquirca</t>
  </si>
  <si>
    <t>030303</t>
  </si>
  <si>
    <t>Juan Espinoza Medrano</t>
  </si>
  <si>
    <t>030304</t>
  </si>
  <si>
    <t>Oropesa</t>
  </si>
  <si>
    <t>030305</t>
  </si>
  <si>
    <t>Pachaconas</t>
  </si>
  <si>
    <t>030306</t>
  </si>
  <si>
    <t>Sabaino</t>
  </si>
  <si>
    <t>030307</t>
  </si>
  <si>
    <t xml:space="preserve">0304 </t>
  </si>
  <si>
    <t>Chalhuanca</t>
  </si>
  <si>
    <t>030401</t>
  </si>
  <si>
    <t>Capaya</t>
  </si>
  <si>
    <t>030402</t>
  </si>
  <si>
    <t>Caraybamba</t>
  </si>
  <si>
    <t>030403</t>
  </si>
  <si>
    <t>Chapimarca</t>
  </si>
  <si>
    <t>030404</t>
  </si>
  <si>
    <t>030405</t>
  </si>
  <si>
    <t>Cotaruse</t>
  </si>
  <si>
    <t>030406</t>
  </si>
  <si>
    <t>Ihuayllo</t>
  </si>
  <si>
    <t>030407</t>
  </si>
  <si>
    <t>Justo Apu Sahuaraura</t>
  </si>
  <si>
    <t>030408</t>
  </si>
  <si>
    <t>Lucre</t>
  </si>
  <si>
    <t>030409</t>
  </si>
  <si>
    <t>Pocohuanca</t>
  </si>
  <si>
    <t>030410</t>
  </si>
  <si>
    <t>San Juan de Chacña</t>
  </si>
  <si>
    <t>030411</t>
  </si>
  <si>
    <t>Sañayca</t>
  </si>
  <si>
    <t>030412</t>
  </si>
  <si>
    <t>Soraya</t>
  </si>
  <si>
    <t>030413</t>
  </si>
  <si>
    <t>Tapairihua</t>
  </si>
  <si>
    <t>030414</t>
  </si>
  <si>
    <t>Tintay</t>
  </si>
  <si>
    <t>030415</t>
  </si>
  <si>
    <t>Toraya</t>
  </si>
  <si>
    <t>030416</t>
  </si>
  <si>
    <t>Yanaca</t>
  </si>
  <si>
    <t>030417</t>
  </si>
  <si>
    <t xml:space="preserve">0305 </t>
  </si>
  <si>
    <t>Tambobamba</t>
  </si>
  <si>
    <t>030501</t>
  </si>
  <si>
    <t>030502</t>
  </si>
  <si>
    <t>Coyllurqui</t>
  </si>
  <si>
    <t>030503</t>
  </si>
  <si>
    <t>Haquira</t>
  </si>
  <si>
    <t>030504</t>
  </si>
  <si>
    <t>Mara</t>
  </si>
  <si>
    <t>030505</t>
  </si>
  <si>
    <t>Challhuahuacho</t>
  </si>
  <si>
    <t>030506</t>
  </si>
  <si>
    <t xml:space="preserve">0306 </t>
  </si>
  <si>
    <t>030601</t>
  </si>
  <si>
    <t>030602</t>
  </si>
  <si>
    <t>Cocharcas</t>
  </si>
  <si>
    <t>030603</t>
  </si>
  <si>
    <t>Huaccana</t>
  </si>
  <si>
    <t>030604</t>
  </si>
  <si>
    <t>Ocobamba</t>
  </si>
  <si>
    <t>030605</t>
  </si>
  <si>
    <t>Ongoy</t>
  </si>
  <si>
    <t>030606</t>
  </si>
  <si>
    <t>Uranmarca</t>
  </si>
  <si>
    <t>030607</t>
  </si>
  <si>
    <t>Ranracancha</t>
  </si>
  <si>
    <t>030608</t>
  </si>
  <si>
    <t>Rocchacc</t>
  </si>
  <si>
    <t>030609</t>
  </si>
  <si>
    <t>030610</t>
  </si>
  <si>
    <t xml:space="preserve">0307 </t>
  </si>
  <si>
    <t>Chuquibambilla</t>
  </si>
  <si>
    <t>030701</t>
  </si>
  <si>
    <t>Curpahuasi</t>
  </si>
  <si>
    <t>030702</t>
  </si>
  <si>
    <t>Gamarra</t>
  </si>
  <si>
    <t>030703</t>
  </si>
  <si>
    <t>Huayllati</t>
  </si>
  <si>
    <t>030704</t>
  </si>
  <si>
    <t>Mamara</t>
  </si>
  <si>
    <t>030705</t>
  </si>
  <si>
    <t>Micaela Bastidas</t>
  </si>
  <si>
    <t>030706</t>
  </si>
  <si>
    <t>Pataypampa</t>
  </si>
  <si>
    <t>030707</t>
  </si>
  <si>
    <t>Progreso</t>
  </si>
  <si>
    <t>030708</t>
  </si>
  <si>
    <t>030709</t>
  </si>
  <si>
    <t>030710</t>
  </si>
  <si>
    <t>Turpay</t>
  </si>
  <si>
    <t>030711</t>
  </si>
  <si>
    <t>030712</t>
  </si>
  <si>
    <t>Virundo</t>
  </si>
  <si>
    <t>030713</t>
  </si>
  <si>
    <t>Curasco</t>
  </si>
  <si>
    <t>030714</t>
  </si>
  <si>
    <t xml:space="preserve">0401 </t>
  </si>
  <si>
    <t>040101</t>
  </si>
  <si>
    <t>Alto Selva Alegre</t>
  </si>
  <si>
    <t>040102</t>
  </si>
  <si>
    <t>Cayma</t>
  </si>
  <si>
    <t>040103</t>
  </si>
  <si>
    <t>Cerro Colorado</t>
  </si>
  <si>
    <t>040104</t>
  </si>
  <si>
    <t>Characato</t>
  </si>
  <si>
    <t>040105</t>
  </si>
  <si>
    <t>Chiguata</t>
  </si>
  <si>
    <t>040106</t>
  </si>
  <si>
    <t>Jacobo Hunter</t>
  </si>
  <si>
    <t>040107</t>
  </si>
  <si>
    <t>La Joya</t>
  </si>
  <si>
    <t>040108</t>
  </si>
  <si>
    <t>Costa Sur</t>
  </si>
  <si>
    <t>Mariano Melgar</t>
  </si>
  <si>
    <t>040109</t>
  </si>
  <si>
    <t>040110</t>
  </si>
  <si>
    <t>Mollebaya</t>
  </si>
  <si>
    <t>040111</t>
  </si>
  <si>
    <t>Paucarpata</t>
  </si>
  <si>
    <t>040112</t>
  </si>
  <si>
    <t>Pocsi</t>
  </si>
  <si>
    <t>040113</t>
  </si>
  <si>
    <t>Polobaya</t>
  </si>
  <si>
    <t>040114</t>
  </si>
  <si>
    <t>Quequeña</t>
  </si>
  <si>
    <t>040115</t>
  </si>
  <si>
    <t>Sabandia</t>
  </si>
  <si>
    <t>040116</t>
  </si>
  <si>
    <t>Sachaca</t>
  </si>
  <si>
    <t>040117</t>
  </si>
  <si>
    <t>San Juan de Siguas</t>
  </si>
  <si>
    <t>040118</t>
  </si>
  <si>
    <t>San Juan de Tarucani</t>
  </si>
  <si>
    <t>040119</t>
  </si>
  <si>
    <t>Santa Isabel de Siguas</t>
  </si>
  <si>
    <t>040120</t>
  </si>
  <si>
    <t>Santa Rita de Siguas</t>
  </si>
  <si>
    <t>040121</t>
  </si>
  <si>
    <t>Socabaya</t>
  </si>
  <si>
    <t>040122</t>
  </si>
  <si>
    <t>Tiabaya</t>
  </si>
  <si>
    <t>040123</t>
  </si>
  <si>
    <t>Uchumayo</t>
  </si>
  <si>
    <t>040124</t>
  </si>
  <si>
    <t>Vitor</t>
  </si>
  <si>
    <t>040125</t>
  </si>
  <si>
    <t>Yanahuara</t>
  </si>
  <si>
    <t>040126</t>
  </si>
  <si>
    <t>Yarabamba</t>
  </si>
  <si>
    <t>040127</t>
  </si>
  <si>
    <t>Yura</t>
  </si>
  <si>
    <t>040128</t>
  </si>
  <si>
    <t>José Luis Bustamante Y Rivero</t>
  </si>
  <si>
    <t>040129</t>
  </si>
  <si>
    <t xml:space="preserve">0402 </t>
  </si>
  <si>
    <t>040201</t>
  </si>
  <si>
    <t>José María Quimper</t>
  </si>
  <si>
    <t>040202</t>
  </si>
  <si>
    <t>Mariano Nicolás Valcárcel</t>
  </si>
  <si>
    <t>040203</t>
  </si>
  <si>
    <t>Mariscal Cáceres</t>
  </si>
  <si>
    <t>040204</t>
  </si>
  <si>
    <t>Nicolás de Pierola</t>
  </si>
  <si>
    <t>040205</t>
  </si>
  <si>
    <t>Ocoña</t>
  </si>
  <si>
    <t>040206</t>
  </si>
  <si>
    <t>Quilca</t>
  </si>
  <si>
    <t>040207</t>
  </si>
  <si>
    <t>Samuel Pastor</t>
  </si>
  <si>
    <t>040208</t>
  </si>
  <si>
    <t xml:space="preserve">0403 </t>
  </si>
  <si>
    <t>040301</t>
  </si>
  <si>
    <t>Acarí</t>
  </si>
  <si>
    <t>040302</t>
  </si>
  <si>
    <t>Atico</t>
  </si>
  <si>
    <t>040303</t>
  </si>
  <si>
    <t>Atiquipa</t>
  </si>
  <si>
    <t>040304</t>
  </si>
  <si>
    <t>Bella Unión</t>
  </si>
  <si>
    <t>040305</t>
  </si>
  <si>
    <t>Cahuacho</t>
  </si>
  <si>
    <t>040306</t>
  </si>
  <si>
    <t>Chala</t>
  </si>
  <si>
    <t>040307</t>
  </si>
  <si>
    <t>Chaparra</t>
  </si>
  <si>
    <t>040308</t>
  </si>
  <si>
    <t>Huanuhuanu</t>
  </si>
  <si>
    <t>040309</t>
  </si>
  <si>
    <t>Jaqui</t>
  </si>
  <si>
    <t>040310</t>
  </si>
  <si>
    <t>Lomas</t>
  </si>
  <si>
    <t>040311</t>
  </si>
  <si>
    <t>Quicacha</t>
  </si>
  <si>
    <t>040312</t>
  </si>
  <si>
    <t>Yauca</t>
  </si>
  <si>
    <t>040313</t>
  </si>
  <si>
    <t xml:space="preserve">0404 </t>
  </si>
  <si>
    <t>Aplao</t>
  </si>
  <si>
    <t>040401</t>
  </si>
  <si>
    <t>Andagua</t>
  </si>
  <si>
    <t>040402</t>
  </si>
  <si>
    <t>Ayo</t>
  </si>
  <si>
    <t>040403</t>
  </si>
  <si>
    <t>Chachas</t>
  </si>
  <si>
    <t>040404</t>
  </si>
  <si>
    <t>Chilcaymarca</t>
  </si>
  <si>
    <t>040405</t>
  </si>
  <si>
    <t>Choco</t>
  </si>
  <si>
    <t>040406</t>
  </si>
  <si>
    <t>Huancarqui</t>
  </si>
  <si>
    <t>040407</t>
  </si>
  <si>
    <t>Machaguay</t>
  </si>
  <si>
    <t>040408</t>
  </si>
  <si>
    <t>Orcopampa</t>
  </si>
  <si>
    <t>040409</t>
  </si>
  <si>
    <t>Pampacolca</t>
  </si>
  <si>
    <t>040410</t>
  </si>
  <si>
    <t>Tipan</t>
  </si>
  <si>
    <t>040411</t>
  </si>
  <si>
    <t>Uñon</t>
  </si>
  <si>
    <t>040412</t>
  </si>
  <si>
    <t>Uraca</t>
  </si>
  <si>
    <t>040413</t>
  </si>
  <si>
    <t>Viraco</t>
  </si>
  <si>
    <t>040414</t>
  </si>
  <si>
    <t xml:space="preserve">0405 </t>
  </si>
  <si>
    <t>Chivay</t>
  </si>
  <si>
    <t>040501</t>
  </si>
  <si>
    <t>Achoma</t>
  </si>
  <si>
    <t>040502</t>
  </si>
  <si>
    <t>Cabanaconde</t>
  </si>
  <si>
    <t>040503</t>
  </si>
  <si>
    <t>Callalli</t>
  </si>
  <si>
    <t>040504</t>
  </si>
  <si>
    <t>040505</t>
  </si>
  <si>
    <t>Coporaque</t>
  </si>
  <si>
    <t>040506</t>
  </si>
  <si>
    <t>040507</t>
  </si>
  <si>
    <t>Huanca</t>
  </si>
  <si>
    <t>040508</t>
  </si>
  <si>
    <t>Ichupampa</t>
  </si>
  <si>
    <t>040509</t>
  </si>
  <si>
    <t>Lari</t>
  </si>
  <si>
    <t>040510</t>
  </si>
  <si>
    <t>Lluta</t>
  </si>
  <si>
    <t>040511</t>
  </si>
  <si>
    <t>Maca</t>
  </si>
  <si>
    <t>040512</t>
  </si>
  <si>
    <t>Madrigal</t>
  </si>
  <si>
    <t>040513</t>
  </si>
  <si>
    <t>San Antonio de Chuca</t>
  </si>
  <si>
    <t>040514</t>
  </si>
  <si>
    <t>Sibayo</t>
  </si>
  <si>
    <t>040515</t>
  </si>
  <si>
    <t>Tapay</t>
  </si>
  <si>
    <t>040516</t>
  </si>
  <si>
    <t>Tisco</t>
  </si>
  <si>
    <t>040517</t>
  </si>
  <si>
    <t>Tuti</t>
  </si>
  <si>
    <t>040518</t>
  </si>
  <si>
    <t>Yanque</t>
  </si>
  <si>
    <t>040519</t>
  </si>
  <si>
    <t>Majes</t>
  </si>
  <si>
    <t>040520</t>
  </si>
  <si>
    <t xml:space="preserve">0406 </t>
  </si>
  <si>
    <t>040601</t>
  </si>
  <si>
    <t>Andaray</t>
  </si>
  <si>
    <t>040602</t>
  </si>
  <si>
    <t>Cayarani</t>
  </si>
  <si>
    <t>040603</t>
  </si>
  <si>
    <t>Chichas</t>
  </si>
  <si>
    <t>040604</t>
  </si>
  <si>
    <t>Iray</t>
  </si>
  <si>
    <t>040605</t>
  </si>
  <si>
    <t>Río Grande</t>
  </si>
  <si>
    <t>040606</t>
  </si>
  <si>
    <t>Salamanca</t>
  </si>
  <si>
    <t>040607</t>
  </si>
  <si>
    <t>Yanaquihua</t>
  </si>
  <si>
    <t>040608</t>
  </si>
  <si>
    <t xml:space="preserve">0407 </t>
  </si>
  <si>
    <t>Mollendo</t>
  </si>
  <si>
    <t>040701</t>
  </si>
  <si>
    <t>Cocachacra</t>
  </si>
  <si>
    <t>040702</t>
  </si>
  <si>
    <t>Dean Valdivia</t>
  </si>
  <si>
    <t>040703</t>
  </si>
  <si>
    <t>040704</t>
  </si>
  <si>
    <t>Mejia</t>
  </si>
  <si>
    <t>040705</t>
  </si>
  <si>
    <t>Punta de Bombón</t>
  </si>
  <si>
    <t>040706</t>
  </si>
  <si>
    <t xml:space="preserve">0408 </t>
  </si>
  <si>
    <t>Cotahuasi</t>
  </si>
  <si>
    <t>040801</t>
  </si>
  <si>
    <t>Alca</t>
  </si>
  <si>
    <t>040802</t>
  </si>
  <si>
    <t>Charcana</t>
  </si>
  <si>
    <t>040803</t>
  </si>
  <si>
    <t>Huaynacotas</t>
  </si>
  <si>
    <t>040804</t>
  </si>
  <si>
    <t>040805</t>
  </si>
  <si>
    <t>Puyca</t>
  </si>
  <si>
    <t>040806</t>
  </si>
  <si>
    <t>Quechualla</t>
  </si>
  <si>
    <t>040807</t>
  </si>
  <si>
    <t>Sayla</t>
  </si>
  <si>
    <t>040808</t>
  </si>
  <si>
    <t>Tauria</t>
  </si>
  <si>
    <t>040809</t>
  </si>
  <si>
    <t>Tomepampa</t>
  </si>
  <si>
    <t>040810</t>
  </si>
  <si>
    <t>Toro</t>
  </si>
  <si>
    <t>040811</t>
  </si>
  <si>
    <t xml:space="preserve">0501 </t>
  </si>
  <si>
    <t>050101</t>
  </si>
  <si>
    <t>Acocro</t>
  </si>
  <si>
    <t>050102</t>
  </si>
  <si>
    <t>Acos Vinchos</t>
  </si>
  <si>
    <t>050103</t>
  </si>
  <si>
    <t>Carmen Alto</t>
  </si>
  <si>
    <t>050104</t>
  </si>
  <si>
    <t>050105</t>
  </si>
  <si>
    <t>050106</t>
  </si>
  <si>
    <t>Pacaycasa</t>
  </si>
  <si>
    <t>050107</t>
  </si>
  <si>
    <t>Quinua</t>
  </si>
  <si>
    <t>050108</t>
  </si>
  <si>
    <t>San José de Ticllas</t>
  </si>
  <si>
    <t>050109</t>
  </si>
  <si>
    <t>050110</t>
  </si>
  <si>
    <t>Santiago de Pischa</t>
  </si>
  <si>
    <t>050111</t>
  </si>
  <si>
    <t>Socos</t>
  </si>
  <si>
    <t>050112</t>
  </si>
  <si>
    <t>Tambillo</t>
  </si>
  <si>
    <t>050113</t>
  </si>
  <si>
    <t>Vinchos</t>
  </si>
  <si>
    <t>050114</t>
  </si>
  <si>
    <t>Jesús Nazareno</t>
  </si>
  <si>
    <t>050115</t>
  </si>
  <si>
    <t>Andrés Avelino Cáceres Dorregaray</t>
  </si>
  <si>
    <t>050116</t>
  </si>
  <si>
    <t xml:space="preserve">0502 </t>
  </si>
  <si>
    <t>050201</t>
  </si>
  <si>
    <t>Chuschi</t>
  </si>
  <si>
    <t>050202</t>
  </si>
  <si>
    <t>Los Morochucos</t>
  </si>
  <si>
    <t>050203</t>
  </si>
  <si>
    <t>María Parado de Bellido</t>
  </si>
  <si>
    <t>050204</t>
  </si>
  <si>
    <t>Paras</t>
  </si>
  <si>
    <t>050205</t>
  </si>
  <si>
    <t>Totos</t>
  </si>
  <si>
    <t>050206</t>
  </si>
  <si>
    <t xml:space="preserve">0503 </t>
  </si>
  <si>
    <t>Sancos</t>
  </si>
  <si>
    <t>050301</t>
  </si>
  <si>
    <t>Carapo</t>
  </si>
  <si>
    <t>050302</t>
  </si>
  <si>
    <t>Sacsamarca</t>
  </si>
  <si>
    <t>050303</t>
  </si>
  <si>
    <t>Santiago de Lucanamarca</t>
  </si>
  <si>
    <t>050304</t>
  </si>
  <si>
    <t xml:space="preserve">0504 </t>
  </si>
  <si>
    <t>050401</t>
  </si>
  <si>
    <t>Ayahuanco</t>
  </si>
  <si>
    <t>050402</t>
  </si>
  <si>
    <t>Huamanguilla</t>
  </si>
  <si>
    <t>050403</t>
  </si>
  <si>
    <t>Iguain</t>
  </si>
  <si>
    <t>050404</t>
  </si>
  <si>
    <t>Luricocha</t>
  </si>
  <si>
    <t>050405</t>
  </si>
  <si>
    <t>Santillana</t>
  </si>
  <si>
    <t>050406</t>
  </si>
  <si>
    <t>Sivia</t>
  </si>
  <si>
    <t>050407</t>
  </si>
  <si>
    <t>Llochegua</t>
  </si>
  <si>
    <t>050408</t>
  </si>
  <si>
    <t>Canayre</t>
  </si>
  <si>
    <t>050409</t>
  </si>
  <si>
    <t>Uchuraccay</t>
  </si>
  <si>
    <t>050410</t>
  </si>
  <si>
    <t>Pucacolpa</t>
  </si>
  <si>
    <t>050411</t>
  </si>
  <si>
    <t>Chaca</t>
  </si>
  <si>
    <t>050412</t>
  </si>
  <si>
    <t xml:space="preserve">0505 </t>
  </si>
  <si>
    <t>050501</t>
  </si>
  <si>
    <t>Anco</t>
  </si>
  <si>
    <t>050502</t>
  </si>
  <si>
    <t>Ayna</t>
  </si>
  <si>
    <t>050503</t>
  </si>
  <si>
    <t>Chilcas</t>
  </si>
  <si>
    <t>050504</t>
  </si>
  <si>
    <t>Chungui</t>
  </si>
  <si>
    <t>050505</t>
  </si>
  <si>
    <t>Luis Carranza</t>
  </si>
  <si>
    <t>050506</t>
  </si>
  <si>
    <t>050507</t>
  </si>
  <si>
    <t>Tambo</t>
  </si>
  <si>
    <t>050508</t>
  </si>
  <si>
    <t>Samugari</t>
  </si>
  <si>
    <t>050509</t>
  </si>
  <si>
    <t>Anchihuay</t>
  </si>
  <si>
    <t>050510</t>
  </si>
  <si>
    <t xml:space="preserve">0506 </t>
  </si>
  <si>
    <t>Puquio</t>
  </si>
  <si>
    <t>050601</t>
  </si>
  <si>
    <t>Aucara</t>
  </si>
  <si>
    <t>050602</t>
  </si>
  <si>
    <t>050603</t>
  </si>
  <si>
    <t>Carmen Salcedo</t>
  </si>
  <si>
    <t>050604</t>
  </si>
  <si>
    <t>Chaviña</t>
  </si>
  <si>
    <t>050605</t>
  </si>
  <si>
    <t>Chipao</t>
  </si>
  <si>
    <t>050606</t>
  </si>
  <si>
    <t>Huac-Huas</t>
  </si>
  <si>
    <t>050607</t>
  </si>
  <si>
    <t>Laramate</t>
  </si>
  <si>
    <t>050608</t>
  </si>
  <si>
    <t>050609</t>
  </si>
  <si>
    <t>Llauta</t>
  </si>
  <si>
    <t>050610</t>
  </si>
  <si>
    <t>050611</t>
  </si>
  <si>
    <t>Ocaña</t>
  </si>
  <si>
    <t>050612</t>
  </si>
  <si>
    <t>Otoca</t>
  </si>
  <si>
    <t>050613</t>
  </si>
  <si>
    <t>Saisa</t>
  </si>
  <si>
    <t>050614</t>
  </si>
  <si>
    <t>San Cristobal</t>
  </si>
  <si>
    <t>050615</t>
  </si>
  <si>
    <t>050616</t>
  </si>
  <si>
    <t>050617</t>
  </si>
  <si>
    <t>San Pedro de Palco</t>
  </si>
  <si>
    <t>050618</t>
  </si>
  <si>
    <t>050619</t>
  </si>
  <si>
    <t>Santa Ana de Huaycahuacho</t>
  </si>
  <si>
    <t>050620</t>
  </si>
  <si>
    <t>050621</t>
  </si>
  <si>
    <t xml:space="preserve">0507 </t>
  </si>
  <si>
    <t>Coracora</t>
  </si>
  <si>
    <t>050701</t>
  </si>
  <si>
    <t>Chumpi</t>
  </si>
  <si>
    <t>050702</t>
  </si>
  <si>
    <t>Coronel Castañeda</t>
  </si>
  <si>
    <t>050703</t>
  </si>
  <si>
    <t>Pacapausa</t>
  </si>
  <si>
    <t>050704</t>
  </si>
  <si>
    <t>Pullo</t>
  </si>
  <si>
    <t>050705</t>
  </si>
  <si>
    <t>Puyusca</t>
  </si>
  <si>
    <t>050706</t>
  </si>
  <si>
    <t>San Francisco de Ravacayco</t>
  </si>
  <si>
    <t>050707</t>
  </si>
  <si>
    <t>Upahuacho</t>
  </si>
  <si>
    <t>050708</t>
  </si>
  <si>
    <t xml:space="preserve">0508 </t>
  </si>
  <si>
    <t>Pausa</t>
  </si>
  <si>
    <t>050801</t>
  </si>
  <si>
    <t>Colta</t>
  </si>
  <si>
    <t>050802</t>
  </si>
  <si>
    <t>Corculla</t>
  </si>
  <si>
    <t>050803</t>
  </si>
  <si>
    <t>050804</t>
  </si>
  <si>
    <t>Marcabamba</t>
  </si>
  <si>
    <t>050805</t>
  </si>
  <si>
    <t>Oyolo</t>
  </si>
  <si>
    <t>050806</t>
  </si>
  <si>
    <t>Pararca</t>
  </si>
  <si>
    <t>050807</t>
  </si>
  <si>
    <t>San Javier de Alpabamba</t>
  </si>
  <si>
    <t>050808</t>
  </si>
  <si>
    <t>San José de Ushua</t>
  </si>
  <si>
    <t>050809</t>
  </si>
  <si>
    <t>Sara Sara</t>
  </si>
  <si>
    <t>050810</t>
  </si>
  <si>
    <t xml:space="preserve">0509 </t>
  </si>
  <si>
    <t>Querobamba</t>
  </si>
  <si>
    <t>050901</t>
  </si>
  <si>
    <t>Belén</t>
  </si>
  <si>
    <t>050902</t>
  </si>
  <si>
    <t>Chalcos</t>
  </si>
  <si>
    <t>050903</t>
  </si>
  <si>
    <t>Chilcayoc</t>
  </si>
  <si>
    <t>050904</t>
  </si>
  <si>
    <t>Huacaña</t>
  </si>
  <si>
    <t>050905</t>
  </si>
  <si>
    <t>Morcolla</t>
  </si>
  <si>
    <t>050906</t>
  </si>
  <si>
    <t>Paico</t>
  </si>
  <si>
    <t>050907</t>
  </si>
  <si>
    <t>San Pedro de Larcay</t>
  </si>
  <si>
    <t>050908</t>
  </si>
  <si>
    <t>San Salvador de Quije</t>
  </si>
  <si>
    <t>050909</t>
  </si>
  <si>
    <t>Santiago de Paucaray</t>
  </si>
  <si>
    <t>050910</t>
  </si>
  <si>
    <t>Soras</t>
  </si>
  <si>
    <t>050911</t>
  </si>
  <si>
    <t xml:space="preserve">0510 </t>
  </si>
  <si>
    <t>Huancapi</t>
  </si>
  <si>
    <t>051001</t>
  </si>
  <si>
    <t>Alcamenca</t>
  </si>
  <si>
    <t>051002</t>
  </si>
  <si>
    <t>Apongo</t>
  </si>
  <si>
    <t>051003</t>
  </si>
  <si>
    <t>Asquipata</t>
  </si>
  <si>
    <t>051004</t>
  </si>
  <si>
    <t>Canaria</t>
  </si>
  <si>
    <t>051005</t>
  </si>
  <si>
    <t>Cayara</t>
  </si>
  <si>
    <t>051006</t>
  </si>
  <si>
    <t>Colca</t>
  </si>
  <si>
    <t>051007</t>
  </si>
  <si>
    <t>Huamanquiquia</t>
  </si>
  <si>
    <t>051008</t>
  </si>
  <si>
    <t>Huancaraylla</t>
  </si>
  <si>
    <t>051009</t>
  </si>
  <si>
    <t>Huaya</t>
  </si>
  <si>
    <t>051010</t>
  </si>
  <si>
    <t>Sarhua</t>
  </si>
  <si>
    <t>051011</t>
  </si>
  <si>
    <t>Vilcanchos</t>
  </si>
  <si>
    <t>051012</t>
  </si>
  <si>
    <t xml:space="preserve">0511 </t>
  </si>
  <si>
    <t>Vilcas Huaman</t>
  </si>
  <si>
    <t>051101</t>
  </si>
  <si>
    <t>Accomarca</t>
  </si>
  <si>
    <t>051102</t>
  </si>
  <si>
    <t>Carhuanca</t>
  </si>
  <si>
    <t>051103</t>
  </si>
  <si>
    <t>Concepción</t>
  </si>
  <si>
    <t>051104</t>
  </si>
  <si>
    <t>Huambalpa</t>
  </si>
  <si>
    <t>051105</t>
  </si>
  <si>
    <t>051106</t>
  </si>
  <si>
    <t>Saurama</t>
  </si>
  <si>
    <t>051107</t>
  </si>
  <si>
    <t>Vischongo</t>
  </si>
  <si>
    <t>051108</t>
  </si>
  <si>
    <t xml:space="preserve">0601 </t>
  </si>
  <si>
    <t>060101</t>
  </si>
  <si>
    <t>Asuncion</t>
  </si>
  <si>
    <t>060102</t>
  </si>
  <si>
    <t>Chetilla</t>
  </si>
  <si>
    <t>060103</t>
  </si>
  <si>
    <t>Cospan</t>
  </si>
  <si>
    <t>060104</t>
  </si>
  <si>
    <t>Encañada</t>
  </si>
  <si>
    <t>060105</t>
  </si>
  <si>
    <t>Jesús</t>
  </si>
  <si>
    <t>060106</t>
  </si>
  <si>
    <t>Llacanora</t>
  </si>
  <si>
    <t>060107</t>
  </si>
  <si>
    <t>Los Baños del Inca</t>
  </si>
  <si>
    <t>060108</t>
  </si>
  <si>
    <t>060109</t>
  </si>
  <si>
    <t>Matara</t>
  </si>
  <si>
    <t>060110</t>
  </si>
  <si>
    <t>Namora</t>
  </si>
  <si>
    <t>060111</t>
  </si>
  <si>
    <t>060112</t>
  </si>
  <si>
    <t xml:space="preserve">0602 </t>
  </si>
  <si>
    <t>060201</t>
  </si>
  <si>
    <t>Cachachi</t>
  </si>
  <si>
    <t>060202</t>
  </si>
  <si>
    <t>Condebamba</t>
  </si>
  <si>
    <t>060203</t>
  </si>
  <si>
    <t>Sitacocha</t>
  </si>
  <si>
    <t>060204</t>
  </si>
  <si>
    <t xml:space="preserve">0603 </t>
  </si>
  <si>
    <t>060301</t>
  </si>
  <si>
    <t>Chumuch</t>
  </si>
  <si>
    <t>060302</t>
  </si>
  <si>
    <t>Cortegana</t>
  </si>
  <si>
    <t>060303</t>
  </si>
  <si>
    <t>Huasmin</t>
  </si>
  <si>
    <t>060304</t>
  </si>
  <si>
    <t>Jorge Chávez</t>
  </si>
  <si>
    <t>060305</t>
  </si>
  <si>
    <t>José Gálvez</t>
  </si>
  <si>
    <t>060306</t>
  </si>
  <si>
    <t>Miguel Iglesias</t>
  </si>
  <si>
    <t>060307</t>
  </si>
  <si>
    <t>Oxamarca</t>
  </si>
  <si>
    <t>060308</t>
  </si>
  <si>
    <t>Sorochuco</t>
  </si>
  <si>
    <t>060309</t>
  </si>
  <si>
    <t>060310</t>
  </si>
  <si>
    <t>Utco</t>
  </si>
  <si>
    <t>060311</t>
  </si>
  <si>
    <t>La Libertad de Pallan</t>
  </si>
  <si>
    <t>060312</t>
  </si>
  <si>
    <t xml:space="preserve">0604 </t>
  </si>
  <si>
    <t>060401</t>
  </si>
  <si>
    <t>Anguia</t>
  </si>
  <si>
    <t>060402</t>
  </si>
  <si>
    <t>Chadin</t>
  </si>
  <si>
    <t>060403</t>
  </si>
  <si>
    <t>Chiguirip</t>
  </si>
  <si>
    <t>060404</t>
  </si>
  <si>
    <t>Chimban</t>
  </si>
  <si>
    <t>060405</t>
  </si>
  <si>
    <t>Choropampa</t>
  </si>
  <si>
    <t>060406</t>
  </si>
  <si>
    <t>060407</t>
  </si>
  <si>
    <t>Costa Norte</t>
  </si>
  <si>
    <t>Conchan</t>
  </si>
  <si>
    <t>060408</t>
  </si>
  <si>
    <t>Huambos</t>
  </si>
  <si>
    <t>060409</t>
  </si>
  <si>
    <t>Lajas</t>
  </si>
  <si>
    <t>060410</t>
  </si>
  <si>
    <t>060411</t>
  </si>
  <si>
    <t>Miracosta</t>
  </si>
  <si>
    <t>060412</t>
  </si>
  <si>
    <t>060413</t>
  </si>
  <si>
    <t>Pion</t>
  </si>
  <si>
    <t>060414</t>
  </si>
  <si>
    <t>Querocoto</t>
  </si>
  <si>
    <t>060415</t>
  </si>
  <si>
    <t>San Juan de Licupis</t>
  </si>
  <si>
    <t>060416</t>
  </si>
  <si>
    <t>Tacabamba</t>
  </si>
  <si>
    <t>060417</t>
  </si>
  <si>
    <t>Tocmoche</t>
  </si>
  <si>
    <t>060418</t>
  </si>
  <si>
    <t>Chalamarca</t>
  </si>
  <si>
    <t>060419</t>
  </si>
  <si>
    <t xml:space="preserve">0605 </t>
  </si>
  <si>
    <t>Contumaza</t>
  </si>
  <si>
    <t>060501</t>
  </si>
  <si>
    <t>Chilete</t>
  </si>
  <si>
    <t>060502</t>
  </si>
  <si>
    <t>Cupisnique</t>
  </si>
  <si>
    <t>060503</t>
  </si>
  <si>
    <t>Guzmango</t>
  </si>
  <si>
    <t>060504</t>
  </si>
  <si>
    <t>San Benito</t>
  </si>
  <si>
    <t>060505</t>
  </si>
  <si>
    <t>Santa Cruz de Toledo</t>
  </si>
  <si>
    <t>060506</t>
  </si>
  <si>
    <t>Tantarica</t>
  </si>
  <si>
    <t>060507</t>
  </si>
  <si>
    <t>Yonan</t>
  </si>
  <si>
    <t>060508</t>
  </si>
  <si>
    <t xml:space="preserve">0606 </t>
  </si>
  <si>
    <t>060601</t>
  </si>
  <si>
    <t>Callayuc</t>
  </si>
  <si>
    <t>060602</t>
  </si>
  <si>
    <t>Choros</t>
  </si>
  <si>
    <t>060603</t>
  </si>
  <si>
    <t>Cujillo</t>
  </si>
  <si>
    <t>060604</t>
  </si>
  <si>
    <t>La Ramada</t>
  </si>
  <si>
    <t>060605</t>
  </si>
  <si>
    <t>Pimpingos</t>
  </si>
  <si>
    <t>060606</t>
  </si>
  <si>
    <t>Querocotillo</t>
  </si>
  <si>
    <t>060607</t>
  </si>
  <si>
    <t>San Andrés de Cutervo</t>
  </si>
  <si>
    <t>060608</t>
  </si>
  <si>
    <t>San Juan de Cutervo</t>
  </si>
  <si>
    <t>060609</t>
  </si>
  <si>
    <t>San Luis de Lucma</t>
  </si>
  <si>
    <t>060610</t>
  </si>
  <si>
    <t>060611</t>
  </si>
  <si>
    <t>Santo Domingo de la Capilla</t>
  </si>
  <si>
    <t>060612</t>
  </si>
  <si>
    <t>060613</t>
  </si>
  <si>
    <t>Socota</t>
  </si>
  <si>
    <t>060614</t>
  </si>
  <si>
    <t>Toribio Casanova</t>
  </si>
  <si>
    <t>060615</t>
  </si>
  <si>
    <t xml:space="preserve">0607 </t>
  </si>
  <si>
    <t>Bambamarca</t>
  </si>
  <si>
    <t>060701</t>
  </si>
  <si>
    <t>Chugur</t>
  </si>
  <si>
    <t>060702</t>
  </si>
  <si>
    <t>060703</t>
  </si>
  <si>
    <t xml:space="preserve">0608 </t>
  </si>
  <si>
    <t>060801</t>
  </si>
  <si>
    <t>060802</t>
  </si>
  <si>
    <t>Chontali</t>
  </si>
  <si>
    <t>060803</t>
  </si>
  <si>
    <t>Colasay</t>
  </si>
  <si>
    <t>060804</t>
  </si>
  <si>
    <t>Huabal</t>
  </si>
  <si>
    <t>060805</t>
  </si>
  <si>
    <t>Las Pirias</t>
  </si>
  <si>
    <t>060806</t>
  </si>
  <si>
    <t>Pomahuaca</t>
  </si>
  <si>
    <t>060807</t>
  </si>
  <si>
    <t>060808</t>
  </si>
  <si>
    <t>Sallique</t>
  </si>
  <si>
    <t>060809</t>
  </si>
  <si>
    <t>San Felipe</t>
  </si>
  <si>
    <t>060810</t>
  </si>
  <si>
    <t>San José del Alto</t>
  </si>
  <si>
    <t>060811</t>
  </si>
  <si>
    <t>060812</t>
  </si>
  <si>
    <t xml:space="preserve">0609 </t>
  </si>
  <si>
    <t>060901</t>
  </si>
  <si>
    <t>Chirinos</t>
  </si>
  <si>
    <t>060902</t>
  </si>
  <si>
    <t>Huarango</t>
  </si>
  <si>
    <t>060903</t>
  </si>
  <si>
    <t>La Coipa</t>
  </si>
  <si>
    <t>060904</t>
  </si>
  <si>
    <t>Namballe</t>
  </si>
  <si>
    <t>060905</t>
  </si>
  <si>
    <t>San José de Lourdes</t>
  </si>
  <si>
    <t>060906</t>
  </si>
  <si>
    <t>Tabaconas</t>
  </si>
  <si>
    <t>060907</t>
  </si>
  <si>
    <t xml:space="preserve">0610 </t>
  </si>
  <si>
    <t>Pedro Gálvez</t>
  </si>
  <si>
    <t>061001</t>
  </si>
  <si>
    <t>061002</t>
  </si>
  <si>
    <t>Eduardo Villanueva</t>
  </si>
  <si>
    <t>061003</t>
  </si>
  <si>
    <t>Gregorio Pita</t>
  </si>
  <si>
    <t>061004</t>
  </si>
  <si>
    <t>Ichocan</t>
  </si>
  <si>
    <t>061005</t>
  </si>
  <si>
    <t>José Manuel Quiroz</t>
  </si>
  <si>
    <t>061006</t>
  </si>
  <si>
    <t>José Sabogal</t>
  </si>
  <si>
    <t>061007</t>
  </si>
  <si>
    <t xml:space="preserve">0611 </t>
  </si>
  <si>
    <t>061101</t>
  </si>
  <si>
    <t>Bolívar</t>
  </si>
  <si>
    <t>061102</t>
  </si>
  <si>
    <t>Calquis</t>
  </si>
  <si>
    <t>061103</t>
  </si>
  <si>
    <t>Catilluc</t>
  </si>
  <si>
    <t>061104</t>
  </si>
  <si>
    <t>El Prado</t>
  </si>
  <si>
    <t>061105</t>
  </si>
  <si>
    <t>La Florida</t>
  </si>
  <si>
    <t>061106</t>
  </si>
  <si>
    <t>Llapa</t>
  </si>
  <si>
    <t>061107</t>
  </si>
  <si>
    <t>Nanchoc</t>
  </si>
  <si>
    <t>061108</t>
  </si>
  <si>
    <t>Niepos</t>
  </si>
  <si>
    <t>061109</t>
  </si>
  <si>
    <t>San Gregorio</t>
  </si>
  <si>
    <t>061110</t>
  </si>
  <si>
    <t>San Silvestre de Cochan</t>
  </si>
  <si>
    <t>061111</t>
  </si>
  <si>
    <t>Tongod</t>
  </si>
  <si>
    <t>061112</t>
  </si>
  <si>
    <t>Unión Agua Blanca</t>
  </si>
  <si>
    <t>061113</t>
  </si>
  <si>
    <t xml:space="preserve">0612 </t>
  </si>
  <si>
    <t>061201</t>
  </si>
  <si>
    <t>San Bernardino</t>
  </si>
  <si>
    <t>061202</t>
  </si>
  <si>
    <t>061203</t>
  </si>
  <si>
    <t>Tumbaden</t>
  </si>
  <si>
    <t>061204</t>
  </si>
  <si>
    <t xml:space="preserve">0613 </t>
  </si>
  <si>
    <t>061301</t>
  </si>
  <si>
    <t>Andabamba</t>
  </si>
  <si>
    <t>061302</t>
  </si>
  <si>
    <t>Catache</t>
  </si>
  <si>
    <t>061303</t>
  </si>
  <si>
    <t>Chancaybaños</t>
  </si>
  <si>
    <t>061304</t>
  </si>
  <si>
    <t>La Esperanza</t>
  </si>
  <si>
    <t>061305</t>
  </si>
  <si>
    <t>Ninabamba</t>
  </si>
  <si>
    <t>061306</t>
  </si>
  <si>
    <t>Pulan</t>
  </si>
  <si>
    <t>061307</t>
  </si>
  <si>
    <t>Saucepampa</t>
  </si>
  <si>
    <t>061308</t>
  </si>
  <si>
    <t>Sexi</t>
  </si>
  <si>
    <t>061309</t>
  </si>
  <si>
    <t>Uticyacu</t>
  </si>
  <si>
    <t>061310</t>
  </si>
  <si>
    <t>Yauyucan</t>
  </si>
  <si>
    <t>061311</t>
  </si>
  <si>
    <t xml:space="preserve">0701 </t>
  </si>
  <si>
    <t>070101</t>
  </si>
  <si>
    <t>070102</t>
  </si>
  <si>
    <t>Carmen de la Legua Reynoso</t>
  </si>
  <si>
    <t>070103</t>
  </si>
  <si>
    <t>La Perla</t>
  </si>
  <si>
    <t>070104</t>
  </si>
  <si>
    <t>La Punta</t>
  </si>
  <si>
    <t>070105</t>
  </si>
  <si>
    <t>Ventanilla</t>
  </si>
  <si>
    <t>070106</t>
  </si>
  <si>
    <t>Mi Perú</t>
  </si>
  <si>
    <t>070107</t>
  </si>
  <si>
    <t xml:space="preserve">0801 </t>
  </si>
  <si>
    <t>080101</t>
  </si>
  <si>
    <t>Ccorca</t>
  </si>
  <si>
    <t>080102</t>
  </si>
  <si>
    <t>Poroy</t>
  </si>
  <si>
    <t>080103</t>
  </si>
  <si>
    <t>080104</t>
  </si>
  <si>
    <t>San Sebastian</t>
  </si>
  <si>
    <t>080105</t>
  </si>
  <si>
    <t>Santiago</t>
  </si>
  <si>
    <t>080106</t>
  </si>
  <si>
    <t>Saylla</t>
  </si>
  <si>
    <t>080107</t>
  </si>
  <si>
    <t>Wanchaq</t>
  </si>
  <si>
    <t>080108</t>
  </si>
  <si>
    <t xml:space="preserve">0802 </t>
  </si>
  <si>
    <t>080201</t>
  </si>
  <si>
    <t>Acopia</t>
  </si>
  <si>
    <t>080202</t>
  </si>
  <si>
    <t>Acos</t>
  </si>
  <si>
    <t>080203</t>
  </si>
  <si>
    <t>Mosoc Llacta</t>
  </si>
  <si>
    <t>080204</t>
  </si>
  <si>
    <t>Pomacanchi</t>
  </si>
  <si>
    <t>080205</t>
  </si>
  <si>
    <t>Rondocan</t>
  </si>
  <si>
    <t>080206</t>
  </si>
  <si>
    <t>Sangarara</t>
  </si>
  <si>
    <t>080207</t>
  </si>
  <si>
    <t xml:space="preserve">0803 </t>
  </si>
  <si>
    <t>080301</t>
  </si>
  <si>
    <t>Ancahuasi</t>
  </si>
  <si>
    <t>080302</t>
  </si>
  <si>
    <t>Cachimayo</t>
  </si>
  <si>
    <t>080303</t>
  </si>
  <si>
    <t>Chinchaypujio</t>
  </si>
  <si>
    <t>080304</t>
  </si>
  <si>
    <t>Huarocondo</t>
  </si>
  <si>
    <t>080305</t>
  </si>
  <si>
    <t>Limatambo</t>
  </si>
  <si>
    <t>080306</t>
  </si>
  <si>
    <t>Mollepata</t>
  </si>
  <si>
    <t>080307</t>
  </si>
  <si>
    <t>Pucyura</t>
  </si>
  <si>
    <t>080308</t>
  </si>
  <si>
    <t>Zurite</t>
  </si>
  <si>
    <t>080309</t>
  </si>
  <si>
    <t xml:space="preserve">0804 </t>
  </si>
  <si>
    <t>080401</t>
  </si>
  <si>
    <t>Coya</t>
  </si>
  <si>
    <t>080402</t>
  </si>
  <si>
    <t>Lamay</t>
  </si>
  <si>
    <t>080403</t>
  </si>
  <si>
    <t>Lares</t>
  </si>
  <si>
    <t>080404</t>
  </si>
  <si>
    <t>Pisac</t>
  </si>
  <si>
    <t>080405</t>
  </si>
  <si>
    <t>San Salvador</t>
  </si>
  <si>
    <t>080406</t>
  </si>
  <si>
    <t>Taray</t>
  </si>
  <si>
    <t>080407</t>
  </si>
  <si>
    <t>Yanatile</t>
  </si>
  <si>
    <t>080408</t>
  </si>
  <si>
    <t xml:space="preserve">0805 </t>
  </si>
  <si>
    <t>Yanaoca</t>
  </si>
  <si>
    <t>080501</t>
  </si>
  <si>
    <t>Checca</t>
  </si>
  <si>
    <t>080502</t>
  </si>
  <si>
    <t>Kunturkanki</t>
  </si>
  <si>
    <t>080503</t>
  </si>
  <si>
    <t>Langui</t>
  </si>
  <si>
    <t>080504</t>
  </si>
  <si>
    <t>Layo</t>
  </si>
  <si>
    <t>080505</t>
  </si>
  <si>
    <t>Pampamarca</t>
  </si>
  <si>
    <t>080506</t>
  </si>
  <si>
    <t>Quehue</t>
  </si>
  <si>
    <t>080507</t>
  </si>
  <si>
    <t>Tupac Amaru</t>
  </si>
  <si>
    <t>080508</t>
  </si>
  <si>
    <t xml:space="preserve">0806 </t>
  </si>
  <si>
    <t>Sicuani</t>
  </si>
  <si>
    <t>080601</t>
  </si>
  <si>
    <t>Checacupe</t>
  </si>
  <si>
    <t>080602</t>
  </si>
  <si>
    <t>Combapata</t>
  </si>
  <si>
    <t>080603</t>
  </si>
  <si>
    <t>Marangani</t>
  </si>
  <si>
    <t>080604</t>
  </si>
  <si>
    <t>Pitumarca</t>
  </si>
  <si>
    <t>080605</t>
  </si>
  <si>
    <t>080606</t>
  </si>
  <si>
    <t>San Pedro</t>
  </si>
  <si>
    <t>080607</t>
  </si>
  <si>
    <t>Tinta</t>
  </si>
  <si>
    <t>080608</t>
  </si>
  <si>
    <t xml:space="preserve">0807 </t>
  </si>
  <si>
    <t>080701</t>
  </si>
  <si>
    <t>Capacmarca</t>
  </si>
  <si>
    <t>080702</t>
  </si>
  <si>
    <t>Chamaca</t>
  </si>
  <si>
    <t>080703</t>
  </si>
  <si>
    <t>Colquemarca</t>
  </si>
  <si>
    <t>080704</t>
  </si>
  <si>
    <t>Livitaca</t>
  </si>
  <si>
    <t>080705</t>
  </si>
  <si>
    <t>Llusco</t>
  </si>
  <si>
    <t>080706</t>
  </si>
  <si>
    <t>Quiñota</t>
  </si>
  <si>
    <t>080707</t>
  </si>
  <si>
    <t>Velille</t>
  </si>
  <si>
    <t>080708</t>
  </si>
  <si>
    <t xml:space="preserve">0808 </t>
  </si>
  <si>
    <t>080801</t>
  </si>
  <si>
    <t>Condoroma</t>
  </si>
  <si>
    <t>080802</t>
  </si>
  <si>
    <t>080803</t>
  </si>
  <si>
    <t>Ocoruro</t>
  </si>
  <si>
    <t>080804</t>
  </si>
  <si>
    <t>Pallpata</t>
  </si>
  <si>
    <t>080805</t>
  </si>
  <si>
    <t>Pichigua</t>
  </si>
  <si>
    <t>080806</t>
  </si>
  <si>
    <t>Suyckutambo</t>
  </si>
  <si>
    <t>080807</t>
  </si>
  <si>
    <t>Alto Pichigua</t>
  </si>
  <si>
    <t>080808</t>
  </si>
  <si>
    <t xml:space="preserve">0809 </t>
  </si>
  <si>
    <t>Santa Ana</t>
  </si>
  <si>
    <t>080901</t>
  </si>
  <si>
    <t>Echarate</t>
  </si>
  <si>
    <t>080902</t>
  </si>
  <si>
    <t>Huayopata</t>
  </si>
  <si>
    <t>080903</t>
  </si>
  <si>
    <t>Maranura</t>
  </si>
  <si>
    <t>080904</t>
  </si>
  <si>
    <t>080905</t>
  </si>
  <si>
    <t>Quellouno</t>
  </si>
  <si>
    <t>080906</t>
  </si>
  <si>
    <t>Kimbiri</t>
  </si>
  <si>
    <t>080907</t>
  </si>
  <si>
    <t>Santa Teresa</t>
  </si>
  <si>
    <t>080908</t>
  </si>
  <si>
    <t>080909</t>
  </si>
  <si>
    <t>Pichari</t>
  </si>
  <si>
    <t>080910</t>
  </si>
  <si>
    <t>Inkawasi</t>
  </si>
  <si>
    <t>080911</t>
  </si>
  <si>
    <t>Villa Virgen</t>
  </si>
  <si>
    <t>080912</t>
  </si>
  <si>
    <t>Villa Kintiarina</t>
  </si>
  <si>
    <t>080913</t>
  </si>
  <si>
    <t>Megantoni</t>
  </si>
  <si>
    <t>080914</t>
  </si>
  <si>
    <t xml:space="preserve">0810 </t>
  </si>
  <si>
    <t>081001</t>
  </si>
  <si>
    <t>Accha</t>
  </si>
  <si>
    <t>081002</t>
  </si>
  <si>
    <t>Ccapi</t>
  </si>
  <si>
    <t>081003</t>
  </si>
  <si>
    <t>Colcha</t>
  </si>
  <si>
    <t>081004</t>
  </si>
  <si>
    <t>Huanoquite</t>
  </si>
  <si>
    <t>081005</t>
  </si>
  <si>
    <t>Omacha</t>
  </si>
  <si>
    <t>081006</t>
  </si>
  <si>
    <t>Paccaritambo</t>
  </si>
  <si>
    <t>081007</t>
  </si>
  <si>
    <t>Pillpinto</t>
  </si>
  <si>
    <t>081008</t>
  </si>
  <si>
    <t>Yaurisque</t>
  </si>
  <si>
    <t>081009</t>
  </si>
  <si>
    <t xml:space="preserve">0811 </t>
  </si>
  <si>
    <t>081101</t>
  </si>
  <si>
    <t>Caicay</t>
  </si>
  <si>
    <t>081102</t>
  </si>
  <si>
    <t>Challabamba</t>
  </si>
  <si>
    <t>081103</t>
  </si>
  <si>
    <t>Colquepata</t>
  </si>
  <si>
    <t>081104</t>
  </si>
  <si>
    <t>Huancarani</t>
  </si>
  <si>
    <t>081105</t>
  </si>
  <si>
    <t>Kosñipata</t>
  </si>
  <si>
    <t>081106</t>
  </si>
  <si>
    <t xml:space="preserve">0812 </t>
  </si>
  <si>
    <t>Urcos</t>
  </si>
  <si>
    <t>081201</t>
  </si>
  <si>
    <t>Andahuaylillas</t>
  </si>
  <si>
    <t>081202</t>
  </si>
  <si>
    <t>Camanti</t>
  </si>
  <si>
    <t>081203</t>
  </si>
  <si>
    <t>Ccarhuayo</t>
  </si>
  <si>
    <t>081204</t>
  </si>
  <si>
    <t>Ccatca</t>
  </si>
  <si>
    <t>081205</t>
  </si>
  <si>
    <t>Cusipata</t>
  </si>
  <si>
    <t>081206</t>
  </si>
  <si>
    <t>Huaro</t>
  </si>
  <si>
    <t>081207</t>
  </si>
  <si>
    <t>081208</t>
  </si>
  <si>
    <t>Marcapata</t>
  </si>
  <si>
    <t>081209</t>
  </si>
  <si>
    <t>Ocongate</t>
  </si>
  <si>
    <t>081210</t>
  </si>
  <si>
    <t>081211</t>
  </si>
  <si>
    <t>Quiquijana</t>
  </si>
  <si>
    <t>081212</t>
  </si>
  <si>
    <t xml:space="preserve">0813 </t>
  </si>
  <si>
    <t>081301</t>
  </si>
  <si>
    <t>Chinchero</t>
  </si>
  <si>
    <t>081302</t>
  </si>
  <si>
    <t>081303</t>
  </si>
  <si>
    <t>Machupicchu</t>
  </si>
  <si>
    <t>081304</t>
  </si>
  <si>
    <t>Maras</t>
  </si>
  <si>
    <t>081305</t>
  </si>
  <si>
    <t>Ollantaytambo</t>
  </si>
  <si>
    <t>081306</t>
  </si>
  <si>
    <t>Yucay</t>
  </si>
  <si>
    <t>081307</t>
  </si>
  <si>
    <t xml:space="preserve">0901 </t>
  </si>
  <si>
    <t>090101</t>
  </si>
  <si>
    <t>Acobambilla</t>
  </si>
  <si>
    <t>090102</t>
  </si>
  <si>
    <t>Acoria</t>
  </si>
  <si>
    <t>090103</t>
  </si>
  <si>
    <t>Conayca</t>
  </si>
  <si>
    <t>090104</t>
  </si>
  <si>
    <t>Cuenca</t>
  </si>
  <si>
    <t>090105</t>
  </si>
  <si>
    <t>Huachocolpa</t>
  </si>
  <si>
    <t>090106</t>
  </si>
  <si>
    <t>Huayllahuara</t>
  </si>
  <si>
    <t>090107</t>
  </si>
  <si>
    <t>Izcuchaca</t>
  </si>
  <si>
    <t>090108</t>
  </si>
  <si>
    <t>Laria</t>
  </si>
  <si>
    <t>090109</t>
  </si>
  <si>
    <t>Manta</t>
  </si>
  <si>
    <t>090110</t>
  </si>
  <si>
    <t>090111</t>
  </si>
  <si>
    <t>Moya</t>
  </si>
  <si>
    <t>090112</t>
  </si>
  <si>
    <t>Nuevo Occoro</t>
  </si>
  <si>
    <t>090113</t>
  </si>
  <si>
    <t>090114</t>
  </si>
  <si>
    <t>Pilchaca</t>
  </si>
  <si>
    <t>090115</t>
  </si>
  <si>
    <t>Vilca</t>
  </si>
  <si>
    <t>090116</t>
  </si>
  <si>
    <t>090117</t>
  </si>
  <si>
    <t>Ascensión</t>
  </si>
  <si>
    <t>090118</t>
  </si>
  <si>
    <t>Huando</t>
  </si>
  <si>
    <t>090119</t>
  </si>
  <si>
    <t xml:space="preserve">0902 </t>
  </si>
  <si>
    <t>090201</t>
  </si>
  <si>
    <t>090202</t>
  </si>
  <si>
    <t>090203</t>
  </si>
  <si>
    <t>Caja</t>
  </si>
  <si>
    <t>090204</t>
  </si>
  <si>
    <t>Marcas</t>
  </si>
  <si>
    <t>090205</t>
  </si>
  <si>
    <t>Paucara</t>
  </si>
  <si>
    <t>090206</t>
  </si>
  <si>
    <t>090207</t>
  </si>
  <si>
    <t>Rosario</t>
  </si>
  <si>
    <t>090208</t>
  </si>
  <si>
    <t xml:space="preserve">0903 </t>
  </si>
  <si>
    <t>Lircay</t>
  </si>
  <si>
    <t>090301</t>
  </si>
  <si>
    <t>Anchonga</t>
  </si>
  <si>
    <t>090302</t>
  </si>
  <si>
    <t>Callanmarca</t>
  </si>
  <si>
    <t>090303</t>
  </si>
  <si>
    <t>Ccochaccasa</t>
  </si>
  <si>
    <t>090304</t>
  </si>
  <si>
    <t>Chincho</t>
  </si>
  <si>
    <t>090305</t>
  </si>
  <si>
    <t>Congalla</t>
  </si>
  <si>
    <t>090306</t>
  </si>
  <si>
    <t>Huanca-Huanca</t>
  </si>
  <si>
    <t>090307</t>
  </si>
  <si>
    <t>Huayllay Grande</t>
  </si>
  <si>
    <t>090308</t>
  </si>
  <si>
    <t>Julcamarca</t>
  </si>
  <si>
    <t>090309</t>
  </si>
  <si>
    <t>San Antonio de Antaparco</t>
  </si>
  <si>
    <t>090310</t>
  </si>
  <si>
    <t>Santo Tomas de Pata</t>
  </si>
  <si>
    <t>090311</t>
  </si>
  <si>
    <t>Secclla</t>
  </si>
  <si>
    <t>090312</t>
  </si>
  <si>
    <t xml:space="preserve">0904 </t>
  </si>
  <si>
    <t>090401</t>
  </si>
  <si>
    <t>Arma</t>
  </si>
  <si>
    <t>090402</t>
  </si>
  <si>
    <t>Aurahua</t>
  </si>
  <si>
    <t>090403</t>
  </si>
  <si>
    <t>Capillas</t>
  </si>
  <si>
    <t>090404</t>
  </si>
  <si>
    <t>Chupamarca</t>
  </si>
  <si>
    <t>090405</t>
  </si>
  <si>
    <t>Cocas</t>
  </si>
  <si>
    <t>090406</t>
  </si>
  <si>
    <t>Huachos</t>
  </si>
  <si>
    <t>090407</t>
  </si>
  <si>
    <t>Huamatambo</t>
  </si>
  <si>
    <t>090408</t>
  </si>
  <si>
    <t>Mollepampa</t>
  </si>
  <si>
    <t>090409</t>
  </si>
  <si>
    <t>San Juan</t>
  </si>
  <si>
    <t>090410</t>
  </si>
  <si>
    <t>090411</t>
  </si>
  <si>
    <t>Tantara</t>
  </si>
  <si>
    <t>090412</t>
  </si>
  <si>
    <t>Ticrapo</t>
  </si>
  <si>
    <t>090413</t>
  </si>
  <si>
    <t xml:space="preserve">0905 </t>
  </si>
  <si>
    <t>090501</t>
  </si>
  <si>
    <t>090502</t>
  </si>
  <si>
    <t>Chinchihuasi</t>
  </si>
  <si>
    <t>090503</t>
  </si>
  <si>
    <t>El Carmen</t>
  </si>
  <si>
    <t>090504</t>
  </si>
  <si>
    <t>090505</t>
  </si>
  <si>
    <t>Locroja</t>
  </si>
  <si>
    <t>090506</t>
  </si>
  <si>
    <t>Paucarbamba</t>
  </si>
  <si>
    <t>090507</t>
  </si>
  <si>
    <t>San Miguel de Mayocc</t>
  </si>
  <si>
    <t>090508</t>
  </si>
  <si>
    <t>San Pedro de Coris</t>
  </si>
  <si>
    <t>090509</t>
  </si>
  <si>
    <t>Pachamarca</t>
  </si>
  <si>
    <t>090510</t>
  </si>
  <si>
    <t>Cosme</t>
  </si>
  <si>
    <t>090511</t>
  </si>
  <si>
    <t xml:space="preserve">0906 </t>
  </si>
  <si>
    <t>Huaytara</t>
  </si>
  <si>
    <t>090601</t>
  </si>
  <si>
    <t>Ayavi</t>
  </si>
  <si>
    <t>090602</t>
  </si>
  <si>
    <t>Córdova</t>
  </si>
  <si>
    <t>090603</t>
  </si>
  <si>
    <t>Huayacundo Arma</t>
  </si>
  <si>
    <t>090604</t>
  </si>
  <si>
    <t>Laramarca</t>
  </si>
  <si>
    <t>090605</t>
  </si>
  <si>
    <t>Ocoyo</t>
  </si>
  <si>
    <t>090606</t>
  </si>
  <si>
    <t>Pilpichaca</t>
  </si>
  <si>
    <t>090607</t>
  </si>
  <si>
    <t>Querco</t>
  </si>
  <si>
    <t>090608</t>
  </si>
  <si>
    <t>Quito-Arma</t>
  </si>
  <si>
    <t>090609</t>
  </si>
  <si>
    <t>San Antonio de Cusicancha</t>
  </si>
  <si>
    <t>090610</t>
  </si>
  <si>
    <t>San Francisco de Sangayaico</t>
  </si>
  <si>
    <t>090611</t>
  </si>
  <si>
    <t>San Isidro</t>
  </si>
  <si>
    <t>090612</t>
  </si>
  <si>
    <t>Santiago de Chocorvos</t>
  </si>
  <si>
    <t>090613</t>
  </si>
  <si>
    <t>Santiago de Quirahuara</t>
  </si>
  <si>
    <t>090614</t>
  </si>
  <si>
    <t>Santo Domingo de Capillas</t>
  </si>
  <si>
    <t>090615</t>
  </si>
  <si>
    <t>090616</t>
  </si>
  <si>
    <t xml:space="preserve">0907 </t>
  </si>
  <si>
    <t>090701</t>
  </si>
  <si>
    <t>Acostambo</t>
  </si>
  <si>
    <t>090702</t>
  </si>
  <si>
    <t>Acraquia</t>
  </si>
  <si>
    <t>090703</t>
  </si>
  <si>
    <t>Ahuaycha</t>
  </si>
  <si>
    <t>090704</t>
  </si>
  <si>
    <t>Colcabamba</t>
  </si>
  <si>
    <t>090705</t>
  </si>
  <si>
    <t>Daniel Hernández</t>
  </si>
  <si>
    <t>090706</t>
  </si>
  <si>
    <t>090707</t>
  </si>
  <si>
    <t>090708</t>
  </si>
  <si>
    <t>Huaribamba</t>
  </si>
  <si>
    <t>090709</t>
  </si>
  <si>
    <t>Ñahuimpuquio</t>
  </si>
  <si>
    <t>090710</t>
  </si>
  <si>
    <t>Pazos</t>
  </si>
  <si>
    <t>090711</t>
  </si>
  <si>
    <t>090712</t>
  </si>
  <si>
    <t>Quishuar</t>
  </si>
  <si>
    <t>090713</t>
  </si>
  <si>
    <t>Salcabamba</t>
  </si>
  <si>
    <t>090714</t>
  </si>
  <si>
    <t>Salcahuasi</t>
  </si>
  <si>
    <t>090715</t>
  </si>
  <si>
    <t>San Marcos de Rocchac</t>
  </si>
  <si>
    <t>090716</t>
  </si>
  <si>
    <t>Surcubamba</t>
  </si>
  <si>
    <t>090717</t>
  </si>
  <si>
    <t>Tintay Puncu</t>
  </si>
  <si>
    <t>090718</t>
  </si>
  <si>
    <t>Quichuas</t>
  </si>
  <si>
    <t>090719</t>
  </si>
  <si>
    <t>Andaymarca</t>
  </si>
  <si>
    <t>090720</t>
  </si>
  <si>
    <t>Roble</t>
  </si>
  <si>
    <t>090721</t>
  </si>
  <si>
    <t>Pichos</t>
  </si>
  <si>
    <t>090722</t>
  </si>
  <si>
    <t>Santiago de Tucuma</t>
  </si>
  <si>
    <t>090723</t>
  </si>
  <si>
    <t xml:space="preserve">1001 </t>
  </si>
  <si>
    <t>Huanuco</t>
  </si>
  <si>
    <t>100101</t>
  </si>
  <si>
    <t>Amarilis</t>
  </si>
  <si>
    <t>100102</t>
  </si>
  <si>
    <t>Chinchao</t>
  </si>
  <si>
    <t>100103</t>
  </si>
  <si>
    <t>Churubamba</t>
  </si>
  <si>
    <t>100104</t>
  </si>
  <si>
    <t>Margos</t>
  </si>
  <si>
    <t>100105</t>
  </si>
  <si>
    <t>Quisqui (Kichki)</t>
  </si>
  <si>
    <t>100106</t>
  </si>
  <si>
    <t>San Francisco de Cayran</t>
  </si>
  <si>
    <t>100107</t>
  </si>
  <si>
    <t>San Pedro de Chaulan</t>
  </si>
  <si>
    <t>100108</t>
  </si>
  <si>
    <t>Santa María del Valle</t>
  </si>
  <si>
    <t>100109</t>
  </si>
  <si>
    <t>Yarumayo</t>
  </si>
  <si>
    <t>100110</t>
  </si>
  <si>
    <t>Pillco Marca</t>
  </si>
  <si>
    <t>100111</t>
  </si>
  <si>
    <t>Yacus</t>
  </si>
  <si>
    <t>100112</t>
  </si>
  <si>
    <t>San Pablo de Pillao</t>
  </si>
  <si>
    <t>100113</t>
  </si>
  <si>
    <t xml:space="preserve">1002 </t>
  </si>
  <si>
    <t>100201</t>
  </si>
  <si>
    <t>Cayna</t>
  </si>
  <si>
    <t>100202</t>
  </si>
  <si>
    <t>Colpas</t>
  </si>
  <si>
    <t>100203</t>
  </si>
  <si>
    <t>Conchamarca</t>
  </si>
  <si>
    <t>100204</t>
  </si>
  <si>
    <t>Huacar</t>
  </si>
  <si>
    <t>100205</t>
  </si>
  <si>
    <t>San Francisco</t>
  </si>
  <si>
    <t>100206</t>
  </si>
  <si>
    <t>100207</t>
  </si>
  <si>
    <t>Tomay Kichwa</t>
  </si>
  <si>
    <t>100208</t>
  </si>
  <si>
    <t xml:space="preserve">1003 </t>
  </si>
  <si>
    <t>100301</t>
  </si>
  <si>
    <t>Chuquis</t>
  </si>
  <si>
    <t>100307</t>
  </si>
  <si>
    <t>Marías</t>
  </si>
  <si>
    <t>100311</t>
  </si>
  <si>
    <t>Pachas</t>
  </si>
  <si>
    <t>100313</t>
  </si>
  <si>
    <t>Quivilla</t>
  </si>
  <si>
    <t>100316</t>
  </si>
  <si>
    <t>Ripan</t>
  </si>
  <si>
    <t>100317</t>
  </si>
  <si>
    <t>Shunqui</t>
  </si>
  <si>
    <t>100321</t>
  </si>
  <si>
    <t>Sillapata</t>
  </si>
  <si>
    <t>100322</t>
  </si>
  <si>
    <t>Yanas</t>
  </si>
  <si>
    <t>100323</t>
  </si>
  <si>
    <t xml:space="preserve">1004 </t>
  </si>
  <si>
    <t>100401</t>
  </si>
  <si>
    <t>Canchabamba</t>
  </si>
  <si>
    <t>100402</t>
  </si>
  <si>
    <t>100403</t>
  </si>
  <si>
    <t>Pinra</t>
  </si>
  <si>
    <t>100404</t>
  </si>
  <si>
    <t xml:space="preserve">1005 </t>
  </si>
  <si>
    <t>Llata</t>
  </si>
  <si>
    <t>100501</t>
  </si>
  <si>
    <t>Arancay</t>
  </si>
  <si>
    <t>100502</t>
  </si>
  <si>
    <t>Chavín de Pariarca</t>
  </si>
  <si>
    <t>100503</t>
  </si>
  <si>
    <t>Jacas Grande</t>
  </si>
  <si>
    <t>100504</t>
  </si>
  <si>
    <t>Jircan</t>
  </si>
  <si>
    <t>100505</t>
  </si>
  <si>
    <t>100506</t>
  </si>
  <si>
    <t>Monzón</t>
  </si>
  <si>
    <t>100507</t>
  </si>
  <si>
    <t>Punchao</t>
  </si>
  <si>
    <t>100508</t>
  </si>
  <si>
    <t>Puños</t>
  </si>
  <si>
    <t>100509</t>
  </si>
  <si>
    <t>Singa</t>
  </si>
  <si>
    <t>100510</t>
  </si>
  <si>
    <t>Tantamayo</t>
  </si>
  <si>
    <t>100511</t>
  </si>
  <si>
    <t xml:space="preserve">1006 </t>
  </si>
  <si>
    <t>Rupa-Rupa</t>
  </si>
  <si>
    <t>100601</t>
  </si>
  <si>
    <t>Daniel Alomía Robles</t>
  </si>
  <si>
    <t>100602</t>
  </si>
  <si>
    <t>Hermílio Valdizan</t>
  </si>
  <si>
    <t>100603</t>
  </si>
  <si>
    <t>José Crespo y Castillo</t>
  </si>
  <si>
    <t>100604</t>
  </si>
  <si>
    <t>Luyando</t>
  </si>
  <si>
    <t>100605</t>
  </si>
  <si>
    <t>Mariano Damaso Beraun</t>
  </si>
  <si>
    <t>100606</t>
  </si>
  <si>
    <t>Pucayacu</t>
  </si>
  <si>
    <t>100607</t>
  </si>
  <si>
    <t>Castillo Grande</t>
  </si>
  <si>
    <t>100608</t>
  </si>
  <si>
    <t>100609</t>
  </si>
  <si>
    <t>Santo Domingo de Anda</t>
  </si>
  <si>
    <t>100610</t>
  </si>
  <si>
    <t xml:space="preserve">1007 </t>
  </si>
  <si>
    <t>Huacrachuco</t>
  </si>
  <si>
    <t>100701</t>
  </si>
  <si>
    <t>Cholon</t>
  </si>
  <si>
    <t>100702</t>
  </si>
  <si>
    <t>San Buenaventura</t>
  </si>
  <si>
    <t>100703</t>
  </si>
  <si>
    <t>La Morada</t>
  </si>
  <si>
    <t>100704</t>
  </si>
  <si>
    <t>Santa Rosa de Alto Yanajanca</t>
  </si>
  <si>
    <t>100705</t>
  </si>
  <si>
    <t xml:space="preserve">1008 </t>
  </si>
  <si>
    <t>Panao</t>
  </si>
  <si>
    <t>100801</t>
  </si>
  <si>
    <t>Chaglla</t>
  </si>
  <si>
    <t>100802</t>
  </si>
  <si>
    <t>Molino</t>
  </si>
  <si>
    <t>100803</t>
  </si>
  <si>
    <t>Umari</t>
  </si>
  <si>
    <t>100804</t>
  </si>
  <si>
    <t xml:space="preserve">1009 </t>
  </si>
  <si>
    <t>100901</t>
  </si>
  <si>
    <t>Codo del Pozuzo</t>
  </si>
  <si>
    <t>100902</t>
  </si>
  <si>
    <t>Honoria</t>
  </si>
  <si>
    <t>100903</t>
  </si>
  <si>
    <t>Tournavista</t>
  </si>
  <si>
    <t>100904</t>
  </si>
  <si>
    <t>Yuyapichis</t>
  </si>
  <si>
    <t>100905</t>
  </si>
  <si>
    <t xml:space="preserve">1010 </t>
  </si>
  <si>
    <t>101001</t>
  </si>
  <si>
    <t>Baños</t>
  </si>
  <si>
    <t>101002</t>
  </si>
  <si>
    <t>Jivia</t>
  </si>
  <si>
    <t>101003</t>
  </si>
  <si>
    <t>Queropalca</t>
  </si>
  <si>
    <t>101004</t>
  </si>
  <si>
    <t>Rondos</t>
  </si>
  <si>
    <t>101005</t>
  </si>
  <si>
    <t>San Francisco de Asís</t>
  </si>
  <si>
    <t>101006</t>
  </si>
  <si>
    <t>San Miguel de Cauri</t>
  </si>
  <si>
    <t>101007</t>
  </si>
  <si>
    <t xml:space="preserve">1011 </t>
  </si>
  <si>
    <t>Chavinillo</t>
  </si>
  <si>
    <t>101101</t>
  </si>
  <si>
    <t>Cahuac</t>
  </si>
  <si>
    <t>101102</t>
  </si>
  <si>
    <t>Chacabamba</t>
  </si>
  <si>
    <t>101103</t>
  </si>
  <si>
    <t>Aparicio Pomares</t>
  </si>
  <si>
    <t>101104</t>
  </si>
  <si>
    <t>Jacas Chico</t>
  </si>
  <si>
    <t>101105</t>
  </si>
  <si>
    <t>Obas</t>
  </si>
  <si>
    <t>101106</t>
  </si>
  <si>
    <t>101107</t>
  </si>
  <si>
    <t>Choras</t>
  </si>
  <si>
    <t>101108</t>
  </si>
  <si>
    <t xml:space="preserve">1101 </t>
  </si>
  <si>
    <t>110101</t>
  </si>
  <si>
    <t>La Tinguiña</t>
  </si>
  <si>
    <t>110102</t>
  </si>
  <si>
    <t>Los Aquijes</t>
  </si>
  <si>
    <t>110103</t>
  </si>
  <si>
    <t>Ocucaje</t>
  </si>
  <si>
    <t>110104</t>
  </si>
  <si>
    <t>Pachacutec</t>
  </si>
  <si>
    <t>110105</t>
  </si>
  <si>
    <t>Parcona</t>
  </si>
  <si>
    <t>110106</t>
  </si>
  <si>
    <t>110107</t>
  </si>
  <si>
    <t>Salas</t>
  </si>
  <si>
    <t>110108</t>
  </si>
  <si>
    <t>San José de Los Molinos</t>
  </si>
  <si>
    <t>110109</t>
  </si>
  <si>
    <t>110110</t>
  </si>
  <si>
    <t>110111</t>
  </si>
  <si>
    <t>Subtanjalla</t>
  </si>
  <si>
    <t>110112</t>
  </si>
  <si>
    <t>Tate</t>
  </si>
  <si>
    <t>110113</t>
  </si>
  <si>
    <t>Yauca del Rosario</t>
  </si>
  <si>
    <t>110114</t>
  </si>
  <si>
    <t xml:space="preserve">1102 </t>
  </si>
  <si>
    <t>Chincha Alta</t>
  </si>
  <si>
    <t>110201</t>
  </si>
  <si>
    <t>Alto Laran</t>
  </si>
  <si>
    <t>110202</t>
  </si>
  <si>
    <t>Chavin</t>
  </si>
  <si>
    <t>110203</t>
  </si>
  <si>
    <t>Chincha Baja</t>
  </si>
  <si>
    <t>110204</t>
  </si>
  <si>
    <t>110205</t>
  </si>
  <si>
    <t>Grocio Prado</t>
  </si>
  <si>
    <t>110206</t>
  </si>
  <si>
    <t>110207</t>
  </si>
  <si>
    <t>San Juan de Yanac</t>
  </si>
  <si>
    <t>110208</t>
  </si>
  <si>
    <t>San Pedro de Huacarpana</t>
  </si>
  <si>
    <t>110209</t>
  </si>
  <si>
    <t>Sunampe</t>
  </si>
  <si>
    <t>110210</t>
  </si>
  <si>
    <t>Tambo de Mora</t>
  </si>
  <si>
    <t>110211</t>
  </si>
  <si>
    <t xml:space="preserve">1103 </t>
  </si>
  <si>
    <t>Nasca</t>
  </si>
  <si>
    <t>110301</t>
  </si>
  <si>
    <t>Changuillo</t>
  </si>
  <si>
    <t>110302</t>
  </si>
  <si>
    <t>El Ingenio</t>
  </si>
  <si>
    <t>110303</t>
  </si>
  <si>
    <t>Marcona</t>
  </si>
  <si>
    <t>110304</t>
  </si>
  <si>
    <t>110305</t>
  </si>
  <si>
    <t xml:space="preserve">1104 </t>
  </si>
  <si>
    <t>Palpa</t>
  </si>
  <si>
    <t>110401</t>
  </si>
  <si>
    <t>Llipata</t>
  </si>
  <si>
    <t>110402</t>
  </si>
  <si>
    <t>110403</t>
  </si>
  <si>
    <t>110404</t>
  </si>
  <si>
    <t>Tibillo</t>
  </si>
  <si>
    <t>110405</t>
  </si>
  <si>
    <t xml:space="preserve">1105 </t>
  </si>
  <si>
    <t>Pisco</t>
  </si>
  <si>
    <t>110501</t>
  </si>
  <si>
    <t>Huancano</t>
  </si>
  <si>
    <t>110502</t>
  </si>
  <si>
    <t>Humay</t>
  </si>
  <si>
    <t>110503</t>
  </si>
  <si>
    <t>110504</t>
  </si>
  <si>
    <t>Paracas</t>
  </si>
  <si>
    <t>110505</t>
  </si>
  <si>
    <t>San Andrés</t>
  </si>
  <si>
    <t>110506</t>
  </si>
  <si>
    <t>San Clemente</t>
  </si>
  <si>
    <t>110507</t>
  </si>
  <si>
    <t>Tupac Amaru Inca</t>
  </si>
  <si>
    <t>110508</t>
  </si>
  <si>
    <t xml:space="preserve">1201 </t>
  </si>
  <si>
    <t>Huancayo</t>
  </si>
  <si>
    <t>120101</t>
  </si>
  <si>
    <t>Carhuacallanga</t>
  </si>
  <si>
    <t>120104</t>
  </si>
  <si>
    <t>Chacapampa</t>
  </si>
  <si>
    <t>120105</t>
  </si>
  <si>
    <t>Chicche</t>
  </si>
  <si>
    <t>120106</t>
  </si>
  <si>
    <t>120107</t>
  </si>
  <si>
    <t>Chongos Alto</t>
  </si>
  <si>
    <t>120108</t>
  </si>
  <si>
    <t>Chupuro</t>
  </si>
  <si>
    <t>120111</t>
  </si>
  <si>
    <t>120112</t>
  </si>
  <si>
    <t>Cullhuas</t>
  </si>
  <si>
    <t>120113</t>
  </si>
  <si>
    <t>El Tambo</t>
  </si>
  <si>
    <t>120114</t>
  </si>
  <si>
    <t>Huacrapuquio</t>
  </si>
  <si>
    <t>120116</t>
  </si>
  <si>
    <t>Hualhuas</t>
  </si>
  <si>
    <t>120117</t>
  </si>
  <si>
    <t>Huancan</t>
  </si>
  <si>
    <t>120119</t>
  </si>
  <si>
    <t>Huasicancha</t>
  </si>
  <si>
    <t>120120</t>
  </si>
  <si>
    <t>Huayucachi</t>
  </si>
  <si>
    <t>120121</t>
  </si>
  <si>
    <t>Ingenio</t>
  </si>
  <si>
    <t>120122</t>
  </si>
  <si>
    <t>120124</t>
  </si>
  <si>
    <t>Pilcomayo</t>
  </si>
  <si>
    <t>120125</t>
  </si>
  <si>
    <t>120126</t>
  </si>
  <si>
    <t>Quichuay</t>
  </si>
  <si>
    <t>120127</t>
  </si>
  <si>
    <t>Quilcas</t>
  </si>
  <si>
    <t>120128</t>
  </si>
  <si>
    <t>San Agustín</t>
  </si>
  <si>
    <t>120129</t>
  </si>
  <si>
    <t>San Jerónimo de Tunan</t>
  </si>
  <si>
    <t>120130</t>
  </si>
  <si>
    <t>Saño</t>
  </si>
  <si>
    <t>120132</t>
  </si>
  <si>
    <t>Sapallanga</t>
  </si>
  <si>
    <t>120133</t>
  </si>
  <si>
    <t>Sicaya</t>
  </si>
  <si>
    <t>120134</t>
  </si>
  <si>
    <t>Santo Domingo de Acobamba</t>
  </si>
  <si>
    <t>120135</t>
  </si>
  <si>
    <t>Viques</t>
  </si>
  <si>
    <t>120136</t>
  </si>
  <si>
    <t xml:space="preserve">1202 </t>
  </si>
  <si>
    <t>120201</t>
  </si>
  <si>
    <t>120202</t>
  </si>
  <si>
    <t>Andamarca</t>
  </si>
  <si>
    <t>120203</t>
  </si>
  <si>
    <t>Chambara</t>
  </si>
  <si>
    <t>120204</t>
  </si>
  <si>
    <t>120205</t>
  </si>
  <si>
    <t>Comas</t>
  </si>
  <si>
    <t>120206</t>
  </si>
  <si>
    <t>Heroínas Toledo</t>
  </si>
  <si>
    <t>120207</t>
  </si>
  <si>
    <t>Manzanares</t>
  </si>
  <si>
    <t>120208</t>
  </si>
  <si>
    <t>120209</t>
  </si>
  <si>
    <t>Matahuasi</t>
  </si>
  <si>
    <t>120210</t>
  </si>
  <si>
    <t>Mito</t>
  </si>
  <si>
    <t>120211</t>
  </si>
  <si>
    <t>Nueve de Julio</t>
  </si>
  <si>
    <t>120212</t>
  </si>
  <si>
    <t>Orcotuna</t>
  </si>
  <si>
    <t>120213</t>
  </si>
  <si>
    <t>San José de Quero</t>
  </si>
  <si>
    <t>120214</t>
  </si>
  <si>
    <t>Santa Rosa de Ocopa</t>
  </si>
  <si>
    <t>120215</t>
  </si>
  <si>
    <t xml:space="preserve">1203 </t>
  </si>
  <si>
    <t>Chanchamayo</t>
  </si>
  <si>
    <t>120301</t>
  </si>
  <si>
    <t>Perene</t>
  </si>
  <si>
    <t>120302</t>
  </si>
  <si>
    <t>Pichanaqui</t>
  </si>
  <si>
    <t>120303</t>
  </si>
  <si>
    <t>San Luis de Shuaro</t>
  </si>
  <si>
    <t>120304</t>
  </si>
  <si>
    <t>San Ramón</t>
  </si>
  <si>
    <t>120305</t>
  </si>
  <si>
    <t>Vitoc</t>
  </si>
  <si>
    <t>120306</t>
  </si>
  <si>
    <t xml:space="preserve">1204 </t>
  </si>
  <si>
    <t>Jauja</t>
  </si>
  <si>
    <t>120401</t>
  </si>
  <si>
    <t>Acolla</t>
  </si>
  <si>
    <t>120402</t>
  </si>
  <si>
    <t>Apata</t>
  </si>
  <si>
    <t>120403</t>
  </si>
  <si>
    <t>Ataura</t>
  </si>
  <si>
    <t>120404</t>
  </si>
  <si>
    <t>Canchayllo</t>
  </si>
  <si>
    <t>120405</t>
  </si>
  <si>
    <t>Curicaca</t>
  </si>
  <si>
    <t>120406</t>
  </si>
  <si>
    <t>El Mantaro</t>
  </si>
  <si>
    <t>120407</t>
  </si>
  <si>
    <t>Huamali</t>
  </si>
  <si>
    <t>120408</t>
  </si>
  <si>
    <t>Huaripampa</t>
  </si>
  <si>
    <t>120409</t>
  </si>
  <si>
    <t>Huertas</t>
  </si>
  <si>
    <t>120410</t>
  </si>
  <si>
    <t>Janjaillo</t>
  </si>
  <si>
    <t>120411</t>
  </si>
  <si>
    <t>Julcán</t>
  </si>
  <si>
    <t>120412</t>
  </si>
  <si>
    <t>Leonor Ordóñez</t>
  </si>
  <si>
    <t>120413</t>
  </si>
  <si>
    <t>Llocllapampa</t>
  </si>
  <si>
    <t>120414</t>
  </si>
  <si>
    <t>Marco</t>
  </si>
  <si>
    <t>120415</t>
  </si>
  <si>
    <t>Masma</t>
  </si>
  <si>
    <t>120416</t>
  </si>
  <si>
    <t>Masma Chicche</t>
  </si>
  <si>
    <t>120417</t>
  </si>
  <si>
    <t>Molinos</t>
  </si>
  <si>
    <t>120418</t>
  </si>
  <si>
    <t>Monobamba</t>
  </si>
  <si>
    <t>120419</t>
  </si>
  <si>
    <t>Muqui</t>
  </si>
  <si>
    <t>120420</t>
  </si>
  <si>
    <t>Muquiyauyo</t>
  </si>
  <si>
    <t>120421</t>
  </si>
  <si>
    <t>Paca</t>
  </si>
  <si>
    <t>120422</t>
  </si>
  <si>
    <t>120423</t>
  </si>
  <si>
    <t>Pancan</t>
  </si>
  <si>
    <t>120424</t>
  </si>
  <si>
    <t>Parco</t>
  </si>
  <si>
    <t>120425</t>
  </si>
  <si>
    <t>Pomacancha</t>
  </si>
  <si>
    <t>120426</t>
  </si>
  <si>
    <t>Ricran</t>
  </si>
  <si>
    <t>120427</t>
  </si>
  <si>
    <t>San Lorenzo</t>
  </si>
  <si>
    <t>120428</t>
  </si>
  <si>
    <t>San Pedro de Chunan</t>
  </si>
  <si>
    <t>120429</t>
  </si>
  <si>
    <t>Sausa</t>
  </si>
  <si>
    <t>120430</t>
  </si>
  <si>
    <t>Sincos</t>
  </si>
  <si>
    <t>120431</t>
  </si>
  <si>
    <t>Tunan Marca</t>
  </si>
  <si>
    <t>120432</t>
  </si>
  <si>
    <t>120433</t>
  </si>
  <si>
    <t>120434</t>
  </si>
  <si>
    <t xml:space="preserve">1205 </t>
  </si>
  <si>
    <t>Junin</t>
  </si>
  <si>
    <t>120501</t>
  </si>
  <si>
    <t>Carhuamayo</t>
  </si>
  <si>
    <t>120502</t>
  </si>
  <si>
    <t>Ondores</t>
  </si>
  <si>
    <t>120503</t>
  </si>
  <si>
    <t>Ulcumayo</t>
  </si>
  <si>
    <t>120504</t>
  </si>
  <si>
    <t xml:space="preserve">1206 </t>
  </si>
  <si>
    <t>Satipo</t>
  </si>
  <si>
    <t>120601</t>
  </si>
  <si>
    <t>Coviriali</t>
  </si>
  <si>
    <t>120602</t>
  </si>
  <si>
    <t>Llaylla</t>
  </si>
  <si>
    <t>120603</t>
  </si>
  <si>
    <t>Mazamari</t>
  </si>
  <si>
    <t>120604</t>
  </si>
  <si>
    <t>Pampa Hermosa</t>
  </si>
  <si>
    <t>120605</t>
  </si>
  <si>
    <t>Pangoa</t>
  </si>
  <si>
    <t>120606</t>
  </si>
  <si>
    <t>Río Negro</t>
  </si>
  <si>
    <t>120607</t>
  </si>
  <si>
    <t>Río Tambo</t>
  </si>
  <si>
    <t>120608</t>
  </si>
  <si>
    <t>Vizcatan del Ene</t>
  </si>
  <si>
    <t>120609</t>
  </si>
  <si>
    <t xml:space="preserve">1207 </t>
  </si>
  <si>
    <t>Tarma</t>
  </si>
  <si>
    <t>120701</t>
  </si>
  <si>
    <t>120702</t>
  </si>
  <si>
    <t>Huaricolca</t>
  </si>
  <si>
    <t>120703</t>
  </si>
  <si>
    <t>Huasahuasi</t>
  </si>
  <si>
    <t>120704</t>
  </si>
  <si>
    <t>120705</t>
  </si>
  <si>
    <t>120706</t>
  </si>
  <si>
    <t>Palcamayo</t>
  </si>
  <si>
    <t>120707</t>
  </si>
  <si>
    <t>San Pedro de Cajas</t>
  </si>
  <si>
    <t>120708</t>
  </si>
  <si>
    <t>Tapo</t>
  </si>
  <si>
    <t>120709</t>
  </si>
  <si>
    <t xml:space="preserve">1208 </t>
  </si>
  <si>
    <t>La Oroya</t>
  </si>
  <si>
    <t>120801</t>
  </si>
  <si>
    <t>Chacapalpa</t>
  </si>
  <si>
    <t>120802</t>
  </si>
  <si>
    <t>Huay-Huay</t>
  </si>
  <si>
    <t>120803</t>
  </si>
  <si>
    <t>Marcapomacocha</t>
  </si>
  <si>
    <t>120804</t>
  </si>
  <si>
    <t>Morococha</t>
  </si>
  <si>
    <t>120805</t>
  </si>
  <si>
    <t>Paccha</t>
  </si>
  <si>
    <t>120806</t>
  </si>
  <si>
    <t>Santa Bárbara de Carhuacayan</t>
  </si>
  <si>
    <t>120807</t>
  </si>
  <si>
    <t>Santa Rosa de Sacco</t>
  </si>
  <si>
    <t>120808</t>
  </si>
  <si>
    <t>Suitucancha</t>
  </si>
  <si>
    <t>120809</t>
  </si>
  <si>
    <t>Yauli</t>
  </si>
  <si>
    <t>120810</t>
  </si>
  <si>
    <t xml:space="preserve">1209 </t>
  </si>
  <si>
    <t>Chupaca</t>
  </si>
  <si>
    <t>120901</t>
  </si>
  <si>
    <t>Ahuac</t>
  </si>
  <si>
    <t>120902</t>
  </si>
  <si>
    <t>Chongos Bajo</t>
  </si>
  <si>
    <t>120903</t>
  </si>
  <si>
    <t>Huachac</t>
  </si>
  <si>
    <t>120904</t>
  </si>
  <si>
    <t>Huamancaca Chico</t>
  </si>
  <si>
    <t>120905</t>
  </si>
  <si>
    <t>San Juan de Iscos</t>
  </si>
  <si>
    <t>120906</t>
  </si>
  <si>
    <t>San Juan de Jarpa</t>
  </si>
  <si>
    <t>120907</t>
  </si>
  <si>
    <t>Tres de Diciembre</t>
  </si>
  <si>
    <t>120908</t>
  </si>
  <si>
    <t>120909</t>
  </si>
  <si>
    <t xml:space="preserve">1301 </t>
  </si>
  <si>
    <t>Trujillo</t>
  </si>
  <si>
    <t>130101</t>
  </si>
  <si>
    <t>130102</t>
  </si>
  <si>
    <t>Florencia de Mora</t>
  </si>
  <si>
    <t>130103</t>
  </si>
  <si>
    <t>Huanchaco</t>
  </si>
  <si>
    <t>130104</t>
  </si>
  <si>
    <t>130105</t>
  </si>
  <si>
    <t>Laredo</t>
  </si>
  <si>
    <t>130106</t>
  </si>
  <si>
    <t>Moche</t>
  </si>
  <si>
    <t>130107</t>
  </si>
  <si>
    <t>Poroto</t>
  </si>
  <si>
    <t>130108</t>
  </si>
  <si>
    <t>Salaverry</t>
  </si>
  <si>
    <t>130109</t>
  </si>
  <si>
    <t>Simbal</t>
  </si>
  <si>
    <t>130110</t>
  </si>
  <si>
    <t>Victor Larco Herrera</t>
  </si>
  <si>
    <t>130111</t>
  </si>
  <si>
    <t xml:space="preserve">1302 </t>
  </si>
  <si>
    <t>Ascope</t>
  </si>
  <si>
    <t>130201</t>
  </si>
  <si>
    <t>Chicama</t>
  </si>
  <si>
    <t>130202</t>
  </si>
  <si>
    <t>Chocope</t>
  </si>
  <si>
    <t>130203</t>
  </si>
  <si>
    <t>Magdalena de Cao</t>
  </si>
  <si>
    <t>130204</t>
  </si>
  <si>
    <t>Paijan</t>
  </si>
  <si>
    <t>130205</t>
  </si>
  <si>
    <t>Rázuri</t>
  </si>
  <si>
    <t>130206</t>
  </si>
  <si>
    <t>Santiago de Cao</t>
  </si>
  <si>
    <t>130207</t>
  </si>
  <si>
    <t>Casa Grande</t>
  </si>
  <si>
    <t>130208</t>
  </si>
  <si>
    <t xml:space="preserve">1303 </t>
  </si>
  <si>
    <t>130301</t>
  </si>
  <si>
    <t>130302</t>
  </si>
  <si>
    <t>Condormarca</t>
  </si>
  <si>
    <t>130303</t>
  </si>
  <si>
    <t>Longotea</t>
  </si>
  <si>
    <t>130304</t>
  </si>
  <si>
    <t>Uchumarca</t>
  </si>
  <si>
    <t>130305</t>
  </si>
  <si>
    <t>Ucuncha</t>
  </si>
  <si>
    <t>130306</t>
  </si>
  <si>
    <t xml:space="preserve">1304 </t>
  </si>
  <si>
    <t>Chepen</t>
  </si>
  <si>
    <t>130401</t>
  </si>
  <si>
    <t>Pacanga</t>
  </si>
  <si>
    <t>130402</t>
  </si>
  <si>
    <t>130403</t>
  </si>
  <si>
    <t xml:space="preserve">1305 </t>
  </si>
  <si>
    <t>Julcan</t>
  </si>
  <si>
    <t>130501</t>
  </si>
  <si>
    <t>Calamarca</t>
  </si>
  <si>
    <t>130502</t>
  </si>
  <si>
    <t>Carabamba</t>
  </si>
  <si>
    <t>130503</t>
  </si>
  <si>
    <t>Huaso</t>
  </si>
  <si>
    <t>130504</t>
  </si>
  <si>
    <t xml:space="preserve">1306 </t>
  </si>
  <si>
    <t>Otuzco</t>
  </si>
  <si>
    <t>130601</t>
  </si>
  <si>
    <t>Agallpampa</t>
  </si>
  <si>
    <t>130602</t>
  </si>
  <si>
    <t>Charat</t>
  </si>
  <si>
    <t>130604</t>
  </si>
  <si>
    <t>Huaranchal</t>
  </si>
  <si>
    <t>130605</t>
  </si>
  <si>
    <t>La Cuesta</t>
  </si>
  <si>
    <t>130606</t>
  </si>
  <si>
    <t>Mache</t>
  </si>
  <si>
    <t>130608</t>
  </si>
  <si>
    <t>Paranday</t>
  </si>
  <si>
    <t>130610</t>
  </si>
  <si>
    <t>Salpo</t>
  </si>
  <si>
    <t>130611</t>
  </si>
  <si>
    <t>Sinsicap</t>
  </si>
  <si>
    <t>130613</t>
  </si>
  <si>
    <t>Usquil</t>
  </si>
  <si>
    <t>130614</t>
  </si>
  <si>
    <t xml:space="preserve">1307 </t>
  </si>
  <si>
    <t>San Pedro de Lloc</t>
  </si>
  <si>
    <t>130701</t>
  </si>
  <si>
    <t>Guadalupe</t>
  </si>
  <si>
    <t>130702</t>
  </si>
  <si>
    <t>Jequetepeque</t>
  </si>
  <si>
    <t>130703</t>
  </si>
  <si>
    <t>Pacasmayo</t>
  </si>
  <si>
    <t>130704</t>
  </si>
  <si>
    <t>130705</t>
  </si>
  <si>
    <t xml:space="preserve">1308 </t>
  </si>
  <si>
    <t>Tayabamba</t>
  </si>
  <si>
    <t>130801</t>
  </si>
  <si>
    <t>Buldibuyo</t>
  </si>
  <si>
    <t>130802</t>
  </si>
  <si>
    <t>Chillia</t>
  </si>
  <si>
    <t>130803</t>
  </si>
  <si>
    <t>Huancaspata</t>
  </si>
  <si>
    <t>130804</t>
  </si>
  <si>
    <t>Huaylillas</t>
  </si>
  <si>
    <t>130805</t>
  </si>
  <si>
    <t>Huayo</t>
  </si>
  <si>
    <t>130806</t>
  </si>
  <si>
    <t>Ongon</t>
  </si>
  <si>
    <t>130807</t>
  </si>
  <si>
    <t>Parcoy</t>
  </si>
  <si>
    <t>130808</t>
  </si>
  <si>
    <t>Pataz</t>
  </si>
  <si>
    <t>130809</t>
  </si>
  <si>
    <t>Pias</t>
  </si>
  <si>
    <t>130810</t>
  </si>
  <si>
    <t>Santiago de Challas</t>
  </si>
  <si>
    <t>130811</t>
  </si>
  <si>
    <t>Taurija</t>
  </si>
  <si>
    <t>130812</t>
  </si>
  <si>
    <t>Urpay</t>
  </si>
  <si>
    <t>130813</t>
  </si>
  <si>
    <t xml:space="preserve">1309 </t>
  </si>
  <si>
    <t>Huamachuco</t>
  </si>
  <si>
    <t>130901</t>
  </si>
  <si>
    <t>Chugay</t>
  </si>
  <si>
    <t>130902</t>
  </si>
  <si>
    <t>Cochorco</t>
  </si>
  <si>
    <t>130903</t>
  </si>
  <si>
    <t>Curgos</t>
  </si>
  <si>
    <t>130904</t>
  </si>
  <si>
    <t>Marcabal</t>
  </si>
  <si>
    <t>130905</t>
  </si>
  <si>
    <t>Sanagoran</t>
  </si>
  <si>
    <t>130906</t>
  </si>
  <si>
    <t>Sarin</t>
  </si>
  <si>
    <t>130907</t>
  </si>
  <si>
    <t>Sartimbamba</t>
  </si>
  <si>
    <t>130908</t>
  </si>
  <si>
    <t xml:space="preserve">1310 </t>
  </si>
  <si>
    <t>Santiago de Chuco</t>
  </si>
  <si>
    <t>131001</t>
  </si>
  <si>
    <t>Angasmarca</t>
  </si>
  <si>
    <t>131002</t>
  </si>
  <si>
    <t>Cachicadan</t>
  </si>
  <si>
    <t>131003</t>
  </si>
  <si>
    <t>Mollebamba</t>
  </si>
  <si>
    <t>131004</t>
  </si>
  <si>
    <t>131005</t>
  </si>
  <si>
    <t>Quiruvilca</t>
  </si>
  <si>
    <t>131006</t>
  </si>
  <si>
    <t>Santa Cruz de Chuca</t>
  </si>
  <si>
    <t>131007</t>
  </si>
  <si>
    <t>Sitabamba</t>
  </si>
  <si>
    <t>131008</t>
  </si>
  <si>
    <t xml:space="preserve">1311 </t>
  </si>
  <si>
    <t>Cascas</t>
  </si>
  <si>
    <t>131101</t>
  </si>
  <si>
    <t>131102</t>
  </si>
  <si>
    <t>Marmot</t>
  </si>
  <si>
    <t>131103</t>
  </si>
  <si>
    <t>Sayapullo</t>
  </si>
  <si>
    <t>131104</t>
  </si>
  <si>
    <t xml:space="preserve">1312 </t>
  </si>
  <si>
    <t>Viru</t>
  </si>
  <si>
    <t>131201</t>
  </si>
  <si>
    <t>Chao</t>
  </si>
  <si>
    <t>131202</t>
  </si>
  <si>
    <t>Guadalupito</t>
  </si>
  <si>
    <t>131203</t>
  </si>
  <si>
    <t xml:space="preserve">1401 </t>
  </si>
  <si>
    <t>Chiclayo</t>
  </si>
  <si>
    <t>140101</t>
  </si>
  <si>
    <t>Chongoyape</t>
  </si>
  <si>
    <t>140102</t>
  </si>
  <si>
    <t>Eten</t>
  </si>
  <si>
    <t>140103</t>
  </si>
  <si>
    <t>Eten Puerto</t>
  </si>
  <si>
    <t>140104</t>
  </si>
  <si>
    <t>José Leonardo Ortiz</t>
  </si>
  <si>
    <t>140105</t>
  </si>
  <si>
    <t>La Victoria</t>
  </si>
  <si>
    <t>140106</t>
  </si>
  <si>
    <t>140107</t>
  </si>
  <si>
    <t>Monsefu</t>
  </si>
  <si>
    <t>140108</t>
  </si>
  <si>
    <t>Nueva Arica</t>
  </si>
  <si>
    <t>140109</t>
  </si>
  <si>
    <t>Oyotun</t>
  </si>
  <si>
    <t>140110</t>
  </si>
  <si>
    <t>Picsi</t>
  </si>
  <si>
    <t>140111</t>
  </si>
  <si>
    <t>Pimentel</t>
  </si>
  <si>
    <t>140112</t>
  </si>
  <si>
    <t>Reque</t>
  </si>
  <si>
    <t>140113</t>
  </si>
  <si>
    <t>140114</t>
  </si>
  <si>
    <t>Saña</t>
  </si>
  <si>
    <t>140115</t>
  </si>
  <si>
    <t>Cayalti</t>
  </si>
  <si>
    <t>140116</t>
  </si>
  <si>
    <t>Patapo</t>
  </si>
  <si>
    <t>140117</t>
  </si>
  <si>
    <t>Pomalca</t>
  </si>
  <si>
    <t>140118</t>
  </si>
  <si>
    <t>Pucala</t>
  </si>
  <si>
    <t>140119</t>
  </si>
  <si>
    <t>Tuman</t>
  </si>
  <si>
    <t>140120</t>
  </si>
  <si>
    <t xml:space="preserve">1402 </t>
  </si>
  <si>
    <t>Ferreñafe</t>
  </si>
  <si>
    <t>140201</t>
  </si>
  <si>
    <t>Cañaris</t>
  </si>
  <si>
    <t>140202</t>
  </si>
  <si>
    <t>Incahuasi</t>
  </si>
  <si>
    <t>140203</t>
  </si>
  <si>
    <t>Manuel Antonio Mesones Muro</t>
  </si>
  <si>
    <t>140204</t>
  </si>
  <si>
    <t>Pitipo</t>
  </si>
  <si>
    <t>140205</t>
  </si>
  <si>
    <t>Pueblo Nuevo</t>
  </si>
  <si>
    <t>140206</t>
  </si>
  <si>
    <t xml:space="preserve">1403 </t>
  </si>
  <si>
    <t>140301</t>
  </si>
  <si>
    <t>Chochope</t>
  </si>
  <si>
    <t>140302</t>
  </si>
  <si>
    <t>Illimo</t>
  </si>
  <si>
    <t>140303</t>
  </si>
  <si>
    <t>Jayanca</t>
  </si>
  <si>
    <t>140304</t>
  </si>
  <si>
    <t>Mochumi</t>
  </si>
  <si>
    <t>140305</t>
  </si>
  <si>
    <t>Morrope</t>
  </si>
  <si>
    <t>140306</t>
  </si>
  <si>
    <t>Motupe</t>
  </si>
  <si>
    <t>140307</t>
  </si>
  <si>
    <t>Olmos</t>
  </si>
  <si>
    <t>140308</t>
  </si>
  <si>
    <t>Pacora</t>
  </si>
  <si>
    <t>140309</t>
  </si>
  <si>
    <t>140310</t>
  </si>
  <si>
    <t>140311</t>
  </si>
  <si>
    <t>Tucume</t>
  </si>
  <si>
    <t>140312</t>
  </si>
  <si>
    <t xml:space="preserve">1501 </t>
  </si>
  <si>
    <t>150101</t>
  </si>
  <si>
    <t>Ancón</t>
  </si>
  <si>
    <t>150102</t>
  </si>
  <si>
    <t>Ate</t>
  </si>
  <si>
    <t>150103</t>
  </si>
  <si>
    <t>Barranco</t>
  </si>
  <si>
    <t>150104</t>
  </si>
  <si>
    <t>Breña</t>
  </si>
  <si>
    <t>150105</t>
  </si>
  <si>
    <t>Carabayllo</t>
  </si>
  <si>
    <t>150106</t>
  </si>
  <si>
    <t>Chaclacayo</t>
  </si>
  <si>
    <t>150107</t>
  </si>
  <si>
    <t>Chorrillos</t>
  </si>
  <si>
    <t>150108</t>
  </si>
  <si>
    <t>Cieneguilla</t>
  </si>
  <si>
    <t>150109</t>
  </si>
  <si>
    <t>150110</t>
  </si>
  <si>
    <t>El Agustino</t>
  </si>
  <si>
    <t>150111</t>
  </si>
  <si>
    <t>Independencia</t>
  </si>
  <si>
    <t>150112</t>
  </si>
  <si>
    <t>Jesús María</t>
  </si>
  <si>
    <t>150113</t>
  </si>
  <si>
    <t>La Molina</t>
  </si>
  <si>
    <t>150114</t>
  </si>
  <si>
    <t>150115</t>
  </si>
  <si>
    <t>Lince</t>
  </si>
  <si>
    <t>150116</t>
  </si>
  <si>
    <t>Los Olivos</t>
  </si>
  <si>
    <t>150117</t>
  </si>
  <si>
    <t>Lurigancho</t>
  </si>
  <si>
    <t>150118</t>
  </si>
  <si>
    <t>Lurin</t>
  </si>
  <si>
    <t>150119</t>
  </si>
  <si>
    <t>Magdalena del Mar</t>
  </si>
  <si>
    <t>150120</t>
  </si>
  <si>
    <t>150121</t>
  </si>
  <si>
    <t>Miraflores</t>
  </si>
  <si>
    <t>150122</t>
  </si>
  <si>
    <t>Pachacamac</t>
  </si>
  <si>
    <t>150123</t>
  </si>
  <si>
    <t>Pucusana</t>
  </si>
  <si>
    <t>150124</t>
  </si>
  <si>
    <t>Puente Piedra</t>
  </si>
  <si>
    <t>150125</t>
  </si>
  <si>
    <t>Punta Hermosa</t>
  </si>
  <si>
    <t>150126</t>
  </si>
  <si>
    <t>Punta Negra</t>
  </si>
  <si>
    <t>150127</t>
  </si>
  <si>
    <t>Rímac</t>
  </si>
  <si>
    <t>150128</t>
  </si>
  <si>
    <t>San Bartolo</t>
  </si>
  <si>
    <t>150129</t>
  </si>
  <si>
    <t>San Borja</t>
  </si>
  <si>
    <t>150130</t>
  </si>
  <si>
    <t>150131</t>
  </si>
  <si>
    <t>San Juan de Lurigancho</t>
  </si>
  <si>
    <t>150132</t>
  </si>
  <si>
    <t>San Juan de Miraflores</t>
  </si>
  <si>
    <t>150133</t>
  </si>
  <si>
    <t>San Luis</t>
  </si>
  <si>
    <t>150134</t>
  </si>
  <si>
    <t>San Martín de Porres</t>
  </si>
  <si>
    <t>150135</t>
  </si>
  <si>
    <t>150136</t>
  </si>
  <si>
    <t>Santa Anita</t>
  </si>
  <si>
    <t>150137</t>
  </si>
  <si>
    <t>Santa María del Mar</t>
  </si>
  <si>
    <t>150138</t>
  </si>
  <si>
    <t>150139</t>
  </si>
  <si>
    <t>Santiago de Surco</t>
  </si>
  <si>
    <t>150140</t>
  </si>
  <si>
    <t>Surquillo</t>
  </si>
  <si>
    <t>150141</t>
  </si>
  <si>
    <t>Villa El Salvador</t>
  </si>
  <si>
    <t>150142</t>
  </si>
  <si>
    <t>Villa María del Triunfo</t>
  </si>
  <si>
    <t>150143</t>
  </si>
  <si>
    <t xml:space="preserve">1502 </t>
  </si>
  <si>
    <t>Barranca</t>
  </si>
  <si>
    <t>150201</t>
  </si>
  <si>
    <t>Paramonga</t>
  </si>
  <si>
    <t>150202</t>
  </si>
  <si>
    <t>Pativilca</t>
  </si>
  <si>
    <t>150203</t>
  </si>
  <si>
    <t>Supe</t>
  </si>
  <si>
    <t>150204</t>
  </si>
  <si>
    <t>Supe Puerto</t>
  </si>
  <si>
    <t>150205</t>
  </si>
  <si>
    <t xml:space="preserve">1503 </t>
  </si>
  <si>
    <t>Cajatambo</t>
  </si>
  <si>
    <t>150301</t>
  </si>
  <si>
    <t>Copa</t>
  </si>
  <si>
    <t>150302</t>
  </si>
  <si>
    <t>Gorgor</t>
  </si>
  <si>
    <t>150303</t>
  </si>
  <si>
    <t>Huancapon</t>
  </si>
  <si>
    <t>150304</t>
  </si>
  <si>
    <t>Manas</t>
  </si>
  <si>
    <t>150305</t>
  </si>
  <si>
    <t xml:space="preserve">1504 </t>
  </si>
  <si>
    <t>Canta</t>
  </si>
  <si>
    <t>150401</t>
  </si>
  <si>
    <t>Arahuay</t>
  </si>
  <si>
    <t>150402</t>
  </si>
  <si>
    <t>Huamantanga</t>
  </si>
  <si>
    <t>150403</t>
  </si>
  <si>
    <t>Huaros</t>
  </si>
  <si>
    <t>150404</t>
  </si>
  <si>
    <t>Lachaqui</t>
  </si>
  <si>
    <t>150405</t>
  </si>
  <si>
    <t>150406</t>
  </si>
  <si>
    <t>Santa Rosa de Quives</t>
  </si>
  <si>
    <t>150407</t>
  </si>
  <si>
    <t xml:space="preserve">1505 </t>
  </si>
  <si>
    <t>San Vicente de Cañete</t>
  </si>
  <si>
    <t>150501</t>
  </si>
  <si>
    <t>Asia</t>
  </si>
  <si>
    <t>150502</t>
  </si>
  <si>
    <t>Calango</t>
  </si>
  <si>
    <t>150503</t>
  </si>
  <si>
    <t>Cerro Azul</t>
  </si>
  <si>
    <t>150504</t>
  </si>
  <si>
    <t>Chilca</t>
  </si>
  <si>
    <t>150505</t>
  </si>
  <si>
    <t>Coayllo</t>
  </si>
  <si>
    <t>150506</t>
  </si>
  <si>
    <t>Imperial</t>
  </si>
  <si>
    <t>150507</t>
  </si>
  <si>
    <t>Lunahuana</t>
  </si>
  <si>
    <t>150508</t>
  </si>
  <si>
    <t>Mala</t>
  </si>
  <si>
    <t>150509</t>
  </si>
  <si>
    <t>Nuevo Imperial</t>
  </si>
  <si>
    <t>150510</t>
  </si>
  <si>
    <t>Pacaran</t>
  </si>
  <si>
    <t>150511</t>
  </si>
  <si>
    <t>Quilmana</t>
  </si>
  <si>
    <t>150512</t>
  </si>
  <si>
    <t>150513</t>
  </si>
  <si>
    <t>150514</t>
  </si>
  <si>
    <t>Santa Cruz de Flores</t>
  </si>
  <si>
    <t>150515</t>
  </si>
  <si>
    <t>Zúñiga</t>
  </si>
  <si>
    <t>150516</t>
  </si>
  <si>
    <t xml:space="preserve">1506 </t>
  </si>
  <si>
    <t>Huaral</t>
  </si>
  <si>
    <t>150601</t>
  </si>
  <si>
    <t>Atavillos Alto</t>
  </si>
  <si>
    <t>150602</t>
  </si>
  <si>
    <t>Atavillos Bajo</t>
  </si>
  <si>
    <t>150603</t>
  </si>
  <si>
    <t>Aucallama</t>
  </si>
  <si>
    <t>150604</t>
  </si>
  <si>
    <t>Chancay</t>
  </si>
  <si>
    <t>150605</t>
  </si>
  <si>
    <t>Ihuari</t>
  </si>
  <si>
    <t>150606</t>
  </si>
  <si>
    <t>Lampian</t>
  </si>
  <si>
    <t>150607</t>
  </si>
  <si>
    <t>Pacaraos</t>
  </si>
  <si>
    <t>150608</t>
  </si>
  <si>
    <t>San Miguel de Acos</t>
  </si>
  <si>
    <t>150609</t>
  </si>
  <si>
    <t>Santa Cruz de Andamarca</t>
  </si>
  <si>
    <t>150610</t>
  </si>
  <si>
    <t>Sumbilca</t>
  </si>
  <si>
    <t>150611</t>
  </si>
  <si>
    <t>Veintisiete de Noviembre</t>
  </si>
  <si>
    <t>150612</t>
  </si>
  <si>
    <t xml:space="preserve">1507 </t>
  </si>
  <si>
    <t>Matucana</t>
  </si>
  <si>
    <t>150701</t>
  </si>
  <si>
    <t>Antioquia</t>
  </si>
  <si>
    <t>150702</t>
  </si>
  <si>
    <t>Callahuanca</t>
  </si>
  <si>
    <t>150703</t>
  </si>
  <si>
    <t>Carampoma</t>
  </si>
  <si>
    <t>150704</t>
  </si>
  <si>
    <t>Chicla</t>
  </si>
  <si>
    <t>150705</t>
  </si>
  <si>
    <t>150706</t>
  </si>
  <si>
    <t>Huachupampa</t>
  </si>
  <si>
    <t>150707</t>
  </si>
  <si>
    <t>Huanza</t>
  </si>
  <si>
    <t>150708</t>
  </si>
  <si>
    <t>Huarochiri</t>
  </si>
  <si>
    <t>150709</t>
  </si>
  <si>
    <t>Lahuaytambo</t>
  </si>
  <si>
    <t>150710</t>
  </si>
  <si>
    <t>Langa</t>
  </si>
  <si>
    <t>150711</t>
  </si>
  <si>
    <t>Laraos</t>
  </si>
  <si>
    <t>150712</t>
  </si>
  <si>
    <t>Mariatana</t>
  </si>
  <si>
    <t>150713</t>
  </si>
  <si>
    <t>Ricardo Palma</t>
  </si>
  <si>
    <t>150714</t>
  </si>
  <si>
    <t>San Andrés de Tupicocha</t>
  </si>
  <si>
    <t>150715</t>
  </si>
  <si>
    <t>150716</t>
  </si>
  <si>
    <t>San Bartolomé</t>
  </si>
  <si>
    <t>150717</t>
  </si>
  <si>
    <t>San Damian</t>
  </si>
  <si>
    <t>150718</t>
  </si>
  <si>
    <t>San Juan de Iris</t>
  </si>
  <si>
    <t>150719</t>
  </si>
  <si>
    <t>San Juan de Tantaranche</t>
  </si>
  <si>
    <t>150720</t>
  </si>
  <si>
    <t>San Lorenzo de Quinti</t>
  </si>
  <si>
    <t>150721</t>
  </si>
  <si>
    <t>San Mateo</t>
  </si>
  <si>
    <t>150722</t>
  </si>
  <si>
    <t>San Mateo de Otao</t>
  </si>
  <si>
    <t>150723</t>
  </si>
  <si>
    <t>San Pedro de Casta</t>
  </si>
  <si>
    <t>150724</t>
  </si>
  <si>
    <t>San Pedro de Huancayre</t>
  </si>
  <si>
    <t>150725</t>
  </si>
  <si>
    <t>Sangallaya</t>
  </si>
  <si>
    <t>150726</t>
  </si>
  <si>
    <t>Santa Cruz de Cocachacra</t>
  </si>
  <si>
    <t>150727</t>
  </si>
  <si>
    <t>Santa Eulalia</t>
  </si>
  <si>
    <t>150728</t>
  </si>
  <si>
    <t>Santiago de Anchucaya</t>
  </si>
  <si>
    <t>150729</t>
  </si>
  <si>
    <t>Santiago de Tuna</t>
  </si>
  <si>
    <t>150730</t>
  </si>
  <si>
    <t>Santo Domingo de Los Olleros</t>
  </si>
  <si>
    <t>150731</t>
  </si>
  <si>
    <t>Surco</t>
  </si>
  <si>
    <t>150732</t>
  </si>
  <si>
    <t xml:space="preserve">1508 </t>
  </si>
  <si>
    <t>Huacho</t>
  </si>
  <si>
    <t>150801</t>
  </si>
  <si>
    <t>Ambar</t>
  </si>
  <si>
    <t>150802</t>
  </si>
  <si>
    <t>Caleta de Carquin</t>
  </si>
  <si>
    <t>150803</t>
  </si>
  <si>
    <t>Checras</t>
  </si>
  <si>
    <t>150804</t>
  </si>
  <si>
    <t>Hualmay</t>
  </si>
  <si>
    <t>150805</t>
  </si>
  <si>
    <t>Huaura</t>
  </si>
  <si>
    <t>150806</t>
  </si>
  <si>
    <t>150807</t>
  </si>
  <si>
    <t>Paccho</t>
  </si>
  <si>
    <t>150808</t>
  </si>
  <si>
    <t>Santa Leonor</t>
  </si>
  <si>
    <t>150809</t>
  </si>
  <si>
    <t>Santa María</t>
  </si>
  <si>
    <t>150810</t>
  </si>
  <si>
    <t>Sayan</t>
  </si>
  <si>
    <t>150811</t>
  </si>
  <si>
    <t>Vegueta</t>
  </si>
  <si>
    <t>150812</t>
  </si>
  <si>
    <t xml:space="preserve">1509 </t>
  </si>
  <si>
    <t>Oyon</t>
  </si>
  <si>
    <t>150901</t>
  </si>
  <si>
    <t>Andajes</t>
  </si>
  <si>
    <t>150902</t>
  </si>
  <si>
    <t>Caujul</t>
  </si>
  <si>
    <t>150903</t>
  </si>
  <si>
    <t>Cochamarca</t>
  </si>
  <si>
    <t>150904</t>
  </si>
  <si>
    <t>Navan</t>
  </si>
  <si>
    <t>150905</t>
  </si>
  <si>
    <t>Pachangara</t>
  </si>
  <si>
    <t>150906</t>
  </si>
  <si>
    <t xml:space="preserve">1510 </t>
  </si>
  <si>
    <t>Yauyos</t>
  </si>
  <si>
    <t>151001</t>
  </si>
  <si>
    <t>Alis</t>
  </si>
  <si>
    <t>151002</t>
  </si>
  <si>
    <t>Allauca</t>
  </si>
  <si>
    <t>151003</t>
  </si>
  <si>
    <t>151004</t>
  </si>
  <si>
    <t>151005</t>
  </si>
  <si>
    <t>Cacra</t>
  </si>
  <si>
    <t>151006</t>
  </si>
  <si>
    <t>Carania</t>
  </si>
  <si>
    <t>151007</t>
  </si>
  <si>
    <t>Catahuasi</t>
  </si>
  <si>
    <t>151008</t>
  </si>
  <si>
    <t>Chocos</t>
  </si>
  <si>
    <t>151009</t>
  </si>
  <si>
    <t>Cochas</t>
  </si>
  <si>
    <t>151010</t>
  </si>
  <si>
    <t>Colonia</t>
  </si>
  <si>
    <t>151011</t>
  </si>
  <si>
    <t>Hongos</t>
  </si>
  <si>
    <t>151012</t>
  </si>
  <si>
    <t>Huampara</t>
  </si>
  <si>
    <t>151013</t>
  </si>
  <si>
    <t>Huancaya</t>
  </si>
  <si>
    <t>151014</t>
  </si>
  <si>
    <t>Huangascar</t>
  </si>
  <si>
    <t>151015</t>
  </si>
  <si>
    <t>Huantan</t>
  </si>
  <si>
    <t>151016</t>
  </si>
  <si>
    <t>Huañec</t>
  </si>
  <si>
    <t>151017</t>
  </si>
  <si>
    <t>151018</t>
  </si>
  <si>
    <t>Lincha</t>
  </si>
  <si>
    <t>151019</t>
  </si>
  <si>
    <t>Madean</t>
  </si>
  <si>
    <t>151020</t>
  </si>
  <si>
    <t>151021</t>
  </si>
  <si>
    <t>Omas</t>
  </si>
  <si>
    <t>151022</t>
  </si>
  <si>
    <t>Putinza</t>
  </si>
  <si>
    <t>151023</t>
  </si>
  <si>
    <t>Quinches</t>
  </si>
  <si>
    <t>151024</t>
  </si>
  <si>
    <t>Quinocay</t>
  </si>
  <si>
    <t>151025</t>
  </si>
  <si>
    <t>San Joaquín</t>
  </si>
  <si>
    <t>151026</t>
  </si>
  <si>
    <t>San Pedro de Pilas</t>
  </si>
  <si>
    <t>151027</t>
  </si>
  <si>
    <t>Tanta</t>
  </si>
  <si>
    <t>151028</t>
  </si>
  <si>
    <t>Tauripampa</t>
  </si>
  <si>
    <t>151029</t>
  </si>
  <si>
    <t>Tomas</t>
  </si>
  <si>
    <t>151030</t>
  </si>
  <si>
    <t>Tupe</t>
  </si>
  <si>
    <t>151031</t>
  </si>
  <si>
    <t>Viñac</t>
  </si>
  <si>
    <t>151032</t>
  </si>
  <si>
    <t>Vitis</t>
  </si>
  <si>
    <t>151033</t>
  </si>
  <si>
    <t xml:space="preserve">1601 </t>
  </si>
  <si>
    <t>Iquitos</t>
  </si>
  <si>
    <t>160101</t>
  </si>
  <si>
    <t>Alto Nanay</t>
  </si>
  <si>
    <t>160102</t>
  </si>
  <si>
    <t>Fernando Lores</t>
  </si>
  <si>
    <t>160103</t>
  </si>
  <si>
    <t>Indiana</t>
  </si>
  <si>
    <t>160104</t>
  </si>
  <si>
    <t>Las Amazonas</t>
  </si>
  <si>
    <t>160105</t>
  </si>
  <si>
    <t>Mazan</t>
  </si>
  <si>
    <t>160106</t>
  </si>
  <si>
    <t>Napo</t>
  </si>
  <si>
    <t>160107</t>
  </si>
  <si>
    <t>Punchana</t>
  </si>
  <si>
    <t>160108</t>
  </si>
  <si>
    <t>Torres Causana</t>
  </si>
  <si>
    <t>160110</t>
  </si>
  <si>
    <t>160112</t>
  </si>
  <si>
    <t>San Juan Bautista</t>
  </si>
  <si>
    <t>160113</t>
  </si>
  <si>
    <t xml:space="preserve">1602 </t>
  </si>
  <si>
    <t>Yurimaguas</t>
  </si>
  <si>
    <t>160201</t>
  </si>
  <si>
    <t>Balsapuerto</t>
  </si>
  <si>
    <t>160202</t>
  </si>
  <si>
    <t>Jeberos</t>
  </si>
  <si>
    <t>160205</t>
  </si>
  <si>
    <t>160206</t>
  </si>
  <si>
    <t>160210</t>
  </si>
  <si>
    <t>Teniente Cesar López Rojas</t>
  </si>
  <si>
    <t>160211</t>
  </si>
  <si>
    <t xml:space="preserve">1603 </t>
  </si>
  <si>
    <t>Nauta</t>
  </si>
  <si>
    <t>160301</t>
  </si>
  <si>
    <t>Parinari</t>
  </si>
  <si>
    <t>160302</t>
  </si>
  <si>
    <t>Tigre</t>
  </si>
  <si>
    <t>160303</t>
  </si>
  <si>
    <t>Trompeteros</t>
  </si>
  <si>
    <t>160304</t>
  </si>
  <si>
    <t>Urarinas</t>
  </si>
  <si>
    <t>160305</t>
  </si>
  <si>
    <t xml:space="preserve">1604 </t>
  </si>
  <si>
    <t>Ramón Castilla</t>
  </si>
  <si>
    <t>160401</t>
  </si>
  <si>
    <t>Pebas</t>
  </si>
  <si>
    <t>160402</t>
  </si>
  <si>
    <t>Yavari</t>
  </si>
  <si>
    <t>160403</t>
  </si>
  <si>
    <t>160404</t>
  </si>
  <si>
    <t xml:space="preserve">1605 </t>
  </si>
  <si>
    <t>Requena</t>
  </si>
  <si>
    <t>160501</t>
  </si>
  <si>
    <t>Alto Tapiche</t>
  </si>
  <si>
    <t>160502</t>
  </si>
  <si>
    <t>Capelo</t>
  </si>
  <si>
    <t>160503</t>
  </si>
  <si>
    <t>Emilio San Martín</t>
  </si>
  <si>
    <t>160504</t>
  </si>
  <si>
    <t>Maquia</t>
  </si>
  <si>
    <t>160505</t>
  </si>
  <si>
    <t>Puinahua</t>
  </si>
  <si>
    <t>160506</t>
  </si>
  <si>
    <t>Saquena</t>
  </si>
  <si>
    <t>160507</t>
  </si>
  <si>
    <t>Soplin</t>
  </si>
  <si>
    <t>160508</t>
  </si>
  <si>
    <t>Tapiche</t>
  </si>
  <si>
    <t>160509</t>
  </si>
  <si>
    <t>Jenaro Herrera</t>
  </si>
  <si>
    <t>160510</t>
  </si>
  <si>
    <t>Yaquerana</t>
  </si>
  <si>
    <t>160511</t>
  </si>
  <si>
    <t xml:space="preserve">1606 </t>
  </si>
  <si>
    <t>Contamana</t>
  </si>
  <si>
    <t>160601</t>
  </si>
  <si>
    <t>Inahuaya</t>
  </si>
  <si>
    <t>160602</t>
  </si>
  <si>
    <t>Padre Márquez</t>
  </si>
  <si>
    <t>160603</t>
  </si>
  <si>
    <t>160604</t>
  </si>
  <si>
    <t>Sarayacu</t>
  </si>
  <si>
    <t>160605</t>
  </si>
  <si>
    <t>Vargas Guerra</t>
  </si>
  <si>
    <t>160606</t>
  </si>
  <si>
    <t xml:space="preserve">1607 </t>
  </si>
  <si>
    <t>160701</t>
  </si>
  <si>
    <t>Cahuapanas</t>
  </si>
  <si>
    <t>160702</t>
  </si>
  <si>
    <t>Manseriche</t>
  </si>
  <si>
    <t>160703</t>
  </si>
  <si>
    <t>Morona</t>
  </si>
  <si>
    <t>160704</t>
  </si>
  <si>
    <t>Pastaza</t>
  </si>
  <si>
    <t>160705</t>
  </si>
  <si>
    <t>Andoas</t>
  </si>
  <si>
    <t>160706</t>
  </si>
  <si>
    <t xml:space="preserve">1608 </t>
  </si>
  <si>
    <t>160801</t>
  </si>
  <si>
    <t>Rosa Panduro</t>
  </si>
  <si>
    <t>160802</t>
  </si>
  <si>
    <t>Teniente Manuel Clavero</t>
  </si>
  <si>
    <t>160803</t>
  </si>
  <si>
    <t>Yaguas</t>
  </si>
  <si>
    <t>160804</t>
  </si>
  <si>
    <t xml:space="preserve">1701 </t>
  </si>
  <si>
    <t>Tambopata</t>
  </si>
  <si>
    <t>170101</t>
  </si>
  <si>
    <t>Inambari</t>
  </si>
  <si>
    <t>170102</t>
  </si>
  <si>
    <t>Las Piedras</t>
  </si>
  <si>
    <t>170103</t>
  </si>
  <si>
    <t>Laberinto</t>
  </si>
  <si>
    <t>170104</t>
  </si>
  <si>
    <t xml:space="preserve">1702 </t>
  </si>
  <si>
    <t>Manu</t>
  </si>
  <si>
    <t>170201</t>
  </si>
  <si>
    <t>Fitzcarrald</t>
  </si>
  <si>
    <t>170202</t>
  </si>
  <si>
    <t>170203</t>
  </si>
  <si>
    <t>Huepetuhe</t>
  </si>
  <si>
    <t>170204</t>
  </si>
  <si>
    <t xml:space="preserve">1703 </t>
  </si>
  <si>
    <t>Iñapari</t>
  </si>
  <si>
    <t>170301</t>
  </si>
  <si>
    <t>Iberia</t>
  </si>
  <si>
    <t>170302</t>
  </si>
  <si>
    <t>Tahuamanu</t>
  </si>
  <si>
    <t>170303</t>
  </si>
  <si>
    <t xml:space="preserve">1801 </t>
  </si>
  <si>
    <t>180101</t>
  </si>
  <si>
    <t>Carumas</t>
  </si>
  <si>
    <t>180102</t>
  </si>
  <si>
    <t>Cuchumbaya</t>
  </si>
  <si>
    <t>180103</t>
  </si>
  <si>
    <t>Samegua</t>
  </si>
  <si>
    <t>180104</t>
  </si>
  <si>
    <t>180105</t>
  </si>
  <si>
    <t>Torata</t>
  </si>
  <si>
    <t>180106</t>
  </si>
  <si>
    <t xml:space="preserve">1802 </t>
  </si>
  <si>
    <t>Omate</t>
  </si>
  <si>
    <t>180201</t>
  </si>
  <si>
    <t>Chojata</t>
  </si>
  <si>
    <t>180202</t>
  </si>
  <si>
    <t>Coalaque</t>
  </si>
  <si>
    <t>180203</t>
  </si>
  <si>
    <t>Ichuña</t>
  </si>
  <si>
    <t>180204</t>
  </si>
  <si>
    <t>La Capilla</t>
  </si>
  <si>
    <t>180205</t>
  </si>
  <si>
    <t>Lloque</t>
  </si>
  <si>
    <t>180206</t>
  </si>
  <si>
    <t>Matalaque</t>
  </si>
  <si>
    <t>180207</t>
  </si>
  <si>
    <t>Puquina</t>
  </si>
  <si>
    <t>180208</t>
  </si>
  <si>
    <t>Quinistaquillas</t>
  </si>
  <si>
    <t>180209</t>
  </si>
  <si>
    <t>Ubinas</t>
  </si>
  <si>
    <t>180210</t>
  </si>
  <si>
    <t>Yunga</t>
  </si>
  <si>
    <t>180211</t>
  </si>
  <si>
    <t xml:space="preserve">1803 </t>
  </si>
  <si>
    <t>Ilo</t>
  </si>
  <si>
    <t>180301</t>
  </si>
  <si>
    <t>El Algarrobal</t>
  </si>
  <si>
    <t>180302</t>
  </si>
  <si>
    <t>Pacocha</t>
  </si>
  <si>
    <t>180303</t>
  </si>
  <si>
    <t xml:space="preserve">19  </t>
  </si>
  <si>
    <t xml:space="preserve">1901 </t>
  </si>
  <si>
    <t>Chaupimarca</t>
  </si>
  <si>
    <t>190101</t>
  </si>
  <si>
    <t>Huachon</t>
  </si>
  <si>
    <t>190102</t>
  </si>
  <si>
    <t>Huariaca</t>
  </si>
  <si>
    <t>190103</t>
  </si>
  <si>
    <t>Huayllay</t>
  </si>
  <si>
    <t>190104</t>
  </si>
  <si>
    <t>Ninacaca</t>
  </si>
  <si>
    <t>190105</t>
  </si>
  <si>
    <t>Pallanchacra</t>
  </si>
  <si>
    <t>190106</t>
  </si>
  <si>
    <t>190107</t>
  </si>
  <si>
    <t>San Francisco de Asís de Yarusyacan</t>
  </si>
  <si>
    <t>190108</t>
  </si>
  <si>
    <t>Simon Bolívar</t>
  </si>
  <si>
    <t>190109</t>
  </si>
  <si>
    <t>Ticlacayan</t>
  </si>
  <si>
    <t>190110</t>
  </si>
  <si>
    <t>Tinyahuarco</t>
  </si>
  <si>
    <t>190111</t>
  </si>
  <si>
    <t>Vicco</t>
  </si>
  <si>
    <t>190112</t>
  </si>
  <si>
    <t>Yanacancha</t>
  </si>
  <si>
    <t>190113</t>
  </si>
  <si>
    <t xml:space="preserve">1902 </t>
  </si>
  <si>
    <t>Yanahuanca</t>
  </si>
  <si>
    <t>190201</t>
  </si>
  <si>
    <t>Chacayan</t>
  </si>
  <si>
    <t>190202</t>
  </si>
  <si>
    <t>Goyllarisquizga</t>
  </si>
  <si>
    <t>190203</t>
  </si>
  <si>
    <t>Paucar</t>
  </si>
  <si>
    <t>190204</t>
  </si>
  <si>
    <t>San Pedro de Pillao</t>
  </si>
  <si>
    <t>190205</t>
  </si>
  <si>
    <t>Santa Ana de Tusi</t>
  </si>
  <si>
    <t>190206</t>
  </si>
  <si>
    <t>Tapuc</t>
  </si>
  <si>
    <t>190207</t>
  </si>
  <si>
    <t>Vilcabamba</t>
  </si>
  <si>
    <t>190208</t>
  </si>
  <si>
    <t xml:space="preserve">1903 </t>
  </si>
  <si>
    <t>190301</t>
  </si>
  <si>
    <t>Chontabamba</t>
  </si>
  <si>
    <t>190302</t>
  </si>
  <si>
    <t>190303</t>
  </si>
  <si>
    <t>Palcazu</t>
  </si>
  <si>
    <t>190304</t>
  </si>
  <si>
    <t>Pozuzo</t>
  </si>
  <si>
    <t>190305</t>
  </si>
  <si>
    <t>Puerto Bermúdez</t>
  </si>
  <si>
    <t>190306</t>
  </si>
  <si>
    <t>Villa Rica</t>
  </si>
  <si>
    <t>190307</t>
  </si>
  <si>
    <t>Constitución</t>
  </si>
  <si>
    <t>190308</t>
  </si>
  <si>
    <t xml:space="preserve">2001 </t>
  </si>
  <si>
    <t>200101</t>
  </si>
  <si>
    <t>200104</t>
  </si>
  <si>
    <t>Catacaos</t>
  </si>
  <si>
    <t>200105</t>
  </si>
  <si>
    <t>Cura Mori</t>
  </si>
  <si>
    <t>200107</t>
  </si>
  <si>
    <t>El Tallan</t>
  </si>
  <si>
    <t>200108</t>
  </si>
  <si>
    <t>La Arena</t>
  </si>
  <si>
    <t>200109</t>
  </si>
  <si>
    <t>200110</t>
  </si>
  <si>
    <t>Las Lomas</t>
  </si>
  <si>
    <t>200111</t>
  </si>
  <si>
    <t>Tambo Grande</t>
  </si>
  <si>
    <t>200114</t>
  </si>
  <si>
    <t>Veintiseis de Octubre</t>
  </si>
  <si>
    <t>200115</t>
  </si>
  <si>
    <t xml:space="preserve">2002 </t>
  </si>
  <si>
    <t>Ayabaca</t>
  </si>
  <si>
    <t>200201</t>
  </si>
  <si>
    <t>Frias</t>
  </si>
  <si>
    <t>200202</t>
  </si>
  <si>
    <t>Jilili</t>
  </si>
  <si>
    <t>200203</t>
  </si>
  <si>
    <t>Lagunas</t>
  </si>
  <si>
    <t>200204</t>
  </si>
  <si>
    <t>Montero</t>
  </si>
  <si>
    <t>200205</t>
  </si>
  <si>
    <t>Pacaipampa</t>
  </si>
  <si>
    <t>200206</t>
  </si>
  <si>
    <t>Paimas</t>
  </si>
  <si>
    <t>200207</t>
  </si>
  <si>
    <t>Sapillica</t>
  </si>
  <si>
    <t>200208</t>
  </si>
  <si>
    <t>Sicchez</t>
  </si>
  <si>
    <t>200209</t>
  </si>
  <si>
    <t>Suyo</t>
  </si>
  <si>
    <t>200210</t>
  </si>
  <si>
    <t xml:space="preserve">2003 </t>
  </si>
  <si>
    <t>Huancabamba</t>
  </si>
  <si>
    <t>200301</t>
  </si>
  <si>
    <t>Canchaque</t>
  </si>
  <si>
    <t>200302</t>
  </si>
  <si>
    <t>El Carmen de la Frontera</t>
  </si>
  <si>
    <t>200303</t>
  </si>
  <si>
    <t>Huarmaca</t>
  </si>
  <si>
    <t>200304</t>
  </si>
  <si>
    <t>Lalaquiz</t>
  </si>
  <si>
    <t>200305</t>
  </si>
  <si>
    <t>San Miguel de El Faique</t>
  </si>
  <si>
    <t>200306</t>
  </si>
  <si>
    <t>Sondor</t>
  </si>
  <si>
    <t>200307</t>
  </si>
  <si>
    <t>Sondorillo</t>
  </si>
  <si>
    <t>200308</t>
  </si>
  <si>
    <t xml:space="preserve">2004 </t>
  </si>
  <si>
    <t>Chulucanas</t>
  </si>
  <si>
    <t>200401</t>
  </si>
  <si>
    <t>200402</t>
  </si>
  <si>
    <t>Chalaco</t>
  </si>
  <si>
    <t>200403</t>
  </si>
  <si>
    <t>La Matanza</t>
  </si>
  <si>
    <t>200404</t>
  </si>
  <si>
    <t>Morropon</t>
  </si>
  <si>
    <t>200405</t>
  </si>
  <si>
    <t>200406</t>
  </si>
  <si>
    <t>San Juan de Bigote</t>
  </si>
  <si>
    <t>200407</t>
  </si>
  <si>
    <t>Santa Catalina de Mossa</t>
  </si>
  <si>
    <t>200408</t>
  </si>
  <si>
    <t>Santo Domingo</t>
  </si>
  <si>
    <t>200409</t>
  </si>
  <si>
    <t>Yamango</t>
  </si>
  <si>
    <t>200410</t>
  </si>
  <si>
    <t xml:space="preserve">2005 </t>
  </si>
  <si>
    <t>Paita</t>
  </si>
  <si>
    <t>200501</t>
  </si>
  <si>
    <t>Amotape</t>
  </si>
  <si>
    <t>200502</t>
  </si>
  <si>
    <t>Arenal</t>
  </si>
  <si>
    <t>200503</t>
  </si>
  <si>
    <t>Colan</t>
  </si>
  <si>
    <t>200504</t>
  </si>
  <si>
    <t>La Huaca</t>
  </si>
  <si>
    <t>200505</t>
  </si>
  <si>
    <t>Tamarindo</t>
  </si>
  <si>
    <t>200506</t>
  </si>
  <si>
    <t>Vichayal</t>
  </si>
  <si>
    <t>200507</t>
  </si>
  <si>
    <t xml:space="preserve">2006 </t>
  </si>
  <si>
    <t>Sullana</t>
  </si>
  <si>
    <t>200601</t>
  </si>
  <si>
    <t>200602</t>
  </si>
  <si>
    <t>Ignacio Escudero</t>
  </si>
  <si>
    <t>200603</t>
  </si>
  <si>
    <t>Lancones</t>
  </si>
  <si>
    <t>200604</t>
  </si>
  <si>
    <t>Marcavelica</t>
  </si>
  <si>
    <t>200605</t>
  </si>
  <si>
    <t>Miguel Checa</t>
  </si>
  <si>
    <t>200606</t>
  </si>
  <si>
    <t>Querecotillo</t>
  </si>
  <si>
    <t>200607</t>
  </si>
  <si>
    <t>Salitral</t>
  </si>
  <si>
    <t>200608</t>
  </si>
  <si>
    <t xml:space="preserve">2007 </t>
  </si>
  <si>
    <t>Pariñas</t>
  </si>
  <si>
    <t>200701</t>
  </si>
  <si>
    <t>El Alto</t>
  </si>
  <si>
    <t>200702</t>
  </si>
  <si>
    <t>La Brea</t>
  </si>
  <si>
    <t>200703</t>
  </si>
  <si>
    <t>Lobitos</t>
  </si>
  <si>
    <t>200704</t>
  </si>
  <si>
    <t>Los Organos</t>
  </si>
  <si>
    <t>200705</t>
  </si>
  <si>
    <t>Mancora</t>
  </si>
  <si>
    <t>200706</t>
  </si>
  <si>
    <t xml:space="preserve">2008 </t>
  </si>
  <si>
    <t>Sechura</t>
  </si>
  <si>
    <t>200801</t>
  </si>
  <si>
    <t>Bellavista de la Unión</t>
  </si>
  <si>
    <t>200802</t>
  </si>
  <si>
    <t>Bernal</t>
  </si>
  <si>
    <t>200803</t>
  </si>
  <si>
    <t>Cristo Nos Valga</t>
  </si>
  <si>
    <t>200804</t>
  </si>
  <si>
    <t>Vice</t>
  </si>
  <si>
    <t>200805</t>
  </si>
  <si>
    <t>Rinconada Llicuar</t>
  </si>
  <si>
    <t>200806</t>
  </si>
  <si>
    <t xml:space="preserve">2101 </t>
  </si>
  <si>
    <t>210101</t>
  </si>
  <si>
    <t>Acora</t>
  </si>
  <si>
    <t>210102</t>
  </si>
  <si>
    <t>Amantani</t>
  </si>
  <si>
    <t>210103</t>
  </si>
  <si>
    <t>Atuncolla</t>
  </si>
  <si>
    <t>210104</t>
  </si>
  <si>
    <t>Capachica</t>
  </si>
  <si>
    <t>210105</t>
  </si>
  <si>
    <t>Chucuito</t>
  </si>
  <si>
    <t>210106</t>
  </si>
  <si>
    <t>Coata</t>
  </si>
  <si>
    <t>210107</t>
  </si>
  <si>
    <t>Huata</t>
  </si>
  <si>
    <t>210108</t>
  </si>
  <si>
    <t>Mañazo</t>
  </si>
  <si>
    <t>210109</t>
  </si>
  <si>
    <t>Paucarcolla</t>
  </si>
  <si>
    <t>210110</t>
  </si>
  <si>
    <t>Pichacani</t>
  </si>
  <si>
    <t>210111</t>
  </si>
  <si>
    <t>Plateria</t>
  </si>
  <si>
    <t>210112</t>
  </si>
  <si>
    <t>210113</t>
  </si>
  <si>
    <t>Tiquillaca</t>
  </si>
  <si>
    <t>210114</t>
  </si>
  <si>
    <t>Vilque</t>
  </si>
  <si>
    <t>210115</t>
  </si>
  <si>
    <t xml:space="preserve">2102 </t>
  </si>
  <si>
    <t>Azángaro</t>
  </si>
  <si>
    <t>210201</t>
  </si>
  <si>
    <t>Achaya</t>
  </si>
  <si>
    <t>210202</t>
  </si>
  <si>
    <t>Arapa</t>
  </si>
  <si>
    <t>210203</t>
  </si>
  <si>
    <t>Asillo</t>
  </si>
  <si>
    <t>210204</t>
  </si>
  <si>
    <t>Caminaca</t>
  </si>
  <si>
    <t>210205</t>
  </si>
  <si>
    <t>Chupa</t>
  </si>
  <si>
    <t>210206</t>
  </si>
  <si>
    <t>José Domingo Choquehuanca</t>
  </si>
  <si>
    <t>210207</t>
  </si>
  <si>
    <t>Muñani</t>
  </si>
  <si>
    <t>210208</t>
  </si>
  <si>
    <t>Potoni</t>
  </si>
  <si>
    <t>210209</t>
  </si>
  <si>
    <t>Saman</t>
  </si>
  <si>
    <t>210210</t>
  </si>
  <si>
    <t>San Anton</t>
  </si>
  <si>
    <t>210211</t>
  </si>
  <si>
    <t>San José</t>
  </si>
  <si>
    <t>210212</t>
  </si>
  <si>
    <t>San Juan de Salinas</t>
  </si>
  <si>
    <t>210213</t>
  </si>
  <si>
    <t>Santiago de Pupuja</t>
  </si>
  <si>
    <t>210214</t>
  </si>
  <si>
    <t>Tirapata</t>
  </si>
  <si>
    <t>210215</t>
  </si>
  <si>
    <t xml:space="preserve">2103 </t>
  </si>
  <si>
    <t>Macusani</t>
  </si>
  <si>
    <t>210301</t>
  </si>
  <si>
    <t>Ajoyani</t>
  </si>
  <si>
    <t>210302</t>
  </si>
  <si>
    <t>Ayapata</t>
  </si>
  <si>
    <t>210303</t>
  </si>
  <si>
    <t>Coasa</t>
  </si>
  <si>
    <t>210304</t>
  </si>
  <si>
    <t>Corani</t>
  </si>
  <si>
    <t>210305</t>
  </si>
  <si>
    <t>Crucero</t>
  </si>
  <si>
    <t>210306</t>
  </si>
  <si>
    <t>Ituata</t>
  </si>
  <si>
    <t>210307</t>
  </si>
  <si>
    <t>Ollachea</t>
  </si>
  <si>
    <t>210308</t>
  </si>
  <si>
    <t>San Gaban</t>
  </si>
  <si>
    <t>210309</t>
  </si>
  <si>
    <t>Usicayos</t>
  </si>
  <si>
    <t>210310</t>
  </si>
  <si>
    <t xml:space="preserve">2104 </t>
  </si>
  <si>
    <t>Juli</t>
  </si>
  <si>
    <t>210401</t>
  </si>
  <si>
    <t>Desaguadero</t>
  </si>
  <si>
    <t>210402</t>
  </si>
  <si>
    <t>Huacullani</t>
  </si>
  <si>
    <t>210403</t>
  </si>
  <si>
    <t>Kelluyo</t>
  </si>
  <si>
    <t>210404</t>
  </si>
  <si>
    <t>Pisacoma</t>
  </si>
  <si>
    <t>210405</t>
  </si>
  <si>
    <t>Pomata</t>
  </si>
  <si>
    <t>210406</t>
  </si>
  <si>
    <t>Zepita</t>
  </si>
  <si>
    <t>210407</t>
  </si>
  <si>
    <t xml:space="preserve">2105 </t>
  </si>
  <si>
    <t>Ilave</t>
  </si>
  <si>
    <t>210501</t>
  </si>
  <si>
    <t>Capazo</t>
  </si>
  <si>
    <t>210502</t>
  </si>
  <si>
    <t>Pilcuyo</t>
  </si>
  <si>
    <t>210503</t>
  </si>
  <si>
    <t>210504</t>
  </si>
  <si>
    <t>Conduriri</t>
  </si>
  <si>
    <t>210505</t>
  </si>
  <si>
    <t xml:space="preserve">2106 </t>
  </si>
  <si>
    <t>Huancane</t>
  </si>
  <si>
    <t>210601</t>
  </si>
  <si>
    <t>Cojata</t>
  </si>
  <si>
    <t>210602</t>
  </si>
  <si>
    <t>Huatasani</t>
  </si>
  <si>
    <t>210603</t>
  </si>
  <si>
    <t>Inchupalla</t>
  </si>
  <si>
    <t>210604</t>
  </si>
  <si>
    <t>Pusi</t>
  </si>
  <si>
    <t>210605</t>
  </si>
  <si>
    <t>Rosaspata</t>
  </si>
  <si>
    <t>210606</t>
  </si>
  <si>
    <t>Taraco</t>
  </si>
  <si>
    <t>210607</t>
  </si>
  <si>
    <t>Vilque Chico</t>
  </si>
  <si>
    <t>210608</t>
  </si>
  <si>
    <t xml:space="preserve">2107 </t>
  </si>
  <si>
    <t>Lampa</t>
  </si>
  <si>
    <t>210701</t>
  </si>
  <si>
    <t>Cabanilla</t>
  </si>
  <si>
    <t>210702</t>
  </si>
  <si>
    <t>Calapuja</t>
  </si>
  <si>
    <t>210703</t>
  </si>
  <si>
    <t>Nicasio</t>
  </si>
  <si>
    <t>210704</t>
  </si>
  <si>
    <t>Ocuviri</t>
  </si>
  <si>
    <t>210705</t>
  </si>
  <si>
    <t>210706</t>
  </si>
  <si>
    <t>Paratia</t>
  </si>
  <si>
    <t>210707</t>
  </si>
  <si>
    <t>Pucara</t>
  </si>
  <si>
    <t>210708</t>
  </si>
  <si>
    <t>Santa Lucia</t>
  </si>
  <si>
    <t>210709</t>
  </si>
  <si>
    <t>Vilavila</t>
  </si>
  <si>
    <t>210710</t>
  </si>
  <si>
    <t xml:space="preserve">2108 </t>
  </si>
  <si>
    <t>Ayaviri</t>
  </si>
  <si>
    <t>210801</t>
  </si>
  <si>
    <t>Antauta</t>
  </si>
  <si>
    <t>210802</t>
  </si>
  <si>
    <t>Cupi</t>
  </si>
  <si>
    <t>210803</t>
  </si>
  <si>
    <t>Llalli</t>
  </si>
  <si>
    <t>210804</t>
  </si>
  <si>
    <t>Macari</t>
  </si>
  <si>
    <t>210805</t>
  </si>
  <si>
    <t>Nuñoa</t>
  </si>
  <si>
    <t>210806</t>
  </si>
  <si>
    <t>Orurillo</t>
  </si>
  <si>
    <t>210807</t>
  </si>
  <si>
    <t>210808</t>
  </si>
  <si>
    <t>Umachiri</t>
  </si>
  <si>
    <t>210809</t>
  </si>
  <si>
    <t xml:space="preserve">2109 </t>
  </si>
  <si>
    <t>Moho</t>
  </si>
  <si>
    <t>210901</t>
  </si>
  <si>
    <t>Conima</t>
  </si>
  <si>
    <t>210902</t>
  </si>
  <si>
    <t>Huayrapata</t>
  </si>
  <si>
    <t>210903</t>
  </si>
  <si>
    <t>Tilali</t>
  </si>
  <si>
    <t>210904</t>
  </si>
  <si>
    <t xml:space="preserve">2110 </t>
  </si>
  <si>
    <t>Putina</t>
  </si>
  <si>
    <t>211001</t>
  </si>
  <si>
    <t>Ananea</t>
  </si>
  <si>
    <t>211002</t>
  </si>
  <si>
    <t>Pedro Vilca Apaza</t>
  </si>
  <si>
    <t>211003</t>
  </si>
  <si>
    <t>Quilcapuncu</t>
  </si>
  <si>
    <t>211004</t>
  </si>
  <si>
    <t>Sina</t>
  </si>
  <si>
    <t>211005</t>
  </si>
  <si>
    <t xml:space="preserve">2111 </t>
  </si>
  <si>
    <t>Juliaca</t>
  </si>
  <si>
    <t>211101</t>
  </si>
  <si>
    <t>Cabana</t>
  </si>
  <si>
    <t>211102</t>
  </si>
  <si>
    <t>Cabanillas</t>
  </si>
  <si>
    <t>211103</t>
  </si>
  <si>
    <t>Caracoto</t>
  </si>
  <si>
    <t>211104</t>
  </si>
  <si>
    <t>211105</t>
  </si>
  <si>
    <t xml:space="preserve">2112 </t>
  </si>
  <si>
    <t>Sandia</t>
  </si>
  <si>
    <t>211201</t>
  </si>
  <si>
    <t>Cuyocuyo</t>
  </si>
  <si>
    <t>211202</t>
  </si>
  <si>
    <t>Limbani</t>
  </si>
  <si>
    <t>211203</t>
  </si>
  <si>
    <t>Patambuco</t>
  </si>
  <si>
    <t>211204</t>
  </si>
  <si>
    <t>Phara</t>
  </si>
  <si>
    <t>211205</t>
  </si>
  <si>
    <t>Quiaca</t>
  </si>
  <si>
    <t>211206</t>
  </si>
  <si>
    <t>San Juan del Oro</t>
  </si>
  <si>
    <t>211207</t>
  </si>
  <si>
    <t>Yanahuaya</t>
  </si>
  <si>
    <t>211208</t>
  </si>
  <si>
    <t>Alto Inambari</t>
  </si>
  <si>
    <t>211209</t>
  </si>
  <si>
    <t>San Pedro de Putina Punco</t>
  </si>
  <si>
    <t>211210</t>
  </si>
  <si>
    <t xml:space="preserve">2113 </t>
  </si>
  <si>
    <t>Yunguyo</t>
  </si>
  <si>
    <t>211301</t>
  </si>
  <si>
    <t>Anapia</t>
  </si>
  <si>
    <t>211302</t>
  </si>
  <si>
    <t>Copani</t>
  </si>
  <si>
    <t>211303</t>
  </si>
  <si>
    <t>Cuturapi</t>
  </si>
  <si>
    <t>211304</t>
  </si>
  <si>
    <t>Ollaraya</t>
  </si>
  <si>
    <t>211305</t>
  </si>
  <si>
    <t>Tinicachi</t>
  </si>
  <si>
    <t>211306</t>
  </si>
  <si>
    <t>Unicachi</t>
  </si>
  <si>
    <t>211307</t>
  </si>
  <si>
    <t xml:space="preserve">2201 </t>
  </si>
  <si>
    <t>Moyobamba</t>
  </si>
  <si>
    <t>220101</t>
  </si>
  <si>
    <t>Calzada</t>
  </si>
  <si>
    <t>220102</t>
  </si>
  <si>
    <t>Habana</t>
  </si>
  <si>
    <t>220103</t>
  </si>
  <si>
    <t>Jepelacio</t>
  </si>
  <si>
    <t>220104</t>
  </si>
  <si>
    <t>Soritor</t>
  </si>
  <si>
    <t>220105</t>
  </si>
  <si>
    <t>Yantalo</t>
  </si>
  <si>
    <t>220106</t>
  </si>
  <si>
    <t xml:space="preserve">2202 </t>
  </si>
  <si>
    <t>Bellavista</t>
  </si>
  <si>
    <t>220201</t>
  </si>
  <si>
    <t>Alto Biavo</t>
  </si>
  <si>
    <t>220202</t>
  </si>
  <si>
    <t>Bajo Biavo</t>
  </si>
  <si>
    <t>220203</t>
  </si>
  <si>
    <t>Huallaga</t>
  </si>
  <si>
    <t>220204</t>
  </si>
  <si>
    <t>220205</t>
  </si>
  <si>
    <t>San Rafael</t>
  </si>
  <si>
    <t>220206</t>
  </si>
  <si>
    <t xml:space="preserve">2203 </t>
  </si>
  <si>
    <t>San José de Sisa</t>
  </si>
  <si>
    <t>220301</t>
  </si>
  <si>
    <t>Agua Blanca</t>
  </si>
  <si>
    <t>220302</t>
  </si>
  <si>
    <t>220303</t>
  </si>
  <si>
    <t>Santa Rosa</t>
  </si>
  <si>
    <t>220304</t>
  </si>
  <si>
    <t>Shatoja</t>
  </si>
  <si>
    <t>220305</t>
  </si>
  <si>
    <t xml:space="preserve">2204 </t>
  </si>
  <si>
    <t>Saposoa</t>
  </si>
  <si>
    <t>220401</t>
  </si>
  <si>
    <t>Alto Saposoa</t>
  </si>
  <si>
    <t>220402</t>
  </si>
  <si>
    <t>El Eslabón</t>
  </si>
  <si>
    <t>220403</t>
  </si>
  <si>
    <t>Piscoyacu</t>
  </si>
  <si>
    <t>220404</t>
  </si>
  <si>
    <t>Sacanche</t>
  </si>
  <si>
    <t>220405</t>
  </si>
  <si>
    <t>Tingo de Saposoa</t>
  </si>
  <si>
    <t>220406</t>
  </si>
  <si>
    <t xml:space="preserve">2205 </t>
  </si>
  <si>
    <t>Lamas</t>
  </si>
  <si>
    <t>220501</t>
  </si>
  <si>
    <t>Alonso de Alvarado</t>
  </si>
  <si>
    <t>220502</t>
  </si>
  <si>
    <t>Barranquita</t>
  </si>
  <si>
    <t>220503</t>
  </si>
  <si>
    <t>Caynarachi</t>
  </si>
  <si>
    <t>220504</t>
  </si>
  <si>
    <t>Cuñumbuqui</t>
  </si>
  <si>
    <t>220505</t>
  </si>
  <si>
    <t>Pinto Recodo</t>
  </si>
  <si>
    <t>220506</t>
  </si>
  <si>
    <t>Rumisapa</t>
  </si>
  <si>
    <t>220507</t>
  </si>
  <si>
    <t>San Roque de Cumbaza</t>
  </si>
  <si>
    <t>220508</t>
  </si>
  <si>
    <t>Shanao</t>
  </si>
  <si>
    <t>220509</t>
  </si>
  <si>
    <t>Tabalosos</t>
  </si>
  <si>
    <t>220510</t>
  </si>
  <si>
    <t>Zapatero</t>
  </si>
  <si>
    <t>220511</t>
  </si>
  <si>
    <t xml:space="preserve">2206 </t>
  </si>
  <si>
    <t>Juanjuí</t>
  </si>
  <si>
    <t>220601</t>
  </si>
  <si>
    <t>Campanilla</t>
  </si>
  <si>
    <t>220602</t>
  </si>
  <si>
    <t>Huicungo</t>
  </si>
  <si>
    <t>220603</t>
  </si>
  <si>
    <t>Pachiza</t>
  </si>
  <si>
    <t>220604</t>
  </si>
  <si>
    <t>Pajarillo</t>
  </si>
  <si>
    <t>220605</t>
  </si>
  <si>
    <t xml:space="preserve">2207 </t>
  </si>
  <si>
    <t>Picota</t>
  </si>
  <si>
    <t>220701</t>
  </si>
  <si>
    <t>Buenos Aires</t>
  </si>
  <si>
    <t>220702</t>
  </si>
  <si>
    <t>Caspisapa</t>
  </si>
  <si>
    <t>220703</t>
  </si>
  <si>
    <t>Pilluana</t>
  </si>
  <si>
    <t>220704</t>
  </si>
  <si>
    <t>Pucacaca</t>
  </si>
  <si>
    <t>220705</t>
  </si>
  <si>
    <t>220706</t>
  </si>
  <si>
    <t>San Hilarión</t>
  </si>
  <si>
    <t>220707</t>
  </si>
  <si>
    <t>Shamboyacu</t>
  </si>
  <si>
    <t>220708</t>
  </si>
  <si>
    <t>Tingo de Ponasa</t>
  </si>
  <si>
    <t>220709</t>
  </si>
  <si>
    <t>Tres Unidos</t>
  </si>
  <si>
    <t>220710</t>
  </si>
  <si>
    <t xml:space="preserve">2208 </t>
  </si>
  <si>
    <t>Rioja</t>
  </si>
  <si>
    <t>220801</t>
  </si>
  <si>
    <t>Awajun</t>
  </si>
  <si>
    <t>220802</t>
  </si>
  <si>
    <t>Elías Soplin Vargas</t>
  </si>
  <si>
    <t>220803</t>
  </si>
  <si>
    <t>Nueva Cajamarca</t>
  </si>
  <si>
    <t>220804</t>
  </si>
  <si>
    <t>Pardo Miguel</t>
  </si>
  <si>
    <t>220805</t>
  </si>
  <si>
    <t>Posic</t>
  </si>
  <si>
    <t>220806</t>
  </si>
  <si>
    <t>San Fernando</t>
  </si>
  <si>
    <t>220807</t>
  </si>
  <si>
    <t>Yorongos</t>
  </si>
  <si>
    <t>220808</t>
  </si>
  <si>
    <t>Yuracyacu</t>
  </si>
  <si>
    <t>220809</t>
  </si>
  <si>
    <t xml:space="preserve">2209 </t>
  </si>
  <si>
    <t>Tarapoto</t>
  </si>
  <si>
    <t>220901</t>
  </si>
  <si>
    <t>Alberto Leveau</t>
  </si>
  <si>
    <t>220902</t>
  </si>
  <si>
    <t>Cacatachi</t>
  </si>
  <si>
    <t>220903</t>
  </si>
  <si>
    <t>Chazuta</t>
  </si>
  <si>
    <t>220904</t>
  </si>
  <si>
    <t>Chipurana</t>
  </si>
  <si>
    <t>220905</t>
  </si>
  <si>
    <t>El Porvenir</t>
  </si>
  <si>
    <t>220906</t>
  </si>
  <si>
    <t>Huimbayoc</t>
  </si>
  <si>
    <t>220907</t>
  </si>
  <si>
    <t>Juan Guerra</t>
  </si>
  <si>
    <t>220908</t>
  </si>
  <si>
    <t>La Banda de Shilcayo</t>
  </si>
  <si>
    <t>220909</t>
  </si>
  <si>
    <t>Morales</t>
  </si>
  <si>
    <t>220910</t>
  </si>
  <si>
    <t>Papaplaya</t>
  </si>
  <si>
    <t>220911</t>
  </si>
  <si>
    <t>San Antonio</t>
  </si>
  <si>
    <t>220912</t>
  </si>
  <si>
    <t>Sauce</t>
  </si>
  <si>
    <t>220913</t>
  </si>
  <si>
    <t>Shapaja</t>
  </si>
  <si>
    <t>220914</t>
  </si>
  <si>
    <t xml:space="preserve">2210 </t>
  </si>
  <si>
    <t>Tocache</t>
  </si>
  <si>
    <t>221001</t>
  </si>
  <si>
    <t>Nuevo Progreso</t>
  </si>
  <si>
    <t>221002</t>
  </si>
  <si>
    <t>Polvora</t>
  </si>
  <si>
    <t>221003</t>
  </si>
  <si>
    <t>Shunte</t>
  </si>
  <si>
    <t>221004</t>
  </si>
  <si>
    <t>Uchiza</t>
  </si>
  <si>
    <t>221005</t>
  </si>
  <si>
    <t xml:space="preserve">2301 </t>
  </si>
  <si>
    <t>230101</t>
  </si>
  <si>
    <t>Alto de la Alianza</t>
  </si>
  <si>
    <t>230102</t>
  </si>
  <si>
    <t>Calana</t>
  </si>
  <si>
    <t>230103</t>
  </si>
  <si>
    <t>Ciudad Nueva</t>
  </si>
  <si>
    <t>230104</t>
  </si>
  <si>
    <t>Inclan</t>
  </si>
  <si>
    <t>230105</t>
  </si>
  <si>
    <t>Pachia</t>
  </si>
  <si>
    <t>230106</t>
  </si>
  <si>
    <t>Palca</t>
  </si>
  <si>
    <t>230107</t>
  </si>
  <si>
    <t>Pocollay</t>
  </si>
  <si>
    <t>230108</t>
  </si>
  <si>
    <t>Sama</t>
  </si>
  <si>
    <t>230109</t>
  </si>
  <si>
    <t>Coronel Gregorio Albarracín Lanchipa</t>
  </si>
  <si>
    <t>230110</t>
  </si>
  <si>
    <t>La Yarada los Palos</t>
  </si>
  <si>
    <t>230111</t>
  </si>
  <si>
    <t xml:space="preserve">2302 </t>
  </si>
  <si>
    <t>Candarave</t>
  </si>
  <si>
    <t>230201</t>
  </si>
  <si>
    <t>Cairani</t>
  </si>
  <si>
    <t>230202</t>
  </si>
  <si>
    <t>Camilaca</t>
  </si>
  <si>
    <t>230203</t>
  </si>
  <si>
    <t>Curibaya</t>
  </si>
  <si>
    <t>230204</t>
  </si>
  <si>
    <t>Huanuara</t>
  </si>
  <si>
    <t>230205</t>
  </si>
  <si>
    <t>Quilahuani</t>
  </si>
  <si>
    <t>230206</t>
  </si>
  <si>
    <t xml:space="preserve">2303 </t>
  </si>
  <si>
    <t>Locumba</t>
  </si>
  <si>
    <t>230301</t>
  </si>
  <si>
    <t>Ilabaya</t>
  </si>
  <si>
    <t>230302</t>
  </si>
  <si>
    <t>Ite</t>
  </si>
  <si>
    <t>230303</t>
  </si>
  <si>
    <t xml:space="preserve">2304 </t>
  </si>
  <si>
    <t>Tarata</t>
  </si>
  <si>
    <t>230401</t>
  </si>
  <si>
    <t>Héroes Albarracín</t>
  </si>
  <si>
    <t>230402</t>
  </si>
  <si>
    <t>Estique</t>
  </si>
  <si>
    <t>230403</t>
  </si>
  <si>
    <t>Estique-Pampa</t>
  </si>
  <si>
    <t>230404</t>
  </si>
  <si>
    <t>Sitajara</t>
  </si>
  <si>
    <t>230405</t>
  </si>
  <si>
    <t>Susapaya</t>
  </si>
  <si>
    <t>230406</t>
  </si>
  <si>
    <t>Tarucachi</t>
  </si>
  <si>
    <t>230407</t>
  </si>
  <si>
    <t>Ticaco</t>
  </si>
  <si>
    <t>230408</t>
  </si>
  <si>
    <t xml:space="preserve">2401 </t>
  </si>
  <si>
    <t>240101</t>
  </si>
  <si>
    <t>Corrales</t>
  </si>
  <si>
    <t>240102</t>
  </si>
  <si>
    <t>La Cruz</t>
  </si>
  <si>
    <t>240103</t>
  </si>
  <si>
    <t>Pampas de Hospital</t>
  </si>
  <si>
    <t>240104</t>
  </si>
  <si>
    <t>San Jacinto</t>
  </si>
  <si>
    <t>240105</t>
  </si>
  <si>
    <t>San Juan de la Virgen</t>
  </si>
  <si>
    <t>240106</t>
  </si>
  <si>
    <t xml:space="preserve">2402 </t>
  </si>
  <si>
    <t>Zorritos</t>
  </si>
  <si>
    <t>240201</t>
  </si>
  <si>
    <t>Casitas</t>
  </si>
  <si>
    <t>240202</t>
  </si>
  <si>
    <t>Canoas de Punta Sal</t>
  </si>
  <si>
    <t>240203</t>
  </si>
  <si>
    <t xml:space="preserve">2403 </t>
  </si>
  <si>
    <t>Zarumilla</t>
  </si>
  <si>
    <t>240301</t>
  </si>
  <si>
    <t>Aguas Verdes</t>
  </si>
  <si>
    <t>240302</t>
  </si>
  <si>
    <t>Matapalo</t>
  </si>
  <si>
    <t>240303</t>
  </si>
  <si>
    <t>Papayal</t>
  </si>
  <si>
    <t>240304</t>
  </si>
  <si>
    <t xml:space="preserve">2501 </t>
  </si>
  <si>
    <t>Calleria</t>
  </si>
  <si>
    <t>250101</t>
  </si>
  <si>
    <t>Campoverde</t>
  </si>
  <si>
    <t>250102</t>
  </si>
  <si>
    <t>Iparia</t>
  </si>
  <si>
    <t>250103</t>
  </si>
  <si>
    <t>Masisea</t>
  </si>
  <si>
    <t>250104</t>
  </si>
  <si>
    <t>Yarinacocha</t>
  </si>
  <si>
    <t>250105</t>
  </si>
  <si>
    <t>Nueva Requena</t>
  </si>
  <si>
    <t>250106</t>
  </si>
  <si>
    <t>Manantay</t>
  </si>
  <si>
    <t>250107</t>
  </si>
  <si>
    <t xml:space="preserve">2502 </t>
  </si>
  <si>
    <t>Raymondi</t>
  </si>
  <si>
    <t>250201</t>
  </si>
  <si>
    <t>Sepahua</t>
  </si>
  <si>
    <t>250202</t>
  </si>
  <si>
    <t>Tahuania</t>
  </si>
  <si>
    <t>250203</t>
  </si>
  <si>
    <t>Yurua</t>
  </si>
  <si>
    <t>250204</t>
  </si>
  <si>
    <t xml:space="preserve">2503 </t>
  </si>
  <si>
    <t>Padre Abad</t>
  </si>
  <si>
    <t>250301</t>
  </si>
  <si>
    <t>Irazola</t>
  </si>
  <si>
    <t>250302</t>
  </si>
  <si>
    <t>Curimana</t>
  </si>
  <si>
    <t>250303</t>
  </si>
  <si>
    <t>Neshuya</t>
  </si>
  <si>
    <t>250304</t>
  </si>
  <si>
    <t>Alexander Von Humboldt</t>
  </si>
  <si>
    <t>250305</t>
  </si>
  <si>
    <t xml:space="preserve">2504 </t>
  </si>
  <si>
    <t>Purus</t>
  </si>
  <si>
    <t>250401</t>
  </si>
  <si>
    <t>DISTRITOS</t>
  </si>
  <si>
    <t>Anco Huallo</t>
  </si>
  <si>
    <t>PROVINCIAS</t>
  </si>
  <si>
    <t>Causas Directas</t>
  </si>
  <si>
    <t>Causas Indirectas</t>
  </si>
  <si>
    <t>Medios Fundamentales</t>
  </si>
  <si>
    <t>Unidades</t>
  </si>
  <si>
    <t>_01</t>
  </si>
  <si>
    <t>_0101</t>
  </si>
  <si>
    <t>0101</t>
  </si>
  <si>
    <t>_02</t>
  </si>
  <si>
    <t>_0102</t>
  </si>
  <si>
    <t>_cd1</t>
  </si>
  <si>
    <t>11</t>
  </si>
  <si>
    <t>_03</t>
  </si>
  <si>
    <t>_0103</t>
  </si>
  <si>
    <t>_cd2</t>
  </si>
  <si>
    <t>21</t>
  </si>
  <si>
    <t>_04</t>
  </si>
  <si>
    <t>_0104</t>
  </si>
  <si>
    <t>_cd3</t>
  </si>
  <si>
    <t>22</t>
  </si>
  <si>
    <t>_05</t>
  </si>
  <si>
    <t>_0105</t>
  </si>
  <si>
    <t>_cd4</t>
  </si>
  <si>
    <t>31</t>
  </si>
  <si>
    <t>_06</t>
  </si>
  <si>
    <t>_0106</t>
  </si>
  <si>
    <t>_07</t>
  </si>
  <si>
    <t>_0107</t>
  </si>
  <si>
    <t>_08</t>
  </si>
  <si>
    <t>_09</t>
  </si>
  <si>
    <t xml:space="preserve">_0201 </t>
  </si>
  <si>
    <t>_10</t>
  </si>
  <si>
    <t>_0202</t>
  </si>
  <si>
    <t>_11</t>
  </si>
  <si>
    <t>_0203</t>
  </si>
  <si>
    <t>_12</t>
  </si>
  <si>
    <t>_0204</t>
  </si>
  <si>
    <t>_13</t>
  </si>
  <si>
    <t>_0205</t>
  </si>
  <si>
    <t>_14</t>
  </si>
  <si>
    <t>_0206</t>
  </si>
  <si>
    <t>_15</t>
  </si>
  <si>
    <t>_0207</t>
  </si>
  <si>
    <t>_16</t>
  </si>
  <si>
    <t>_0208</t>
  </si>
  <si>
    <t>_17</t>
  </si>
  <si>
    <t>_0209</t>
  </si>
  <si>
    <t>_18</t>
  </si>
  <si>
    <t>_0210</t>
  </si>
  <si>
    <t>_19</t>
  </si>
  <si>
    <t>_0211</t>
  </si>
  <si>
    <t>_20</t>
  </si>
  <si>
    <t>_0212</t>
  </si>
  <si>
    <t>_21</t>
  </si>
  <si>
    <t>_0213</t>
  </si>
  <si>
    <t>_22</t>
  </si>
  <si>
    <t>_0214</t>
  </si>
  <si>
    <t>_23</t>
  </si>
  <si>
    <t>_0215</t>
  </si>
  <si>
    <t>_24</t>
  </si>
  <si>
    <t>_0216</t>
  </si>
  <si>
    <t>_25</t>
  </si>
  <si>
    <t>_0217</t>
  </si>
  <si>
    <t>_0218</t>
  </si>
  <si>
    <t>_0219</t>
  </si>
  <si>
    <t>_0220</t>
  </si>
  <si>
    <t xml:space="preserve">_0301 </t>
  </si>
  <si>
    <t>_0302</t>
  </si>
  <si>
    <t>_0303</t>
  </si>
  <si>
    <t>_0304</t>
  </si>
  <si>
    <t>_0305</t>
  </si>
  <si>
    <t>_0306</t>
  </si>
  <si>
    <t>_0307</t>
  </si>
  <si>
    <t xml:space="preserve">_0401 </t>
  </si>
  <si>
    <t>_0402</t>
  </si>
  <si>
    <t>_0403</t>
  </si>
  <si>
    <t>_0404</t>
  </si>
  <si>
    <t>_0405</t>
  </si>
  <si>
    <t>_0406</t>
  </si>
  <si>
    <t>_0407</t>
  </si>
  <si>
    <t>_0408</t>
  </si>
  <si>
    <t xml:space="preserve">_0501 </t>
  </si>
  <si>
    <t>_0502</t>
  </si>
  <si>
    <t>_0503</t>
  </si>
  <si>
    <t>_0504</t>
  </si>
  <si>
    <t>_0505</t>
  </si>
  <si>
    <t>_0506</t>
  </si>
  <si>
    <t>_0507</t>
  </si>
  <si>
    <t>_0508</t>
  </si>
  <si>
    <t>_0509</t>
  </si>
  <si>
    <t>_0510</t>
  </si>
  <si>
    <t>_0511</t>
  </si>
  <si>
    <t xml:space="preserve">_0601 </t>
  </si>
  <si>
    <t>_0602</t>
  </si>
  <si>
    <t>_0603</t>
  </si>
  <si>
    <t>_0604</t>
  </si>
  <si>
    <t>_0605</t>
  </si>
  <si>
    <t>_0606</t>
  </si>
  <si>
    <t>_0607</t>
  </si>
  <si>
    <t>_0608</t>
  </si>
  <si>
    <t>_0609</t>
  </si>
  <si>
    <t>_0610</t>
  </si>
  <si>
    <t>_0611</t>
  </si>
  <si>
    <t>_0612</t>
  </si>
  <si>
    <t>_0613</t>
  </si>
  <si>
    <t>Prov. Const. Del Callao</t>
  </si>
  <si>
    <t xml:space="preserve">_0701 </t>
  </si>
  <si>
    <t xml:space="preserve">_0801 </t>
  </si>
  <si>
    <t>_0802</t>
  </si>
  <si>
    <t>_0803</t>
  </si>
  <si>
    <t>_0804</t>
  </si>
  <si>
    <t>_0805</t>
  </si>
  <si>
    <t>_0806</t>
  </si>
  <si>
    <t>_0807</t>
  </si>
  <si>
    <t>_0808</t>
  </si>
  <si>
    <t>_0809</t>
  </si>
  <si>
    <t>_0810</t>
  </si>
  <si>
    <t>_0811</t>
  </si>
  <si>
    <t>_0812</t>
  </si>
  <si>
    <t>_0813</t>
  </si>
  <si>
    <t xml:space="preserve">_0901 </t>
  </si>
  <si>
    <t>_0902</t>
  </si>
  <si>
    <t>_0903</t>
  </si>
  <si>
    <t>_0904</t>
  </si>
  <si>
    <t>_0905</t>
  </si>
  <si>
    <t>_0906</t>
  </si>
  <si>
    <t>_0907</t>
  </si>
  <si>
    <t xml:space="preserve">_1001 </t>
  </si>
  <si>
    <t>_1002</t>
  </si>
  <si>
    <t>_1003</t>
  </si>
  <si>
    <t>_1004</t>
  </si>
  <si>
    <t>_1005</t>
  </si>
  <si>
    <t>_1006</t>
  </si>
  <si>
    <t>_1007</t>
  </si>
  <si>
    <t>_1008</t>
  </si>
  <si>
    <t>_1009</t>
  </si>
  <si>
    <t>_1010</t>
  </si>
  <si>
    <t>_1011</t>
  </si>
  <si>
    <t xml:space="preserve">_1101 </t>
  </si>
  <si>
    <t>_1102</t>
  </si>
  <si>
    <t>_1103</t>
  </si>
  <si>
    <t>_1104</t>
  </si>
  <si>
    <t>_1105</t>
  </si>
  <si>
    <t xml:space="preserve">_1201 </t>
  </si>
  <si>
    <t>_1202</t>
  </si>
  <si>
    <t>_1203</t>
  </si>
  <si>
    <t>_1204</t>
  </si>
  <si>
    <t>_1205</t>
  </si>
  <si>
    <t>_1206</t>
  </si>
  <si>
    <t>_1207</t>
  </si>
  <si>
    <t>_1208</t>
  </si>
  <si>
    <t>_1209</t>
  </si>
  <si>
    <t xml:space="preserve">_1301 </t>
  </si>
  <si>
    <t>_1302</t>
  </si>
  <si>
    <t>_1303</t>
  </si>
  <si>
    <t>_1304</t>
  </si>
  <si>
    <t>_1305</t>
  </si>
  <si>
    <t>_1306</t>
  </si>
  <si>
    <t>_1307</t>
  </si>
  <si>
    <t>_1308</t>
  </si>
  <si>
    <t>_1309</t>
  </si>
  <si>
    <t>_1310</t>
  </si>
  <si>
    <t>_1311</t>
  </si>
  <si>
    <t>_1312</t>
  </si>
  <si>
    <t xml:space="preserve">_1401 </t>
  </si>
  <si>
    <t>_1402</t>
  </si>
  <si>
    <t>_1403</t>
  </si>
  <si>
    <t xml:space="preserve">_1501 </t>
  </si>
  <si>
    <t>_1502</t>
  </si>
  <si>
    <t>_1503</t>
  </si>
  <si>
    <t>_1504</t>
  </si>
  <si>
    <t>_1505</t>
  </si>
  <si>
    <t>_1506</t>
  </si>
  <si>
    <t>_1507</t>
  </si>
  <si>
    <t>_1508</t>
  </si>
  <si>
    <t>_1509</t>
  </si>
  <si>
    <t>_1510</t>
  </si>
  <si>
    <t xml:space="preserve">_1601 </t>
  </si>
  <si>
    <t>_1602</t>
  </si>
  <si>
    <t>_1603</t>
  </si>
  <si>
    <t>_1604</t>
  </si>
  <si>
    <t>_1605</t>
  </si>
  <si>
    <t>_1606</t>
  </si>
  <si>
    <t>_1607</t>
  </si>
  <si>
    <t>_1608</t>
  </si>
  <si>
    <t>_1701</t>
  </si>
  <si>
    <t>_1702</t>
  </si>
  <si>
    <t>_1703</t>
  </si>
  <si>
    <t xml:space="preserve">_1801 </t>
  </si>
  <si>
    <t>_1802</t>
  </si>
  <si>
    <t>_1803</t>
  </si>
  <si>
    <t>_1901</t>
  </si>
  <si>
    <t>_1902</t>
  </si>
  <si>
    <t xml:space="preserve">Oxapampa </t>
  </si>
  <si>
    <t>_1903</t>
  </si>
  <si>
    <t xml:space="preserve">_2001 </t>
  </si>
  <si>
    <t>_2002</t>
  </si>
  <si>
    <t>_2003</t>
  </si>
  <si>
    <t>_2004</t>
  </si>
  <si>
    <t>_2005</t>
  </si>
  <si>
    <t>_2006</t>
  </si>
  <si>
    <t>_2007</t>
  </si>
  <si>
    <t>_2008</t>
  </si>
  <si>
    <t xml:space="preserve">_2101 </t>
  </si>
  <si>
    <t>_2102</t>
  </si>
  <si>
    <t>_2103</t>
  </si>
  <si>
    <t>_2104</t>
  </si>
  <si>
    <t>_2105</t>
  </si>
  <si>
    <t>_2106</t>
  </si>
  <si>
    <t>_2107</t>
  </si>
  <si>
    <t>_2108</t>
  </si>
  <si>
    <t>_2109</t>
  </si>
  <si>
    <t>_2110</t>
  </si>
  <si>
    <t>_2111</t>
  </si>
  <si>
    <t>_2112</t>
  </si>
  <si>
    <t>_2113</t>
  </si>
  <si>
    <t xml:space="preserve">_2201 </t>
  </si>
  <si>
    <t>_2202</t>
  </si>
  <si>
    <t>_2203</t>
  </si>
  <si>
    <t>_2204</t>
  </si>
  <si>
    <t>_2205</t>
  </si>
  <si>
    <t>_2206</t>
  </si>
  <si>
    <t>_2207</t>
  </si>
  <si>
    <t>_2208</t>
  </si>
  <si>
    <t>_2209</t>
  </si>
  <si>
    <t>_2210</t>
  </si>
  <si>
    <t xml:space="preserve">_2301 </t>
  </si>
  <si>
    <t>_2302</t>
  </si>
  <si>
    <t>_2303</t>
  </si>
  <si>
    <t>_2304</t>
  </si>
  <si>
    <t xml:space="preserve">_2401 </t>
  </si>
  <si>
    <t>_2402</t>
  </si>
  <si>
    <t>_2403</t>
  </si>
  <si>
    <t xml:space="preserve">_2501 </t>
  </si>
  <si>
    <t>_2502</t>
  </si>
  <si>
    <t>_2503</t>
  </si>
  <si>
    <t>_2504</t>
  </si>
  <si>
    <t>Arequipa_</t>
  </si>
  <si>
    <t>La_Unión</t>
  </si>
  <si>
    <t>Huanca_Sancos</t>
  </si>
  <si>
    <t>Cajamarca_</t>
  </si>
  <si>
    <t>Prov. Const. del Callao</t>
  </si>
  <si>
    <t xml:space="preserve">Ica </t>
  </si>
  <si>
    <t xml:space="preserve">Junín </t>
  </si>
  <si>
    <t xml:space="preserve">Lambayeque </t>
  </si>
  <si>
    <t xml:space="preserve">Lima </t>
  </si>
  <si>
    <t>Leoncio_Prado</t>
  </si>
  <si>
    <t xml:space="preserve">Loreto </t>
  </si>
  <si>
    <t xml:space="preserve">Pasco </t>
  </si>
  <si>
    <t xml:space="preserve">Piura </t>
  </si>
  <si>
    <t>Buenos  Aires</t>
  </si>
  <si>
    <t xml:space="preserve">Puno </t>
  </si>
  <si>
    <t xml:space="preserve">San Martín </t>
  </si>
  <si>
    <t xml:space="preserve">Tacna </t>
  </si>
  <si>
    <t xml:space="preserve">Tumbes </t>
  </si>
  <si>
    <t>Dominio Geográfico</t>
  </si>
  <si>
    <t>Recuperación de la sección transversal del río por la reducción de acumulación de sedimentos y residuos sólidos del cauce del río.</t>
  </si>
  <si>
    <t>Nivel del tirante de agua adecuado.</t>
  </si>
  <si>
    <t>Cumplimiento de regulaciones del uso y ocupación del territorio.</t>
  </si>
  <si>
    <t>Capacidades de las autoridades para regular o hacer cumplir las regulaciones mejoradas.</t>
  </si>
  <si>
    <t>Cumplimiento de las normas técnicas sobre localización de servicios públicos.</t>
  </si>
  <si>
    <t>Faja Marginal delimitada.</t>
  </si>
  <si>
    <t>El diseño de la infraestructura de los bienes y servicios públicos considera las probables inundaciones.</t>
  </si>
  <si>
    <t>Los materiales empleados son los adecuados.</t>
  </si>
  <si>
    <t>En la gestión de los servicios públicos se considera la ocurrencia de emergencias e interrupción de los servicios.</t>
  </si>
  <si>
    <t>Conocimiento oportuno del peligro.</t>
  </si>
  <si>
    <t>Usuarios de los servicios están organizados.</t>
  </si>
  <si>
    <t>Operan los grupos de trabajo de gestión del riesgo de desastres.</t>
  </si>
  <si>
    <t>Funciona adecuadamente la plataforma de la gestión del riesgo de desastres.</t>
  </si>
  <si>
    <t>Problema Central</t>
  </si>
  <si>
    <t>Efectos Directos</t>
  </si>
  <si>
    <t>Efectos Indirectos</t>
  </si>
  <si>
    <t>_ed1</t>
  </si>
  <si>
    <t>_ed2</t>
  </si>
  <si>
    <t xml:space="preserve">Bajo nivel de bienestar social y económico de los pobladores de la localidad de </t>
  </si>
  <si>
    <t>Efecto Final</t>
  </si>
  <si>
    <t>Fines Directos</t>
  </si>
  <si>
    <t>Fines Indirectos</t>
  </si>
  <si>
    <t>Unidad</t>
  </si>
  <si>
    <t>Nacional</t>
  </si>
  <si>
    <t>Construcción de muros de protección</t>
  </si>
  <si>
    <t>Construcción de muros de encauzamiento</t>
  </si>
  <si>
    <t>Construcción de espigones</t>
  </si>
  <si>
    <t>Descolmatación de sedimentos de cauce</t>
  </si>
  <si>
    <t>Instalación de cobertura vegetal</t>
  </si>
  <si>
    <t>Zonificación de zonas de riesgos</t>
  </si>
  <si>
    <t>Normas que prohíban la ocupación en la Faja Marginal</t>
  </si>
  <si>
    <t>Implementación de sistemas de monitoreo y control de la ocupación del territorio</t>
  </si>
  <si>
    <t>Operación de embalses</t>
  </si>
  <si>
    <t>Operación de presas derivadoras (bocatomas)</t>
  </si>
  <si>
    <t>Norma para prohibir disposición de residuos sólidos en el cauce del río</t>
  </si>
  <si>
    <t>Reubicación de las Unidades Productoras de servicios</t>
  </si>
  <si>
    <t>Fortalecimiento de Organización de Usuarios del servicio</t>
  </si>
  <si>
    <t>Fortalecimiento de  Grupos de trabajo de gestión del riesgo de desastres</t>
  </si>
  <si>
    <t>Capacitaciones en operación y mantenimiento</t>
  </si>
  <si>
    <t>Difusión de información sobre regulaciones</t>
  </si>
  <si>
    <t>Asistencia Tecnica</t>
  </si>
  <si>
    <t>Mejora en la percepción del riesgo de los involucrados en las fases de preinversión e inversión de los PI.</t>
  </si>
  <si>
    <t>_fd1</t>
  </si>
  <si>
    <t>_fd2</t>
  </si>
  <si>
    <t>Alternativa 3</t>
  </si>
  <si>
    <t>Alternativa 4</t>
  </si>
  <si>
    <t>Altitud
(msnm)</t>
  </si>
  <si>
    <t>Temperatura
(°C)</t>
  </si>
  <si>
    <t>Humedad
(%)</t>
  </si>
  <si>
    <t>Precipitación
(mm)</t>
  </si>
  <si>
    <t xml:space="preserve">
Para cargar las imagénes, haga clic sobre el rectangulo y seleccione la figura. A continuación haga clic en el botón Cargar Imágenes, aparaecerá un cuadro de diálogo en donde deberá seleccionar el archivo que contenga la imágen y luego haga clic en aceptar. Repita la acción para cargar el gráfico de la leyenda del Croquis.</t>
  </si>
  <si>
    <r>
      <t>Área
(m</t>
    </r>
    <r>
      <rPr>
        <b/>
        <vertAlign val="superscript"/>
        <sz val="10"/>
        <rFont val="Arial"/>
        <family val="2"/>
      </rPr>
      <t>2</t>
    </r>
    <r>
      <rPr>
        <b/>
        <sz val="10"/>
        <rFont val="Arial"/>
        <family val="2"/>
      </rPr>
      <t>)</t>
    </r>
  </si>
  <si>
    <t>Sí /No</t>
  </si>
  <si>
    <t>Cobertura vegetal</t>
  </si>
  <si>
    <t>Zonas de riesgos</t>
  </si>
  <si>
    <t>Faja Marginal</t>
  </si>
  <si>
    <t>Sistemas de monitoreo y control</t>
  </si>
  <si>
    <t>Operación de Estructuras de Captación</t>
  </si>
  <si>
    <t>Disposición de residuos solidos</t>
  </si>
  <si>
    <t>Reubicación de Unidades Productoras de servicios</t>
  </si>
  <si>
    <t>Grupo de trabajo de gestión de riesgos de desastres</t>
  </si>
  <si>
    <t>Organización Responsable de la O&amp;M</t>
  </si>
  <si>
    <t>Regulaciones referente a riesgos de desastres</t>
  </si>
  <si>
    <t>Manuales de O&amp;M</t>
  </si>
  <si>
    <t>Norma Técnica</t>
  </si>
  <si>
    <t>Muro de protección de concreto armado</t>
  </si>
  <si>
    <t>Muro de protección de concreto ciclopeo</t>
  </si>
  <si>
    <t>Muro de protección de gaviones</t>
  </si>
  <si>
    <t>Muro de protección de bolsacreto</t>
  </si>
  <si>
    <t>Muro de encauzamiento de concreto armado</t>
  </si>
  <si>
    <t>Muro de encauzamiento  de concreto ciclopeo</t>
  </si>
  <si>
    <t>Muro de encauzamiento de gaviones</t>
  </si>
  <si>
    <t>Muro de encauzamiento de bolsacreto</t>
  </si>
  <si>
    <t>Dique de protección con enrocado</t>
  </si>
  <si>
    <t>Dique de protección con colchones tipo Reno</t>
  </si>
  <si>
    <t>Espigones con enrocado de protección</t>
  </si>
  <si>
    <t>Espigones con gaviones</t>
  </si>
  <si>
    <t>Espigones con bolsacreto</t>
  </si>
  <si>
    <t>Dique de protección con geoceldas</t>
  </si>
  <si>
    <t>Espigones con geoceldas</t>
  </si>
  <si>
    <t>Muro de protección con geobolsas</t>
  </si>
  <si>
    <t>Muro de encauzamiento de geobolsas</t>
  </si>
  <si>
    <t>Espigones con geobolsas</t>
  </si>
  <si>
    <t xml:space="preserve">Capítulo 10 de la Norma E.060 del Reglamento Nacional de Edificaciones. </t>
  </si>
  <si>
    <t>Plan de Gestión de Riesgos de Desastres del Gobierno Regional o Local</t>
  </si>
  <si>
    <t>Plan de Gestión Correctiva del Riesgos de Desastres del Gobierno Regional o Local</t>
  </si>
  <si>
    <t>Plan de Operación, Mantenimiento y Dearrollo de Infraestrucura Hidráulica del Operador Hidráulico</t>
  </si>
  <si>
    <t>habitantes</t>
  </si>
  <si>
    <t>Rural</t>
  </si>
  <si>
    <t>Agentes Involucrados</t>
  </si>
  <si>
    <t>Población Afectada</t>
  </si>
  <si>
    <t>Municipalidad Distrital</t>
  </si>
  <si>
    <t>Municipaliad Provincial</t>
  </si>
  <si>
    <t>Gobierno Regional</t>
  </si>
  <si>
    <t>Ministerio de Agricultura y Riego</t>
  </si>
  <si>
    <t>Ministerio de Vivienda, Construcción y Saneamiento</t>
  </si>
  <si>
    <t>Presidencia de Consejos de Ministros</t>
  </si>
  <si>
    <t>Ministerio de Educación</t>
  </si>
  <si>
    <t>Ministerio de Transporte y Comunicaciones</t>
  </si>
  <si>
    <t>Ministerio de Defensa</t>
  </si>
  <si>
    <t>Autoridad Administrativa del Agua - AAA</t>
  </si>
  <si>
    <t>Autoridad Nacional del Agua - ANA</t>
  </si>
  <si>
    <t>Administración Local del Agua - ALA</t>
  </si>
  <si>
    <t>Instituto Nacional de Defensa Civil - INDECI</t>
  </si>
  <si>
    <t>Organización de Usuarios de Agua para Riego</t>
  </si>
  <si>
    <t>Comunidades  Nativas y Campesinas</t>
  </si>
  <si>
    <t>Sociedad Civil</t>
  </si>
  <si>
    <t>Organización de autodefensa - Rondas</t>
  </si>
  <si>
    <t>Frente de defensa</t>
  </si>
  <si>
    <t>Número de Involucrados a analizar:</t>
  </si>
  <si>
    <t>_cd11</t>
  </si>
  <si>
    <t>_cd21</t>
  </si>
  <si>
    <t>_cd22</t>
  </si>
  <si>
    <t>_cd31</t>
  </si>
  <si>
    <t>Ae</t>
  </si>
  <si>
    <t>Ac</t>
  </si>
  <si>
    <t>Ai</t>
  </si>
  <si>
    <t>Accion</t>
  </si>
  <si>
    <t>Año 4</t>
  </si>
  <si>
    <t>Año 5</t>
  </si>
  <si>
    <t>Año 6</t>
  </si>
  <si>
    <t>Año 7</t>
  </si>
  <si>
    <t>Año 8</t>
  </si>
  <si>
    <t>Año 9</t>
  </si>
  <si>
    <t>Protección de riberas de río vulnerables ante el peligro de inundación/socavación</t>
  </si>
  <si>
    <t>No Aplica</t>
  </si>
  <si>
    <t>und</t>
  </si>
  <si>
    <t>Tasa Intercensal</t>
  </si>
  <si>
    <t>Análisis de costos : Presupuesto . Costos Unitarios, Lista de Insumos, Planilla de Metrados ( Precios Actualizados de acuerdo a CAPECO)</t>
  </si>
  <si>
    <t>Nota: Para insertar una Imagen, deberá seleccionar el rectangulo donde ubicará la imagen, luego presiones el botón Insertar Imagen.</t>
  </si>
  <si>
    <t>Mercado</t>
  </si>
  <si>
    <t>Social</t>
  </si>
  <si>
    <t>Número de riesgos a analizar</t>
  </si>
  <si>
    <t>Estructura de Protección</t>
  </si>
  <si>
    <t>Organización Responsable de O&amp;M</t>
  </si>
  <si>
    <t>Costo unitario 
(S/.)</t>
  </si>
  <si>
    <t>Costo total*
(S/.)</t>
  </si>
  <si>
    <t>Procedencia de Beneficios</t>
  </si>
  <si>
    <t>Procerdimiento de Cálculo</t>
  </si>
  <si>
    <t>Directo</t>
  </si>
  <si>
    <t>Acción 2</t>
  </si>
  <si>
    <t>Acción 3</t>
  </si>
  <si>
    <t>Acción 4</t>
  </si>
  <si>
    <t>Acción 5</t>
  </si>
  <si>
    <t>Acción 6</t>
  </si>
  <si>
    <t>Factore de conversión a PS</t>
  </si>
  <si>
    <t>TOTAL</t>
  </si>
  <si>
    <t>ALTERNATIVA 1</t>
  </si>
  <si>
    <t>ALTERNATIVA 2</t>
  </si>
  <si>
    <t>ALTERNATIVA 4</t>
  </si>
  <si>
    <t>ALTERNATIVA 3</t>
  </si>
  <si>
    <t xml:space="preserve">ALTERNATIVA 1 </t>
  </si>
  <si>
    <t>Variación % del total de beneficios</t>
  </si>
  <si>
    <t>Ben</t>
  </si>
  <si>
    <t>Cost</t>
  </si>
  <si>
    <t xml:space="preserve">Se deberá contar para el siguiente nivel de estudio con toda la información de campo, estudios básicos de ingeniería, los cuales son necesarios para el diseño ingenieril, debiendo contar con el estudio de suelos y otros. </t>
  </si>
  <si>
    <t>Indicadores Componentes</t>
  </si>
  <si>
    <t>Al primer año de operación del proyecto, Estabilidad de taludes de las riberas de los cauces.</t>
  </si>
  <si>
    <t>Nivel de vulnerabilidad</t>
  </si>
  <si>
    <t>ae</t>
  </si>
  <si>
    <t>ac</t>
  </si>
  <si>
    <t>ai</t>
  </si>
  <si>
    <t>Seleccione el número de Causas Directas a analizar</t>
  </si>
  <si>
    <t>A</t>
  </si>
  <si>
    <t>* Activos que modifican la capacidad de producción del servicio. P.ej: Estructuras de Protección (Muros de Contención, enrocados, soluciones de bioingeniería, forestación, etc.)</t>
  </si>
  <si>
    <t>Impacto (bajo, medio, alto)</t>
  </si>
  <si>
    <t xml:space="preserve">Unidad de medida </t>
  </si>
  <si>
    <t>Componente / acción</t>
  </si>
  <si>
    <t>Activo</t>
  </si>
  <si>
    <t>Componente</t>
  </si>
  <si>
    <t>a1</t>
  </si>
  <si>
    <t>a2</t>
  </si>
  <si>
    <t>a3</t>
  </si>
  <si>
    <t>b1</t>
  </si>
  <si>
    <t>b2</t>
  </si>
  <si>
    <t>b3</t>
  </si>
  <si>
    <t>c1</t>
  </si>
  <si>
    <t>c2</t>
  </si>
  <si>
    <t>c3</t>
  </si>
  <si>
    <t>d1</t>
  </si>
  <si>
    <t>d2</t>
  </si>
  <si>
    <t>d3</t>
  </si>
  <si>
    <t>e1</t>
  </si>
  <si>
    <t>e2</t>
  </si>
  <si>
    <t>e3</t>
  </si>
  <si>
    <t>f1</t>
  </si>
  <si>
    <t>f2</t>
  </si>
  <si>
    <t>f3</t>
  </si>
  <si>
    <t>g1</t>
  </si>
  <si>
    <t>g2</t>
  </si>
  <si>
    <t>g3</t>
  </si>
  <si>
    <t>h1</t>
  </si>
  <si>
    <t>h2</t>
  </si>
  <si>
    <t>h3</t>
  </si>
  <si>
    <t>i1</t>
  </si>
  <si>
    <t>i2</t>
  </si>
  <si>
    <t>i3</t>
  </si>
  <si>
    <t>j1</t>
  </si>
  <si>
    <t>j2</t>
  </si>
  <si>
    <t>j3</t>
  </si>
  <si>
    <t>k1</t>
  </si>
  <si>
    <t>k2</t>
  </si>
  <si>
    <t>k3</t>
  </si>
  <si>
    <t>Actividades de operación en general</t>
  </si>
  <si>
    <t>Acción 7</t>
  </si>
  <si>
    <t>Acción 8</t>
  </si>
  <si>
    <t>Acción 9</t>
  </si>
  <si>
    <t>Acción 10</t>
  </si>
  <si>
    <t>Acción 11</t>
  </si>
  <si>
    <t>Acción 12</t>
  </si>
  <si>
    <t>Acción 13</t>
  </si>
  <si>
    <t>Acción 14</t>
  </si>
  <si>
    <t>Acción 15</t>
  </si>
  <si>
    <t>Acción 16</t>
  </si>
  <si>
    <t>Acción 17</t>
  </si>
  <si>
    <t>Acción 18</t>
  </si>
  <si>
    <t>Acción 19</t>
  </si>
  <si>
    <t>Acción 20</t>
  </si>
  <si>
    <t>Acción 21</t>
  </si>
  <si>
    <t>Acción 22</t>
  </si>
  <si>
    <t>Acción 23</t>
  </si>
  <si>
    <t>Acción 24</t>
  </si>
  <si>
    <t>Acción 25</t>
  </si>
  <si>
    <t>Acción 26</t>
  </si>
  <si>
    <t>Acción 27</t>
  </si>
  <si>
    <t>Acción 28</t>
  </si>
  <si>
    <t>Acción 29</t>
  </si>
  <si>
    <t>Acción 30</t>
  </si>
  <si>
    <t>Informe de desempeño</t>
  </si>
  <si>
    <r>
      <t xml:space="preserve">10. </t>
    </r>
    <r>
      <rPr>
        <b/>
        <sz val="10"/>
        <rFont val="Arial"/>
        <family val="2"/>
      </rPr>
      <t>JUICIO TÉCNICO SOBRE PROFUNDIZACIÓN DE LA INFORMACIÓN EMPLEADA EN LA ELABORACIÓN DEL ESTUDIO DE PRE INVERSIÓN</t>
    </r>
    <r>
      <rPr>
        <sz val="10"/>
        <rFont val="Arial"/>
        <family val="2"/>
      </rPr>
      <t xml:space="preserve">        
Para el presente estudio, se ha tomado como base estudios básicos de ingeniería elaborados específicamente para el presente caso, la profundidad de dichos estudios ha permitido establecer la magnitud de los daños a los que están expuestas las UP de bienes y servicios públicos y la población, considerando que son suficientes para diseñar el proyecto a nivel localización, tamaño, tecnología y establecer las medidas de gestión del riesgo necesarias.</t>
    </r>
  </si>
  <si>
    <t>Norma técnica</t>
  </si>
  <si>
    <t>Servicios Públicos a analizar</t>
  </si>
  <si>
    <t>Recursos e insumos a analizar</t>
  </si>
  <si>
    <t>Plataforma de Gestión de Desastres</t>
  </si>
  <si>
    <t>Activos Corregidos</t>
  </si>
  <si>
    <t>Muro de encauzamiento</t>
  </si>
  <si>
    <t>Construcción</t>
  </si>
  <si>
    <t>Reparación</t>
  </si>
  <si>
    <t>Remodelación</t>
  </si>
  <si>
    <t>Reforzamiento Estructural</t>
  </si>
  <si>
    <t>Adecuación</t>
  </si>
  <si>
    <t>Implementación</t>
  </si>
  <si>
    <t>_cd111</t>
  </si>
  <si>
    <t>_cd211</t>
  </si>
  <si>
    <t>_cd221</t>
  </si>
  <si>
    <t>_cd311</t>
  </si>
  <si>
    <t>Naturaleza de la acción</t>
  </si>
  <si>
    <t>Factor de producción</t>
  </si>
  <si>
    <t>Naturaleza</t>
  </si>
  <si>
    <t>Factor de Producción</t>
  </si>
  <si>
    <t>Factor de Producción:</t>
  </si>
  <si>
    <t>Medidas de Reducción del riesgo de desastres y mitigación ambiental</t>
  </si>
  <si>
    <t>Sub Total de Costos de Inversión</t>
  </si>
  <si>
    <t>Gastos generales</t>
  </si>
  <si>
    <t>Utilidad</t>
  </si>
  <si>
    <t>Impuesto General a las Ventas (IGV)</t>
  </si>
  <si>
    <t>Costos Indirectos e Impuestos</t>
  </si>
  <si>
    <t>Costos a Precios de Mercado</t>
  </si>
  <si>
    <t>Subtotal de costos indirectos e impuestos</t>
  </si>
  <si>
    <t>Costo Total de Inversión Infraestructura (a)</t>
  </si>
  <si>
    <t>Costo Total de Inversión Intangibles (b)</t>
  </si>
  <si>
    <t>Otros Costos</t>
  </si>
  <si>
    <t>Expediente Técnico o documento equivalente</t>
  </si>
  <si>
    <t>Subtotal de otros costos de inversión (c )</t>
  </si>
  <si>
    <t>Costo Total de Inversión (a) + (b) + (c )</t>
  </si>
  <si>
    <t>ml</t>
  </si>
  <si>
    <t>SECCIÓN N°13: MARCO LÓGICO</t>
  </si>
  <si>
    <t>13.01 RESUMEN DEL PROYECTO: MATRIZ DEL MARCO LÓGICO</t>
  </si>
  <si>
    <t>SECCIÓN N°14: CONCLUSIONES Y RECOMENDACIONES</t>
  </si>
  <si>
    <t>14.01 CONCLUSIONES</t>
  </si>
  <si>
    <t>14.02 RECOMENDACIONES</t>
  </si>
  <si>
    <t>SECCIÓN N°15: FIRMAS</t>
  </si>
  <si>
    <t>SECCIÓN N°16: ANEXOS</t>
  </si>
  <si>
    <t>SECCIÓN N°17: PROTOCOLO DE EVALUACIÓN</t>
  </si>
  <si>
    <t>Servicio público con brecha identificada y priorizada</t>
  </si>
  <si>
    <t>Nombre del Indicador de brecha de acceso a servicio</t>
  </si>
  <si>
    <t>4.02 Descipción de otros involucrados</t>
  </si>
  <si>
    <t>Total de la población</t>
  </si>
  <si>
    <t xml:space="preserve">Activo </t>
  </si>
  <si>
    <t>1.1.1</t>
  </si>
  <si>
    <t>1.1.2</t>
  </si>
  <si>
    <t>1.1.3</t>
  </si>
  <si>
    <t>1.1.4</t>
  </si>
  <si>
    <t>1.1.5</t>
  </si>
  <si>
    <t>SECCIÓN N°09: GESTIÓN DEL PROYECTO</t>
  </si>
  <si>
    <t>9.01 Plan de implementación</t>
  </si>
  <si>
    <t>9.02 Modalidad de ejecución de proyecto</t>
  </si>
  <si>
    <t>9.03 Requerimientos institucionales y normativos en la fase de Ejecución y fase de Funcionamiento</t>
  </si>
  <si>
    <t>Formulación</t>
  </si>
  <si>
    <t>9.04 Entidad u órgano que estará a cargo de la operación y mantenimiento</t>
  </si>
  <si>
    <t>Ejecución Contractual Infraestructura</t>
  </si>
  <si>
    <t>9.05 Fuente de financiamiento</t>
  </si>
  <si>
    <t>SECCIÓN N°10: SOSTENIBILIDAD</t>
  </si>
  <si>
    <t>11.01 Costo de ejecución física de las acciones</t>
  </si>
  <si>
    <t>SECCIÓN N°11: COSTOS DEL PROYECTO</t>
  </si>
  <si>
    <t>11.02 Costos de operación y mantenimiento con y sin proyecto</t>
  </si>
  <si>
    <t>11.03 Cronograma de inversión de metas financieras</t>
  </si>
  <si>
    <t>11.04 Cronograma de metas físicas</t>
  </si>
  <si>
    <t>Número de acciones:</t>
  </si>
  <si>
    <t>15.01 FIRMAS</t>
  </si>
  <si>
    <t>16.01 ANEXOS</t>
  </si>
  <si>
    <t>17.01 PROTOCOLO DE EVALUACIÓN</t>
  </si>
  <si>
    <t>18.01 PERSONAL REQUERIDO</t>
  </si>
  <si>
    <t xml:space="preserve">SECCIÓN N°18: PERSONAL </t>
  </si>
  <si>
    <t>Experiencia General</t>
  </si>
  <si>
    <t>Considerar los siguientes perfiles profesionales para la elaboración de la ficha estándar</t>
  </si>
  <si>
    <t>Profesional</t>
  </si>
  <si>
    <t>Especialista en Geología y Geotecnia</t>
  </si>
  <si>
    <t>Especialista en Hidrología e Hidraulica Fluvial</t>
  </si>
  <si>
    <t>Especialista en Formulación y Evaluación Económica</t>
  </si>
  <si>
    <t>18.02 COSTOS Y TIEMPO DE ELABORACIÓN</t>
  </si>
  <si>
    <t>INEI y encuestas</t>
  </si>
  <si>
    <t>Cooperante</t>
  </si>
  <si>
    <t>Infraestructura de riego y superficie agrícola en riesgo.</t>
  </si>
  <si>
    <t>Preservar la infraestructura de servicios construida y proteger la superficie agrícola en riesgo</t>
  </si>
  <si>
    <t>Capacidad instalada para el desarrollo del proyecto siendo la Unidad Ejecutora</t>
  </si>
  <si>
    <t>Ambiental</t>
  </si>
  <si>
    <t>Operacionales</t>
  </si>
  <si>
    <t>Administrativos</t>
  </si>
  <si>
    <t>-</t>
  </si>
  <si>
    <t>duración</t>
  </si>
  <si>
    <t>total</t>
  </si>
  <si>
    <t>SECCIÓN N°12: EVALUACIÓN SOCIAL</t>
  </si>
  <si>
    <t>12.01 BENEFICIOS SOCIALES</t>
  </si>
  <si>
    <t>12.02 COSTOS SOCIALES</t>
  </si>
  <si>
    <t xml:space="preserve">12.03 FLUJO DE BENEFICIOS Y COSTOS A PRECIOS SOCIALES (EVALUACIÓN SOCIAL) </t>
  </si>
  <si>
    <t>12.04 INDICADORES DE RENTABILIDAD SOCIAL</t>
  </si>
  <si>
    <t>12.05 ANÁLISIS DE SENSIBILIDAD</t>
  </si>
  <si>
    <t>Geotextil debe cumplir con la Norma AASHTO M-288-96</t>
  </si>
  <si>
    <t>Roca sólida y no deleznable resistente a la abrasión de grado “A” del “Ensayo de Los Angeles”.</t>
  </si>
  <si>
    <t>Normativas ISO 9001 e ISO 14001</t>
  </si>
  <si>
    <t>Reglamento de Productos de Construcción – CPR 305/2011, poseyendo el marcado CE en conformidad con la ETA-09/0414.</t>
  </si>
  <si>
    <t>Ensayo ASTM D-3786</t>
  </si>
  <si>
    <t>Ensayo ASTM D-4533</t>
  </si>
  <si>
    <t>Ensayo ASTM D-4632</t>
  </si>
  <si>
    <t>Ensayo ASTM D-4833</t>
  </si>
  <si>
    <t>Ensayo ASTM D-4595</t>
  </si>
  <si>
    <t>Ensayo ASTM D-4491</t>
  </si>
  <si>
    <t>Ensayo ASTM D-4751</t>
  </si>
  <si>
    <t xml:space="preserve">Artículo 118 del Reglamento de la Ley de Recursos Hídricos. </t>
  </si>
  <si>
    <t>Artículo 16 del Reglamento para delimitación y mantenimiento de Fajas Marginales.</t>
  </si>
  <si>
    <t>Artículos 111 al 122. Reglamento de la Ley N° 29338 Ley de Recursos Hídricos.</t>
  </si>
  <si>
    <t>Resolución Jefatural N° 153-2016-ANA.</t>
  </si>
  <si>
    <t>VALOR NETO DE LA PRODUCCIÓN AGROPECUARIA SIN PROYECTO (A PRECIOS SOCIALES)</t>
  </si>
  <si>
    <t>Tasa Social</t>
  </si>
  <si>
    <t>CONCEPTOS</t>
  </si>
  <si>
    <t>PROGRAMACIÓN ANUAL</t>
  </si>
  <si>
    <t>VALOR ACTUAL</t>
  </si>
  <si>
    <t>Número de Hectáreas</t>
  </si>
  <si>
    <t>Costos de producción por Hectarea</t>
  </si>
  <si>
    <t>Rendimientos por Hectárea (Kg/ha)</t>
  </si>
  <si>
    <t>Precio de Venta en chacra</t>
  </si>
  <si>
    <t>Porcentaje destinado al Mercado</t>
  </si>
  <si>
    <t>Valor Bruto de la Producción</t>
  </si>
  <si>
    <t>Costo Total</t>
  </si>
  <si>
    <t>Valor Neto de la Producción</t>
  </si>
  <si>
    <t>Factor de Actualización</t>
  </si>
  <si>
    <t>VALOR ACTUAL NETO DE LA PRODUCCIÓN</t>
  </si>
  <si>
    <t xml:space="preserve">VALOR NETO DE LA PRODUCCIÓN AGROPECUARIA CON PROYECTO (A PRECIOS SOCIALES) </t>
  </si>
  <si>
    <t>Costos por Hectarea</t>
  </si>
  <si>
    <t>Precio de Venta</t>
  </si>
  <si>
    <t>VALOR ACTUAL NETO DEL VNP INCREMENTAL (A PRECIOS SOCIALES)</t>
  </si>
  <si>
    <t>Valor Bruto de la Producción Incremental</t>
  </si>
  <si>
    <t>Situación con Proyecto</t>
  </si>
  <si>
    <t>(-) Situación sin Proyecto</t>
  </si>
  <si>
    <t>Factor Actualización</t>
  </si>
  <si>
    <t>Valor Actual del VBP Incremental</t>
  </si>
  <si>
    <t>Costo Total Incremental</t>
  </si>
  <si>
    <t>`</t>
  </si>
  <si>
    <t>(-) Situación Sin Proyecto</t>
  </si>
  <si>
    <t>Valor Actual del Costo Incremental</t>
  </si>
  <si>
    <t>Valor Neto de la Producción Incremental</t>
  </si>
  <si>
    <t>Valor Actual del VNP Incremental</t>
  </si>
  <si>
    <t>INFORMACIÓN GENERAL PARA DISPONIBLIDAD HIDRICA</t>
  </si>
  <si>
    <t>Nombre de la Fuente:</t>
  </si>
  <si>
    <t>Nombre de la Unidad Hidrográfica:</t>
  </si>
  <si>
    <t>Detalles del Punto de Captación</t>
  </si>
  <si>
    <t>Ubicación Política:</t>
  </si>
  <si>
    <t>Departamento:</t>
  </si>
  <si>
    <t>Provincia:</t>
  </si>
  <si>
    <t>Distrito:</t>
  </si>
  <si>
    <t>Localidad:</t>
  </si>
  <si>
    <t>Coordenadas UTM DATUM WSG 84:</t>
  </si>
  <si>
    <t>Norte:</t>
  </si>
  <si>
    <t>Este:</t>
  </si>
  <si>
    <t>Disponibilidad Hídrica</t>
  </si>
  <si>
    <t>Mes</t>
  </si>
  <si>
    <r>
      <t>Caudal      (m</t>
    </r>
    <r>
      <rPr>
        <b/>
        <vertAlign val="superscript"/>
        <sz val="10"/>
        <color theme="0"/>
        <rFont val="Arial"/>
        <family val="2"/>
      </rPr>
      <t>3</t>
    </r>
    <r>
      <rPr>
        <b/>
        <sz val="10"/>
        <color theme="0"/>
        <rFont val="Arial"/>
        <family val="2"/>
      </rPr>
      <t>/s)</t>
    </r>
  </si>
  <si>
    <r>
      <t>Volúmen (m</t>
    </r>
    <r>
      <rPr>
        <b/>
        <vertAlign val="superscript"/>
        <sz val="10"/>
        <color theme="0"/>
        <rFont val="Arial"/>
        <family val="2"/>
      </rPr>
      <t>3</t>
    </r>
    <r>
      <rPr>
        <b/>
        <sz val="10"/>
        <color theme="0"/>
        <rFont val="Arial"/>
        <family val="2"/>
      </rPr>
      <t>)</t>
    </r>
  </si>
  <si>
    <t>Enero</t>
  </si>
  <si>
    <t>Feberero</t>
  </si>
  <si>
    <t>Marzo</t>
  </si>
  <si>
    <t>Abril</t>
  </si>
  <si>
    <t>Mayo</t>
  </si>
  <si>
    <t>Junio</t>
  </si>
  <si>
    <t>Julio</t>
  </si>
  <si>
    <t>Agosto</t>
  </si>
  <si>
    <t>Setiembre</t>
  </si>
  <si>
    <t>Octubre</t>
  </si>
  <si>
    <t>Noviembre</t>
  </si>
  <si>
    <t>Diciembre</t>
  </si>
  <si>
    <t>Determinación de la Evapotranspiración</t>
  </si>
  <si>
    <t>Estación Climátológica:</t>
  </si>
  <si>
    <t>Altitud:</t>
  </si>
  <si>
    <t>msnm</t>
  </si>
  <si>
    <t>Latitud Sur:</t>
  </si>
  <si>
    <t>°</t>
  </si>
  <si>
    <t>Longitud</t>
  </si>
  <si>
    <t>Método de Cálculo Utilizado:</t>
  </si>
  <si>
    <t>Coeficiente Empirico</t>
  </si>
  <si>
    <t>Promedio</t>
  </si>
  <si>
    <t>Precipitación Efectiva</t>
  </si>
  <si>
    <t>PP         (mm)</t>
  </si>
  <si>
    <t>PP      Efectiva</t>
  </si>
  <si>
    <t>Porcentaje Fijo</t>
  </si>
  <si>
    <t>Constante</t>
  </si>
  <si>
    <t>Fórmula empírica</t>
  </si>
  <si>
    <t>Valor de Z</t>
  </si>
  <si>
    <t>Coeficiente a</t>
  </si>
  <si>
    <t>Coeficiente b</t>
  </si>
  <si>
    <t>Coeficiente c</t>
  </si>
  <si>
    <t>Coeficiente d</t>
  </si>
  <si>
    <t>Programación de Cultivos</t>
  </si>
  <si>
    <t>Situación Actual</t>
  </si>
  <si>
    <t>Situación Futura</t>
  </si>
  <si>
    <t>Número de Cultivos</t>
  </si>
  <si>
    <t>Cultivo</t>
  </si>
  <si>
    <t>Siembra</t>
  </si>
  <si>
    <t>Area (ha)</t>
  </si>
  <si>
    <t>Papa</t>
  </si>
  <si>
    <t>Maíz grano</t>
  </si>
  <si>
    <t>Maíz dulce</t>
  </si>
  <si>
    <t>Alcachofa</t>
  </si>
  <si>
    <t>Haba verde</t>
  </si>
  <si>
    <t>Arveja</t>
  </si>
  <si>
    <t>Alfalfa</t>
  </si>
  <si>
    <t>Cebada</t>
  </si>
  <si>
    <t>Lechuga</t>
  </si>
  <si>
    <t>ENE</t>
  </si>
  <si>
    <t>FEB</t>
  </si>
  <si>
    <t>MAR</t>
  </si>
  <si>
    <t>ABR</t>
  </si>
  <si>
    <t>MAY</t>
  </si>
  <si>
    <t>JUN</t>
  </si>
  <si>
    <t>JUL</t>
  </si>
  <si>
    <t>AGO</t>
  </si>
  <si>
    <t>SEP</t>
  </si>
  <si>
    <t>OCT</t>
  </si>
  <si>
    <t>NOV</t>
  </si>
  <si>
    <t>DIC</t>
  </si>
  <si>
    <t>Situación futura</t>
  </si>
  <si>
    <t>Datos del Sistema de Riego</t>
  </si>
  <si>
    <t>Eficiencia de conducción</t>
  </si>
  <si>
    <t>Eficiencia de distribución</t>
  </si>
  <si>
    <t>Eficiencia de aplicación</t>
  </si>
  <si>
    <t>Horas de Riego</t>
  </si>
  <si>
    <t>Frecuencia de riego</t>
  </si>
  <si>
    <t>Eficiencia de riego</t>
  </si>
  <si>
    <t>Factores de cultivo</t>
  </si>
  <si>
    <t>DEMANDA DE AGUA EN SITUACION ACTUAL</t>
  </si>
  <si>
    <t>CULTIVO</t>
  </si>
  <si>
    <t>Has</t>
  </si>
  <si>
    <t>TOTAL DEMANDA DE AGUA L/S</t>
  </si>
  <si>
    <t>DEMANDA EN MMC</t>
  </si>
  <si>
    <r>
      <t>OFERTA DE AGUA DEL PROYECTO (m</t>
    </r>
    <r>
      <rPr>
        <b/>
        <vertAlign val="superscript"/>
        <sz val="12"/>
        <rFont val="Arial"/>
        <family val="2"/>
      </rPr>
      <t>3</t>
    </r>
    <r>
      <rPr>
        <b/>
        <sz val="12"/>
        <rFont val="Arial"/>
        <family val="2"/>
      </rPr>
      <t>/s)</t>
    </r>
  </si>
  <si>
    <t>DESCRIPCION</t>
  </si>
  <si>
    <t>Otras fuentes</t>
  </si>
  <si>
    <t>OFERTA TOTAL</t>
  </si>
  <si>
    <t>OFERTA EN MMC</t>
  </si>
  <si>
    <t>BALANCE HIDRICO EN SITUACION ACTUAL</t>
  </si>
  <si>
    <t>Oferta (m3/s)</t>
  </si>
  <si>
    <t>Demanda (m3/s)</t>
  </si>
  <si>
    <t>Balance (m3/s)</t>
  </si>
  <si>
    <t>Oferta (MMC)</t>
  </si>
  <si>
    <t>Demanda (MMC)</t>
  </si>
  <si>
    <t>Balance (MMC)</t>
  </si>
  <si>
    <t>Coeficiente de Cultivos (Kc)</t>
  </si>
  <si>
    <t>DEMANDA DE AGUA DE CULTIVO</t>
  </si>
  <si>
    <t>Cultivo :</t>
  </si>
  <si>
    <t>Eto</t>
  </si>
  <si>
    <t>mm</t>
  </si>
  <si>
    <t>Kc ponderado</t>
  </si>
  <si>
    <t>Uso consuntivo</t>
  </si>
  <si>
    <t xml:space="preserve">Requerimiento lamina </t>
  </si>
  <si>
    <t>Requerimiento volúmen</t>
  </si>
  <si>
    <r>
      <t>m</t>
    </r>
    <r>
      <rPr>
        <b/>
        <vertAlign val="superscript"/>
        <sz val="10"/>
        <rFont val="Arial"/>
        <family val="2"/>
      </rPr>
      <t>3</t>
    </r>
    <r>
      <rPr>
        <b/>
        <sz val="10"/>
        <rFont val="Arial"/>
        <family val="2"/>
      </rPr>
      <t>/ha</t>
    </r>
  </si>
  <si>
    <t>Número de Horas</t>
  </si>
  <si>
    <t>hrs</t>
  </si>
  <si>
    <t>Módulo de Riego</t>
  </si>
  <si>
    <t>l/s</t>
  </si>
  <si>
    <t>Area total</t>
  </si>
  <si>
    <t>ha</t>
  </si>
  <si>
    <t>Caudal demandado</t>
  </si>
  <si>
    <t>DEMANDA DE AGUA EN SITUACION CON PROYECTO</t>
  </si>
  <si>
    <t>BALANCE HIDRICO EN SITUACION CON PROYECTO</t>
  </si>
  <si>
    <t>m1</t>
  </si>
  <si>
    <t>m2</t>
  </si>
  <si>
    <t>Nombre Cultivo</t>
  </si>
  <si>
    <t>Kc Inicio</t>
  </si>
  <si>
    <t>Kc Medio</t>
  </si>
  <si>
    <t>KcFinal</t>
  </si>
  <si>
    <t>Desarrollo</t>
  </si>
  <si>
    <t>Maduración</t>
  </si>
  <si>
    <t>Prof. Raiz I</t>
  </si>
  <si>
    <t>Prof. Raiz F</t>
  </si>
  <si>
    <t>Inicial</t>
  </si>
  <si>
    <t>Media</t>
  </si>
  <si>
    <t>Maduracion</t>
  </si>
  <si>
    <t>Kc inicial</t>
  </si>
  <si>
    <t>Kc medio</t>
  </si>
  <si>
    <t>Kc fin</t>
  </si>
  <si>
    <t>DInicio</t>
  </si>
  <si>
    <t>DInicial</t>
  </si>
  <si>
    <t>DDesarrollo</t>
  </si>
  <si>
    <t>DMedia</t>
  </si>
  <si>
    <t>DMaduracion</t>
  </si>
  <si>
    <t>KInicio</t>
  </si>
  <si>
    <t>KInicial</t>
  </si>
  <si>
    <t>KDesarrollo</t>
  </si>
  <si>
    <t>KMedia</t>
  </si>
  <si>
    <t>KMaduracion</t>
  </si>
  <si>
    <t>Zanahoria</t>
  </si>
  <si>
    <t>Brocoli</t>
  </si>
  <si>
    <t>Coliflor</t>
  </si>
  <si>
    <t>Repollo</t>
  </si>
  <si>
    <t>Febrero</t>
  </si>
  <si>
    <t>Yuca (año 2)</t>
  </si>
  <si>
    <t>Apio</t>
  </si>
  <si>
    <t>Cebolla (seca)</t>
  </si>
  <si>
    <t>Cebolla (verde)</t>
  </si>
  <si>
    <t>Cebolla (semilla)</t>
  </si>
  <si>
    <t>Espinaca</t>
  </si>
  <si>
    <t>Rábano</t>
  </si>
  <si>
    <t>Berenjena</t>
  </si>
  <si>
    <t>Ají</t>
  </si>
  <si>
    <t>Factor de correcion latitud Hargreaves</t>
  </si>
  <si>
    <t>Tomate</t>
  </si>
  <si>
    <t>Pepino</t>
  </si>
  <si>
    <t>Calabaza</t>
  </si>
  <si>
    <t>Zapallo</t>
  </si>
  <si>
    <t>Zapallito italiano</t>
  </si>
  <si>
    <t>Pipian</t>
  </si>
  <si>
    <t>Melón</t>
  </si>
  <si>
    <t>Sandía</t>
  </si>
  <si>
    <t xml:space="preserve">Cuadro 2.8. TK4 (de acuerdo a la ley de Stefan-Boltzmann) para diferentes temperaturas (T) </t>
  </si>
  <si>
    <t>Betarraga</t>
  </si>
  <si>
    <t>T(°C)</t>
  </si>
  <si>
    <r>
      <t>TK</t>
    </r>
    <r>
      <rPr>
        <vertAlign val="superscript"/>
        <sz val="11"/>
        <color theme="1"/>
        <rFont val="Calibri"/>
        <family val="2"/>
        <scheme val="minor"/>
      </rPr>
      <t>4</t>
    </r>
    <r>
      <rPr>
        <sz val="11"/>
        <color theme="1"/>
        <rFont val="Calibri"/>
        <family val="2"/>
        <scheme val="minor"/>
      </rPr>
      <t xml:space="preserve"> (MJ m</t>
    </r>
    <r>
      <rPr>
        <vertAlign val="superscript"/>
        <sz val="11"/>
        <color theme="1"/>
        <rFont val="Calibri"/>
        <family val="2"/>
        <scheme val="minor"/>
      </rPr>
      <t>2</t>
    </r>
    <r>
      <rPr>
        <sz val="11"/>
        <color theme="1"/>
        <rFont val="Calibri"/>
        <family val="2"/>
        <scheme val="minor"/>
      </rPr>
      <t>d</t>
    </r>
    <r>
      <rPr>
        <vertAlign val="superscript"/>
        <sz val="11"/>
        <color theme="1"/>
        <rFont val="Calibri"/>
        <family val="2"/>
        <scheme val="minor"/>
      </rPr>
      <t>-1</t>
    </r>
    <r>
      <rPr>
        <sz val="11"/>
        <color theme="1"/>
        <rFont val="Calibri"/>
        <family val="2"/>
        <scheme val="minor"/>
      </rPr>
      <t>)</t>
    </r>
  </si>
  <si>
    <t>Yuca (año 1)</t>
  </si>
  <si>
    <t>LONG.</t>
  </si>
  <si>
    <t xml:space="preserve">:  76°  19'     </t>
  </si>
  <si>
    <t>"W"</t>
  </si>
  <si>
    <t>DPTO.</t>
  </si>
  <si>
    <t>: LIMA</t>
  </si>
  <si>
    <t>LAT.</t>
  </si>
  <si>
    <t xml:space="preserve">:  13°  04'      </t>
  </si>
  <si>
    <t>"S"</t>
  </si>
  <si>
    <t>PROV.</t>
  </si>
  <si>
    <t>: CAÑETE</t>
  </si>
  <si>
    <t>ALT.</t>
  </si>
  <si>
    <t>:           158</t>
  </si>
  <si>
    <t>DIST.</t>
  </si>
  <si>
    <t>: IMPERIAL</t>
  </si>
  <si>
    <t>Camote</t>
  </si>
  <si>
    <t>Remolacha azucarera</t>
  </si>
  <si>
    <t>Vainita</t>
  </si>
  <si>
    <t>Frijol verde</t>
  </si>
  <si>
    <t>Frijol seco</t>
  </si>
  <si>
    <t>Haba seca</t>
  </si>
  <si>
    <t>Maní</t>
  </si>
  <si>
    <t>Frijol castilla verde</t>
  </si>
  <si>
    <t>Frijol castilla seco</t>
  </si>
  <si>
    <t>Lenteja</t>
  </si>
  <si>
    <t>Arveja partida</t>
  </si>
  <si>
    <t>Soya</t>
  </si>
  <si>
    <t>Esparrago</t>
  </si>
  <si>
    <t>Fresa</t>
  </si>
  <si>
    <t>Algodón</t>
  </si>
  <si>
    <t>Lino</t>
  </si>
  <si>
    <t>Ajonjoli</t>
  </si>
  <si>
    <t>Girasol</t>
  </si>
  <si>
    <t>Avena</t>
  </si>
  <si>
    <t>Trigo</t>
  </si>
  <si>
    <t>Trigo de invierno</t>
  </si>
  <si>
    <t>Mijo</t>
  </si>
  <si>
    <t>Sorgo</t>
  </si>
  <si>
    <t>Arroz</t>
  </si>
  <si>
    <t>Heno</t>
  </si>
  <si>
    <t>Lolium sp</t>
  </si>
  <si>
    <t>Caña de azucar plantacion</t>
  </si>
  <si>
    <t>Caña de azucar retoño</t>
  </si>
  <si>
    <t>Platano primer año</t>
  </si>
  <si>
    <t>Platano segundo año</t>
  </si>
  <si>
    <t>Cacao</t>
  </si>
  <si>
    <t>Café suelo desnudo</t>
  </si>
  <si>
    <t>Café suelo con cobertura</t>
  </si>
  <si>
    <t>Palmeras</t>
  </si>
  <si>
    <t>Hule</t>
  </si>
  <si>
    <t>Te sin sombra</t>
  </si>
  <si>
    <t>Te con sombra</t>
  </si>
  <si>
    <t>Piña suelo desnudo</t>
  </si>
  <si>
    <t>Piña suelo con cobertura</t>
  </si>
  <si>
    <t>Vid</t>
  </si>
  <si>
    <t>Lupulo</t>
  </si>
  <si>
    <t>Citrico suelo desnudo</t>
  </si>
  <si>
    <t>Citrico suelo con cobertura</t>
  </si>
  <si>
    <t>Palto</t>
  </si>
  <si>
    <t>Melocoton</t>
  </si>
  <si>
    <t>Durazno</t>
  </si>
  <si>
    <t>Manzano</t>
  </si>
  <si>
    <t>Peral</t>
  </si>
  <si>
    <t>Olivo</t>
  </si>
  <si>
    <t>Pistacho</t>
  </si>
  <si>
    <t>Incremento del Valor Neto de la Producción</t>
  </si>
  <si>
    <t>- Ministerio de Desarrollo Agrario y Riego
- Dirección Regional Agraria
-Organizaciones No Gubernamentales</t>
  </si>
  <si>
    <t>Los beneficios consisten en la ganancia que perciben los productores por la venta de la producción.
- Los beneficios “sin proyecto” vendrían a ser los beneficios que percibe la población en la actualidad, es decir, el Valor Neto de la Producción “sin proyecto”.
- El Valor Neto de la Producción “sin proyecto” se calcula de la diferencia de los ingresos por la venta de productos y servicios en la zona afectada y los costos de producción en la situación actual.</t>
  </si>
  <si>
    <t>- Para determinar los costos de producción “sin proyecto”, en la cédula de cultivo, se debe especificar el número de ha. de todos los cultivos, que se verían beneficiados con la ejecución del proyecto.
- Luego se procede a estimar los costos unitarios de producción para cada cultivo de la zona.
- Todos los costos y rendimientos se presentan para todo el período de análisis.
- Luego, se deben calcular los ingresos de los productores “sin proyecto”. Para ello, es necesario especificar el rendimiento por producto, número de ha. por producto y precio de los productos.
- Luego, se restan los ingresos y costos de cada producto para hallar los beneficios por producto.
- Finalmente se suman los beneficios de cada producto para hallar el Valor Neto de la Producción “sin proyecto”.
- Este ejercicio se debe realizar para cada período del proyecto en el horizonte de análisis.</t>
  </si>
  <si>
    <t>Mejoramiento</t>
  </si>
  <si>
    <t>Servicio de provisión de agua para riego</t>
  </si>
  <si>
    <t>PROVISIÓN DE AGUA PARA RIEGO</t>
  </si>
  <si>
    <t>Sistemas de Riego en mal estado</t>
  </si>
  <si>
    <t>Sistema</t>
  </si>
  <si>
    <t>Servicio de provisión de agua para riego.</t>
  </si>
  <si>
    <t>Volumen de agua requerido por usuarios</t>
  </si>
  <si>
    <r>
      <t>m</t>
    </r>
    <r>
      <rPr>
        <vertAlign val="superscript"/>
        <sz val="10"/>
        <rFont val="Arial"/>
        <family val="2"/>
      </rPr>
      <t>3</t>
    </r>
  </si>
  <si>
    <t xml:space="preserve">El servicio de Provisión de Agua para Riego o suministro de agua de uso productivo agrario consiste en la regulación, derivación o trasvase, conducción, distribución o abastecimiento en forma oportuna de acuerdo a los planes y programas de distribución autorizados por la Autoridad Nacional del Agua.
En concordancia con la Ley N° 29338 – Ley de Recursos Hídricos y su Reglamento, el servicio lo realiza los Operadores de Infraestructura Hidráulica Pública, con arreglo al Reglamento de Operadores de Infraestructura Hidráulica aprobado por la Autoridad Nacional del Agua. Reglamento que establece las condiciones que deben cumplir las entidades públicas o privadas y juntas de usuarios. 
Reglamento de la Ley 29338, Artículo 33.- Los operadores de infraestructura hidráulica pública. Los operadores de infraestructura hidráulica pública son las entidades, públicas o privadas, que prestan alguno o todos los servicios públicos siguientes: Regulación, derivación o trasvase, conducción, distribución o abastecimiento de agua. Son responsables de la operación, mantenimiento y desarrollo de la infraestructura hidráulica a su cargo, con arreglo al Reglamento de Operadores de Infraestructura Hidráulica aprobado por la Autoridad Nacional del Agua.
</t>
  </si>
  <si>
    <t>El servicio, consiste en la regulación, derivación o trasvase, conducción, distribución o abastecimiento en forma oportuna de acuerdo a los planes y programas de distribución autorizados por la Autoridad Nacional del Agua.</t>
  </si>
  <si>
    <t>Los parámetros que se deben analizar para la optimización de la oferta del servicio son la eficiencia de almacenamiento de agua y la eficiencia de captación de agua. Dichos parámetros del uso eficiente del agua de uso productivo agrario, son determinados por al Autoridad Nacional del Agua y deben ser evaluados constantemente por los Operadores de Infraestructura Hidraulica.</t>
  </si>
  <si>
    <t>Para la determinación de la demanda se deben analizar los siguientes parámetros: Evapotranspiración potencial, factor de cultivo (kc), precipitación efectiva, área de cultivos y la eficiencia de riego. Se considera que las áreas instaladas por cultivo se mantienen constante a lo largo del periodo de evaluación, asimismo la eficiencia de riego se mantiene constante.
La fuente de información es el SENAMHI, las Direcciones Regionales de Agricultura y la Autoridad Nacional del Agua.</t>
  </si>
  <si>
    <t>Estructura de Captación</t>
  </si>
  <si>
    <t>Deficiente Servicio de Provisión de Agua para riego</t>
  </si>
  <si>
    <t>Mide el número de sistemas de riego en mal estado existente, que se utiliza para irrigar la superficie bajo riego.</t>
  </si>
  <si>
    <t>Insuficiente disponibilidad de agua para riego</t>
  </si>
  <si>
    <t>Deficiente gestión de agua para riego</t>
  </si>
  <si>
    <t>Inadecuada infraestructura de derivación/captación.</t>
  </si>
  <si>
    <t>Inadecuada infraestructura de conducción.</t>
  </si>
  <si>
    <t>Inadecuada infraestructura de distribución.</t>
  </si>
  <si>
    <t>12</t>
  </si>
  <si>
    <t>13</t>
  </si>
  <si>
    <t>_cd12</t>
  </si>
  <si>
    <t>_cd13</t>
  </si>
  <si>
    <t>Débil organización de usuarios en la gestión.</t>
  </si>
  <si>
    <t>Deficiente operación y mantenimiento  del sistema de riego.</t>
  </si>
  <si>
    <t>Limitada capacidad de respuesta cuando se interrumpe el servicio.</t>
  </si>
  <si>
    <t>23</t>
  </si>
  <si>
    <t>_cd23</t>
  </si>
  <si>
    <t>Adecuada infraestructura de conducción.</t>
  </si>
  <si>
    <t>Adecuada infraestructura de derivación/captación.</t>
  </si>
  <si>
    <t>Adecuada infraestructura de distribución.</t>
  </si>
  <si>
    <t>_cd121</t>
  </si>
  <si>
    <t>_cd131</t>
  </si>
  <si>
    <t>_cd231</t>
  </si>
  <si>
    <t>Fortalecimiento de la organización de usuarios en la gestión</t>
  </si>
  <si>
    <t>Eficiente operación y mantenimiento  del sistema de riego.</t>
  </si>
  <si>
    <t>Adecuada capacidad de respuesta cuando se interrumpe el servicio.</t>
  </si>
  <si>
    <t>Sistemas de Riego en buen estado.</t>
  </si>
  <si>
    <t>Eficiente Servicio de Provisión de Agua para riego</t>
  </si>
  <si>
    <t>Mide el número de sistemas de riego en buen estado existente, que se utiliza para irrigar la superficie bajo riego.</t>
  </si>
  <si>
    <t>Bajo nivel de oferta de productos agrícolas al mercado.</t>
  </si>
  <si>
    <t>Disminución del grado de integración al mercado.</t>
  </si>
  <si>
    <t>Bajos ingresos de los productores agrarios.</t>
  </si>
  <si>
    <t>Pérdida de capital de trabajo.</t>
  </si>
  <si>
    <t>Abandono de la actividad agrícola.</t>
  </si>
  <si>
    <t>Migración de la población a las ciudades.</t>
  </si>
  <si>
    <t>Aumento del grado de integración al mercado.</t>
  </si>
  <si>
    <t>Alto nivel de oferta de productos agrícolas al mercado.</t>
  </si>
  <si>
    <t>Incremento ingresos de los productores agrarios.</t>
  </si>
  <si>
    <t>Recuperación de capital de trabajo.</t>
  </si>
  <si>
    <t>Incorporación a la actividad agrícola.</t>
  </si>
  <si>
    <t>Presencia de la población en las áreas agrícolas.</t>
  </si>
  <si>
    <t>Capacidades a los beneficiarios referente a la operación y mantenimiento.</t>
  </si>
  <si>
    <t>Estructura de Captación (Bocatoma)</t>
  </si>
  <si>
    <t>Canal de derivación (incluye transición a canal)</t>
  </si>
  <si>
    <t>Desarenador</t>
  </si>
  <si>
    <t>Aliviadero de demasias</t>
  </si>
  <si>
    <t>Barraje fijo</t>
  </si>
  <si>
    <t>Infraestructura de Captación</t>
  </si>
  <si>
    <t>Zona de limpia</t>
  </si>
  <si>
    <t>Infraestructura de Conducción</t>
  </si>
  <si>
    <t>Canal de conducción</t>
  </si>
  <si>
    <t>Infraestructura de Distribución</t>
  </si>
  <si>
    <t>Reservorio</t>
  </si>
  <si>
    <t>Canal de distribución</t>
  </si>
  <si>
    <t>Capaciadades a los beneficiarios ante la presencia de corte del servicio.</t>
  </si>
  <si>
    <t>Capacidades del personal de la U.P. ante la presencia de corte del servicio.</t>
  </si>
  <si>
    <t>Capacidades al personal responsable de la U.P. en operación y mantenimiento.</t>
  </si>
  <si>
    <t>Capacidades de los dirigentes referente a la gestión de la U.P.</t>
  </si>
  <si>
    <t>Capacidades del usuario referente a la gestión de la U.P.</t>
  </si>
  <si>
    <t>Capacidades del personal de la U.P. referente a la gestión.</t>
  </si>
  <si>
    <t>Equipos</t>
  </si>
  <si>
    <t>Adquisición</t>
  </si>
  <si>
    <t>Compuertas para estructura de derivación</t>
  </si>
  <si>
    <t>Compuertas para estructura de conducción</t>
  </si>
  <si>
    <t>Compuertas para estructuras de distribución</t>
  </si>
  <si>
    <t>10.01 Sostenibilidad financiera: cuando la tarifa/tasa está predeterminada</t>
  </si>
  <si>
    <t>Deberá efectuarse para aquellos proyectos de inversión que tienen generación de ingresos monetarios (por ejemplo, a través del cobro de peajes, tarifas, tasas,  cuotas, entre otros) por la prestación del servicio público sujeto de intervención.</t>
  </si>
  <si>
    <t>Tarifa por servicios (cuando corresponda)</t>
  </si>
  <si>
    <t>Tarifa que se cobra a los usuarios por M3</t>
  </si>
  <si>
    <t>Índice de cobertura de los ingresos</t>
  </si>
  <si>
    <t>Ítems</t>
  </si>
  <si>
    <t>Ingresos (a) tarifa x cantidad</t>
  </si>
  <si>
    <t>Costos de operación y mantenimiento con proyecto (b)</t>
  </si>
  <si>
    <t>Saldo a cubrir por otras fuentes (a)-(b). P.ej. Transferencias.</t>
  </si>
  <si>
    <t>Índice de cobertura de los ingresos (a)/(b)</t>
  </si>
  <si>
    <t>Análisis del flujo de caja para determinar el grado de autosostenibilidad</t>
  </si>
  <si>
    <t>El índice de cobertura de los ingresos es del 8.9, lo que significa que los Ingresos tarifa por cantidad son superiores a los costos de operación y mantenimiento con proyecto.</t>
  </si>
  <si>
    <t>10.02 Descripción de la capacidad institucional en la sostenibilidad del proyecto</t>
  </si>
  <si>
    <r>
      <t>Volumen de agua demandado (m</t>
    </r>
    <r>
      <rPr>
        <b/>
        <vertAlign val="superscript"/>
        <sz val="10"/>
        <rFont val="Arial"/>
        <family val="2"/>
      </rPr>
      <t>3</t>
    </r>
    <r>
      <rPr>
        <b/>
        <sz val="10"/>
        <rFont val="Arial"/>
        <family val="2"/>
      </rPr>
      <t>)</t>
    </r>
  </si>
  <si>
    <r>
      <t>Tarifa aprobada actual (S/./m</t>
    </r>
    <r>
      <rPr>
        <b/>
        <vertAlign val="superscript"/>
        <sz val="10"/>
        <rFont val="Arial"/>
        <family val="2"/>
      </rPr>
      <t>3</t>
    </r>
    <r>
      <rPr>
        <b/>
        <sz val="10"/>
        <rFont val="Arial"/>
        <family val="2"/>
      </rPr>
      <t>)</t>
    </r>
  </si>
  <si>
    <t>Los factores condicionantes para la definición del tamaño del proyecto, se encuentra dado por:
a) El caudal máximo mensual anual, como resultado del Balance hídrico.
b) La Oferta hídrica en el punto de derivación, aprobado por la Autoridad Nacional del Agua.
c) Distancia entre el punto de derivavión de agua y el último predio agrícola.</t>
  </si>
  <si>
    <t>El factor condicionante de la localización es la ubicación actual del punto de captación de agua para riego y las áreas agrícolas para la producción. Asimismo se deberá tomar en cuenta las obras de infraestructura de conducción y distribución.</t>
  </si>
  <si>
    <t>Captación/derivación</t>
  </si>
  <si>
    <t>Distribución</t>
  </si>
  <si>
    <t>Conducción</t>
  </si>
  <si>
    <t>Especificaciones técnicas</t>
  </si>
  <si>
    <t>Garantía del servicio de mantenimiento a los equipos</t>
  </si>
  <si>
    <t>Grado de dependencia del proveedor</t>
  </si>
  <si>
    <t>Entrenamiento que brindará el proveedor</t>
  </si>
  <si>
    <t>Obsolescencia tecnológica</t>
  </si>
  <si>
    <t>Seguridad industrial y riesgos ambientales asociados</t>
  </si>
  <si>
    <t>Condiciones climáticas y físicas</t>
  </si>
  <si>
    <t>Disponibilidad de recursos</t>
  </si>
  <si>
    <t>Concreto armado</t>
  </si>
  <si>
    <t>Concreto ciclópeo</t>
  </si>
  <si>
    <t>Enrocado</t>
  </si>
  <si>
    <t>Geoceldas</t>
  </si>
  <si>
    <t>PVC</t>
  </si>
  <si>
    <t>Tipos de tecnología</t>
  </si>
  <si>
    <t>Mampostería de piedra</t>
  </si>
  <si>
    <t>HDPE</t>
  </si>
  <si>
    <t>Acero</t>
  </si>
  <si>
    <t>PRFV</t>
  </si>
  <si>
    <t>Concreto simple</t>
  </si>
  <si>
    <t>Obras de arte en canal de distribución</t>
  </si>
  <si>
    <t>Cámara de carga en canal de distribución</t>
  </si>
  <si>
    <t>Aforador en canal de distribución</t>
  </si>
  <si>
    <t>Canal de conducción - Cámara de carga</t>
  </si>
  <si>
    <t>Captación/Derivación</t>
  </si>
  <si>
    <t>Provisión de agua para riego</t>
  </si>
  <si>
    <t>Consiste en transportar las aguas desde el punto de captación hasta los sistemas de infraestructura hidráulica menor o sistemas de distribución.</t>
  </si>
  <si>
    <t xml:space="preserve">Consiste en conducir el agua desde un punto de captación en la infraestructura hidráulica mayor o en la fuente natural de agua, hasta los puntos de entrega. </t>
  </si>
  <si>
    <t>Consiste en derivar las aguas de una fuente natural a las áreas de producción. Se consideran las acciones estructurales que permitan el traspaso del agua de una cuenca a otra.</t>
  </si>
  <si>
    <t>metros cúbicos</t>
  </si>
  <si>
    <t>3.03 Localización geográfica de la Unidad Productora</t>
  </si>
  <si>
    <t>3.02 Código de la unidad productora (en caso el sector lo haya definido)*</t>
  </si>
  <si>
    <t>3.04 Información general de la Unidad Productora</t>
  </si>
  <si>
    <t>3.05 Diagnóstico de procesos de la Unidad Productora</t>
  </si>
  <si>
    <t>Área bajo riego</t>
  </si>
  <si>
    <t>Nro de usuarios</t>
  </si>
  <si>
    <t>Resolución de la tarifa</t>
  </si>
  <si>
    <t>Longitud Km</t>
  </si>
  <si>
    <r>
      <t>Tarifa actual S/. por m</t>
    </r>
    <r>
      <rPr>
        <b/>
        <vertAlign val="superscript"/>
        <sz val="10"/>
        <rFont val="Arial"/>
        <family val="2"/>
      </rPr>
      <t>3</t>
    </r>
  </si>
  <si>
    <r>
      <t>Caudal m</t>
    </r>
    <r>
      <rPr>
        <b/>
        <vertAlign val="superscript"/>
        <sz val="10"/>
        <rFont val="Arial"/>
        <family val="2"/>
      </rPr>
      <t>3</t>
    </r>
    <r>
      <rPr>
        <b/>
        <sz val="10"/>
        <rFont val="Arial"/>
        <family val="2"/>
      </rPr>
      <t>/s</t>
    </r>
  </si>
  <si>
    <t>3.06 Diagnóstico de los activos de la UP</t>
  </si>
  <si>
    <t>Gestion</t>
  </si>
  <si>
    <t xml:space="preserve">3.07 Detallar las prácticas de mantenimiento de la UP </t>
  </si>
  <si>
    <t>3.08 Evolución de la producción de servicio provisto a los usuarios</t>
  </si>
  <si>
    <t>Registro de instituciones con información vinculada a la temática de peligros</t>
  </si>
  <si>
    <t>1. Sistema de Información para la Gestión del Riesgo de Desastres (SIGRID):</t>
  </si>
  <si>
    <t>http://sigrid.cenepred.gob.pe/sigridv3/mapa</t>
  </si>
  <si>
    <t>Es una plataforma geoespacial en la web, de libre acceso, diseñada para consultar, compartir, analizar y monitorear la información relacionada a los peligros, vulnerabilidades y riesgos originados por fenómenos naturales, así como información territorial a nivel nacional, la cual ha sido facilitada por las entidades técnico-científicas y entidades públicas del país relacionadas a la gestión de riesgos. Por tanto, solicitamos a nuestros usuarios el respeto a los derechos y el beneficio del crédito a los autores intelectuales de la información, propia o de las instituciones socias, publicada en este portal.</t>
  </si>
  <si>
    <t>a) Mapa de peligros del proyecto:</t>
  </si>
  <si>
    <t>Mapa de peligros generado por la funente de información SIGRID</t>
  </si>
  <si>
    <t>Análisis de la información:</t>
  </si>
  <si>
    <t>2. Instituto Geofísico del Perú (IGP):</t>
  </si>
  <si>
    <t>https://bndg.igp.gob.pe/portal/acelerometrica</t>
  </si>
  <si>
    <t>En el Geoservidor del Ministerio del Ambiente  se detallan las  zonas con riesgos para peligros de inundación, sequías, heladas y remoción en masas en las provincias y distritos de los departamentos de Ayacucho, Cusco, Piura, Puno y Tacna.</t>
  </si>
  <si>
    <t>a) Pasos para generar mapa de peligros del proyecto:</t>
  </si>
  <si>
    <t>Zonas con Riesgo de Desastres</t>
  </si>
  <si>
    <t>elegir la zona donde se realizara el proyecto</t>
  </si>
  <si>
    <t>haciendo clic en “MOSTRAR TABLA GRAFICO</t>
  </si>
  <si>
    <t>Aparecerá la siguiente Tabla/Gráficos</t>
  </si>
  <si>
    <t>Mapa de peligros generado</t>
  </si>
  <si>
    <t>3. Servicio Nacional de Meteorología e Hidrología del Perú (SENAMHI)</t>
  </si>
  <si>
    <t>https://www.senamhi.gob.pe/?&amp;p=estaciones</t>
  </si>
  <si>
    <t>En este gestor de búsquedas de datos, se podrá encontrar información hidrometeorológica y de volcanes a nivel nacional (principalmente información sobre temperatura, precipitación y vientos). Información actualizada hasta el 2018. Además de esto se puede encontrar también información acerca del Tiempo, clima, hidrología y agrometeorología.</t>
  </si>
  <si>
    <t>MAPAS HIDROMETEOROLÓGICOS GENERADOS</t>
  </si>
  <si>
    <t>Localidad</t>
  </si>
  <si>
    <t>DATOS HIDROMETEOROLÓGICOS GENERADOS</t>
  </si>
  <si>
    <t>Estación:</t>
  </si>
  <si>
    <t>4. Instituto Geológico Minero y Metalúrgico (INGEMMET):</t>
  </si>
  <si>
    <t>Link (INGEMMET)</t>
  </si>
  <si>
    <t>En el portal GEOCATMIN de INGEMMET se detalla Información a nivel nacional de peligros geológicos, movimientos, inundación fluvial y volcanes. Información actualizada hasta el 2018.</t>
  </si>
  <si>
    <t>5. Autoridad Nacional del Agua (ANA)</t>
  </si>
  <si>
    <t>En el portal GEOHIDRO de INGEMMET se detalla la Información relacionada a puntos críticos de inundaciones fluviales, infraestructura hidráulica de presas y ubicación de estaciones hidrométricas, así como poblaciones vulnerables. Información actualizada hasta el 2017</t>
  </si>
  <si>
    <t>6. Otras fuentes de información:</t>
  </si>
  <si>
    <t>En los casos donde no se cuenta con información del SIGRID, el formulador deberá consignar la fuente de información correspondiente. Éstas fuentes de información pueden obtenerse a través de los gobiernos regionales, en las oficinas correspondientes a Gestión de Riesgos</t>
  </si>
  <si>
    <t>Peligro:</t>
  </si>
  <si>
    <t>Area de Impacto</t>
  </si>
  <si>
    <t>Nombre de Peligro:</t>
  </si>
  <si>
    <t>Sistema de Información para la Gestión del Riesgo de Desastres (SIGRID)</t>
  </si>
  <si>
    <t>Análisis del peligro:</t>
  </si>
  <si>
    <t>Análisis de la caracterización de peligros</t>
  </si>
  <si>
    <t>1. Frecuencia</t>
  </si>
  <si>
    <t>Escala</t>
  </si>
  <si>
    <t>Criterio</t>
  </si>
  <si>
    <t>Muy alta</t>
  </si>
  <si>
    <t>Todos los años dentro del horizonte de evaluación y/o hasta dos megaeventos dentro del horizonte de evaluación</t>
  </si>
  <si>
    <t>Alta</t>
  </si>
  <si>
    <t>De 4 a 6 veces dentro del horizonte de evaluación y/o un megaevento dentro del horizonte de evaluación</t>
  </si>
  <si>
    <t xml:space="preserve">De 2 a 3 veces dentro del horizonte de evaluación. </t>
  </si>
  <si>
    <t>Baja</t>
  </si>
  <si>
    <t>Se presenta solo una vez dentro del horizonte de evaluación.</t>
  </si>
  <si>
    <t>1.1. Medición de la escala de frecuencia</t>
  </si>
  <si>
    <t>Peligros presentados en la zona</t>
  </si>
  <si>
    <t>Frecuencia promedio</t>
  </si>
  <si>
    <t>Cantidad de veces que ocurre el peligro dentro del horizonte de evaluación</t>
  </si>
  <si>
    <t>Escala de frecuencia</t>
  </si>
  <si>
    <t>Sistema de Información para la Gestión de Riesgos de Desastres</t>
  </si>
  <si>
    <t>Zonas con peligro potencial de deslizamiento, derrumbes y desprendimientos de rocas - Perú</t>
  </si>
  <si>
    <t>2. Intensidad</t>
  </si>
  <si>
    <t>Cuando su afectación puede paralizar por más de tres meses el servicio.</t>
  </si>
  <si>
    <t>Por más de 3 meses</t>
  </si>
  <si>
    <t>Cuando su afectación puede paralizar de uno a tres meses el servicio.</t>
  </si>
  <si>
    <t>De 1 a 3 meses</t>
  </si>
  <si>
    <t>Cuando su afectación puede paralizar entre una y tres semanas el servicio.</t>
  </si>
  <si>
    <t>De 1 a 3 semanas</t>
  </si>
  <si>
    <t>Cuando su afectación puede paralizar solo por algunos días el servicio</t>
  </si>
  <si>
    <t>Solo por algunos días</t>
  </si>
  <si>
    <t>2.1. Medición de la escala de intensidad</t>
  </si>
  <si>
    <t>Paralización del servicio</t>
  </si>
  <si>
    <t>Escala de intensidad</t>
  </si>
  <si>
    <t>3. Nivel de peligro</t>
  </si>
  <si>
    <t>Matriz de peligro</t>
  </si>
  <si>
    <t>3.1. Medición de la escala del nivel de peligro</t>
  </si>
  <si>
    <t>Frecuencia</t>
  </si>
  <si>
    <t>Intensidad</t>
  </si>
  <si>
    <t>Nivel de peligro</t>
  </si>
  <si>
    <t>1. Análisis De vulnerabilidad</t>
  </si>
  <si>
    <t>1.1. Fragilidad:</t>
  </si>
  <si>
    <t>Peligro</t>
  </si>
  <si>
    <t>Elemento / Activo</t>
  </si>
  <si>
    <t>Criterio por tipo de construcción</t>
  </si>
  <si>
    <t>Criterio por aplicación de mantenimiento</t>
  </si>
  <si>
    <t>Fragilidad por elemento</t>
  </si>
  <si>
    <t>Fragilidad de la UP frente a cada Peligro</t>
  </si>
  <si>
    <t>Calificación</t>
  </si>
  <si>
    <t xml:space="preserve">*El llenado del cuadro es para cada UP o para cada uno de sus activos (en caso presenten distinta localización) </t>
  </si>
  <si>
    <t>1.2. Resiliencia:</t>
  </si>
  <si>
    <t>Criterio por habilidades y capacidades del operador</t>
  </si>
  <si>
    <t>Criterio por organización de contingencia para la respuesta</t>
  </si>
  <si>
    <t>Resiliencia de la UP frente a cada Peligro</t>
  </si>
  <si>
    <t>Análisis global</t>
  </si>
  <si>
    <t>1.3. Vulnerabilidad:</t>
  </si>
  <si>
    <t>Para determinar el nivel de la vulnerabilidad de la UP, se realiza el cruce del valor de la fragilidad de la UP con el valor de la resiliencia de la UP para un determinado peligro</t>
  </si>
  <si>
    <t>1.4. Resumen de Fragilidad, resiliencia y nivel de vulnerabilidad de la UP frente a los peligros</t>
  </si>
  <si>
    <t>Nivel de fragilidad</t>
  </si>
  <si>
    <t>Nivel de resiliencia</t>
  </si>
  <si>
    <t>2. Determinación del nivel de riesgo, y estimación de daños y pérdidas</t>
  </si>
  <si>
    <t>Para determinar el nivel de riesgo de la UP, se cruza el valor de la vulnerabilidad de la UP para un determinado peligro con el valor del nivel de peligro.</t>
  </si>
  <si>
    <t>2.1. Estimación del Nivel de riesgo:</t>
  </si>
  <si>
    <t>Nivel de riesgo</t>
  </si>
  <si>
    <t>ALTERNATIVA 1:</t>
  </si>
  <si>
    <t>Análisis De vulnerabilidad</t>
  </si>
  <si>
    <t>a) Fragilidad:</t>
  </si>
  <si>
    <t>Elemento (Activo) mejorado y/o ampliado</t>
  </si>
  <si>
    <t>Fragilidad del PI frente a cada Peligro</t>
  </si>
  <si>
    <t>La estructura se cimentará sobre un afloramiento rocoso en un lecho permeable que garantice una alta resistencia</t>
  </si>
  <si>
    <t>Se ha previsto un plan de mantenimiento preventivo y correctivo del sistema de riego</t>
  </si>
  <si>
    <t>El canal principal será revestido de concreto simple y armado, tomando en consideración las normas pertinentes.</t>
  </si>
  <si>
    <t>Los canales laterales existentes se revisten de concreto simple y armado, tomando en consideración las normas pertinentes.</t>
  </si>
  <si>
    <t>Se ha previsto un plan de mantenimiento preventivo y correctivo del sistema de riego.</t>
  </si>
  <si>
    <t>La estructura se cimentará sobre un afloramiento rocoso en un lecho permeable, cuyo peso específico del material fluvial predominantemente en el río es 2500 kg/m.</t>
  </si>
  <si>
    <t>Se ha planificado un plan de mantenimiento preventivo y correctivo del sistema de riego.</t>
  </si>
  <si>
    <t xml:space="preserve">El canal principal será capaz de conducir un caudal de hasta 3,5 m3/s (10% adicional al caudal máximo calculado). Los canales serán revestidos de hormigón. En el km 1+150, donde el canal pasa sobre una quebrada, se construirá un acueducto. </t>
  </si>
  <si>
    <t>Los canales serán enterrados (con tubo de PVC). Los demás tramos de canales serán revestidos de hormigón.</t>
  </si>
  <si>
    <t>La estructura de la bocatoma se cimentará sobre un afloramiento rocoso y un lecho permeable que garantice una alta resistencia.</t>
  </si>
  <si>
    <t>Se revestirá de concreto simple y armado, tomando en consideración las normas pertinentes.</t>
  </si>
  <si>
    <t>b) Resiliencia:</t>
  </si>
  <si>
    <t>Resiliencia del PI frente a cada Peligro</t>
  </si>
  <si>
    <t>El PI contempla el fortalecimiento de capacidades mediante las siguientes medidas:
• 4 cursos de capacitación en operación y mantenimiento de la infraestructura de riego.
• 1 manual de operación</t>
  </si>
  <si>
    <t>El PI contempla un plan de contingencia, tendrá un comité operativo de respuesta y contará con herramientas y máquinas para acciones de rehabilitación.</t>
  </si>
  <si>
    <t>El PI contempla un plan de contingencia, tendrá un comité operativo de respuesta y contará con herramientas y máquinas para acciones de rehabilitación</t>
  </si>
  <si>
    <t>c) Vulnerabilidad:</t>
  </si>
  <si>
    <t>Cuadro resumen de Fragilidad, resiliencia y nivel de vulnerabilidad de la UP frente a los peligros</t>
  </si>
  <si>
    <t>Determinación del nivel de riesgo, y estimación de daños y pérdidas</t>
  </si>
  <si>
    <t>Estimación del Nivel de riesgo:</t>
  </si>
  <si>
    <t>Nivel de Peligro</t>
  </si>
  <si>
    <t>Nivel de Vulnerabilidad</t>
  </si>
  <si>
    <t>ALTERNATIVA 2:</t>
  </si>
  <si>
    <t>MEDIDAS DE REDUCCIÓN DE RIESGOS Y MEDIDAS DE ADAPTACIÓN AL CAMBIO CLIMÁTICO DEL PROYECTO Y ESTIMACIÓN DE SUS COSTOS</t>
  </si>
  <si>
    <t>Alternativa 1:</t>
  </si>
  <si>
    <t>MRR y MACC *</t>
  </si>
  <si>
    <t>Elementos del riesgo al que corresponde</t>
  </si>
  <si>
    <t>Costo S/.</t>
  </si>
  <si>
    <t>Subtotal</t>
  </si>
  <si>
    <t>Exposición</t>
  </si>
  <si>
    <t xml:space="preserve">Total    </t>
  </si>
  <si>
    <t>*MRR: Medidas de Reducción de Riesgos, MACC: Medidas de Adaptación al Cambio Climático</t>
  </si>
  <si>
    <t>Alternativa 2:</t>
  </si>
  <si>
    <t>Alternativa 3:</t>
  </si>
  <si>
    <t>Resumen de la incorporación de la GdR en CCC del PI de mejoramiento y ampliación</t>
  </si>
  <si>
    <t>IDENTIFICACIÓN</t>
  </si>
  <si>
    <t xml:space="preserve">FACTOR DE RIESGO-PELIGRO:   </t>
  </si>
  <si>
    <t>Factor del riesgo</t>
  </si>
  <si>
    <t>Valor factor sin MRR/MACC</t>
  </si>
  <si>
    <t>Si el elemento no está expuesto, no se realiza el análisis de fragilidad</t>
  </si>
  <si>
    <t>No es posible disminuir la exposición del elemento</t>
  </si>
  <si>
    <t>Es posible disminuir la exposición del elemento</t>
  </si>
  <si>
    <t>Fragilidad: tipo de construcción/instalación</t>
  </si>
  <si>
    <t>Fragilidad: mantenimiento</t>
  </si>
  <si>
    <t>Unidad Productora</t>
  </si>
  <si>
    <t>Resiliencia: capacidades</t>
  </si>
  <si>
    <t>Resiliencia: organización</t>
  </si>
  <si>
    <t>Nivel de resiliencia de la UP sin mejorar y ampliar</t>
  </si>
  <si>
    <t xml:space="preserve">          Factor del riesgo</t>
  </si>
  <si>
    <t>Valor con MRR/MACC</t>
  </si>
  <si>
    <t>MRR/MACC (información viene de identificación)</t>
  </si>
  <si>
    <t>Costo S/</t>
  </si>
  <si>
    <t>Estructura cimentada sobre afloramiento rocoso</t>
  </si>
  <si>
    <t>1 plan de mantenimiento preventivo y correctivo del sistema de riego</t>
  </si>
  <si>
    <t>Incremento de capacidad de carga. Acueductos. Tapado del canal.
1 plan de mantenimiento preventivo y correctivo del sistema de riego</t>
  </si>
  <si>
    <t>Canales enterrados de PVC</t>
  </si>
  <si>
    <t xml:space="preserve">
Unidad Productora mejorada/
ampliada/
recuperada
</t>
  </si>
  <si>
    <t>Plan de contingencia y muy pocas herramientas</t>
  </si>
  <si>
    <t>4 cursos de capacitación para el pago de la tarifa de agua</t>
  </si>
  <si>
    <t xml:space="preserve">4 cursos de capacitación en el uso eficiente y técnicas de agua para riego </t>
  </si>
  <si>
    <t>4 cursos de capacitación en operación y mantenimiento de la infraestructura</t>
  </si>
  <si>
    <t>1 manual de operación y 1 de plan de contingencia para inundaciones</t>
  </si>
  <si>
    <t>1 comité operativo de respuesta, herramientas y máquinas</t>
  </si>
  <si>
    <t>Herramientas y máquinas</t>
  </si>
  <si>
    <t>Nivel de resiliencia de la UP con mejora y/o ampliación</t>
  </si>
  <si>
    <t>Total: S/.</t>
  </si>
  <si>
    <t>3.09 Estimar la exposición de la UP del Proyecto, frente a los peligros identificados en el diagnóstico del área de estudio</t>
  </si>
  <si>
    <t>¿Es posible disminuir la exposición del elemento?</t>
  </si>
  <si>
    <t>Comentario</t>
  </si>
  <si>
    <t>3.10 Describir la vulnerabilidad de la U.P. del Proyecto, por factores de fragilidad y resiliencia</t>
  </si>
  <si>
    <t>a) Resumen de la fragilidad, resiliencia y nivel de vulnerabilidad de la UP frente a los peligros</t>
  </si>
  <si>
    <t>Nivel de Resiliencia</t>
  </si>
  <si>
    <t>Nivel de Fragilidad</t>
  </si>
  <si>
    <t>b) Determinación del nivel de riesgo</t>
  </si>
  <si>
    <t>Nivel dePeligro</t>
  </si>
  <si>
    <t>Nivel de Riesgo</t>
  </si>
  <si>
    <t>3.11 Estimación de daños y pérdidas</t>
  </si>
  <si>
    <t>Tramo</t>
  </si>
  <si>
    <t>Daños y pérdidas</t>
  </si>
  <si>
    <t>3.12 Mapa de peligros de la UP y su área de influencia</t>
  </si>
  <si>
    <t>a) Registro de instituciones con información vinculada a la temática de peligros</t>
  </si>
  <si>
    <t>b) Matriz de identificación de peligros</t>
  </si>
  <si>
    <t>2.06 Caracterización de peligros en el área de estudio</t>
  </si>
  <si>
    <t>a) Area de impacto</t>
  </si>
  <si>
    <t>b) Análisis de frecuencia e intensidad</t>
  </si>
  <si>
    <t>Caracterizacion de los peligros</t>
  </si>
  <si>
    <t>¿Puede afectar la Unidad Productora?</t>
  </si>
  <si>
    <t>¿Requieren más información de campo?</t>
  </si>
  <si>
    <t>Fuente de Información revisada</t>
  </si>
  <si>
    <t>a) Análisis de exposición de los elementos del PI a los Peligros del Área de Estudio</t>
  </si>
  <si>
    <t>Elementos / Activos mejorados y/o ampliados</t>
  </si>
  <si>
    <t>¿Se puede cambiar de localización a otra que disminuya la exposición?</t>
  </si>
  <si>
    <t>a) Análisis de fragilidad, resiliencia y nivel de vulnerabilidad de la UP frente a los peligros</t>
  </si>
  <si>
    <t>8.07 ANÁLISIS DE EXPOSICIÓN</t>
  </si>
  <si>
    <t>8.08 ANÁLISIS DE VULNERABILIDAD</t>
  </si>
  <si>
    <t>8.09. ESTIMACIÓN DEL RIESGO RESIDUAL Y DE LOS DAÑOS Y PÉRDIDAS DEL PROYECTO DE INVERSIÓN</t>
  </si>
  <si>
    <t>- Encuestas a los agricultores sobre niveles de ingresos de la actividad agrícola.
- Encuesta sobre condiciones socioeconómicas.</t>
  </si>
  <si>
    <t>Los indicadores económicos del pais se mantien estables.</t>
  </si>
  <si>
    <t>La autoridad local del agua debe otorogar volumen adecuado para la disponibilidad hídrica en oportunidad cantidad y calidad de agua.</t>
  </si>
  <si>
    <t>- Estadísticas del operador de infraestructura hidráulica (Junta de usuarios).
- Informe de la administración local del agua.</t>
  </si>
  <si>
    <t>- Existen disponibilidad de materiales y agregados para la realización de obras.
- Estricto cumplimiento del expediente técnico aprobado y las especificaciones técnicas.
- La Comisión de Regantes aporta puntualmente el cofinanciamiento.
- Los usuarios participan activamente en el proceso de capacitación.
- Se cuenta con una cartera de profesional con experiencia en capacitación a productores y organización de regantes.</t>
  </si>
  <si>
    <t>- Expediente técnico.
- Acta de inicio de Obra.
- Reportes e informes de la Entidad Ejecutora.
- Infrorme de supervisión.
- Acta de Fin de Obra y Transparencia a usuarios.
- Liquidación física y financiera de la Obra.
- Cierre del proyecto.</t>
  </si>
  <si>
    <t>- Las técnicas agrícolas se adaptan a la mayor disponibilidad de agua.
- El operador hidráulico cumpla de manera eficiente el plan de operación y mantenimiento, aprobado por la autoridad local del agua.
- Cuenta con un balance hídrico que asegura la operación de la infraestructura de riego de la cuenca, asegura el recurso.
- Se cuenta con tecnologías y personal capacitado para la ejecución de las obras de infraestructura de derivación/capacitación, conducción y distribución.</t>
  </si>
  <si>
    <t>Incremento de la eficiencia de captación de  65% al 80%, a partir del primer año de funcionamiento del proyecto.</t>
  </si>
  <si>
    <t>La Autoridad Local del Agua debe verificar la eficiencia del servicio.</t>
  </si>
  <si>
    <t>- Actas de participación en eventos de fortalecimiento.
- Manual de Implementación de acciones ante la interrupción del servicio.</t>
  </si>
  <si>
    <t>- Actas de participación en eventos de fortalecimiento. 
- Manual de Operación y Mantenimiento del Operador Hidraulico
- Actas de participación en eventos de la organización de usuarios</t>
  </si>
  <si>
    <t>- Actas de participación en eventos de fortalecimiento. 
- Actas de participación en eventos de la organización de usuarios</t>
  </si>
  <si>
    <t>Medio de Verificación Marco Lógico</t>
  </si>
  <si>
    <t>Componente del Marco Lógico (Medios Fundamentales)</t>
  </si>
  <si>
    <t>Indicadores del Marco Lógico</t>
  </si>
  <si>
    <t>Mejora de las condiciones socioeconómicas de los usuarios del servicio de agua para riego</t>
  </si>
  <si>
    <t>Solicitar a las áreas pertinentes la aprobación de este perfil de proyecto y continuar con la elaboración del expediente técnico y su ejecución, por ser de necesidad vital para la población involucrada en el estudio, a fin de  solucionar el problema de la provisión de agua para riego y de esta manera contribuir a mejorar el nivel de vida de la población.</t>
  </si>
  <si>
    <r>
      <rPr>
        <b/>
        <sz val="10"/>
        <color theme="1"/>
        <rFont val="Arial"/>
        <family val="2"/>
      </rPr>
      <t>Variables críticas que pueden influir en la estimación de los costos de inversión</t>
    </r>
    <r>
      <rPr>
        <sz val="10"/>
        <color theme="1"/>
        <rFont val="Arial"/>
        <family val="2"/>
      </rPr>
      <t xml:space="preserve">
Es importante considerar la necesidad de determinar los volúmenes de las canteras de arena gruesa, arena fina, piedra chancada y material de préstamo con la mayor precisión posible, a fin de garantizar la disponibilidad de dichos recursos durante la ejecución de las obras, ya que se pueden generar mayores costos por cambio de cantera y mayores distancias de transporte.
Asimismo, es importante señalar que es importante desarrollar una adecuada gestión de la implementación del proyecto, dando cumplimiento al contrato, y previendo los riesgos a tiempo para mitigarlos o evitarlos, de manera que puedan cumplirse los plazos establecidos y el sistema de riego se encuentre funcionando lo antes posible.</t>
    </r>
  </si>
  <si>
    <r>
      <rPr>
        <b/>
        <sz val="10"/>
        <color theme="1"/>
        <rFont val="Arial"/>
        <family val="2"/>
      </rPr>
      <t>Las condiciones que podrían afectar la sostenibilidad del proyecto</t>
    </r>
    <r>
      <rPr>
        <sz val="10"/>
        <color theme="1"/>
        <rFont val="Arial"/>
        <family val="2"/>
      </rPr>
      <t xml:space="preserve">
La sostenibilidad de proyecto podría ser afectada principalmente por un inadecuado mantenimiento de las obras, dependiendo de esto su buen desempeño, es decir el mantenimiento de la infraestructura de captación, conducción y distribución. </t>
    </r>
  </si>
  <si>
    <r>
      <rPr>
        <b/>
        <sz val="10"/>
        <color theme="1"/>
        <rFont val="Arial"/>
        <family val="2"/>
      </rPr>
      <t>Otros aspectos:</t>
    </r>
    <r>
      <rPr>
        <sz val="10"/>
        <color theme="1"/>
        <rFont val="Arial"/>
        <family val="2"/>
      </rPr>
      <t xml:space="preserve">
El proyecto contempla un componente de implementación de capacidades referente a la gestión de la Operación y Mantenimiento y las capacidades de la población y el operador hiraulico ante la presencia de corte del servicio, siendo pertinente desarrollar y actualizar las capacidades de la población por grupos (menores de edad, ancianos, autoridades,etc.), de manera que se personalice la forma de llegar a las personas.</t>
    </r>
  </si>
  <si>
    <r>
      <t xml:space="preserve">7. </t>
    </r>
    <r>
      <rPr>
        <b/>
        <sz val="10"/>
        <rFont val="Arial"/>
        <family val="2"/>
      </rPr>
      <t>Atributo 1: Que se encuentra alineado al cierre de brechas de infraestructura y/o servicios públicos.</t>
    </r>
    <r>
      <rPr>
        <sz val="10"/>
        <rFont val="Arial"/>
        <family val="2"/>
      </rPr>
      <t xml:space="preserve">
El proyecto se encuentra alineado al cierre de brechas de infraestructura que brinda el servicio de provisión de agua para riego, debido a que plantea la reducción de los sistemas de riego en mal estado.</t>
    </r>
  </si>
  <si>
    <r>
      <t xml:space="preserve">9. </t>
    </r>
    <r>
      <rPr>
        <b/>
        <sz val="10"/>
        <rFont val="Arial"/>
        <family val="2"/>
      </rPr>
      <t>Atributo 3: Que asegure las condiciones para que dicho bienestar social generado sea sostenible durante la fase de funcionamiento del proyecto de inversión.</t>
    </r>
    <r>
      <rPr>
        <sz val="10"/>
        <rFont val="Arial"/>
        <family val="2"/>
      </rPr>
      <t xml:space="preserve">
La sostenibilidad del bienestar social durante la fase de funcionamiento del proyecto está asegurada, en la medida que se está considerando la garantía del mantenimiento adecuado del sistema de riego, mediante compromiso del Operador Hidraulico o la organización que haga sus veces, desginado por la Autoridad Nacional del Agua, de tal forma que los flujos de beneficios que genera el proyecto referido a brindar el servicio de agua para riego, no se vean interrumpidos por una falta de mantenimiento o un deficiente mantenimiento.</t>
    </r>
  </si>
  <si>
    <r>
      <t xml:space="preserve">8. </t>
    </r>
    <r>
      <rPr>
        <b/>
        <sz val="10"/>
        <rFont val="Arial"/>
        <family val="2"/>
      </rPr>
      <t>Atributo 2: Su contribución al bienestar de la población beneficiaria en particular y del resto de la sociedad en general.</t>
    </r>
    <r>
      <rPr>
        <sz val="10"/>
        <rFont val="Arial"/>
        <family val="2"/>
      </rPr>
      <t xml:space="preserve">
El proyecto incide directamente sobre el nivel socio económico de los usuarios del sistema de riego proporcionandoles recurso hídrico en cantidad, calidad y oportunidad. Con el proyecto se reducirán las pérdidas del recurso hídrico y permitirá incrementar la producción agrícola y los ingresos de los usuarios del servicio.</t>
    </r>
  </si>
  <si>
    <t>Estudios preliminares del análisis técnico,  que sustentan la elección del Tamaño, Tecnología y Localización:
- Estudio topográfico.
- Estudio Hidrológico.
- Estudio Geológico y Geotécnico.
- Inventario de Infraestructura Hidráulica.
- Diseño hidraulico y estructural</t>
  </si>
  <si>
    <t>Información asociada a diagnóstico de la unidad productora y de la población afectada:
- Plano Clave, en el cual se muestra la ubicación del sistema de riego y las áreas que son atendidas por el mismo - Utilizar GPS</t>
  </si>
  <si>
    <t>Documentos institucionales :
- Acreditación de disponibilidad hídrica emitida por la Autoridad Nacional del Agua (ANA).
- Acta de aceptación del proyecto debidamente aprobada en asamblea general  Firmada por la Directiva Comunal / Directiva de la organización de beneficrios, alcalde y otras autoridades locales ( Licencia Social del Proyecto).
- Acta de compromiso de operación y mantenimiento firmada por la junta directiva de la organización de usuarios y beneficiarios.
- Padrón de usuarios debidamente firmado por la junta directiva de la organización de usuarios  y los beneficiarios.
- Acta de libre disponibilidad del terreno aprobada en asamblea general, firmada por los propietarios, Directiva Comunal / Directiva de la organización de usuarios, alcalde y otras autoridades locales.
- Acta de sensibilizacion sobre el poryecto.
Nota: Dichos documentos debidamente autenticado por Juez de Paz No Letrado o  Notario Público.</t>
  </si>
  <si>
    <t>- Ingeniero Agrícola o Civil, avalado con Título Profesional y Diploma de Colegiado.
- Experiencia específica mínima de dos (02) años en la Formulación de Estudios de Preinversión de Proyectos de infraestructura de riego; acreditado mediante la presentación de copia simple de contratos de trabajo, constancias o certificados.
- Capacitación en Formulación de Proyectos de Inversión Pública, de acuerdo al Sistema Nacional de Programación Multianual y Gestión de Inversiones (INVIERTE.pe), no menor de 80 horas.</t>
  </si>
  <si>
    <t>- Ingeniero Geólogo, avalado con Título Profesional y Diploma de Colegiado.
- Experiencia específica mínima de dos (02) años en elaboración de Estudios de Geología y Geotecnia para infraestructura hidraúlica, acreditado mediante la presentación de copia simple de contratos de trabajo, constancias o certificados.</t>
  </si>
  <si>
    <t>- Ingeniero Agrícola, Civil o Mecánico de Fluidos, avalado con Título Profesional y Diploma de Colegiado.
- Experiencia específica mínima de dos (02) años en elaboración de Estudios de Hidrología para estudios de preinversión de la tipología de Infraestructura de Riego, acreditado mediante la presentación de copia simple de contratos de trabajo, constancias o certificados.</t>
  </si>
  <si>
    <t>- Economista, Ingeniero Economista, Agrícola o Civil, avalado con Título Profesional y Diploma de Colegiado.
- Experiencia específica mínima de dos (02) años en Evaluación Económica de Proyectos de infraestructura de riego; acreditado mediante la presentación de copia simple de contratos de trabajo, constancias o certificados.
- Capacitación en Formulación y Evaluación de Proyectos de Inversión Pública.</t>
  </si>
  <si>
    <t>La elaboración de la presente, se calcula que tendrá una duración de no menos de cuarenta y cinco días calendario. Donde se considera la elaboración del levantamiento topográfico, el estudio geológico-geotécnico, el análisis de riesgos ante desastres, el diseño de la infraestructura de riego y la formulación y evaluación.
Para su elaboración se requeriría un promedio de 1550 horas-hombre de mano de obra calificada y de 500 horas-hombre de mano de obra semi-calificada.
En ese sentido, debemos indicar que la utilización de la presente ficha no permitiría reducir el tiempo de elaboración de estudios en 15 días calendario, que en promedio significaría la utilización de 520 horas-hombre calificada, que en valores monetarios significaría S/. 26,000.00</t>
  </si>
  <si>
    <t>10.03 Gestión integral de los riesgos</t>
  </si>
  <si>
    <t>Canal de conduccion - Obras de arte</t>
  </si>
  <si>
    <t>Canal de conducción - Aforador</t>
  </si>
  <si>
    <t>10 AGROPECUARIA</t>
  </si>
  <si>
    <t>025 RIEGO</t>
  </si>
  <si>
    <t>0050 INFRAESTRUCTURA DE RIEGO</t>
  </si>
  <si>
    <t>INFRAESTRUCTURA DE RIEGO</t>
  </si>
  <si>
    <t>Número tipos de suelo</t>
  </si>
  <si>
    <t>4.04. Percepción de riesgo por los pobladores</t>
  </si>
  <si>
    <t>Cantidad de encuestados</t>
  </si>
  <si>
    <t>Percepción del riesgo por los pobladores</t>
  </si>
  <si>
    <t>Análisis de los resultados:</t>
  </si>
  <si>
    <t/>
  </si>
  <si>
    <t>SERVICIO DE PROVISIÓN DE AGUA PARA RIEGO</t>
  </si>
  <si>
    <t>Bocatoma</t>
  </si>
  <si>
    <t>Canal principal/madre</t>
  </si>
  <si>
    <t>Label208</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</si>
</sst>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164" formatCode="_-* #,##0.00_-;\-* #,##0.00_-;_-* &quot;-&quot;??_-;_-@_-"/>
    <numFmt numFmtId="165" formatCode="_-* #,##0\ &quot;€&quot;_-;\-* #,##0\ &quot;€&quot;_-;_-* &quot;-&quot;\ &quot;€&quot;_-;_-@_-"/>
    <numFmt numFmtId="166" formatCode="_-* #,##0\ _€_-;\-* #,##0\ _€_-;_-* &quot;-&quot;??\ _€_-;_-@_-"/>
    <numFmt numFmtId="167" formatCode="#\ &quot;E&quot;"/>
    <numFmt numFmtId="168" formatCode="#\ &quot;N&quot;"/>
    <numFmt numFmtId="169" formatCode="#,##0.0"/>
    <numFmt numFmtId="170" formatCode="0.000"/>
    <numFmt numFmtId="171" formatCode="#,##0.00_ ;[Red]\-#,##0.00\ "/>
    <numFmt numFmtId="172" formatCode="0.0000"/>
    <numFmt numFmtId="173" formatCode="&quot;AÑO &quot;##0"/>
    <numFmt numFmtId="174" formatCode="#,##0.00_ ;\-#,##0.00\ "/>
    <numFmt numFmtId="175" formatCode="#,##0.000"/>
    <numFmt numFmtId="176" formatCode="0.000;[Red]0.000"/>
    <numFmt numFmtId="177" formatCode="#,##0.000_);\(#,##0.000\)"/>
    <numFmt numFmtId="178" formatCode="#,##0.000;[Red]#,##0.000"/>
    <numFmt numFmtId="179" formatCode="0.00;[Red]0.00"/>
    <numFmt numFmtId="180" formatCode="0.0000000"/>
    <numFmt numFmtId="181" formatCode="0.000000000"/>
    <numFmt numFmtId="182" formatCode="0.0"/>
  </numFmts>
  <fonts count="89" x14ac:knownFonts="1">
    <font>
      <sz val="11"/>
      <color theme="1"/>
      <name val="Calibri"/>
      <family val="2"/>
      <scheme val="minor"/>
    </font>
    <font>
      <sz val="10"/>
      <name val="Arial"/>
      <family val="2"/>
    </font>
    <font>
      <b/>
      <sz val="10"/>
      <color theme="1"/>
      <name val="Arial"/>
      <family val="2"/>
    </font>
    <font>
      <b/>
      <sz val="10"/>
      <color indexed="9"/>
      <name val="Arial"/>
      <family val="2"/>
    </font>
    <font>
      <sz val="10"/>
      <color indexed="9"/>
      <name val="Arial"/>
      <family val="2"/>
    </font>
    <font>
      <b/>
      <sz val="10"/>
      <name val="Arial"/>
      <family val="2"/>
    </font>
    <font>
      <b/>
      <sz val="10"/>
      <color rgb="FF000000"/>
      <name val="Arial"/>
      <family val="2"/>
    </font>
    <font>
      <sz val="10"/>
      <color rgb="FF000000"/>
      <name val="Arial"/>
      <family val="2"/>
    </font>
    <font>
      <sz val="10"/>
      <color rgb="FF000000"/>
      <name val="Agency FB"/>
      <family val="2"/>
    </font>
    <font>
      <b/>
      <sz val="11"/>
      <color theme="1"/>
      <name val="Calibri"/>
      <family val="2"/>
      <scheme val="minor"/>
    </font>
    <font>
      <sz val="12"/>
      <name val="Agency FB"/>
      <family val="2"/>
    </font>
    <font>
      <sz val="10"/>
      <color theme="1"/>
      <name val="Arial"/>
      <family val="2"/>
    </font>
    <font>
      <sz val="10"/>
      <color theme="0"/>
      <name val="Arial"/>
      <family val="2"/>
    </font>
    <font>
      <b/>
      <sz val="12"/>
      <name val="Times New Roman"/>
      <family val="1"/>
    </font>
    <font>
      <i/>
      <sz val="10"/>
      <name val="Arial"/>
      <family val="2"/>
    </font>
    <font>
      <sz val="10"/>
      <name val="Agency FB"/>
      <family val="2"/>
    </font>
    <font>
      <b/>
      <i/>
      <sz val="10"/>
      <name val="Arial"/>
      <family val="2"/>
    </font>
    <font>
      <sz val="9"/>
      <color theme="1"/>
      <name val="Arial"/>
      <family val="2"/>
    </font>
    <font>
      <sz val="10"/>
      <color rgb="FF0070C0"/>
      <name val="Arial"/>
      <family val="2"/>
    </font>
    <font>
      <sz val="12"/>
      <name val="Times New Roman"/>
      <family val="1"/>
    </font>
    <font>
      <b/>
      <u/>
      <sz val="10"/>
      <name val="Arial"/>
      <family val="2"/>
    </font>
    <font>
      <sz val="11"/>
      <name val="Agency FB"/>
      <family val="2"/>
    </font>
    <font>
      <sz val="9"/>
      <name val="Arial"/>
      <family val="2"/>
    </font>
    <font>
      <sz val="11"/>
      <name val="Arial"/>
      <family val="2"/>
    </font>
    <font>
      <b/>
      <sz val="9"/>
      <name val="Arial"/>
      <family val="2"/>
    </font>
    <font>
      <b/>
      <sz val="11"/>
      <name val="Arial"/>
      <family val="2"/>
    </font>
    <font>
      <sz val="10"/>
      <color theme="1" tint="0.34998626667073579"/>
      <name val="Arial"/>
      <family val="2"/>
    </font>
    <font>
      <b/>
      <sz val="12"/>
      <color theme="1"/>
      <name val="Calibri"/>
      <family val="2"/>
      <scheme val="minor"/>
    </font>
    <font>
      <i/>
      <sz val="12"/>
      <name val="Arial"/>
      <family val="2"/>
    </font>
    <font>
      <b/>
      <sz val="8"/>
      <name val="Arial"/>
      <family val="2"/>
    </font>
    <font>
      <sz val="11"/>
      <color theme="1"/>
      <name val="Calibri"/>
      <family val="2"/>
      <scheme val="minor"/>
    </font>
    <font>
      <sz val="12"/>
      <color theme="1"/>
      <name val="Calibri"/>
      <family val="2"/>
      <scheme val="minor"/>
    </font>
    <font>
      <b/>
      <sz val="14"/>
      <color theme="1"/>
      <name val="Calibri"/>
      <family val="2"/>
      <scheme val="minor"/>
    </font>
    <font>
      <sz val="14"/>
      <name val="Arial"/>
      <family val="2"/>
    </font>
    <font>
      <sz val="14"/>
      <name val="Times New Roman"/>
      <family val="1"/>
    </font>
    <font>
      <sz val="8"/>
      <color theme="1"/>
      <name val="Verdana"/>
      <family val="2"/>
    </font>
    <font>
      <b/>
      <sz val="16"/>
      <color theme="1"/>
      <name val="Calibri"/>
      <family val="2"/>
      <scheme val="minor"/>
    </font>
    <font>
      <b/>
      <sz val="11"/>
      <color theme="1"/>
      <name val="Arial"/>
      <family val="2"/>
    </font>
    <font>
      <sz val="10"/>
      <color theme="1"/>
      <name val="Agency FB"/>
      <family val="2"/>
    </font>
    <font>
      <sz val="16"/>
      <name val="Agency FB"/>
      <family val="2"/>
    </font>
    <font>
      <sz val="8"/>
      <name val="Arial"/>
      <family val="2"/>
    </font>
    <font>
      <sz val="11"/>
      <name val="Times New Roman"/>
      <family val="1"/>
    </font>
    <font>
      <sz val="11"/>
      <color rgb="FFFF0000"/>
      <name val="Calibri"/>
      <family val="2"/>
      <scheme val="minor"/>
    </font>
    <font>
      <b/>
      <sz val="10"/>
      <color rgb="FFFF0000"/>
      <name val="Calibri"/>
      <family val="2"/>
      <scheme val="minor"/>
    </font>
    <font>
      <b/>
      <i/>
      <sz val="10"/>
      <color theme="0"/>
      <name val="Calibri"/>
      <family val="2"/>
      <scheme val="minor"/>
    </font>
    <font>
      <sz val="10"/>
      <color theme="1"/>
      <name val="Calibri"/>
      <family val="2"/>
      <scheme val="minor"/>
    </font>
    <font>
      <b/>
      <sz val="10"/>
      <color theme="1"/>
      <name val="Calibri"/>
      <family val="2"/>
      <scheme val="minor"/>
    </font>
    <font>
      <sz val="11"/>
      <color theme="0"/>
      <name val="Calibri"/>
      <family val="2"/>
      <scheme val="minor"/>
    </font>
    <font>
      <sz val="11"/>
      <name val="Calibri"/>
      <family val="2"/>
      <scheme val="minor"/>
    </font>
    <font>
      <b/>
      <vertAlign val="superscript"/>
      <sz val="10"/>
      <name val="Arial"/>
      <family val="2"/>
    </font>
    <font>
      <i/>
      <sz val="10"/>
      <color theme="1"/>
      <name val="Calibri"/>
      <family val="2"/>
      <scheme val="minor"/>
    </font>
    <font>
      <b/>
      <sz val="10"/>
      <color theme="0"/>
      <name val="Arial"/>
      <family val="2"/>
    </font>
    <font>
      <sz val="11"/>
      <color theme="0" tint="-0.14999847407452621"/>
      <name val="Calibri"/>
      <family val="2"/>
      <scheme val="minor"/>
    </font>
    <font>
      <sz val="10"/>
      <color theme="0" tint="-0.14999847407452621"/>
      <name val="Arial"/>
      <family val="2"/>
    </font>
    <font>
      <b/>
      <sz val="12"/>
      <color theme="1"/>
      <name val="Arial"/>
      <family val="2"/>
    </font>
    <font>
      <sz val="10"/>
      <color rgb="FF000080"/>
      <name val="Arial"/>
      <family val="2"/>
    </font>
    <font>
      <sz val="10"/>
      <name val="Calibri"/>
      <family val="2"/>
      <scheme val="minor"/>
    </font>
    <font>
      <sz val="8"/>
      <color theme="1"/>
      <name val="Calibri"/>
      <family val="2"/>
      <scheme val="minor"/>
    </font>
    <font>
      <b/>
      <sz val="10"/>
      <color theme="0" tint="-0.14999847407452621"/>
      <name val="Arial"/>
      <family val="2"/>
    </font>
    <font>
      <vertAlign val="superscript"/>
      <sz val="11"/>
      <color theme="1"/>
      <name val="Calibri"/>
      <family val="2"/>
      <scheme val="minor"/>
    </font>
    <font>
      <sz val="10"/>
      <color theme="0"/>
      <name val="Agency FB"/>
      <family val="2"/>
    </font>
    <font>
      <sz val="9"/>
      <color theme="0"/>
      <name val="Agency FB"/>
      <family val="2"/>
    </font>
    <font>
      <sz val="12"/>
      <color theme="0"/>
      <name val="Times New Roman"/>
      <family val="1"/>
    </font>
    <font>
      <b/>
      <sz val="11"/>
      <color theme="0"/>
      <name val="Calibri"/>
      <family val="2"/>
      <scheme val="minor"/>
    </font>
    <font>
      <b/>
      <sz val="14"/>
      <name val="Arial"/>
      <family val="2"/>
    </font>
    <font>
      <b/>
      <sz val="12"/>
      <name val="Arial Black"/>
      <family val="2"/>
    </font>
    <font>
      <b/>
      <sz val="12"/>
      <color theme="0"/>
      <name val="Arial"/>
      <family val="2"/>
    </font>
    <font>
      <u/>
      <sz val="10"/>
      <color theme="1"/>
      <name val="Arial"/>
      <family val="2"/>
    </font>
    <font>
      <b/>
      <vertAlign val="superscript"/>
      <sz val="10"/>
      <color theme="0"/>
      <name val="Arial"/>
      <family val="2"/>
    </font>
    <font>
      <b/>
      <sz val="12"/>
      <name val="Arial"/>
      <family val="2"/>
    </font>
    <font>
      <sz val="11"/>
      <color theme="0"/>
      <name val="Arial"/>
      <family val="2"/>
    </font>
    <font>
      <b/>
      <vertAlign val="superscript"/>
      <sz val="12"/>
      <name val="Arial"/>
      <family val="2"/>
    </font>
    <font>
      <sz val="10"/>
      <name val="Tahoma"/>
      <family val="2"/>
    </font>
    <font>
      <b/>
      <sz val="10"/>
      <color indexed="12"/>
      <name val="Arial"/>
      <family val="2"/>
    </font>
    <font>
      <sz val="10"/>
      <color indexed="12"/>
      <name val="Arial"/>
      <family val="2"/>
    </font>
    <font>
      <vertAlign val="superscript"/>
      <sz val="10"/>
      <name val="Arial"/>
      <family val="2"/>
    </font>
    <font>
      <sz val="10"/>
      <color theme="2" tint="-9.9978637043366805E-2"/>
      <name val="Arial"/>
      <family val="2"/>
    </font>
    <font>
      <u/>
      <sz val="11"/>
      <color theme="10"/>
      <name val="Calibri"/>
      <family val="2"/>
      <scheme val="minor"/>
    </font>
    <font>
      <u/>
      <sz val="9"/>
      <color theme="10"/>
      <name val="Calibri"/>
      <family val="2"/>
      <scheme val="minor"/>
    </font>
    <font>
      <u/>
      <sz val="11"/>
      <color theme="0"/>
      <name val="Calibri"/>
      <family val="2"/>
      <scheme val="minor"/>
    </font>
    <font>
      <u/>
      <sz val="8"/>
      <color theme="10"/>
      <name val="Calibri"/>
      <family val="2"/>
      <scheme val="minor"/>
    </font>
    <font>
      <b/>
      <sz val="11"/>
      <color theme="0"/>
      <name val="Arial"/>
      <family val="2"/>
    </font>
    <font>
      <sz val="11"/>
      <color theme="1"/>
      <name val="Arial"/>
      <family val="2"/>
    </font>
    <font>
      <sz val="20"/>
      <color theme="1"/>
      <name val="Calibri"/>
      <family val="2"/>
      <scheme val="minor"/>
    </font>
    <font>
      <sz val="10"/>
      <color theme="5" tint="0.79998168889431442"/>
      <name val="Arial"/>
      <family val="2"/>
    </font>
    <font>
      <b/>
      <sz val="14"/>
      <color theme="1"/>
      <name val="Arial"/>
      <family val="2"/>
    </font>
    <font>
      <b/>
      <sz val="11"/>
      <color rgb="FF000000"/>
      <name val="Calibri"/>
      <family val="2"/>
      <scheme val="minor"/>
    </font>
    <font>
      <b/>
      <sz val="22"/>
      <color theme="1"/>
      <name val="Arial"/>
      <family val="2"/>
    </font>
    <font>
      <b/>
      <sz val="11"/>
      <color rgb="FF000000"/>
      <name val="Calibri"/>
      <family val="2"/>
    </font>
  </fonts>
  <fills count="41">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indexed="9"/>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F9E5"/>
        <bgColor indexed="64"/>
      </patternFill>
    </fill>
    <fill>
      <patternFill patternType="solid">
        <fgColor theme="0"/>
        <bgColor indexed="64"/>
      </patternFill>
    </fill>
    <fill>
      <patternFill patternType="solid">
        <fgColor theme="2"/>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rgb="FFFDFDDB"/>
        <bgColor indexed="64"/>
      </patternFill>
    </fill>
    <fill>
      <patternFill patternType="solid">
        <fgColor rgb="FFDBFAFD"/>
        <bgColor indexed="64"/>
      </patternFill>
    </fill>
    <fill>
      <patternFill patternType="solid">
        <fgColor theme="6" tint="0.79998168889431442"/>
        <bgColor indexed="64"/>
      </patternFill>
    </fill>
    <fill>
      <patternFill patternType="solid">
        <fgColor rgb="FF003366"/>
        <bgColor indexed="64"/>
      </patternFill>
    </fill>
    <fill>
      <patternFill patternType="solid">
        <fgColor rgb="FFD9E1F2"/>
        <bgColor indexed="64"/>
      </patternFill>
    </fill>
    <fill>
      <patternFill patternType="solid">
        <fgColor rgb="FFFFFFFF"/>
        <bgColor indexed="64"/>
      </patternFill>
    </fill>
    <fill>
      <patternFill patternType="solid">
        <fgColor theme="3" tint="-0.249977111117893"/>
        <bgColor indexed="64"/>
      </patternFill>
    </fill>
    <fill>
      <patternFill patternType="solid">
        <fgColor theme="8" tint="-0.499984740745262"/>
        <bgColor indexed="64"/>
      </patternFill>
    </fill>
    <fill>
      <patternFill patternType="solid">
        <fgColor indexed="22"/>
        <bgColor indexed="64"/>
      </patternFill>
    </fill>
    <fill>
      <patternFill patternType="solid">
        <fgColor rgb="FFFFFF00"/>
        <bgColor indexed="64"/>
      </patternFill>
    </fill>
    <fill>
      <patternFill patternType="solid">
        <fgColor theme="7" tint="0.59999389629810485"/>
        <bgColor indexed="64"/>
      </patternFill>
    </fill>
    <fill>
      <patternFill patternType="solid">
        <fgColor theme="5"/>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49998474074526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00B050"/>
        <bgColor indexed="64"/>
      </patternFill>
    </fill>
    <fill>
      <patternFill patternType="solid">
        <fgColor theme="5" tint="0.39997558519241921"/>
        <bgColor indexed="64"/>
      </patternFill>
    </fill>
    <fill>
      <patternFill patternType="solid">
        <fgColor theme="1" tint="4.9989318521683403E-2"/>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rgb="FFF2F2F2"/>
        <bgColor indexed="64"/>
      </patternFill>
    </fill>
    <fill>
      <patternFill patternType="solid">
        <fgColor theme="4" tint="0.79998168889431442"/>
        <bgColor indexed="64"/>
      </patternFill>
    </fill>
  </fills>
  <borders count="259">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theme="0" tint="-0.34998626667073579"/>
      </top>
      <bottom/>
      <diagonal/>
    </border>
    <border>
      <left/>
      <right/>
      <top style="thin">
        <color theme="0" tint="-0.34998626667073579"/>
      </top>
      <bottom/>
      <diagonal/>
    </border>
    <border>
      <left/>
      <right style="medium">
        <color indexed="64"/>
      </right>
      <top style="thin">
        <color theme="0" tint="-0.34998626667073579"/>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right style="thin">
        <color theme="0" tint="-0.34998626667073579"/>
      </right>
      <top style="thin">
        <color theme="0" tint="-0.34998626667073579"/>
      </top>
      <bottom/>
      <diagonal/>
    </border>
    <border>
      <left style="thin">
        <color theme="1"/>
      </left>
      <right style="thin">
        <color theme="1"/>
      </right>
      <top style="thin">
        <color theme="1"/>
      </top>
      <bottom style="thin">
        <color theme="1"/>
      </bottom>
      <diagonal/>
    </border>
    <border>
      <left style="thin">
        <color theme="0" tint="-0.34998626667073579"/>
      </left>
      <right style="thin">
        <color theme="0" tint="-0.34998626667073579"/>
      </right>
      <top style="thin">
        <color theme="0" tint="-0.34998626667073579"/>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34998626667073579"/>
      </left>
      <right style="thin">
        <color theme="0" tint="-0.34998626667073579"/>
      </right>
      <top/>
      <bottom/>
      <diagonal/>
    </border>
    <border>
      <left style="thin">
        <color indexed="64"/>
      </left>
      <right style="thin">
        <color indexed="64"/>
      </right>
      <top/>
      <bottom/>
      <diagonal/>
    </border>
    <border>
      <left style="medium">
        <color theme="1"/>
      </left>
      <right style="medium">
        <color theme="1"/>
      </right>
      <top style="medium">
        <color theme="1"/>
      </top>
      <bottom style="medium">
        <color theme="1"/>
      </bottom>
      <diagonal/>
    </border>
    <border>
      <left style="thin">
        <color theme="1"/>
      </left>
      <right style="thin">
        <color theme="0" tint="-0.34998626667073579"/>
      </right>
      <top style="thin">
        <color theme="1"/>
      </top>
      <bottom style="thin">
        <color theme="1"/>
      </bottom>
      <diagonal/>
    </border>
    <border>
      <left style="thin">
        <color theme="0" tint="-0.34998626667073579"/>
      </left>
      <right style="thin">
        <color theme="0" tint="-0.34998626667073579"/>
      </right>
      <top style="thin">
        <color theme="1"/>
      </top>
      <bottom style="thin">
        <color theme="1"/>
      </bottom>
      <diagonal/>
    </border>
    <border>
      <left style="thin">
        <color theme="0" tint="-0.34998626667073579"/>
      </left>
      <right style="thin">
        <color theme="1"/>
      </right>
      <top style="thin">
        <color theme="1"/>
      </top>
      <bottom style="thin">
        <color theme="1"/>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diagonal/>
    </border>
    <border>
      <left/>
      <right/>
      <top/>
      <bottom style="thin">
        <color theme="0" tint="-0.34998626667073579"/>
      </bottom>
      <diagonal/>
    </border>
    <border>
      <left style="thin">
        <color theme="0" tint="-0.34998626667073579"/>
      </left>
      <right style="medium">
        <color indexed="64"/>
      </right>
      <top style="thin">
        <color theme="0" tint="-0.34998626667073579"/>
      </top>
      <bottom style="medium">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thin">
        <color indexed="64"/>
      </left>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left>
      <right/>
      <top style="thin">
        <color theme="1"/>
      </top>
      <bottom/>
      <diagonal/>
    </border>
    <border>
      <left/>
      <right/>
      <top style="thin">
        <color theme="1"/>
      </top>
      <bottom/>
      <diagonal/>
    </border>
    <border>
      <left/>
      <right style="thin">
        <color indexed="64"/>
      </right>
      <top style="thin">
        <color theme="1"/>
      </top>
      <bottom/>
      <diagonal/>
    </border>
    <border>
      <left style="thin">
        <color theme="1"/>
      </left>
      <right/>
      <top/>
      <bottom style="thin">
        <color theme="1"/>
      </bottom>
      <diagonal/>
    </border>
    <border>
      <left/>
      <right/>
      <top/>
      <bottom style="thin">
        <color theme="1"/>
      </bottom>
      <diagonal/>
    </border>
    <border>
      <left/>
      <right style="thin">
        <color indexed="64"/>
      </right>
      <top/>
      <bottom style="thin">
        <color theme="1"/>
      </bottom>
      <diagonal/>
    </border>
    <border>
      <left/>
      <right/>
      <top style="thin">
        <color indexed="64"/>
      </top>
      <bottom style="thin">
        <color theme="0" tint="-0.34998626667073579"/>
      </bottom>
      <diagonal/>
    </border>
    <border>
      <left style="thin">
        <color theme="0" tint="-0.34998626667073579"/>
      </left>
      <right/>
      <top style="thin">
        <color theme="0" tint="-0.34998626667073579"/>
      </top>
      <bottom style="medium">
        <color indexed="64"/>
      </bottom>
      <diagonal/>
    </border>
    <border>
      <left/>
      <right style="thin">
        <color theme="0" tint="-0.34998626667073579"/>
      </right>
      <top style="thin">
        <color theme="0" tint="-0.34998626667073579"/>
      </top>
      <bottom style="medium">
        <color indexed="64"/>
      </bottom>
      <diagonal/>
    </border>
    <border>
      <left/>
      <right style="medium">
        <color indexed="64"/>
      </right>
      <top style="thin">
        <color theme="0" tint="-0.34998626667073579"/>
      </top>
      <bottom style="thin">
        <color theme="0" tint="-0.34998626667073579"/>
      </bottom>
      <diagonal/>
    </border>
    <border>
      <left style="thin">
        <color theme="0" tint="-0.34998626667073579"/>
      </left>
      <right/>
      <top/>
      <bottom style="medium">
        <color indexed="64"/>
      </bottom>
      <diagonal/>
    </border>
    <border>
      <left/>
      <right style="thin">
        <color theme="0" tint="-0.499984740745262"/>
      </right>
      <top style="thin">
        <color theme="0" tint="-0.499984740745262"/>
      </top>
      <bottom style="thin">
        <color theme="0" tint="-0.499984740745262"/>
      </bottom>
      <diagonal/>
    </border>
    <border>
      <left style="medium">
        <color auto="1"/>
      </left>
      <right style="thin">
        <color theme="0" tint="-0.499984740745262"/>
      </right>
      <top style="medium">
        <color auto="1"/>
      </top>
      <bottom style="medium">
        <color auto="1"/>
      </bottom>
      <diagonal/>
    </border>
    <border>
      <left style="thin">
        <color theme="0" tint="-0.499984740745262"/>
      </left>
      <right style="medium">
        <color auto="1"/>
      </right>
      <top style="medium">
        <color auto="1"/>
      </top>
      <bottom style="medium">
        <color auto="1"/>
      </bottom>
      <diagonal/>
    </border>
    <border>
      <left style="thin">
        <color theme="0" tint="-0.34998626667073579"/>
      </left>
      <right/>
      <top style="thin">
        <color theme="0" tint="-0.34998626667073579"/>
      </top>
      <bottom style="hair">
        <color theme="0" tint="-0.34998626667073579"/>
      </bottom>
      <diagonal/>
    </border>
    <border>
      <left/>
      <right/>
      <top style="thin">
        <color theme="0" tint="-0.34998626667073579"/>
      </top>
      <bottom style="hair">
        <color theme="0" tint="-0.34998626667073579"/>
      </bottom>
      <diagonal/>
    </border>
    <border>
      <left/>
      <right style="thin">
        <color theme="0" tint="-0.34998626667073579"/>
      </right>
      <top style="thin">
        <color theme="0" tint="-0.34998626667073579"/>
      </top>
      <bottom style="hair">
        <color theme="0" tint="-0.34998626667073579"/>
      </bottom>
      <diagonal/>
    </border>
    <border>
      <left style="thin">
        <color theme="0" tint="-0.34998626667073579"/>
      </left>
      <right/>
      <top style="hair">
        <color theme="0" tint="-0.34998626667073579"/>
      </top>
      <bottom style="hair">
        <color theme="0" tint="-0.34998626667073579"/>
      </bottom>
      <diagonal/>
    </border>
    <border>
      <left/>
      <right/>
      <top style="hair">
        <color theme="0" tint="-0.34998626667073579"/>
      </top>
      <bottom style="hair">
        <color theme="0" tint="-0.34998626667073579"/>
      </bottom>
      <diagonal/>
    </border>
    <border>
      <left/>
      <right style="thin">
        <color theme="0" tint="-0.34998626667073579"/>
      </right>
      <top style="hair">
        <color theme="0" tint="-0.34998626667073579"/>
      </top>
      <bottom style="hair">
        <color theme="0" tint="-0.34998626667073579"/>
      </bottom>
      <diagonal/>
    </border>
    <border>
      <left style="thin">
        <color theme="0" tint="-0.34998626667073579"/>
      </left>
      <right/>
      <top style="hair">
        <color theme="0" tint="-0.34998626667073579"/>
      </top>
      <bottom style="thin">
        <color theme="0" tint="-0.34998626667073579"/>
      </bottom>
      <diagonal/>
    </border>
    <border>
      <left/>
      <right/>
      <top style="hair">
        <color theme="0" tint="-0.34998626667073579"/>
      </top>
      <bottom style="thin">
        <color theme="0" tint="-0.34998626667073579"/>
      </bottom>
      <diagonal/>
    </border>
    <border>
      <left/>
      <right style="thin">
        <color theme="0" tint="-0.34998626667073579"/>
      </right>
      <top style="hair">
        <color theme="0" tint="-0.34998626667073579"/>
      </top>
      <bottom style="thin">
        <color theme="0" tint="-0.34998626667073579"/>
      </bottom>
      <diagonal/>
    </border>
    <border>
      <left style="thin">
        <color theme="0" tint="-0.34998626667073579"/>
      </left>
      <right/>
      <top style="thin">
        <color theme="1"/>
      </top>
      <bottom/>
      <diagonal/>
    </border>
    <border>
      <left/>
      <right style="thin">
        <color theme="0" tint="-0.34998626667073579"/>
      </right>
      <top style="thin">
        <color theme="1"/>
      </top>
      <bottom/>
      <diagonal/>
    </border>
    <border>
      <left style="thin">
        <color theme="1"/>
      </left>
      <right/>
      <top/>
      <bottom/>
      <diagonal/>
    </border>
    <border>
      <left style="thin">
        <color theme="0" tint="-0.499984740745262"/>
      </left>
      <right style="medium">
        <color auto="1"/>
      </right>
      <top style="thin">
        <color theme="0" tint="-0.499984740745262"/>
      </top>
      <bottom/>
      <diagonal/>
    </border>
    <border>
      <left style="thin">
        <color theme="0" tint="-0.499984740745262"/>
      </left>
      <right style="medium">
        <color auto="1"/>
      </right>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rgb="FFA6A6A6"/>
      </left>
      <right style="thin">
        <color rgb="FFA6A6A6"/>
      </right>
      <top style="thin">
        <color rgb="FFA6A6A6"/>
      </top>
      <bottom style="thin">
        <color rgb="FFA6A6A6"/>
      </bottom>
      <diagonal/>
    </border>
    <border>
      <left style="thin">
        <color rgb="FFFFFFFF"/>
      </left>
      <right style="thin">
        <color rgb="FFFFFFFF"/>
      </right>
      <top style="thin">
        <color rgb="FFFFFFFF"/>
      </top>
      <bottom style="thin">
        <color rgb="FFFFFFFF"/>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medium">
        <color auto="1"/>
      </right>
      <top style="medium">
        <color auto="1"/>
      </top>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theme="1"/>
      </left>
      <right style="thin">
        <color theme="1"/>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diagonal/>
    </border>
    <border>
      <left/>
      <right/>
      <top style="thin">
        <color theme="2" tint="-0.499984740745262"/>
      </top>
      <bottom/>
      <diagonal/>
    </border>
    <border>
      <left/>
      <right style="thin">
        <color theme="2" tint="-0.499984740745262"/>
      </right>
      <top style="thin">
        <color theme="2" tint="-0.499984740745262"/>
      </top>
      <bottom/>
      <diagonal/>
    </border>
    <border>
      <left style="thin">
        <color theme="2" tint="-0.499984740745262"/>
      </left>
      <right/>
      <top/>
      <bottom/>
      <diagonal/>
    </border>
    <border>
      <left/>
      <right style="thin">
        <color theme="2" tint="-0.499984740745262"/>
      </right>
      <top/>
      <bottom/>
      <diagonal/>
    </border>
    <border>
      <left style="thin">
        <color theme="2" tint="-0.499984740745262"/>
      </left>
      <right/>
      <top/>
      <bottom style="thin">
        <color theme="2" tint="-0.499984740745262"/>
      </bottom>
      <diagonal/>
    </border>
    <border>
      <left/>
      <right/>
      <top/>
      <bottom style="thin">
        <color theme="2" tint="-0.499984740745262"/>
      </bottom>
      <diagonal/>
    </border>
    <border>
      <left/>
      <right style="thin">
        <color theme="2" tint="-0.499984740745262"/>
      </right>
      <top/>
      <bottom style="thin">
        <color theme="2" tint="-0.499984740745262"/>
      </bottom>
      <diagonal/>
    </border>
    <border>
      <left style="medium">
        <color theme="2" tint="-0.499984740745262"/>
      </left>
      <right/>
      <top style="medium">
        <color theme="2" tint="-0.499984740745262"/>
      </top>
      <bottom/>
      <diagonal/>
    </border>
    <border>
      <left/>
      <right/>
      <top style="medium">
        <color theme="2" tint="-0.499984740745262"/>
      </top>
      <bottom/>
      <diagonal/>
    </border>
    <border>
      <left/>
      <right style="medium">
        <color theme="2" tint="-0.499984740745262"/>
      </right>
      <top style="medium">
        <color theme="2" tint="-0.499984740745262"/>
      </top>
      <bottom/>
      <diagonal/>
    </border>
    <border>
      <left style="medium">
        <color theme="2" tint="-0.499984740745262"/>
      </left>
      <right/>
      <top/>
      <bottom/>
      <diagonal/>
    </border>
    <border>
      <left/>
      <right style="medium">
        <color theme="2" tint="-0.499984740745262"/>
      </right>
      <top/>
      <bottom/>
      <diagonal/>
    </border>
    <border>
      <left style="medium">
        <color theme="2" tint="-0.49998474074526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2" tint="-0.249977111117893"/>
      </left>
      <right/>
      <top style="thin">
        <color theme="2" tint="-0.249977111117893"/>
      </top>
      <bottom style="thin">
        <color theme="2" tint="-0.249977111117893"/>
      </bottom>
      <diagonal/>
    </border>
    <border>
      <left/>
      <right/>
      <top style="thin">
        <color theme="2" tint="-0.249977111117893"/>
      </top>
      <bottom style="thin">
        <color theme="2" tint="-0.249977111117893"/>
      </bottom>
      <diagonal/>
    </border>
    <border>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diagonal/>
    </border>
    <border>
      <left/>
      <right/>
      <top style="thin">
        <color theme="2" tint="-0.249977111117893"/>
      </top>
      <bottom/>
      <diagonal/>
    </border>
    <border>
      <left/>
      <right style="thin">
        <color theme="2" tint="-0.249977111117893"/>
      </right>
      <top style="thin">
        <color theme="2" tint="-0.249977111117893"/>
      </top>
      <bottom/>
      <diagonal/>
    </border>
    <border>
      <left style="thin">
        <color theme="2" tint="-0.249977111117893"/>
      </left>
      <right/>
      <top/>
      <bottom/>
      <diagonal/>
    </border>
    <border>
      <left/>
      <right style="thin">
        <color theme="2" tint="-0.249977111117893"/>
      </right>
      <top/>
      <bottom/>
      <diagonal/>
    </border>
    <border>
      <left style="thin">
        <color theme="2" tint="-0.249977111117893"/>
      </left>
      <right/>
      <top/>
      <bottom style="thin">
        <color theme="2" tint="-0.249977111117893"/>
      </bottom>
      <diagonal/>
    </border>
    <border>
      <left/>
      <right/>
      <top/>
      <bottom style="thin">
        <color theme="2" tint="-0.249977111117893"/>
      </bottom>
      <diagonal/>
    </border>
    <border>
      <left/>
      <right style="thin">
        <color theme="2" tint="-0.249977111117893"/>
      </right>
      <top/>
      <bottom style="thin">
        <color theme="2" tint="-0.249977111117893"/>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medium">
        <color theme="2" tint="-0.499984740745262"/>
      </left>
      <right style="thin">
        <color theme="2" tint="-0.499984740745262"/>
      </right>
      <top style="medium">
        <color theme="2" tint="-0.499984740745262"/>
      </top>
      <bottom style="thin">
        <color theme="2" tint="-0.499984740745262"/>
      </bottom>
      <diagonal/>
    </border>
    <border>
      <left style="thin">
        <color theme="2" tint="-0.499984740745262"/>
      </left>
      <right style="thin">
        <color theme="2" tint="-0.499984740745262"/>
      </right>
      <top style="medium">
        <color theme="2" tint="-0.499984740745262"/>
      </top>
      <bottom style="thin">
        <color theme="2" tint="-0.499984740745262"/>
      </bottom>
      <diagonal/>
    </border>
    <border>
      <left style="thin">
        <color theme="2" tint="-0.499984740745262"/>
      </left>
      <right/>
      <top style="medium">
        <color theme="2" tint="-0.499984740745262"/>
      </top>
      <bottom style="thin">
        <color theme="2" tint="-0.499984740745262"/>
      </bottom>
      <diagonal/>
    </border>
    <border>
      <left/>
      <right style="medium">
        <color theme="2" tint="-0.499984740745262"/>
      </right>
      <top style="medium">
        <color theme="2" tint="-0.499984740745262"/>
      </top>
      <bottom style="thin">
        <color theme="2" tint="-0.499984740745262"/>
      </bottom>
      <diagonal/>
    </border>
    <border>
      <left style="medium">
        <color theme="2" tint="-0.499984740745262"/>
      </left>
      <right/>
      <top style="medium">
        <color theme="2" tint="-0.499984740745262"/>
      </top>
      <bottom style="thin">
        <color theme="2" tint="-0.499984740745262"/>
      </bottom>
      <diagonal/>
    </border>
    <border>
      <left/>
      <right/>
      <top style="medium">
        <color theme="2" tint="-0.499984740745262"/>
      </top>
      <bottom style="thin">
        <color theme="2" tint="-0.499984740745262"/>
      </bottom>
      <diagonal/>
    </border>
    <border>
      <left style="medium">
        <color theme="2" tint="-0.499984740745262"/>
      </left>
      <right style="thin">
        <color theme="2" tint="-0.499984740745262"/>
      </right>
      <top style="thin">
        <color theme="2" tint="-0.499984740745262"/>
      </top>
      <bottom style="medium">
        <color theme="2" tint="-0.499984740745262"/>
      </bottom>
      <diagonal/>
    </border>
    <border>
      <left style="thin">
        <color theme="2" tint="-0.499984740745262"/>
      </left>
      <right style="thin">
        <color theme="2" tint="-0.499984740745262"/>
      </right>
      <top style="thin">
        <color theme="2" tint="-0.499984740745262"/>
      </top>
      <bottom style="medium">
        <color theme="2" tint="-0.499984740745262"/>
      </bottom>
      <diagonal/>
    </border>
    <border>
      <left style="thin">
        <color theme="2" tint="-0.499984740745262"/>
      </left>
      <right/>
      <top style="thin">
        <color theme="2" tint="-0.499984740745262"/>
      </top>
      <bottom style="medium">
        <color theme="2" tint="-0.499984740745262"/>
      </bottom>
      <diagonal/>
    </border>
    <border>
      <left/>
      <right/>
      <top style="thin">
        <color theme="2" tint="-0.499984740745262"/>
      </top>
      <bottom style="medium">
        <color theme="2" tint="-0.499984740745262"/>
      </bottom>
      <diagonal/>
    </border>
    <border>
      <left/>
      <right style="thin">
        <color theme="2" tint="-0.499984740745262"/>
      </right>
      <top style="thin">
        <color theme="2" tint="-0.499984740745262"/>
      </top>
      <bottom style="medium">
        <color theme="2" tint="-0.499984740745262"/>
      </bottom>
      <diagonal/>
    </border>
    <border>
      <left style="thin">
        <color theme="2" tint="-0.499984740745262"/>
      </left>
      <right style="medium">
        <color theme="2" tint="-0.499984740745262"/>
      </right>
      <top style="medium">
        <color theme="2" tint="-0.499984740745262"/>
      </top>
      <bottom style="thin">
        <color theme="2" tint="-0.499984740745262"/>
      </bottom>
      <diagonal/>
    </border>
    <border>
      <left style="medium">
        <color theme="2" tint="-0.499984740745262"/>
      </left>
      <right style="medium">
        <color theme="2" tint="-0.499984740745262"/>
      </right>
      <top style="medium">
        <color theme="2" tint="-0.499984740745262"/>
      </top>
      <bottom/>
      <diagonal/>
    </border>
    <border>
      <left style="medium">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style="medium">
        <color theme="2" tint="-0.499984740745262"/>
      </right>
      <top style="thin">
        <color theme="2" tint="-0.499984740745262"/>
      </top>
      <bottom style="thin">
        <color theme="2" tint="-0.499984740745262"/>
      </bottom>
      <diagonal/>
    </border>
    <border>
      <left style="medium">
        <color theme="2" tint="-0.499984740745262"/>
      </left>
      <right style="medium">
        <color theme="2" tint="-0.499984740745262"/>
      </right>
      <top/>
      <bottom/>
      <diagonal/>
    </border>
    <border>
      <left style="thin">
        <color theme="2" tint="-0.499984740745262"/>
      </left>
      <right style="medium">
        <color theme="2" tint="-0.499984740745262"/>
      </right>
      <top style="thin">
        <color theme="2" tint="-0.499984740745262"/>
      </top>
      <bottom style="medium">
        <color theme="2" tint="-0.499984740745262"/>
      </bottom>
      <diagonal/>
    </border>
    <border>
      <left style="medium">
        <color theme="2" tint="-0.499984740745262"/>
      </left>
      <right style="medium">
        <color theme="2" tint="-0.499984740745262"/>
      </right>
      <top/>
      <bottom style="medium">
        <color theme="2" tint="-0.499984740745262"/>
      </bottom>
      <diagonal/>
    </border>
    <border>
      <left/>
      <right style="thin">
        <color theme="2" tint="-0.499984740745262"/>
      </right>
      <top style="medium">
        <color theme="2" tint="-0.499984740745262"/>
      </top>
      <bottom style="thin">
        <color theme="2" tint="-0.499984740745262"/>
      </bottom>
      <diagonal/>
    </border>
    <border>
      <left style="thin">
        <color theme="2" tint="-0.499984740745262"/>
      </left>
      <right style="thin">
        <color theme="2" tint="-0.499984740745262"/>
      </right>
      <top/>
      <bottom/>
      <diagonal/>
    </border>
    <border>
      <left style="thin">
        <color theme="2" tint="-0.499984740745262"/>
      </left>
      <right style="thin">
        <color theme="2" tint="-0.499984740745262"/>
      </right>
      <top/>
      <bottom style="thin">
        <color theme="2" tint="-0.499984740745262"/>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medium">
        <color rgb="FF000000"/>
      </right>
      <top/>
      <bottom/>
      <diagonal/>
    </border>
    <border>
      <left style="medium">
        <color theme="2" tint="-0.499984740745262"/>
      </left>
      <right style="thin">
        <color theme="2" tint="-0.499984740745262"/>
      </right>
      <top style="medium">
        <color theme="2" tint="-0.499984740745262"/>
      </top>
      <bottom/>
      <diagonal/>
    </border>
    <border>
      <left style="thin">
        <color theme="2" tint="-0.499984740745262"/>
      </left>
      <right style="thin">
        <color theme="2" tint="-0.499984740745262"/>
      </right>
      <top style="medium">
        <color theme="2" tint="-0.499984740745262"/>
      </top>
      <bottom/>
      <diagonal/>
    </border>
    <border>
      <left style="thin">
        <color theme="2" tint="-0.499984740745262"/>
      </left>
      <right style="medium">
        <color theme="2" tint="-0.499984740745262"/>
      </right>
      <top style="medium">
        <color theme="2" tint="-0.499984740745262"/>
      </top>
      <bottom/>
      <diagonal/>
    </border>
    <border>
      <left/>
      <right style="thin">
        <color theme="2" tint="-0.249977111117893"/>
      </right>
      <top style="medium">
        <color theme="2" tint="-0.499984740745262"/>
      </top>
      <bottom/>
      <diagonal/>
    </border>
    <border>
      <left/>
      <right style="thin">
        <color theme="2" tint="-0.249977111117893"/>
      </right>
      <top/>
      <bottom style="medium">
        <color theme="2" tint="-0.499984740745262"/>
      </bottom>
      <diagonal/>
    </border>
    <border>
      <left style="thin">
        <color theme="2" tint="-0.249977111117893"/>
      </left>
      <right/>
      <top style="thin">
        <color theme="2" tint="-0.499984740745262"/>
      </top>
      <bottom style="medium">
        <color theme="2" tint="-0.499984740745262"/>
      </bottom>
      <diagonal/>
    </border>
    <border>
      <left/>
      <right style="thin">
        <color theme="2" tint="-0.499984740745262"/>
      </right>
      <top style="medium">
        <color theme="2" tint="-0.499984740745262"/>
      </top>
      <bottom/>
      <diagonal/>
    </border>
    <border>
      <left style="thin">
        <color theme="2" tint="-0.499984740745262"/>
      </left>
      <right style="medium">
        <color theme="2" tint="-0.499984740745262"/>
      </right>
      <top/>
      <bottom style="thin">
        <color theme="2" tint="-0.499984740745262"/>
      </bottom>
      <diagonal/>
    </border>
    <border>
      <left style="thin">
        <color theme="2" tint="-0.499984740745262"/>
      </left>
      <right style="medium">
        <color theme="2" tint="-0.499984740745262"/>
      </right>
      <top style="thin">
        <color theme="2" tint="-0.499984740745262"/>
      </top>
      <bottom/>
      <diagonal/>
    </border>
    <border>
      <left style="thin">
        <color theme="2" tint="-0.499984740745262"/>
      </left>
      <right style="thin">
        <color theme="2" tint="-0.499984740745262"/>
      </right>
      <top style="medium">
        <color theme="2" tint="-0.499984740745262"/>
      </top>
      <bottom style="medium">
        <color theme="2" tint="-0.499984740745262"/>
      </bottom>
      <diagonal/>
    </border>
    <border>
      <left style="thin">
        <color theme="2" tint="-0.499984740745262"/>
      </left>
      <right style="medium">
        <color theme="2" tint="-0.499984740745262"/>
      </right>
      <top style="medium">
        <color theme="2" tint="-0.499984740745262"/>
      </top>
      <bottom style="medium">
        <color theme="2" tint="-0.499984740745262"/>
      </bottom>
      <diagonal/>
    </border>
    <border>
      <left/>
      <right style="thin">
        <color theme="2" tint="-0.499984740745262"/>
      </right>
      <top/>
      <bottom style="medium">
        <color theme="2" tint="-0.499984740745262"/>
      </bottom>
      <diagonal/>
    </border>
    <border>
      <left style="medium">
        <color theme="2" tint="-0.499984740745262"/>
      </left>
      <right/>
      <top style="medium">
        <color theme="2" tint="-0.499984740745262"/>
      </top>
      <bottom style="medium">
        <color theme="2" tint="-0.499984740745262"/>
      </bottom>
      <diagonal/>
    </border>
    <border>
      <left/>
      <right style="medium">
        <color theme="2" tint="-0.499984740745262"/>
      </right>
      <top style="medium">
        <color theme="2" tint="-0.499984740745262"/>
      </top>
      <bottom style="medium">
        <color theme="2" tint="-0.499984740745262"/>
      </bottom>
      <diagonal/>
    </border>
    <border>
      <left style="medium">
        <color theme="2" tint="-0.249977111117893"/>
      </left>
      <right style="medium">
        <color theme="2" tint="-0.249977111117893"/>
      </right>
      <top style="medium">
        <color theme="2" tint="-0.249977111117893"/>
      </top>
      <bottom style="medium">
        <color theme="2" tint="-0.249977111117893"/>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medium">
        <color indexed="64"/>
      </left>
      <right/>
      <top style="medium">
        <color indexed="64"/>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medium">
        <color indexed="64"/>
      </left>
      <right/>
      <top style="thick">
        <color indexed="64"/>
      </top>
      <bottom style="medium">
        <color indexed="64"/>
      </bottom>
      <diagonal/>
    </border>
    <border>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bottom style="thick">
        <color indexed="64"/>
      </bottom>
      <diagonal/>
    </border>
    <border>
      <left style="medium">
        <color indexed="64"/>
      </left>
      <right style="medium">
        <color indexed="64"/>
      </right>
      <top/>
      <bottom style="thick">
        <color indexed="64"/>
      </bottom>
      <diagonal/>
    </border>
    <border>
      <left style="medium">
        <color indexed="64"/>
      </left>
      <right/>
      <top style="thin">
        <color indexed="64"/>
      </top>
      <bottom style="thick">
        <color indexed="64"/>
      </bottom>
      <diagonal/>
    </border>
    <border>
      <left/>
      <right/>
      <top style="thin">
        <color indexed="64"/>
      </top>
      <bottom style="thick">
        <color indexed="64"/>
      </bottom>
      <diagonal/>
    </border>
    <border>
      <left style="medium">
        <color indexed="64"/>
      </left>
      <right/>
      <top style="thin">
        <color indexed="64"/>
      </top>
      <bottom/>
      <diagonal/>
    </border>
    <border>
      <left style="medium">
        <color indexed="64"/>
      </left>
      <right style="medium">
        <color indexed="64"/>
      </right>
      <top style="thick">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ck">
        <color indexed="64"/>
      </bottom>
      <diagonal/>
    </border>
    <border>
      <left style="medium">
        <color indexed="64"/>
      </left>
      <right/>
      <top style="thick">
        <color indexed="64"/>
      </top>
      <bottom style="thin">
        <color indexed="64"/>
      </bottom>
      <diagonal/>
    </border>
    <border>
      <left/>
      <right/>
      <top style="thick">
        <color indexed="64"/>
      </top>
      <bottom style="thin">
        <color indexed="64"/>
      </bottom>
      <diagonal/>
    </border>
    <border>
      <left/>
      <right style="medium">
        <color indexed="64"/>
      </right>
      <top style="thick">
        <color indexed="64"/>
      </top>
      <bottom style="thin">
        <color indexed="64"/>
      </bottom>
      <diagonal/>
    </border>
    <border>
      <left style="medium">
        <color indexed="64"/>
      </left>
      <right/>
      <top/>
      <bottom style="thick">
        <color indexed="64"/>
      </bottom>
      <diagonal/>
    </border>
    <border>
      <left/>
      <right/>
      <top/>
      <bottom style="thick">
        <color indexed="64"/>
      </bottom>
      <diagonal/>
    </border>
    <border>
      <left/>
      <right/>
      <top style="thick">
        <color indexed="64"/>
      </top>
      <bottom/>
      <diagonal/>
    </border>
    <border>
      <left/>
      <right style="medium">
        <color indexed="64"/>
      </right>
      <top style="thin">
        <color indexed="64"/>
      </top>
      <bottom/>
      <diagonal/>
    </border>
    <border>
      <left/>
      <right style="medium">
        <color indexed="64"/>
      </right>
      <top style="medium">
        <color indexed="64"/>
      </top>
      <bottom style="thin">
        <color indexed="64"/>
      </bottom>
      <diagonal/>
    </border>
    <border>
      <left style="thin">
        <color theme="2" tint="-0.499984740745262"/>
      </left>
      <right/>
      <top style="medium">
        <color theme="2" tint="-0.499984740745262"/>
      </top>
      <bottom/>
      <diagonal/>
    </border>
    <border>
      <left/>
      <right style="medium">
        <color theme="2" tint="-0.499984740745262"/>
      </right>
      <top/>
      <bottom style="thin">
        <color theme="2" tint="-0.499984740745262"/>
      </bottom>
      <diagonal/>
    </border>
    <border>
      <left/>
      <right style="medium">
        <color theme="2" tint="-0.499984740745262"/>
      </right>
      <top style="thin">
        <color theme="2" tint="-0.499984740745262"/>
      </top>
      <bottom style="thin">
        <color theme="2" tint="-0.499984740745262"/>
      </bottom>
      <diagonal/>
    </border>
    <border>
      <left style="medium">
        <color theme="2" tint="-0.499984740745262"/>
      </left>
      <right/>
      <top style="thin">
        <color theme="2" tint="-0.499984740745262"/>
      </top>
      <bottom style="medium">
        <color theme="2" tint="-0.499984740745262"/>
      </bottom>
      <diagonal/>
    </border>
    <border>
      <left/>
      <right style="medium">
        <color theme="2" tint="-0.499984740745262"/>
      </right>
      <top style="thin">
        <color theme="2" tint="-0.499984740745262"/>
      </top>
      <bottom style="medium">
        <color theme="2" tint="-0.499984740745262"/>
      </bottom>
      <diagonal/>
    </border>
    <border>
      <left style="medium">
        <color theme="2" tint="-0.499984740745262"/>
      </left>
      <right/>
      <top/>
      <bottom style="thin">
        <color theme="2" tint="-0.499984740745262"/>
      </bottom>
      <diagonal/>
    </border>
    <border>
      <left style="thin">
        <color theme="2" tint="-0.499984740745262"/>
      </left>
      <right/>
      <top/>
      <bottom style="medium">
        <color theme="2" tint="-0.499984740745262"/>
      </bottom>
      <diagonal/>
    </border>
    <border>
      <left style="medium">
        <color theme="2" tint="-0.499984740745262"/>
      </left>
      <right style="thin">
        <color theme="2" tint="-0.499984740745262"/>
      </right>
      <top/>
      <bottom style="thin">
        <color theme="2" tint="-0.499984740745262"/>
      </bottom>
      <diagonal/>
    </border>
    <border>
      <left style="medium">
        <color theme="2" tint="-0.499984740745262"/>
      </left>
      <right style="thin">
        <color theme="2" tint="-0.499984740745262"/>
      </right>
      <top style="medium">
        <color theme="2" tint="-0.499984740745262"/>
      </top>
      <bottom style="medium">
        <color theme="2" tint="-0.499984740745262"/>
      </bottom>
      <diagonal/>
    </border>
    <border>
      <left style="thin">
        <color theme="2" tint="-0.499984740745262"/>
      </left>
      <right/>
      <top style="medium">
        <color theme="2" tint="-0.499984740745262"/>
      </top>
      <bottom style="medium">
        <color theme="2" tint="-0.499984740745262"/>
      </bottom>
      <diagonal/>
    </border>
    <border>
      <left/>
      <right style="thin">
        <color theme="2" tint="-0.499984740745262"/>
      </right>
      <top style="medium">
        <color theme="2" tint="-0.499984740745262"/>
      </top>
      <bottom style="medium">
        <color theme="2" tint="-0.499984740745262"/>
      </bottom>
      <diagonal/>
    </border>
    <border>
      <left/>
      <right/>
      <top style="medium">
        <color theme="2" tint="-0.499984740745262"/>
      </top>
      <bottom style="medium">
        <color theme="2" tint="-0.499984740745262"/>
      </bottom>
      <diagonal/>
    </border>
    <border>
      <left style="medium">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style="medium">
        <color theme="2" tint="-0.499984740745262"/>
      </bottom>
      <diagonal/>
    </border>
    <border>
      <left/>
      <right style="medium">
        <color theme="2" tint="-0.499984740745262"/>
      </right>
      <top style="thin">
        <color theme="2" tint="-0.499984740745262"/>
      </top>
      <bottom/>
      <diagonal/>
    </border>
  </borders>
  <cellStyleXfs count="9">
    <xf numFmtId="0" fontId="0" fillId="0" borderId="0"/>
    <xf numFmtId="0" fontId="1" fillId="0" borderId="0"/>
    <xf numFmtId="0" fontId="31" fillId="0" borderId="0"/>
    <xf numFmtId="164" fontId="31" fillId="0" borderId="0" applyFont="0" applyFill="0" applyBorder="0" applyAlignment="0" applyProtection="0"/>
    <xf numFmtId="9" fontId="31" fillId="0" borderId="0" applyFont="0" applyFill="0" applyBorder="0" applyAlignment="0" applyProtection="0"/>
    <xf numFmtId="0" fontId="1" fillId="0" borderId="0"/>
    <xf numFmtId="165" fontId="30" fillId="0" borderId="0" applyFont="0" applyFill="0" applyBorder="0" applyAlignment="0" applyProtection="0"/>
    <xf numFmtId="9" fontId="30" fillId="0" borderId="0" applyFont="0" applyFill="0" applyBorder="0" applyAlignment="0" applyProtection="0"/>
    <xf numFmtId="0" fontId="77" fillId="0" borderId="0" applyNumberFormat="0" applyFill="0" applyBorder="0" applyAlignment="0" applyProtection="0"/>
  </cellStyleXfs>
  <cellXfs count="2405">
    <xf numFmtId="0" fontId="0" fillId="0" borderId="0" xfId="0"/>
    <xf numFmtId="0" fontId="0" fillId="4" borderId="0" xfId="0" applyFill="1"/>
    <xf numFmtId="0" fontId="0" fillId="9" borderId="0" xfId="0" applyFill="1"/>
    <xf numFmtId="0" fontId="1" fillId="0" borderId="0" xfId="0" applyFont="1"/>
    <xf numFmtId="0" fontId="1" fillId="0" borderId="0" xfId="0" applyFont="1" applyBorder="1" applyAlignment="1">
      <alignment horizontal="right"/>
    </xf>
    <xf numFmtId="0" fontId="1" fillId="0" borderId="0" xfId="0" applyFont="1" applyAlignment="1">
      <alignment horizontal="right"/>
    </xf>
    <xf numFmtId="0" fontId="0" fillId="0" borderId="0" xfId="0" applyAlignment="1">
      <alignment vertical="center"/>
    </xf>
    <xf numFmtId="0" fontId="1" fillId="0" borderId="0" xfId="0" applyFont="1" applyBorder="1" applyAlignment="1">
      <alignment horizontal="center"/>
    </xf>
    <xf numFmtId="0" fontId="3" fillId="9" borderId="0" xfId="0" applyFont="1" applyFill="1" applyAlignment="1">
      <alignment horizontal="left"/>
    </xf>
    <xf numFmtId="0" fontId="1" fillId="0" borderId="0" xfId="0" applyFont="1" applyAlignment="1">
      <alignment horizontal="center"/>
    </xf>
    <xf numFmtId="0" fontId="1" fillId="0" borderId="0" xfId="0" applyFont="1" applyBorder="1"/>
    <xf numFmtId="0" fontId="0" fillId="0" borderId="0" xfId="0" applyFill="1"/>
    <xf numFmtId="0" fontId="0" fillId="0" borderId="0" xfId="0" applyAlignment="1"/>
    <xf numFmtId="0" fontId="1" fillId="0" borderId="0" xfId="0" applyFont="1" applyAlignment="1">
      <alignment horizontal="left" indent="1"/>
    </xf>
    <xf numFmtId="0" fontId="0" fillId="0" borderId="0" xfId="0" applyAlignment="1">
      <alignment horizontal="left" indent="1"/>
    </xf>
    <xf numFmtId="0" fontId="1" fillId="0" borderId="0" xfId="0" applyFont="1" applyBorder="1" applyAlignment="1"/>
    <xf numFmtId="0" fontId="1" fillId="0" borderId="0" xfId="0" applyFont="1" applyAlignment="1"/>
    <xf numFmtId="0" fontId="1" fillId="7" borderId="56" xfId="0" applyFont="1" applyFill="1" applyBorder="1" applyAlignment="1">
      <alignment horizontal="right"/>
    </xf>
    <xf numFmtId="0" fontId="1" fillId="7" borderId="19" xfId="0" applyFont="1" applyFill="1" applyBorder="1"/>
    <xf numFmtId="0" fontId="1" fillId="7" borderId="28" xfId="0" applyFont="1" applyFill="1" applyBorder="1"/>
    <xf numFmtId="0" fontId="1" fillId="7" borderId="7" xfId="0" applyFont="1" applyFill="1" applyBorder="1" applyAlignment="1">
      <alignment horizontal="right"/>
    </xf>
    <xf numFmtId="0" fontId="1" fillId="7" borderId="0" xfId="0" applyFont="1" applyFill="1" applyBorder="1"/>
    <xf numFmtId="0" fontId="1" fillId="7" borderId="8" xfId="0" applyFont="1" applyFill="1" applyBorder="1"/>
    <xf numFmtId="0" fontId="3" fillId="7" borderId="56" xfId="0" applyFont="1" applyFill="1" applyBorder="1" applyAlignment="1">
      <alignment horizontal="left"/>
    </xf>
    <xf numFmtId="0" fontId="3" fillId="7" borderId="19" xfId="0" applyFont="1" applyFill="1" applyBorder="1" applyAlignment="1">
      <alignment horizontal="left"/>
    </xf>
    <xf numFmtId="0" fontId="3" fillId="7" borderId="28" xfId="0" applyFont="1" applyFill="1" applyBorder="1" applyAlignment="1">
      <alignment horizontal="left"/>
    </xf>
    <xf numFmtId="0" fontId="3" fillId="7" borderId="7" xfId="0" applyFont="1" applyFill="1" applyBorder="1" applyAlignment="1">
      <alignment horizontal="left"/>
    </xf>
    <xf numFmtId="0" fontId="3" fillId="7" borderId="0" xfId="0" applyFont="1" applyFill="1" applyBorder="1" applyAlignment="1">
      <alignment horizontal="left"/>
    </xf>
    <xf numFmtId="0" fontId="3" fillId="7" borderId="8" xfId="0" applyFont="1" applyFill="1" applyBorder="1" applyAlignment="1">
      <alignment horizontal="left"/>
    </xf>
    <xf numFmtId="0" fontId="0" fillId="0" borderId="0" xfId="0"/>
    <xf numFmtId="0" fontId="32" fillId="0" borderId="0" xfId="0" applyFont="1" applyFill="1"/>
    <xf numFmtId="0" fontId="42" fillId="4" borderId="0" xfId="0" applyFont="1" applyFill="1"/>
    <xf numFmtId="0" fontId="45" fillId="0" borderId="0" xfId="0" applyFont="1" applyAlignment="1">
      <alignment vertical="center"/>
    </xf>
    <xf numFmtId="0" fontId="40" fillId="0" borderId="0" xfId="0" applyFont="1"/>
    <xf numFmtId="0" fontId="0" fillId="0" borderId="0" xfId="0"/>
    <xf numFmtId="0" fontId="44" fillId="19" borderId="0" xfId="0" applyFont="1" applyFill="1" applyAlignment="1">
      <alignment horizontal="center" vertical="center"/>
    </xf>
    <xf numFmtId="0" fontId="45" fillId="0" borderId="0" xfId="0" quotePrefix="1" applyFont="1" applyAlignment="1">
      <alignment vertical="center"/>
    </xf>
    <xf numFmtId="0" fontId="45" fillId="0" borderId="0" xfId="0" applyFont="1" applyFill="1" applyAlignment="1">
      <alignment vertical="center"/>
    </xf>
    <xf numFmtId="0" fontId="46" fillId="0" borderId="0" xfId="0" applyFont="1"/>
    <xf numFmtId="0" fontId="45" fillId="0" borderId="0" xfId="0" applyFont="1" applyFill="1"/>
    <xf numFmtId="0" fontId="45" fillId="0" borderId="0" xfId="0" applyFont="1"/>
    <xf numFmtId="0" fontId="0" fillId="0" borderId="0" xfId="0" applyFill="1" applyProtection="1">
      <protection hidden="1"/>
    </xf>
    <xf numFmtId="0" fontId="44" fillId="19" borderId="0" xfId="0" applyFont="1" applyFill="1" applyAlignment="1">
      <alignment horizontal="center" vertical="center"/>
    </xf>
    <xf numFmtId="0" fontId="1" fillId="9" borderId="0" xfId="0" applyFont="1" applyFill="1" applyProtection="1">
      <protection hidden="1"/>
    </xf>
    <xf numFmtId="0" fontId="17" fillId="8" borderId="1" xfId="1" applyFont="1" applyFill="1" applyBorder="1" applyAlignment="1" applyProtection="1">
      <alignment horizontal="center" vertical="center" wrapText="1"/>
      <protection hidden="1"/>
    </xf>
    <xf numFmtId="0" fontId="17" fillId="3" borderId="1" xfId="1" applyFont="1" applyFill="1" applyBorder="1" applyAlignment="1" applyProtection="1">
      <alignment horizontal="center" vertical="center" wrapText="1"/>
      <protection hidden="1"/>
    </xf>
    <xf numFmtId="0" fontId="0" fillId="0" borderId="0" xfId="0"/>
    <xf numFmtId="0" fontId="44" fillId="19" borderId="0" xfId="0" applyFont="1" applyFill="1" applyAlignment="1">
      <alignment horizontal="center" vertical="center"/>
    </xf>
    <xf numFmtId="0" fontId="45" fillId="0" borderId="0" xfId="0" quotePrefix="1" applyFont="1" applyFill="1" applyAlignment="1">
      <alignment vertical="center"/>
    </xf>
    <xf numFmtId="0" fontId="0" fillId="8" borderId="0" xfId="0" applyFill="1" applyProtection="1">
      <protection hidden="1"/>
    </xf>
    <xf numFmtId="0" fontId="0" fillId="0" borderId="0" xfId="0" applyProtection="1">
      <protection hidden="1"/>
    </xf>
    <xf numFmtId="0" fontId="32" fillId="0" borderId="0" xfId="0" applyFont="1" applyFill="1" applyAlignment="1" applyProtection="1">
      <protection hidden="1"/>
    </xf>
    <xf numFmtId="0" fontId="43" fillId="0" borderId="0" xfId="0" applyFont="1" applyFill="1" applyAlignment="1" applyProtection="1">
      <protection hidden="1"/>
    </xf>
    <xf numFmtId="0" fontId="6" fillId="0" borderId="0" xfId="1" applyFont="1" applyFill="1" applyAlignment="1" applyProtection="1">
      <alignment horizontal="left" vertical="center" indent="2"/>
      <protection hidden="1"/>
    </xf>
    <xf numFmtId="0" fontId="4" fillId="0" borderId="0" xfId="1" applyFont="1" applyFill="1" applyAlignment="1" applyProtection="1">
      <alignment horizontal="left"/>
      <protection hidden="1"/>
    </xf>
    <xf numFmtId="0" fontId="5" fillId="0" borderId="0" xfId="1" applyFont="1" applyFill="1" applyAlignment="1" applyProtection="1">
      <alignment horizontal="left" indent="1"/>
      <protection hidden="1"/>
    </xf>
    <xf numFmtId="0" fontId="1" fillId="0" borderId="0" xfId="1" applyFont="1" applyFill="1" applyProtection="1">
      <protection hidden="1"/>
    </xf>
    <xf numFmtId="0" fontId="1" fillId="0" borderId="0" xfId="1" applyFont="1" applyAlignment="1" applyProtection="1">
      <alignment horizontal="left" indent="1"/>
      <protection hidden="1"/>
    </xf>
    <xf numFmtId="0" fontId="1" fillId="0" borderId="0" xfId="1" applyFont="1" applyBorder="1" applyAlignment="1" applyProtection="1">
      <alignment horizontal="left" indent="6"/>
      <protection hidden="1"/>
    </xf>
    <xf numFmtId="0" fontId="1" fillId="0" borderId="0" xfId="1" applyFont="1" applyAlignment="1" applyProtection="1">
      <alignment horizontal="left" indent="4"/>
      <protection hidden="1"/>
    </xf>
    <xf numFmtId="0" fontId="1" fillId="0" borderId="0" xfId="1" applyFont="1" applyFill="1" applyBorder="1" applyAlignment="1" applyProtection="1">
      <alignment horizontal="left" vertical="center" indent="3"/>
      <protection hidden="1"/>
    </xf>
    <xf numFmtId="0" fontId="1" fillId="0" borderId="0" xfId="1" applyFont="1" applyFill="1" applyBorder="1" applyAlignment="1" applyProtection="1">
      <alignment vertical="center"/>
      <protection hidden="1"/>
    </xf>
    <xf numFmtId="0" fontId="1" fillId="0" borderId="0" xfId="1" applyFont="1" applyAlignment="1" applyProtection="1">
      <alignment horizontal="left" wrapText="1" indent="1"/>
      <protection hidden="1"/>
    </xf>
    <xf numFmtId="0" fontId="1" fillId="0" borderId="0" xfId="1" applyFont="1" applyFill="1" applyAlignment="1" applyProtection="1">
      <alignment horizontal="left" indent="1"/>
      <protection hidden="1"/>
    </xf>
    <xf numFmtId="0" fontId="1" fillId="0" borderId="0" xfId="1" applyFont="1" applyFill="1" applyBorder="1" applyAlignment="1" applyProtection="1">
      <alignment horizontal="left" vertical="center" wrapText="1" indent="1"/>
      <protection hidden="1"/>
    </xf>
    <xf numFmtId="0" fontId="12" fillId="0" borderId="0" xfId="1" applyFont="1" applyFill="1" applyBorder="1" applyAlignment="1" applyProtection="1">
      <alignment horizontal="left" vertical="center" wrapText="1" indent="1"/>
      <protection hidden="1"/>
    </xf>
    <xf numFmtId="0" fontId="1" fillId="0" borderId="0" xfId="1" applyFont="1" applyBorder="1" applyAlignment="1" applyProtection="1">
      <alignment horizontal="center"/>
      <protection hidden="1"/>
    </xf>
    <xf numFmtId="0" fontId="1" fillId="0" borderId="0" xfId="1" applyFont="1" applyAlignment="1" applyProtection="1">
      <alignment horizontal="center"/>
      <protection hidden="1"/>
    </xf>
    <xf numFmtId="0" fontId="1" fillId="0" borderId="0" xfId="1" applyFont="1" applyBorder="1" applyProtection="1">
      <protection hidden="1"/>
    </xf>
    <xf numFmtId="0" fontId="1" fillId="0" borderId="0" xfId="1" applyFont="1" applyAlignment="1" applyProtection="1">
      <alignment vertical="center"/>
      <protection hidden="1"/>
    </xf>
    <xf numFmtId="0" fontId="1" fillId="0" borderId="0" xfId="1" applyFont="1" applyBorder="1" applyAlignment="1" applyProtection="1">
      <alignment horizontal="left" indent="2"/>
      <protection hidden="1"/>
    </xf>
    <xf numFmtId="0" fontId="2" fillId="0" borderId="0" xfId="1" applyFont="1" applyFill="1" applyAlignment="1" applyProtection="1">
      <alignment vertical="center"/>
      <protection hidden="1"/>
    </xf>
    <xf numFmtId="0" fontId="3" fillId="0" borderId="0" xfId="1" applyFont="1" applyFill="1" applyAlignment="1" applyProtection="1">
      <alignment horizontal="left"/>
      <protection hidden="1"/>
    </xf>
    <xf numFmtId="0" fontId="1" fillId="0" borderId="0" xfId="1" applyFont="1" applyBorder="1" applyAlignment="1" applyProtection="1">
      <alignment horizontal="center" vertical="top"/>
      <protection hidden="1"/>
    </xf>
    <xf numFmtId="0" fontId="1" fillId="0" borderId="0" xfId="1" applyFont="1" applyFill="1" applyAlignment="1" applyProtection="1">
      <alignment horizontal="left"/>
      <protection hidden="1"/>
    </xf>
    <xf numFmtId="0" fontId="1" fillId="0" borderId="0" xfId="1" applyFont="1" applyFill="1" applyBorder="1" applyProtection="1">
      <protection hidden="1"/>
    </xf>
    <xf numFmtId="0" fontId="1" fillId="0" borderId="0" xfId="1" applyFont="1" applyAlignment="1" applyProtection="1">
      <alignment wrapText="1"/>
      <protection hidden="1"/>
    </xf>
    <xf numFmtId="0" fontId="7" fillId="0" borderId="0" xfId="1" applyFont="1" applyFill="1" applyAlignment="1" applyProtection="1">
      <alignment horizontal="left" vertical="center" indent="3"/>
      <protection hidden="1"/>
    </xf>
    <xf numFmtId="0" fontId="1" fillId="5" borderId="0" xfId="1" applyFont="1" applyFill="1" applyProtection="1">
      <protection hidden="1"/>
    </xf>
    <xf numFmtId="0" fontId="6" fillId="0" borderId="0" xfId="1" applyFont="1" applyFill="1" applyAlignment="1" applyProtection="1">
      <alignment horizontal="left" vertical="center" indent="1"/>
      <protection hidden="1"/>
    </xf>
    <xf numFmtId="0" fontId="1" fillId="0" borderId="0" xfId="1" applyFont="1" applyFill="1" applyBorder="1" applyAlignment="1" applyProtection="1">
      <alignment horizontal="center" vertical="center"/>
      <protection hidden="1"/>
    </xf>
    <xf numFmtId="0" fontId="0" fillId="6" borderId="0" xfId="0" applyFill="1" applyProtection="1">
      <protection hidden="1"/>
    </xf>
    <xf numFmtId="0" fontId="32" fillId="0" borderId="0" xfId="0" applyFont="1" applyFill="1" applyProtection="1">
      <protection hidden="1"/>
    </xf>
    <xf numFmtId="0" fontId="42" fillId="0" borderId="0" xfId="0" applyFont="1" applyFill="1" applyProtection="1">
      <protection hidden="1"/>
    </xf>
    <xf numFmtId="0" fontId="5" fillId="0" borderId="0" xfId="1" applyFont="1" applyBorder="1" applyAlignment="1" applyProtection="1">
      <alignment horizontal="left" indent="1"/>
      <protection hidden="1"/>
    </xf>
    <xf numFmtId="0" fontId="5" fillId="0" borderId="0" xfId="1" applyFont="1" applyFill="1" applyProtection="1">
      <protection hidden="1"/>
    </xf>
    <xf numFmtId="0" fontId="1" fillId="6" borderId="1" xfId="1" applyFont="1" applyFill="1" applyBorder="1" applyAlignment="1" applyProtection="1">
      <alignment horizontal="center" vertical="center"/>
      <protection hidden="1"/>
    </xf>
    <xf numFmtId="0" fontId="15" fillId="0" borderId="0" xfId="1" applyFont="1" applyFill="1" applyProtection="1">
      <protection hidden="1"/>
    </xf>
    <xf numFmtId="0" fontId="5" fillId="0" borderId="0" xfId="1" applyFont="1" applyFill="1" applyBorder="1" applyAlignment="1" applyProtection="1">
      <protection hidden="1"/>
    </xf>
    <xf numFmtId="0" fontId="1" fillId="0" borderId="0" xfId="1" applyFont="1" applyFill="1" applyBorder="1" applyAlignment="1" applyProtection="1">
      <alignment horizontal="center"/>
      <protection hidden="1"/>
    </xf>
    <xf numFmtId="0" fontId="16" fillId="0" borderId="0" xfId="1" applyFont="1" applyFill="1" applyProtection="1">
      <protection hidden="1"/>
    </xf>
    <xf numFmtId="0" fontId="5" fillId="0" borderId="0" xfId="1" applyFont="1" applyProtection="1">
      <protection hidden="1"/>
    </xf>
    <xf numFmtId="0" fontId="1" fillId="0" borderId="0" xfId="1" applyFont="1" applyFill="1" applyBorder="1" applyAlignment="1" applyProtection="1">
      <alignment horizontal="center" vertical="top" wrapText="1"/>
      <protection hidden="1"/>
    </xf>
    <xf numFmtId="0" fontId="5" fillId="0" borderId="19" xfId="1" applyFont="1" applyFill="1" applyBorder="1" applyAlignment="1" applyProtection="1">
      <alignment horizontal="center" vertical="center" wrapText="1"/>
      <protection hidden="1"/>
    </xf>
    <xf numFmtId="0" fontId="5" fillId="0" borderId="19" xfId="1" applyFont="1" applyFill="1" applyBorder="1" applyAlignment="1" applyProtection="1">
      <alignment horizontal="left" vertical="center" wrapText="1"/>
      <protection hidden="1"/>
    </xf>
    <xf numFmtId="0" fontId="0" fillId="13" borderId="0" xfId="0" applyFill="1" applyProtection="1">
      <protection hidden="1"/>
    </xf>
    <xf numFmtId="0" fontId="0" fillId="13" borderId="0" xfId="0" applyFill="1" applyAlignment="1" applyProtection="1">
      <alignment horizontal="center"/>
      <protection hidden="1"/>
    </xf>
    <xf numFmtId="0" fontId="5" fillId="0" borderId="0" xfId="1" applyFont="1" applyBorder="1" applyProtection="1">
      <protection hidden="1"/>
    </xf>
    <xf numFmtId="0" fontId="1" fillId="0" borderId="0" xfId="1" applyFont="1" applyBorder="1" applyAlignment="1" applyProtection="1">
      <alignment horizontal="left" indent="1"/>
      <protection hidden="1"/>
    </xf>
    <xf numFmtId="0" fontId="15" fillId="0" borderId="0" xfId="1" applyFont="1" applyFill="1" applyAlignment="1" applyProtection="1">
      <alignment horizontal="left" indent="1"/>
      <protection hidden="1"/>
    </xf>
    <xf numFmtId="0" fontId="5" fillId="0" borderId="0" xfId="1" applyFont="1" applyAlignment="1" applyProtection="1">
      <alignment horizontal="left" indent="1"/>
      <protection hidden="1"/>
    </xf>
    <xf numFmtId="0" fontId="25" fillId="0" borderId="0" xfId="1" applyFont="1" applyAlignment="1" applyProtection="1">
      <alignment horizontal="left" indent="1"/>
      <protection hidden="1"/>
    </xf>
    <xf numFmtId="0" fontId="1" fillId="0" borderId="0" xfId="1" applyFont="1" applyFill="1" applyAlignment="1" applyProtection="1">
      <alignment horizontal="center" wrapText="1"/>
      <protection hidden="1"/>
    </xf>
    <xf numFmtId="0" fontId="16" fillId="0" borderId="0" xfId="1" applyFont="1" applyFill="1" applyAlignment="1" applyProtection="1">
      <alignment horizontal="left" indent="1"/>
      <protection hidden="1"/>
    </xf>
    <xf numFmtId="0" fontId="1" fillId="0" borderId="0" xfId="1" applyFont="1" applyFill="1" applyBorder="1" applyAlignment="1" applyProtection="1">
      <alignment horizontal="left" indent="1"/>
      <protection hidden="1"/>
    </xf>
    <xf numFmtId="0" fontId="1" fillId="9" borderId="0" xfId="1" applyFont="1" applyFill="1" applyBorder="1" applyProtection="1">
      <protection hidden="1"/>
    </xf>
    <xf numFmtId="0" fontId="5" fillId="9" borderId="0" xfId="1" applyFont="1" applyFill="1" applyBorder="1" applyAlignment="1" applyProtection="1">
      <alignment horizontal="center" vertical="center"/>
      <protection hidden="1"/>
    </xf>
    <xf numFmtId="0" fontId="1" fillId="0" borderId="1" xfId="1" applyFont="1" applyBorder="1" applyAlignment="1" applyProtection="1">
      <alignment horizontal="center" vertical="center"/>
      <protection hidden="1"/>
    </xf>
    <xf numFmtId="0" fontId="1" fillId="0" borderId="0" xfId="1" applyFont="1" applyBorder="1" applyAlignment="1" applyProtection="1">
      <alignment horizontal="left" vertical="center"/>
      <protection hidden="1"/>
    </xf>
    <xf numFmtId="0" fontId="1" fillId="0" borderId="0" xfId="1" applyFont="1" applyFill="1" applyBorder="1" applyAlignment="1" applyProtection="1">
      <alignment horizontal="center" vertical="center" wrapText="1"/>
      <protection hidden="1"/>
    </xf>
    <xf numFmtId="0" fontId="1" fillId="0" borderId="0" xfId="1" applyFont="1" applyBorder="1" applyAlignment="1" applyProtection="1">
      <protection hidden="1"/>
    </xf>
    <xf numFmtId="0" fontId="5" fillId="0" borderId="0" xfId="1" applyFont="1" applyFill="1" applyBorder="1" applyAlignment="1" applyProtection="1">
      <alignment horizontal="center" vertical="center"/>
      <protection hidden="1"/>
    </xf>
    <xf numFmtId="0" fontId="10" fillId="0" borderId="0" xfId="1" applyFont="1" applyProtection="1">
      <protection hidden="1"/>
    </xf>
    <xf numFmtId="0" fontId="25" fillId="0" borderId="0" xfId="1" applyFont="1" applyAlignment="1" applyProtection="1">
      <alignment vertical="center"/>
      <protection hidden="1"/>
    </xf>
    <xf numFmtId="0" fontId="25" fillId="0" borderId="0" xfId="1" applyFont="1" applyBorder="1" applyAlignment="1" applyProtection="1">
      <alignment vertical="center"/>
      <protection hidden="1"/>
    </xf>
    <xf numFmtId="0" fontId="1" fillId="3" borderId="1" xfId="1" applyFont="1" applyFill="1" applyBorder="1" applyAlignment="1" applyProtection="1">
      <alignment horizontal="left" vertical="center" indent="1"/>
      <protection hidden="1"/>
    </xf>
    <xf numFmtId="0" fontId="1" fillId="0" borderId="0" xfId="1" applyFont="1" applyBorder="1" applyAlignment="1" applyProtection="1">
      <alignment horizontal="center" vertical="center"/>
      <protection hidden="1"/>
    </xf>
    <xf numFmtId="0" fontId="1" fillId="3" borderId="1" xfId="1" applyFont="1" applyFill="1" applyBorder="1" applyAlignment="1" applyProtection="1">
      <protection hidden="1"/>
    </xf>
    <xf numFmtId="0" fontId="1" fillId="0" borderId="0" xfId="1" applyFont="1" applyFill="1" applyBorder="1" applyAlignment="1" applyProtection="1">
      <alignment vertical="top" wrapText="1"/>
      <protection hidden="1"/>
    </xf>
    <xf numFmtId="0" fontId="23" fillId="0" borderId="0" xfId="1" applyFont="1" applyProtection="1">
      <protection hidden="1"/>
    </xf>
    <xf numFmtId="0" fontId="23" fillId="0" borderId="0" xfId="1" applyFont="1" applyBorder="1" applyProtection="1">
      <protection hidden="1"/>
    </xf>
    <xf numFmtId="0" fontId="25" fillId="0" borderId="0" xfId="1" applyFont="1" applyFill="1" applyAlignment="1" applyProtection="1">
      <alignment horizontal="left" vertical="center" indent="1"/>
      <protection hidden="1"/>
    </xf>
    <xf numFmtId="0" fontId="23" fillId="0" borderId="0" xfId="1" applyFont="1" applyFill="1" applyBorder="1" applyAlignment="1" applyProtection="1">
      <alignment horizontal="center"/>
      <protection hidden="1"/>
    </xf>
    <xf numFmtId="0" fontId="23" fillId="0" borderId="0" xfId="1" applyFont="1" applyFill="1" applyProtection="1">
      <protection hidden="1"/>
    </xf>
    <xf numFmtId="0" fontId="5" fillId="0" borderId="25" xfId="1" applyFont="1" applyFill="1" applyBorder="1" applyAlignment="1" applyProtection="1">
      <alignment horizontal="left" vertical="center"/>
      <protection hidden="1"/>
    </xf>
    <xf numFmtId="0" fontId="5" fillId="0" borderId="0" xfId="1" applyFont="1" applyFill="1" applyBorder="1" applyAlignment="1" applyProtection="1">
      <alignment horizontal="left" vertical="center"/>
      <protection hidden="1"/>
    </xf>
    <xf numFmtId="0" fontId="1" fillId="0" borderId="32" xfId="1" applyFont="1" applyBorder="1" applyProtection="1">
      <protection hidden="1"/>
    </xf>
    <xf numFmtId="0" fontId="1" fillId="0" borderId="0" xfId="1" applyFont="1" applyAlignment="1" applyProtection="1">
      <alignment horizontal="center" wrapText="1"/>
      <protection hidden="1"/>
    </xf>
    <xf numFmtId="0" fontId="1" fillId="0" borderId="0" xfId="1" applyFont="1" applyFill="1" applyBorder="1" applyAlignment="1" applyProtection="1">
      <alignment horizontal="left" vertical="top" wrapText="1"/>
      <protection hidden="1"/>
    </xf>
    <xf numFmtId="0" fontId="46" fillId="0" borderId="0" xfId="0" applyFont="1" applyAlignment="1"/>
    <xf numFmtId="0" fontId="50" fillId="0" borderId="0" xfId="0" applyFont="1"/>
    <xf numFmtId="0" fontId="0" fillId="0" borderId="0" xfId="0"/>
    <xf numFmtId="0" fontId="44" fillId="19" borderId="0" xfId="0" applyFont="1" applyFill="1" applyAlignment="1">
      <alignment horizontal="center" vertical="center"/>
    </xf>
    <xf numFmtId="0" fontId="0" fillId="15" borderId="0" xfId="0" applyFill="1" applyProtection="1">
      <protection hidden="1"/>
    </xf>
    <xf numFmtId="0" fontId="13" fillId="0" borderId="0" xfId="1" applyFont="1" applyBorder="1" applyAlignment="1" applyProtection="1">
      <alignment vertical="top" wrapText="1"/>
      <protection hidden="1"/>
    </xf>
    <xf numFmtId="0" fontId="1" fillId="0" borderId="0" xfId="1" applyFont="1" applyBorder="1" applyAlignment="1" applyProtection="1">
      <alignment horizontal="center" vertical="center" wrapText="1"/>
      <protection hidden="1"/>
    </xf>
    <xf numFmtId="0" fontId="1" fillId="0" borderId="0" xfId="1" applyFont="1" applyBorder="1" applyAlignment="1" applyProtection="1">
      <alignment vertical="center"/>
      <protection hidden="1"/>
    </xf>
    <xf numFmtId="0" fontId="39" fillId="0" borderId="0" xfId="1" applyFont="1" applyAlignment="1" applyProtection="1">
      <alignment horizontal="left" vertical="center"/>
      <protection hidden="1"/>
    </xf>
    <xf numFmtId="0" fontId="1" fillId="0" borderId="0" xfId="1" applyFont="1" applyAlignment="1" applyProtection="1">
      <alignment horizontal="left"/>
      <protection hidden="1"/>
    </xf>
    <xf numFmtId="0" fontId="5" fillId="0" borderId="0" xfId="1" applyFont="1" applyFill="1" applyBorder="1" applyAlignment="1" applyProtection="1">
      <alignment horizontal="left" vertical="center" indent="1"/>
      <protection hidden="1"/>
    </xf>
    <xf numFmtId="0" fontId="1" fillId="12" borderId="31" xfId="1" applyFont="1" applyFill="1" applyBorder="1" applyAlignment="1" applyProtection="1">
      <alignment horizontal="center" vertical="center"/>
      <protection hidden="1"/>
    </xf>
    <xf numFmtId="0" fontId="12" fillId="0" borderId="0" xfId="1" applyFont="1" applyBorder="1" applyAlignment="1" applyProtection="1">
      <alignment vertical="center"/>
      <protection hidden="1"/>
    </xf>
    <xf numFmtId="3" fontId="1" fillId="0" borderId="0" xfId="1" applyNumberFormat="1" applyFont="1" applyBorder="1" applyAlignment="1" applyProtection="1">
      <alignment vertical="center"/>
      <protection hidden="1"/>
    </xf>
    <xf numFmtId="0" fontId="11" fillId="0" borderId="0" xfId="1" applyFont="1" applyAlignment="1" applyProtection="1">
      <alignment vertical="center"/>
      <protection hidden="1"/>
    </xf>
    <xf numFmtId="0" fontId="11" fillId="0" borderId="0" xfId="1" applyFont="1" applyBorder="1" applyAlignment="1" applyProtection="1">
      <alignment vertical="center"/>
      <protection hidden="1"/>
    </xf>
    <xf numFmtId="0" fontId="1" fillId="9" borderId="0" xfId="1" applyFont="1" applyFill="1" applyBorder="1" applyAlignment="1" applyProtection="1">
      <alignment vertical="center"/>
      <protection hidden="1"/>
    </xf>
    <xf numFmtId="0" fontId="18" fillId="0" borderId="0" xfId="1" applyFont="1" applyProtection="1">
      <protection hidden="1"/>
    </xf>
    <xf numFmtId="0" fontId="5" fillId="12" borderId="31" xfId="1" applyFont="1" applyFill="1" applyBorder="1" applyAlignment="1" applyProtection="1">
      <alignment horizontal="center" vertical="center"/>
      <protection hidden="1"/>
    </xf>
    <xf numFmtId="0" fontId="5" fillId="9" borderId="0" xfId="1" applyFont="1" applyFill="1" applyAlignment="1" applyProtection="1">
      <alignment horizontal="left" indent="1"/>
      <protection hidden="1"/>
    </xf>
    <xf numFmtId="0" fontId="1" fillId="9" borderId="0" xfId="1" applyFont="1" applyFill="1" applyBorder="1" applyAlignment="1" applyProtection="1">
      <alignment horizontal="center"/>
      <protection hidden="1"/>
    </xf>
    <xf numFmtId="0" fontId="1" fillId="9" borderId="0" xfId="1" applyFont="1" applyFill="1" applyProtection="1">
      <protection hidden="1"/>
    </xf>
    <xf numFmtId="0" fontId="5" fillId="5" borderId="0" xfId="1" applyFont="1" applyFill="1" applyBorder="1" applyAlignment="1" applyProtection="1">
      <alignment vertical="center"/>
      <protection hidden="1"/>
    </xf>
    <xf numFmtId="0" fontId="37" fillId="14" borderId="0" xfId="0" applyFont="1" applyFill="1" applyProtection="1">
      <protection hidden="1"/>
    </xf>
    <xf numFmtId="0" fontId="0" fillId="14" borderId="0" xfId="0" applyFill="1" applyProtection="1">
      <protection hidden="1"/>
    </xf>
    <xf numFmtId="0" fontId="19" fillId="0" borderId="0" xfId="1" applyFont="1" applyBorder="1" applyAlignment="1" applyProtection="1">
      <alignment vertical="top" wrapText="1"/>
      <protection hidden="1"/>
    </xf>
    <xf numFmtId="0" fontId="20" fillId="0" borderId="0" xfId="1" applyFont="1" applyBorder="1" applyAlignment="1" applyProtection="1">
      <alignment horizontal="center" vertical="center"/>
      <protection hidden="1"/>
    </xf>
    <xf numFmtId="0" fontId="1" fillId="0" borderId="0" xfId="1" applyFont="1" applyBorder="1" applyAlignment="1" applyProtection="1">
      <alignment vertical="top" wrapText="1"/>
      <protection hidden="1"/>
    </xf>
    <xf numFmtId="0" fontId="5" fillId="0" borderId="0" xfId="1" applyFont="1" applyBorder="1" applyAlignment="1" applyProtection="1">
      <alignment horizontal="left" indent="2"/>
      <protection hidden="1"/>
    </xf>
    <xf numFmtId="0" fontId="40" fillId="0" borderId="0" xfId="1" applyFont="1" applyBorder="1" applyAlignment="1" applyProtection="1">
      <alignment vertical="center"/>
      <protection hidden="1"/>
    </xf>
    <xf numFmtId="0" fontId="5" fillId="0" borderId="0" xfId="1" applyFont="1" applyBorder="1" applyAlignment="1" applyProtection="1">
      <alignment horizontal="left" vertical="center" indent="4"/>
      <protection hidden="1"/>
    </xf>
    <xf numFmtId="0" fontId="1" fillId="0" borderId="0" xfId="1" applyFont="1" applyBorder="1" applyAlignment="1" applyProtection="1">
      <alignment horizontal="left" vertical="center" indent="4"/>
      <protection hidden="1"/>
    </xf>
    <xf numFmtId="0" fontId="19" fillId="0" borderId="0" xfId="1" applyFont="1" applyBorder="1" applyAlignment="1" applyProtection="1">
      <alignment horizontal="left" vertical="center" wrapText="1" indent="4"/>
      <protection hidden="1"/>
    </xf>
    <xf numFmtId="0" fontId="1" fillId="0" borderId="0" xfId="1" applyFont="1" applyBorder="1" applyAlignment="1" applyProtection="1">
      <alignment horizontal="left" indent="4"/>
      <protection hidden="1"/>
    </xf>
    <xf numFmtId="0" fontId="40" fillId="0" borderId="0" xfId="1" applyFont="1" applyBorder="1" applyAlignment="1" applyProtection="1">
      <alignment horizontal="justify" vertical="top" wrapText="1"/>
      <protection hidden="1"/>
    </xf>
    <xf numFmtId="0" fontId="1" fillId="0" borderId="0" xfId="1" applyFont="1" applyBorder="1" applyAlignment="1" applyProtection="1">
      <alignment horizontal="justify" vertical="top" wrapText="1"/>
      <protection hidden="1"/>
    </xf>
    <xf numFmtId="0" fontId="40" fillId="0" borderId="0" xfId="1" applyFont="1" applyBorder="1" applyAlignment="1" applyProtection="1">
      <alignment horizontal="justify" vertical="center" wrapText="1"/>
      <protection hidden="1"/>
    </xf>
    <xf numFmtId="0" fontId="5" fillId="0" borderId="0" xfId="1" applyFont="1" applyFill="1" applyBorder="1" applyAlignment="1" applyProtection="1">
      <alignment horizontal="left" vertical="top" indent="1"/>
      <protection hidden="1"/>
    </xf>
    <xf numFmtId="0" fontId="1" fillId="0" borderId="0" xfId="1" applyFont="1" applyFill="1" applyBorder="1" applyAlignment="1" applyProtection="1">
      <alignment horizontal="left" vertical="top" wrapText="1" indent="1"/>
      <protection hidden="1"/>
    </xf>
    <xf numFmtId="0" fontId="19" fillId="0" borderId="0" xfId="1" applyFont="1" applyFill="1" applyBorder="1" applyAlignment="1" applyProtection="1">
      <alignment horizontal="justify" vertical="top" wrapText="1"/>
      <protection hidden="1"/>
    </xf>
    <xf numFmtId="0" fontId="25" fillId="0" borderId="0" xfId="1" applyFont="1" applyFill="1" applyBorder="1" applyAlignment="1" applyProtection="1">
      <alignment horizontal="left" vertical="top" indent="1"/>
      <protection hidden="1"/>
    </xf>
    <xf numFmtId="0" fontId="23" fillId="0" borderId="0" xfId="1" applyFont="1" applyFill="1" applyBorder="1" applyAlignment="1" applyProtection="1">
      <alignment horizontal="left" vertical="top" wrapText="1" indent="1"/>
      <protection hidden="1"/>
    </xf>
    <xf numFmtId="0" fontId="23" fillId="0" borderId="0" xfId="1" applyFont="1" applyFill="1" applyBorder="1" applyAlignment="1" applyProtection="1">
      <alignment horizontal="left" indent="1"/>
      <protection hidden="1"/>
    </xf>
    <xf numFmtId="0" fontId="23" fillId="0" borderId="0" xfId="1" applyFont="1" applyFill="1" applyAlignment="1" applyProtection="1">
      <alignment horizontal="left" indent="1"/>
      <protection hidden="1"/>
    </xf>
    <xf numFmtId="0" fontId="23" fillId="0" borderId="0" xfId="1" applyFont="1" applyBorder="1" applyAlignment="1" applyProtection="1">
      <alignment horizontal="left" vertical="top" wrapText="1" indent="1"/>
      <protection hidden="1"/>
    </xf>
    <xf numFmtId="0" fontId="41" fillId="0" borderId="0" xfId="1" applyFont="1" applyBorder="1" applyAlignment="1" applyProtection="1">
      <alignment horizontal="justify" vertical="top" wrapText="1"/>
      <protection hidden="1"/>
    </xf>
    <xf numFmtId="0" fontId="19" fillId="0" borderId="0" xfId="1" applyFont="1" applyBorder="1" applyAlignment="1" applyProtection="1">
      <alignment horizontal="justify" vertical="top" wrapText="1"/>
      <protection hidden="1"/>
    </xf>
    <xf numFmtId="0" fontId="1" fillId="0" borderId="0" xfId="1" applyFont="1" applyBorder="1" applyAlignment="1" applyProtection="1">
      <alignment horizontal="left" vertical="top" wrapText="1" indent="1"/>
      <protection hidden="1"/>
    </xf>
    <xf numFmtId="0" fontId="25" fillId="0" borderId="0" xfId="1" applyFont="1" applyFill="1" applyBorder="1" applyAlignment="1" applyProtection="1">
      <alignment horizontal="left" vertical="center" indent="1"/>
      <protection hidden="1"/>
    </xf>
    <xf numFmtId="0" fontId="23" fillId="0" borderId="0" xfId="1" applyFont="1" applyFill="1" applyBorder="1" applyAlignment="1" applyProtection="1">
      <alignment horizontal="left" vertical="center" wrapText="1"/>
      <protection hidden="1"/>
    </xf>
    <xf numFmtId="0" fontId="23" fillId="0" borderId="0" xfId="1" applyFont="1" applyAlignment="1" applyProtection="1">
      <alignment vertical="center"/>
      <protection hidden="1"/>
    </xf>
    <xf numFmtId="0" fontId="25" fillId="0" borderId="0" xfId="1" applyFont="1" applyFill="1" applyBorder="1" applyAlignment="1" applyProtection="1">
      <alignment horizontal="left" vertical="center"/>
      <protection hidden="1"/>
    </xf>
    <xf numFmtId="0" fontId="23" fillId="0" borderId="0" xfId="1" applyFont="1" applyFill="1" applyBorder="1" applyAlignment="1" applyProtection="1">
      <alignment horizontal="left" vertical="center"/>
      <protection hidden="1"/>
    </xf>
    <xf numFmtId="0" fontId="23" fillId="0" borderId="0" xfId="1" applyFont="1" applyAlignment="1" applyProtection="1">
      <alignment horizontal="left" vertical="center"/>
      <protection hidden="1"/>
    </xf>
    <xf numFmtId="0" fontId="23" fillId="0" borderId="0" xfId="1" applyFont="1" applyBorder="1" applyAlignment="1" applyProtection="1">
      <alignment horizontal="left" vertical="center" wrapText="1"/>
      <protection hidden="1"/>
    </xf>
    <xf numFmtId="0" fontId="41" fillId="0" borderId="0" xfId="1" applyFont="1" applyBorder="1" applyAlignment="1" applyProtection="1">
      <alignment horizontal="justify" vertical="center" wrapText="1"/>
      <protection hidden="1"/>
    </xf>
    <xf numFmtId="0" fontId="23" fillId="0" borderId="0" xfId="1" applyFont="1" applyBorder="1" applyAlignment="1" applyProtection="1">
      <alignment vertical="center"/>
      <protection hidden="1"/>
    </xf>
    <xf numFmtId="0" fontId="19" fillId="0" borderId="0" xfId="1" applyFont="1" applyBorder="1" applyAlignment="1" applyProtection="1">
      <alignment horizontal="justify" vertical="center" wrapText="1"/>
      <protection hidden="1"/>
    </xf>
    <xf numFmtId="0" fontId="15" fillId="0" borderId="0" xfId="1" applyFont="1" applyFill="1" applyAlignment="1" applyProtection="1">
      <alignment horizontal="left" indent="4"/>
      <protection hidden="1"/>
    </xf>
    <xf numFmtId="0" fontId="1" fillId="0" borderId="0" xfId="1" applyFont="1" applyFill="1" applyBorder="1" applyAlignment="1" applyProtection="1">
      <alignment vertical="center" wrapText="1"/>
      <protection hidden="1"/>
    </xf>
    <xf numFmtId="0" fontId="25" fillId="0" borderId="0" xfId="1" applyFont="1" applyFill="1" applyAlignment="1" applyProtection="1">
      <alignment horizontal="left" indent="1"/>
      <protection hidden="1"/>
    </xf>
    <xf numFmtId="0" fontId="23" fillId="0" borderId="0" xfId="1" applyFont="1" applyFill="1" applyBorder="1" applyAlignment="1" applyProtection="1">
      <alignment horizontal="left" vertical="top" wrapText="1"/>
      <protection hidden="1"/>
    </xf>
    <xf numFmtId="0" fontId="25" fillId="0" borderId="0" xfId="1" applyFont="1" applyFill="1" applyBorder="1" applyAlignment="1" applyProtection="1">
      <alignment horizontal="left" vertical="top"/>
      <protection hidden="1"/>
    </xf>
    <xf numFmtId="0" fontId="23" fillId="0" borderId="0" xfId="1" applyFont="1" applyFill="1" applyBorder="1" applyProtection="1">
      <protection hidden="1"/>
    </xf>
    <xf numFmtId="0" fontId="23" fillId="0" borderId="0" xfId="1" applyFont="1" applyBorder="1" applyAlignment="1" applyProtection="1">
      <alignment horizontal="justify" vertical="top" wrapText="1"/>
      <protection hidden="1"/>
    </xf>
    <xf numFmtId="0" fontId="1" fillId="0" borderId="0" xfId="1" applyFont="1" applyBorder="1" applyAlignment="1" applyProtection="1">
      <alignment horizontal="left" vertical="top" wrapText="1"/>
      <protection hidden="1"/>
    </xf>
    <xf numFmtId="0" fontId="5" fillId="0" borderId="0" xfId="1" applyFont="1" applyFill="1" applyBorder="1" applyAlignment="1" applyProtection="1">
      <alignment vertical="center"/>
      <protection hidden="1"/>
    </xf>
    <xf numFmtId="0" fontId="5" fillId="0" borderId="0" xfId="1" applyFont="1" applyFill="1" applyBorder="1" applyAlignment="1" applyProtection="1">
      <alignment horizontal="left" vertical="top"/>
      <protection hidden="1"/>
    </xf>
    <xf numFmtId="0" fontId="1" fillId="0" borderId="0" xfId="1" applyFont="1" applyAlignment="1" applyProtection="1">
      <alignment vertical="center" wrapText="1"/>
      <protection hidden="1"/>
    </xf>
    <xf numFmtId="0" fontId="15" fillId="0" borderId="0" xfId="1" applyFont="1" applyFill="1" applyBorder="1" applyAlignment="1" applyProtection="1">
      <alignment horizontal="left" indent="4"/>
      <protection hidden="1"/>
    </xf>
    <xf numFmtId="0" fontId="15" fillId="0" borderId="0" xfId="1" applyFont="1" applyBorder="1" applyAlignment="1" applyProtection="1">
      <alignment horizontal="center" vertical="top" wrapText="1"/>
      <protection hidden="1"/>
    </xf>
    <xf numFmtId="0" fontId="15" fillId="0" borderId="0" xfId="1" applyFont="1" applyBorder="1" applyAlignment="1" applyProtection="1">
      <alignment horizontal="left" vertical="top" wrapText="1"/>
      <protection hidden="1"/>
    </xf>
    <xf numFmtId="0" fontId="15" fillId="0" borderId="0" xfId="1" applyFont="1" applyBorder="1" applyProtection="1">
      <protection hidden="1"/>
    </xf>
    <xf numFmtId="0" fontId="15" fillId="0" borderId="0" xfId="1" applyFont="1" applyProtection="1">
      <protection hidden="1"/>
    </xf>
    <xf numFmtId="0" fontId="15" fillId="0" borderId="0" xfId="1" applyFont="1" applyBorder="1" applyAlignment="1" applyProtection="1">
      <alignment horizontal="justify" vertical="top" wrapText="1"/>
      <protection hidden="1"/>
    </xf>
    <xf numFmtId="0" fontId="10" fillId="0" borderId="0" xfId="1" applyFont="1" applyBorder="1" applyAlignment="1" applyProtection="1">
      <alignment horizontal="justify" vertical="top" wrapText="1"/>
      <protection hidden="1"/>
    </xf>
    <xf numFmtId="0" fontId="1" fillId="0" borderId="0" xfId="1" applyFont="1" applyBorder="1" applyAlignment="1" applyProtection="1">
      <alignment vertical="center" wrapText="1"/>
      <protection hidden="1"/>
    </xf>
    <xf numFmtId="0" fontId="51" fillId="0" borderId="0" xfId="1" applyFont="1" applyFill="1" applyBorder="1" applyAlignment="1" applyProtection="1">
      <alignment horizontal="left" vertical="center"/>
      <protection hidden="1"/>
    </xf>
    <xf numFmtId="0" fontId="0" fillId="0" borderId="0" xfId="0"/>
    <xf numFmtId="0" fontId="5" fillId="0" borderId="0" xfId="1" applyFont="1" applyAlignment="1" applyProtection="1">
      <alignment vertical="center"/>
      <protection hidden="1"/>
    </xf>
    <xf numFmtId="0" fontId="0" fillId="0" borderId="0" xfId="0"/>
    <xf numFmtId="0" fontId="44" fillId="19" borderId="0" xfId="0" applyFont="1" applyFill="1" applyAlignment="1">
      <alignment horizontal="center" vertical="center"/>
    </xf>
    <xf numFmtId="0" fontId="45" fillId="0" borderId="0" xfId="0" applyFont="1" applyAlignment="1">
      <alignment wrapText="1"/>
    </xf>
    <xf numFmtId="0" fontId="0" fillId="0" borderId="0" xfId="0" applyProtection="1">
      <protection locked="0"/>
    </xf>
    <xf numFmtId="0" fontId="1" fillId="3" borderId="1" xfId="1" applyFont="1" applyFill="1" applyBorder="1" applyAlignment="1" applyProtection="1">
      <alignment horizontal="center" vertical="center"/>
      <protection hidden="1"/>
    </xf>
    <xf numFmtId="0" fontId="5" fillId="2" borderId="0" xfId="1" applyFont="1" applyFill="1" applyBorder="1" applyAlignment="1" applyProtection="1">
      <alignment horizontal="left" vertical="center" indent="1"/>
      <protection hidden="1"/>
    </xf>
    <xf numFmtId="0" fontId="5" fillId="0" borderId="0" xfId="1" applyFont="1" applyFill="1" applyBorder="1" applyAlignment="1" applyProtection="1">
      <alignment horizontal="left" vertical="center" wrapText="1"/>
      <protection hidden="1"/>
    </xf>
    <xf numFmtId="0" fontId="1" fillId="0" borderId="0" xfId="1" applyFont="1" applyFill="1" applyBorder="1" applyAlignment="1" applyProtection="1">
      <alignment horizontal="center" vertical="top"/>
      <protection hidden="1"/>
    </xf>
    <xf numFmtId="0" fontId="1" fillId="0" borderId="0" xfId="1" applyFont="1" applyProtection="1">
      <protection hidden="1"/>
    </xf>
    <xf numFmtId="0" fontId="5" fillId="0" borderId="0" xfId="1" applyFont="1" applyFill="1" applyBorder="1" applyAlignment="1" applyProtection="1">
      <alignment horizontal="center" vertical="center" wrapText="1"/>
      <protection hidden="1"/>
    </xf>
    <xf numFmtId="0" fontId="5" fillId="3" borderId="31" xfId="1" applyFont="1" applyFill="1" applyBorder="1" applyAlignment="1" applyProtection="1">
      <alignment horizontal="center" vertical="center" wrapText="1"/>
      <protection hidden="1"/>
    </xf>
    <xf numFmtId="0" fontId="1" fillId="13" borderId="1" xfId="1" applyFont="1" applyFill="1" applyBorder="1" applyAlignment="1" applyProtection="1">
      <alignment horizontal="center" vertical="center"/>
      <protection locked="0"/>
    </xf>
    <xf numFmtId="0" fontId="5" fillId="3" borderId="31" xfId="1" applyFont="1" applyFill="1" applyBorder="1" applyAlignment="1" applyProtection="1">
      <alignment horizontal="center" vertical="center"/>
      <protection hidden="1"/>
    </xf>
    <xf numFmtId="0" fontId="25" fillId="0" borderId="0" xfId="1" applyFont="1" applyAlignment="1" applyProtection="1">
      <alignment horizontal="left" vertical="center" indent="1"/>
      <protection hidden="1"/>
    </xf>
    <xf numFmtId="0" fontId="16" fillId="0" borderId="0" xfId="1" applyFont="1" applyFill="1" applyBorder="1" applyAlignment="1" applyProtection="1">
      <alignment horizontal="center"/>
      <protection hidden="1"/>
    </xf>
    <xf numFmtId="0" fontId="5" fillId="3" borderId="29" xfId="1" applyFont="1" applyFill="1" applyBorder="1" applyAlignment="1" applyProtection="1">
      <alignment horizontal="center" vertical="center"/>
      <protection hidden="1"/>
    </xf>
    <xf numFmtId="0" fontId="20" fillId="3" borderId="0" xfId="1" applyFont="1" applyFill="1" applyBorder="1" applyAlignment="1" applyProtection="1">
      <alignment horizontal="center" vertical="center"/>
      <protection hidden="1"/>
    </xf>
    <xf numFmtId="0" fontId="1" fillId="0" borderId="0" xfId="1" applyFont="1" applyBorder="1" applyAlignment="1" applyProtection="1">
      <alignment horizontal="center" vertical="top" wrapText="1"/>
      <protection hidden="1"/>
    </xf>
    <xf numFmtId="0" fontId="1" fillId="8" borderId="1" xfId="1" applyFont="1" applyFill="1" applyBorder="1" applyAlignment="1" applyProtection="1">
      <alignment horizontal="center" vertical="center" wrapText="1"/>
      <protection hidden="1"/>
    </xf>
    <xf numFmtId="0" fontId="20" fillId="3" borderId="0" xfId="1" applyFont="1" applyFill="1" applyBorder="1" applyAlignment="1" applyProtection="1">
      <alignment horizontal="center" vertical="center" wrapText="1"/>
      <protection hidden="1"/>
    </xf>
    <xf numFmtId="0" fontId="16" fillId="0" borderId="23" xfId="1" applyFont="1" applyFill="1" applyBorder="1" applyAlignment="1" applyProtection="1">
      <alignment vertical="center"/>
      <protection hidden="1"/>
    </xf>
    <xf numFmtId="0" fontId="16" fillId="0" borderId="24" xfId="1" applyFont="1" applyFill="1" applyBorder="1" applyAlignment="1" applyProtection="1">
      <alignment vertical="center"/>
      <protection hidden="1"/>
    </xf>
    <xf numFmtId="14" fontId="0" fillId="0" borderId="0" xfId="0" applyNumberFormat="1" applyProtection="1">
      <protection hidden="1"/>
    </xf>
    <xf numFmtId="0" fontId="33" fillId="0" borderId="0" xfId="1" applyFont="1" applyAlignment="1" applyProtection="1">
      <alignment vertical="center"/>
      <protection hidden="1"/>
    </xf>
    <xf numFmtId="0" fontId="25" fillId="14" borderId="0" xfId="1" applyFont="1" applyFill="1" applyAlignment="1" applyProtection="1">
      <alignment horizontal="left" vertical="center"/>
      <protection hidden="1"/>
    </xf>
    <xf numFmtId="0" fontId="33" fillId="14" borderId="0" xfId="1" applyFont="1" applyFill="1" applyAlignment="1" applyProtection="1">
      <alignment vertical="center"/>
      <protection hidden="1"/>
    </xf>
    <xf numFmtId="0" fontId="33" fillId="14" borderId="0" xfId="1" applyFont="1" applyFill="1" applyBorder="1" applyAlignment="1" applyProtection="1">
      <alignment horizontal="center" vertical="center" wrapText="1"/>
      <protection hidden="1"/>
    </xf>
    <xf numFmtId="0" fontId="33" fillId="14" borderId="0" xfId="1" applyFont="1" applyFill="1" applyBorder="1" applyAlignment="1" applyProtection="1">
      <alignment vertical="center"/>
      <protection hidden="1"/>
    </xf>
    <xf numFmtId="0" fontId="32" fillId="0" borderId="0" xfId="0" applyFont="1" applyAlignment="1" applyProtection="1">
      <alignment horizontal="right"/>
      <protection hidden="1"/>
    </xf>
    <xf numFmtId="0" fontId="23" fillId="14" borderId="0" xfId="1" applyFont="1" applyFill="1" applyAlignment="1" applyProtection="1">
      <alignment vertical="center"/>
      <protection hidden="1"/>
    </xf>
    <xf numFmtId="0" fontId="23" fillId="14" borderId="0" xfId="1" applyFont="1" applyFill="1" applyBorder="1" applyAlignment="1" applyProtection="1">
      <alignment horizontal="center" vertical="center" wrapText="1"/>
      <protection hidden="1"/>
    </xf>
    <xf numFmtId="0" fontId="23" fillId="14" borderId="0" xfId="1" applyFont="1" applyFill="1" applyBorder="1" applyAlignment="1" applyProtection="1">
      <alignment vertical="center"/>
      <protection hidden="1"/>
    </xf>
    <xf numFmtId="0" fontId="33" fillId="0" borderId="0" xfId="1" applyFont="1" applyBorder="1" applyAlignment="1" applyProtection="1">
      <alignment horizontal="center" vertical="center" wrapText="1"/>
      <protection hidden="1"/>
    </xf>
    <xf numFmtId="0" fontId="33" fillId="0" borderId="0" xfId="1" applyFont="1" applyBorder="1" applyAlignment="1" applyProtection="1">
      <alignment vertical="center" wrapText="1"/>
      <protection hidden="1"/>
    </xf>
    <xf numFmtId="0" fontId="34" fillId="0" borderId="0" xfId="1" applyFont="1" applyBorder="1" applyAlignment="1" applyProtection="1">
      <alignment horizontal="justify" vertical="center" wrapText="1"/>
      <protection hidden="1"/>
    </xf>
    <xf numFmtId="0" fontId="33" fillId="0" borderId="0" xfId="1" applyFont="1" applyBorder="1" applyAlignment="1" applyProtection="1">
      <alignment vertical="center"/>
      <protection hidden="1"/>
    </xf>
    <xf numFmtId="0" fontId="1" fillId="0" borderId="0" xfId="1" applyBorder="1" applyAlignment="1" applyProtection="1">
      <alignment wrapText="1"/>
      <protection hidden="1"/>
    </xf>
    <xf numFmtId="0" fontId="1" fillId="0" borderId="0" xfId="1" applyBorder="1" applyProtection="1">
      <protection hidden="1"/>
    </xf>
    <xf numFmtId="0" fontId="1" fillId="0" borderId="0" xfId="1" applyProtection="1">
      <protection hidden="1"/>
    </xf>
    <xf numFmtId="0" fontId="5" fillId="0" borderId="0" xfId="1" applyFont="1" applyBorder="1" applyAlignment="1" applyProtection="1">
      <alignment horizontal="center" vertical="center" wrapText="1"/>
      <protection hidden="1"/>
    </xf>
    <xf numFmtId="0" fontId="15" fillId="0" borderId="0" xfId="1" applyFont="1" applyFill="1" applyBorder="1" applyAlignment="1" applyProtection="1">
      <alignment horizontal="left" indent="2"/>
      <protection hidden="1"/>
    </xf>
    <xf numFmtId="0" fontId="12" fillId="0" borderId="0" xfId="1" applyFont="1" applyProtection="1">
      <protection hidden="1"/>
    </xf>
    <xf numFmtId="0" fontId="25" fillId="14" borderId="0" xfId="1" applyFont="1" applyFill="1" applyBorder="1" applyAlignment="1" applyProtection="1">
      <alignment horizontal="left" vertical="center"/>
      <protection hidden="1"/>
    </xf>
    <xf numFmtId="0" fontId="23" fillId="14" borderId="0" xfId="1" applyFont="1" applyFill="1" applyBorder="1" applyAlignment="1" applyProtection="1">
      <alignment vertical="center" wrapText="1"/>
      <protection hidden="1"/>
    </xf>
    <xf numFmtId="0" fontId="1" fillId="0" borderId="0" xfId="1" applyFont="1" applyFill="1" applyAlignment="1" applyProtection="1">
      <alignment vertical="center"/>
      <protection hidden="1"/>
    </xf>
    <xf numFmtId="0" fontId="23" fillId="0" borderId="0" xfId="1" applyFont="1" applyFill="1" applyBorder="1" applyAlignment="1" applyProtection="1">
      <alignment vertical="center" wrapText="1"/>
      <protection hidden="1"/>
    </xf>
    <xf numFmtId="0" fontId="23" fillId="0" borderId="0" xfId="1" applyFont="1" applyFill="1" applyBorder="1" applyAlignment="1" applyProtection="1">
      <alignment horizontal="center" vertical="center" wrapText="1"/>
      <protection hidden="1"/>
    </xf>
    <xf numFmtId="0" fontId="23" fillId="0" borderId="0" xfId="1" applyFont="1" applyFill="1" applyBorder="1" applyAlignment="1" applyProtection="1">
      <alignment vertical="center"/>
      <protection hidden="1"/>
    </xf>
    <xf numFmtId="0" fontId="19" fillId="0" borderId="0" xfId="1" applyFont="1" applyFill="1" applyBorder="1" applyAlignment="1" applyProtection="1">
      <alignment horizontal="justify" vertical="center" wrapText="1"/>
      <protection hidden="1"/>
    </xf>
    <xf numFmtId="0" fontId="5" fillId="0" borderId="0" xfId="1" applyFont="1" applyBorder="1" applyAlignment="1" applyProtection="1">
      <alignment horizontal="left" vertical="center" indent="1"/>
      <protection hidden="1"/>
    </xf>
    <xf numFmtId="0" fontId="15" fillId="0" borderId="0" xfId="1" applyFont="1" applyFill="1" applyBorder="1" applyAlignment="1" applyProtection="1">
      <alignment horizontal="left" indent="1"/>
      <protection hidden="1"/>
    </xf>
    <xf numFmtId="0" fontId="40" fillId="18" borderId="1" xfId="1" applyFont="1" applyFill="1" applyBorder="1" applyAlignment="1" applyProtection="1">
      <alignment horizontal="left" vertical="center" wrapText="1"/>
      <protection locked="0"/>
    </xf>
    <xf numFmtId="0" fontId="40" fillId="18" borderId="1" xfId="1" applyFont="1" applyFill="1" applyBorder="1" applyAlignment="1" applyProtection="1">
      <protection locked="0"/>
    </xf>
    <xf numFmtId="0" fontId="37" fillId="0" borderId="0" xfId="0" applyFont="1" applyFill="1" applyAlignment="1" applyProtection="1">
      <alignment vertical="center"/>
      <protection hidden="1"/>
    </xf>
    <xf numFmtId="0" fontId="0" fillId="0" borderId="0" xfId="0" applyFill="1" applyAlignment="1" applyProtection="1">
      <alignment vertical="center"/>
      <protection hidden="1"/>
    </xf>
    <xf numFmtId="0" fontId="5" fillId="0" borderId="0" xfId="1" applyFont="1" applyFill="1" applyBorder="1" applyAlignment="1" applyProtection="1">
      <alignment horizontal="left" indent="1"/>
      <protection hidden="1"/>
    </xf>
    <xf numFmtId="0" fontId="25" fillId="0" borderId="61" xfId="1" applyFont="1" applyFill="1" applyBorder="1" applyAlignment="1" applyProtection="1">
      <alignment horizontal="left" vertical="center"/>
      <protection hidden="1"/>
    </xf>
    <xf numFmtId="4" fontId="1" fillId="13" borderId="1" xfId="1" applyNumberFormat="1" applyFont="1" applyFill="1" applyBorder="1" applyAlignment="1" applyProtection="1">
      <alignment vertical="center"/>
      <protection hidden="1"/>
    </xf>
    <xf numFmtId="0" fontId="6" fillId="3" borderId="31" xfId="1" applyFont="1" applyFill="1" applyBorder="1" applyAlignment="1" applyProtection="1">
      <alignment horizontal="center" vertical="center" wrapText="1"/>
      <protection hidden="1"/>
    </xf>
    <xf numFmtId="0" fontId="1" fillId="0" borderId="73" xfId="1" applyFont="1" applyFill="1" applyBorder="1" applyProtection="1">
      <protection hidden="1"/>
    </xf>
    <xf numFmtId="166" fontId="1" fillId="0" borderId="0" xfId="1" applyNumberFormat="1" applyFont="1" applyBorder="1" applyAlignment="1" applyProtection="1">
      <alignment horizontal="center" vertical="center" wrapText="1"/>
      <protection hidden="1"/>
    </xf>
    <xf numFmtId="0" fontId="5" fillId="0" borderId="0" xfId="1" applyFont="1" applyBorder="1" applyAlignment="1" applyProtection="1">
      <alignment vertical="center" wrapText="1"/>
      <protection hidden="1"/>
    </xf>
    <xf numFmtId="0" fontId="18" fillId="0" borderId="0" xfId="1" applyFont="1" applyBorder="1" applyProtection="1">
      <protection hidden="1"/>
    </xf>
    <xf numFmtId="0" fontId="6" fillId="3" borderId="1" xfId="1" applyFont="1" applyFill="1" applyBorder="1" applyAlignment="1" applyProtection="1">
      <alignment horizontal="center" vertical="center" wrapText="1"/>
      <protection hidden="1"/>
    </xf>
    <xf numFmtId="4" fontId="1" fillId="13" borderId="1" xfId="1" applyNumberFormat="1" applyFont="1" applyFill="1" applyBorder="1" applyAlignment="1" applyProtection="1">
      <alignment vertical="center"/>
      <protection locked="0"/>
    </xf>
    <xf numFmtId="4" fontId="1" fillId="13" borderId="1" xfId="1" applyNumberFormat="1" applyFont="1" applyFill="1" applyBorder="1" applyAlignment="1" applyProtection="1">
      <alignment horizontal="right" vertical="center"/>
      <protection locked="0"/>
    </xf>
    <xf numFmtId="0" fontId="0" fillId="17" borderId="0" xfId="0" applyFill="1" applyProtection="1">
      <protection hidden="1"/>
    </xf>
    <xf numFmtId="0" fontId="1" fillId="0" borderId="0" xfId="0" applyFont="1" applyFill="1" applyBorder="1" applyProtection="1">
      <protection hidden="1"/>
    </xf>
    <xf numFmtId="0" fontId="1" fillId="0" borderId="0" xfId="0" applyFont="1" applyProtection="1">
      <protection hidden="1"/>
    </xf>
    <xf numFmtId="0" fontId="1" fillId="0" borderId="0" xfId="0" applyFont="1" applyBorder="1" applyAlignment="1" applyProtection="1">
      <alignment horizontal="right"/>
      <protection hidden="1"/>
    </xf>
    <xf numFmtId="0" fontId="1" fillId="0" borderId="0" xfId="0" applyFont="1" applyBorder="1" applyProtection="1">
      <protection hidden="1"/>
    </xf>
    <xf numFmtId="0" fontId="16" fillId="0" borderId="0" xfId="0" applyFont="1" applyFill="1" applyBorder="1" applyProtection="1">
      <protection hidden="1"/>
    </xf>
    <xf numFmtId="0" fontId="5" fillId="3" borderId="1"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1" fillId="10" borderId="1" xfId="1" applyFont="1" applyFill="1" applyBorder="1" applyAlignment="1" applyProtection="1">
      <alignment horizontal="left" vertical="top" wrapText="1" indent="1"/>
      <protection hidden="1"/>
    </xf>
    <xf numFmtId="0" fontId="21" fillId="0" borderId="0" xfId="0" applyFont="1" applyFill="1" applyBorder="1" applyProtection="1">
      <protection hidden="1"/>
    </xf>
    <xf numFmtId="0" fontId="23" fillId="0" borderId="0" xfId="0" applyFont="1" applyBorder="1" applyAlignment="1" applyProtection="1">
      <alignment horizontal="justify" vertical="center" wrapText="1"/>
      <protection hidden="1"/>
    </xf>
    <xf numFmtId="0" fontId="23" fillId="0" borderId="0" xfId="0" applyFont="1" applyBorder="1" applyAlignment="1" applyProtection="1">
      <alignment horizontal="right" vertical="center" wrapText="1"/>
      <protection hidden="1"/>
    </xf>
    <xf numFmtId="0" fontId="1" fillId="0" borderId="0" xfId="0" applyFont="1" applyBorder="1" applyAlignment="1" applyProtection="1">
      <alignment horizontal="left" vertical="center"/>
      <protection hidden="1"/>
    </xf>
    <xf numFmtId="0" fontId="5" fillId="0" borderId="0" xfId="0" applyFont="1" applyBorder="1" applyAlignment="1" applyProtection="1">
      <alignment horizontal="left" vertical="center"/>
      <protection hidden="1"/>
    </xf>
    <xf numFmtId="0" fontId="5" fillId="3" borderId="35" xfId="0" applyFont="1" applyFill="1" applyBorder="1" applyAlignment="1" applyProtection="1">
      <alignment horizontal="centerContinuous" vertical="center" wrapText="1"/>
      <protection hidden="1"/>
    </xf>
    <xf numFmtId="0" fontId="5" fillId="3" borderId="31" xfId="0" applyFont="1" applyFill="1" applyBorder="1" applyAlignment="1" applyProtection="1">
      <alignment horizontal="center" vertical="center" wrapText="1"/>
      <protection hidden="1"/>
    </xf>
    <xf numFmtId="0" fontId="0" fillId="0" borderId="0" xfId="0" applyAlignment="1" applyProtection="1">
      <alignment horizontal="right"/>
      <protection hidden="1"/>
    </xf>
    <xf numFmtId="0" fontId="1" fillId="17" borderId="2" xfId="0" applyFont="1" applyFill="1" applyBorder="1" applyAlignment="1" applyProtection="1">
      <alignment horizontal="left" indent="2"/>
      <protection hidden="1"/>
    </xf>
    <xf numFmtId="9" fontId="52" fillId="3" borderId="1" xfId="0" applyNumberFormat="1" applyFont="1" applyFill="1" applyBorder="1" applyProtection="1">
      <protection hidden="1"/>
    </xf>
    <xf numFmtId="4" fontId="1" fillId="17" borderId="4" xfId="0" applyNumberFormat="1" applyFont="1" applyFill="1" applyBorder="1" applyProtection="1">
      <protection hidden="1"/>
    </xf>
    <xf numFmtId="0" fontId="1" fillId="3" borderId="1" xfId="0" applyFont="1" applyFill="1" applyBorder="1" applyAlignment="1" applyProtection="1">
      <alignment horizontal="right"/>
      <protection hidden="1"/>
    </xf>
    <xf numFmtId="0" fontId="1" fillId="10" borderId="1" xfId="0" applyFont="1" applyFill="1" applyBorder="1" applyAlignment="1" applyProtection="1">
      <alignment horizontal="left" indent="3"/>
      <protection hidden="1"/>
    </xf>
    <xf numFmtId="170" fontId="1" fillId="0" borderId="1" xfId="0" applyNumberFormat="1" applyFont="1" applyBorder="1" applyAlignment="1" applyProtection="1">
      <alignment horizontal="right"/>
      <protection hidden="1"/>
    </xf>
    <xf numFmtId="170" fontId="1" fillId="0" borderId="1" xfId="0" applyNumberFormat="1" applyFont="1" applyFill="1" applyBorder="1" applyAlignment="1" applyProtection="1">
      <alignment horizontal="right"/>
      <protection hidden="1"/>
    </xf>
    <xf numFmtId="0" fontId="1" fillId="0" borderId="1" xfId="0" applyFont="1" applyBorder="1" applyAlignment="1" applyProtection="1">
      <protection hidden="1"/>
    </xf>
    <xf numFmtId="4" fontId="1" fillId="0" borderId="1" xfId="0" applyNumberFormat="1" applyFont="1" applyBorder="1" applyProtection="1">
      <protection hidden="1"/>
    </xf>
    <xf numFmtId="0" fontId="1" fillId="0" borderId="1" xfId="0" applyFont="1" applyBorder="1" applyProtection="1">
      <protection hidden="1"/>
    </xf>
    <xf numFmtId="0" fontId="2" fillId="3" borderId="1" xfId="0" applyFont="1" applyFill="1" applyBorder="1" applyProtection="1">
      <protection hidden="1"/>
    </xf>
    <xf numFmtId="0" fontId="11" fillId="3" borderId="2" xfId="0" applyFont="1" applyFill="1" applyBorder="1" applyProtection="1">
      <protection hidden="1"/>
    </xf>
    <xf numFmtId="169" fontId="2" fillId="0" borderId="50" xfId="0" applyNumberFormat="1" applyFont="1" applyFill="1" applyBorder="1" applyProtection="1">
      <protection hidden="1"/>
    </xf>
    <xf numFmtId="0" fontId="2" fillId="3" borderId="57" xfId="0" applyFont="1" applyFill="1" applyBorder="1" applyAlignment="1" applyProtection="1">
      <alignment horizontal="right"/>
      <protection hidden="1"/>
    </xf>
    <xf numFmtId="0" fontId="5" fillId="3" borderId="31" xfId="0" applyFont="1" applyFill="1" applyBorder="1" applyAlignment="1" applyProtection="1">
      <alignment horizontal="right" vertical="center" wrapText="1"/>
      <protection hidden="1"/>
    </xf>
    <xf numFmtId="0" fontId="6" fillId="0" borderId="1" xfId="1" applyFont="1" applyBorder="1" applyAlignment="1" applyProtection="1">
      <alignment vertical="center" wrapText="1"/>
      <protection hidden="1"/>
    </xf>
    <xf numFmtId="0" fontId="1" fillId="3" borderId="2" xfId="0" applyFont="1" applyFill="1" applyBorder="1" applyProtection="1">
      <protection hidden="1"/>
    </xf>
    <xf numFmtId="0" fontId="1" fillId="3" borderId="3" xfId="0" applyFont="1" applyFill="1" applyBorder="1" applyAlignment="1" applyProtection="1">
      <alignment horizontal="right"/>
      <protection hidden="1"/>
    </xf>
    <xf numFmtId="0" fontId="7" fillId="0" borderId="1" xfId="1" applyFont="1" applyBorder="1" applyAlignment="1" applyProtection="1">
      <alignment horizontal="left" vertical="center" wrapText="1" indent="1"/>
      <protection hidden="1"/>
    </xf>
    <xf numFmtId="0" fontId="53" fillId="3" borderId="1" xfId="0" applyFont="1" applyFill="1" applyBorder="1" applyProtection="1">
      <protection hidden="1"/>
    </xf>
    <xf numFmtId="0" fontId="1" fillId="0" borderId="2" xfId="0" applyFont="1" applyBorder="1" applyProtection="1">
      <protection hidden="1"/>
    </xf>
    <xf numFmtId="0" fontId="5" fillId="0" borderId="3" xfId="0" applyFont="1" applyBorder="1" applyAlignment="1" applyProtection="1">
      <alignment horizontal="right"/>
      <protection hidden="1"/>
    </xf>
    <xf numFmtId="0" fontId="5" fillId="0" borderId="0" xfId="0" applyFont="1" applyFill="1" applyBorder="1" applyAlignment="1" applyProtection="1">
      <alignment horizontal="left" vertical="center"/>
      <protection hidden="1"/>
    </xf>
    <xf numFmtId="0" fontId="25" fillId="0" borderId="0" xfId="0" applyFont="1" applyBorder="1" applyAlignment="1" applyProtection="1">
      <alignment horizontal="left" vertical="center" wrapText="1"/>
      <protection hidden="1"/>
    </xf>
    <xf numFmtId="0" fontId="23" fillId="0" borderId="0" xfId="0" applyFont="1" applyBorder="1" applyAlignment="1" applyProtection="1">
      <alignment horizontal="center" vertical="center" wrapText="1"/>
      <protection hidden="1"/>
    </xf>
    <xf numFmtId="0" fontId="1" fillId="0" borderId="1" xfId="0" applyFont="1" applyBorder="1" applyAlignment="1" applyProtection="1">
      <alignment horizontal="left" vertical="center" indent="3"/>
      <protection hidden="1"/>
    </xf>
    <xf numFmtId="0" fontId="24" fillId="10" borderId="1" xfId="0" applyFont="1" applyFill="1" applyBorder="1" applyAlignment="1" applyProtection="1">
      <alignment horizontal="left" vertical="center" wrapText="1" indent="1"/>
      <protection hidden="1"/>
    </xf>
    <xf numFmtId="0" fontId="1" fillId="0" borderId="1" xfId="0" applyFont="1" applyBorder="1" applyAlignment="1" applyProtection="1">
      <alignment horizontal="justify" vertical="center" wrapText="1"/>
      <protection hidden="1"/>
    </xf>
    <xf numFmtId="0" fontId="5" fillId="3" borderId="2" xfId="0" applyFont="1" applyFill="1" applyBorder="1" applyAlignment="1" applyProtection="1">
      <alignment vertical="center" wrapText="1"/>
      <protection hidden="1"/>
    </xf>
    <xf numFmtId="0" fontId="0" fillId="0" borderId="0" xfId="0" applyBorder="1" applyProtection="1">
      <protection hidden="1"/>
    </xf>
    <xf numFmtId="0" fontId="2" fillId="0" borderId="0" xfId="0" applyFont="1" applyProtection="1">
      <protection hidden="1"/>
    </xf>
    <xf numFmtId="0" fontId="11" fillId="0" borderId="0" xfId="0" applyFont="1" applyBorder="1" applyAlignment="1" applyProtection="1">
      <alignment horizontal="right" vertical="top" wrapText="1"/>
      <protection hidden="1"/>
    </xf>
    <xf numFmtId="0" fontId="2" fillId="3" borderId="35" xfId="0" applyFont="1" applyFill="1" applyBorder="1" applyAlignment="1" applyProtection="1">
      <alignment horizontal="center" vertical="center" wrapText="1"/>
      <protection hidden="1"/>
    </xf>
    <xf numFmtId="0" fontId="1" fillId="0" borderId="0" xfId="0" applyFont="1" applyFill="1" applyBorder="1" applyAlignment="1" applyProtection="1">
      <protection hidden="1"/>
    </xf>
    <xf numFmtId="9" fontId="11" fillId="17" borderId="1" xfId="0" applyNumberFormat="1" applyFont="1" applyFill="1" applyBorder="1" applyAlignment="1" applyProtection="1">
      <alignment horizontal="right" vertical="center" wrapText="1"/>
      <protection hidden="1"/>
    </xf>
    <xf numFmtId="0" fontId="11" fillId="17" borderId="1" xfId="0" applyFont="1" applyFill="1" applyBorder="1" applyAlignment="1" applyProtection="1">
      <alignment horizontal="right" vertical="center" wrapText="1"/>
      <protection hidden="1"/>
    </xf>
    <xf numFmtId="0" fontId="15" fillId="0" borderId="19" xfId="0" applyFont="1" applyBorder="1" applyAlignment="1" applyProtection="1">
      <alignment horizontal="left" wrapText="1"/>
      <protection hidden="1"/>
    </xf>
    <xf numFmtId="0" fontId="1" fillId="0" borderId="0" xfId="0" applyFont="1" applyAlignment="1" applyProtection="1">
      <alignment horizontal="right"/>
      <protection hidden="1"/>
    </xf>
    <xf numFmtId="0" fontId="1" fillId="0" borderId="0" xfId="0" applyFont="1" applyBorder="1" applyAlignment="1" applyProtection="1">
      <alignment horizontal="left" vertical="top"/>
      <protection hidden="1"/>
    </xf>
    <xf numFmtId="0" fontId="1" fillId="0" borderId="0" xfId="0" applyFont="1" applyFill="1" applyProtection="1">
      <protection hidden="1"/>
    </xf>
    <xf numFmtId="0" fontId="1" fillId="0" borderId="0" xfId="0" applyFont="1" applyBorder="1" applyAlignment="1" applyProtection="1">
      <alignment horizontal="left" vertical="center" wrapText="1"/>
      <protection hidden="1"/>
    </xf>
    <xf numFmtId="0" fontId="1" fillId="0" borderId="0" xfId="0" applyFont="1" applyBorder="1" applyAlignment="1" applyProtection="1">
      <alignment horizontal="right" vertical="center" wrapText="1"/>
      <protection hidden="1"/>
    </xf>
    <xf numFmtId="0" fontId="9" fillId="0" borderId="0" xfId="0" applyFont="1" applyFill="1" applyBorder="1" applyAlignment="1" applyProtection="1">
      <alignment horizontal="center" vertical="center" wrapText="1"/>
      <protection hidden="1"/>
    </xf>
    <xf numFmtId="0" fontId="0" fillId="0" borderId="0" xfId="0" applyFill="1" applyAlignment="1" applyProtection="1">
      <alignment wrapText="1"/>
      <protection hidden="1"/>
    </xf>
    <xf numFmtId="0" fontId="0" fillId="0" borderId="0" xfId="0" applyFill="1" applyAlignment="1" applyProtection="1">
      <alignment horizontal="right"/>
      <protection hidden="1"/>
    </xf>
    <xf numFmtId="0" fontId="0" fillId="0" borderId="1" xfId="0" applyFill="1" applyBorder="1" applyAlignment="1" applyProtection="1">
      <alignment horizontal="center" vertical="center" wrapText="1"/>
      <protection hidden="1"/>
    </xf>
    <xf numFmtId="0" fontId="47" fillId="0" borderId="0" xfId="0" applyFont="1" applyFill="1" applyAlignment="1" applyProtection="1">
      <alignment wrapText="1"/>
      <protection hidden="1"/>
    </xf>
    <xf numFmtId="2" fontId="47" fillId="0" borderId="0" xfId="0" applyNumberFormat="1" applyFont="1" applyFill="1" applyAlignment="1" applyProtection="1">
      <alignment wrapText="1"/>
      <protection hidden="1"/>
    </xf>
    <xf numFmtId="4" fontId="0" fillId="17" borderId="1" xfId="0" applyNumberFormat="1" applyFill="1" applyBorder="1" applyAlignment="1" applyProtection="1">
      <alignment horizontal="center" vertical="center" wrapText="1"/>
      <protection hidden="1"/>
    </xf>
    <xf numFmtId="0" fontId="0" fillId="0" borderId="0" xfId="0" applyFill="1" applyAlignment="1" applyProtection="1">
      <alignment vertical="center" wrapText="1"/>
      <protection hidden="1"/>
    </xf>
    <xf numFmtId="0" fontId="47" fillId="0" borderId="0" xfId="0" applyFont="1" applyFill="1" applyAlignment="1" applyProtection="1">
      <alignment vertical="center" wrapText="1"/>
      <protection hidden="1"/>
    </xf>
    <xf numFmtId="9" fontId="0" fillId="17" borderId="27" xfId="0" applyNumberFormat="1" applyFill="1" applyBorder="1" applyProtection="1">
      <protection locked="0"/>
    </xf>
    <xf numFmtId="9" fontId="0" fillId="17" borderId="1" xfId="0" applyNumberFormat="1" applyFill="1" applyBorder="1" applyProtection="1">
      <protection locked="0"/>
    </xf>
    <xf numFmtId="170" fontId="1" fillId="0" borderId="1" xfId="0" applyNumberFormat="1" applyFont="1" applyFill="1" applyBorder="1" applyAlignment="1" applyProtection="1">
      <alignment horizontal="right"/>
      <protection locked="0"/>
    </xf>
    <xf numFmtId="170" fontId="1" fillId="0" borderId="1" xfId="0" applyNumberFormat="1" applyFont="1" applyBorder="1" applyAlignment="1" applyProtection="1">
      <alignment horizontal="right"/>
      <protection locked="0"/>
    </xf>
    <xf numFmtId="0" fontId="1" fillId="0" borderId="1" xfId="0" applyFont="1" applyBorder="1" applyAlignment="1" applyProtection="1">
      <alignment horizontal="right"/>
      <protection locked="0"/>
    </xf>
    <xf numFmtId="9" fontId="1" fillId="17" borderId="1" xfId="7" applyFont="1" applyFill="1" applyBorder="1" applyProtection="1">
      <protection locked="0"/>
    </xf>
    <xf numFmtId="0" fontId="5" fillId="14" borderId="0" xfId="0" applyFont="1" applyFill="1" applyAlignment="1" applyProtection="1">
      <alignment vertical="center"/>
      <protection hidden="1"/>
    </xf>
    <xf numFmtId="0" fontId="1" fillId="14" borderId="0" xfId="0" applyFont="1" applyFill="1" applyProtection="1">
      <protection hidden="1"/>
    </xf>
    <xf numFmtId="0" fontId="1" fillId="14" borderId="0" xfId="0" applyFont="1" applyFill="1" applyAlignment="1" applyProtection="1">
      <alignment horizontal="right"/>
      <protection hidden="1"/>
    </xf>
    <xf numFmtId="0" fontId="1" fillId="14" borderId="0" xfId="0" applyFont="1" applyFill="1" applyBorder="1" applyProtection="1">
      <protection hidden="1"/>
    </xf>
    <xf numFmtId="0" fontId="5" fillId="3" borderId="31" xfId="0" applyFont="1" applyFill="1" applyBorder="1" applyAlignment="1" applyProtection="1">
      <alignment horizontal="center" vertical="center"/>
      <protection hidden="1"/>
    </xf>
    <xf numFmtId="0" fontId="0" fillId="0" borderId="0" xfId="0" applyAlignment="1" applyProtection="1">
      <alignment vertical="center"/>
      <protection hidden="1"/>
    </xf>
    <xf numFmtId="0" fontId="0" fillId="0" borderId="0" xfId="0" applyAlignment="1" applyProtection="1">
      <alignment horizontal="left" vertical="center" indent="1"/>
      <protection hidden="1"/>
    </xf>
    <xf numFmtId="0" fontId="1" fillId="0" borderId="0" xfId="0" applyFont="1" applyBorder="1" applyAlignment="1" applyProtection="1">
      <alignment horizontal="center"/>
      <protection hidden="1"/>
    </xf>
    <xf numFmtId="0" fontId="1" fillId="14" borderId="0" xfId="0" applyFont="1" applyFill="1" applyBorder="1" applyAlignment="1" applyProtection="1">
      <alignment horizontal="left" vertical="top"/>
      <protection hidden="1"/>
    </xf>
    <xf numFmtId="0" fontId="9" fillId="0" borderId="0" xfId="0" applyFont="1" applyAlignment="1" applyProtection="1">
      <alignment vertical="center"/>
      <protection hidden="1"/>
    </xf>
    <xf numFmtId="0" fontId="5" fillId="14" borderId="0" xfId="0" applyFont="1" applyFill="1" applyAlignment="1" applyProtection="1">
      <alignment horizontal="right" vertical="center"/>
      <protection hidden="1"/>
    </xf>
    <xf numFmtId="0" fontId="24" fillId="0" borderId="0" xfId="0" applyFont="1" applyBorder="1" applyAlignment="1" applyProtection="1">
      <alignment horizontal="justify" vertical="center" wrapText="1"/>
      <protection hidden="1"/>
    </xf>
    <xf numFmtId="0" fontId="28" fillId="0" borderId="0" xfId="0" applyFont="1" applyBorder="1" applyAlignment="1" applyProtection="1">
      <alignment vertical="center" wrapText="1"/>
      <protection hidden="1"/>
    </xf>
    <xf numFmtId="0" fontId="29" fillId="0" borderId="0" xfId="0" applyFont="1" applyBorder="1" applyAlignment="1" applyProtection="1">
      <alignment horizontal="center" vertical="center" wrapText="1"/>
      <protection hidden="1"/>
    </xf>
    <xf numFmtId="0" fontId="24" fillId="0" borderId="0" xfId="0" applyFont="1" applyBorder="1" applyAlignment="1" applyProtection="1">
      <alignment horizontal="center" vertical="center" wrapText="1"/>
      <protection hidden="1"/>
    </xf>
    <xf numFmtId="0" fontId="25" fillId="0" borderId="0" xfId="0" applyFont="1" applyBorder="1" applyAlignment="1" applyProtection="1">
      <alignment horizontal="justify" vertical="center" wrapText="1"/>
      <protection hidden="1"/>
    </xf>
    <xf numFmtId="0" fontId="9" fillId="0" borderId="21" xfId="0" applyFont="1" applyBorder="1" applyAlignment="1" applyProtection="1">
      <alignment horizontal="center" vertical="center"/>
      <protection locked="0"/>
    </xf>
    <xf numFmtId="0" fontId="25" fillId="0" borderId="0" xfId="0" applyFont="1" applyBorder="1" applyProtection="1">
      <protection hidden="1"/>
    </xf>
    <xf numFmtId="0" fontId="23" fillId="0" borderId="0" xfId="0" applyFont="1" applyBorder="1" applyProtection="1">
      <protection hidden="1"/>
    </xf>
    <xf numFmtId="0" fontId="5" fillId="3" borderId="31" xfId="0" applyFont="1" applyFill="1" applyBorder="1" applyAlignment="1" applyProtection="1">
      <alignment horizontal="center" wrapText="1"/>
      <protection hidden="1"/>
    </xf>
    <xf numFmtId="0" fontId="5" fillId="3" borderId="1" xfId="0" applyFont="1" applyFill="1" applyBorder="1" applyAlignment="1" applyProtection="1">
      <alignment wrapText="1"/>
      <protection hidden="1"/>
    </xf>
    <xf numFmtId="0" fontId="1" fillId="0" borderId="0" xfId="0" applyFont="1" applyAlignment="1" applyProtection="1">
      <alignment vertical="center" wrapText="1"/>
      <protection hidden="1"/>
    </xf>
    <xf numFmtId="0" fontId="1" fillId="0" borderId="0" xfId="0" applyFont="1" applyBorder="1" applyAlignment="1" applyProtection="1">
      <alignment horizontal="right" vertical="center"/>
      <protection hidden="1"/>
    </xf>
    <xf numFmtId="0" fontId="1" fillId="0" borderId="0" xfId="0" applyFont="1" applyBorder="1" applyAlignment="1" applyProtection="1">
      <alignment vertical="center"/>
      <protection hidden="1"/>
    </xf>
    <xf numFmtId="0" fontId="9" fillId="0" borderId="0" xfId="0" applyFont="1" applyProtection="1">
      <protection hidden="1"/>
    </xf>
    <xf numFmtId="0" fontId="1" fillId="17" borderId="1" xfId="0" applyFont="1" applyFill="1" applyBorder="1" applyAlignment="1" applyProtection="1">
      <alignment horizontal="center"/>
      <protection locked="0"/>
    </xf>
    <xf numFmtId="0" fontId="1" fillId="0" borderId="0" xfId="0" applyFont="1" applyAlignment="1" applyProtection="1">
      <alignment vertical="center"/>
      <protection hidden="1"/>
    </xf>
    <xf numFmtId="0" fontId="1" fillId="0" borderId="0" xfId="0" applyFont="1" applyAlignment="1" applyProtection="1">
      <alignment horizontal="right" vertical="center"/>
      <protection hidden="1"/>
    </xf>
    <xf numFmtId="0" fontId="0" fillId="0" borderId="1" xfId="0" applyBorder="1" applyAlignment="1" applyProtection="1">
      <alignment horizontal="center" vertical="center"/>
      <protection hidden="1"/>
    </xf>
    <xf numFmtId="0" fontId="32" fillId="9" borderId="0" xfId="0" applyFont="1" applyFill="1" applyProtection="1">
      <protection hidden="1"/>
    </xf>
    <xf numFmtId="0" fontId="32" fillId="8" borderId="0" xfId="0" applyFont="1" applyFill="1" applyProtection="1">
      <protection hidden="1"/>
    </xf>
    <xf numFmtId="0" fontId="32" fillId="0" borderId="0" xfId="0" applyFont="1" applyProtection="1">
      <protection hidden="1"/>
    </xf>
    <xf numFmtId="0" fontId="36" fillId="0" borderId="0" xfId="0" applyFont="1" applyAlignment="1" applyProtection="1">
      <alignment horizontal="center"/>
      <protection hidden="1"/>
    </xf>
    <xf numFmtId="0" fontId="9" fillId="3" borderId="31" xfId="0" applyFont="1" applyFill="1" applyBorder="1" applyAlignment="1" applyProtection="1">
      <alignment horizontal="center" vertical="center"/>
      <protection hidden="1"/>
    </xf>
    <xf numFmtId="0" fontId="9" fillId="0" borderId="0" xfId="0" applyFont="1" applyBorder="1" applyAlignment="1" applyProtection="1">
      <alignment horizontal="center" vertical="center"/>
      <protection hidden="1"/>
    </xf>
    <xf numFmtId="0" fontId="9" fillId="0" borderId="0" xfId="0" applyFont="1" applyBorder="1" applyAlignment="1" applyProtection="1">
      <alignment horizontal="center"/>
      <protection hidden="1"/>
    </xf>
    <xf numFmtId="0" fontId="0" fillId="0" borderId="2" xfId="0" applyBorder="1" applyProtection="1">
      <protection hidden="1"/>
    </xf>
    <xf numFmtId="0" fontId="9" fillId="0" borderId="3" xfId="0" applyFont="1" applyBorder="1" applyProtection="1">
      <protection hidden="1"/>
    </xf>
    <xf numFmtId="0" fontId="0" fillId="0" borderId="3" xfId="0" applyBorder="1" applyProtection="1">
      <protection hidden="1"/>
    </xf>
    <xf numFmtId="0" fontId="0" fillId="0" borderId="4" xfId="0" applyBorder="1" applyProtection="1">
      <protection hidden="1"/>
    </xf>
    <xf numFmtId="0" fontId="0" fillId="7" borderId="27" xfId="0" applyFill="1" applyBorder="1" applyAlignment="1" applyProtection="1">
      <alignment horizontal="center" vertical="center"/>
      <protection hidden="1"/>
    </xf>
    <xf numFmtId="0" fontId="0" fillId="3" borderId="27" xfId="0" applyFill="1" applyBorder="1" applyProtection="1">
      <protection hidden="1"/>
    </xf>
    <xf numFmtId="0" fontId="0" fillId="7" borderId="1" xfId="0" applyFill="1" applyBorder="1" applyAlignment="1" applyProtection="1">
      <alignment horizontal="center" vertical="center"/>
      <protection hidden="1"/>
    </xf>
    <xf numFmtId="0" fontId="0" fillId="0" borderId="0" xfId="0" applyAlignment="1" applyProtection="1">
      <alignment horizontal="center" vertical="center"/>
      <protection hidden="1"/>
    </xf>
    <xf numFmtId="0" fontId="35" fillId="0" borderId="0" xfId="0" applyFont="1" applyFill="1" applyBorder="1" applyAlignment="1" applyProtection="1">
      <alignment horizontal="left" vertical="center" wrapText="1"/>
      <protection hidden="1"/>
    </xf>
    <xf numFmtId="0" fontId="44" fillId="19" borderId="0" xfId="0" applyFont="1" applyFill="1" applyAlignment="1">
      <alignment horizontal="center" vertical="center"/>
    </xf>
    <xf numFmtId="0" fontId="1" fillId="0" borderId="0" xfId="0" applyFont="1" applyBorder="1" applyProtection="1">
      <protection hidden="1"/>
    </xf>
    <xf numFmtId="0" fontId="9" fillId="0" borderId="0" xfId="0" applyFont="1" applyAlignment="1" applyProtection="1">
      <alignment horizontal="center"/>
      <protection hidden="1"/>
    </xf>
    <xf numFmtId="14" fontId="11" fillId="17" borderId="1" xfId="0" applyNumberFormat="1" applyFont="1" applyFill="1" applyBorder="1" applyAlignment="1" applyProtection="1">
      <alignment horizontal="center" vertical="center"/>
      <protection locked="0"/>
    </xf>
    <xf numFmtId="0" fontId="11" fillId="10" borderId="1" xfId="0" applyFont="1" applyFill="1" applyBorder="1" applyAlignment="1" applyProtection="1">
      <alignment horizontal="center" vertical="center"/>
      <protection hidden="1"/>
    </xf>
    <xf numFmtId="0" fontId="3" fillId="0" borderId="0" xfId="0" applyFont="1" applyFill="1" applyAlignment="1">
      <alignment vertical="center"/>
    </xf>
    <xf numFmtId="0" fontId="1" fillId="17" borderId="1" xfId="0" applyFont="1" applyFill="1" applyBorder="1" applyAlignment="1" applyProtection="1">
      <alignment horizontal="justify" vertical="center" wrapText="1"/>
      <protection hidden="1"/>
    </xf>
    <xf numFmtId="4" fontId="0" fillId="0" borderId="0" xfId="0" applyNumberFormat="1" applyProtection="1">
      <protection hidden="1"/>
    </xf>
    <xf numFmtId="169" fontId="1" fillId="0" borderId="0" xfId="0" applyNumberFormat="1" applyFont="1" applyBorder="1" applyProtection="1">
      <protection hidden="1"/>
    </xf>
    <xf numFmtId="0" fontId="5" fillId="2" borderId="0" xfId="1" applyFont="1" applyFill="1" applyBorder="1" applyAlignment="1" applyProtection="1">
      <alignment vertical="center"/>
      <protection hidden="1"/>
    </xf>
    <xf numFmtId="0" fontId="20" fillId="3" borderId="0" xfId="1" applyFont="1" applyFill="1" applyBorder="1" applyAlignment="1" applyProtection="1">
      <alignment horizontal="center" vertical="center" wrapText="1"/>
      <protection hidden="1"/>
    </xf>
    <xf numFmtId="0" fontId="56" fillId="0" borderId="0" xfId="0" applyFont="1" applyFill="1" applyAlignment="1">
      <alignment vertical="center"/>
    </xf>
    <xf numFmtId="0" fontId="5" fillId="3" borderId="0" xfId="1" applyFont="1" applyFill="1" applyBorder="1" applyAlignment="1" applyProtection="1">
      <alignment horizontal="center" vertical="center"/>
      <protection hidden="1"/>
    </xf>
    <xf numFmtId="0" fontId="5" fillId="3" borderId="0" xfId="1" applyFont="1" applyFill="1" applyBorder="1" applyAlignment="1" applyProtection="1">
      <alignment horizontal="left" vertical="center"/>
      <protection hidden="1"/>
    </xf>
    <xf numFmtId="0" fontId="5" fillId="2" borderId="0" xfId="1" applyFont="1" applyFill="1" applyAlignment="1" applyProtection="1">
      <alignment vertical="center"/>
      <protection hidden="1"/>
    </xf>
    <xf numFmtId="0" fontId="1" fillId="2" borderId="0" xfId="1" applyFont="1" applyFill="1" applyProtection="1">
      <protection hidden="1"/>
    </xf>
    <xf numFmtId="0" fontId="1" fillId="0" borderId="0" xfId="1" applyFont="1" applyProtection="1">
      <protection hidden="1"/>
    </xf>
    <xf numFmtId="0" fontId="19" fillId="2" borderId="0" xfId="1" applyFont="1" applyFill="1" applyBorder="1" applyAlignment="1" applyProtection="1">
      <alignment vertical="top" wrapText="1"/>
      <protection hidden="1"/>
    </xf>
    <xf numFmtId="0" fontId="1" fillId="0" borderId="0" xfId="1" applyFont="1" applyProtection="1">
      <protection hidden="1"/>
    </xf>
    <xf numFmtId="0" fontId="0" fillId="0" borderId="0" xfId="0"/>
    <xf numFmtId="10" fontId="1" fillId="13" borderId="1" xfId="1" applyNumberFormat="1" applyFont="1" applyFill="1" applyBorder="1" applyAlignment="1" applyProtection="1">
      <alignment horizontal="right" vertical="center"/>
      <protection locked="0"/>
    </xf>
    <xf numFmtId="10" fontId="1" fillId="13" borderId="1" xfId="1" applyNumberFormat="1" applyFont="1" applyFill="1" applyBorder="1" applyAlignment="1" applyProtection="1">
      <alignment horizontal="right" vertical="center"/>
      <protection hidden="1"/>
    </xf>
    <xf numFmtId="0" fontId="22" fillId="13" borderId="1" xfId="1" applyFont="1" applyFill="1" applyBorder="1" applyAlignment="1" applyProtection="1">
      <alignment horizontal="center" vertical="center" wrapText="1"/>
      <protection hidden="1"/>
    </xf>
    <xf numFmtId="0" fontId="22" fillId="13" borderId="1" xfId="1" applyFont="1" applyFill="1" applyBorder="1" applyAlignment="1" applyProtection="1">
      <alignment horizontal="center" vertical="center"/>
      <protection locked="0"/>
    </xf>
    <xf numFmtId="0" fontId="1" fillId="0" borderId="0" xfId="0" applyFont="1" applyBorder="1" applyProtection="1">
      <protection hidden="1"/>
    </xf>
    <xf numFmtId="0" fontId="1" fillId="0" borderId="0" xfId="1" applyFont="1" applyFill="1" applyBorder="1" applyAlignment="1" applyProtection="1">
      <alignment horizontal="left" vertical="center" wrapText="1"/>
      <protection hidden="1"/>
    </xf>
    <xf numFmtId="0" fontId="1" fillId="0" borderId="0" xfId="1" applyFont="1" applyFill="1" applyBorder="1" applyAlignment="1" applyProtection="1">
      <alignment horizontal="left" vertical="center"/>
      <protection hidden="1"/>
    </xf>
    <xf numFmtId="0" fontId="5" fillId="0" borderId="0" xfId="1" applyFont="1" applyBorder="1" applyAlignment="1" applyProtection="1">
      <alignment vertical="center"/>
      <protection hidden="1"/>
    </xf>
    <xf numFmtId="0" fontId="0" fillId="0" borderId="0" xfId="0"/>
    <xf numFmtId="0" fontId="1" fillId="0" borderId="0" xfId="1" applyFont="1" applyProtection="1">
      <protection hidden="1"/>
    </xf>
    <xf numFmtId="0" fontId="22" fillId="13" borderId="1" xfId="1" applyFont="1" applyFill="1" applyBorder="1" applyAlignment="1" applyProtection="1">
      <alignment horizontal="center" vertical="center"/>
      <protection hidden="1"/>
    </xf>
    <xf numFmtId="0" fontId="12" fillId="0" borderId="0" xfId="1" applyFont="1" applyAlignment="1" applyProtection="1">
      <alignment vertical="center"/>
      <protection hidden="1"/>
    </xf>
    <xf numFmtId="0" fontId="51" fillId="0" borderId="0" xfId="1" applyFont="1" applyProtection="1">
      <protection hidden="1"/>
    </xf>
    <xf numFmtId="0" fontId="12" fillId="0" borderId="0" xfId="1" applyFont="1" applyFill="1" applyProtection="1">
      <protection hidden="1"/>
    </xf>
    <xf numFmtId="0" fontId="1" fillId="0" borderId="0" xfId="1" applyFont="1" applyProtection="1">
      <protection hidden="1"/>
    </xf>
    <xf numFmtId="0" fontId="29" fillId="0" borderId="0" xfId="0" applyFont="1" applyBorder="1" applyAlignment="1" applyProtection="1">
      <alignment vertical="center" wrapText="1"/>
      <protection hidden="1"/>
    </xf>
    <xf numFmtId="0" fontId="5" fillId="3" borderId="1" xfId="0" applyFont="1" applyFill="1" applyBorder="1" applyAlignment="1" applyProtection="1">
      <alignment horizontal="left" vertical="center" wrapText="1" indent="1"/>
      <protection hidden="1"/>
    </xf>
    <xf numFmtId="0" fontId="57" fillId="0" borderId="0" xfId="0" applyFont="1" applyProtection="1">
      <protection hidden="1"/>
    </xf>
    <xf numFmtId="0" fontId="1" fillId="0" borderId="0" xfId="1" applyFont="1" applyProtection="1">
      <protection hidden="1"/>
    </xf>
    <xf numFmtId="0" fontId="44" fillId="19" borderId="0" xfId="0" applyFont="1" applyFill="1" applyAlignment="1">
      <alignment horizontal="center" vertical="center"/>
    </xf>
    <xf numFmtId="0" fontId="1" fillId="0" borderId="0" xfId="1" applyFont="1" applyAlignment="1" applyProtection="1">
      <alignment horizontal="left" vertical="center"/>
      <protection hidden="1"/>
    </xf>
    <xf numFmtId="0" fontId="5" fillId="3" borderId="54" xfId="1" applyFont="1" applyFill="1" applyBorder="1" applyAlignment="1" applyProtection="1">
      <alignment vertical="center" wrapText="1"/>
      <protection hidden="1"/>
    </xf>
    <xf numFmtId="0" fontId="5" fillId="3" borderId="57" xfId="1" applyFont="1" applyFill="1" applyBorder="1" applyAlignment="1" applyProtection="1">
      <alignment vertical="center" wrapText="1"/>
      <protection hidden="1"/>
    </xf>
    <xf numFmtId="0" fontId="5" fillId="3" borderId="55" xfId="1" applyFont="1" applyFill="1" applyBorder="1" applyAlignment="1" applyProtection="1">
      <alignment vertical="center" wrapText="1"/>
      <protection hidden="1"/>
    </xf>
    <xf numFmtId="0" fontId="5" fillId="3" borderId="2" xfId="1" applyFont="1" applyFill="1" applyBorder="1" applyAlignment="1" applyProtection="1">
      <alignment vertical="center" wrapText="1"/>
      <protection hidden="1"/>
    </xf>
    <xf numFmtId="0" fontId="5" fillId="3" borderId="4" xfId="1" applyFont="1" applyFill="1" applyBorder="1" applyAlignment="1" applyProtection="1">
      <alignment vertical="center" wrapText="1"/>
      <protection hidden="1"/>
    </xf>
    <xf numFmtId="0" fontId="5" fillId="3" borderId="3" xfId="1" applyFont="1" applyFill="1" applyBorder="1" applyAlignment="1" applyProtection="1">
      <alignment vertical="center" wrapText="1"/>
      <protection hidden="1"/>
    </xf>
    <xf numFmtId="0" fontId="1" fillId="0" borderId="0" xfId="1" applyFont="1" applyProtection="1">
      <protection hidden="1"/>
    </xf>
    <xf numFmtId="0" fontId="0" fillId="0" borderId="0" xfId="0"/>
    <xf numFmtId="0" fontId="1" fillId="0" borderId="0" xfId="1" applyFont="1" applyProtection="1">
      <protection hidden="1"/>
    </xf>
    <xf numFmtId="0" fontId="0" fillId="0" borderId="0" xfId="0"/>
    <xf numFmtId="0" fontId="56" fillId="0" borderId="0" xfId="0" applyFont="1"/>
    <xf numFmtId="0" fontId="1" fillId="0" borderId="7" xfId="1" applyFont="1" applyFill="1" applyBorder="1" applyAlignment="1" applyProtection="1">
      <alignment horizontal="center" vertical="center"/>
      <protection locked="0"/>
    </xf>
    <xf numFmtId="0" fontId="48" fillId="0" borderId="0" xfId="0" applyFont="1" applyProtection="1">
      <protection hidden="1"/>
    </xf>
    <xf numFmtId="0" fontId="5" fillId="3" borderId="2" xfId="1" applyFont="1" applyFill="1" applyBorder="1" applyAlignment="1" applyProtection="1">
      <alignment vertical="center"/>
      <protection hidden="1"/>
    </xf>
    <xf numFmtId="0" fontId="5" fillId="3" borderId="3" xfId="1" applyFont="1" applyFill="1" applyBorder="1" applyAlignment="1" applyProtection="1">
      <alignment vertical="center"/>
      <protection hidden="1"/>
    </xf>
    <xf numFmtId="0" fontId="58" fillId="3" borderId="4" xfId="1" applyFont="1" applyFill="1" applyBorder="1" applyAlignment="1" applyProtection="1">
      <alignment vertical="center"/>
      <protection hidden="1"/>
    </xf>
    <xf numFmtId="4" fontId="1" fillId="13" borderId="3" xfId="1" applyNumberFormat="1" applyFont="1" applyFill="1" applyBorder="1" applyAlignment="1" applyProtection="1">
      <alignment vertical="center"/>
      <protection locked="0"/>
    </xf>
    <xf numFmtId="4" fontId="5" fillId="0" borderId="3" xfId="1" applyNumberFormat="1" applyFont="1" applyFill="1" applyBorder="1" applyAlignment="1" applyProtection="1">
      <alignment vertical="center"/>
      <protection hidden="1"/>
    </xf>
    <xf numFmtId="4" fontId="5" fillId="0" borderId="19" xfId="1" applyNumberFormat="1" applyFont="1" applyFill="1" applyBorder="1" applyAlignment="1" applyProtection="1">
      <alignment vertical="center"/>
      <protection hidden="1"/>
    </xf>
    <xf numFmtId="4" fontId="5" fillId="13" borderId="1" xfId="1" applyNumberFormat="1" applyFont="1" applyFill="1" applyBorder="1" applyAlignment="1" applyProtection="1">
      <alignment horizontal="right" vertical="center"/>
      <protection hidden="1"/>
    </xf>
    <xf numFmtId="0" fontId="1" fillId="0" borderId="61" xfId="1" applyFont="1" applyFill="1" applyBorder="1" applyAlignment="1" applyProtection="1">
      <alignment vertical="center"/>
      <protection hidden="1"/>
    </xf>
    <xf numFmtId="0" fontId="1" fillId="0" borderId="61" xfId="1" applyFont="1" applyBorder="1" applyAlignment="1" applyProtection="1">
      <alignment vertical="center"/>
      <protection hidden="1"/>
    </xf>
    <xf numFmtId="0" fontId="1" fillId="13" borderId="1" xfId="1" applyFont="1" applyFill="1" applyBorder="1" applyAlignment="1" applyProtection="1">
      <alignment horizontal="center" vertical="center"/>
      <protection hidden="1"/>
    </xf>
    <xf numFmtId="0" fontId="1" fillId="0" borderId="8" xfId="1" applyFont="1" applyBorder="1" applyProtection="1">
      <protection hidden="1"/>
    </xf>
    <xf numFmtId="0" fontId="5" fillId="3" borderId="4" xfId="1" applyFont="1" applyFill="1" applyBorder="1" applyAlignment="1" applyProtection="1">
      <alignment vertical="center"/>
      <protection hidden="1"/>
    </xf>
    <xf numFmtId="0" fontId="44" fillId="19" borderId="0" xfId="0" applyFont="1" applyFill="1" applyAlignment="1">
      <alignment horizontal="center" vertical="center"/>
    </xf>
    <xf numFmtId="0" fontId="1" fillId="3" borderId="3" xfId="1" applyFont="1" applyFill="1" applyBorder="1" applyAlignment="1" applyProtection="1">
      <alignment horizontal="center" vertical="center"/>
      <protection hidden="1"/>
    </xf>
    <xf numFmtId="10" fontId="1" fillId="3" borderId="4" xfId="1" applyNumberFormat="1" applyFont="1" applyFill="1" applyBorder="1" applyAlignment="1" applyProtection="1">
      <alignment horizontal="right" vertical="center"/>
      <protection hidden="1"/>
    </xf>
    <xf numFmtId="0" fontId="1" fillId="3" borderId="3" xfId="1" applyFont="1" applyFill="1" applyBorder="1" applyAlignment="1" applyProtection="1">
      <alignment vertical="center" wrapText="1"/>
      <protection hidden="1"/>
    </xf>
    <xf numFmtId="0" fontId="1" fillId="3" borderId="3" xfId="1" applyFont="1" applyFill="1" applyBorder="1" applyAlignment="1" applyProtection="1">
      <alignment vertical="center"/>
      <protection hidden="1"/>
    </xf>
    <xf numFmtId="4" fontId="1" fillId="0" borderId="0" xfId="1" applyNumberFormat="1" applyFont="1" applyProtection="1">
      <protection hidden="1"/>
    </xf>
    <xf numFmtId="0" fontId="45" fillId="0" borderId="0" xfId="0" quotePrefix="1" applyFont="1"/>
    <xf numFmtId="0" fontId="1" fillId="0" borderId="0" xfId="1" applyFont="1" applyProtection="1">
      <protection hidden="1"/>
    </xf>
    <xf numFmtId="0" fontId="60" fillId="0" borderId="0" xfId="1" applyFont="1" applyFill="1" applyAlignment="1" applyProtection="1">
      <alignment horizontal="left" vertical="center" indent="1"/>
      <protection hidden="1"/>
    </xf>
    <xf numFmtId="0" fontId="0" fillId="0" borderId="0" xfId="0"/>
    <xf numFmtId="0" fontId="44" fillId="0" borderId="0" xfId="0" applyFont="1" applyFill="1" applyAlignment="1">
      <alignment horizontal="center" vertical="center"/>
    </xf>
    <xf numFmtId="0" fontId="60" fillId="0" borderId="0" xfId="1" applyFont="1" applyFill="1" applyBorder="1" applyAlignment="1" applyProtection="1">
      <alignment horizontal="left"/>
      <protection hidden="1"/>
    </xf>
    <xf numFmtId="4" fontId="7" fillId="13" borderId="1" xfId="1" applyNumberFormat="1" applyFont="1" applyFill="1" applyBorder="1" applyAlignment="1" applyProtection="1">
      <alignment horizontal="right" vertical="center" wrapText="1"/>
      <protection locked="0"/>
    </xf>
    <xf numFmtId="4" fontId="7" fillId="13" borderId="30" xfId="1" applyNumberFormat="1" applyFont="1" applyFill="1" applyBorder="1" applyAlignment="1" applyProtection="1">
      <alignment horizontal="right" vertical="center" wrapText="1"/>
      <protection locked="0"/>
    </xf>
    <xf numFmtId="4" fontId="6" fillId="13" borderId="1" xfId="1" applyNumberFormat="1" applyFont="1" applyFill="1" applyBorder="1" applyAlignment="1" applyProtection="1">
      <alignment horizontal="right" vertical="center" wrapText="1"/>
      <protection hidden="1"/>
    </xf>
    <xf numFmtId="4" fontId="6" fillId="13" borderId="63" xfId="1" applyNumberFormat="1" applyFont="1" applyFill="1" applyBorder="1" applyAlignment="1" applyProtection="1">
      <alignment horizontal="right" vertical="center" wrapText="1"/>
      <protection hidden="1"/>
    </xf>
    <xf numFmtId="4" fontId="6" fillId="13" borderId="64" xfId="1" applyNumberFormat="1" applyFont="1" applyFill="1" applyBorder="1" applyAlignment="1" applyProtection="1">
      <alignment horizontal="right" vertical="center" wrapText="1"/>
      <protection hidden="1"/>
    </xf>
    <xf numFmtId="4" fontId="6" fillId="13" borderId="34" xfId="1" applyNumberFormat="1" applyFont="1" applyFill="1" applyBorder="1" applyAlignment="1" applyProtection="1">
      <alignment horizontal="right" vertical="center" wrapText="1"/>
      <protection hidden="1"/>
    </xf>
    <xf numFmtId="4" fontId="6" fillId="13" borderId="58" xfId="1" applyNumberFormat="1" applyFont="1" applyFill="1" applyBorder="1" applyAlignment="1" applyProtection="1">
      <alignment horizontal="right" vertical="center" wrapText="1"/>
      <protection hidden="1"/>
    </xf>
    <xf numFmtId="0" fontId="1" fillId="3" borderId="3" xfId="0" applyFont="1" applyFill="1" applyBorder="1" applyAlignment="1" applyProtection="1">
      <alignment horizontal="right" vertical="center"/>
      <protection hidden="1"/>
    </xf>
    <xf numFmtId="2" fontId="9" fillId="0" borderId="21" xfId="0" applyNumberFormat="1" applyFont="1" applyBorder="1" applyAlignment="1" applyProtection="1">
      <alignment vertical="center"/>
      <protection hidden="1"/>
    </xf>
    <xf numFmtId="4" fontId="9" fillId="0" borderId="50" xfId="0" applyNumberFormat="1" applyFont="1" applyBorder="1" applyAlignment="1" applyProtection="1">
      <alignment vertical="center"/>
      <protection hidden="1"/>
    </xf>
    <xf numFmtId="4" fontId="9" fillId="0" borderId="27" xfId="0" applyNumberFormat="1" applyFont="1" applyBorder="1" applyProtection="1">
      <protection hidden="1"/>
    </xf>
    <xf numFmtId="4" fontId="5" fillId="0" borderId="27" xfId="0" applyNumberFormat="1" applyFont="1" applyBorder="1" applyProtection="1">
      <protection hidden="1"/>
    </xf>
    <xf numFmtId="4" fontId="5" fillId="0" borderId="1" xfId="0" applyNumberFormat="1" applyFont="1" applyBorder="1" applyProtection="1">
      <protection hidden="1"/>
    </xf>
    <xf numFmtId="4" fontId="9" fillId="0" borderId="27" xfId="0" applyNumberFormat="1" applyFont="1" applyBorder="1" applyAlignment="1" applyProtection="1">
      <alignment vertical="center"/>
      <protection hidden="1"/>
    </xf>
    <xf numFmtId="4" fontId="5" fillId="0" borderId="21" xfId="0" applyNumberFormat="1" applyFont="1" applyBorder="1" applyAlignment="1" applyProtection="1">
      <alignment vertical="center"/>
      <protection hidden="1"/>
    </xf>
    <xf numFmtId="4" fontId="1" fillId="17" borderId="1" xfId="0" applyNumberFormat="1" applyFont="1" applyFill="1" applyBorder="1" applyAlignment="1" applyProtection="1">
      <alignment horizontal="right" vertical="center" wrapText="1"/>
      <protection hidden="1"/>
    </xf>
    <xf numFmtId="4" fontId="5" fillId="10" borderId="1" xfId="0" applyNumberFormat="1" applyFont="1" applyFill="1" applyBorder="1" applyAlignment="1" applyProtection="1">
      <alignment horizontal="right" vertical="center" wrapText="1"/>
      <protection hidden="1"/>
    </xf>
    <xf numFmtId="4" fontId="5" fillId="3" borderId="1" xfId="0" applyNumberFormat="1" applyFont="1" applyFill="1" applyBorder="1" applyAlignment="1" applyProtection="1">
      <alignment horizontal="right" vertical="center" wrapText="1"/>
      <protection hidden="1"/>
    </xf>
    <xf numFmtId="4" fontId="5" fillId="17" borderId="4" xfId="0" applyNumberFormat="1" applyFont="1" applyFill="1" applyBorder="1" applyProtection="1">
      <protection hidden="1"/>
    </xf>
    <xf numFmtId="4" fontId="1" fillId="17" borderId="1" xfId="0" applyNumberFormat="1" applyFont="1" applyFill="1" applyBorder="1" applyProtection="1">
      <protection hidden="1"/>
    </xf>
    <xf numFmtId="4" fontId="5" fillId="17" borderId="1" xfId="0" applyNumberFormat="1" applyFont="1" applyFill="1" applyBorder="1" applyProtection="1">
      <protection hidden="1"/>
    </xf>
    <xf numFmtId="0" fontId="25" fillId="0" borderId="0" xfId="1" applyFont="1" applyFill="1" applyBorder="1" applyAlignment="1" applyProtection="1">
      <alignment vertical="center"/>
      <protection hidden="1"/>
    </xf>
    <xf numFmtId="0" fontId="5" fillId="0" borderId="0" xfId="0" applyFont="1" applyBorder="1" applyProtection="1">
      <protection hidden="1"/>
    </xf>
    <xf numFmtId="0" fontId="56" fillId="0" borderId="0" xfId="0" applyFont="1" applyFill="1"/>
    <xf numFmtId="0" fontId="5" fillId="3" borderId="3" xfId="1" applyFont="1" applyFill="1" applyBorder="1" applyAlignment="1" applyProtection="1">
      <alignment horizontal="right" vertical="center"/>
      <protection hidden="1"/>
    </xf>
    <xf numFmtId="0" fontId="1" fillId="0" borderId="0" xfId="1" applyNumberFormat="1" applyFont="1" applyProtection="1">
      <protection hidden="1"/>
    </xf>
    <xf numFmtId="0" fontId="5" fillId="3" borderId="31" xfId="0" applyFont="1" applyFill="1" applyBorder="1" applyAlignment="1" applyProtection="1">
      <alignment horizontal="center" vertical="center"/>
      <protection hidden="1"/>
    </xf>
    <xf numFmtId="171" fontId="11" fillId="17" borderId="1" xfId="0" applyNumberFormat="1" applyFont="1" applyFill="1" applyBorder="1" applyAlignment="1" applyProtection="1">
      <alignment horizontal="right" vertical="center" wrapText="1"/>
      <protection hidden="1"/>
    </xf>
    <xf numFmtId="0" fontId="11" fillId="0" borderId="19" xfId="0" applyFont="1" applyBorder="1" applyAlignment="1" applyProtection="1">
      <alignment vertical="top" wrapText="1"/>
      <protection hidden="1"/>
    </xf>
    <xf numFmtId="0" fontId="11" fillId="0" borderId="0" xfId="0" applyFont="1" applyBorder="1" applyAlignment="1" applyProtection="1">
      <alignment vertical="top" wrapText="1"/>
      <protection hidden="1"/>
    </xf>
    <xf numFmtId="0" fontId="5" fillId="3" borderId="1" xfId="1" applyFont="1" applyFill="1" applyBorder="1" applyAlignment="1" applyProtection="1">
      <alignment horizontal="center" vertical="center" wrapText="1"/>
      <protection hidden="1"/>
    </xf>
    <xf numFmtId="0" fontId="1" fillId="0" borderId="0" xfId="1" applyFont="1" applyProtection="1">
      <protection hidden="1"/>
    </xf>
    <xf numFmtId="0" fontId="1" fillId="3" borderId="1" xfId="1" applyFont="1" applyFill="1" applyBorder="1" applyAlignment="1" applyProtection="1">
      <alignment horizontal="center" vertical="center"/>
      <protection hidden="1"/>
    </xf>
    <xf numFmtId="0" fontId="1" fillId="13" borderId="1" xfId="1" applyFont="1" applyFill="1" applyBorder="1" applyAlignment="1" applyProtection="1">
      <alignment horizontal="center" vertical="center"/>
      <protection locked="0"/>
    </xf>
    <xf numFmtId="0" fontId="6" fillId="3" borderId="37" xfId="1" applyFont="1" applyFill="1" applyBorder="1" applyAlignment="1" applyProtection="1">
      <alignment horizontal="center" vertical="center" wrapText="1"/>
      <protection hidden="1"/>
    </xf>
    <xf numFmtId="0" fontId="2" fillId="3" borderId="31" xfId="1" applyFont="1" applyFill="1" applyBorder="1" applyAlignment="1" applyProtection="1">
      <alignment horizontal="center" vertical="center" wrapText="1"/>
      <protection hidden="1"/>
    </xf>
    <xf numFmtId="0" fontId="6" fillId="3" borderId="2" xfId="1" applyFont="1" applyFill="1" applyBorder="1" applyAlignment="1" applyProtection="1">
      <alignment horizontal="center" vertical="center" wrapText="1"/>
      <protection hidden="1"/>
    </xf>
    <xf numFmtId="0" fontId="25" fillId="0" borderId="0" xfId="1" applyFont="1" applyFill="1" applyBorder="1" applyAlignment="1" applyProtection="1">
      <alignment horizontal="left" vertical="center"/>
      <protection hidden="1"/>
    </xf>
    <xf numFmtId="0" fontId="5" fillId="0" borderId="31" xfId="1" applyFont="1" applyFill="1" applyBorder="1" applyAlignment="1" applyProtection="1">
      <alignment horizontal="center" vertical="center"/>
      <protection locked="0"/>
    </xf>
    <xf numFmtId="0" fontId="5" fillId="0" borderId="19" xfId="1" applyFont="1" applyFill="1" applyBorder="1" applyAlignment="1" applyProtection="1">
      <alignment horizontal="right" vertical="center" wrapText="1"/>
      <protection hidden="1"/>
    </xf>
    <xf numFmtId="0" fontId="5" fillId="0" borderId="57" xfId="1" applyFont="1" applyFill="1" applyBorder="1" applyAlignment="1" applyProtection="1">
      <alignment horizontal="center" vertical="center" wrapText="1"/>
      <protection hidden="1"/>
    </xf>
    <xf numFmtId="0" fontId="1" fillId="0" borderId="3" xfId="1" applyFont="1" applyFill="1" applyBorder="1" applyAlignment="1" applyProtection="1">
      <alignment horizontal="left" vertical="center" wrapText="1"/>
      <protection hidden="1"/>
    </xf>
    <xf numFmtId="0" fontId="5" fillId="0" borderId="3" xfId="1" applyFont="1" applyFill="1" applyBorder="1" applyAlignment="1" applyProtection="1">
      <alignment horizontal="right" vertical="center" wrapText="1"/>
      <protection hidden="1"/>
    </xf>
    <xf numFmtId="4" fontId="1" fillId="3" borderId="1" xfId="1" applyNumberFormat="1" applyFont="1" applyFill="1" applyBorder="1" applyAlignment="1" applyProtection="1">
      <alignment vertical="center"/>
      <protection hidden="1"/>
    </xf>
    <xf numFmtId="4" fontId="5" fillId="0" borderId="19" xfId="1" applyNumberFormat="1" applyFont="1" applyFill="1" applyBorder="1" applyAlignment="1" applyProtection="1">
      <alignment horizontal="right" vertical="center" wrapText="1"/>
      <protection hidden="1"/>
    </xf>
    <xf numFmtId="0" fontId="5" fillId="0" borderId="73" xfId="1" applyFont="1" applyFill="1" applyBorder="1" applyAlignment="1" applyProtection="1">
      <alignment horizontal="left" vertical="center" wrapText="1"/>
      <protection hidden="1"/>
    </xf>
    <xf numFmtId="4" fontId="5" fillId="0" borderId="73" xfId="1" applyNumberFormat="1" applyFont="1" applyFill="1" applyBorder="1" applyAlignment="1" applyProtection="1">
      <alignment horizontal="right" vertical="center" wrapText="1"/>
      <protection hidden="1"/>
    </xf>
    <xf numFmtId="0" fontId="5" fillId="0" borderId="3" xfId="1" applyFont="1" applyFill="1" applyBorder="1" applyAlignment="1" applyProtection="1">
      <alignment horizontal="left" vertical="center" wrapText="1"/>
      <protection hidden="1"/>
    </xf>
    <xf numFmtId="4" fontId="5" fillId="0" borderId="3" xfId="1" applyNumberFormat="1" applyFont="1" applyFill="1" applyBorder="1" applyAlignment="1" applyProtection="1">
      <alignment horizontal="right" vertical="center" wrapText="1"/>
      <protection hidden="1"/>
    </xf>
    <xf numFmtId="0" fontId="1" fillId="13" borderId="1" xfId="1" applyFont="1" applyFill="1" applyBorder="1" applyProtection="1">
      <protection hidden="1"/>
    </xf>
    <xf numFmtId="4" fontId="1" fillId="13" borderId="1" xfId="1" applyNumberFormat="1" applyFont="1" applyFill="1" applyBorder="1" applyAlignment="1" applyProtection="1">
      <alignment horizontal="center" vertical="center" wrapText="1"/>
      <protection hidden="1"/>
    </xf>
    <xf numFmtId="4" fontId="1" fillId="0" borderId="0" xfId="1" applyNumberFormat="1" applyFont="1" applyFill="1" applyBorder="1" applyAlignment="1" applyProtection="1">
      <alignment horizontal="center" vertical="center" wrapText="1"/>
      <protection hidden="1"/>
    </xf>
    <xf numFmtId="0" fontId="1" fillId="0" borderId="0" xfId="1" applyFont="1" applyFill="1" applyBorder="1" applyAlignment="1" applyProtection="1">
      <protection hidden="1"/>
    </xf>
    <xf numFmtId="4" fontId="1" fillId="0" borderId="0" xfId="1" applyNumberFormat="1" applyFont="1" applyFill="1" applyBorder="1" applyAlignment="1" applyProtection="1">
      <alignment horizontal="center" vertical="center"/>
      <protection hidden="1"/>
    </xf>
    <xf numFmtId="4" fontId="1" fillId="0" borderId="0" xfId="1" applyNumberFormat="1" applyFont="1" applyFill="1" applyBorder="1" applyAlignment="1" applyProtection="1">
      <alignment horizontal="right" vertical="center"/>
      <protection hidden="1"/>
    </xf>
    <xf numFmtId="10" fontId="1" fillId="3" borderId="3" xfId="1" applyNumberFormat="1" applyFont="1" applyFill="1" applyBorder="1" applyAlignment="1" applyProtection="1">
      <alignment horizontal="right" vertical="center"/>
      <protection hidden="1"/>
    </xf>
    <xf numFmtId="0" fontId="12" fillId="0" borderId="0" xfId="1" applyFont="1" applyBorder="1" applyAlignment="1" applyProtection="1">
      <alignment horizontal="center" vertical="center"/>
      <protection hidden="1"/>
    </xf>
    <xf numFmtId="0" fontId="12" fillId="0" borderId="0" xfId="1" applyFont="1" applyBorder="1" applyAlignment="1" applyProtection="1">
      <alignment horizontal="left" vertical="center"/>
      <protection hidden="1"/>
    </xf>
    <xf numFmtId="0" fontId="12" fillId="0" borderId="0" xfId="1" applyFont="1" applyAlignment="1" applyProtection="1">
      <alignment horizontal="left" vertical="center"/>
      <protection hidden="1"/>
    </xf>
    <xf numFmtId="0" fontId="12" fillId="0" borderId="0" xfId="1" applyFont="1" applyAlignment="1" applyProtection="1">
      <alignment horizontal="center" vertical="center"/>
      <protection hidden="1"/>
    </xf>
    <xf numFmtId="0" fontId="12" fillId="0" borderId="0" xfId="1" applyFont="1" applyFill="1" applyBorder="1" applyAlignment="1" applyProtection="1">
      <alignment horizontal="center" vertical="center"/>
      <protection hidden="1"/>
    </xf>
    <xf numFmtId="0" fontId="12" fillId="0" borderId="7" xfId="1" applyFont="1" applyFill="1" applyBorder="1" applyAlignment="1" applyProtection="1">
      <alignment horizontal="center" vertical="center"/>
      <protection hidden="1"/>
    </xf>
    <xf numFmtId="0" fontId="12" fillId="0" borderId="0" xfId="1" applyFont="1" applyBorder="1" applyAlignment="1" applyProtection="1">
      <alignment horizontal="center" vertical="top" wrapText="1"/>
      <protection hidden="1"/>
    </xf>
    <xf numFmtId="0" fontId="62" fillId="0" borderId="0" xfId="1" applyFont="1" applyBorder="1" applyAlignment="1" applyProtection="1">
      <alignment horizontal="justify" vertical="top" wrapText="1"/>
      <protection hidden="1"/>
    </xf>
    <xf numFmtId="0" fontId="12" fillId="0" borderId="0" xfId="1" applyFont="1" applyBorder="1" applyProtection="1">
      <protection hidden="1"/>
    </xf>
    <xf numFmtId="0" fontId="47" fillId="0" borderId="0" xfId="0" applyFont="1" applyProtection="1">
      <protection hidden="1"/>
    </xf>
    <xf numFmtId="4" fontId="12" fillId="0" borderId="0" xfId="1" applyNumberFormat="1" applyFont="1" applyAlignment="1" applyProtection="1">
      <alignment vertical="center"/>
      <protection hidden="1"/>
    </xf>
    <xf numFmtId="0" fontId="40" fillId="0" borderId="0" xfId="1" applyFont="1" applyAlignment="1" applyProtection="1">
      <alignment vertical="center"/>
      <protection locked="0"/>
    </xf>
    <xf numFmtId="0" fontId="1" fillId="0" borderId="21" xfId="1" applyFont="1" applyBorder="1" applyAlignment="1" applyProtection="1">
      <alignment horizontal="center" vertical="center"/>
      <protection hidden="1"/>
    </xf>
    <xf numFmtId="0" fontId="1" fillId="8" borderId="1" xfId="1" applyFont="1" applyFill="1" applyBorder="1" applyAlignment="1" applyProtection="1">
      <alignment horizontal="center" vertical="center"/>
      <protection locked="0"/>
    </xf>
    <xf numFmtId="0" fontId="5" fillId="3" borderId="21" xfId="1" applyFont="1" applyFill="1" applyBorder="1" applyAlignment="1" applyProtection="1">
      <alignment horizontal="center" vertical="center"/>
      <protection hidden="1"/>
    </xf>
    <xf numFmtId="0" fontId="13" fillId="0" borderId="0" xfId="1" applyFont="1" applyBorder="1" applyAlignment="1" applyProtection="1">
      <alignment horizontal="left" vertical="center" wrapText="1" indent="4"/>
      <protection hidden="1"/>
    </xf>
    <xf numFmtId="0" fontId="5" fillId="0" borderId="21" xfId="1" applyFont="1" applyBorder="1" applyAlignment="1" applyProtection="1">
      <alignment horizontal="center" vertical="center"/>
      <protection hidden="1"/>
    </xf>
    <xf numFmtId="0" fontId="5" fillId="8" borderId="21" xfId="1" applyFont="1" applyFill="1" applyBorder="1" applyAlignment="1" applyProtection="1">
      <alignment horizontal="center" vertical="center"/>
      <protection locked="0"/>
    </xf>
    <xf numFmtId="0" fontId="1" fillId="17" borderId="1" xfId="1" applyFont="1" applyFill="1" applyBorder="1" applyAlignment="1" applyProtection="1">
      <alignment horizontal="left" vertical="center" wrapText="1" indent="1"/>
      <protection locked="0"/>
    </xf>
    <xf numFmtId="4" fontId="1" fillId="0" borderId="0" xfId="0" applyNumberFormat="1" applyFont="1" applyProtection="1">
      <protection hidden="1"/>
    </xf>
    <xf numFmtId="0" fontId="48" fillId="0" borderId="0" xfId="0" applyFont="1" applyFill="1" applyAlignment="1" applyProtection="1">
      <alignment wrapText="1"/>
      <protection hidden="1"/>
    </xf>
    <xf numFmtId="0" fontId="48" fillId="0" borderId="0" xfId="0" applyFont="1" applyFill="1" applyAlignment="1" applyProtection="1">
      <alignment vertical="center" wrapText="1"/>
      <protection hidden="1"/>
    </xf>
    <xf numFmtId="0" fontId="57" fillId="0" borderId="0" xfId="0" applyFont="1" applyProtection="1">
      <protection locked="0" hidden="1"/>
    </xf>
    <xf numFmtId="0" fontId="0" fillId="0" borderId="0" xfId="0" applyProtection="1">
      <protection locked="0" hidden="1"/>
    </xf>
    <xf numFmtId="0" fontId="57" fillId="0" borderId="0" xfId="0" applyFont="1" applyAlignment="1" applyProtection="1">
      <alignment vertical="center"/>
      <protection locked="0" hidden="1"/>
    </xf>
    <xf numFmtId="0" fontId="5" fillId="0" borderId="1" xfId="1" applyFont="1" applyFill="1" applyBorder="1" applyAlignment="1" applyProtection="1">
      <alignment horizontal="center" vertical="center" wrapText="1"/>
      <protection locked="0"/>
    </xf>
    <xf numFmtId="1" fontId="12" fillId="0" borderId="0" xfId="1" applyNumberFormat="1" applyFont="1" applyBorder="1" applyAlignment="1" applyProtection="1">
      <alignment vertical="center"/>
      <protection hidden="1"/>
    </xf>
    <xf numFmtId="0" fontId="5" fillId="0" borderId="1" xfId="1" applyNumberFormat="1" applyFont="1" applyFill="1" applyBorder="1" applyAlignment="1" applyProtection="1">
      <alignment horizontal="center" vertical="center"/>
      <protection locked="0"/>
    </xf>
    <xf numFmtId="0" fontId="12" fillId="0" borderId="0" xfId="1" applyFont="1" applyProtection="1">
      <protection locked="0" hidden="1"/>
    </xf>
    <xf numFmtId="4" fontId="1" fillId="0" borderId="0" xfId="1" applyNumberFormat="1" applyFont="1" applyAlignment="1" applyProtection="1">
      <alignment vertical="center"/>
      <protection hidden="1"/>
    </xf>
    <xf numFmtId="172" fontId="40" fillId="0" borderId="0" xfId="1" applyNumberFormat="1" applyFont="1" applyProtection="1">
      <protection hidden="1"/>
    </xf>
    <xf numFmtId="4" fontId="40" fillId="0" borderId="0" xfId="1" applyNumberFormat="1" applyFont="1" applyProtection="1">
      <protection hidden="1"/>
    </xf>
    <xf numFmtId="0" fontId="40" fillId="0" borderId="0" xfId="1" applyFont="1" applyProtection="1">
      <protection hidden="1"/>
    </xf>
    <xf numFmtId="0" fontId="11" fillId="17" borderId="1" xfId="0" applyFont="1" applyFill="1" applyBorder="1" applyAlignment="1" applyProtection="1">
      <alignment horizontal="center" vertical="center"/>
      <protection locked="0"/>
    </xf>
    <xf numFmtId="0" fontId="11" fillId="10" borderId="1" xfId="0" applyFont="1" applyFill="1" applyBorder="1" applyAlignment="1" applyProtection="1">
      <alignment horizontal="left" vertical="center" indent="1"/>
      <protection hidden="1"/>
    </xf>
    <xf numFmtId="0" fontId="5" fillId="3" borderId="31" xfId="0" applyFont="1" applyFill="1" applyBorder="1" applyAlignment="1" applyProtection="1">
      <alignment horizontal="center" vertical="center"/>
      <protection hidden="1"/>
    </xf>
    <xf numFmtId="0" fontId="0" fillId="10" borderId="1" xfId="0" applyFill="1" applyBorder="1" applyAlignment="1" applyProtection="1">
      <alignment horizontal="left" vertical="center" indent="1"/>
      <protection hidden="1"/>
    </xf>
    <xf numFmtId="0" fontId="5" fillId="0" borderId="0" xfId="0" applyFont="1" applyBorder="1" applyAlignment="1" applyProtection="1">
      <alignment horizontal="center"/>
      <protection hidden="1"/>
    </xf>
    <xf numFmtId="1" fontId="47" fillId="0" borderId="0" xfId="0" applyNumberFormat="1" applyFont="1" applyProtection="1">
      <protection hidden="1"/>
    </xf>
    <xf numFmtId="0" fontId="47" fillId="0" borderId="0" xfId="0" applyFont="1" applyAlignment="1" applyProtection="1">
      <alignment horizontal="center"/>
      <protection hidden="1"/>
    </xf>
    <xf numFmtId="170" fontId="47" fillId="0" borderId="0" xfId="0" applyNumberFormat="1" applyFont="1" applyProtection="1">
      <protection hidden="1"/>
    </xf>
    <xf numFmtId="0" fontId="57" fillId="0" borderId="0" xfId="0" applyFont="1" applyAlignment="1" applyProtection="1">
      <alignment horizontal="left" vertical="center" indent="1"/>
      <protection locked="0" hidden="1"/>
    </xf>
    <xf numFmtId="0" fontId="1" fillId="0" borderId="0" xfId="1" applyFont="1" applyProtection="1">
      <protection locked="0" hidden="1"/>
    </xf>
    <xf numFmtId="0" fontId="12" fillId="0" borderId="0" xfId="1" applyFont="1" applyFill="1" applyAlignment="1" applyProtection="1">
      <alignment vertical="center"/>
      <protection hidden="1"/>
    </xf>
    <xf numFmtId="0" fontId="0" fillId="0" borderId="0" xfId="0"/>
    <xf numFmtId="4" fontId="0" fillId="0" borderId="0" xfId="0" applyNumberFormat="1"/>
    <xf numFmtId="0" fontId="0" fillId="0" borderId="0" xfId="0" applyBorder="1"/>
    <xf numFmtId="2" fontId="0" fillId="0" borderId="0" xfId="0" applyNumberFormat="1"/>
    <xf numFmtId="0" fontId="0" fillId="0" borderId="0" xfId="0" applyAlignment="1">
      <alignment horizontal="center"/>
    </xf>
    <xf numFmtId="4" fontId="0" fillId="0" borderId="0" xfId="0" applyNumberFormat="1" applyBorder="1"/>
    <xf numFmtId="14" fontId="0" fillId="0" borderId="0" xfId="0" applyNumberFormat="1"/>
    <xf numFmtId="180" fontId="0" fillId="0" borderId="0" xfId="0" applyNumberFormat="1"/>
    <xf numFmtId="172" fontId="0" fillId="0" borderId="0" xfId="0" applyNumberFormat="1"/>
    <xf numFmtId="170" fontId="0" fillId="0" borderId="0" xfId="0" applyNumberFormat="1"/>
    <xf numFmtId="0" fontId="0" fillId="0" borderId="0" xfId="0" applyAlignment="1">
      <alignment wrapText="1"/>
    </xf>
    <xf numFmtId="0" fontId="0" fillId="0" borderId="0" xfId="0" applyAlignment="1">
      <alignment horizontal="center" vertical="center"/>
    </xf>
    <xf numFmtId="0" fontId="22" fillId="0" borderId="0" xfId="0" applyFont="1"/>
    <xf numFmtId="181" fontId="0" fillId="0" borderId="0" xfId="0" applyNumberFormat="1"/>
    <xf numFmtId="0" fontId="0" fillId="25" borderId="0" xfId="0" applyFill="1"/>
    <xf numFmtId="175" fontId="0" fillId="0" borderId="0" xfId="0" applyNumberFormat="1"/>
    <xf numFmtId="0" fontId="2" fillId="0" borderId="0" xfId="0" applyFont="1" applyFill="1" applyBorder="1" applyAlignment="1" applyProtection="1">
      <alignment horizontal="center" vertical="center" wrapText="1"/>
      <protection hidden="1"/>
    </xf>
    <xf numFmtId="171" fontId="11" fillId="0" borderId="0" xfId="0" applyNumberFormat="1" applyFont="1" applyFill="1" applyBorder="1" applyAlignment="1" applyProtection="1">
      <alignment vertical="center" wrapText="1"/>
      <protection hidden="1"/>
    </xf>
    <xf numFmtId="9" fontId="11" fillId="0" borderId="0" xfId="0" applyNumberFormat="1" applyFont="1" applyFill="1" applyBorder="1" applyAlignment="1" applyProtection="1">
      <alignment vertical="center" wrapText="1"/>
      <protection hidden="1"/>
    </xf>
    <xf numFmtId="0" fontId="11" fillId="0" borderId="0" xfId="0" applyFont="1" applyFill="1" applyBorder="1" applyAlignment="1" applyProtection="1">
      <alignment vertical="center" wrapText="1"/>
      <protection hidden="1"/>
    </xf>
    <xf numFmtId="0" fontId="2" fillId="3" borderId="143" xfId="0" applyFont="1" applyFill="1" applyBorder="1" applyAlignment="1" applyProtection="1">
      <alignment horizontal="center" vertical="center" wrapText="1"/>
      <protection hidden="1"/>
    </xf>
    <xf numFmtId="170" fontId="1" fillId="0" borderId="0" xfId="0" applyNumberFormat="1" applyFont="1" applyFill="1" applyBorder="1" applyAlignment="1" applyProtection="1">
      <alignment horizontal="right"/>
      <protection locked="0"/>
    </xf>
    <xf numFmtId="170" fontId="1" fillId="0" borderId="0" xfId="0" applyNumberFormat="1" applyFont="1" applyFill="1" applyBorder="1" applyAlignment="1" applyProtection="1">
      <alignment horizontal="right"/>
      <protection hidden="1"/>
    </xf>
    <xf numFmtId="0" fontId="5" fillId="0" borderId="0" xfId="0" applyFont="1" applyFill="1" applyBorder="1" applyAlignment="1" applyProtection="1">
      <alignment horizontal="center" vertical="center" wrapText="1"/>
      <protection hidden="1"/>
    </xf>
    <xf numFmtId="0" fontId="5" fillId="0" borderId="0" xfId="0" applyFont="1" applyFill="1" applyBorder="1" applyAlignment="1" applyProtection="1">
      <alignment horizontal="right" vertical="center" wrapText="1"/>
      <protection hidden="1"/>
    </xf>
    <xf numFmtId="0" fontId="0" fillId="0" borderId="0" xfId="0" applyFill="1" applyBorder="1" applyProtection="1">
      <protection hidden="1"/>
    </xf>
    <xf numFmtId="4" fontId="9" fillId="0" borderId="0" xfId="0" applyNumberFormat="1" applyFont="1" applyFill="1" applyBorder="1" applyAlignment="1" applyProtection="1">
      <alignment vertical="center"/>
      <protection hidden="1"/>
    </xf>
    <xf numFmtId="4" fontId="1" fillId="0" borderId="0" xfId="0" applyNumberFormat="1" applyFont="1" applyFill="1" applyBorder="1" applyAlignment="1" applyProtection="1">
      <alignment horizontal="right" vertical="center"/>
      <protection hidden="1"/>
    </xf>
    <xf numFmtId="0" fontId="53" fillId="0" borderId="0" xfId="0" applyFont="1" applyFill="1" applyBorder="1" applyProtection="1">
      <protection hidden="1"/>
    </xf>
    <xf numFmtId="4" fontId="9" fillId="0" borderId="0" xfId="0" applyNumberFormat="1" applyFont="1" applyFill="1" applyBorder="1" applyProtection="1">
      <protection hidden="1"/>
    </xf>
    <xf numFmtId="0" fontId="1" fillId="0" borderId="0" xfId="0" applyFont="1" applyFill="1" applyBorder="1" applyAlignment="1" applyProtection="1">
      <alignment horizontal="right"/>
      <protection hidden="1"/>
    </xf>
    <xf numFmtId="4" fontId="5" fillId="0" borderId="0" xfId="0" applyNumberFormat="1" applyFont="1" applyFill="1" applyBorder="1" applyProtection="1">
      <protection hidden="1"/>
    </xf>
    <xf numFmtId="4" fontId="1" fillId="0" borderId="0" xfId="0" applyNumberFormat="1" applyFont="1" applyFill="1" applyBorder="1" applyProtection="1">
      <protection hidden="1"/>
    </xf>
    <xf numFmtId="2" fontId="9" fillId="0" borderId="0" xfId="0" applyNumberFormat="1" applyFont="1" applyFill="1" applyBorder="1" applyAlignment="1" applyProtection="1">
      <alignment vertical="center"/>
      <protection hidden="1"/>
    </xf>
    <xf numFmtId="0" fontId="5" fillId="0" borderId="0" xfId="0" applyFont="1" applyFill="1" applyBorder="1" applyAlignment="1" applyProtection="1">
      <alignment horizontal="right"/>
      <protection hidden="1"/>
    </xf>
    <xf numFmtId="4" fontId="5" fillId="0" borderId="0" xfId="0" applyNumberFormat="1" applyFont="1" applyFill="1" applyBorder="1" applyAlignment="1" applyProtection="1">
      <alignment vertical="center"/>
      <protection hidden="1"/>
    </xf>
    <xf numFmtId="0" fontId="5" fillId="0" borderId="0" xfId="0" applyFont="1" applyBorder="1" applyAlignment="1" applyProtection="1">
      <protection hidden="1"/>
    </xf>
    <xf numFmtId="169" fontId="2" fillId="0" borderId="0" xfId="0" applyNumberFormat="1" applyFont="1" applyFill="1" applyBorder="1" applyProtection="1">
      <protection hidden="1"/>
    </xf>
    <xf numFmtId="0" fontId="0" fillId="0" borderId="0" xfId="0" applyFill="1" applyBorder="1" applyAlignment="1" applyProtection="1">
      <alignment horizontal="right"/>
      <protection hidden="1"/>
    </xf>
    <xf numFmtId="9" fontId="52" fillId="0" borderId="0" xfId="0" applyNumberFormat="1" applyFont="1" applyFill="1" applyBorder="1" applyProtection="1">
      <protection hidden="1"/>
    </xf>
    <xf numFmtId="0" fontId="11" fillId="0" borderId="0" xfId="0" applyFont="1" applyFill="1" applyBorder="1" applyProtection="1">
      <protection hidden="1"/>
    </xf>
    <xf numFmtId="0" fontId="2" fillId="0" borderId="0" xfId="0" applyFont="1" applyFill="1" applyBorder="1" applyAlignment="1" applyProtection="1">
      <alignment horizontal="right"/>
      <protection hidden="1"/>
    </xf>
    <xf numFmtId="0" fontId="0" fillId="0" borderId="0" xfId="0" applyFill="1" applyBorder="1" applyAlignment="1" applyProtection="1">
      <protection hidden="1"/>
    </xf>
    <xf numFmtId="0" fontId="1" fillId="0" borderId="0" xfId="0" applyFont="1" applyFill="1" applyBorder="1" applyAlignment="1" applyProtection="1">
      <alignment vertical="center" wrapText="1"/>
      <protection hidden="1"/>
    </xf>
    <xf numFmtId="9" fontId="1" fillId="0" borderId="0" xfId="7" applyFont="1" applyFill="1" applyBorder="1" applyProtection="1">
      <protection hidden="1"/>
    </xf>
    <xf numFmtId="9" fontId="0" fillId="0" borderId="0" xfId="0" applyNumberFormat="1" applyFill="1" applyBorder="1" applyProtection="1">
      <protection hidden="1"/>
    </xf>
    <xf numFmtId="4" fontId="1" fillId="17" borderId="1" xfId="0" applyNumberFormat="1" applyFont="1" applyFill="1" applyBorder="1" applyAlignment="1" applyProtection="1">
      <alignment horizontal="justify" vertical="center" wrapText="1"/>
      <protection hidden="1"/>
    </xf>
    <xf numFmtId="0" fontId="1" fillId="8" borderId="1" xfId="1" applyFont="1" applyFill="1" applyBorder="1" applyAlignment="1" applyProtection="1">
      <alignment horizontal="center" vertical="center" wrapText="1"/>
      <protection hidden="1"/>
    </xf>
    <xf numFmtId="0" fontId="1" fillId="0" borderId="0" xfId="1" applyFont="1" applyFill="1" applyBorder="1" applyAlignment="1" applyProtection="1">
      <alignment horizontal="left" vertical="center" indent="4"/>
      <protection hidden="1"/>
    </xf>
    <xf numFmtId="0" fontId="1" fillId="0" borderId="0" xfId="1" applyFont="1" applyFill="1" applyBorder="1" applyAlignment="1" applyProtection="1">
      <alignment horizontal="left" vertical="center" wrapText="1" indent="4"/>
      <protection hidden="1"/>
    </xf>
    <xf numFmtId="0" fontId="1" fillId="0" borderId="0" xfId="1" applyFont="1" applyFill="1" applyBorder="1" applyAlignment="1" applyProtection="1">
      <alignment horizontal="center" vertical="center"/>
      <protection locked="0"/>
    </xf>
    <xf numFmtId="0" fontId="1" fillId="0" borderId="0" xfId="1" applyFont="1" applyFill="1" applyBorder="1" applyAlignment="1" applyProtection="1">
      <alignment horizontal="left" indent="2"/>
      <protection hidden="1"/>
    </xf>
    <xf numFmtId="170" fontId="1" fillId="8" borderId="4" xfId="1" applyNumberFormat="1" applyFont="1" applyFill="1" applyBorder="1" applyAlignment="1" applyProtection="1">
      <alignment horizontal="center" vertical="center" wrapText="1"/>
      <protection hidden="1"/>
    </xf>
    <xf numFmtId="170" fontId="1" fillId="8" borderId="1" xfId="1" applyNumberFormat="1" applyFont="1" applyFill="1" applyBorder="1" applyAlignment="1" applyProtection="1">
      <alignment horizontal="center" vertical="center" wrapText="1"/>
      <protection hidden="1"/>
    </xf>
    <xf numFmtId="0" fontId="0" fillId="0" borderId="0" xfId="0"/>
    <xf numFmtId="0" fontId="0" fillId="0" borderId="0" xfId="0"/>
    <xf numFmtId="0" fontId="1" fillId="0" borderId="0" xfId="1" applyFont="1" applyFill="1" applyBorder="1" applyAlignment="1" applyProtection="1">
      <alignment horizontal="center" vertical="center"/>
      <protection locked="0"/>
    </xf>
    <xf numFmtId="0" fontId="0" fillId="0" borderId="0" xfId="0"/>
    <xf numFmtId="0" fontId="76" fillId="2" borderId="0" xfId="1" applyFont="1" applyFill="1" applyProtection="1">
      <protection hidden="1"/>
    </xf>
    <xf numFmtId="0" fontId="0" fillId="0" borderId="0" xfId="0"/>
    <xf numFmtId="0" fontId="0" fillId="0" borderId="0" xfId="0" applyAlignment="1" applyProtection="1">
      <alignment horizontal="right" vertical="center" indent="1"/>
      <protection locked="0" hidden="1"/>
    </xf>
    <xf numFmtId="0" fontId="5" fillId="14" borderId="0" xfId="0" applyFont="1" applyFill="1" applyAlignment="1">
      <alignment vertical="center"/>
    </xf>
    <xf numFmtId="0" fontId="1" fillId="14" borderId="0" xfId="0" applyFont="1" applyFill="1"/>
    <xf numFmtId="0" fontId="1" fillId="14" borderId="0" xfId="0" applyFont="1" applyFill="1" applyAlignment="1">
      <alignment horizontal="right"/>
    </xf>
    <xf numFmtId="0" fontId="1" fillId="14" borderId="0" xfId="0" applyFont="1" applyFill="1" applyBorder="1"/>
    <xf numFmtId="0" fontId="1" fillId="10" borderId="31" xfId="0" applyFont="1" applyFill="1" applyBorder="1" applyAlignment="1">
      <alignment horizontal="left" vertical="center"/>
    </xf>
    <xf numFmtId="0" fontId="5" fillId="0" borderId="0" xfId="0" applyFont="1" applyFill="1" applyBorder="1" applyAlignment="1">
      <alignment horizontal="left" vertical="top"/>
    </xf>
    <xf numFmtId="0" fontId="5" fillId="0" borderId="0" xfId="0" applyFont="1" applyFill="1" applyBorder="1" applyAlignment="1">
      <alignment horizontal="right" vertical="top"/>
    </xf>
    <xf numFmtId="0" fontId="26" fillId="0" borderId="0" xfId="0" applyFont="1" applyFill="1" applyBorder="1" applyAlignment="1" applyProtection="1">
      <alignment horizontal="left" vertical="center" wrapText="1"/>
    </xf>
    <xf numFmtId="0" fontId="20" fillId="0" borderId="0" xfId="0" applyFont="1" applyBorder="1"/>
    <xf numFmtId="0" fontId="5" fillId="3" borderId="31" xfId="0" applyFont="1" applyFill="1" applyBorder="1" applyAlignment="1">
      <alignment horizontal="center" vertical="center" wrapText="1"/>
    </xf>
    <xf numFmtId="0" fontId="1" fillId="0" borderId="0" xfId="0" applyFont="1" applyBorder="1" applyAlignment="1">
      <alignment horizontal="left" vertical="top"/>
    </xf>
    <xf numFmtId="0" fontId="1" fillId="0" borderId="0" xfId="0" applyFont="1" applyFill="1"/>
    <xf numFmtId="0" fontId="5" fillId="3" borderId="31" xfId="0" applyFont="1" applyFill="1" applyBorder="1" applyAlignment="1">
      <alignment horizontal="center" vertical="center"/>
    </xf>
    <xf numFmtId="0" fontId="5" fillId="0" borderId="0" xfId="0" applyFont="1" applyFill="1" applyBorder="1" applyAlignment="1">
      <alignment horizontal="left" vertical="center"/>
    </xf>
    <xf numFmtId="0" fontId="1" fillId="14" borderId="0" xfId="0" applyFont="1" applyFill="1" applyProtection="1"/>
    <xf numFmtId="0" fontId="1" fillId="14" borderId="0" xfId="0" applyFont="1" applyFill="1" applyBorder="1" applyProtection="1"/>
    <xf numFmtId="0" fontId="0" fillId="0" borderId="0" xfId="0" applyProtection="1"/>
    <xf numFmtId="0" fontId="1" fillId="10" borderId="31" xfId="0" applyFont="1" applyFill="1" applyBorder="1" applyAlignment="1" applyProtection="1">
      <alignment horizontal="left" vertical="center"/>
    </xf>
    <xf numFmtId="0" fontId="1" fillId="14" borderId="0" xfId="0" applyFont="1" applyFill="1" applyAlignment="1" applyProtection="1">
      <alignment horizontal="right"/>
      <protection locked="0" hidden="1"/>
    </xf>
    <xf numFmtId="0" fontId="1" fillId="14" borderId="0" xfId="0" applyFont="1" applyFill="1" applyBorder="1" applyProtection="1">
      <protection locked="0" hidden="1"/>
    </xf>
    <xf numFmtId="0" fontId="1" fillId="14" borderId="0" xfId="0" applyFont="1" applyFill="1" applyBorder="1" applyAlignment="1" applyProtection="1">
      <alignment horizontal="left" vertical="top"/>
      <protection locked="0" hidden="1"/>
    </xf>
    <xf numFmtId="0" fontId="1" fillId="14" borderId="0" xfId="0" applyFont="1" applyFill="1" applyProtection="1">
      <protection locked="0" hidden="1"/>
    </xf>
    <xf numFmtId="4" fontId="1" fillId="17" borderId="1" xfId="0" applyNumberFormat="1" applyFont="1" applyFill="1" applyBorder="1" applyAlignment="1" applyProtection="1">
      <alignment horizontal="center" vertical="center"/>
      <protection hidden="1"/>
    </xf>
    <xf numFmtId="0" fontId="1" fillId="17" borderId="1" xfId="0" applyFont="1" applyFill="1" applyBorder="1" applyAlignment="1" applyProtection="1">
      <alignment horizontal="right" vertical="center" wrapText="1"/>
      <protection hidden="1"/>
    </xf>
    <xf numFmtId="0" fontId="22" fillId="13" borderId="1" xfId="1" applyFont="1" applyFill="1" applyBorder="1" applyAlignment="1" applyProtection="1">
      <alignment horizontal="center" vertical="center"/>
      <protection hidden="1"/>
    </xf>
    <xf numFmtId="0" fontId="9" fillId="0" borderId="0" xfId="0" applyFont="1"/>
    <xf numFmtId="0" fontId="1" fillId="13" borderId="43" xfId="1" applyFont="1" applyFill="1" applyBorder="1" applyProtection="1">
      <protection hidden="1"/>
    </xf>
    <xf numFmtId="0" fontId="1" fillId="13" borderId="45" xfId="1" applyFont="1" applyFill="1" applyBorder="1" applyProtection="1">
      <protection hidden="1"/>
    </xf>
    <xf numFmtId="0" fontId="1" fillId="13" borderId="46" xfId="1" applyFont="1" applyFill="1" applyBorder="1" applyProtection="1">
      <protection hidden="1"/>
    </xf>
    <xf numFmtId="0" fontId="1" fillId="13" borderId="47" xfId="1" applyFont="1" applyFill="1" applyBorder="1" applyProtection="1">
      <protection hidden="1"/>
    </xf>
    <xf numFmtId="0" fontId="1" fillId="3" borderId="1" xfId="1" applyFont="1" applyFill="1" applyBorder="1" applyAlignment="1" applyProtection="1">
      <alignment horizontal="center" vertical="center"/>
      <protection hidden="1"/>
    </xf>
    <xf numFmtId="0" fontId="1" fillId="0" borderId="0" xfId="1" applyFont="1" applyProtection="1">
      <protection hidden="1"/>
    </xf>
    <xf numFmtId="0" fontId="5" fillId="3" borderId="31" xfId="1" applyFont="1" applyFill="1" applyBorder="1" applyAlignment="1" applyProtection="1">
      <alignment horizontal="center" vertical="center" wrapText="1"/>
      <protection hidden="1"/>
    </xf>
    <xf numFmtId="0" fontId="25" fillId="0" borderId="0" xfId="1" applyFont="1" applyAlignment="1" applyProtection="1">
      <alignment horizontal="left" vertical="center" indent="1"/>
      <protection hidden="1"/>
    </xf>
    <xf numFmtId="0" fontId="5" fillId="13" borderId="66" xfId="1" applyFont="1" applyFill="1" applyBorder="1" applyAlignment="1" applyProtection="1">
      <alignment vertical="center"/>
      <protection locked="0"/>
    </xf>
    <xf numFmtId="0" fontId="1" fillId="13" borderId="66" xfId="1" applyFont="1" applyFill="1" applyBorder="1" applyAlignment="1" applyProtection="1">
      <alignment vertical="center"/>
      <protection locked="0"/>
    </xf>
    <xf numFmtId="0" fontId="5" fillId="3" borderId="66" xfId="1" applyFont="1" applyFill="1" applyBorder="1" applyAlignment="1" applyProtection="1">
      <alignment horizontal="center" vertical="center" wrapText="1"/>
      <protection hidden="1"/>
    </xf>
    <xf numFmtId="0" fontId="1" fillId="10" borderId="27" xfId="1" applyFont="1" applyFill="1" applyBorder="1" applyAlignment="1" applyProtection="1">
      <alignment horizontal="center" vertical="center" textRotation="90" wrapText="1"/>
      <protection hidden="1"/>
    </xf>
    <xf numFmtId="0" fontId="1" fillId="0" borderId="2" xfId="1" applyFont="1" applyBorder="1" applyAlignment="1" applyProtection="1">
      <alignment vertical="center"/>
      <protection hidden="1"/>
    </xf>
    <xf numFmtId="0" fontId="1" fillId="0" borderId="4" xfId="1" applyFont="1" applyBorder="1" applyAlignment="1" applyProtection="1">
      <alignment vertical="center"/>
      <protection hidden="1"/>
    </xf>
    <xf numFmtId="0" fontId="1" fillId="0" borderId="0" xfId="1" applyFont="1" applyProtection="1">
      <protection hidden="1"/>
    </xf>
    <xf numFmtId="0" fontId="5" fillId="3" borderId="1" xfId="1" applyFont="1" applyFill="1" applyBorder="1" applyAlignment="1" applyProtection="1">
      <alignment horizontal="center" vertical="center"/>
      <protection hidden="1"/>
    </xf>
    <xf numFmtId="0" fontId="1" fillId="0" borderId="0" xfId="1" applyFont="1" applyProtection="1">
      <protection hidden="1"/>
    </xf>
    <xf numFmtId="0" fontId="1" fillId="0" borderId="0" xfId="1" applyFont="1" applyFill="1" applyBorder="1" applyAlignment="1" applyProtection="1">
      <alignment horizontal="center" vertical="top"/>
      <protection hidden="1"/>
    </xf>
    <xf numFmtId="0" fontId="1" fillId="0" borderId="0" xfId="1" applyFont="1" applyProtection="1">
      <protection hidden="1"/>
    </xf>
    <xf numFmtId="0" fontId="5" fillId="0" borderId="0" xfId="1" applyFont="1" applyFill="1" applyBorder="1" applyAlignment="1" applyProtection="1">
      <alignment vertical="center" wrapText="1"/>
      <protection hidden="1"/>
    </xf>
    <xf numFmtId="0" fontId="15" fillId="0" borderId="0" xfId="1" applyFont="1" applyFill="1" applyBorder="1" applyAlignment="1" applyProtection="1">
      <alignment vertical="center" wrapText="1"/>
      <protection hidden="1"/>
    </xf>
    <xf numFmtId="0" fontId="15" fillId="13" borderId="144" xfId="1" applyFont="1" applyFill="1" applyBorder="1" applyAlignment="1" applyProtection="1">
      <alignment horizontal="center" vertical="center" wrapText="1"/>
      <protection hidden="1"/>
    </xf>
    <xf numFmtId="0" fontId="15" fillId="13" borderId="197" xfId="1" applyFont="1" applyFill="1" applyBorder="1" applyAlignment="1" applyProtection="1">
      <alignment horizontal="center" vertical="center" wrapText="1"/>
      <protection hidden="1"/>
    </xf>
    <xf numFmtId="0" fontId="15" fillId="13" borderId="204" xfId="1" applyFont="1" applyFill="1" applyBorder="1" applyAlignment="1" applyProtection="1">
      <alignment horizontal="center" vertical="center" wrapText="1"/>
      <protection hidden="1"/>
    </xf>
    <xf numFmtId="0" fontId="15" fillId="13" borderId="257" xfId="1" applyFont="1" applyFill="1" applyBorder="1" applyAlignment="1" applyProtection="1">
      <alignment horizontal="center" vertical="center" wrapText="1"/>
      <protection hidden="1"/>
    </xf>
    <xf numFmtId="0" fontId="5" fillId="13" borderId="1" xfId="1" applyFont="1" applyFill="1" applyBorder="1" applyAlignment="1" applyProtection="1">
      <alignment horizontal="center" vertical="center"/>
      <protection hidden="1"/>
    </xf>
    <xf numFmtId="0" fontId="2" fillId="3" borderId="212" xfId="1" applyFont="1" applyFill="1" applyBorder="1" applyAlignment="1" applyProtection="1">
      <alignment vertical="center"/>
      <protection hidden="1"/>
    </xf>
    <xf numFmtId="0" fontId="2" fillId="3" borderId="212" xfId="1" applyFont="1" applyFill="1" applyBorder="1" applyAlignment="1" applyProtection="1">
      <alignment horizontal="center" vertical="center"/>
      <protection hidden="1"/>
    </xf>
    <xf numFmtId="0" fontId="15" fillId="7" borderId="178" xfId="1" applyFont="1" applyFill="1" applyBorder="1" applyAlignment="1" applyProtection="1">
      <alignment vertical="center" wrapText="1"/>
      <protection locked="0"/>
    </xf>
    <xf numFmtId="0" fontId="15" fillId="7" borderId="144" xfId="1" applyFont="1" applyFill="1" applyBorder="1" applyAlignment="1" applyProtection="1">
      <alignment vertical="center" wrapText="1"/>
      <protection locked="0"/>
    </xf>
    <xf numFmtId="0" fontId="15" fillId="7" borderId="184" xfId="1" applyFont="1" applyFill="1" applyBorder="1" applyAlignment="1" applyProtection="1">
      <alignment vertical="center" wrapText="1"/>
      <protection locked="0"/>
    </xf>
    <xf numFmtId="0" fontId="15" fillId="7" borderId="197" xfId="1" applyFont="1" applyFill="1" applyBorder="1" applyAlignment="1" applyProtection="1">
      <alignment vertical="center" wrapText="1"/>
      <protection locked="0"/>
    </xf>
    <xf numFmtId="0" fontId="1" fillId="3" borderId="197" xfId="1" applyFont="1" applyFill="1" applyBorder="1" applyAlignment="1" applyProtection="1">
      <alignment horizontal="center" vertical="center"/>
      <protection locked="0"/>
    </xf>
    <xf numFmtId="0" fontId="1" fillId="3" borderId="144" xfId="1" applyFont="1" applyFill="1" applyBorder="1" applyAlignment="1" applyProtection="1">
      <alignment horizontal="center" vertical="center"/>
      <protection locked="0"/>
    </xf>
    <xf numFmtId="0" fontId="1" fillId="3" borderId="164" xfId="1" applyFont="1" applyFill="1" applyBorder="1" applyAlignment="1" applyProtection="1">
      <alignment horizontal="center" vertical="center"/>
      <protection locked="0"/>
    </xf>
    <xf numFmtId="0" fontId="1" fillId="3" borderId="178" xfId="1" applyFont="1" applyFill="1" applyBorder="1" applyAlignment="1" applyProtection="1">
      <alignment horizontal="center" vertical="center"/>
      <protection locked="0"/>
    </xf>
    <xf numFmtId="0" fontId="1" fillId="3" borderId="184" xfId="1" applyFont="1" applyFill="1" applyBorder="1" applyAlignment="1" applyProtection="1">
      <alignment horizontal="center" vertical="center"/>
      <protection locked="0"/>
    </xf>
    <xf numFmtId="0" fontId="1" fillId="3" borderId="204" xfId="1" applyFont="1" applyFill="1" applyBorder="1" applyAlignment="1" applyProtection="1">
      <alignment horizontal="center" vertical="center"/>
      <protection locked="0"/>
    </xf>
    <xf numFmtId="0" fontId="1" fillId="3" borderId="257" xfId="1" applyFont="1" applyFill="1" applyBorder="1" applyAlignment="1" applyProtection="1">
      <alignment horizontal="center" vertical="center"/>
      <protection locked="0"/>
    </xf>
    <xf numFmtId="0" fontId="85" fillId="0" borderId="0" xfId="0" applyFont="1" applyProtection="1">
      <protection hidden="1"/>
    </xf>
    <xf numFmtId="0" fontId="1" fillId="8" borderId="0" xfId="1" applyFont="1" applyFill="1" applyProtection="1">
      <protection hidden="1"/>
    </xf>
    <xf numFmtId="0" fontId="0" fillId="38" borderId="0" xfId="0" applyFill="1" applyProtection="1">
      <protection hidden="1"/>
    </xf>
    <xf numFmtId="0" fontId="1" fillId="35" borderId="178" xfId="1" applyFont="1" applyFill="1" applyBorder="1" applyAlignment="1" applyProtection="1">
      <alignment vertical="center"/>
      <protection hidden="1"/>
    </xf>
    <xf numFmtId="0" fontId="5" fillId="31" borderId="188" xfId="1" applyFont="1" applyFill="1" applyBorder="1" applyAlignment="1" applyProtection="1">
      <alignment horizontal="center" vertical="center"/>
      <protection hidden="1"/>
    </xf>
    <xf numFmtId="0" fontId="1" fillId="35" borderId="144" xfId="1" applyFont="1" applyFill="1" applyBorder="1" applyAlignment="1" applyProtection="1">
      <alignment vertical="center"/>
      <protection hidden="1"/>
    </xf>
    <xf numFmtId="0" fontId="5" fillId="31" borderId="191" xfId="1" applyFont="1" applyFill="1" applyBorder="1" applyAlignment="1" applyProtection="1">
      <alignment horizontal="center" vertical="center"/>
      <protection hidden="1"/>
    </xf>
    <xf numFmtId="0" fontId="1" fillId="35" borderId="184" xfId="1" applyFont="1" applyFill="1" applyBorder="1" applyAlignment="1" applyProtection="1">
      <alignment vertical="center"/>
      <protection hidden="1"/>
    </xf>
    <xf numFmtId="0" fontId="5" fillId="31" borderId="193" xfId="1" applyFont="1" applyFill="1" applyBorder="1" applyAlignment="1" applyProtection="1">
      <alignment horizontal="center" vertical="center"/>
      <protection hidden="1"/>
    </xf>
    <xf numFmtId="182" fontId="51" fillId="30" borderId="144" xfId="1" applyNumberFormat="1" applyFont="1" applyFill="1" applyBorder="1" applyAlignment="1" applyProtection="1">
      <alignment horizontal="center" vertical="center"/>
      <protection hidden="1"/>
    </xf>
    <xf numFmtId="0" fontId="11" fillId="0" borderId="0" xfId="0" applyFont="1" applyProtection="1">
      <protection hidden="1"/>
    </xf>
    <xf numFmtId="0" fontId="6" fillId="39" borderId="198" xfId="0" applyFont="1" applyFill="1" applyBorder="1" applyAlignment="1" applyProtection="1">
      <alignment horizontal="justify" vertical="center"/>
      <protection hidden="1"/>
    </xf>
    <xf numFmtId="0" fontId="7" fillId="25" borderId="199" xfId="0" applyFont="1" applyFill="1" applyBorder="1" applyAlignment="1" applyProtection="1">
      <alignment horizontal="justify" vertical="center"/>
      <protection hidden="1"/>
    </xf>
    <xf numFmtId="0" fontId="7" fillId="33" borderId="199" xfId="0" applyFont="1" applyFill="1" applyBorder="1" applyAlignment="1" applyProtection="1">
      <alignment horizontal="justify" vertical="center"/>
      <protection hidden="1"/>
    </xf>
    <xf numFmtId="0" fontId="7" fillId="32" borderId="199" xfId="0" applyFont="1" applyFill="1" applyBorder="1" applyAlignment="1" applyProtection="1">
      <alignment horizontal="justify" vertical="center"/>
      <protection hidden="1"/>
    </xf>
    <xf numFmtId="0" fontId="6" fillId="39" borderId="200" xfId="0" applyFont="1" applyFill="1" applyBorder="1" applyAlignment="1" applyProtection="1">
      <alignment horizontal="justify" vertical="center"/>
      <protection hidden="1"/>
    </xf>
    <xf numFmtId="0" fontId="7" fillId="25" borderId="201" xfId="0" applyFont="1" applyFill="1" applyBorder="1" applyAlignment="1" applyProtection="1">
      <alignment horizontal="justify" vertical="center"/>
      <protection hidden="1"/>
    </xf>
    <xf numFmtId="0" fontId="7" fillId="33" borderId="201" xfId="0" applyFont="1" applyFill="1" applyBorder="1" applyAlignment="1" applyProtection="1">
      <alignment horizontal="justify" vertical="center"/>
      <protection hidden="1"/>
    </xf>
    <xf numFmtId="0" fontId="7" fillId="32" borderId="201" xfId="0" applyFont="1" applyFill="1" applyBorder="1" applyAlignment="1" applyProtection="1">
      <alignment horizontal="justify" vertical="center"/>
      <protection hidden="1"/>
    </xf>
    <xf numFmtId="0" fontId="7" fillId="34" borderId="201" xfId="0" applyFont="1" applyFill="1" applyBorder="1" applyAlignment="1" applyProtection="1">
      <alignment horizontal="justify" vertical="center"/>
      <protection hidden="1"/>
    </xf>
    <xf numFmtId="0" fontId="11" fillId="0" borderId="202" xfId="0" applyFont="1" applyBorder="1" applyProtection="1">
      <protection hidden="1"/>
    </xf>
    <xf numFmtId="0" fontId="6" fillId="39" borderId="201" xfId="0" applyFont="1" applyFill="1" applyBorder="1" applyAlignment="1" applyProtection="1">
      <alignment horizontal="justify" vertical="center"/>
      <protection hidden="1"/>
    </xf>
    <xf numFmtId="0" fontId="86" fillId="39" borderId="21" xfId="0" applyFont="1" applyFill="1" applyBorder="1" applyAlignment="1" applyProtection="1">
      <alignment horizontal="justify" vertical="center"/>
      <protection hidden="1"/>
    </xf>
    <xf numFmtId="0" fontId="86" fillId="39" borderId="102" xfId="0" applyFont="1" applyFill="1" applyBorder="1" applyAlignment="1" applyProtection="1">
      <alignment horizontal="justify" vertical="center"/>
      <protection hidden="1"/>
    </xf>
    <xf numFmtId="0" fontId="0" fillId="0" borderId="32" xfId="0" applyBorder="1" applyProtection="1">
      <protection hidden="1"/>
    </xf>
    <xf numFmtId="0" fontId="86" fillId="39" borderId="17" xfId="0" applyFont="1" applyFill="1" applyBorder="1" applyAlignment="1" applyProtection="1">
      <alignment horizontal="justify" vertical="center"/>
      <protection hidden="1"/>
    </xf>
    <xf numFmtId="0" fontId="1" fillId="35" borderId="178" xfId="1" applyFont="1" applyFill="1" applyBorder="1" applyAlignment="1" applyProtection="1">
      <alignment vertical="center"/>
      <protection locked="0"/>
    </xf>
    <xf numFmtId="0" fontId="1" fillId="35" borderId="144" xfId="1" applyFont="1" applyFill="1" applyBorder="1" applyAlignment="1" applyProtection="1">
      <alignment vertical="center"/>
      <protection locked="0"/>
    </xf>
    <xf numFmtId="0" fontId="1" fillId="35" borderId="184" xfId="1" applyFont="1" applyFill="1" applyBorder="1" applyAlignment="1" applyProtection="1">
      <alignment vertical="center"/>
      <protection locked="0"/>
    </xf>
    <xf numFmtId="0" fontId="2" fillId="0" borderId="0" xfId="0" applyFont="1" applyAlignment="1" applyProtection="1">
      <alignment vertical="center"/>
      <protection hidden="1"/>
    </xf>
    <xf numFmtId="0" fontId="78" fillId="0" borderId="0" xfId="8" applyFont="1" applyProtection="1">
      <protection hidden="1"/>
    </xf>
    <xf numFmtId="0" fontId="79" fillId="0" borderId="0" xfId="8" applyFont="1" applyFill="1" applyProtection="1">
      <protection hidden="1"/>
    </xf>
    <xf numFmtId="0" fontId="80" fillId="0" borderId="0" xfId="8" applyFont="1" applyProtection="1">
      <protection hidden="1"/>
    </xf>
    <xf numFmtId="0" fontId="0" fillId="0" borderId="156" xfId="0" applyBorder="1" applyProtection="1">
      <protection hidden="1"/>
    </xf>
    <xf numFmtId="0" fontId="0" fillId="0" borderId="157" xfId="0" applyBorder="1" applyProtection="1">
      <protection hidden="1"/>
    </xf>
    <xf numFmtId="0" fontId="0" fillId="0" borderId="158" xfId="0" applyBorder="1" applyProtection="1">
      <protection hidden="1"/>
    </xf>
    <xf numFmtId="0" fontId="0" fillId="0" borderId="159" xfId="0" applyBorder="1" applyProtection="1">
      <protection hidden="1"/>
    </xf>
    <xf numFmtId="0" fontId="0" fillId="0" borderId="160" xfId="0" applyBorder="1" applyProtection="1">
      <protection hidden="1"/>
    </xf>
    <xf numFmtId="0" fontId="0" fillId="0" borderId="161" xfId="0" applyBorder="1" applyProtection="1">
      <protection hidden="1"/>
    </xf>
    <xf numFmtId="0" fontId="0" fillId="0" borderId="162" xfId="0" applyBorder="1" applyProtection="1">
      <protection hidden="1"/>
    </xf>
    <xf numFmtId="0" fontId="0" fillId="0" borderId="163" xfId="0" applyBorder="1" applyProtection="1">
      <protection hidden="1"/>
    </xf>
    <xf numFmtId="0" fontId="82" fillId="0" borderId="0" xfId="0" applyFont="1" applyBorder="1" applyAlignment="1" applyProtection="1">
      <alignment horizontal="center"/>
      <protection hidden="1"/>
    </xf>
    <xf numFmtId="0" fontId="82" fillId="0" borderId="0" xfId="0" applyFont="1" applyProtection="1">
      <protection hidden="1"/>
    </xf>
    <xf numFmtId="0" fontId="83" fillId="0" borderId="0" xfId="0" applyFont="1" applyAlignment="1" applyProtection="1">
      <alignment vertical="center"/>
      <protection hidden="1"/>
    </xf>
    <xf numFmtId="0" fontId="1" fillId="0" borderId="0" xfId="1" applyFont="1" applyProtection="1">
      <protection hidden="1"/>
    </xf>
    <xf numFmtId="0" fontId="51" fillId="27" borderId="144" xfId="1" applyFont="1" applyFill="1" applyBorder="1" applyAlignment="1" applyProtection="1">
      <alignment horizontal="center" vertical="center"/>
      <protection hidden="1"/>
    </xf>
    <xf numFmtId="0" fontId="51" fillId="30" borderId="144" xfId="1" applyFont="1" applyFill="1" applyBorder="1" applyAlignment="1" applyProtection="1">
      <alignment horizontal="center" vertical="center"/>
      <protection hidden="1"/>
    </xf>
    <xf numFmtId="0" fontId="51" fillId="30" borderId="184" xfId="1" applyFont="1" applyFill="1" applyBorder="1" applyAlignment="1" applyProtection="1">
      <alignment horizontal="center" vertical="center"/>
      <protection hidden="1"/>
    </xf>
    <xf numFmtId="0" fontId="51" fillId="27" borderId="176" xfId="0" applyFont="1" applyFill="1" applyBorder="1" applyAlignment="1" applyProtection="1">
      <alignment vertical="center"/>
      <protection hidden="1"/>
    </xf>
    <xf numFmtId="0" fontId="11" fillId="32" borderId="176" xfId="0" applyFont="1" applyFill="1" applyBorder="1" applyAlignment="1" applyProtection="1">
      <alignment vertical="center"/>
      <protection hidden="1"/>
    </xf>
    <xf numFmtId="0" fontId="11" fillId="33" borderId="176" xfId="0" applyFont="1" applyFill="1" applyBorder="1" applyAlignment="1" applyProtection="1">
      <alignment vertical="center"/>
      <protection hidden="1"/>
    </xf>
    <xf numFmtId="0" fontId="11" fillId="25" borderId="176" xfId="0" applyFont="1" applyFill="1" applyBorder="1" applyAlignment="1" applyProtection="1">
      <alignment vertical="center"/>
      <protection hidden="1"/>
    </xf>
    <xf numFmtId="0" fontId="11" fillId="34" borderId="176" xfId="0" applyFont="1" applyFill="1" applyBorder="1" applyAlignment="1" applyProtection="1">
      <alignment vertical="center"/>
      <protection hidden="1"/>
    </xf>
    <xf numFmtId="0" fontId="51" fillId="28" borderId="176" xfId="0" applyFont="1" applyFill="1" applyBorder="1" applyAlignment="1" applyProtection="1">
      <alignment vertical="center" wrapText="1"/>
      <protection hidden="1"/>
    </xf>
    <xf numFmtId="0" fontId="11" fillId="35" borderId="176" xfId="0" applyFont="1" applyFill="1" applyBorder="1" applyAlignment="1" applyProtection="1">
      <alignment vertical="center"/>
      <protection hidden="1"/>
    </xf>
    <xf numFmtId="0" fontId="51" fillId="36" borderId="176" xfId="0" applyFont="1" applyFill="1" applyBorder="1" applyProtection="1">
      <protection hidden="1"/>
    </xf>
    <xf numFmtId="0" fontId="11" fillId="25" borderId="176" xfId="0" applyFont="1" applyFill="1" applyBorder="1" applyProtection="1">
      <protection hidden="1"/>
    </xf>
    <xf numFmtId="0" fontId="11" fillId="33" borderId="176" xfId="0" applyFont="1" applyFill="1" applyBorder="1" applyProtection="1">
      <protection hidden="1"/>
    </xf>
    <xf numFmtId="0" fontId="11" fillId="32" borderId="176" xfId="0" applyFont="1" applyFill="1" applyBorder="1" applyProtection="1">
      <protection hidden="1"/>
    </xf>
    <xf numFmtId="0" fontId="11" fillId="34" borderId="176" xfId="0" applyFont="1" applyFill="1" applyBorder="1" applyProtection="1">
      <protection hidden="1"/>
    </xf>
    <xf numFmtId="0" fontId="11" fillId="35" borderId="165" xfId="0" applyFont="1" applyFill="1" applyBorder="1" applyAlignment="1" applyProtection="1">
      <alignment vertical="center" wrapText="1"/>
      <protection locked="0"/>
    </xf>
    <xf numFmtId="0" fontId="11" fillId="35" borderId="165" xfId="0" applyFont="1" applyFill="1" applyBorder="1" applyAlignment="1" applyProtection="1">
      <alignment vertical="center"/>
      <protection locked="0"/>
    </xf>
    <xf numFmtId="0" fontId="0" fillId="0" borderId="0" xfId="0" applyAlignment="1" applyProtection="1">
      <alignment horizontal="center"/>
      <protection hidden="1"/>
    </xf>
    <xf numFmtId="0" fontId="11" fillId="15" borderId="224" xfId="0" applyFont="1" applyFill="1" applyBorder="1" applyAlignment="1" applyProtection="1">
      <alignment vertical="center" wrapText="1"/>
      <protection hidden="1"/>
    </xf>
    <xf numFmtId="0" fontId="2" fillId="15" borderId="17" xfId="0" applyFont="1" applyFill="1" applyBorder="1" applyAlignment="1" applyProtection="1">
      <alignment vertical="center" wrapText="1"/>
      <protection hidden="1"/>
    </xf>
    <xf numFmtId="0" fontId="2" fillId="35" borderId="21" xfId="0" applyFont="1" applyFill="1" applyBorder="1" applyAlignment="1" applyProtection="1">
      <alignment horizontal="center" vertical="center" wrapText="1"/>
      <protection hidden="1"/>
    </xf>
    <xf numFmtId="4" fontId="11" fillId="15" borderId="102" xfId="0" applyNumberFormat="1" applyFont="1" applyFill="1" applyBorder="1" applyAlignment="1" applyProtection="1">
      <alignment horizontal="center" vertical="center" wrapText="1"/>
      <protection hidden="1"/>
    </xf>
    <xf numFmtId="0" fontId="0" fillId="0" borderId="16" xfId="0" applyBorder="1" applyProtection="1">
      <protection hidden="1"/>
    </xf>
    <xf numFmtId="0" fontId="37" fillId="0" borderId="0" xfId="0" applyFont="1" applyProtection="1">
      <protection hidden="1"/>
    </xf>
    <xf numFmtId="0" fontId="1" fillId="37" borderId="0" xfId="1" applyFont="1" applyFill="1" applyProtection="1">
      <protection hidden="1"/>
    </xf>
    <xf numFmtId="0" fontId="32" fillId="40" borderId="0" xfId="0" applyFont="1" applyFill="1" applyProtection="1">
      <protection hidden="1"/>
    </xf>
    <xf numFmtId="0" fontId="0" fillId="40" borderId="0" xfId="0" applyFill="1" applyProtection="1">
      <protection hidden="1"/>
    </xf>
    <xf numFmtId="0" fontId="1" fillId="0" borderId="0" xfId="1" applyFont="1" applyProtection="1">
      <protection hidden="1"/>
    </xf>
    <xf numFmtId="0" fontId="5" fillId="3" borderId="31" xfId="1" applyFont="1" applyFill="1" applyBorder="1" applyAlignment="1" applyProtection="1">
      <alignment horizontal="center" vertical="center"/>
      <protection hidden="1"/>
    </xf>
    <xf numFmtId="0" fontId="5" fillId="3" borderId="31" xfId="1" applyFont="1" applyFill="1" applyBorder="1" applyAlignment="1" applyProtection="1">
      <alignment horizontal="center" vertical="center" wrapText="1"/>
      <protection hidden="1"/>
    </xf>
    <xf numFmtId="0" fontId="1" fillId="0" borderId="0" xfId="1" applyFont="1" applyBorder="1" applyAlignment="1" applyProtection="1">
      <alignment horizontal="center" vertical="top" wrapText="1"/>
      <protection hidden="1"/>
    </xf>
    <xf numFmtId="0" fontId="22" fillId="13" borderId="1" xfId="1" applyFont="1" applyFill="1" applyBorder="1" applyAlignment="1" applyProtection="1">
      <alignment horizontal="center" vertical="center" wrapText="1"/>
      <protection hidden="1"/>
    </xf>
    <xf numFmtId="0" fontId="22" fillId="13" borderId="1" xfId="1" applyFont="1" applyFill="1" applyBorder="1" applyAlignment="1" applyProtection="1">
      <alignment horizontal="center" vertical="center"/>
      <protection hidden="1"/>
    </xf>
    <xf numFmtId="0" fontId="51" fillId="30" borderId="184" xfId="1" applyFont="1" applyFill="1" applyBorder="1" applyAlignment="1" applyProtection="1">
      <alignment horizontal="center" vertical="center"/>
      <protection hidden="1"/>
    </xf>
    <xf numFmtId="0" fontId="51" fillId="30" borderId="144" xfId="1" applyFont="1" applyFill="1" applyBorder="1" applyAlignment="1" applyProtection="1">
      <alignment horizontal="center" vertical="center"/>
      <protection hidden="1"/>
    </xf>
    <xf numFmtId="0" fontId="51" fillId="27" borderId="144" xfId="1" applyFont="1" applyFill="1" applyBorder="1" applyAlignment="1" applyProtection="1">
      <alignment horizontal="center" vertical="center"/>
      <protection hidden="1"/>
    </xf>
    <xf numFmtId="0" fontId="1" fillId="7" borderId="178" xfId="1" applyFont="1" applyFill="1" applyBorder="1" applyAlignment="1" applyProtection="1">
      <alignment horizontal="center" vertical="center" wrapText="1"/>
      <protection locked="0"/>
    </xf>
    <xf numFmtId="0" fontId="1" fillId="7" borderId="144" xfId="1" applyFont="1" applyFill="1" applyBorder="1" applyAlignment="1" applyProtection="1">
      <alignment horizontal="center" vertical="center" wrapText="1"/>
      <protection locked="0"/>
    </xf>
    <xf numFmtId="0" fontId="1" fillId="7" borderId="184" xfId="1" applyFont="1" applyFill="1" applyBorder="1" applyAlignment="1" applyProtection="1">
      <alignment horizontal="center" vertical="center" wrapText="1"/>
      <protection locked="0"/>
    </xf>
    <xf numFmtId="0" fontId="1" fillId="7" borderId="197" xfId="1" applyFont="1" applyFill="1" applyBorder="1" applyAlignment="1" applyProtection="1">
      <alignment horizontal="center" vertical="center" wrapText="1"/>
      <protection locked="0"/>
    </xf>
    <xf numFmtId="0" fontId="1" fillId="7" borderId="164" xfId="1" applyFont="1" applyFill="1" applyBorder="1" applyAlignment="1" applyProtection="1">
      <alignment horizontal="center" vertical="center" wrapText="1"/>
      <protection locked="0"/>
    </xf>
    <xf numFmtId="0" fontId="1" fillId="13" borderId="144" xfId="1" applyFont="1" applyFill="1" applyBorder="1" applyAlignment="1" applyProtection="1">
      <alignment horizontal="center" vertical="center" wrapText="1"/>
      <protection hidden="1"/>
    </xf>
    <xf numFmtId="0" fontId="1" fillId="13" borderId="184" xfId="1" applyFont="1" applyFill="1" applyBorder="1" applyAlignment="1" applyProtection="1">
      <alignment horizontal="center" vertical="center" wrapText="1"/>
      <protection hidden="1"/>
    </xf>
    <xf numFmtId="0" fontId="1" fillId="13" borderId="197" xfId="1" applyFont="1" applyFill="1" applyBorder="1" applyAlignment="1" applyProtection="1">
      <alignment horizontal="center" vertical="center" wrapText="1"/>
      <protection hidden="1"/>
    </xf>
    <xf numFmtId="0" fontId="25" fillId="3" borderId="0" xfId="1" applyFont="1" applyFill="1" applyBorder="1" applyAlignment="1" applyProtection="1">
      <alignment horizontal="left" vertical="center"/>
      <protection hidden="1"/>
    </xf>
    <xf numFmtId="0" fontId="23" fillId="3" borderId="0" xfId="1" applyFont="1" applyFill="1" applyBorder="1" applyAlignment="1" applyProtection="1">
      <alignment vertical="center" wrapText="1"/>
      <protection hidden="1"/>
    </xf>
    <xf numFmtId="0" fontId="23" fillId="3" borderId="0" xfId="1" applyFont="1" applyFill="1" applyBorder="1" applyAlignment="1" applyProtection="1">
      <alignment horizontal="center" vertical="center" wrapText="1"/>
      <protection hidden="1"/>
    </xf>
    <xf numFmtId="0" fontId="23" fillId="3" borderId="0" xfId="1" applyFont="1" applyFill="1" applyBorder="1" applyAlignment="1" applyProtection="1">
      <alignment vertical="center"/>
      <protection hidden="1"/>
    </xf>
    <xf numFmtId="0" fontId="1" fillId="3" borderId="0" xfId="1" applyFont="1" applyFill="1" applyProtection="1">
      <protection hidden="1"/>
    </xf>
    <xf numFmtId="0" fontId="2" fillId="3" borderId="204" xfId="1" applyFont="1" applyFill="1" applyBorder="1" applyAlignment="1" applyProtection="1">
      <alignment horizontal="center" vertical="center"/>
      <protection hidden="1"/>
    </xf>
    <xf numFmtId="0" fontId="2" fillId="3" borderId="204" xfId="1" applyFont="1" applyFill="1" applyBorder="1" applyAlignment="1" applyProtection="1">
      <alignment vertical="center"/>
      <protection hidden="1"/>
    </xf>
    <xf numFmtId="0" fontId="5" fillId="13" borderId="66" xfId="1" applyFont="1" applyFill="1" applyBorder="1" applyAlignment="1" applyProtection="1">
      <alignment horizontal="center" vertical="center"/>
      <protection locked="0"/>
    </xf>
    <xf numFmtId="0" fontId="44" fillId="19" borderId="0" xfId="0" applyFont="1" applyFill="1" applyAlignment="1">
      <alignment horizontal="center" vertical="center"/>
    </xf>
    <xf numFmtId="0" fontId="1" fillId="13" borderId="204" xfId="1" applyFont="1" applyFill="1" applyBorder="1" applyAlignment="1" applyProtection="1">
      <alignment horizontal="center" vertical="center" wrapText="1"/>
      <protection hidden="1"/>
    </xf>
    <xf numFmtId="0" fontId="45" fillId="0" borderId="0" xfId="0" quotePrefix="1" applyFont="1" applyAlignment="1">
      <alignment wrapText="1"/>
    </xf>
    <xf numFmtId="0" fontId="45" fillId="0" borderId="0" xfId="0" quotePrefix="1" applyFont="1" applyAlignment="1">
      <alignment vertical="top" wrapText="1"/>
    </xf>
    <xf numFmtId="0" fontId="2" fillId="3" borderId="30" xfId="0" applyFont="1" applyFill="1" applyBorder="1" applyAlignment="1" applyProtection="1">
      <alignment horizontal="center" vertical="center" textRotation="90"/>
      <protection hidden="1"/>
    </xf>
    <xf numFmtId="0" fontId="2" fillId="3" borderId="1" xfId="0" applyFont="1" applyFill="1" applyBorder="1" applyAlignment="1" applyProtection="1">
      <alignment horizontal="center" vertical="center" textRotation="90"/>
      <protection hidden="1"/>
    </xf>
    <xf numFmtId="0" fontId="67" fillId="0" borderId="0" xfId="0" applyFont="1" applyProtection="1">
      <protection hidden="1"/>
    </xf>
    <xf numFmtId="0" fontId="63" fillId="23" borderId="118" xfId="0" applyFont="1" applyFill="1" applyBorder="1" applyAlignment="1" applyProtection="1">
      <alignment horizontal="center" vertical="center"/>
      <protection hidden="1"/>
    </xf>
    <xf numFmtId="0" fontId="51" fillId="23" borderId="119" xfId="0" applyFont="1" applyFill="1" applyBorder="1" applyAlignment="1" applyProtection="1">
      <alignment horizontal="center" vertical="center" wrapText="1"/>
      <protection hidden="1"/>
    </xf>
    <xf numFmtId="0" fontId="51" fillId="23" borderId="120" xfId="0" applyFont="1" applyFill="1" applyBorder="1" applyAlignment="1" applyProtection="1">
      <alignment horizontal="center" vertical="center" wrapText="1"/>
      <protection hidden="1"/>
    </xf>
    <xf numFmtId="0" fontId="11" fillId="0" borderId="109" xfId="0" applyFont="1" applyBorder="1" applyProtection="1">
      <protection hidden="1"/>
    </xf>
    <xf numFmtId="0" fontId="2" fillId="3" borderId="122" xfId="0" applyFont="1" applyFill="1" applyBorder="1" applyProtection="1">
      <protection hidden="1"/>
    </xf>
    <xf numFmtId="0" fontId="2" fillId="3" borderId="123" xfId="0" applyFont="1" applyFill="1" applyBorder="1" applyProtection="1">
      <protection hidden="1"/>
    </xf>
    <xf numFmtId="0" fontId="11" fillId="0" borderId="0" xfId="0" applyFont="1" applyAlignment="1" applyProtection="1">
      <alignment horizontal="right"/>
      <protection hidden="1"/>
    </xf>
    <xf numFmtId="0" fontId="11" fillId="0" borderId="0" xfId="0" applyFont="1" applyBorder="1" applyAlignment="1" applyProtection="1">
      <alignment horizontal="left"/>
      <protection hidden="1"/>
    </xf>
    <xf numFmtId="0" fontId="51" fillId="23" borderId="118" xfId="0" applyFont="1" applyFill="1" applyBorder="1" applyAlignment="1" applyProtection="1">
      <alignment horizontal="center" vertical="center"/>
      <protection hidden="1"/>
    </xf>
    <xf numFmtId="0" fontId="51" fillId="0" borderId="0" xfId="0" applyFont="1" applyFill="1" applyBorder="1" applyAlignment="1" applyProtection="1">
      <protection hidden="1"/>
    </xf>
    <xf numFmtId="0" fontId="63" fillId="23" borderId="114" xfId="0" applyFont="1" applyFill="1" applyBorder="1" applyAlignment="1" applyProtection="1">
      <alignment horizontal="center" vertical="center"/>
      <protection hidden="1"/>
    </xf>
    <xf numFmtId="0" fontId="51" fillId="23" borderId="115" xfId="0" applyFont="1" applyFill="1" applyBorder="1" applyAlignment="1" applyProtection="1">
      <alignment horizontal="center" vertical="center" wrapText="1"/>
      <protection hidden="1"/>
    </xf>
    <xf numFmtId="0" fontId="51" fillId="23" borderId="125" xfId="0" applyFont="1" applyFill="1" applyBorder="1" applyAlignment="1" applyProtection="1">
      <alignment horizontal="center" vertical="center" wrapText="1"/>
      <protection hidden="1"/>
    </xf>
    <xf numFmtId="0" fontId="51" fillId="0" borderId="0" xfId="0" applyFont="1" applyFill="1" applyBorder="1" applyAlignment="1" applyProtection="1">
      <alignment horizontal="center"/>
      <protection hidden="1"/>
    </xf>
    <xf numFmtId="0" fontId="11" fillId="0" borderId="0" xfId="0" applyFont="1" applyBorder="1" applyProtection="1">
      <protection hidden="1"/>
    </xf>
    <xf numFmtId="0" fontId="2" fillId="0" borderId="0" xfId="0" applyFont="1" applyBorder="1" applyProtection="1">
      <protection hidden="1"/>
    </xf>
    <xf numFmtId="0" fontId="11" fillId="0" borderId="0" xfId="0" applyFont="1" applyBorder="1" applyAlignment="1" applyProtection="1">
      <protection hidden="1"/>
    </xf>
    <xf numFmtId="0" fontId="11" fillId="0" borderId="44" xfId="0" applyFont="1" applyBorder="1" applyProtection="1">
      <protection hidden="1"/>
    </xf>
    <xf numFmtId="0" fontId="51" fillId="23" borderId="119" xfId="0" applyFont="1" applyFill="1" applyBorder="1" applyAlignment="1" applyProtection="1">
      <alignment horizontal="center"/>
      <protection hidden="1"/>
    </xf>
    <xf numFmtId="0" fontId="51" fillId="23" borderId="120" xfId="0" applyFont="1" applyFill="1" applyBorder="1" applyAlignment="1" applyProtection="1">
      <alignment horizontal="center"/>
      <protection hidden="1"/>
    </xf>
    <xf numFmtId="0" fontId="51" fillId="23" borderId="118" xfId="0" applyFont="1" applyFill="1" applyBorder="1" applyAlignment="1" applyProtection="1">
      <alignment horizontal="center"/>
      <protection hidden="1"/>
    </xf>
    <xf numFmtId="0" fontId="11" fillId="0" borderId="109" xfId="0" applyFont="1" applyBorder="1" applyProtection="1">
      <protection locked="0"/>
    </xf>
    <xf numFmtId="2" fontId="11" fillId="0" borderId="31" xfId="0" applyNumberFormat="1" applyFont="1" applyBorder="1" applyProtection="1">
      <protection locked="0"/>
    </xf>
    <xf numFmtId="0" fontId="11" fillId="0" borderId="121" xfId="0" applyFont="1" applyBorder="1" applyProtection="1">
      <protection locked="0"/>
    </xf>
    <xf numFmtId="1" fontId="2" fillId="3" borderId="124" xfId="0" applyNumberFormat="1" applyFont="1" applyFill="1" applyBorder="1" applyProtection="1">
      <protection locked="0"/>
    </xf>
    <xf numFmtId="0" fontId="11" fillId="0" borderId="31" xfId="0" applyFont="1" applyBorder="1" applyProtection="1">
      <protection locked="0"/>
    </xf>
    <xf numFmtId="170" fontId="11" fillId="0" borderId="31" xfId="0" applyNumberFormat="1" applyFont="1" applyBorder="1" applyProtection="1">
      <protection locked="0"/>
    </xf>
    <xf numFmtId="170" fontId="11" fillId="0" borderId="121" xfId="0" applyNumberFormat="1" applyFont="1" applyBorder="1" applyProtection="1">
      <protection locked="0"/>
    </xf>
    <xf numFmtId="0" fontId="2" fillId="3" borderId="123" xfId="0" applyFont="1" applyFill="1" applyBorder="1" applyProtection="1">
      <protection locked="0"/>
    </xf>
    <xf numFmtId="170" fontId="2" fillId="3" borderId="123" xfId="0" applyNumberFormat="1" applyFont="1" applyFill="1" applyBorder="1" applyProtection="1">
      <protection locked="0"/>
    </xf>
    <xf numFmtId="0" fontId="2" fillId="3" borderId="124" xfId="0" applyFont="1" applyFill="1" applyBorder="1" applyProtection="1">
      <protection locked="0"/>
    </xf>
    <xf numFmtId="4" fontId="11" fillId="0" borderId="121" xfId="0" applyNumberFormat="1" applyFont="1" applyBorder="1" applyProtection="1">
      <protection locked="0"/>
    </xf>
    <xf numFmtId="0" fontId="1" fillId="0" borderId="31" xfId="0" applyFont="1" applyFill="1" applyBorder="1" applyAlignment="1" applyProtection="1">
      <alignment horizontal="right"/>
      <protection locked="0"/>
    </xf>
    <xf numFmtId="4" fontId="1" fillId="0" borderId="121" xfId="0" applyNumberFormat="1" applyFont="1" applyFill="1" applyBorder="1" applyAlignment="1" applyProtection="1">
      <alignment horizontal="right"/>
      <protection locked="0"/>
    </xf>
    <xf numFmtId="2" fontId="2" fillId="3" borderId="124" xfId="0" applyNumberFormat="1" applyFont="1" applyFill="1" applyBorder="1" applyProtection="1">
      <protection locked="0"/>
    </xf>
    <xf numFmtId="0" fontId="11" fillId="0" borderId="38" xfId="0" applyFont="1" applyBorder="1" applyProtection="1">
      <protection locked="0"/>
    </xf>
    <xf numFmtId="0" fontId="11" fillId="0" borderId="127" xfId="0" applyFont="1" applyBorder="1" applyProtection="1">
      <protection locked="0"/>
    </xf>
    <xf numFmtId="0" fontId="11" fillId="0" borderId="31" xfId="0" applyFont="1" applyBorder="1" applyAlignment="1" applyProtection="1">
      <protection locked="0"/>
    </xf>
    <xf numFmtId="0" fontId="11" fillId="0" borderId="128" xfId="0" applyFont="1" applyBorder="1" applyAlignment="1" applyProtection="1">
      <protection locked="0"/>
    </xf>
    <xf numFmtId="0" fontId="11" fillId="0" borderId="122" xfId="0" applyFont="1" applyBorder="1" applyProtection="1">
      <protection locked="0"/>
    </xf>
    <xf numFmtId="0" fontId="11" fillId="0" borderId="123" xfId="0" applyFont="1" applyBorder="1" applyProtection="1">
      <protection locked="0"/>
    </xf>
    <xf numFmtId="0" fontId="11" fillId="0" borderId="124" xfId="0" applyFont="1" applyBorder="1" applyProtection="1">
      <protection locked="0"/>
    </xf>
    <xf numFmtId="0" fontId="11" fillId="3" borderId="31" xfId="0" applyFont="1" applyFill="1" applyBorder="1" applyProtection="1">
      <protection locked="0"/>
    </xf>
    <xf numFmtId="4" fontId="11" fillId="0" borderId="31" xfId="0" applyNumberFormat="1" applyFont="1" applyBorder="1" applyProtection="1">
      <protection locked="0"/>
    </xf>
    <xf numFmtId="4" fontId="11" fillId="0" borderId="123" xfId="0" applyNumberFormat="1" applyFont="1" applyBorder="1" applyProtection="1">
      <protection locked="0"/>
    </xf>
    <xf numFmtId="4" fontId="11" fillId="0" borderId="124" xfId="0" applyNumberFormat="1" applyFont="1" applyBorder="1" applyProtection="1">
      <protection locked="0"/>
    </xf>
    <xf numFmtId="0" fontId="51" fillId="23" borderId="119" xfId="0" applyFont="1" applyFill="1" applyBorder="1" applyAlignment="1" applyProtection="1">
      <alignment horizontal="center" vertical="center"/>
      <protection hidden="1"/>
    </xf>
    <xf numFmtId="0" fontId="51" fillId="23" borderId="120" xfId="0" applyFont="1" applyFill="1" applyBorder="1" applyAlignment="1" applyProtection="1">
      <alignment horizontal="center" vertical="center"/>
      <protection hidden="1"/>
    </xf>
    <xf numFmtId="0" fontId="11" fillId="0" borderId="107" xfId="0" applyFont="1" applyBorder="1" applyProtection="1">
      <protection hidden="1"/>
    </xf>
    <xf numFmtId="4" fontId="11" fillId="0" borderId="49" xfId="0" applyNumberFormat="1" applyFont="1" applyBorder="1" applyProtection="1">
      <protection hidden="1"/>
    </xf>
    <xf numFmtId="2" fontId="11" fillId="0" borderId="49" xfId="0" applyNumberFormat="1" applyFont="1" applyBorder="1" applyProtection="1">
      <protection hidden="1"/>
    </xf>
    <xf numFmtId="2" fontId="11" fillId="0" borderId="127" xfId="0" applyNumberFormat="1" applyFont="1" applyBorder="1" applyProtection="1">
      <protection hidden="1"/>
    </xf>
    <xf numFmtId="2" fontId="11" fillId="0" borderId="132" xfId="0" applyNumberFormat="1" applyFont="1" applyBorder="1" applyProtection="1">
      <protection hidden="1"/>
    </xf>
    <xf numFmtId="0" fontId="5" fillId="3" borderId="122" xfId="0" applyFont="1" applyFill="1" applyBorder="1" applyProtection="1">
      <protection hidden="1"/>
    </xf>
    <xf numFmtId="2" fontId="5" fillId="3" borderId="123" xfId="0" applyNumberFormat="1" applyFont="1" applyFill="1" applyBorder="1" applyProtection="1">
      <protection hidden="1"/>
    </xf>
    <xf numFmtId="2" fontId="5" fillId="3" borderId="124" xfId="0" applyNumberFormat="1" applyFont="1" applyFill="1" applyBorder="1" applyProtection="1">
      <protection hidden="1"/>
    </xf>
    <xf numFmtId="4" fontId="5" fillId="3" borderId="22" xfId="0" applyNumberFormat="1" applyFont="1" applyFill="1" applyBorder="1" applyProtection="1">
      <protection hidden="1"/>
    </xf>
    <xf numFmtId="4" fontId="0" fillId="3" borderId="23" xfId="0" applyNumberFormat="1" applyFill="1" applyBorder="1" applyProtection="1">
      <protection hidden="1"/>
    </xf>
    <xf numFmtId="175" fontId="2" fillId="3" borderId="104" xfId="0" applyNumberFormat="1" applyFont="1" applyFill="1" applyBorder="1" applyProtection="1">
      <protection hidden="1"/>
    </xf>
    <xf numFmtId="175" fontId="2" fillId="3" borderId="133" xfId="0" applyNumberFormat="1" applyFont="1" applyFill="1" applyBorder="1" applyProtection="1">
      <protection hidden="1"/>
    </xf>
    <xf numFmtId="175" fontId="2" fillId="3" borderId="21" xfId="0" applyNumberFormat="1" applyFont="1" applyFill="1" applyBorder="1" applyProtection="1">
      <protection hidden="1"/>
    </xf>
    <xf numFmtId="170" fontId="70" fillId="0" borderId="0" xfId="0" applyNumberFormat="1" applyFont="1" applyProtection="1">
      <protection hidden="1"/>
    </xf>
    <xf numFmtId="2" fontId="0" fillId="0" borderId="0" xfId="0" applyNumberFormat="1" applyProtection="1">
      <protection hidden="1"/>
    </xf>
    <xf numFmtId="0" fontId="11" fillId="0" borderId="49" xfId="0" applyFont="1" applyBorder="1" applyProtection="1">
      <protection hidden="1"/>
    </xf>
    <xf numFmtId="0" fontId="11" fillId="0" borderId="132" xfId="0" applyFont="1" applyBorder="1" applyProtection="1">
      <protection hidden="1"/>
    </xf>
    <xf numFmtId="176" fontId="11" fillId="0" borderId="49" xfId="0" applyNumberFormat="1" applyFont="1" applyBorder="1" applyProtection="1">
      <protection hidden="1"/>
    </xf>
    <xf numFmtId="176" fontId="11" fillId="0" borderId="132" xfId="0" applyNumberFormat="1" applyFont="1" applyBorder="1" applyProtection="1">
      <protection hidden="1"/>
    </xf>
    <xf numFmtId="39" fontId="0" fillId="0" borderId="0" xfId="0" applyNumberFormat="1" applyProtection="1">
      <protection hidden="1"/>
    </xf>
    <xf numFmtId="0" fontId="1" fillId="0" borderId="107" xfId="0" applyFont="1" applyBorder="1" applyProtection="1">
      <protection hidden="1"/>
    </xf>
    <xf numFmtId="0" fontId="5" fillId="3" borderId="109" xfId="0" applyFont="1" applyFill="1" applyBorder="1" applyProtection="1">
      <protection hidden="1"/>
    </xf>
    <xf numFmtId="0" fontId="5" fillId="3" borderId="31" xfId="0" applyFont="1" applyFill="1" applyBorder="1" applyProtection="1">
      <protection hidden="1"/>
    </xf>
    <xf numFmtId="170" fontId="5" fillId="3" borderId="31" xfId="0" applyNumberFormat="1" applyFont="1" applyFill="1" applyBorder="1" applyProtection="1">
      <protection hidden="1"/>
    </xf>
    <xf numFmtId="170" fontId="5" fillId="3" borderId="121" xfId="0" applyNumberFormat="1" applyFont="1" applyFill="1" applyBorder="1" applyProtection="1">
      <protection hidden="1"/>
    </xf>
    <xf numFmtId="2" fontId="5" fillId="0" borderId="0" xfId="0" applyNumberFormat="1" applyFont="1" applyFill="1" applyBorder="1" applyProtection="1">
      <protection hidden="1"/>
    </xf>
    <xf numFmtId="176" fontId="2" fillId="3" borderId="123" xfId="0" applyNumberFormat="1" applyFont="1" applyFill="1" applyBorder="1" applyProtection="1">
      <protection hidden="1"/>
    </xf>
    <xf numFmtId="176" fontId="2" fillId="3" borderId="124" xfId="0" applyNumberFormat="1" applyFont="1" applyFill="1" applyBorder="1" applyProtection="1">
      <protection hidden="1"/>
    </xf>
    <xf numFmtId="176" fontId="2" fillId="3" borderId="21" xfId="0" applyNumberFormat="1" applyFont="1" applyFill="1" applyBorder="1" applyProtection="1">
      <protection hidden="1"/>
    </xf>
    <xf numFmtId="176" fontId="0" fillId="0" borderId="0" xfId="0" applyNumberFormat="1" applyProtection="1">
      <protection hidden="1"/>
    </xf>
    <xf numFmtId="0" fontId="11" fillId="0" borderId="31" xfId="0" applyFont="1" applyBorder="1" applyProtection="1">
      <protection hidden="1"/>
    </xf>
    <xf numFmtId="2" fontId="11" fillId="0" borderId="31" xfId="0" applyNumberFormat="1" applyFont="1" applyBorder="1" applyProtection="1">
      <protection hidden="1"/>
    </xf>
    <xf numFmtId="2" fontId="11" fillId="0" borderId="121" xfId="0" applyNumberFormat="1" applyFont="1" applyBorder="1" applyProtection="1">
      <protection hidden="1"/>
    </xf>
    <xf numFmtId="0" fontId="2" fillId="14" borderId="109" xfId="0" applyFont="1" applyFill="1" applyBorder="1" applyProtection="1">
      <protection hidden="1"/>
    </xf>
    <xf numFmtId="0" fontId="2" fillId="14" borderId="31" xfId="0" applyFont="1" applyFill="1" applyBorder="1" applyProtection="1">
      <protection hidden="1"/>
    </xf>
    <xf numFmtId="179" fontId="2" fillId="14" borderId="31" xfId="0" applyNumberFormat="1" applyFont="1" applyFill="1" applyBorder="1" applyProtection="1">
      <protection hidden="1"/>
    </xf>
    <xf numFmtId="179" fontId="2" fillId="14" borderId="121" xfId="0" applyNumberFormat="1" applyFont="1" applyFill="1" applyBorder="1" applyProtection="1">
      <protection hidden="1"/>
    </xf>
    <xf numFmtId="4" fontId="11" fillId="0" borderId="31" xfId="0" applyNumberFormat="1" applyFont="1" applyBorder="1" applyProtection="1">
      <protection hidden="1"/>
    </xf>
    <xf numFmtId="4" fontId="11" fillId="0" borderId="121" xfId="0" applyNumberFormat="1" applyFont="1" applyBorder="1" applyProtection="1">
      <protection hidden="1"/>
    </xf>
    <xf numFmtId="0" fontId="2" fillId="14" borderId="122" xfId="0" applyFont="1" applyFill="1" applyBorder="1" applyProtection="1">
      <protection hidden="1"/>
    </xf>
    <xf numFmtId="0" fontId="2" fillId="14" borderId="123" xfId="0" applyFont="1" applyFill="1" applyBorder="1" applyProtection="1">
      <protection hidden="1"/>
    </xf>
    <xf numFmtId="179" fontId="2" fillId="14" borderId="123" xfId="0" applyNumberFormat="1" applyFont="1" applyFill="1" applyBorder="1" applyProtection="1">
      <protection hidden="1"/>
    </xf>
    <xf numFmtId="179" fontId="2" fillId="14" borderId="124" xfId="0" applyNumberFormat="1" applyFont="1" applyFill="1" applyBorder="1" applyProtection="1">
      <protection hidden="1"/>
    </xf>
    <xf numFmtId="176" fontId="0" fillId="0" borderId="0" xfId="0" applyNumberFormat="1" applyFill="1" applyBorder="1" applyProtection="1">
      <protection hidden="1"/>
    </xf>
    <xf numFmtId="0" fontId="5" fillId="0" borderId="0" xfId="0" applyFont="1" applyFill="1" applyBorder="1" applyAlignment="1" applyProtection="1">
      <alignment horizontal="center"/>
      <protection hidden="1"/>
    </xf>
    <xf numFmtId="0" fontId="5" fillId="0" borderId="0" xfId="0" applyFont="1" applyFill="1" applyBorder="1" applyAlignment="1" applyProtection="1">
      <alignment horizontal="center" vertical="center"/>
      <protection hidden="1"/>
    </xf>
    <xf numFmtId="177" fontId="0" fillId="0" borderId="0" xfId="0" applyNumberFormat="1" applyBorder="1" applyProtection="1">
      <protection hidden="1"/>
    </xf>
    <xf numFmtId="0" fontId="0" fillId="0" borderId="0" xfId="0" applyFill="1" applyBorder="1" applyAlignment="1" applyProtection="1">
      <alignment horizontal="center"/>
      <protection hidden="1"/>
    </xf>
    <xf numFmtId="10" fontId="0" fillId="0" borderId="0" xfId="7" applyNumberFormat="1" applyFont="1" applyFill="1" applyBorder="1" applyProtection="1">
      <protection hidden="1"/>
    </xf>
    <xf numFmtId="178" fontId="0" fillId="0" borderId="0" xfId="0" applyNumberFormat="1" applyBorder="1" applyProtection="1">
      <protection hidden="1"/>
    </xf>
    <xf numFmtId="0" fontId="5" fillId="0" borderId="0" xfId="0" applyFont="1" applyFill="1" applyBorder="1" applyProtection="1">
      <protection hidden="1"/>
    </xf>
    <xf numFmtId="170" fontId="5" fillId="0" borderId="0" xfId="0" applyNumberFormat="1" applyFont="1" applyBorder="1" applyProtection="1">
      <protection hidden="1"/>
    </xf>
    <xf numFmtId="170" fontId="5" fillId="0" borderId="0" xfId="0" applyNumberFormat="1" applyFont="1" applyFill="1" applyBorder="1" applyProtection="1">
      <protection hidden="1"/>
    </xf>
    <xf numFmtId="170" fontId="0" fillId="0" borderId="0" xfId="0" applyNumberFormat="1" applyBorder="1" applyProtection="1">
      <protection hidden="1"/>
    </xf>
    <xf numFmtId="176" fontId="0" fillId="0" borderId="0" xfId="0" applyNumberFormat="1" applyBorder="1" applyProtection="1">
      <protection hidden="1"/>
    </xf>
    <xf numFmtId="0" fontId="2" fillId="14" borderId="118" xfId="0" applyFont="1" applyFill="1" applyBorder="1" applyProtection="1">
      <protection hidden="1"/>
    </xf>
    <xf numFmtId="0" fontId="5" fillId="14" borderId="119" xfId="0" applyFont="1" applyFill="1" applyBorder="1" applyAlignment="1" applyProtection="1">
      <alignment horizontal="center"/>
      <protection hidden="1"/>
    </xf>
    <xf numFmtId="0" fontId="5" fillId="14" borderId="134" xfId="0" applyFont="1" applyFill="1" applyBorder="1" applyAlignment="1" applyProtection="1">
      <alignment horizontal="center"/>
      <protection hidden="1"/>
    </xf>
    <xf numFmtId="0" fontId="5" fillId="14" borderId="120" xfId="0" applyFont="1" applyFill="1" applyBorder="1" applyAlignment="1" applyProtection="1">
      <alignment horizontal="center"/>
      <protection hidden="1"/>
    </xf>
    <xf numFmtId="179" fontId="1" fillId="0" borderId="135" xfId="0" applyNumberFormat="1" applyFont="1" applyFill="1" applyBorder="1" applyProtection="1">
      <protection hidden="1"/>
    </xf>
    <xf numFmtId="179" fontId="1" fillId="0" borderId="136" xfId="0" applyNumberFormat="1" applyFont="1" applyFill="1" applyBorder="1" applyProtection="1">
      <protection hidden="1"/>
    </xf>
    <xf numFmtId="10" fontId="11" fillId="0" borderId="0" xfId="7" applyNumberFormat="1" applyFont="1" applyProtection="1">
      <protection hidden="1"/>
    </xf>
    <xf numFmtId="179" fontId="0" fillId="0" borderId="0" xfId="0" applyNumberFormat="1" applyFill="1" applyBorder="1" applyProtection="1">
      <protection hidden="1"/>
    </xf>
    <xf numFmtId="0" fontId="11" fillId="0" borderId="141" xfId="0" applyFont="1" applyBorder="1" applyProtection="1">
      <protection hidden="1"/>
    </xf>
    <xf numFmtId="4" fontId="11" fillId="0" borderId="135" xfId="0" applyNumberFormat="1" applyFont="1" applyBorder="1" applyProtection="1">
      <protection hidden="1"/>
    </xf>
    <xf numFmtId="179" fontId="1" fillId="0" borderId="137" xfId="0" applyNumberFormat="1" applyFont="1" applyFill="1" applyBorder="1" applyProtection="1">
      <protection hidden="1"/>
    </xf>
    <xf numFmtId="179" fontId="72" fillId="0" borderId="0" xfId="0" applyNumberFormat="1" applyFont="1" applyFill="1" applyBorder="1" applyProtection="1">
      <protection hidden="1"/>
    </xf>
    <xf numFmtId="4" fontId="72" fillId="0" borderId="0" xfId="0" applyNumberFormat="1" applyFont="1" applyFill="1" applyBorder="1" applyAlignment="1" applyProtection="1">
      <alignment horizontal="right"/>
      <protection hidden="1"/>
    </xf>
    <xf numFmtId="0" fontId="11" fillId="0" borderId="111" xfId="0" applyFont="1" applyBorder="1" applyProtection="1">
      <protection hidden="1"/>
    </xf>
    <xf numFmtId="4" fontId="11" fillId="0" borderId="112" xfId="0" applyNumberFormat="1" applyFont="1" applyBorder="1" applyProtection="1">
      <protection hidden="1"/>
    </xf>
    <xf numFmtId="179" fontId="1" fillId="0" borderId="138" xfId="0" applyNumberFormat="1" applyFont="1" applyFill="1" applyBorder="1" applyProtection="1">
      <protection hidden="1"/>
    </xf>
    <xf numFmtId="179" fontId="1" fillId="0" borderId="139" xfId="0" applyNumberFormat="1" applyFont="1" applyFill="1" applyBorder="1" applyProtection="1">
      <protection hidden="1"/>
    </xf>
    <xf numFmtId="4" fontId="11" fillId="0" borderId="0" xfId="0" applyNumberFormat="1" applyFont="1" applyBorder="1" applyProtection="1">
      <protection hidden="1"/>
    </xf>
    <xf numFmtId="179" fontId="0" fillId="0" borderId="0" xfId="0" applyNumberFormat="1" applyProtection="1">
      <protection hidden="1"/>
    </xf>
    <xf numFmtId="0" fontId="73" fillId="0" borderId="0" xfId="0" applyFont="1" applyProtection="1">
      <protection hidden="1"/>
    </xf>
    <xf numFmtId="0" fontId="5" fillId="0" borderId="0" xfId="0" applyFont="1" applyFill="1" applyProtection="1">
      <protection hidden="1"/>
    </xf>
    <xf numFmtId="0" fontId="11" fillId="14" borderId="118" xfId="0" applyFont="1" applyFill="1" applyBorder="1" applyProtection="1">
      <protection hidden="1"/>
    </xf>
    <xf numFmtId="0" fontId="74" fillId="0" borderId="107" xfId="0" applyFont="1" applyBorder="1" applyProtection="1">
      <protection hidden="1"/>
    </xf>
    <xf numFmtId="0" fontId="5" fillId="0" borderId="49" xfId="0" applyFont="1" applyBorder="1" applyAlignment="1" applyProtection="1">
      <alignment horizontal="center"/>
      <protection hidden="1"/>
    </xf>
    <xf numFmtId="2" fontId="1" fillId="0" borderId="49" xfId="0" applyNumberFormat="1" applyFont="1" applyBorder="1" applyAlignment="1" applyProtection="1">
      <alignment horizontal="right"/>
      <protection hidden="1"/>
    </xf>
    <xf numFmtId="2" fontId="1" fillId="0" borderId="132" xfId="0" applyNumberFormat="1" applyFont="1" applyBorder="1" applyAlignment="1" applyProtection="1">
      <alignment horizontal="right"/>
      <protection hidden="1"/>
    </xf>
    <xf numFmtId="2" fontId="11" fillId="0" borderId="0" xfId="0" applyNumberFormat="1" applyFont="1" applyProtection="1">
      <protection hidden="1"/>
    </xf>
    <xf numFmtId="2" fontId="1" fillId="0" borderId="140" xfId="0" applyNumberFormat="1" applyFont="1" applyBorder="1" applyAlignment="1" applyProtection="1">
      <alignment horizontal="right"/>
      <protection hidden="1"/>
    </xf>
    <xf numFmtId="0" fontId="2" fillId="0" borderId="105" xfId="0" applyFont="1" applyBorder="1" applyProtection="1">
      <protection hidden="1"/>
    </xf>
    <xf numFmtId="0" fontId="5" fillId="0" borderId="104" xfId="0" applyFont="1" applyBorder="1" applyAlignment="1" applyProtection="1">
      <alignment horizontal="center"/>
      <protection hidden="1"/>
    </xf>
    <xf numFmtId="2" fontId="5" fillId="0" borderId="104" xfId="0" applyNumberFormat="1" applyFont="1" applyBorder="1" applyAlignment="1" applyProtection="1">
      <alignment horizontal="right"/>
      <protection hidden="1"/>
    </xf>
    <xf numFmtId="2" fontId="5" fillId="0" borderId="133" xfId="0" applyNumberFormat="1" applyFont="1" applyBorder="1" applyAlignment="1" applyProtection="1">
      <alignment horizontal="right"/>
      <protection hidden="1"/>
    </xf>
    <xf numFmtId="2" fontId="1" fillId="0" borderId="127" xfId="0" applyNumberFormat="1" applyFont="1" applyBorder="1" applyAlignment="1" applyProtection="1">
      <alignment horizontal="right"/>
      <protection hidden="1"/>
    </xf>
    <xf numFmtId="2" fontId="5" fillId="0" borderId="140" xfId="0" applyNumberFormat="1" applyFont="1" applyBorder="1" applyAlignment="1" applyProtection="1">
      <alignment horizontal="right"/>
      <protection hidden="1"/>
    </xf>
    <xf numFmtId="0" fontId="11" fillId="24" borderId="118" xfId="0" applyFont="1" applyFill="1" applyBorder="1" applyProtection="1">
      <protection hidden="1"/>
    </xf>
    <xf numFmtId="0" fontId="5" fillId="24" borderId="119" xfId="0" applyFont="1" applyFill="1" applyBorder="1" applyAlignment="1" applyProtection="1">
      <alignment horizontal="center"/>
      <protection hidden="1"/>
    </xf>
    <xf numFmtId="0" fontId="5" fillId="24" borderId="120" xfId="0" applyFont="1" applyFill="1" applyBorder="1" applyAlignment="1" applyProtection="1">
      <alignment horizontal="center"/>
      <protection hidden="1"/>
    </xf>
    <xf numFmtId="4" fontId="11" fillId="0" borderId="0" xfId="0" applyNumberFormat="1" applyFont="1" applyProtection="1">
      <protection hidden="1"/>
    </xf>
    <xf numFmtId="0" fontId="5" fillId="0" borderId="0" xfId="0" applyFont="1" applyAlignment="1" applyProtection="1">
      <protection hidden="1"/>
    </xf>
    <xf numFmtId="0" fontId="11" fillId="14" borderId="109" xfId="0" applyFont="1" applyFill="1" applyBorder="1" applyProtection="1">
      <protection hidden="1"/>
    </xf>
    <xf numFmtId="0" fontId="11" fillId="14" borderId="31" xfId="0" applyFont="1" applyFill="1" applyBorder="1" applyProtection="1">
      <protection hidden="1"/>
    </xf>
    <xf numFmtId="179" fontId="11" fillId="14" borderId="31" xfId="0" applyNumberFormat="1" applyFont="1" applyFill="1" applyBorder="1" applyProtection="1">
      <protection hidden="1"/>
    </xf>
    <xf numFmtId="179" fontId="11" fillId="14" borderId="121" xfId="0" applyNumberFormat="1" applyFont="1" applyFill="1" applyBorder="1" applyProtection="1">
      <protection hidden="1"/>
    </xf>
    <xf numFmtId="0" fontId="11" fillId="14" borderId="122" xfId="0" applyFont="1" applyFill="1" applyBorder="1" applyProtection="1">
      <protection hidden="1"/>
    </xf>
    <xf numFmtId="0" fontId="11" fillId="14" borderId="123" xfId="0" applyFont="1" applyFill="1" applyBorder="1" applyProtection="1">
      <protection hidden="1"/>
    </xf>
    <xf numFmtId="179" fontId="11" fillId="14" borderId="123" xfId="0" applyNumberFormat="1" applyFont="1" applyFill="1" applyBorder="1" applyProtection="1">
      <protection hidden="1"/>
    </xf>
    <xf numFmtId="179" fontId="11" fillId="14" borderId="124" xfId="0" applyNumberFormat="1" applyFont="1" applyFill="1" applyBorder="1" applyProtection="1">
      <protection hidden="1"/>
    </xf>
    <xf numFmtId="179" fontId="1" fillId="0" borderId="142" xfId="0" applyNumberFormat="1" applyFont="1" applyFill="1" applyBorder="1" applyProtection="1">
      <protection hidden="1"/>
    </xf>
    <xf numFmtId="170" fontId="0" fillId="0" borderId="0" xfId="0" applyNumberFormat="1" applyProtection="1">
      <protection hidden="1"/>
    </xf>
    <xf numFmtId="173" fontId="51" fillId="22" borderId="103" xfId="0" applyNumberFormat="1" applyFont="1" applyFill="1" applyBorder="1" applyAlignment="1" applyProtection="1">
      <alignment horizontal="center"/>
      <protection hidden="1"/>
    </xf>
    <xf numFmtId="173" fontId="51" fillId="22" borderId="104" xfId="0" applyNumberFormat="1" applyFont="1" applyFill="1" applyBorder="1" applyAlignment="1" applyProtection="1">
      <alignment horizontal="center"/>
      <protection hidden="1"/>
    </xf>
    <xf numFmtId="0" fontId="5" fillId="0" borderId="105" xfId="0" applyFont="1" applyBorder="1" applyProtection="1">
      <protection hidden="1"/>
    </xf>
    <xf numFmtId="0" fontId="0" fillId="0" borderId="104" xfId="0" applyBorder="1" applyProtection="1">
      <protection hidden="1"/>
    </xf>
    <xf numFmtId="0" fontId="0" fillId="0" borderId="106" xfId="0" applyBorder="1" applyProtection="1">
      <protection hidden="1"/>
    </xf>
    <xf numFmtId="0" fontId="0" fillId="0" borderId="21" xfId="0" applyBorder="1" applyProtection="1">
      <protection hidden="1"/>
    </xf>
    <xf numFmtId="39" fontId="1" fillId="0" borderId="107" xfId="0" applyNumberFormat="1" applyFont="1" applyBorder="1" applyAlignment="1" applyProtection="1">
      <alignment horizontal="left" indent="2"/>
      <protection hidden="1"/>
    </xf>
    <xf numFmtId="39" fontId="11" fillId="0" borderId="49" xfId="0" applyNumberFormat="1" applyFont="1" applyBorder="1" applyProtection="1">
      <protection hidden="1"/>
    </xf>
    <xf numFmtId="39" fontId="11" fillId="0" borderId="108" xfId="0" applyNumberFormat="1" applyFont="1" applyBorder="1" applyProtection="1">
      <protection hidden="1"/>
    </xf>
    <xf numFmtId="39" fontId="5" fillId="0" borderId="105" xfId="0" applyNumberFormat="1" applyFont="1" applyBorder="1" applyProtection="1">
      <protection hidden="1"/>
    </xf>
    <xf numFmtId="39" fontId="0" fillId="0" borderId="104" xfId="0" applyNumberFormat="1" applyBorder="1" applyProtection="1">
      <protection hidden="1"/>
    </xf>
    <xf numFmtId="39" fontId="0" fillId="0" borderId="21" xfId="0" applyNumberFormat="1" applyBorder="1" applyProtection="1">
      <protection hidden="1"/>
    </xf>
    <xf numFmtId="39" fontId="11" fillId="0" borderId="107" xfId="0" applyNumberFormat="1" applyFont="1" applyBorder="1" applyAlignment="1" applyProtection="1">
      <alignment horizontal="left" indent="2"/>
      <protection hidden="1"/>
    </xf>
    <xf numFmtId="39" fontId="11" fillId="0" borderId="104" xfId="0" applyNumberFormat="1" applyFont="1" applyBorder="1" applyProtection="1">
      <protection hidden="1"/>
    </xf>
    <xf numFmtId="39" fontId="11" fillId="0" borderId="21" xfId="0" applyNumberFormat="1" applyFont="1" applyBorder="1" applyProtection="1">
      <protection hidden="1"/>
    </xf>
    <xf numFmtId="174" fontId="0" fillId="0" borderId="0" xfId="0" applyNumberFormat="1" applyProtection="1">
      <protection hidden="1"/>
    </xf>
    <xf numFmtId="39" fontId="11" fillId="0" borderId="106" xfId="0" applyNumberFormat="1" applyFont="1" applyBorder="1" applyProtection="1">
      <protection hidden="1"/>
    </xf>
    <xf numFmtId="39" fontId="0" fillId="0" borderId="107" xfId="0" applyNumberFormat="1" applyBorder="1" applyProtection="1">
      <protection hidden="1"/>
    </xf>
    <xf numFmtId="39" fontId="0" fillId="0" borderId="49" xfId="0" applyNumberFormat="1" applyBorder="1" applyProtection="1">
      <protection hidden="1"/>
    </xf>
    <xf numFmtId="39" fontId="0" fillId="0" borderId="108" xfId="0" applyNumberFormat="1" applyBorder="1" applyProtection="1">
      <protection hidden="1"/>
    </xf>
    <xf numFmtId="39" fontId="5" fillId="0" borderId="109" xfId="0" applyNumberFormat="1" applyFont="1" applyBorder="1" applyProtection="1">
      <protection hidden="1"/>
    </xf>
    <xf numFmtId="39" fontId="11" fillId="0" borderId="31" xfId="0" applyNumberFormat="1" applyFont="1" applyBorder="1" applyProtection="1">
      <protection hidden="1"/>
    </xf>
    <xf numFmtId="39" fontId="11" fillId="0" borderId="110" xfId="0" applyNumberFormat="1" applyFont="1" applyBorder="1" applyProtection="1">
      <protection hidden="1"/>
    </xf>
    <xf numFmtId="39" fontId="5" fillId="3" borderId="105" xfId="0" applyNumberFormat="1" applyFont="1" applyFill="1" applyBorder="1" applyProtection="1">
      <protection hidden="1"/>
    </xf>
    <xf numFmtId="39" fontId="5" fillId="3" borderId="104" xfId="0" applyNumberFormat="1" applyFont="1" applyFill="1" applyBorder="1" applyProtection="1">
      <protection hidden="1"/>
    </xf>
    <xf numFmtId="39" fontId="5" fillId="3" borderId="21" xfId="0" applyNumberFormat="1" applyFont="1" applyFill="1" applyBorder="1" applyProtection="1">
      <protection hidden="1"/>
    </xf>
    <xf numFmtId="39" fontId="0" fillId="0" borderId="111" xfId="0" applyNumberFormat="1" applyBorder="1" applyProtection="1">
      <protection hidden="1"/>
    </xf>
    <xf numFmtId="39" fontId="0" fillId="0" borderId="112" xfId="0" applyNumberFormat="1" applyBorder="1" applyProtection="1">
      <protection hidden="1"/>
    </xf>
    <xf numFmtId="39" fontId="0" fillId="0" borderId="113" xfId="0" applyNumberFormat="1" applyBorder="1" applyProtection="1">
      <protection hidden="1"/>
    </xf>
    <xf numFmtId="39" fontId="0" fillId="0" borderId="102" xfId="0" applyNumberFormat="1" applyBorder="1" applyProtection="1">
      <protection hidden="1"/>
    </xf>
    <xf numFmtId="39" fontId="0" fillId="0" borderId="0" xfId="0" applyNumberFormat="1" applyFill="1" applyBorder="1" applyAlignment="1" applyProtection="1">
      <alignment horizontal="center" vertical="center"/>
      <protection hidden="1"/>
    </xf>
    <xf numFmtId="39" fontId="5" fillId="0" borderId="0" xfId="0" applyNumberFormat="1" applyFont="1" applyFill="1" applyBorder="1" applyAlignment="1" applyProtection="1">
      <alignment horizontal="center"/>
      <protection hidden="1"/>
    </xf>
    <xf numFmtId="39" fontId="0" fillId="0" borderId="0" xfId="0" applyNumberFormat="1" applyFill="1" applyBorder="1" applyAlignment="1" applyProtection="1">
      <alignment horizontal="center" vertical="center" wrapText="1"/>
      <protection hidden="1"/>
    </xf>
    <xf numFmtId="39" fontId="0" fillId="0" borderId="114" xfId="0" applyNumberFormat="1" applyBorder="1" applyProtection="1">
      <protection hidden="1"/>
    </xf>
    <xf numFmtId="39" fontId="0" fillId="0" borderId="115" xfId="0" applyNumberFormat="1" applyBorder="1" applyProtection="1">
      <protection hidden="1"/>
    </xf>
    <xf numFmtId="39" fontId="0" fillId="0" borderId="116" xfId="0" applyNumberFormat="1" applyBorder="1" applyProtection="1">
      <protection hidden="1"/>
    </xf>
    <xf numFmtId="39" fontId="0" fillId="0" borderId="101" xfId="0" applyNumberFormat="1" applyBorder="1" applyProtection="1">
      <protection hidden="1"/>
    </xf>
    <xf numFmtId="39" fontId="11" fillId="0" borderId="107" xfId="0" applyNumberFormat="1" applyFont="1" applyBorder="1" applyProtection="1">
      <protection hidden="1"/>
    </xf>
    <xf numFmtId="39" fontId="11" fillId="0" borderId="107" xfId="0" applyNumberFormat="1" applyFont="1" applyFill="1" applyBorder="1" applyProtection="1">
      <protection hidden="1"/>
    </xf>
    <xf numFmtId="39" fontId="11" fillId="0" borderId="49" xfId="0" applyNumberFormat="1" applyFont="1" applyFill="1" applyBorder="1" applyProtection="1">
      <protection hidden="1"/>
    </xf>
    <xf numFmtId="39" fontId="11" fillId="0" borderId="108" xfId="0" applyNumberFormat="1" applyFont="1" applyFill="1" applyBorder="1" applyProtection="1">
      <protection hidden="1"/>
    </xf>
    <xf numFmtId="0" fontId="51" fillId="22" borderId="10" xfId="0" applyFont="1" applyFill="1" applyBorder="1" applyAlignment="1" applyProtection="1">
      <alignment horizontal="center" vertical="center"/>
      <protection hidden="1"/>
    </xf>
    <xf numFmtId="0" fontId="5" fillId="0" borderId="114" xfId="0" applyFont="1" applyBorder="1" applyProtection="1">
      <protection hidden="1"/>
    </xf>
    <xf numFmtId="0" fontId="5" fillId="0" borderId="117" xfId="0" applyFont="1" applyBorder="1" applyProtection="1">
      <protection hidden="1"/>
    </xf>
    <xf numFmtId="0" fontId="0" fillId="0" borderId="115" xfId="0" applyBorder="1" applyProtection="1">
      <protection hidden="1"/>
    </xf>
    <xf numFmtId="0" fontId="0" fillId="0" borderId="116" xfId="0" applyBorder="1" applyProtection="1">
      <protection hidden="1"/>
    </xf>
    <xf numFmtId="0" fontId="0" fillId="0" borderId="101" xfId="0" applyBorder="1" applyProtection="1">
      <protection hidden="1"/>
    </xf>
    <xf numFmtId="0" fontId="11" fillId="0" borderId="60" xfId="0" applyFont="1" applyBorder="1" applyProtection="1">
      <protection hidden="1"/>
    </xf>
    <xf numFmtId="0" fontId="5" fillId="3" borderId="105" xfId="0" applyFont="1" applyFill="1" applyBorder="1" applyProtection="1">
      <protection hidden="1"/>
    </xf>
    <xf numFmtId="0" fontId="5" fillId="0" borderId="107" xfId="0" applyFont="1" applyBorder="1" applyProtection="1">
      <protection hidden="1"/>
    </xf>
    <xf numFmtId="0" fontId="5" fillId="0" borderId="60" xfId="0" applyFont="1" applyBorder="1" applyProtection="1">
      <protection hidden="1"/>
    </xf>
    <xf numFmtId="39" fontId="1" fillId="0" borderId="49" xfId="0" applyNumberFormat="1" applyFont="1" applyBorder="1" applyProtection="1">
      <protection hidden="1"/>
    </xf>
    <xf numFmtId="39" fontId="11" fillId="0" borderId="49" xfId="0" applyNumberFormat="1" applyFont="1" applyBorder="1" applyProtection="1">
      <protection locked="0"/>
    </xf>
    <xf numFmtId="0" fontId="11" fillId="15" borderId="176" xfId="0" applyFont="1" applyFill="1" applyBorder="1" applyAlignment="1" applyProtection="1">
      <alignment vertical="center"/>
      <protection locked="0"/>
    </xf>
    <xf numFmtId="0" fontId="1" fillId="0" borderId="0" xfId="1" applyFont="1" applyProtection="1">
      <protection hidden="1"/>
    </xf>
    <xf numFmtId="0" fontId="5" fillId="10" borderId="3" xfId="1" applyFont="1" applyFill="1" applyBorder="1" applyAlignment="1" applyProtection="1">
      <alignment vertical="center" wrapText="1"/>
      <protection hidden="1"/>
    </xf>
    <xf numFmtId="0" fontId="5" fillId="10" borderId="4" xfId="1" applyFont="1" applyFill="1" applyBorder="1" applyAlignment="1" applyProtection="1">
      <alignment vertical="center" wrapText="1"/>
      <protection hidden="1"/>
    </xf>
    <xf numFmtId="0" fontId="5" fillId="10" borderId="3" xfId="1" applyFont="1" applyFill="1" applyBorder="1" applyAlignment="1" applyProtection="1">
      <alignment horizontal="right" vertical="center"/>
      <protection hidden="1"/>
    </xf>
    <xf numFmtId="0" fontId="40" fillId="0" borderId="0" xfId="1" applyFont="1" applyAlignment="1" applyProtection="1">
      <alignment vertical="center"/>
      <protection hidden="1"/>
    </xf>
    <xf numFmtId="0" fontId="2" fillId="3" borderId="35" xfId="0" applyFont="1" applyFill="1" applyBorder="1" applyAlignment="1" applyProtection="1">
      <alignment vertical="center"/>
      <protection hidden="1"/>
    </xf>
    <xf numFmtId="0" fontId="11" fillId="3" borderId="36" xfId="0" applyFont="1" applyFill="1" applyBorder="1" applyProtection="1">
      <protection hidden="1"/>
    </xf>
    <xf numFmtId="0" fontId="11" fillId="3" borderId="37" xfId="0" applyFont="1" applyFill="1" applyBorder="1" applyProtection="1">
      <protection hidden="1"/>
    </xf>
    <xf numFmtId="0" fontId="1" fillId="0" borderId="0" xfId="1" applyFont="1" applyProtection="1">
      <protection hidden="1"/>
    </xf>
    <xf numFmtId="0" fontId="11" fillId="15" borderId="165" xfId="0" applyFont="1" applyFill="1" applyBorder="1" applyAlignment="1" applyProtection="1">
      <alignment vertical="center"/>
      <protection locked="0"/>
    </xf>
    <xf numFmtId="0" fontId="11" fillId="0" borderId="31" xfId="0" applyFont="1" applyFill="1" applyBorder="1" applyProtection="1">
      <protection locked="0"/>
    </xf>
    <xf numFmtId="0" fontId="11" fillId="0" borderId="121" xfId="0" applyFont="1" applyFill="1" applyBorder="1" applyProtection="1">
      <protection locked="0"/>
    </xf>
    <xf numFmtId="0" fontId="11" fillId="0" borderId="123" xfId="0" applyFont="1" applyFill="1" applyBorder="1" applyProtection="1">
      <protection locked="0"/>
    </xf>
    <xf numFmtId="0" fontId="11" fillId="0" borderId="124" xfId="0" applyFont="1" applyFill="1" applyBorder="1" applyProtection="1">
      <protection locked="0"/>
    </xf>
    <xf numFmtId="0" fontId="11" fillId="9" borderId="31" xfId="0" applyFont="1" applyFill="1" applyBorder="1" applyProtection="1">
      <protection locked="0"/>
    </xf>
    <xf numFmtId="0" fontId="0" fillId="0" borderId="0" xfId="0"/>
    <xf numFmtId="0" fontId="51" fillId="23" borderId="120" xfId="0" applyFont="1" applyFill="1" applyBorder="1" applyAlignment="1" applyProtection="1">
      <alignment horizontal="center" vertical="center" wrapText="1"/>
      <protection locked="0"/>
    </xf>
    <xf numFmtId="0" fontId="51" fillId="23" borderId="119" xfId="0" applyFont="1" applyFill="1" applyBorder="1" applyAlignment="1" applyProtection="1">
      <alignment horizontal="center" vertical="center" wrapText="1"/>
      <protection locked="0"/>
    </xf>
    <xf numFmtId="0" fontId="0" fillId="0" borderId="0" xfId="0" applyFill="1" applyBorder="1"/>
    <xf numFmtId="0" fontId="5" fillId="8" borderId="2" xfId="1" applyFont="1" applyFill="1" applyBorder="1" applyAlignment="1" applyProtection="1">
      <alignment horizontal="center" vertical="center"/>
      <protection hidden="1"/>
    </xf>
    <xf numFmtId="0" fontId="5" fillId="8" borderId="3" xfId="1" applyFont="1" applyFill="1" applyBorder="1" applyAlignment="1" applyProtection="1">
      <alignment horizontal="center" vertical="center"/>
      <protection hidden="1"/>
    </xf>
    <xf numFmtId="0" fontId="5" fillId="8" borderId="4" xfId="1" applyFont="1" applyFill="1" applyBorder="1" applyAlignment="1" applyProtection="1">
      <alignment horizontal="center" vertical="center"/>
      <protection hidden="1"/>
    </xf>
    <xf numFmtId="0" fontId="1" fillId="3" borderId="0" xfId="1" applyFont="1" applyFill="1" applyBorder="1" applyAlignment="1" applyProtection="1">
      <alignment horizontal="center" vertical="center"/>
      <protection hidden="1"/>
    </xf>
    <xf numFmtId="0" fontId="5" fillId="8" borderId="2" xfId="1" applyFont="1" applyFill="1" applyBorder="1" applyAlignment="1" applyProtection="1">
      <alignment horizontal="center" vertical="center" wrapText="1"/>
      <protection hidden="1"/>
    </xf>
    <xf numFmtId="0" fontId="5" fillId="8" borderId="3" xfId="1" applyFont="1" applyFill="1" applyBorder="1" applyAlignment="1" applyProtection="1">
      <alignment horizontal="center" vertical="center" wrapText="1"/>
      <protection hidden="1"/>
    </xf>
    <xf numFmtId="0" fontId="5" fillId="8" borderId="4" xfId="1" applyFont="1" applyFill="1" applyBorder="1" applyAlignment="1" applyProtection="1">
      <alignment horizontal="center" vertical="center" wrapText="1"/>
      <protection hidden="1"/>
    </xf>
    <xf numFmtId="0" fontId="1" fillId="3" borderId="7" xfId="1" applyFont="1" applyFill="1" applyBorder="1" applyAlignment="1" applyProtection="1">
      <alignment horizontal="left" vertical="center" wrapText="1" indent="1"/>
      <protection hidden="1"/>
    </xf>
    <xf numFmtId="0" fontId="1" fillId="3" borderId="0" xfId="1" applyFont="1" applyFill="1" applyBorder="1" applyAlignment="1" applyProtection="1">
      <alignment horizontal="left" vertical="center" wrapText="1" indent="1"/>
      <protection hidden="1"/>
    </xf>
    <xf numFmtId="0" fontId="5" fillId="8" borderId="2" xfId="1" applyFont="1" applyFill="1" applyBorder="1" applyAlignment="1" applyProtection="1">
      <alignment horizontal="center" vertical="center"/>
      <protection locked="0"/>
    </xf>
    <xf numFmtId="0" fontId="5" fillId="8" borderId="3" xfId="1" applyFont="1" applyFill="1" applyBorder="1" applyAlignment="1" applyProtection="1">
      <alignment horizontal="center" vertical="center"/>
      <protection locked="0"/>
    </xf>
    <xf numFmtId="0" fontId="5" fillId="8" borderId="4" xfId="1" applyFont="1" applyFill="1" applyBorder="1" applyAlignment="1" applyProtection="1">
      <alignment horizontal="center" vertical="center"/>
      <protection locked="0"/>
    </xf>
    <xf numFmtId="0" fontId="7" fillId="3" borderId="0" xfId="1" applyFont="1" applyFill="1" applyBorder="1" applyAlignment="1" applyProtection="1">
      <alignment horizontal="left" vertical="center" indent="1"/>
      <protection hidden="1"/>
    </xf>
    <xf numFmtId="0" fontId="1" fillId="8" borderId="2" xfId="1" applyFont="1" applyFill="1" applyBorder="1" applyAlignment="1" applyProtection="1">
      <alignment horizontal="center" vertical="center"/>
      <protection locked="0"/>
    </xf>
    <xf numFmtId="0" fontId="1" fillId="8" borderId="3" xfId="1" applyFont="1" applyFill="1" applyBorder="1" applyAlignment="1" applyProtection="1">
      <alignment horizontal="center" vertical="center"/>
      <protection locked="0"/>
    </xf>
    <xf numFmtId="0" fontId="1" fillId="8" borderId="4" xfId="1" applyFont="1" applyFill="1" applyBorder="1" applyAlignment="1" applyProtection="1">
      <alignment horizontal="center" vertical="center"/>
      <protection locked="0"/>
    </xf>
    <xf numFmtId="0" fontId="1" fillId="3" borderId="0" xfId="1" applyFont="1" applyFill="1" applyBorder="1" applyAlignment="1" applyProtection="1">
      <alignment horizontal="left" vertical="center" indent="1"/>
      <protection hidden="1"/>
    </xf>
    <xf numFmtId="0" fontId="8" fillId="0" borderId="0" xfId="1" applyFont="1" applyFill="1" applyAlignment="1" applyProtection="1">
      <alignment horizontal="left" vertical="center" wrapText="1"/>
      <protection hidden="1"/>
    </xf>
    <xf numFmtId="0" fontId="1" fillId="3" borderId="0" xfId="1" applyFont="1" applyFill="1" applyBorder="1" applyAlignment="1" applyProtection="1">
      <alignment horizontal="center" vertical="center" wrapText="1"/>
      <protection hidden="1"/>
    </xf>
    <xf numFmtId="0" fontId="5" fillId="3" borderId="56" xfId="1" applyFont="1" applyFill="1" applyBorder="1" applyAlignment="1" applyProtection="1">
      <alignment horizontal="center" vertical="center" wrapText="1"/>
      <protection hidden="1"/>
    </xf>
    <xf numFmtId="0" fontId="5" fillId="3" borderId="19" xfId="1" applyFont="1" applyFill="1" applyBorder="1" applyAlignment="1" applyProtection="1">
      <alignment horizontal="center" vertical="center" wrapText="1"/>
      <protection hidden="1"/>
    </xf>
    <xf numFmtId="0" fontId="5" fillId="3" borderId="28" xfId="1" applyFont="1" applyFill="1" applyBorder="1" applyAlignment="1" applyProtection="1">
      <alignment horizontal="center" vertical="center" wrapText="1"/>
      <protection hidden="1"/>
    </xf>
    <xf numFmtId="0" fontId="5" fillId="3" borderId="54" xfId="1" applyFont="1" applyFill="1" applyBorder="1" applyAlignment="1" applyProtection="1">
      <alignment horizontal="center" vertical="center" wrapText="1"/>
      <protection hidden="1"/>
    </xf>
    <xf numFmtId="0" fontId="5" fillId="3" borderId="57" xfId="1" applyFont="1" applyFill="1" applyBorder="1" applyAlignment="1" applyProtection="1">
      <alignment horizontal="center" vertical="center" wrapText="1"/>
      <protection hidden="1"/>
    </xf>
    <xf numFmtId="0" fontId="5" fillId="3" borderId="55" xfId="1" applyFont="1" applyFill="1" applyBorder="1" applyAlignment="1" applyProtection="1">
      <alignment horizontal="center" vertical="center" wrapText="1"/>
      <protection hidden="1"/>
    </xf>
    <xf numFmtId="0" fontId="5" fillId="3" borderId="3" xfId="1" applyFont="1" applyFill="1" applyBorder="1" applyAlignment="1" applyProtection="1">
      <alignment horizontal="center" vertical="center" wrapText="1"/>
      <protection hidden="1"/>
    </xf>
    <xf numFmtId="0" fontId="5" fillId="3" borderId="4" xfId="1" applyFont="1" applyFill="1" applyBorder="1" applyAlignment="1" applyProtection="1">
      <alignment horizontal="center" vertical="center" wrapText="1"/>
      <protection hidden="1"/>
    </xf>
    <xf numFmtId="0" fontId="1" fillId="20" borderId="99" xfId="1" applyFont="1" applyFill="1" applyBorder="1" applyAlignment="1" applyProtection="1">
      <alignment horizontal="center" vertical="center" wrapText="1"/>
      <protection locked="0"/>
    </xf>
    <xf numFmtId="0" fontId="1" fillId="6" borderId="2" xfId="1" applyFont="1" applyFill="1" applyBorder="1" applyAlignment="1" applyProtection="1">
      <alignment horizontal="center" vertical="center" wrapText="1"/>
      <protection locked="0"/>
    </xf>
    <xf numFmtId="0" fontId="1" fillId="6" borderId="3" xfId="1" applyFont="1" applyFill="1" applyBorder="1" applyAlignment="1" applyProtection="1">
      <alignment horizontal="center" vertical="center" wrapText="1"/>
      <protection locked="0"/>
    </xf>
    <xf numFmtId="0" fontId="1" fillId="6" borderId="4" xfId="1" applyFont="1" applyFill="1" applyBorder="1" applyAlignment="1" applyProtection="1">
      <alignment horizontal="center" vertical="center" wrapText="1"/>
      <protection locked="0"/>
    </xf>
    <xf numFmtId="0" fontId="5" fillId="10" borderId="1" xfId="1" applyFont="1" applyFill="1" applyBorder="1" applyAlignment="1" applyProtection="1">
      <alignment horizontal="center" vertical="center" wrapText="1"/>
      <protection hidden="1"/>
    </xf>
    <xf numFmtId="0" fontId="5" fillId="10" borderId="1" xfId="1" applyFont="1" applyFill="1" applyBorder="1" applyAlignment="1" applyProtection="1">
      <alignment horizontal="center" vertical="center"/>
      <protection hidden="1"/>
    </xf>
    <xf numFmtId="0" fontId="1" fillId="6" borderId="2" xfId="1" applyFont="1" applyFill="1" applyBorder="1" applyAlignment="1" applyProtection="1">
      <alignment horizontal="left" vertical="center" wrapText="1"/>
      <protection locked="0"/>
    </xf>
    <xf numFmtId="0" fontId="1" fillId="6" borderId="3" xfId="1" applyFont="1" applyFill="1" applyBorder="1" applyAlignment="1" applyProtection="1">
      <alignment horizontal="left" vertical="center" wrapText="1"/>
      <protection locked="0"/>
    </xf>
    <xf numFmtId="0" fontId="1" fillId="6" borderId="4" xfId="1" applyFont="1" applyFill="1" applyBorder="1" applyAlignment="1" applyProtection="1">
      <alignment horizontal="left" vertical="center" wrapText="1"/>
      <protection locked="0"/>
    </xf>
    <xf numFmtId="0" fontId="1" fillId="20" borderId="99" xfId="1" applyFont="1" applyFill="1" applyBorder="1" applyAlignment="1" applyProtection="1">
      <alignment horizontal="left" vertical="center" wrapText="1"/>
      <protection locked="0"/>
    </xf>
    <xf numFmtId="0" fontId="1" fillId="21" borderId="100" xfId="1" applyFont="1" applyFill="1" applyBorder="1" applyAlignment="1" applyProtection="1">
      <alignment horizontal="center" vertical="center" wrapText="1"/>
      <protection locked="0"/>
    </xf>
    <xf numFmtId="0" fontId="1" fillId="21" borderId="100" xfId="1" applyFont="1" applyFill="1" applyBorder="1" applyAlignment="1" applyProtection="1">
      <alignment horizontal="left" vertical="center" wrapText="1"/>
      <protection locked="0"/>
    </xf>
    <xf numFmtId="4" fontId="1" fillId="6" borderId="2" xfId="1" applyNumberFormat="1" applyFont="1" applyFill="1" applyBorder="1" applyAlignment="1" applyProtection="1">
      <alignment horizontal="center" vertical="center" wrapText="1"/>
      <protection locked="0"/>
    </xf>
    <xf numFmtId="0" fontId="5" fillId="6" borderId="2" xfId="1" applyFont="1" applyFill="1" applyBorder="1" applyAlignment="1" applyProtection="1">
      <alignment horizontal="center" vertical="center" wrapText="1"/>
      <protection hidden="1"/>
    </xf>
    <xf numFmtId="0" fontId="5" fillId="6" borderId="3" xfId="1" applyFont="1" applyFill="1" applyBorder="1" applyAlignment="1" applyProtection="1">
      <alignment horizontal="center" vertical="center" wrapText="1"/>
      <protection hidden="1"/>
    </xf>
    <xf numFmtId="0" fontId="5" fillId="6" borderId="4" xfId="1" applyFont="1" applyFill="1" applyBorder="1" applyAlignment="1" applyProtection="1">
      <alignment horizontal="center" vertical="center" wrapText="1"/>
      <protection hidden="1"/>
    </xf>
    <xf numFmtId="0" fontId="1" fillId="3" borderId="1" xfId="1" applyFont="1" applyFill="1" applyBorder="1" applyAlignment="1" applyProtection="1">
      <alignment horizontal="center" vertical="center" wrapText="1"/>
      <protection hidden="1"/>
    </xf>
    <xf numFmtId="0" fontId="5" fillId="6" borderId="2" xfId="1" applyFont="1" applyFill="1" applyBorder="1" applyAlignment="1" applyProtection="1">
      <alignment horizontal="center" vertical="center" wrapText="1"/>
      <protection locked="0"/>
    </xf>
    <xf numFmtId="0" fontId="5" fillId="6" borderId="3" xfId="1" applyFont="1" applyFill="1" applyBorder="1" applyAlignment="1" applyProtection="1">
      <alignment horizontal="center" vertical="center" wrapText="1"/>
      <protection locked="0"/>
    </xf>
    <xf numFmtId="0" fontId="5" fillId="6" borderId="4" xfId="1" applyFont="1" applyFill="1" applyBorder="1" applyAlignment="1" applyProtection="1">
      <alignment horizontal="center" vertical="center" wrapText="1"/>
      <protection locked="0"/>
    </xf>
    <xf numFmtId="0" fontId="1" fillId="3" borderId="1" xfId="1" applyFont="1" applyFill="1" applyBorder="1" applyAlignment="1" applyProtection="1">
      <alignment horizontal="center" vertical="center"/>
      <protection hidden="1"/>
    </xf>
    <xf numFmtId="0" fontId="1" fillId="10" borderId="1" xfId="1" applyFont="1" applyFill="1" applyBorder="1" applyAlignment="1" applyProtection="1">
      <alignment horizontal="left" vertical="center"/>
      <protection hidden="1"/>
    </xf>
    <xf numFmtId="0" fontId="1" fillId="6" borderId="1" xfId="1" applyFont="1" applyFill="1" applyBorder="1" applyAlignment="1" applyProtection="1">
      <alignment horizontal="center" vertical="center"/>
      <protection locked="0"/>
    </xf>
    <xf numFmtId="0" fontId="40" fillId="6" borderId="2" xfId="1" applyFont="1" applyFill="1" applyBorder="1" applyAlignment="1" applyProtection="1">
      <alignment horizontal="left" vertical="center" wrapText="1"/>
    </xf>
    <xf numFmtId="0" fontId="40" fillId="6" borderId="3" xfId="1" applyFont="1" applyFill="1" applyBorder="1" applyAlignment="1" applyProtection="1">
      <alignment horizontal="left" vertical="center" wrapText="1"/>
    </xf>
    <xf numFmtId="0" fontId="40" fillId="6" borderId="4" xfId="1" applyFont="1" applyFill="1" applyBorder="1" applyAlignment="1" applyProtection="1">
      <alignment horizontal="left" vertical="center" wrapText="1"/>
    </xf>
    <xf numFmtId="0" fontId="1" fillId="6" borderId="1" xfId="1" applyFont="1" applyFill="1" applyBorder="1" applyAlignment="1" applyProtection="1">
      <alignment horizontal="center" vertical="center" wrapText="1"/>
      <protection locked="0"/>
    </xf>
    <xf numFmtId="0" fontId="22" fillId="6" borderId="2" xfId="1" applyFont="1" applyFill="1" applyBorder="1" applyAlignment="1" applyProtection="1">
      <alignment horizontal="left" vertical="center" wrapText="1" indent="1"/>
      <protection locked="0"/>
    </xf>
    <xf numFmtId="0" fontId="22" fillId="6" borderId="3" xfId="1" applyFont="1" applyFill="1" applyBorder="1" applyAlignment="1" applyProtection="1">
      <alignment horizontal="left" vertical="center" wrapText="1" indent="1"/>
      <protection locked="0"/>
    </xf>
    <xf numFmtId="0" fontId="22" fillId="6" borderId="4" xfId="1" applyFont="1" applyFill="1" applyBorder="1" applyAlignment="1" applyProtection="1">
      <alignment horizontal="left" vertical="center" wrapText="1" indent="1"/>
      <protection locked="0"/>
    </xf>
    <xf numFmtId="0" fontId="5" fillId="10" borderId="2" xfId="1" applyFont="1" applyFill="1" applyBorder="1" applyAlignment="1" applyProtection="1">
      <alignment horizontal="center" vertical="center" wrapText="1"/>
      <protection hidden="1"/>
    </xf>
    <xf numFmtId="0" fontId="5" fillId="10" borderId="3" xfId="1" applyFont="1" applyFill="1" applyBorder="1" applyAlignment="1" applyProtection="1">
      <alignment horizontal="center" vertical="center" wrapText="1"/>
      <protection hidden="1"/>
    </xf>
    <xf numFmtId="0" fontId="5" fillId="10" borderId="4" xfId="1" applyFont="1" applyFill="1" applyBorder="1" applyAlignment="1" applyProtection="1">
      <alignment horizontal="center" vertical="center" wrapText="1"/>
      <protection hidden="1"/>
    </xf>
    <xf numFmtId="0" fontId="5" fillId="3" borderId="0" xfId="1" applyFont="1" applyFill="1" applyBorder="1" applyAlignment="1" applyProtection="1">
      <alignment horizontal="center" vertical="center" wrapText="1"/>
      <protection hidden="1"/>
    </xf>
    <xf numFmtId="0" fontId="5" fillId="3" borderId="0" xfId="1" applyFont="1" applyFill="1" applyBorder="1" applyAlignment="1" applyProtection="1">
      <alignment horizontal="left" vertical="center" indent="1"/>
      <protection hidden="1"/>
    </xf>
    <xf numFmtId="0" fontId="5" fillId="2" borderId="0" xfId="1" applyFont="1" applyFill="1" applyBorder="1" applyAlignment="1" applyProtection="1">
      <alignment horizontal="left" vertical="center" indent="1"/>
      <protection hidden="1"/>
    </xf>
    <xf numFmtId="0" fontId="5" fillId="0" borderId="0" xfId="1" applyFont="1" applyFill="1" applyBorder="1" applyAlignment="1" applyProtection="1">
      <alignment horizontal="left"/>
      <protection hidden="1"/>
    </xf>
    <xf numFmtId="0" fontId="5" fillId="10" borderId="27" xfId="1" applyFont="1" applyFill="1" applyBorder="1" applyAlignment="1" applyProtection="1">
      <alignment horizontal="center" vertical="center" wrapText="1"/>
      <protection hidden="1"/>
    </xf>
    <xf numFmtId="0" fontId="5" fillId="10" borderId="54" xfId="1" applyFont="1" applyFill="1" applyBorder="1" applyAlignment="1" applyProtection="1">
      <alignment horizontal="center" vertical="center" wrapText="1"/>
      <protection hidden="1"/>
    </xf>
    <xf numFmtId="0" fontId="5" fillId="10" borderId="57" xfId="1" applyFont="1" applyFill="1" applyBorder="1" applyAlignment="1" applyProtection="1">
      <alignment horizontal="center" vertical="center" wrapText="1"/>
      <protection hidden="1"/>
    </xf>
    <xf numFmtId="0" fontId="5" fillId="10" borderId="55" xfId="1" applyFont="1" applyFill="1" applyBorder="1" applyAlignment="1" applyProtection="1">
      <alignment horizontal="center" vertical="center" wrapText="1"/>
      <protection hidden="1"/>
    </xf>
    <xf numFmtId="0" fontId="5" fillId="0" borderId="0" xfId="1" applyFont="1" applyFill="1" applyBorder="1" applyAlignment="1" applyProtection="1">
      <alignment horizontal="left" vertical="center" wrapText="1"/>
      <protection hidden="1"/>
    </xf>
    <xf numFmtId="0" fontId="14" fillId="6" borderId="9" xfId="1" applyFont="1" applyFill="1" applyBorder="1" applyAlignment="1" applyProtection="1">
      <alignment horizontal="center"/>
      <protection hidden="1"/>
    </xf>
    <xf numFmtId="0" fontId="14" fillId="6" borderId="10" xfId="1" applyFont="1" applyFill="1" applyBorder="1" applyAlignment="1" applyProtection="1">
      <alignment horizontal="center"/>
      <protection hidden="1"/>
    </xf>
    <xf numFmtId="0" fontId="14" fillId="6" borderId="11" xfId="1" applyFont="1" applyFill="1" applyBorder="1" applyAlignment="1" applyProtection="1">
      <alignment horizontal="center"/>
      <protection hidden="1"/>
    </xf>
    <xf numFmtId="0" fontId="14" fillId="6" borderId="15" xfId="1" applyFont="1" applyFill="1" applyBorder="1" applyAlignment="1" applyProtection="1">
      <alignment horizontal="center"/>
      <protection hidden="1"/>
    </xf>
    <xf numFmtId="0" fontId="14" fillId="6" borderId="16" xfId="1" applyFont="1" applyFill="1" applyBorder="1" applyAlignment="1" applyProtection="1">
      <alignment horizontal="center"/>
      <protection hidden="1"/>
    </xf>
    <xf numFmtId="0" fontId="14" fillId="6" borderId="17" xfId="1" applyFont="1" applyFill="1" applyBorder="1" applyAlignment="1" applyProtection="1">
      <alignment horizontal="center"/>
      <protection hidden="1"/>
    </xf>
    <xf numFmtId="0" fontId="5" fillId="3" borderId="12" xfId="1" applyFont="1" applyFill="1" applyBorder="1" applyAlignment="1" applyProtection="1">
      <alignment horizontal="center" vertical="center"/>
      <protection hidden="1"/>
    </xf>
    <xf numFmtId="0" fontId="5" fillId="3" borderId="13" xfId="1" applyFont="1" applyFill="1" applyBorder="1" applyAlignment="1" applyProtection="1">
      <alignment horizontal="center" vertical="center"/>
      <protection hidden="1"/>
    </xf>
    <xf numFmtId="0" fontId="5" fillId="3" borderId="14" xfId="1" applyFont="1" applyFill="1" applyBorder="1" applyAlignment="1" applyProtection="1">
      <alignment horizontal="center" vertical="center"/>
      <protection hidden="1"/>
    </xf>
    <xf numFmtId="0" fontId="5" fillId="6" borderId="18" xfId="1" applyFont="1" applyFill="1" applyBorder="1" applyAlignment="1" applyProtection="1">
      <alignment horizontal="center" vertical="center"/>
      <protection hidden="1"/>
    </xf>
    <xf numFmtId="0" fontId="5" fillId="6" borderId="19" xfId="1" applyFont="1" applyFill="1" applyBorder="1" applyAlignment="1" applyProtection="1">
      <alignment horizontal="center" vertical="center"/>
      <protection hidden="1"/>
    </xf>
    <xf numFmtId="0" fontId="5" fillId="6" borderId="20" xfId="1" applyFont="1" applyFill="1" applyBorder="1" applyAlignment="1" applyProtection="1">
      <alignment horizontal="center" vertical="center"/>
      <protection hidden="1"/>
    </xf>
    <xf numFmtId="0" fontId="5" fillId="6" borderId="15" xfId="1" applyFont="1" applyFill="1" applyBorder="1" applyAlignment="1" applyProtection="1">
      <alignment horizontal="center" vertical="center"/>
      <protection hidden="1"/>
    </xf>
    <xf numFmtId="0" fontId="5" fillId="6" borderId="16" xfId="1" applyFont="1" applyFill="1" applyBorder="1" applyAlignment="1" applyProtection="1">
      <alignment horizontal="center" vertical="center"/>
      <protection hidden="1"/>
    </xf>
    <xf numFmtId="0" fontId="5" fillId="6" borderId="17" xfId="1" applyFont="1" applyFill="1" applyBorder="1" applyAlignment="1" applyProtection="1">
      <alignment horizontal="center" vertical="center"/>
      <protection hidden="1"/>
    </xf>
    <xf numFmtId="0" fontId="5" fillId="3" borderId="15" xfId="1" applyFont="1" applyFill="1" applyBorder="1" applyAlignment="1" applyProtection="1">
      <alignment horizontal="center" vertical="center"/>
      <protection hidden="1"/>
    </xf>
    <xf numFmtId="0" fontId="5" fillId="3" borderId="16" xfId="1" applyFont="1" applyFill="1" applyBorder="1" applyAlignment="1" applyProtection="1">
      <alignment horizontal="center" vertical="center"/>
      <protection hidden="1"/>
    </xf>
    <xf numFmtId="0" fontId="1" fillId="0" borderId="0" xfId="1" applyFont="1" applyFill="1" applyBorder="1" applyAlignment="1" applyProtection="1">
      <alignment horizontal="center" vertical="top"/>
      <protection hidden="1"/>
    </xf>
    <xf numFmtId="0" fontId="1" fillId="0" borderId="0" xfId="1" applyFont="1" applyProtection="1">
      <protection hidden="1"/>
    </xf>
    <xf numFmtId="0" fontId="16" fillId="6" borderId="23" xfId="1" applyFont="1" applyFill="1" applyBorder="1" applyAlignment="1" applyProtection="1">
      <alignment horizontal="left"/>
      <protection locked="0"/>
    </xf>
    <xf numFmtId="0" fontId="16" fillId="6" borderId="24" xfId="1" applyFont="1" applyFill="1" applyBorder="1" applyAlignment="1" applyProtection="1">
      <alignment horizontal="left"/>
      <protection locked="0"/>
    </xf>
    <xf numFmtId="0" fontId="15" fillId="0" borderId="25" xfId="1" applyFont="1" applyBorder="1" applyAlignment="1" applyProtection="1">
      <alignment horizontal="justify" vertical="top" wrapText="1"/>
      <protection hidden="1"/>
    </xf>
    <xf numFmtId="0" fontId="15" fillId="0" borderId="0" xfId="1" applyFont="1" applyAlignment="1" applyProtection="1">
      <alignment horizontal="justify" vertical="top" wrapText="1"/>
      <protection hidden="1"/>
    </xf>
    <xf numFmtId="0" fontId="5" fillId="10" borderId="7" xfId="1" applyFont="1" applyFill="1" applyBorder="1" applyAlignment="1" applyProtection="1">
      <alignment horizontal="center" vertical="center" wrapText="1"/>
      <protection hidden="1"/>
    </xf>
    <xf numFmtId="0" fontId="5" fillId="10" borderId="0" xfId="1" applyFont="1" applyFill="1" applyBorder="1" applyAlignment="1" applyProtection="1">
      <alignment horizontal="center" vertical="center" wrapText="1"/>
      <protection hidden="1"/>
    </xf>
    <xf numFmtId="0" fontId="5" fillId="10" borderId="8" xfId="1" applyFont="1" applyFill="1" applyBorder="1" applyAlignment="1" applyProtection="1">
      <alignment horizontal="center" vertical="center" wrapText="1"/>
      <protection hidden="1"/>
    </xf>
    <xf numFmtId="0" fontId="1" fillId="6" borderId="1" xfId="1" applyFont="1" applyFill="1" applyBorder="1" applyAlignment="1" applyProtection="1">
      <alignment horizontal="left" vertical="center" wrapText="1"/>
      <protection locked="0"/>
    </xf>
    <xf numFmtId="0" fontId="5" fillId="0" borderId="0" xfId="1" applyFont="1" applyFill="1" applyBorder="1" applyAlignment="1" applyProtection="1">
      <alignment horizontal="center" vertical="center" wrapText="1"/>
      <protection hidden="1"/>
    </xf>
    <xf numFmtId="0" fontId="5" fillId="3" borderId="1" xfId="1" applyFont="1" applyFill="1" applyBorder="1" applyAlignment="1" applyProtection="1">
      <alignment horizontal="center" vertical="center"/>
      <protection hidden="1"/>
    </xf>
    <xf numFmtId="0" fontId="5" fillId="3" borderId="1" xfId="1" applyFont="1" applyFill="1" applyBorder="1" applyAlignment="1" applyProtection="1">
      <alignment horizontal="center" vertical="center" wrapText="1"/>
      <protection hidden="1"/>
    </xf>
    <xf numFmtId="0" fontId="5" fillId="3" borderId="2" xfId="1" applyFont="1" applyFill="1" applyBorder="1" applyAlignment="1" applyProtection="1">
      <alignment horizontal="center" vertical="center" wrapText="1"/>
      <protection hidden="1"/>
    </xf>
    <xf numFmtId="0" fontId="1" fillId="6" borderId="2" xfId="1" applyFont="1" applyFill="1" applyBorder="1" applyAlignment="1" applyProtection="1">
      <alignment horizontal="center" vertical="center"/>
      <protection locked="0"/>
    </xf>
    <xf numFmtId="0" fontId="1" fillId="6" borderId="3" xfId="1" applyFont="1" applyFill="1" applyBorder="1" applyAlignment="1" applyProtection="1">
      <alignment horizontal="center" vertical="center"/>
      <protection locked="0"/>
    </xf>
    <xf numFmtId="0" fontId="1" fillId="6" borderId="4" xfId="1" applyFont="1" applyFill="1" applyBorder="1" applyAlignment="1" applyProtection="1">
      <alignment horizontal="center" vertical="center"/>
      <protection locked="0"/>
    </xf>
    <xf numFmtId="0" fontId="5" fillId="3" borderId="144" xfId="1" applyFont="1" applyFill="1" applyBorder="1" applyAlignment="1">
      <alignment horizontal="center" vertical="center"/>
    </xf>
    <xf numFmtId="0" fontId="5" fillId="3" borderId="144" xfId="1" applyFont="1" applyFill="1" applyBorder="1" applyAlignment="1">
      <alignment horizontal="center" vertical="center" wrapText="1"/>
    </xf>
    <xf numFmtId="0" fontId="1" fillId="6" borderId="176" xfId="1" applyFont="1" applyFill="1" applyBorder="1" applyAlignment="1" applyProtection="1">
      <alignment horizontal="left"/>
      <protection hidden="1"/>
    </xf>
    <xf numFmtId="0" fontId="1" fillId="7" borderId="176" xfId="1" applyFont="1" applyFill="1" applyBorder="1" applyAlignment="1" applyProtection="1">
      <alignment horizontal="center" vertical="center"/>
      <protection hidden="1"/>
    </xf>
    <xf numFmtId="0" fontId="1" fillId="7" borderId="165" xfId="1" applyFont="1" applyFill="1" applyBorder="1" applyAlignment="1" applyProtection="1">
      <alignment horizontal="center" vertical="center"/>
      <protection hidden="1"/>
    </xf>
    <xf numFmtId="0" fontId="1" fillId="7" borderId="166" xfId="1" applyFont="1" applyFill="1" applyBorder="1" applyAlignment="1" applyProtection="1">
      <alignment horizontal="center" vertical="center"/>
      <protection hidden="1"/>
    </xf>
    <xf numFmtId="0" fontId="1" fillId="7" borderId="167" xfId="1" applyFont="1" applyFill="1" applyBorder="1" applyAlignment="1" applyProtection="1">
      <alignment horizontal="center" vertical="center"/>
      <protection hidden="1"/>
    </xf>
    <xf numFmtId="0" fontId="1" fillId="3" borderId="250" xfId="1" applyFont="1" applyFill="1" applyBorder="1" applyAlignment="1" applyProtection="1">
      <alignment horizontal="center" vertical="center"/>
      <protection hidden="1"/>
    </xf>
    <xf numFmtId="0" fontId="1" fillId="3" borderId="214" xfId="1" applyFont="1" applyFill="1" applyBorder="1" applyAlignment="1" applyProtection="1">
      <alignment horizontal="center" vertical="center"/>
      <protection hidden="1"/>
    </xf>
    <xf numFmtId="0" fontId="1" fillId="3" borderId="244" xfId="1" applyFont="1" applyFill="1" applyBorder="1" applyAlignment="1" applyProtection="1">
      <alignment horizontal="center" vertical="center"/>
      <protection hidden="1"/>
    </xf>
    <xf numFmtId="0" fontId="1" fillId="3" borderId="209" xfId="1" applyFont="1" applyFill="1" applyBorder="1" applyAlignment="1" applyProtection="1">
      <alignment horizontal="center" vertical="center"/>
      <protection hidden="1"/>
    </xf>
    <xf numFmtId="0" fontId="1" fillId="3" borderId="145" xfId="1" applyFont="1" applyFill="1" applyBorder="1" applyAlignment="1" applyProtection="1">
      <alignment horizontal="center" vertical="center"/>
      <protection hidden="1"/>
    </xf>
    <xf numFmtId="0" fontId="1" fillId="3" borderId="147" xfId="1" applyFont="1" applyFill="1" applyBorder="1" applyAlignment="1" applyProtection="1">
      <alignment horizontal="center" vertical="center"/>
      <protection hidden="1"/>
    </xf>
    <xf numFmtId="0" fontId="1" fillId="3" borderId="185" xfId="1" applyFont="1" applyFill="1" applyBorder="1" applyAlignment="1" applyProtection="1">
      <alignment horizontal="center" vertical="center"/>
      <protection hidden="1"/>
    </xf>
    <xf numFmtId="0" fontId="1" fillId="3" borderId="187" xfId="1" applyFont="1" applyFill="1" applyBorder="1" applyAlignment="1" applyProtection="1">
      <alignment horizontal="center" vertical="center"/>
      <protection hidden="1"/>
    </xf>
    <xf numFmtId="0" fontId="1" fillId="3" borderId="153" xfId="1" applyFont="1" applyFill="1" applyBorder="1" applyAlignment="1" applyProtection="1">
      <alignment horizontal="center" vertical="center"/>
      <protection hidden="1"/>
    </xf>
    <xf numFmtId="0" fontId="1" fillId="3" borderId="155" xfId="1" applyFont="1" applyFill="1" applyBorder="1" applyAlignment="1" applyProtection="1">
      <alignment horizontal="center" vertical="center"/>
      <protection hidden="1"/>
    </xf>
    <xf numFmtId="0" fontId="1" fillId="7" borderId="151" xfId="1" applyFont="1" applyFill="1" applyBorder="1" applyAlignment="1" applyProtection="1">
      <alignment horizontal="left" vertical="center" wrapText="1"/>
      <protection locked="0"/>
    </xf>
    <xf numFmtId="0" fontId="1" fillId="7" borderId="0" xfId="1" applyFont="1" applyFill="1" applyBorder="1" applyAlignment="1" applyProtection="1">
      <alignment horizontal="left" vertical="center" wrapText="1"/>
      <protection locked="0"/>
    </xf>
    <xf numFmtId="0" fontId="1" fillId="7" borderId="160" xfId="1" applyFont="1" applyFill="1" applyBorder="1" applyAlignment="1" applyProtection="1">
      <alignment horizontal="left" vertical="center" wrapText="1"/>
      <protection locked="0"/>
    </xf>
    <xf numFmtId="0" fontId="1" fillId="7" borderId="244" xfId="1" applyFont="1" applyFill="1" applyBorder="1" applyAlignment="1" applyProtection="1">
      <alignment horizontal="left" vertical="center" wrapText="1"/>
      <protection locked="0"/>
    </xf>
    <xf numFmtId="0" fontId="1" fillId="7" borderId="157" xfId="1" applyFont="1" applyFill="1" applyBorder="1" applyAlignment="1" applyProtection="1">
      <alignment horizontal="left" vertical="center" wrapText="1"/>
      <protection locked="0"/>
    </xf>
    <xf numFmtId="0" fontId="1" fillId="7" borderId="158" xfId="1" applyFont="1" applyFill="1" applyBorder="1" applyAlignment="1" applyProtection="1">
      <alignment horizontal="left" vertical="center" wrapText="1"/>
      <protection locked="0"/>
    </xf>
    <xf numFmtId="0" fontId="1" fillId="7" borderId="250" xfId="1" applyFont="1" applyFill="1" applyBorder="1" applyAlignment="1" applyProtection="1">
      <alignment horizontal="left" vertical="center" wrapText="1"/>
      <protection locked="0"/>
    </xf>
    <xf numFmtId="0" fontId="1" fillId="7" borderId="162" xfId="1" applyFont="1" applyFill="1" applyBorder="1" applyAlignment="1" applyProtection="1">
      <alignment horizontal="left" vertical="center" wrapText="1"/>
      <protection locked="0"/>
    </xf>
    <xf numFmtId="0" fontId="1" fillId="7" borderId="163" xfId="1" applyFont="1" applyFill="1" applyBorder="1" applyAlignment="1" applyProtection="1">
      <alignment horizontal="left" vertical="center" wrapText="1"/>
      <protection locked="0"/>
    </xf>
    <xf numFmtId="0" fontId="1" fillId="7" borderId="253" xfId="1" applyFont="1" applyFill="1" applyBorder="1" applyAlignment="1" applyProtection="1">
      <alignment horizontal="left" vertical="center" wrapText="1"/>
      <protection locked="0"/>
    </xf>
    <xf numFmtId="0" fontId="1" fillId="7" borderId="255" xfId="1" applyFont="1" applyFill="1" applyBorder="1" applyAlignment="1" applyProtection="1">
      <alignment horizontal="left" vertical="center" wrapText="1"/>
      <protection locked="0"/>
    </xf>
    <xf numFmtId="0" fontId="1" fillId="7" borderId="216" xfId="1" applyFont="1" applyFill="1" applyBorder="1" applyAlignment="1" applyProtection="1">
      <alignment horizontal="left" vertical="center" wrapText="1"/>
      <protection locked="0"/>
    </xf>
    <xf numFmtId="0" fontId="1" fillId="7" borderId="253" xfId="1" applyFont="1" applyFill="1" applyBorder="1" applyAlignment="1" applyProtection="1">
      <alignment vertical="center" wrapText="1"/>
      <protection locked="0"/>
    </xf>
    <xf numFmtId="0" fontId="1" fillId="7" borderId="255" xfId="1" applyFont="1" applyFill="1" applyBorder="1" applyAlignment="1" applyProtection="1">
      <alignment vertical="center" wrapText="1"/>
      <protection locked="0"/>
    </xf>
    <xf numFmtId="0" fontId="1" fillId="7" borderId="216" xfId="1" applyFont="1" applyFill="1" applyBorder="1" applyAlignment="1" applyProtection="1">
      <alignment vertical="center" wrapText="1"/>
      <protection locked="0"/>
    </xf>
    <xf numFmtId="0" fontId="1" fillId="3" borderId="148" xfId="1" applyFont="1" applyFill="1" applyBorder="1" applyAlignment="1" applyProtection="1">
      <alignment horizontal="center" vertical="center"/>
      <protection hidden="1"/>
    </xf>
    <xf numFmtId="0" fontId="1" fillId="3" borderId="150" xfId="1" applyFont="1" applyFill="1" applyBorder="1" applyAlignment="1" applyProtection="1">
      <alignment horizontal="center" vertical="center"/>
      <protection hidden="1"/>
    </xf>
    <xf numFmtId="0" fontId="1" fillId="3" borderId="179" xfId="1" applyFont="1" applyFill="1" applyBorder="1" applyAlignment="1" applyProtection="1">
      <alignment horizontal="center" vertical="center"/>
      <protection hidden="1"/>
    </xf>
    <xf numFmtId="0" fontId="1" fillId="3" borderId="195" xfId="1" applyFont="1" applyFill="1" applyBorder="1" applyAlignment="1" applyProtection="1">
      <alignment horizontal="center" vertical="center"/>
      <protection hidden="1"/>
    </xf>
    <xf numFmtId="0" fontId="1" fillId="13" borderId="252" xfId="1" applyFont="1" applyFill="1" applyBorder="1" applyAlignment="1" applyProtection="1">
      <alignment horizontal="left" vertical="center" wrapText="1"/>
      <protection locked="0"/>
    </xf>
    <xf numFmtId="0" fontId="1" fillId="13" borderId="212" xfId="1" applyFont="1" applyFill="1" applyBorder="1" applyAlignment="1" applyProtection="1">
      <alignment horizontal="left" vertical="center" wrapText="1"/>
      <protection locked="0"/>
    </xf>
    <xf numFmtId="0" fontId="1" fillId="13" borderId="204" xfId="1" applyFont="1" applyFill="1" applyBorder="1" applyAlignment="1" applyProtection="1">
      <alignment horizontal="left" vertical="center"/>
      <protection hidden="1"/>
    </xf>
    <xf numFmtId="0" fontId="1" fillId="13" borderId="144" xfId="1" applyFont="1" applyFill="1" applyBorder="1" applyAlignment="1" applyProtection="1">
      <alignment horizontal="left" vertical="center"/>
      <protection hidden="1"/>
    </xf>
    <xf numFmtId="0" fontId="1" fillId="13" borderId="184" xfId="1" applyFont="1" applyFill="1" applyBorder="1" applyAlignment="1" applyProtection="1">
      <alignment horizontal="left" vertical="center"/>
      <protection hidden="1"/>
    </xf>
    <xf numFmtId="0" fontId="1" fillId="13" borderId="197" xfId="1" applyFont="1" applyFill="1" applyBorder="1" applyAlignment="1" applyProtection="1">
      <alignment horizontal="left" vertical="center"/>
      <protection hidden="1"/>
    </xf>
    <xf numFmtId="0" fontId="1" fillId="13" borderId="177" xfId="1" applyFont="1" applyFill="1" applyBorder="1" applyAlignment="1" applyProtection="1">
      <alignment horizontal="left" vertical="center" wrapText="1"/>
      <protection locked="0"/>
    </xf>
    <xf numFmtId="0" fontId="1" fillId="13" borderId="178" xfId="1" applyFont="1" applyFill="1" applyBorder="1" applyAlignment="1" applyProtection="1">
      <alignment horizontal="left" vertical="center" wrapText="1"/>
      <protection locked="0"/>
    </xf>
    <xf numFmtId="0" fontId="1" fillId="13" borderId="190" xfId="1" applyFont="1" applyFill="1" applyBorder="1" applyAlignment="1" applyProtection="1">
      <alignment horizontal="left" vertical="center" wrapText="1"/>
      <protection locked="0"/>
    </xf>
    <xf numFmtId="0" fontId="1" fillId="13" borderId="144" xfId="1" applyFont="1" applyFill="1" applyBorder="1" applyAlignment="1" applyProtection="1">
      <alignment horizontal="left" vertical="center" wrapText="1"/>
      <protection locked="0"/>
    </xf>
    <xf numFmtId="0" fontId="1" fillId="13" borderId="183" xfId="1" applyFont="1" applyFill="1" applyBorder="1" applyAlignment="1" applyProtection="1">
      <alignment horizontal="left" vertical="center" wrapText="1"/>
      <protection locked="0"/>
    </xf>
    <xf numFmtId="0" fontId="1" fillId="13" borderId="184" xfId="1" applyFont="1" applyFill="1" applyBorder="1" applyAlignment="1" applyProtection="1">
      <alignment horizontal="left" vertical="center" wrapText="1"/>
      <protection locked="0"/>
    </xf>
    <xf numFmtId="0" fontId="1" fillId="13" borderId="257" xfId="1" applyFont="1" applyFill="1" applyBorder="1" applyAlignment="1" applyProtection="1">
      <alignment horizontal="left" vertical="center"/>
      <protection hidden="1"/>
    </xf>
    <xf numFmtId="0" fontId="1" fillId="13" borderId="251" xfId="1" applyFont="1" applyFill="1" applyBorder="1" applyAlignment="1" applyProtection="1">
      <alignment horizontal="left" vertical="center" wrapText="1"/>
      <protection locked="0"/>
    </xf>
    <xf numFmtId="0" fontId="1" fillId="13" borderId="197" xfId="1" applyFont="1" applyFill="1" applyBorder="1" applyAlignment="1" applyProtection="1">
      <alignment horizontal="left" vertical="center" wrapText="1"/>
      <protection locked="0"/>
    </xf>
    <xf numFmtId="0" fontId="1" fillId="13" borderId="256" xfId="1" applyFont="1" applyFill="1" applyBorder="1" applyAlignment="1" applyProtection="1">
      <alignment horizontal="left" vertical="center" wrapText="1"/>
      <protection locked="0"/>
    </xf>
    <xf numFmtId="0" fontId="1" fillId="13" borderId="164" xfId="1" applyFont="1" applyFill="1" applyBorder="1" applyAlignment="1" applyProtection="1">
      <alignment horizontal="left" vertical="center" wrapText="1"/>
      <protection locked="0"/>
    </xf>
    <xf numFmtId="0" fontId="1" fillId="13" borderId="196" xfId="1" applyFont="1" applyFill="1" applyBorder="1" applyAlignment="1" applyProtection="1">
      <alignment horizontal="left" vertical="center"/>
      <protection hidden="1"/>
    </xf>
    <xf numFmtId="0" fontId="1" fillId="13" borderId="2" xfId="1" applyFont="1" applyFill="1" applyBorder="1" applyAlignment="1" applyProtection="1">
      <alignment horizontal="center" vertical="center"/>
      <protection locked="0"/>
    </xf>
    <xf numFmtId="0" fontId="1" fillId="13" borderId="4" xfId="1" applyFont="1" applyFill="1" applyBorder="1" applyAlignment="1" applyProtection="1">
      <alignment horizontal="center" vertical="center"/>
      <protection locked="0"/>
    </xf>
    <xf numFmtId="0" fontId="1" fillId="13" borderId="2" xfId="1" applyFont="1" applyFill="1" applyBorder="1" applyAlignment="1" applyProtection="1">
      <alignment horizontal="center" vertical="center" wrapText="1"/>
      <protection locked="0"/>
    </xf>
    <xf numFmtId="0" fontId="1" fillId="13" borderId="3" xfId="1" applyFont="1" applyFill="1" applyBorder="1" applyAlignment="1" applyProtection="1">
      <alignment horizontal="center" vertical="center" wrapText="1"/>
      <protection locked="0"/>
    </xf>
    <xf numFmtId="0" fontId="1" fillId="13" borderId="4" xfId="1" applyFont="1" applyFill="1" applyBorder="1" applyAlignment="1" applyProtection="1">
      <alignment horizontal="center" vertical="center" wrapText="1"/>
      <protection locked="0"/>
    </xf>
    <xf numFmtId="0" fontId="2" fillId="3" borderId="252" xfId="1" applyFont="1" applyFill="1" applyBorder="1" applyAlignment="1" applyProtection="1">
      <alignment horizontal="center" vertical="center"/>
      <protection hidden="1"/>
    </xf>
    <xf numFmtId="0" fontId="2" fillId="3" borderId="212" xfId="1" applyFont="1" applyFill="1" applyBorder="1" applyAlignment="1" applyProtection="1">
      <alignment horizontal="center" vertical="center"/>
      <protection hidden="1"/>
    </xf>
    <xf numFmtId="0" fontId="2" fillId="3" borderId="253" xfId="1" applyFont="1" applyFill="1" applyBorder="1" applyAlignment="1" applyProtection="1">
      <alignment horizontal="center" vertical="center" wrapText="1"/>
      <protection hidden="1"/>
    </xf>
    <xf numFmtId="0" fontId="2" fillId="3" borderId="254" xfId="1" applyFont="1" applyFill="1" applyBorder="1" applyAlignment="1" applyProtection="1">
      <alignment horizontal="center" vertical="center" wrapText="1"/>
      <protection hidden="1"/>
    </xf>
    <xf numFmtId="0" fontId="2" fillId="3" borderId="253" xfId="1" applyFont="1" applyFill="1" applyBorder="1" applyAlignment="1" applyProtection="1">
      <alignment horizontal="center" vertical="center"/>
      <protection hidden="1"/>
    </xf>
    <xf numFmtId="0" fontId="2" fillId="3" borderId="255" xfId="1" applyFont="1" applyFill="1" applyBorder="1" applyAlignment="1" applyProtection="1">
      <alignment horizontal="center" vertical="center"/>
      <protection hidden="1"/>
    </xf>
    <xf numFmtId="0" fontId="2" fillId="3" borderId="216" xfId="1" applyFont="1" applyFill="1" applyBorder="1" applyAlignment="1" applyProtection="1">
      <alignment horizontal="center" vertical="center"/>
      <protection hidden="1"/>
    </xf>
    <xf numFmtId="0" fontId="5" fillId="3" borderId="31" xfId="1" applyFont="1" applyFill="1" applyBorder="1" applyAlignment="1" applyProtection="1">
      <alignment horizontal="center" vertical="center"/>
      <protection hidden="1"/>
    </xf>
    <xf numFmtId="0" fontId="5" fillId="3" borderId="31" xfId="1" applyFont="1" applyFill="1" applyBorder="1" applyAlignment="1" applyProtection="1">
      <alignment horizontal="center" vertical="center" wrapText="1"/>
      <protection hidden="1"/>
    </xf>
    <xf numFmtId="0" fontId="1" fillId="0" borderId="1" xfId="1" applyFont="1" applyBorder="1" applyAlignment="1" applyProtection="1">
      <alignment horizontal="center" vertical="center" wrapText="1"/>
      <protection hidden="1"/>
    </xf>
    <xf numFmtId="0" fontId="1" fillId="13" borderId="1" xfId="1" applyFont="1" applyFill="1" applyBorder="1" applyAlignment="1" applyProtection="1">
      <alignment horizontal="center" vertical="center" wrapText="1"/>
      <protection hidden="1"/>
    </xf>
    <xf numFmtId="4" fontId="1" fillId="13" borderId="2" xfId="1" applyNumberFormat="1" applyFont="1" applyFill="1" applyBorder="1" applyAlignment="1" applyProtection="1">
      <alignment horizontal="center" vertical="center"/>
      <protection locked="0"/>
    </xf>
    <xf numFmtId="4" fontId="1" fillId="13" borderId="4" xfId="1" applyNumberFormat="1" applyFont="1" applyFill="1" applyBorder="1" applyAlignment="1" applyProtection="1">
      <alignment horizontal="center" vertical="center"/>
      <protection locked="0"/>
    </xf>
    <xf numFmtId="14" fontId="1" fillId="13" borderId="2" xfId="1" applyNumberFormat="1" applyFont="1" applyFill="1" applyBorder="1" applyAlignment="1" applyProtection="1">
      <alignment horizontal="center" vertical="center" wrapText="1"/>
      <protection locked="0"/>
    </xf>
    <xf numFmtId="14" fontId="1" fillId="13" borderId="4" xfId="1" applyNumberFormat="1" applyFont="1" applyFill="1" applyBorder="1" applyAlignment="1" applyProtection="1">
      <alignment horizontal="center" vertical="center" wrapText="1"/>
      <protection locked="0"/>
    </xf>
    <xf numFmtId="0" fontId="1" fillId="13" borderId="2" xfId="1" applyFont="1" applyFill="1" applyBorder="1" applyAlignment="1" applyProtection="1">
      <alignment horizontal="left" vertical="center" wrapText="1"/>
      <protection locked="0"/>
    </xf>
    <xf numFmtId="0" fontId="1" fillId="13" borderId="4" xfId="1" applyFont="1" applyFill="1" applyBorder="1" applyAlignment="1" applyProtection="1">
      <alignment horizontal="left" vertical="center" wrapText="1"/>
      <protection locked="0"/>
    </xf>
    <xf numFmtId="0" fontId="1" fillId="3" borderId="2" xfId="1" applyFont="1" applyFill="1" applyBorder="1" applyAlignment="1" applyProtection="1">
      <alignment horizontal="center" vertical="center" wrapText="1"/>
      <protection hidden="1"/>
    </xf>
    <xf numFmtId="0" fontId="1" fillId="3" borderId="4" xfId="1" applyFont="1" applyFill="1" applyBorder="1" applyAlignment="1" applyProtection="1">
      <alignment horizontal="center" vertical="center" wrapText="1"/>
      <protection hidden="1"/>
    </xf>
    <xf numFmtId="0" fontId="1" fillId="0" borderId="56" xfId="1" applyFont="1" applyBorder="1" applyAlignment="1" applyProtection="1">
      <alignment horizontal="left" vertical="center"/>
      <protection hidden="1"/>
    </xf>
    <xf numFmtId="0" fontId="1" fillId="0" borderId="28" xfId="1" applyFont="1" applyBorder="1" applyAlignment="1" applyProtection="1">
      <alignment horizontal="left" vertical="center"/>
      <protection hidden="1"/>
    </xf>
    <xf numFmtId="0" fontId="1" fillId="0" borderId="7" xfId="1" applyFont="1" applyBorder="1" applyAlignment="1" applyProtection="1">
      <alignment horizontal="left" vertical="center"/>
      <protection hidden="1"/>
    </xf>
    <xf numFmtId="0" fontId="1" fillId="0" borderId="8" xfId="1" applyFont="1" applyBorder="1" applyAlignment="1" applyProtection="1">
      <alignment horizontal="left" vertical="center"/>
      <protection hidden="1"/>
    </xf>
    <xf numFmtId="0" fontId="1" fillId="0" borderId="54" xfId="1" applyFont="1" applyBorder="1" applyAlignment="1" applyProtection="1">
      <alignment horizontal="left" vertical="center"/>
      <protection hidden="1"/>
    </xf>
    <xf numFmtId="0" fontId="1" fillId="0" borderId="55" xfId="1" applyFont="1" applyBorder="1" applyAlignment="1" applyProtection="1">
      <alignment horizontal="left" vertical="center"/>
      <protection hidden="1"/>
    </xf>
    <xf numFmtId="0" fontId="1" fillId="10" borderId="30" xfId="1" applyFont="1" applyFill="1" applyBorder="1" applyAlignment="1" applyProtection="1">
      <alignment horizontal="center" vertical="center" textRotation="90" wrapText="1"/>
      <protection hidden="1"/>
    </xf>
    <xf numFmtId="0" fontId="1" fillId="10" borderId="48" xfId="1" applyFont="1" applyFill="1" applyBorder="1" applyAlignment="1" applyProtection="1">
      <alignment horizontal="center" vertical="center" textRotation="90" wrapText="1"/>
      <protection hidden="1"/>
    </xf>
    <xf numFmtId="0" fontId="1" fillId="10" borderId="27" xfId="1" applyFont="1" applyFill="1" applyBorder="1" applyAlignment="1" applyProtection="1">
      <alignment horizontal="center" vertical="center" textRotation="90" wrapText="1"/>
      <protection hidden="1"/>
    </xf>
    <xf numFmtId="168" fontId="1" fillId="13" borderId="77" xfId="1" applyNumberFormat="1" applyFont="1" applyFill="1" applyBorder="1" applyAlignment="1" applyProtection="1">
      <alignment horizontal="center" vertical="center" wrapText="1"/>
      <protection locked="0"/>
    </xf>
    <xf numFmtId="168" fontId="1" fillId="13" borderId="17" xfId="1" applyNumberFormat="1" applyFont="1" applyFill="1" applyBorder="1" applyAlignment="1" applyProtection="1">
      <alignment horizontal="center" vertical="center" wrapText="1"/>
      <protection locked="0"/>
    </xf>
    <xf numFmtId="0" fontId="16" fillId="0" borderId="23" xfId="1" applyFont="1" applyFill="1" applyBorder="1" applyAlignment="1" applyProtection="1">
      <alignment horizontal="center" vertical="center"/>
      <protection locked="0"/>
    </xf>
    <xf numFmtId="0" fontId="16" fillId="0" borderId="24" xfId="1" applyFont="1" applyFill="1" applyBorder="1" applyAlignment="1" applyProtection="1">
      <alignment horizontal="center" vertical="center"/>
      <protection locked="0"/>
    </xf>
    <xf numFmtId="4" fontId="1" fillId="13" borderId="1" xfId="1" applyNumberFormat="1" applyFont="1" applyFill="1" applyBorder="1" applyAlignment="1" applyProtection="1">
      <alignment horizontal="center" vertical="center"/>
      <protection locked="0"/>
    </xf>
    <xf numFmtId="0" fontId="1" fillId="13" borderId="1" xfId="1" applyFont="1" applyFill="1" applyBorder="1" applyAlignment="1" applyProtection="1">
      <alignment horizontal="center" vertical="center"/>
      <protection locked="0"/>
    </xf>
    <xf numFmtId="14" fontId="1" fillId="13" borderId="1" xfId="1" applyNumberFormat="1" applyFont="1" applyFill="1" applyBorder="1" applyAlignment="1" applyProtection="1">
      <alignment horizontal="center" vertical="center" wrapText="1"/>
      <protection locked="0"/>
    </xf>
    <xf numFmtId="0" fontId="1" fillId="13" borderId="1" xfId="1" applyFont="1" applyFill="1" applyBorder="1" applyAlignment="1" applyProtection="1">
      <alignment horizontal="center" vertical="center" wrapText="1"/>
      <protection locked="0"/>
    </xf>
    <xf numFmtId="168" fontId="1" fillId="13" borderId="2" xfId="1" applyNumberFormat="1" applyFont="1" applyFill="1" applyBorder="1" applyAlignment="1" applyProtection="1">
      <alignment horizontal="center" vertical="center" wrapText="1"/>
      <protection locked="0"/>
    </xf>
    <xf numFmtId="168" fontId="1" fillId="13" borderId="76" xfId="1" applyNumberFormat="1" applyFont="1" applyFill="1" applyBorder="1" applyAlignment="1" applyProtection="1">
      <alignment horizontal="center" vertical="center" wrapText="1"/>
      <protection locked="0"/>
    </xf>
    <xf numFmtId="0" fontId="1" fillId="13" borderId="2" xfId="1" applyFont="1" applyFill="1" applyBorder="1" applyAlignment="1" applyProtection="1">
      <alignment vertical="center" wrapText="1"/>
      <protection locked="0"/>
    </xf>
    <xf numFmtId="0" fontId="1" fillId="13" borderId="3" xfId="1" applyFont="1" applyFill="1" applyBorder="1" applyAlignment="1" applyProtection="1">
      <alignment vertical="center" wrapText="1"/>
      <protection locked="0"/>
    </xf>
    <xf numFmtId="0" fontId="1" fillId="13" borderId="4" xfId="1" applyFont="1" applyFill="1" applyBorder="1" applyAlignment="1" applyProtection="1">
      <alignment vertical="center" wrapText="1"/>
      <protection locked="0"/>
    </xf>
    <xf numFmtId="0" fontId="15" fillId="7" borderId="185" xfId="1" applyFont="1" applyFill="1" applyBorder="1" applyAlignment="1" applyProtection="1">
      <alignment horizontal="center" vertical="center" wrapText="1"/>
      <protection locked="0"/>
    </xf>
    <xf numFmtId="0" fontId="15" fillId="7" borderId="186" xfId="1" applyFont="1" applyFill="1" applyBorder="1" applyAlignment="1" applyProtection="1">
      <alignment horizontal="center" vertical="center" wrapText="1"/>
      <protection locked="0"/>
    </xf>
    <xf numFmtId="0" fontId="15" fillId="7" borderId="248" xfId="1" applyFont="1" applyFill="1" applyBorder="1" applyAlignment="1" applyProtection="1">
      <alignment horizontal="center" vertical="center" wrapText="1"/>
      <protection locked="0"/>
    </xf>
    <xf numFmtId="0" fontId="15" fillId="7" borderId="145" xfId="1" applyFont="1" applyFill="1" applyBorder="1" applyAlignment="1" applyProtection="1">
      <alignment horizontal="center" vertical="center" wrapText="1"/>
      <protection locked="0"/>
    </xf>
    <xf numFmtId="0" fontId="15" fillId="7" borderId="146" xfId="1" applyFont="1" applyFill="1" applyBorder="1" applyAlignment="1" applyProtection="1">
      <alignment horizontal="center" vertical="center" wrapText="1"/>
      <protection locked="0"/>
    </xf>
    <xf numFmtId="0" fontId="15" fillId="7" borderId="246" xfId="1" applyFont="1" applyFill="1" applyBorder="1" applyAlignment="1" applyProtection="1">
      <alignment horizontal="center" vertical="center" wrapText="1"/>
      <protection locked="0"/>
    </xf>
    <xf numFmtId="0" fontId="15" fillId="7" borderId="153" xfId="1" applyFont="1" applyFill="1" applyBorder="1" applyAlignment="1" applyProtection="1">
      <alignment horizontal="center" vertical="center" wrapText="1"/>
      <protection locked="0"/>
    </xf>
    <xf numFmtId="0" fontId="15" fillId="7" borderId="154" xfId="1" applyFont="1" applyFill="1" applyBorder="1" applyAlignment="1" applyProtection="1">
      <alignment horizontal="center" vertical="center" wrapText="1"/>
      <protection locked="0"/>
    </xf>
    <xf numFmtId="0" fontId="15" fillId="7" borderId="245" xfId="1" applyFont="1" applyFill="1" applyBorder="1" applyAlignment="1" applyProtection="1">
      <alignment horizontal="center" vertical="center" wrapText="1"/>
      <protection locked="0"/>
    </xf>
    <xf numFmtId="0" fontId="15" fillId="7" borderId="179" xfId="1" applyFont="1" applyFill="1" applyBorder="1" applyAlignment="1" applyProtection="1">
      <alignment horizontal="center" vertical="center" wrapText="1"/>
      <protection locked="0"/>
    </xf>
    <xf numFmtId="0" fontId="15" fillId="7" borderId="182" xfId="1" applyFont="1" applyFill="1" applyBorder="1" applyAlignment="1" applyProtection="1">
      <alignment horizontal="center" vertical="center" wrapText="1"/>
      <protection locked="0"/>
    </xf>
    <xf numFmtId="0" fontId="15" fillId="7" borderId="180" xfId="1" applyFont="1" applyFill="1" applyBorder="1" applyAlignment="1" applyProtection="1">
      <alignment horizontal="center" vertical="center" wrapText="1"/>
      <protection locked="0"/>
    </xf>
    <xf numFmtId="0" fontId="5" fillId="3" borderId="43" xfId="1" applyFont="1" applyFill="1" applyBorder="1" applyAlignment="1" applyProtection="1">
      <alignment horizontal="center" vertical="center" wrapText="1"/>
      <protection hidden="1"/>
    </xf>
    <xf numFmtId="0" fontId="5" fillId="3" borderId="44" xfId="1" applyFont="1" applyFill="1" applyBorder="1" applyAlignment="1" applyProtection="1">
      <alignment horizontal="center" vertical="center" wrapText="1"/>
      <protection hidden="1"/>
    </xf>
    <xf numFmtId="0" fontId="5" fillId="3" borderId="45" xfId="1" applyFont="1" applyFill="1" applyBorder="1" applyAlignment="1" applyProtection="1">
      <alignment horizontal="center" vertical="center" wrapText="1"/>
      <protection hidden="1"/>
    </xf>
    <xf numFmtId="0" fontId="5" fillId="3" borderId="46" xfId="1" applyFont="1" applyFill="1" applyBorder="1" applyAlignment="1" applyProtection="1">
      <alignment horizontal="center" vertical="center" wrapText="1"/>
      <protection hidden="1"/>
    </xf>
    <xf numFmtId="0" fontId="5" fillId="3" borderId="61" xfId="1" applyFont="1" applyFill="1" applyBorder="1" applyAlignment="1" applyProtection="1">
      <alignment horizontal="center" vertical="center" wrapText="1"/>
      <protection hidden="1"/>
    </xf>
    <xf numFmtId="0" fontId="5" fillId="3" borderId="47" xfId="1" applyFont="1" applyFill="1" applyBorder="1" applyAlignment="1" applyProtection="1">
      <alignment horizontal="center" vertical="center" wrapText="1"/>
      <protection hidden="1"/>
    </xf>
    <xf numFmtId="0" fontId="1" fillId="13" borderId="1" xfId="1" applyFont="1" applyFill="1" applyBorder="1" applyAlignment="1" applyProtection="1">
      <alignment horizontal="left" vertical="center" wrapText="1" indent="1"/>
      <protection hidden="1"/>
    </xf>
    <xf numFmtId="0" fontId="1" fillId="13" borderId="3" xfId="1" applyFont="1" applyFill="1" applyBorder="1" applyAlignment="1" applyProtection="1">
      <alignment horizontal="left" vertical="center" wrapText="1"/>
      <protection locked="0"/>
    </xf>
    <xf numFmtId="0" fontId="1" fillId="13" borderId="2" xfId="1" applyFont="1" applyFill="1" applyBorder="1" applyAlignment="1" applyProtection="1">
      <alignment horizontal="center" vertical="center" wrapText="1"/>
      <protection hidden="1"/>
    </xf>
    <xf numFmtId="0" fontId="1" fillId="13" borderId="3" xfId="1" applyFont="1" applyFill="1" applyBorder="1" applyAlignment="1" applyProtection="1">
      <alignment horizontal="center" vertical="center" wrapText="1"/>
      <protection hidden="1"/>
    </xf>
    <xf numFmtId="0" fontId="1" fillId="13" borderId="4" xfId="1" applyFont="1" applyFill="1" applyBorder="1" applyAlignment="1" applyProtection="1">
      <alignment horizontal="center" vertical="center" wrapText="1"/>
      <protection hidden="1"/>
    </xf>
    <xf numFmtId="0" fontId="1" fillId="13" borderId="2" xfId="1" applyFont="1" applyFill="1" applyBorder="1" applyAlignment="1" applyProtection="1">
      <alignment horizontal="left" vertical="center"/>
      <protection locked="0"/>
    </xf>
    <xf numFmtId="0" fontId="1" fillId="13" borderId="3" xfId="1" applyFont="1" applyFill="1" applyBorder="1" applyAlignment="1" applyProtection="1">
      <alignment horizontal="left" vertical="center"/>
      <protection locked="0"/>
    </xf>
    <xf numFmtId="0" fontId="5" fillId="3" borderId="66" xfId="1" applyFont="1" applyFill="1" applyBorder="1" applyAlignment="1" applyProtection="1">
      <alignment horizontal="center" vertical="center" wrapText="1"/>
      <protection hidden="1"/>
    </xf>
    <xf numFmtId="0" fontId="5" fillId="13" borderId="66" xfId="1" applyFont="1" applyFill="1" applyBorder="1" applyAlignment="1" applyProtection="1">
      <alignment horizontal="center" vertical="center"/>
      <protection locked="0"/>
    </xf>
    <xf numFmtId="0" fontId="5" fillId="13" borderId="2" xfId="1" applyFont="1" applyFill="1" applyBorder="1" applyAlignment="1" applyProtection="1">
      <alignment horizontal="center"/>
      <protection locked="0"/>
    </xf>
    <xf numFmtId="0" fontId="5" fillId="13" borderId="3" xfId="1" applyFont="1" applyFill="1" applyBorder="1" applyAlignment="1" applyProtection="1">
      <alignment horizontal="center"/>
      <protection locked="0"/>
    </xf>
    <xf numFmtId="168" fontId="5" fillId="13" borderId="3" xfId="1" applyNumberFormat="1" applyFont="1" applyFill="1" applyBorder="1" applyAlignment="1" applyProtection="1">
      <alignment horizontal="center"/>
      <protection locked="0"/>
    </xf>
    <xf numFmtId="168" fontId="5" fillId="13" borderId="4" xfId="1" applyNumberFormat="1" applyFont="1" applyFill="1" applyBorder="1" applyAlignment="1" applyProtection="1">
      <alignment horizontal="center"/>
      <protection locked="0"/>
    </xf>
    <xf numFmtId="167" fontId="5" fillId="13" borderId="2" xfId="1" applyNumberFormat="1" applyFont="1" applyFill="1" applyBorder="1" applyAlignment="1" applyProtection="1">
      <alignment horizontal="center"/>
      <protection locked="0"/>
    </xf>
    <xf numFmtId="167" fontId="5" fillId="13" borderId="4" xfId="1" applyNumberFormat="1" applyFont="1" applyFill="1" applyBorder="1" applyAlignment="1" applyProtection="1">
      <alignment horizontal="center"/>
      <protection locked="0"/>
    </xf>
    <xf numFmtId="0" fontId="5" fillId="3" borderId="35" xfId="1" applyFont="1" applyFill="1" applyBorder="1" applyAlignment="1" applyProtection="1">
      <alignment horizontal="center" vertical="center"/>
      <protection hidden="1"/>
    </xf>
    <xf numFmtId="0" fontId="5" fillId="3" borderId="36" xfId="1" applyFont="1" applyFill="1" applyBorder="1" applyAlignment="1" applyProtection="1">
      <alignment horizontal="center" vertical="center"/>
      <protection hidden="1"/>
    </xf>
    <xf numFmtId="0" fontId="5" fillId="3" borderId="37" xfId="1" applyFont="1" applyFill="1" applyBorder="1" applyAlignment="1" applyProtection="1">
      <alignment horizontal="center" vertical="center"/>
      <protection hidden="1"/>
    </xf>
    <xf numFmtId="0" fontId="25" fillId="3" borderId="0" xfId="1" applyFont="1" applyFill="1" applyBorder="1" applyAlignment="1" applyProtection="1">
      <alignment horizontal="left" vertical="center" indent="1"/>
      <protection hidden="1"/>
    </xf>
    <xf numFmtId="0" fontId="25" fillId="0" borderId="0" xfId="1" applyFont="1" applyFill="1" applyBorder="1" applyAlignment="1" applyProtection="1">
      <alignment horizontal="left" vertical="top" wrapText="1" indent="1"/>
      <protection hidden="1"/>
    </xf>
    <xf numFmtId="0" fontId="25" fillId="0" borderId="0" xfId="1" applyFont="1" applyAlignment="1" applyProtection="1">
      <alignment horizontal="left" vertical="center" indent="1"/>
      <protection hidden="1"/>
    </xf>
    <xf numFmtId="0" fontId="1" fillId="13" borderId="4" xfId="1" applyFont="1" applyFill="1" applyBorder="1" applyAlignment="1" applyProtection="1">
      <alignment horizontal="left" vertical="center"/>
      <protection locked="0"/>
    </xf>
    <xf numFmtId="0" fontId="5" fillId="3" borderId="22" xfId="1" applyFont="1" applyFill="1" applyBorder="1" applyAlignment="1" applyProtection="1">
      <alignment horizontal="center" vertical="center"/>
      <protection hidden="1"/>
    </xf>
    <xf numFmtId="0" fontId="5" fillId="3" borderId="23" xfId="1" applyFont="1" applyFill="1" applyBorder="1" applyAlignment="1" applyProtection="1">
      <alignment horizontal="center" vertical="center"/>
      <protection hidden="1"/>
    </xf>
    <xf numFmtId="0" fontId="1" fillId="13" borderId="33" xfId="1" applyFont="1" applyFill="1" applyBorder="1" applyAlignment="1" applyProtection="1">
      <alignment horizontal="left" vertical="center" wrapText="1"/>
      <protection locked="0"/>
    </xf>
    <xf numFmtId="0" fontId="1" fillId="13" borderId="34" xfId="1" applyFont="1" applyFill="1" applyBorder="1" applyAlignment="1" applyProtection="1">
      <alignment horizontal="left" vertical="center" wrapText="1"/>
      <protection locked="0"/>
    </xf>
    <xf numFmtId="0" fontId="16" fillId="0" borderId="9" xfId="1" applyFont="1" applyFill="1" applyBorder="1" applyAlignment="1" applyProtection="1">
      <alignment horizontal="center"/>
      <protection hidden="1"/>
    </xf>
    <xf numFmtId="0" fontId="16" fillId="0" borderId="10" xfId="1" applyFont="1" applyFill="1" applyBorder="1" applyAlignment="1" applyProtection="1">
      <alignment horizontal="center"/>
      <protection hidden="1"/>
    </xf>
    <xf numFmtId="0" fontId="16" fillId="0" borderId="25" xfId="1" applyFont="1" applyFill="1" applyBorder="1" applyAlignment="1" applyProtection="1">
      <alignment horizontal="center"/>
      <protection hidden="1"/>
    </xf>
    <xf numFmtId="0" fontId="16" fillId="0" borderId="0" xfId="1" applyFont="1" applyFill="1" applyBorder="1" applyAlignment="1" applyProtection="1">
      <alignment horizontal="center"/>
      <protection hidden="1"/>
    </xf>
    <xf numFmtId="0" fontId="16" fillId="0" borderId="15" xfId="1" applyFont="1" applyFill="1" applyBorder="1" applyAlignment="1" applyProtection="1">
      <alignment horizontal="center"/>
      <protection hidden="1"/>
    </xf>
    <xf numFmtId="0" fontId="16" fillId="0" borderId="16" xfId="1" applyFont="1" applyFill="1" applyBorder="1" applyAlignment="1" applyProtection="1">
      <alignment horizontal="center"/>
      <protection hidden="1"/>
    </xf>
    <xf numFmtId="0" fontId="5" fillId="3" borderId="26" xfId="1" applyFont="1" applyFill="1" applyBorder="1" applyAlignment="1" applyProtection="1">
      <alignment horizontal="center" vertical="center" wrapText="1"/>
      <protection hidden="1"/>
    </xf>
    <xf numFmtId="0" fontId="1" fillId="13" borderId="26" xfId="1" applyFont="1" applyFill="1" applyBorder="1" applyAlignment="1" applyProtection="1">
      <alignment horizontal="left" vertical="center" wrapText="1"/>
      <protection locked="0"/>
    </xf>
    <xf numFmtId="0" fontId="1" fillId="13" borderId="1" xfId="1" applyFont="1" applyFill="1" applyBorder="1" applyAlignment="1" applyProtection="1">
      <alignment horizontal="left" vertical="center" wrapText="1"/>
      <protection locked="0"/>
    </xf>
    <xf numFmtId="0" fontId="5" fillId="0" borderId="0" xfId="1" applyFont="1" applyFill="1" applyBorder="1" applyAlignment="1" applyProtection="1">
      <alignment horizontal="left" vertical="center" wrapText="1" indent="1"/>
      <protection hidden="1"/>
    </xf>
    <xf numFmtId="0" fontId="1" fillId="3" borderId="2" xfId="1" applyFont="1" applyFill="1" applyBorder="1" applyAlignment="1" applyProtection="1">
      <alignment horizontal="left" vertical="center" wrapText="1"/>
      <protection hidden="1"/>
    </xf>
    <xf numFmtId="0" fontId="1" fillId="3" borderId="4" xfId="1" applyFont="1" applyFill="1" applyBorder="1" applyAlignment="1" applyProtection="1">
      <alignment horizontal="left" vertical="center" wrapText="1"/>
      <protection hidden="1"/>
    </xf>
    <xf numFmtId="0" fontId="1" fillId="13" borderId="2" xfId="1" applyFont="1" applyFill="1" applyBorder="1" applyAlignment="1" applyProtection="1">
      <alignment horizontal="justify" vertical="center" wrapText="1"/>
      <protection locked="0"/>
    </xf>
    <xf numFmtId="0" fontId="1" fillId="13" borderId="4" xfId="1" applyFont="1" applyFill="1" applyBorder="1" applyAlignment="1" applyProtection="1">
      <alignment horizontal="justify" vertical="center" wrapText="1"/>
      <protection locked="0"/>
    </xf>
    <xf numFmtId="167" fontId="1" fillId="13" borderId="2" xfId="1" applyNumberFormat="1" applyFont="1" applyFill="1" applyBorder="1" applyAlignment="1" applyProtection="1">
      <alignment horizontal="center" vertical="center" wrapText="1"/>
      <protection locked="0"/>
    </xf>
    <xf numFmtId="167" fontId="1" fillId="13" borderId="4" xfId="1" applyNumberFormat="1" applyFont="1" applyFill="1" applyBorder="1" applyAlignment="1" applyProtection="1">
      <alignment horizontal="center" vertical="center" wrapText="1"/>
      <protection locked="0"/>
    </xf>
    <xf numFmtId="167" fontId="1" fillId="13" borderId="74" xfId="1" applyNumberFormat="1" applyFont="1" applyFill="1" applyBorder="1" applyAlignment="1" applyProtection="1">
      <alignment horizontal="center" vertical="center" wrapText="1"/>
      <protection locked="0"/>
    </xf>
    <xf numFmtId="167" fontId="1" fillId="13" borderId="75" xfId="1" applyNumberFormat="1" applyFont="1" applyFill="1" applyBorder="1" applyAlignment="1" applyProtection="1">
      <alignment horizontal="center" vertical="center" wrapText="1"/>
      <protection locked="0"/>
    </xf>
    <xf numFmtId="0" fontId="5" fillId="3" borderId="9" xfId="1" applyFont="1" applyFill="1" applyBorder="1" applyAlignment="1" applyProtection="1">
      <alignment horizontal="left" vertical="center"/>
      <protection hidden="1"/>
    </xf>
    <xf numFmtId="0" fontId="5" fillId="3" borderId="10" xfId="1" applyFont="1" applyFill="1" applyBorder="1" applyAlignment="1" applyProtection="1">
      <alignment horizontal="left" vertical="center"/>
      <protection hidden="1"/>
    </xf>
    <xf numFmtId="0" fontId="5" fillId="3" borderId="11" xfId="1" applyFont="1" applyFill="1" applyBorder="1" applyAlignment="1" applyProtection="1">
      <alignment horizontal="left" vertical="center"/>
      <protection hidden="1"/>
    </xf>
    <xf numFmtId="0" fontId="5" fillId="3" borderId="76" xfId="1" applyFont="1" applyFill="1" applyBorder="1" applyAlignment="1" applyProtection="1">
      <alignment horizontal="center" vertical="center" wrapText="1"/>
      <protection hidden="1"/>
    </xf>
    <xf numFmtId="0" fontId="5" fillId="3" borderId="67" xfId="1" applyFont="1" applyFill="1" applyBorder="1" applyAlignment="1" applyProtection="1">
      <alignment horizontal="center" vertical="center"/>
      <protection hidden="1"/>
    </xf>
    <xf numFmtId="0" fontId="5" fillId="3" borderId="68" xfId="1" applyFont="1" applyFill="1" applyBorder="1" applyAlignment="1" applyProtection="1">
      <alignment horizontal="center" vertical="center"/>
      <protection hidden="1"/>
    </xf>
    <xf numFmtId="0" fontId="5" fillId="3" borderId="69" xfId="1" applyFont="1" applyFill="1" applyBorder="1" applyAlignment="1" applyProtection="1">
      <alignment horizontal="center" vertical="center"/>
      <protection hidden="1"/>
    </xf>
    <xf numFmtId="0" fontId="5" fillId="3" borderId="70" xfId="1" applyFont="1" applyFill="1" applyBorder="1" applyAlignment="1" applyProtection="1">
      <alignment horizontal="center" vertical="center"/>
      <protection hidden="1"/>
    </xf>
    <xf numFmtId="0" fontId="5" fillId="3" borderId="71" xfId="1" applyFont="1" applyFill="1" applyBorder="1" applyAlignment="1" applyProtection="1">
      <alignment horizontal="center" vertical="center"/>
      <protection hidden="1"/>
    </xf>
    <xf numFmtId="0" fontId="5" fillId="3" borderId="72" xfId="1" applyFont="1" applyFill="1" applyBorder="1" applyAlignment="1" applyProtection="1">
      <alignment horizontal="center" vertical="center"/>
      <protection hidden="1"/>
    </xf>
    <xf numFmtId="0" fontId="5" fillId="3" borderId="29" xfId="1" applyFont="1" applyFill="1" applyBorder="1" applyAlignment="1" applyProtection="1">
      <alignment horizontal="center" vertical="center"/>
      <protection hidden="1"/>
    </xf>
    <xf numFmtId="0" fontId="5" fillId="3" borderId="29" xfId="1" applyFont="1" applyFill="1" applyBorder="1" applyAlignment="1" applyProtection="1">
      <alignment horizontal="center" vertical="center" wrapText="1"/>
      <protection hidden="1"/>
    </xf>
    <xf numFmtId="0" fontId="5" fillId="13" borderId="2" xfId="1" applyFont="1" applyFill="1" applyBorder="1" applyAlignment="1" applyProtection="1">
      <alignment horizontal="center" vertical="center" wrapText="1"/>
      <protection hidden="1"/>
    </xf>
    <xf numFmtId="0" fontId="5" fillId="13" borderId="3" xfId="1" applyFont="1" applyFill="1" applyBorder="1" applyAlignment="1" applyProtection="1">
      <alignment horizontal="center" vertical="center" wrapText="1"/>
      <protection hidden="1"/>
    </xf>
    <xf numFmtId="0" fontId="5" fillId="13" borderId="4" xfId="1" applyFont="1" applyFill="1" applyBorder="1" applyAlignment="1" applyProtection="1">
      <alignment horizontal="center" vertical="center" wrapText="1"/>
      <protection hidden="1"/>
    </xf>
    <xf numFmtId="0" fontId="1" fillId="0" borderId="56" xfId="1" applyFont="1" applyBorder="1" applyAlignment="1" applyProtection="1">
      <alignment horizontal="left" vertical="center" indent="1"/>
      <protection hidden="1"/>
    </xf>
    <xf numFmtId="0" fontId="1" fillId="0" borderId="28" xfId="1" applyFont="1" applyBorder="1" applyAlignment="1" applyProtection="1">
      <alignment horizontal="left" vertical="center" indent="1"/>
      <protection hidden="1"/>
    </xf>
    <xf numFmtId="0" fontId="1" fillId="0" borderId="7" xfId="1" applyFont="1" applyBorder="1" applyAlignment="1" applyProtection="1">
      <alignment horizontal="left" vertical="center" indent="1"/>
      <protection hidden="1"/>
    </xf>
    <xf numFmtId="0" fontId="1" fillId="0" borderId="8" xfId="1" applyFont="1" applyBorder="1" applyAlignment="1" applyProtection="1">
      <alignment horizontal="left" vertical="center" indent="1"/>
      <protection hidden="1"/>
    </xf>
    <xf numFmtId="0" fontId="1" fillId="0" borderId="54" xfId="1" applyFont="1" applyBorder="1" applyAlignment="1" applyProtection="1">
      <alignment horizontal="left" vertical="center" indent="1"/>
      <protection hidden="1"/>
    </xf>
    <xf numFmtId="0" fontId="1" fillId="0" borderId="55" xfId="1" applyFont="1" applyBorder="1" applyAlignment="1" applyProtection="1">
      <alignment horizontal="left" vertical="center" indent="1"/>
      <protection hidden="1"/>
    </xf>
    <xf numFmtId="0" fontId="2" fillId="3" borderId="177" xfId="1" applyFont="1" applyFill="1" applyBorder="1" applyAlignment="1" applyProtection="1">
      <alignment horizontal="center" vertical="center"/>
      <protection hidden="1"/>
    </xf>
    <xf numFmtId="0" fontId="2" fillId="3" borderId="178" xfId="1" applyFont="1" applyFill="1" applyBorder="1" applyAlignment="1" applyProtection="1">
      <alignment horizontal="center" vertical="center"/>
      <protection hidden="1"/>
    </xf>
    <xf numFmtId="0" fontId="2" fillId="3" borderId="183" xfId="1" applyFont="1" applyFill="1" applyBorder="1" applyAlignment="1" applyProtection="1">
      <alignment horizontal="center" vertical="center"/>
      <protection hidden="1"/>
    </xf>
    <xf numFmtId="0" fontId="2" fillId="3" borderId="184" xfId="1" applyFont="1" applyFill="1" applyBorder="1" applyAlignment="1" applyProtection="1">
      <alignment horizontal="center" vertical="center"/>
      <protection hidden="1"/>
    </xf>
    <xf numFmtId="0" fontId="2" fillId="3" borderId="244" xfId="1" applyFont="1" applyFill="1" applyBorder="1" applyAlignment="1" applyProtection="1">
      <alignment horizontal="center" vertical="center"/>
      <protection hidden="1"/>
    </xf>
    <xf numFmtId="0" fontId="2" fillId="3" borderId="157" xfId="1" applyFont="1" applyFill="1" applyBorder="1" applyAlignment="1" applyProtection="1">
      <alignment horizontal="center" vertical="center"/>
      <protection hidden="1"/>
    </xf>
    <xf numFmtId="0" fontId="2" fillId="3" borderId="158" xfId="1" applyFont="1" applyFill="1" applyBorder="1" applyAlignment="1" applyProtection="1">
      <alignment horizontal="center" vertical="center"/>
      <protection hidden="1"/>
    </xf>
    <xf numFmtId="0" fontId="2" fillId="3" borderId="250" xfId="1" applyFont="1" applyFill="1" applyBorder="1" applyAlignment="1" applyProtection="1">
      <alignment horizontal="center" vertical="center"/>
      <protection hidden="1"/>
    </xf>
    <xf numFmtId="0" fontId="2" fillId="3" borderId="162" xfId="1" applyFont="1" applyFill="1" applyBorder="1" applyAlignment="1" applyProtection="1">
      <alignment horizontal="center" vertical="center"/>
      <protection hidden="1"/>
    </xf>
    <xf numFmtId="0" fontId="2" fillId="3" borderId="163" xfId="1" applyFont="1" applyFill="1" applyBorder="1" applyAlignment="1" applyProtection="1">
      <alignment horizontal="center" vertical="center"/>
      <protection hidden="1"/>
    </xf>
    <xf numFmtId="0" fontId="1" fillId="13" borderId="249" xfId="1" applyFont="1" applyFill="1" applyBorder="1" applyAlignment="1" applyProtection="1">
      <alignment horizontal="left" vertical="center"/>
      <protection hidden="1"/>
    </xf>
    <xf numFmtId="0" fontId="1" fillId="13" borderId="155" xfId="1" applyFont="1" applyFill="1" applyBorder="1" applyAlignment="1" applyProtection="1">
      <alignment horizontal="left" vertical="center"/>
      <protection hidden="1"/>
    </xf>
    <xf numFmtId="0" fontId="1" fillId="13" borderId="247" xfId="1" applyFont="1" applyFill="1" applyBorder="1" applyAlignment="1" applyProtection="1">
      <alignment horizontal="left" vertical="center"/>
      <protection hidden="1"/>
    </xf>
    <xf numFmtId="0" fontId="1" fillId="13" borderId="187" xfId="1" applyFont="1" applyFill="1" applyBorder="1" applyAlignment="1" applyProtection="1">
      <alignment horizontal="left" vertical="center"/>
      <protection hidden="1"/>
    </xf>
    <xf numFmtId="0" fontId="1" fillId="13" borderId="153" xfId="1" applyFont="1" applyFill="1" applyBorder="1" applyAlignment="1" applyProtection="1">
      <alignment horizontal="center" vertical="center"/>
      <protection hidden="1"/>
    </xf>
    <xf numFmtId="0" fontId="1" fillId="13" borderId="155" xfId="1" applyFont="1" applyFill="1" applyBorder="1" applyAlignment="1" applyProtection="1">
      <alignment horizontal="center" vertical="center"/>
      <protection hidden="1"/>
    </xf>
    <xf numFmtId="0" fontId="1" fillId="13" borderId="185" xfId="1" applyFont="1" applyFill="1" applyBorder="1" applyAlignment="1" applyProtection="1">
      <alignment horizontal="center" vertical="center"/>
      <protection hidden="1"/>
    </xf>
    <xf numFmtId="0" fontId="1" fillId="13" borderId="187" xfId="1" applyFont="1" applyFill="1" applyBorder="1" applyAlignment="1" applyProtection="1">
      <alignment horizontal="center" vertical="center"/>
      <protection hidden="1"/>
    </xf>
    <xf numFmtId="0" fontId="1" fillId="13" borderId="154" xfId="1" applyFont="1" applyFill="1" applyBorder="1" applyAlignment="1" applyProtection="1">
      <alignment horizontal="center" vertical="center"/>
      <protection hidden="1"/>
    </xf>
    <xf numFmtId="0" fontId="1" fillId="13" borderId="245" xfId="1" applyFont="1" applyFill="1" applyBorder="1" applyAlignment="1" applyProtection="1">
      <alignment horizontal="center" vertical="center"/>
      <protection hidden="1"/>
    </xf>
    <xf numFmtId="0" fontId="1" fillId="13" borderId="145" xfId="1" applyFont="1" applyFill="1" applyBorder="1" applyAlignment="1" applyProtection="1">
      <alignment horizontal="center" vertical="center"/>
      <protection hidden="1"/>
    </xf>
    <xf numFmtId="0" fontId="1" fillId="13" borderId="146" xfId="1" applyFont="1" applyFill="1" applyBorder="1" applyAlignment="1" applyProtection="1">
      <alignment horizontal="center" vertical="center"/>
      <protection hidden="1"/>
    </xf>
    <xf numFmtId="0" fontId="1" fillId="13" borderId="246" xfId="1" applyFont="1" applyFill="1" applyBorder="1" applyAlignment="1" applyProtection="1">
      <alignment horizontal="center" vertical="center"/>
      <protection hidden="1"/>
    </xf>
    <xf numFmtId="0" fontId="1" fillId="13" borderId="186" xfId="1" applyFont="1" applyFill="1" applyBorder="1" applyAlignment="1" applyProtection="1">
      <alignment horizontal="center" vertical="center"/>
      <protection hidden="1"/>
    </xf>
    <xf numFmtId="0" fontId="1" fillId="13" borderId="248" xfId="1" applyFont="1" applyFill="1" applyBorder="1" applyAlignment="1" applyProtection="1">
      <alignment horizontal="center" vertical="center"/>
      <protection hidden="1"/>
    </xf>
    <xf numFmtId="0" fontId="2" fillId="3" borderId="178" xfId="1" applyFont="1" applyFill="1" applyBorder="1" applyAlignment="1" applyProtection="1">
      <alignment horizontal="center" vertical="center" wrapText="1"/>
      <protection hidden="1"/>
    </xf>
    <xf numFmtId="0" fontId="2" fillId="3" borderId="184" xfId="1" applyFont="1" applyFill="1" applyBorder="1" applyAlignment="1" applyProtection="1">
      <alignment horizontal="center" vertical="center" wrapText="1"/>
      <protection hidden="1"/>
    </xf>
    <xf numFmtId="0" fontId="1" fillId="13" borderId="153" xfId="1" applyFont="1" applyFill="1" applyBorder="1" applyAlignment="1" applyProtection="1">
      <alignment horizontal="center" vertical="center" wrapText="1"/>
      <protection hidden="1"/>
    </xf>
    <xf numFmtId="0" fontId="1" fillId="13" borderId="155" xfId="1" applyFont="1" applyFill="1" applyBorder="1" applyAlignment="1" applyProtection="1">
      <alignment horizontal="center" vertical="center" wrapText="1"/>
      <protection hidden="1"/>
    </xf>
    <xf numFmtId="0" fontId="1" fillId="13" borderId="185" xfId="1" applyFont="1" applyFill="1" applyBorder="1" applyAlignment="1" applyProtection="1">
      <alignment horizontal="center" vertical="center" wrapText="1"/>
      <protection hidden="1"/>
    </xf>
    <xf numFmtId="0" fontId="1" fillId="13" borderId="187" xfId="1" applyFont="1" applyFill="1" applyBorder="1" applyAlignment="1" applyProtection="1">
      <alignment horizontal="center" vertical="center" wrapText="1"/>
      <protection hidden="1"/>
    </xf>
    <xf numFmtId="0" fontId="2" fillId="3" borderId="254" xfId="1" applyFont="1" applyFill="1" applyBorder="1" applyAlignment="1" applyProtection="1">
      <alignment horizontal="center" vertical="center"/>
      <protection hidden="1"/>
    </xf>
    <xf numFmtId="0" fontId="23" fillId="13" borderId="156" xfId="1" applyFont="1" applyFill="1" applyBorder="1" applyAlignment="1" applyProtection="1">
      <alignment horizontal="center" vertical="center" wrapText="1"/>
      <protection hidden="1"/>
    </xf>
    <xf numFmtId="0" fontId="23" fillId="13" borderId="157" xfId="1" applyFont="1" applyFill="1" applyBorder="1" applyAlignment="1" applyProtection="1">
      <alignment horizontal="center" vertical="center" wrapText="1"/>
      <protection hidden="1"/>
    </xf>
    <xf numFmtId="0" fontId="23" fillId="13" borderId="159" xfId="1" applyFont="1" applyFill="1" applyBorder="1" applyAlignment="1" applyProtection="1">
      <alignment horizontal="center" vertical="center" wrapText="1"/>
      <protection hidden="1"/>
    </xf>
    <xf numFmtId="0" fontId="23" fillId="13" borderId="0" xfId="1" applyFont="1" applyFill="1" applyBorder="1" applyAlignment="1" applyProtection="1">
      <alignment horizontal="center" vertical="center" wrapText="1"/>
      <protection hidden="1"/>
    </xf>
    <xf numFmtId="0" fontId="23" fillId="13" borderId="161" xfId="1" applyFont="1" applyFill="1" applyBorder="1" applyAlignment="1" applyProtection="1">
      <alignment horizontal="center" vertical="center" wrapText="1"/>
      <protection hidden="1"/>
    </xf>
    <xf numFmtId="0" fontId="23" fillId="13" borderId="162" xfId="1" applyFont="1" applyFill="1" applyBorder="1" applyAlignment="1" applyProtection="1">
      <alignment horizontal="center" vertical="center" wrapText="1"/>
      <protection hidden="1"/>
    </xf>
    <xf numFmtId="0" fontId="15" fillId="13" borderId="179" xfId="1" applyFont="1" applyFill="1" applyBorder="1" applyAlignment="1" applyProtection="1">
      <alignment horizontal="center" vertical="center" wrapText="1"/>
      <protection hidden="1"/>
    </xf>
    <xf numFmtId="0" fontId="15" fillId="13" borderId="195" xfId="1" applyFont="1" applyFill="1" applyBorder="1" applyAlignment="1" applyProtection="1">
      <alignment horizontal="center" vertical="center" wrapText="1"/>
      <protection hidden="1"/>
    </xf>
    <xf numFmtId="0" fontId="15" fillId="13" borderId="145" xfId="1" applyFont="1" applyFill="1" applyBorder="1" applyAlignment="1" applyProtection="1">
      <alignment horizontal="center" vertical="center" wrapText="1"/>
      <protection hidden="1"/>
    </xf>
    <xf numFmtId="0" fontId="15" fillId="13" borderId="147" xfId="1" applyFont="1" applyFill="1" applyBorder="1" applyAlignment="1" applyProtection="1">
      <alignment horizontal="center" vertical="center" wrapText="1"/>
      <protection hidden="1"/>
    </xf>
    <xf numFmtId="0" fontId="15" fillId="13" borderId="185" xfId="1" applyFont="1" applyFill="1" applyBorder="1" applyAlignment="1" applyProtection="1">
      <alignment horizontal="center" vertical="center" wrapText="1"/>
      <protection hidden="1"/>
    </xf>
    <xf numFmtId="0" fontId="15" fillId="13" borderId="187" xfId="1" applyFont="1" applyFill="1" applyBorder="1" applyAlignment="1" applyProtection="1">
      <alignment horizontal="center" vertical="center" wrapText="1"/>
      <protection hidden="1"/>
    </xf>
    <xf numFmtId="0" fontId="15" fillId="7" borderId="195" xfId="1" applyFont="1" applyFill="1" applyBorder="1" applyAlignment="1" applyProtection="1">
      <alignment horizontal="center" vertical="center" wrapText="1"/>
      <protection locked="0"/>
    </xf>
    <xf numFmtId="0" fontId="15" fillId="7" borderId="147" xfId="1" applyFont="1" applyFill="1" applyBorder="1" applyAlignment="1" applyProtection="1">
      <alignment horizontal="center" vertical="center" wrapText="1"/>
      <protection locked="0"/>
    </xf>
    <xf numFmtId="0" fontId="15" fillId="7" borderId="187" xfId="1" applyFont="1" applyFill="1" applyBorder="1" applyAlignment="1" applyProtection="1">
      <alignment horizontal="center" vertical="center" wrapText="1"/>
      <protection locked="0"/>
    </xf>
    <xf numFmtId="0" fontId="23" fillId="13" borderId="209" xfId="1" applyFont="1" applyFill="1" applyBorder="1" applyAlignment="1" applyProtection="1">
      <alignment horizontal="center" vertical="center" wrapText="1"/>
      <protection hidden="1"/>
    </xf>
    <xf numFmtId="0" fontId="23" fillId="13" borderId="152" xfId="1" applyFont="1" applyFill="1" applyBorder="1" applyAlignment="1" applyProtection="1">
      <alignment horizontal="center" vertical="center" wrapText="1"/>
      <protection hidden="1"/>
    </xf>
    <xf numFmtId="0" fontId="23" fillId="13" borderId="214" xfId="1" applyFont="1" applyFill="1" applyBorder="1" applyAlignment="1" applyProtection="1">
      <alignment horizontal="center" vertical="center" wrapText="1"/>
      <protection hidden="1"/>
    </xf>
    <xf numFmtId="0" fontId="15" fillId="13" borderId="244" xfId="1" applyFont="1" applyFill="1" applyBorder="1" applyAlignment="1" applyProtection="1">
      <alignment horizontal="center" vertical="center" wrapText="1"/>
      <protection hidden="1"/>
    </xf>
    <xf numFmtId="0" fontId="15" fillId="13" borderId="209" xfId="1" applyFont="1" applyFill="1" applyBorder="1" applyAlignment="1" applyProtection="1">
      <alignment horizontal="center" vertical="center" wrapText="1"/>
      <protection hidden="1"/>
    </xf>
    <xf numFmtId="0" fontId="15" fillId="13" borderId="153" xfId="1" applyFont="1" applyFill="1" applyBorder="1" applyAlignment="1" applyProtection="1">
      <alignment horizontal="center" vertical="center" wrapText="1"/>
      <protection hidden="1"/>
    </xf>
    <xf numFmtId="0" fontId="15" fillId="13" borderId="155" xfId="1" applyFont="1" applyFill="1" applyBorder="1" applyAlignment="1" applyProtection="1">
      <alignment horizontal="center" vertical="center" wrapText="1"/>
      <protection hidden="1"/>
    </xf>
    <xf numFmtId="0" fontId="15" fillId="13" borderId="151" xfId="1" applyFont="1" applyFill="1" applyBorder="1" applyAlignment="1" applyProtection="1">
      <alignment horizontal="center" vertical="center" wrapText="1"/>
      <protection hidden="1"/>
    </xf>
    <xf numFmtId="0" fontId="15" fillId="13" borderId="152" xfId="1" applyFont="1" applyFill="1" applyBorder="1" applyAlignment="1" applyProtection="1">
      <alignment horizontal="center" vertical="center" wrapText="1"/>
      <protection hidden="1"/>
    </xf>
    <xf numFmtId="0" fontId="1" fillId="15" borderId="1" xfId="1" applyFont="1" applyFill="1" applyBorder="1" applyAlignment="1" applyProtection="1">
      <alignment horizontal="left" vertical="center" wrapText="1" indent="1"/>
      <protection locked="0"/>
    </xf>
    <xf numFmtId="0" fontId="1" fillId="15" borderId="1" xfId="1" applyFont="1" applyFill="1" applyBorder="1" applyAlignment="1" applyProtection="1">
      <alignment horizontal="center" vertical="center" wrapText="1"/>
      <protection hidden="1"/>
    </xf>
    <xf numFmtId="0" fontId="1" fillId="15" borderId="1" xfId="1" applyFont="1" applyFill="1" applyBorder="1" applyAlignment="1" applyProtection="1">
      <alignment horizontal="left" vertical="center" wrapText="1" indent="1"/>
      <protection hidden="1"/>
    </xf>
    <xf numFmtId="0" fontId="1" fillId="15" borderId="1" xfId="1" applyFont="1" applyFill="1" applyBorder="1" applyAlignment="1" applyProtection="1">
      <alignment horizontal="center" vertical="center" wrapText="1"/>
      <protection locked="0" hidden="1"/>
    </xf>
    <xf numFmtId="0" fontId="1" fillId="15" borderId="1" xfId="1" applyFont="1" applyFill="1" applyBorder="1" applyAlignment="1" applyProtection="1">
      <alignment horizontal="left" vertical="center" wrapText="1" indent="1"/>
      <protection locked="0" hidden="1"/>
    </xf>
    <xf numFmtId="0" fontId="1" fillId="15" borderId="2" xfId="1" applyFont="1" applyFill="1" applyBorder="1" applyAlignment="1" applyProtection="1">
      <alignment horizontal="left" vertical="center" wrapText="1" indent="1"/>
      <protection hidden="1"/>
    </xf>
    <xf numFmtId="0" fontId="1" fillId="15" borderId="3" xfId="1" applyFont="1" applyFill="1" applyBorder="1" applyAlignment="1" applyProtection="1">
      <alignment horizontal="left" vertical="center" wrapText="1" indent="1"/>
      <protection hidden="1"/>
    </xf>
    <xf numFmtId="0" fontId="1" fillId="15" borderId="4" xfId="1" applyFont="1" applyFill="1" applyBorder="1" applyAlignment="1" applyProtection="1">
      <alignment horizontal="left" vertical="center" wrapText="1" indent="1"/>
      <protection hidden="1"/>
    </xf>
    <xf numFmtId="0" fontId="1" fillId="15" borderId="2" xfId="1" applyFont="1" applyFill="1" applyBorder="1" applyAlignment="1" applyProtection="1">
      <alignment horizontal="center" vertical="center" wrapText="1"/>
      <protection hidden="1"/>
    </xf>
    <xf numFmtId="0" fontId="1" fillId="15" borderId="3" xfId="1" applyFont="1" applyFill="1" applyBorder="1" applyAlignment="1" applyProtection="1">
      <alignment horizontal="center" vertical="center" wrapText="1"/>
      <protection hidden="1"/>
    </xf>
    <xf numFmtId="0" fontId="1" fillId="15" borderId="4" xfId="1" applyFont="1" applyFill="1" applyBorder="1" applyAlignment="1" applyProtection="1">
      <alignment horizontal="center" vertical="center" wrapText="1"/>
      <protection hidden="1"/>
    </xf>
    <xf numFmtId="0" fontId="5" fillId="0" borderId="35" xfId="1" applyFont="1" applyFill="1" applyBorder="1" applyAlignment="1" applyProtection="1">
      <alignment horizontal="center" vertical="center"/>
      <protection locked="0"/>
    </xf>
    <xf numFmtId="0" fontId="5" fillId="0" borderId="37" xfId="1" applyFont="1" applyFill="1" applyBorder="1" applyAlignment="1" applyProtection="1">
      <alignment horizontal="center" vertical="center"/>
      <protection locked="0"/>
    </xf>
    <xf numFmtId="0" fontId="1" fillId="15" borderId="2" xfId="1" applyFont="1" applyFill="1" applyBorder="1" applyAlignment="1" applyProtection="1">
      <alignment horizontal="center" vertical="center" wrapText="1"/>
      <protection locked="0"/>
    </xf>
    <xf numFmtId="0" fontId="1" fillId="15" borderId="3" xfId="1" applyFont="1" applyFill="1" applyBorder="1" applyAlignment="1" applyProtection="1">
      <alignment horizontal="center" vertical="center" wrapText="1"/>
      <protection locked="0"/>
    </xf>
    <xf numFmtId="0" fontId="1" fillId="15" borderId="4" xfId="1" applyFont="1" applyFill="1" applyBorder="1" applyAlignment="1" applyProtection="1">
      <alignment horizontal="center" vertical="center" wrapText="1"/>
      <protection locked="0"/>
    </xf>
    <xf numFmtId="0" fontId="1" fillId="15" borderId="2" xfId="1" applyFont="1" applyFill="1" applyBorder="1" applyAlignment="1" applyProtection="1">
      <alignment horizontal="left" vertical="center" wrapText="1" indent="1"/>
      <protection locked="0"/>
    </xf>
    <xf numFmtId="0" fontId="1" fillId="15" borderId="3" xfId="1" applyFont="1" applyFill="1" applyBorder="1" applyAlignment="1" applyProtection="1">
      <alignment horizontal="left" vertical="center" wrapText="1" indent="1"/>
      <protection locked="0"/>
    </xf>
    <xf numFmtId="0" fontId="1" fillId="15" borderId="4" xfId="1" applyFont="1" applyFill="1" applyBorder="1" applyAlignment="1" applyProtection="1">
      <alignment horizontal="left" vertical="center" wrapText="1" indent="1"/>
      <protection locked="0"/>
    </xf>
    <xf numFmtId="0" fontId="11" fillId="15" borderId="145" xfId="0" applyFont="1" applyFill="1" applyBorder="1" applyAlignment="1" applyProtection="1">
      <alignment horizontal="center" vertical="center" wrapText="1"/>
      <protection locked="0"/>
    </xf>
    <xf numFmtId="0" fontId="11" fillId="15" borderId="146" xfId="0" applyFont="1" applyFill="1" applyBorder="1" applyAlignment="1" applyProtection="1">
      <alignment horizontal="center" vertical="center" wrapText="1"/>
      <protection locked="0"/>
    </xf>
    <xf numFmtId="0" fontId="11" fillId="15" borderId="147" xfId="0" applyFont="1" applyFill="1" applyBorder="1" applyAlignment="1" applyProtection="1">
      <alignment horizontal="center" vertical="center" wrapText="1"/>
      <protection locked="0"/>
    </xf>
    <xf numFmtId="0" fontId="11" fillId="15" borderId="31" xfId="0" applyFont="1" applyFill="1" applyBorder="1" applyAlignment="1" applyProtection="1">
      <alignment horizontal="center"/>
      <protection locked="0"/>
    </xf>
    <xf numFmtId="0" fontId="2" fillId="3" borderId="144" xfId="0" applyFont="1" applyFill="1" applyBorder="1" applyAlignment="1" applyProtection="1">
      <alignment horizontal="center" vertical="center" wrapText="1"/>
      <protection hidden="1"/>
    </xf>
    <xf numFmtId="0" fontId="2" fillId="3" borderId="144" xfId="0" applyFont="1" applyFill="1" applyBorder="1" applyAlignment="1" applyProtection="1">
      <alignment horizontal="center" vertical="center"/>
      <protection hidden="1"/>
    </xf>
    <xf numFmtId="0" fontId="11" fillId="15" borderId="144" xfId="0" applyFont="1" applyFill="1" applyBorder="1" applyAlignment="1" applyProtection="1">
      <alignment horizontal="center" vertical="center"/>
      <protection locked="0"/>
    </xf>
    <xf numFmtId="0" fontId="11" fillId="3" borderId="144" xfId="0" applyFont="1" applyFill="1" applyBorder="1" applyAlignment="1" applyProtection="1">
      <alignment horizontal="center" vertical="center" wrapText="1"/>
      <protection hidden="1"/>
    </xf>
    <xf numFmtId="0" fontId="11" fillId="15" borderId="145" xfId="0" applyFont="1" applyFill="1" applyBorder="1" applyAlignment="1" applyProtection="1">
      <alignment horizontal="left" vertical="center" wrapText="1"/>
      <protection locked="0"/>
    </xf>
    <xf numFmtId="0" fontId="11" fillId="15" borderId="146" xfId="0" applyFont="1" applyFill="1" applyBorder="1" applyAlignment="1" applyProtection="1">
      <alignment horizontal="left" vertical="center" wrapText="1"/>
      <protection locked="0"/>
    </xf>
    <xf numFmtId="0" fontId="11" fillId="15" borderId="147" xfId="0" applyFont="1" applyFill="1" applyBorder="1" applyAlignment="1" applyProtection="1">
      <alignment horizontal="left" vertical="center" wrapText="1"/>
      <protection locked="0"/>
    </xf>
    <xf numFmtId="0" fontId="17" fillId="8" borderId="2" xfId="1" applyFont="1" applyFill="1" applyBorder="1" applyAlignment="1" applyProtection="1">
      <alignment horizontal="center" vertical="center" wrapText="1"/>
      <protection locked="0"/>
    </xf>
    <xf numFmtId="0" fontId="17" fillId="8" borderId="3" xfId="1" applyFont="1" applyFill="1" applyBorder="1" applyAlignment="1" applyProtection="1">
      <alignment horizontal="center" vertical="center" wrapText="1"/>
      <protection locked="0"/>
    </xf>
    <xf numFmtId="0" fontId="17" fillId="8" borderId="4" xfId="1" applyFont="1" applyFill="1" applyBorder="1" applyAlignment="1" applyProtection="1">
      <alignment horizontal="center" vertical="center" wrapText="1"/>
      <protection locked="0"/>
    </xf>
    <xf numFmtId="0" fontId="22" fillId="8" borderId="1" xfId="1" applyFont="1" applyFill="1" applyBorder="1" applyAlignment="1" applyProtection="1">
      <alignment horizontal="left" vertical="center" indent="1"/>
      <protection locked="0"/>
    </xf>
    <xf numFmtId="0" fontId="40" fillId="8" borderId="1" xfId="1" applyFont="1" applyFill="1" applyBorder="1" applyAlignment="1" applyProtection="1">
      <alignment horizontal="center" vertical="center" wrapText="1"/>
      <protection locked="0"/>
    </xf>
    <xf numFmtId="0" fontId="17" fillId="8" borderId="1" xfId="1" applyFont="1" applyFill="1" applyBorder="1" applyAlignment="1" applyProtection="1">
      <alignment horizontal="left" vertical="center" wrapText="1" indent="1"/>
      <protection hidden="1"/>
    </xf>
    <xf numFmtId="0" fontId="40" fillId="8" borderId="2" xfId="1" applyFont="1" applyFill="1" applyBorder="1" applyAlignment="1" applyProtection="1">
      <alignment horizontal="center" vertical="center" wrapText="1"/>
      <protection locked="0"/>
    </xf>
    <xf numFmtId="0" fontId="40" fillId="8" borderId="3" xfId="1" applyFont="1" applyFill="1" applyBorder="1" applyAlignment="1" applyProtection="1">
      <alignment horizontal="center" vertical="center" wrapText="1"/>
      <protection locked="0"/>
    </xf>
    <xf numFmtId="0" fontId="40" fillId="8" borderId="4" xfId="1" applyFont="1" applyFill="1" applyBorder="1" applyAlignment="1" applyProtection="1">
      <alignment horizontal="center" vertical="center" wrapText="1"/>
      <protection locked="0"/>
    </xf>
    <xf numFmtId="0" fontId="17" fillId="8" borderId="2" xfId="1" applyFont="1" applyFill="1" applyBorder="1" applyAlignment="1" applyProtection="1">
      <alignment horizontal="justify" vertical="center" wrapText="1"/>
      <protection locked="0"/>
    </xf>
    <xf numFmtId="0" fontId="17" fillId="8" borderId="3" xfId="1" applyFont="1" applyFill="1" applyBorder="1" applyAlignment="1" applyProtection="1">
      <alignment horizontal="justify" vertical="center" wrapText="1"/>
      <protection locked="0"/>
    </xf>
    <xf numFmtId="0" fontId="17" fillId="8" borderId="4" xfId="1" applyFont="1" applyFill="1" applyBorder="1" applyAlignment="1" applyProtection="1">
      <alignment horizontal="justify" vertical="center" wrapText="1"/>
      <protection locked="0"/>
    </xf>
    <xf numFmtId="0" fontId="17" fillId="8" borderId="2" xfId="1" applyFont="1" applyFill="1" applyBorder="1" applyAlignment="1" applyProtection="1">
      <alignment horizontal="left" vertical="center" wrapText="1"/>
      <protection locked="0"/>
    </xf>
    <xf numFmtId="0" fontId="17" fillId="8" borderId="3" xfId="1" applyFont="1" applyFill="1" applyBorder="1" applyAlignment="1" applyProtection="1">
      <alignment horizontal="left" vertical="center" wrapText="1"/>
      <protection locked="0"/>
    </xf>
    <xf numFmtId="0" fontId="17" fillId="8" borderId="4" xfId="1" applyFont="1" applyFill="1" applyBorder="1" applyAlignment="1" applyProtection="1">
      <alignment horizontal="left" vertical="center" wrapText="1"/>
      <protection locked="0"/>
    </xf>
    <xf numFmtId="0" fontId="17" fillId="8" borderId="1" xfId="1" applyFont="1" applyFill="1" applyBorder="1" applyAlignment="1" applyProtection="1">
      <alignment horizontal="justify" vertical="center" wrapText="1"/>
      <protection locked="0"/>
    </xf>
    <xf numFmtId="0" fontId="17" fillId="8" borderId="1" xfId="1" applyFont="1" applyFill="1" applyBorder="1" applyAlignment="1" applyProtection="1">
      <alignment horizontal="left" vertical="center" wrapText="1" indent="1"/>
      <protection locked="0"/>
    </xf>
    <xf numFmtId="0" fontId="17" fillId="8" borderId="1" xfId="1" applyFont="1" applyFill="1" applyBorder="1" applyAlignment="1" applyProtection="1">
      <alignment horizontal="left" vertical="center" wrapText="1"/>
      <protection locked="0"/>
    </xf>
    <xf numFmtId="0" fontId="1" fillId="9" borderId="30" xfId="1" applyFont="1" applyFill="1" applyBorder="1" applyAlignment="1" applyProtection="1">
      <alignment horizontal="center" vertical="center"/>
      <protection hidden="1"/>
    </xf>
    <xf numFmtId="0" fontId="1" fillId="9" borderId="48" xfId="1" applyFont="1" applyFill="1" applyBorder="1" applyAlignment="1" applyProtection="1">
      <alignment horizontal="center" vertical="center"/>
      <protection hidden="1"/>
    </xf>
    <xf numFmtId="0" fontId="1" fillId="9" borderId="27" xfId="1" applyFont="1" applyFill="1" applyBorder="1" applyAlignment="1" applyProtection="1">
      <alignment horizontal="center" vertical="center"/>
      <protection hidden="1"/>
    </xf>
    <xf numFmtId="0" fontId="17" fillId="8" borderId="56" xfId="1" applyFont="1" applyFill="1" applyBorder="1" applyAlignment="1" applyProtection="1">
      <alignment horizontal="center" vertical="center" wrapText="1"/>
      <protection hidden="1"/>
    </xf>
    <xf numFmtId="0" fontId="17" fillId="8" borderId="19" xfId="1" applyFont="1" applyFill="1" applyBorder="1" applyAlignment="1" applyProtection="1">
      <alignment horizontal="center" vertical="center" wrapText="1"/>
      <protection hidden="1"/>
    </xf>
    <xf numFmtId="0" fontId="17" fillId="8" borderId="28" xfId="1" applyFont="1" applyFill="1" applyBorder="1" applyAlignment="1" applyProtection="1">
      <alignment horizontal="center" vertical="center" wrapText="1"/>
      <protection hidden="1"/>
    </xf>
    <xf numFmtId="0" fontId="17" fillId="8" borderId="7" xfId="1" applyFont="1" applyFill="1" applyBorder="1" applyAlignment="1" applyProtection="1">
      <alignment horizontal="center" vertical="center" wrapText="1"/>
      <protection hidden="1"/>
    </xf>
    <xf numFmtId="0" fontId="17" fillId="8" borderId="0" xfId="1" applyFont="1" applyFill="1" applyBorder="1" applyAlignment="1" applyProtection="1">
      <alignment horizontal="center" vertical="center" wrapText="1"/>
      <protection hidden="1"/>
    </xf>
    <xf numFmtId="0" fontId="17" fillId="8" borderId="8" xfId="1" applyFont="1" applyFill="1" applyBorder="1" applyAlignment="1" applyProtection="1">
      <alignment horizontal="center" vertical="center" wrapText="1"/>
      <protection hidden="1"/>
    </xf>
    <xf numFmtId="0" fontId="17" fillId="8" borderId="54" xfId="1" applyFont="1" applyFill="1" applyBorder="1" applyAlignment="1" applyProtection="1">
      <alignment horizontal="center" vertical="center" wrapText="1"/>
      <protection hidden="1"/>
    </xf>
    <xf numFmtId="0" fontId="17" fillId="8" borderId="57" xfId="1" applyFont="1" applyFill="1" applyBorder="1" applyAlignment="1" applyProtection="1">
      <alignment horizontal="center" vertical="center" wrapText="1"/>
      <protection hidden="1"/>
    </xf>
    <xf numFmtId="0" fontId="17" fillId="8" borderId="55" xfId="1" applyFont="1" applyFill="1" applyBorder="1" applyAlignment="1" applyProtection="1">
      <alignment horizontal="center" vertical="center" wrapText="1"/>
      <protection hidden="1"/>
    </xf>
    <xf numFmtId="0" fontId="17" fillId="8" borderId="2" xfId="1" applyFont="1" applyFill="1" applyBorder="1" applyAlignment="1" applyProtection="1">
      <alignment horizontal="center" vertical="center" wrapText="1"/>
      <protection hidden="1"/>
    </xf>
    <xf numFmtId="0" fontId="17" fillId="8" borderId="3" xfId="1" applyFont="1" applyFill="1" applyBorder="1" applyAlignment="1" applyProtection="1">
      <alignment horizontal="center" vertical="center" wrapText="1"/>
      <protection hidden="1"/>
    </xf>
    <xf numFmtId="0" fontId="17" fillId="8" borderId="4" xfId="1" applyFont="1" applyFill="1" applyBorder="1" applyAlignment="1" applyProtection="1">
      <alignment horizontal="center" vertical="center" wrapText="1"/>
      <protection hidden="1"/>
    </xf>
    <xf numFmtId="0" fontId="17" fillId="3" borderId="2" xfId="1" applyFont="1" applyFill="1" applyBorder="1" applyAlignment="1" applyProtection="1">
      <alignment horizontal="center" vertical="center" wrapText="1"/>
      <protection hidden="1"/>
    </xf>
    <xf numFmtId="0" fontId="17" fillId="3" borderId="3" xfId="1" applyFont="1" applyFill="1" applyBorder="1" applyAlignment="1" applyProtection="1">
      <alignment horizontal="center" vertical="center" wrapText="1"/>
      <protection hidden="1"/>
    </xf>
    <xf numFmtId="0" fontId="17" fillId="3" borderId="4" xfId="1" applyFont="1" applyFill="1" applyBorder="1" applyAlignment="1" applyProtection="1">
      <alignment horizontal="center" vertical="center" wrapText="1"/>
      <protection hidden="1"/>
    </xf>
    <xf numFmtId="0" fontId="17" fillId="8" borderId="56" xfId="1" applyFont="1" applyFill="1" applyBorder="1" applyAlignment="1" applyProtection="1">
      <alignment horizontal="center" vertical="center" wrapText="1"/>
      <protection locked="0"/>
    </xf>
    <xf numFmtId="0" fontId="17" fillId="8" borderId="19" xfId="1" applyFont="1" applyFill="1" applyBorder="1" applyAlignment="1" applyProtection="1">
      <alignment horizontal="center" vertical="center" wrapText="1"/>
      <protection locked="0"/>
    </xf>
    <xf numFmtId="0" fontId="17" fillId="8" borderId="28" xfId="1" applyFont="1" applyFill="1" applyBorder="1" applyAlignment="1" applyProtection="1">
      <alignment horizontal="center" vertical="center" wrapText="1"/>
      <protection locked="0"/>
    </xf>
    <xf numFmtId="0" fontId="17" fillId="8" borderId="7" xfId="1" applyFont="1" applyFill="1" applyBorder="1" applyAlignment="1" applyProtection="1">
      <alignment horizontal="center" vertical="center" wrapText="1"/>
      <protection locked="0"/>
    </xf>
    <xf numFmtId="0" fontId="17" fillId="8" borderId="0" xfId="1" applyFont="1" applyFill="1" applyBorder="1" applyAlignment="1" applyProtection="1">
      <alignment horizontal="center" vertical="center" wrapText="1"/>
      <protection locked="0"/>
    </xf>
    <xf numFmtId="0" fontId="17" fillId="8" borderId="8" xfId="1" applyFont="1" applyFill="1" applyBorder="1" applyAlignment="1" applyProtection="1">
      <alignment horizontal="center" vertical="center" wrapText="1"/>
      <protection locked="0"/>
    </xf>
    <xf numFmtId="0" fontId="17" fillId="8" borderId="54" xfId="1" applyFont="1" applyFill="1" applyBorder="1" applyAlignment="1" applyProtection="1">
      <alignment horizontal="center" vertical="center" wrapText="1"/>
      <protection locked="0"/>
    </xf>
    <xf numFmtId="0" fontId="17" fillId="8" borderId="57" xfId="1" applyFont="1" applyFill="1" applyBorder="1" applyAlignment="1" applyProtection="1">
      <alignment horizontal="center" vertical="center" wrapText="1"/>
      <protection locked="0"/>
    </xf>
    <xf numFmtId="0" fontId="17" fillId="8" borderId="55" xfId="1" applyFont="1" applyFill="1" applyBorder="1" applyAlignment="1" applyProtection="1">
      <alignment horizontal="center" vertical="center" wrapText="1"/>
      <protection locked="0"/>
    </xf>
    <xf numFmtId="0" fontId="5" fillId="3" borderId="35" xfId="1" applyFont="1" applyFill="1" applyBorder="1" applyAlignment="1" applyProtection="1">
      <alignment horizontal="center" vertical="center" wrapText="1"/>
      <protection hidden="1"/>
    </xf>
    <xf numFmtId="0" fontId="5" fillId="3" borderId="36" xfId="1" applyFont="1" applyFill="1" applyBorder="1" applyAlignment="1" applyProtection="1">
      <alignment horizontal="center" vertical="center" wrapText="1"/>
      <protection hidden="1"/>
    </xf>
    <xf numFmtId="0" fontId="5" fillId="3" borderId="37" xfId="1" applyFont="1" applyFill="1" applyBorder="1" applyAlignment="1" applyProtection="1">
      <alignment horizontal="center" vertical="center" wrapText="1"/>
      <protection hidden="1"/>
    </xf>
    <xf numFmtId="0" fontId="17" fillId="8" borderId="2" xfId="1" applyFont="1" applyFill="1" applyBorder="1" applyAlignment="1" applyProtection="1">
      <alignment horizontal="left" vertical="center" wrapText="1" indent="1"/>
      <protection locked="0"/>
    </xf>
    <xf numFmtId="0" fontId="17" fillId="8" borderId="3" xfId="1" applyFont="1" applyFill="1" applyBorder="1" applyAlignment="1" applyProtection="1">
      <alignment horizontal="left" vertical="center" wrapText="1" indent="1"/>
      <protection locked="0"/>
    </xf>
    <xf numFmtId="0" fontId="17" fillId="8" borderId="4" xfId="1" applyFont="1" applyFill="1" applyBorder="1" applyAlignment="1" applyProtection="1">
      <alignment horizontal="left" vertical="center" wrapText="1" indent="1"/>
      <protection locked="0"/>
    </xf>
    <xf numFmtId="0" fontId="5" fillId="2" borderId="0" xfId="1" applyFont="1" applyFill="1" applyBorder="1" applyAlignment="1" applyProtection="1">
      <alignment vertical="center"/>
      <protection hidden="1"/>
    </xf>
    <xf numFmtId="0" fontId="17" fillId="8" borderId="56" xfId="1" applyFont="1" applyFill="1" applyBorder="1" applyAlignment="1" applyProtection="1">
      <alignment horizontal="left" vertical="center" wrapText="1" indent="1"/>
      <protection locked="0"/>
    </xf>
    <xf numFmtId="0" fontId="17" fillId="8" borderId="19" xfId="1" applyFont="1" applyFill="1" applyBorder="1" applyAlignment="1" applyProtection="1">
      <alignment horizontal="left" vertical="center" wrapText="1" indent="1"/>
      <protection locked="0"/>
    </xf>
    <xf numFmtId="0" fontId="17" fillId="8" borderId="28" xfId="1" applyFont="1" applyFill="1" applyBorder="1" applyAlignment="1" applyProtection="1">
      <alignment horizontal="left" vertical="center" wrapText="1" indent="1"/>
      <protection locked="0"/>
    </xf>
    <xf numFmtId="0" fontId="17" fillId="8" borderId="7" xfId="1" applyFont="1" applyFill="1" applyBorder="1" applyAlignment="1" applyProtection="1">
      <alignment horizontal="left" vertical="center" wrapText="1" indent="1"/>
      <protection locked="0"/>
    </xf>
    <xf numFmtId="0" fontId="17" fillId="8" borderId="0" xfId="1" applyFont="1" applyFill="1" applyBorder="1" applyAlignment="1" applyProtection="1">
      <alignment horizontal="left" vertical="center" wrapText="1" indent="1"/>
      <protection locked="0"/>
    </xf>
    <xf numFmtId="0" fontId="17" fillId="8" borderId="8" xfId="1" applyFont="1" applyFill="1" applyBorder="1" applyAlignment="1" applyProtection="1">
      <alignment horizontal="left" vertical="center" wrapText="1" indent="1"/>
      <protection locked="0"/>
    </xf>
    <xf numFmtId="0" fontId="17" fillId="8" borderId="54" xfId="1" applyFont="1" applyFill="1" applyBorder="1" applyAlignment="1" applyProtection="1">
      <alignment horizontal="left" vertical="center" wrapText="1" indent="1"/>
      <protection locked="0"/>
    </xf>
    <xf numFmtId="0" fontId="17" fillId="8" borderId="57" xfId="1" applyFont="1" applyFill="1" applyBorder="1" applyAlignment="1" applyProtection="1">
      <alignment horizontal="left" vertical="center" wrapText="1" indent="1"/>
      <protection locked="0"/>
    </xf>
    <xf numFmtId="0" fontId="17" fillId="8" borderId="55" xfId="1" applyFont="1" applyFill="1" applyBorder="1" applyAlignment="1" applyProtection="1">
      <alignment horizontal="left" vertical="center" wrapText="1" indent="1"/>
      <protection locked="0"/>
    </xf>
    <xf numFmtId="0" fontId="17" fillId="8" borderId="2" xfId="1" applyFont="1" applyFill="1" applyBorder="1" applyAlignment="1" applyProtection="1">
      <alignment horizontal="left" vertical="center" wrapText="1"/>
      <protection hidden="1"/>
    </xf>
    <xf numFmtId="0" fontId="17" fillId="8" borderId="3" xfId="1" applyFont="1" applyFill="1" applyBorder="1" applyAlignment="1" applyProtection="1">
      <alignment horizontal="left" vertical="center" wrapText="1"/>
      <protection hidden="1"/>
    </xf>
    <xf numFmtId="0" fontId="17" fillId="8" borderId="4" xfId="1" applyFont="1" applyFill="1" applyBorder="1" applyAlignment="1" applyProtection="1">
      <alignment horizontal="left" vertical="center" wrapText="1"/>
      <protection hidden="1"/>
    </xf>
    <xf numFmtId="0" fontId="17" fillId="8" borderId="56" xfId="1" applyFont="1" applyFill="1" applyBorder="1" applyAlignment="1" applyProtection="1">
      <alignment horizontal="left" vertical="center" wrapText="1"/>
      <protection locked="0"/>
    </xf>
    <xf numFmtId="0" fontId="17" fillId="8" borderId="19" xfId="1" applyFont="1" applyFill="1" applyBorder="1" applyAlignment="1" applyProtection="1">
      <alignment horizontal="left" vertical="center" wrapText="1"/>
      <protection locked="0"/>
    </xf>
    <xf numFmtId="0" fontId="17" fillId="8" borderId="28" xfId="1" applyFont="1" applyFill="1" applyBorder="1" applyAlignment="1" applyProtection="1">
      <alignment horizontal="left" vertical="center" wrapText="1"/>
      <protection locked="0"/>
    </xf>
    <xf numFmtId="0" fontId="17" fillId="8" borderId="7" xfId="1" applyFont="1" applyFill="1" applyBorder="1" applyAlignment="1" applyProtection="1">
      <alignment horizontal="left" vertical="center" wrapText="1"/>
      <protection locked="0"/>
    </xf>
    <xf numFmtId="0" fontId="17" fillId="8" borderId="0" xfId="1" applyFont="1" applyFill="1" applyBorder="1" applyAlignment="1" applyProtection="1">
      <alignment horizontal="left" vertical="center" wrapText="1"/>
      <protection locked="0"/>
    </xf>
    <xf numFmtId="0" fontId="17" fillId="8" borderId="8" xfId="1" applyFont="1" applyFill="1" applyBorder="1" applyAlignment="1" applyProtection="1">
      <alignment horizontal="left" vertical="center" wrapText="1"/>
      <protection locked="0"/>
    </xf>
    <xf numFmtId="0" fontId="17" fillId="8" borderId="54" xfId="1" applyFont="1" applyFill="1" applyBorder="1" applyAlignment="1" applyProtection="1">
      <alignment horizontal="left" vertical="center" wrapText="1"/>
      <protection locked="0"/>
    </xf>
    <xf numFmtId="0" fontId="17" fillId="8" borderId="57" xfId="1" applyFont="1" applyFill="1" applyBorder="1" applyAlignment="1" applyProtection="1">
      <alignment horizontal="left" vertical="center" wrapText="1"/>
      <protection locked="0"/>
    </xf>
    <xf numFmtId="0" fontId="17" fillId="8" borderId="55" xfId="1" applyFont="1" applyFill="1" applyBorder="1" applyAlignment="1" applyProtection="1">
      <alignment horizontal="left" vertical="center" wrapText="1"/>
      <protection locked="0"/>
    </xf>
    <xf numFmtId="0" fontId="1" fillId="0" borderId="0" xfId="1" applyFont="1" applyFill="1" applyBorder="1" applyAlignment="1" applyProtection="1">
      <alignment horizontal="center" vertical="center"/>
      <protection locked="0"/>
    </xf>
    <xf numFmtId="0" fontId="15" fillId="0" borderId="0" xfId="1" applyFont="1" applyBorder="1" applyAlignment="1" applyProtection="1">
      <alignment horizontal="left" vertical="center" wrapText="1" indent="2"/>
      <protection hidden="1"/>
    </xf>
    <xf numFmtId="0" fontId="5" fillId="0" borderId="0" xfId="1" applyFont="1" applyBorder="1" applyAlignment="1" applyProtection="1">
      <alignment horizontal="left" wrapText="1" indent="4"/>
      <protection hidden="1"/>
    </xf>
    <xf numFmtId="0" fontId="1" fillId="8" borderId="30" xfId="1" applyFont="1" applyFill="1" applyBorder="1" applyAlignment="1" applyProtection="1">
      <alignment horizontal="center" vertical="center"/>
      <protection locked="0"/>
    </xf>
    <xf numFmtId="0" fontId="1" fillId="8" borderId="27" xfId="1" applyFont="1" applyFill="1" applyBorder="1" applyAlignment="1" applyProtection="1">
      <alignment horizontal="center" vertical="center"/>
      <protection locked="0"/>
    </xf>
    <xf numFmtId="170" fontId="1" fillId="8" borderId="22" xfId="1" applyNumberFormat="1" applyFont="1" applyFill="1" applyBorder="1" applyAlignment="1" applyProtection="1">
      <alignment horizontal="center" vertical="center" wrapText="1"/>
      <protection locked="0"/>
    </xf>
    <xf numFmtId="170" fontId="1" fillId="8" borderId="24" xfId="1" applyNumberFormat="1" applyFont="1" applyFill="1" applyBorder="1" applyAlignment="1" applyProtection="1">
      <alignment horizontal="center" vertical="center" wrapText="1"/>
      <protection locked="0"/>
    </xf>
    <xf numFmtId="170" fontId="5" fillId="3" borderId="22" xfId="1" applyNumberFormat="1" applyFont="1" applyFill="1" applyBorder="1" applyAlignment="1" applyProtection="1">
      <alignment horizontal="center" vertical="top" wrapText="1"/>
      <protection hidden="1"/>
    </xf>
    <xf numFmtId="170" fontId="5" fillId="3" borderId="24" xfId="1" applyNumberFormat="1" applyFont="1" applyFill="1" applyBorder="1" applyAlignment="1" applyProtection="1">
      <alignment horizontal="center" vertical="top" wrapText="1"/>
      <protection hidden="1"/>
    </xf>
    <xf numFmtId="0" fontId="1" fillId="8" borderId="79" xfId="1" quotePrefix="1" applyFont="1" applyFill="1" applyBorder="1" applyAlignment="1" applyProtection="1">
      <alignment horizontal="center" vertical="center" wrapText="1"/>
      <protection locked="0"/>
    </xf>
    <xf numFmtId="0" fontId="1" fillId="8" borderId="80" xfId="1" applyFont="1" applyFill="1" applyBorder="1" applyAlignment="1" applyProtection="1">
      <alignment horizontal="center" vertical="center" wrapText="1"/>
      <protection locked="0"/>
    </xf>
    <xf numFmtId="0" fontId="1" fillId="8" borderId="79" xfId="1" applyFont="1" applyFill="1" applyBorder="1" applyAlignment="1" applyProtection="1">
      <alignment horizontal="center" vertical="center" wrapText="1"/>
      <protection locked="0"/>
    </xf>
    <xf numFmtId="0" fontId="1" fillId="8" borderId="93" xfId="1" applyFont="1" applyFill="1" applyBorder="1" applyAlignment="1" applyProtection="1">
      <alignment horizontal="center" vertical="center" wrapText="1"/>
      <protection locked="0"/>
    </xf>
    <xf numFmtId="0" fontId="1" fillId="8" borderId="94" xfId="1" applyFont="1" applyFill="1" applyBorder="1" applyAlignment="1" applyProtection="1">
      <alignment horizontal="center" vertical="center" wrapText="1"/>
      <protection locked="0"/>
    </xf>
    <xf numFmtId="0" fontId="1" fillId="8" borderId="2" xfId="1" applyFont="1" applyFill="1" applyBorder="1" applyAlignment="1" applyProtection="1">
      <alignment horizontal="justify" vertical="top" wrapText="1"/>
      <protection hidden="1"/>
    </xf>
    <xf numFmtId="0" fontId="1" fillId="8" borderId="4" xfId="1" applyFont="1" applyFill="1" applyBorder="1" applyAlignment="1" applyProtection="1">
      <alignment horizontal="justify" vertical="top" wrapText="1"/>
      <protection hidden="1"/>
    </xf>
    <xf numFmtId="0" fontId="10" fillId="0" borderId="0" xfId="1" applyFont="1" applyBorder="1" applyAlignment="1" applyProtection="1">
      <alignment horizontal="left" vertical="center" wrapText="1" indent="12"/>
      <protection hidden="1"/>
    </xf>
    <xf numFmtId="0" fontId="10" fillId="0" borderId="32" xfId="1" applyFont="1" applyBorder="1" applyAlignment="1" applyProtection="1">
      <alignment horizontal="left" vertical="center" wrapText="1" indent="12"/>
      <protection hidden="1"/>
    </xf>
    <xf numFmtId="0" fontId="20" fillId="3" borderId="0" xfId="1" applyFont="1" applyFill="1" applyBorder="1" applyAlignment="1" applyProtection="1">
      <alignment horizontal="center" vertical="center"/>
      <protection hidden="1"/>
    </xf>
    <xf numFmtId="0" fontId="1" fillId="0" borderId="0" xfId="1" applyFont="1" applyBorder="1" applyAlignment="1" applyProtection="1">
      <alignment horizontal="center" vertical="top" wrapText="1"/>
      <protection hidden="1"/>
    </xf>
    <xf numFmtId="0" fontId="10" fillId="0" borderId="25" xfId="1" applyFont="1" applyFill="1" applyBorder="1" applyAlignment="1" applyProtection="1">
      <alignment horizontal="left" vertical="center" wrapText="1" indent="10"/>
      <protection hidden="1"/>
    </xf>
    <xf numFmtId="0" fontId="10" fillId="0" borderId="0" xfId="1" applyFont="1" applyFill="1" applyBorder="1" applyAlignment="1" applyProtection="1">
      <alignment horizontal="left" vertical="center" wrapText="1" indent="10"/>
      <protection hidden="1"/>
    </xf>
    <xf numFmtId="0" fontId="1" fillId="8" borderId="35" xfId="1" applyFont="1" applyFill="1" applyBorder="1" applyAlignment="1" applyProtection="1">
      <alignment horizontal="justify" vertical="top" wrapText="1"/>
      <protection hidden="1"/>
    </xf>
    <xf numFmtId="0" fontId="1" fillId="8" borderId="36" xfId="1" applyFont="1" applyFill="1" applyBorder="1" applyAlignment="1" applyProtection="1">
      <alignment horizontal="justify" vertical="top" wrapText="1"/>
      <protection hidden="1"/>
    </xf>
    <xf numFmtId="0" fontId="1" fillId="8" borderId="37" xfId="1" applyFont="1" applyFill="1" applyBorder="1" applyAlignment="1" applyProtection="1">
      <alignment horizontal="justify" vertical="top" wrapText="1"/>
      <protection hidden="1"/>
    </xf>
    <xf numFmtId="0" fontId="1" fillId="8" borderId="1" xfId="1" applyFont="1" applyFill="1" applyBorder="1" applyAlignment="1" applyProtection="1">
      <alignment horizontal="center" vertical="center" wrapText="1"/>
      <protection hidden="1"/>
    </xf>
    <xf numFmtId="0" fontId="20" fillId="3" borderId="0" xfId="1" applyFont="1" applyFill="1" applyBorder="1" applyAlignment="1" applyProtection="1">
      <alignment horizontal="center" vertical="center" wrapText="1"/>
      <protection hidden="1"/>
    </xf>
    <xf numFmtId="170" fontId="1" fillId="8" borderId="79" xfId="1" applyNumberFormat="1" applyFont="1" applyFill="1" applyBorder="1" applyAlignment="1" applyProtection="1">
      <alignment horizontal="center" vertical="center" wrapText="1"/>
      <protection locked="0"/>
    </xf>
    <xf numFmtId="170" fontId="1" fillId="8" borderId="80" xfId="1" applyNumberFormat="1" applyFont="1" applyFill="1" applyBorder="1" applyAlignment="1" applyProtection="1">
      <alignment horizontal="center" vertical="center" wrapText="1"/>
      <protection locked="0"/>
    </xf>
    <xf numFmtId="0" fontId="1" fillId="8" borderId="66" xfId="1" applyFont="1" applyFill="1" applyBorder="1" applyAlignment="1" applyProtection="1">
      <alignment horizontal="center" vertical="center" wrapText="1"/>
      <protection hidden="1"/>
    </xf>
    <xf numFmtId="0" fontId="1" fillId="8" borderId="78" xfId="1" applyFont="1" applyFill="1" applyBorder="1" applyAlignment="1" applyProtection="1">
      <alignment horizontal="center" vertical="top" wrapText="1"/>
      <protection locked="0"/>
    </xf>
    <xf numFmtId="0" fontId="1" fillId="8" borderId="66" xfId="1" applyFont="1" applyFill="1" applyBorder="1" applyAlignment="1" applyProtection="1">
      <alignment horizontal="center" vertical="top" wrapText="1"/>
      <protection locked="0"/>
    </xf>
    <xf numFmtId="0" fontId="1" fillId="8" borderId="95" xfId="1" applyFont="1" applyFill="1" applyBorder="1" applyAlignment="1" applyProtection="1">
      <alignment horizontal="center" vertical="center" wrapText="1"/>
      <protection locked="0"/>
    </xf>
    <xf numFmtId="0" fontId="1" fillId="8" borderId="96" xfId="1" applyFont="1" applyFill="1" applyBorder="1" applyAlignment="1" applyProtection="1">
      <alignment horizontal="center" vertical="center" wrapText="1"/>
      <protection locked="0"/>
    </xf>
    <xf numFmtId="0" fontId="1" fillId="8" borderId="97" xfId="1" applyFont="1" applyFill="1" applyBorder="1" applyAlignment="1" applyProtection="1">
      <alignment horizontal="center" vertical="center" wrapText="1"/>
      <protection locked="0"/>
    </xf>
    <xf numFmtId="0" fontId="1" fillId="8" borderId="98" xfId="1" applyFont="1" applyFill="1" applyBorder="1" applyAlignment="1" applyProtection="1">
      <alignment horizontal="center" vertical="center" wrapText="1"/>
      <protection locked="0"/>
    </xf>
    <xf numFmtId="0" fontId="5" fillId="2" borderId="0" xfId="1" applyFont="1" applyFill="1" applyBorder="1" applyAlignment="1" applyProtection="1">
      <alignment horizontal="left" vertical="center"/>
      <protection hidden="1"/>
    </xf>
    <xf numFmtId="0" fontId="5" fillId="3" borderId="31" xfId="1" applyFont="1" applyFill="1" applyBorder="1" applyAlignment="1" applyProtection="1">
      <alignment horizontal="left" vertical="center" wrapText="1" indent="4"/>
      <protection hidden="1"/>
    </xf>
    <xf numFmtId="0" fontId="1" fillId="10" borderId="2" xfId="1" applyFont="1" applyFill="1" applyBorder="1" applyAlignment="1" applyProtection="1">
      <alignment horizontal="left" vertical="center" wrapText="1" indent="1"/>
      <protection hidden="1"/>
    </xf>
    <xf numFmtId="0" fontId="1" fillId="10" borderId="4" xfId="1" applyFont="1" applyFill="1" applyBorder="1" applyAlignment="1" applyProtection="1">
      <alignment horizontal="left" vertical="center" wrapText="1" indent="1"/>
      <protection hidden="1"/>
    </xf>
    <xf numFmtId="0" fontId="25" fillId="14" borderId="0" xfId="1" applyFont="1" applyFill="1" applyAlignment="1" applyProtection="1">
      <alignment horizontal="left" vertical="center"/>
      <protection hidden="1"/>
    </xf>
    <xf numFmtId="0" fontId="22" fillId="13" borderId="1" xfId="1" applyFont="1" applyFill="1" applyBorder="1" applyAlignment="1" applyProtection="1">
      <alignment horizontal="left" vertical="center" wrapText="1" indent="1"/>
      <protection hidden="1"/>
    </xf>
    <xf numFmtId="0" fontId="22" fillId="13" borderId="1" xfId="1" applyFont="1" applyFill="1" applyBorder="1" applyAlignment="1" applyProtection="1">
      <alignment horizontal="center" vertical="center" wrapText="1"/>
      <protection hidden="1"/>
    </xf>
    <xf numFmtId="0" fontId="22" fillId="13" borderId="1" xfId="1" applyFont="1" applyFill="1" applyBorder="1" applyAlignment="1" applyProtection="1">
      <alignment horizontal="center" vertical="center"/>
      <protection hidden="1"/>
    </xf>
    <xf numFmtId="0" fontId="2" fillId="3" borderId="31" xfId="1" applyFont="1" applyFill="1" applyBorder="1" applyAlignment="1" applyProtection="1">
      <alignment horizontal="center" vertical="center"/>
      <protection hidden="1"/>
    </xf>
    <xf numFmtId="0" fontId="22" fillId="13" borderId="2" xfId="1" applyFont="1" applyFill="1" applyBorder="1" applyAlignment="1" applyProtection="1">
      <alignment horizontal="center" vertical="center" wrapText="1"/>
      <protection hidden="1"/>
    </xf>
    <xf numFmtId="0" fontId="22" fillId="13" borderId="4" xfId="1" applyFont="1" applyFill="1" applyBorder="1" applyAlignment="1" applyProtection="1">
      <alignment horizontal="center" vertical="center" wrapText="1"/>
      <protection hidden="1"/>
    </xf>
    <xf numFmtId="0" fontId="1" fillId="13" borderId="56" xfId="1" applyFont="1" applyFill="1" applyBorder="1" applyAlignment="1" applyProtection="1">
      <alignment horizontal="left" vertical="center" wrapText="1"/>
      <protection locked="0"/>
    </xf>
    <xf numFmtId="0" fontId="1" fillId="13" borderId="28" xfId="1" applyFont="1" applyFill="1" applyBorder="1" applyAlignment="1" applyProtection="1">
      <alignment horizontal="left" vertical="center" wrapText="1"/>
      <protection locked="0"/>
    </xf>
    <xf numFmtId="0" fontId="1" fillId="13" borderId="7" xfId="1" applyFont="1" applyFill="1" applyBorder="1" applyAlignment="1" applyProtection="1">
      <alignment horizontal="left" vertical="center" wrapText="1"/>
      <protection locked="0"/>
    </xf>
    <xf numFmtId="0" fontId="1" fillId="13" borderId="8" xfId="1" applyFont="1" applyFill="1" applyBorder="1" applyAlignment="1" applyProtection="1">
      <alignment horizontal="left" vertical="center" wrapText="1"/>
      <protection locked="0"/>
    </xf>
    <xf numFmtId="0" fontId="1" fillId="13" borderId="54" xfId="1" applyFont="1" applyFill="1" applyBorder="1" applyAlignment="1" applyProtection="1">
      <alignment horizontal="left" vertical="center" wrapText="1"/>
      <protection locked="0"/>
    </xf>
    <xf numFmtId="0" fontId="1" fillId="13" borderId="55" xfId="1" applyFont="1" applyFill="1" applyBorder="1" applyAlignment="1" applyProtection="1">
      <alignment horizontal="left" vertical="center" wrapText="1"/>
      <protection locked="0"/>
    </xf>
    <xf numFmtId="0" fontId="1" fillId="10" borderId="56" xfId="1" applyFont="1" applyFill="1" applyBorder="1" applyAlignment="1" applyProtection="1">
      <alignment horizontal="center" vertical="center" wrapText="1"/>
      <protection hidden="1"/>
    </xf>
    <xf numFmtId="0" fontId="1" fillId="10" borderId="28" xfId="1" applyFont="1" applyFill="1" applyBorder="1" applyAlignment="1" applyProtection="1">
      <alignment horizontal="center" vertical="center" wrapText="1"/>
      <protection hidden="1"/>
    </xf>
    <xf numFmtId="0" fontId="1" fillId="10" borderId="7" xfId="1" applyFont="1" applyFill="1" applyBorder="1" applyAlignment="1" applyProtection="1">
      <alignment horizontal="center" vertical="center" wrapText="1"/>
      <protection hidden="1"/>
    </xf>
    <xf numFmtId="0" fontId="1" fillId="10" borderId="8" xfId="1" applyFont="1" applyFill="1" applyBorder="1" applyAlignment="1" applyProtection="1">
      <alignment horizontal="center" vertical="center" wrapText="1"/>
      <protection hidden="1"/>
    </xf>
    <xf numFmtId="0" fontId="1" fillId="10" borderId="54" xfId="1" applyFont="1" applyFill="1" applyBorder="1" applyAlignment="1" applyProtection="1">
      <alignment horizontal="center" vertical="center" wrapText="1"/>
      <protection hidden="1"/>
    </xf>
    <xf numFmtId="0" fontId="1" fillId="10" borderId="55" xfId="1" applyFont="1" applyFill="1" applyBorder="1" applyAlignment="1" applyProtection="1">
      <alignment horizontal="center" vertical="center" wrapText="1"/>
      <protection hidden="1"/>
    </xf>
    <xf numFmtId="0" fontId="1" fillId="13" borderId="5" xfId="1" applyFont="1" applyFill="1" applyBorder="1" applyAlignment="1" applyProtection="1">
      <alignment horizontal="left" vertical="center" wrapText="1" indent="1"/>
      <protection locked="0"/>
    </xf>
    <xf numFmtId="0" fontId="1" fillId="13" borderId="65" xfId="1" applyFont="1" applyFill="1" applyBorder="1" applyAlignment="1" applyProtection="1">
      <alignment horizontal="left" vertical="center" wrapText="1" indent="1"/>
      <protection locked="0"/>
    </xf>
    <xf numFmtId="0" fontId="5" fillId="0" borderId="0" xfId="1" applyFont="1" applyBorder="1" applyAlignment="1" applyProtection="1">
      <alignment horizontal="justify" vertical="center"/>
      <protection hidden="1"/>
    </xf>
    <xf numFmtId="0" fontId="15" fillId="0" borderId="19" xfId="1" applyFont="1" applyFill="1" applyBorder="1" applyAlignment="1" applyProtection="1">
      <alignment horizontal="left" vertical="center" wrapText="1"/>
      <protection hidden="1"/>
    </xf>
    <xf numFmtId="0" fontId="9" fillId="3" borderId="31" xfId="1" applyFont="1" applyFill="1" applyBorder="1" applyAlignment="1" applyProtection="1">
      <alignment horizontal="center" vertical="center" wrapText="1"/>
      <protection hidden="1"/>
    </xf>
    <xf numFmtId="0" fontId="1" fillId="10" borderId="1" xfId="1" applyFont="1" applyFill="1" applyBorder="1" applyAlignment="1" applyProtection="1">
      <alignment horizontal="center" vertical="center" wrapText="1"/>
      <protection hidden="1"/>
    </xf>
    <xf numFmtId="0" fontId="1" fillId="0" borderId="0" xfId="1" applyFont="1" applyFill="1" applyAlignment="1" applyProtection="1">
      <alignment horizontal="left" vertical="center" wrapText="1"/>
      <protection hidden="1"/>
    </xf>
    <xf numFmtId="0" fontId="1" fillId="13" borderId="2" xfId="1" applyFont="1" applyFill="1" applyBorder="1" applyAlignment="1" applyProtection="1">
      <alignment horizontal="left" vertical="center" wrapText="1" indent="1"/>
      <protection locked="0"/>
    </xf>
    <xf numFmtId="0" fontId="1" fillId="13" borderId="3" xfId="1" applyFont="1" applyFill="1" applyBorder="1" applyAlignment="1" applyProtection="1">
      <alignment horizontal="left" vertical="center" wrapText="1" indent="1"/>
      <protection locked="0"/>
    </xf>
    <xf numFmtId="0" fontId="1" fillId="13" borderId="4" xfId="1" applyFont="1" applyFill="1" applyBorder="1" applyAlignment="1" applyProtection="1">
      <alignment horizontal="left" vertical="center" wrapText="1" indent="1"/>
      <protection locked="0"/>
    </xf>
    <xf numFmtId="0" fontId="1" fillId="13" borderId="54" xfId="1" applyFont="1" applyFill="1" applyBorder="1" applyAlignment="1" applyProtection="1">
      <alignment horizontal="left" vertical="center" wrapText="1" indent="1"/>
      <protection locked="0"/>
    </xf>
    <xf numFmtId="0" fontId="1" fillId="13" borderId="57" xfId="1" applyFont="1" applyFill="1" applyBorder="1" applyAlignment="1" applyProtection="1">
      <alignment horizontal="left" vertical="center" wrapText="1" indent="1"/>
      <protection locked="0"/>
    </xf>
    <xf numFmtId="0" fontId="1" fillId="13" borderId="56" xfId="1" applyFont="1" applyFill="1" applyBorder="1" applyAlignment="1" applyProtection="1">
      <alignment horizontal="center" vertical="center"/>
      <protection hidden="1"/>
    </xf>
    <xf numFmtId="0" fontId="1" fillId="13" borderId="28" xfId="1" applyFont="1" applyFill="1" applyBorder="1" applyAlignment="1" applyProtection="1">
      <alignment horizontal="center" vertical="center"/>
      <protection hidden="1"/>
    </xf>
    <xf numFmtId="0" fontId="1" fillId="13" borderId="7" xfId="1" applyFont="1" applyFill="1" applyBorder="1" applyAlignment="1" applyProtection="1">
      <alignment horizontal="center" vertical="center"/>
      <protection hidden="1"/>
    </xf>
    <xf numFmtId="0" fontId="1" fillId="13" borderId="8" xfId="1" applyFont="1" applyFill="1" applyBorder="1" applyAlignment="1" applyProtection="1">
      <alignment horizontal="center" vertical="center"/>
      <protection hidden="1"/>
    </xf>
    <xf numFmtId="0" fontId="1" fillId="13" borderId="54" xfId="1" applyFont="1" applyFill="1" applyBorder="1" applyAlignment="1" applyProtection="1">
      <alignment horizontal="center" vertical="center"/>
      <protection hidden="1"/>
    </xf>
    <xf numFmtId="0" fontId="1" fillId="13" borderId="55" xfId="1" applyFont="1" applyFill="1" applyBorder="1" applyAlignment="1" applyProtection="1">
      <alignment horizontal="center" vertical="center"/>
      <protection hidden="1"/>
    </xf>
    <xf numFmtId="0" fontId="1" fillId="0" borderId="57" xfId="1" applyFont="1" applyFill="1" applyBorder="1" applyAlignment="1" applyProtection="1">
      <alignment horizontal="left" vertical="center" wrapText="1"/>
      <protection hidden="1"/>
    </xf>
    <xf numFmtId="0" fontId="1" fillId="10" borderId="30" xfId="1" applyFont="1" applyFill="1" applyBorder="1" applyAlignment="1" applyProtection="1">
      <alignment horizontal="center" vertical="center" textRotation="90"/>
      <protection hidden="1"/>
    </xf>
    <xf numFmtId="0" fontId="1" fillId="10" borderId="48" xfId="1" applyFont="1" applyFill="1" applyBorder="1" applyAlignment="1" applyProtection="1">
      <alignment horizontal="center" vertical="center" textRotation="90"/>
      <protection hidden="1"/>
    </xf>
    <xf numFmtId="0" fontId="1" fillId="10" borderId="27" xfId="1" applyFont="1" applyFill="1" applyBorder="1" applyAlignment="1" applyProtection="1">
      <alignment horizontal="center" vertical="center" textRotation="90"/>
      <protection hidden="1"/>
    </xf>
    <xf numFmtId="0" fontId="1" fillId="13" borderId="56" xfId="1" applyFont="1" applyFill="1" applyBorder="1" applyAlignment="1" applyProtection="1">
      <alignment horizontal="left" wrapText="1"/>
      <protection locked="0"/>
    </xf>
    <xf numFmtId="0" fontId="1" fillId="13" borderId="19" xfId="1" applyFont="1" applyFill="1" applyBorder="1" applyAlignment="1" applyProtection="1">
      <alignment horizontal="left" wrapText="1"/>
      <protection locked="0"/>
    </xf>
    <xf numFmtId="0" fontId="1" fillId="13" borderId="28" xfId="1" applyFont="1" applyFill="1" applyBorder="1" applyAlignment="1" applyProtection="1">
      <alignment horizontal="left" wrapText="1"/>
      <protection locked="0"/>
    </xf>
    <xf numFmtId="0" fontId="1" fillId="13" borderId="7" xfId="1" applyFont="1" applyFill="1" applyBorder="1" applyAlignment="1" applyProtection="1">
      <alignment horizontal="left" wrapText="1"/>
      <protection locked="0"/>
    </xf>
    <xf numFmtId="0" fontId="1" fillId="13" borderId="0" xfId="1" applyFont="1" applyFill="1" applyBorder="1" applyAlignment="1" applyProtection="1">
      <alignment horizontal="left" wrapText="1"/>
      <protection locked="0"/>
    </xf>
    <xf numFmtId="0" fontId="1" fillId="13" borderId="8" xfId="1" applyFont="1" applyFill="1" applyBorder="1" applyAlignment="1" applyProtection="1">
      <alignment horizontal="left" wrapText="1"/>
      <protection locked="0"/>
    </xf>
    <xf numFmtId="0" fontId="1" fillId="13" borderId="54" xfId="1" applyFont="1" applyFill="1" applyBorder="1" applyAlignment="1" applyProtection="1">
      <alignment horizontal="left" wrapText="1"/>
      <protection locked="0"/>
    </xf>
    <xf numFmtId="0" fontId="1" fillId="13" borderId="57" xfId="1" applyFont="1" applyFill="1" applyBorder="1" applyAlignment="1" applyProtection="1">
      <alignment horizontal="left" wrapText="1"/>
      <protection locked="0"/>
    </xf>
    <xf numFmtId="0" fontId="1" fillId="13" borderId="55" xfId="1" applyFont="1" applyFill="1" applyBorder="1" applyAlignment="1" applyProtection="1">
      <alignment horizontal="left" wrapText="1"/>
      <protection locked="0"/>
    </xf>
    <xf numFmtId="0" fontId="1" fillId="13" borderId="2" xfId="1" applyFont="1" applyFill="1" applyBorder="1" applyAlignment="1" applyProtection="1">
      <alignment horizontal="left" vertical="top" wrapText="1"/>
      <protection hidden="1"/>
    </xf>
    <xf numFmtId="0" fontId="1" fillId="13" borderId="3" xfId="1" applyFont="1" applyFill="1" applyBorder="1" applyAlignment="1" applyProtection="1">
      <alignment horizontal="left" vertical="top"/>
      <protection hidden="1"/>
    </xf>
    <xf numFmtId="0" fontId="1" fillId="13" borderId="4" xfId="1" applyFont="1" applyFill="1" applyBorder="1" applyAlignment="1" applyProtection="1">
      <alignment horizontal="left" vertical="top"/>
      <protection hidden="1"/>
    </xf>
    <xf numFmtId="0" fontId="1" fillId="13" borderId="2" xfId="1" applyFont="1" applyFill="1" applyBorder="1" applyAlignment="1" applyProtection="1">
      <alignment horizontal="left" vertical="center" wrapText="1"/>
      <protection hidden="1"/>
    </xf>
    <xf numFmtId="0" fontId="1" fillId="13" borderId="3" xfId="1" applyFont="1" applyFill="1" applyBorder="1" applyAlignment="1" applyProtection="1">
      <alignment horizontal="left" vertical="center" wrapText="1"/>
      <protection hidden="1"/>
    </xf>
    <xf numFmtId="0" fontId="1" fillId="13" borderId="4" xfId="1" applyFont="1" applyFill="1" applyBorder="1" applyAlignment="1" applyProtection="1">
      <alignment horizontal="left" vertical="center" wrapText="1"/>
      <protection hidden="1"/>
    </xf>
    <xf numFmtId="0" fontId="1" fillId="13" borderId="56" xfId="1" applyFont="1" applyFill="1" applyBorder="1" applyAlignment="1" applyProtection="1">
      <alignment horizontal="center" vertical="center" wrapText="1"/>
      <protection locked="0"/>
    </xf>
    <xf numFmtId="0" fontId="1" fillId="13" borderId="28" xfId="1" applyFont="1" applyFill="1" applyBorder="1" applyAlignment="1" applyProtection="1">
      <alignment horizontal="center" vertical="center" wrapText="1"/>
      <protection locked="0"/>
    </xf>
    <xf numFmtId="0" fontId="1" fillId="13" borderId="54" xfId="1" applyFont="1" applyFill="1" applyBorder="1" applyAlignment="1" applyProtection="1">
      <alignment horizontal="center" vertical="center" wrapText="1"/>
      <protection locked="0"/>
    </xf>
    <xf numFmtId="0" fontId="1" fillId="13" borderId="55" xfId="1" applyFont="1" applyFill="1" applyBorder="1" applyAlignment="1" applyProtection="1">
      <alignment horizontal="center" vertical="center" wrapText="1"/>
      <protection locked="0"/>
    </xf>
    <xf numFmtId="0" fontId="15" fillId="0" borderId="0" xfId="1" applyFont="1" applyFill="1" applyBorder="1" applyAlignment="1" applyProtection="1">
      <alignment horizontal="left" indent="2"/>
      <protection hidden="1"/>
    </xf>
    <xf numFmtId="0" fontId="2" fillId="3" borderId="204" xfId="1" applyFont="1" applyFill="1" applyBorder="1" applyAlignment="1" applyProtection="1">
      <alignment horizontal="center" vertical="center"/>
      <protection hidden="1"/>
    </xf>
    <xf numFmtId="0" fontId="2" fillId="3" borderId="205" xfId="1" applyFont="1" applyFill="1" applyBorder="1" applyAlignment="1" applyProtection="1">
      <alignment horizontal="center" vertical="center"/>
      <protection hidden="1"/>
    </xf>
    <xf numFmtId="0" fontId="1" fillId="3" borderId="178" xfId="1" applyFont="1" applyFill="1" applyBorder="1" applyAlignment="1" applyProtection="1">
      <alignment horizontal="left" vertical="center"/>
      <protection locked="0"/>
    </xf>
    <xf numFmtId="0" fontId="1" fillId="7" borderId="179" xfId="1" applyFont="1" applyFill="1" applyBorder="1" applyAlignment="1" applyProtection="1">
      <alignment horizontal="left" vertical="center" wrapText="1"/>
      <protection locked="0"/>
    </xf>
    <xf numFmtId="0" fontId="1" fillId="7" borderId="182" xfId="1" applyFont="1" applyFill="1" applyBorder="1" applyAlignment="1" applyProtection="1">
      <alignment horizontal="left" vertical="center" wrapText="1"/>
      <protection locked="0"/>
    </xf>
    <xf numFmtId="0" fontId="1" fillId="7" borderId="180" xfId="1" applyFont="1" applyFill="1" applyBorder="1" applyAlignment="1" applyProtection="1">
      <alignment horizontal="left" vertical="center" wrapText="1"/>
      <protection locked="0"/>
    </xf>
    <xf numFmtId="0" fontId="1" fillId="13" borderId="145" xfId="1" applyFont="1" applyFill="1" applyBorder="1" applyAlignment="1" applyProtection="1">
      <alignment horizontal="left" vertical="center"/>
      <protection hidden="1"/>
    </xf>
    <xf numFmtId="0" fontId="1" fillId="13" borderId="147" xfId="1" applyFont="1" applyFill="1" applyBorder="1" applyAlignment="1" applyProtection="1">
      <alignment horizontal="left" vertical="center"/>
      <protection hidden="1"/>
    </xf>
    <xf numFmtId="0" fontId="1" fillId="7" borderId="148" xfId="1" applyFont="1" applyFill="1" applyBorder="1" applyAlignment="1" applyProtection="1">
      <alignment horizontal="left" vertical="center" wrapText="1"/>
      <protection locked="0"/>
    </xf>
    <xf numFmtId="0" fontId="1" fillId="7" borderId="149" xfId="1" applyFont="1" applyFill="1" applyBorder="1" applyAlignment="1" applyProtection="1">
      <alignment horizontal="left" vertical="center" wrapText="1"/>
      <protection locked="0"/>
    </xf>
    <xf numFmtId="0" fontId="1" fillId="7" borderId="258" xfId="1" applyFont="1" applyFill="1" applyBorder="1" applyAlignment="1" applyProtection="1">
      <alignment horizontal="left" vertical="center" wrapText="1"/>
      <protection locked="0"/>
    </xf>
    <xf numFmtId="0" fontId="1" fillId="7" borderId="145" xfId="1" applyFont="1" applyFill="1" applyBorder="1" applyAlignment="1" applyProtection="1">
      <alignment horizontal="left" vertical="center" wrapText="1"/>
      <protection locked="0"/>
    </xf>
    <xf numFmtId="0" fontId="1" fillId="7" borderId="146" xfId="1" applyFont="1" applyFill="1" applyBorder="1" applyAlignment="1" applyProtection="1">
      <alignment horizontal="left" vertical="center" wrapText="1"/>
      <protection locked="0"/>
    </xf>
    <xf numFmtId="0" fontId="1" fillId="7" borderId="246" xfId="1" applyFont="1" applyFill="1" applyBorder="1" applyAlignment="1" applyProtection="1">
      <alignment horizontal="left" vertical="center" wrapText="1"/>
      <protection locked="0"/>
    </xf>
    <xf numFmtId="0" fontId="1" fillId="3" borderId="144" xfId="1" applyFont="1" applyFill="1" applyBorder="1" applyAlignment="1" applyProtection="1">
      <alignment horizontal="left" vertical="center"/>
      <protection locked="0"/>
    </xf>
    <xf numFmtId="0" fontId="1" fillId="7" borderId="185" xfId="1" applyFont="1" applyFill="1" applyBorder="1" applyAlignment="1" applyProtection="1">
      <alignment horizontal="left" vertical="center" wrapText="1"/>
      <protection locked="0"/>
    </xf>
    <xf numFmtId="0" fontId="1" fillId="7" borderId="186" xfId="1" applyFont="1" applyFill="1" applyBorder="1" applyAlignment="1" applyProtection="1">
      <alignment horizontal="left" vertical="center" wrapText="1"/>
      <protection locked="0"/>
    </xf>
    <xf numFmtId="0" fontId="1" fillId="7" borderId="248" xfId="1" applyFont="1" applyFill="1" applyBorder="1" applyAlignment="1" applyProtection="1">
      <alignment horizontal="left" vertical="center" wrapText="1"/>
      <protection locked="0"/>
    </xf>
    <xf numFmtId="0" fontId="2" fillId="3" borderId="144" xfId="1" applyFont="1" applyFill="1" applyBorder="1" applyAlignment="1" applyProtection="1">
      <alignment horizontal="center" vertical="center"/>
      <protection hidden="1"/>
    </xf>
    <xf numFmtId="0" fontId="1" fillId="7" borderId="145" xfId="1" applyFont="1" applyFill="1" applyBorder="1" applyAlignment="1" applyProtection="1">
      <alignment horizontal="center" vertical="center"/>
      <protection hidden="1"/>
    </xf>
    <xf numFmtId="0" fontId="1" fillId="7" borderId="147" xfId="1" applyFont="1" applyFill="1" applyBorder="1" applyAlignment="1" applyProtection="1">
      <alignment horizontal="center" vertical="center"/>
      <protection hidden="1"/>
    </xf>
    <xf numFmtId="0" fontId="2" fillId="3" borderId="203" xfId="1" applyFont="1" applyFill="1" applyBorder="1" applyAlignment="1" applyProtection="1">
      <alignment horizontal="center" vertical="center" wrapText="1"/>
      <protection hidden="1"/>
    </xf>
    <xf numFmtId="0" fontId="2" fillId="3" borderId="204" xfId="1" applyFont="1" applyFill="1" applyBorder="1" applyAlignment="1" applyProtection="1">
      <alignment horizontal="center" vertical="center" wrapText="1"/>
      <protection hidden="1"/>
    </xf>
    <xf numFmtId="0" fontId="1" fillId="13" borderId="177" xfId="1" applyFont="1" applyFill="1" applyBorder="1" applyAlignment="1" applyProtection="1">
      <alignment horizontal="left" vertical="center" wrapText="1"/>
      <protection hidden="1"/>
    </xf>
    <xf numFmtId="0" fontId="1" fillId="13" borderId="178" xfId="1" applyFont="1" applyFill="1" applyBorder="1" applyAlignment="1" applyProtection="1">
      <alignment horizontal="left" vertical="center" wrapText="1"/>
      <protection hidden="1"/>
    </xf>
    <xf numFmtId="0" fontId="1" fillId="13" borderId="190" xfId="1" applyFont="1" applyFill="1" applyBorder="1" applyAlignment="1" applyProtection="1">
      <alignment horizontal="left" vertical="center" wrapText="1"/>
      <protection hidden="1"/>
    </xf>
    <xf numFmtId="0" fontId="1" fillId="13" borderId="144" xfId="1" applyFont="1" applyFill="1" applyBorder="1" applyAlignment="1" applyProtection="1">
      <alignment horizontal="left" vertical="center" wrapText="1"/>
      <protection hidden="1"/>
    </xf>
    <xf numFmtId="0" fontId="1" fillId="13" borderId="183" xfId="1" applyFont="1" applyFill="1" applyBorder="1" applyAlignment="1" applyProtection="1">
      <alignment horizontal="left" vertical="center" wrapText="1"/>
      <protection hidden="1"/>
    </xf>
    <xf numFmtId="0" fontId="1" fillId="13" borderId="184" xfId="1" applyFont="1" applyFill="1" applyBorder="1" applyAlignment="1" applyProtection="1">
      <alignment horizontal="left" vertical="center" wrapText="1"/>
      <protection hidden="1"/>
    </xf>
    <xf numFmtId="0" fontId="1" fillId="3" borderId="179" xfId="1" applyFont="1" applyFill="1" applyBorder="1" applyAlignment="1" applyProtection="1">
      <alignment horizontal="left" vertical="center"/>
    </xf>
    <xf numFmtId="0" fontId="1" fillId="3" borderId="195" xfId="1" applyFont="1" applyFill="1" applyBorder="1" applyAlignment="1" applyProtection="1">
      <alignment horizontal="left" vertical="center"/>
    </xf>
    <xf numFmtId="0" fontId="1" fillId="13" borderId="244" xfId="1" applyFont="1" applyFill="1" applyBorder="1" applyAlignment="1" applyProtection="1">
      <alignment horizontal="left" vertical="center"/>
      <protection hidden="1"/>
    </xf>
    <xf numFmtId="0" fontId="1" fillId="13" borderId="209" xfId="1" applyFont="1" applyFill="1" applyBorder="1" applyAlignment="1" applyProtection="1">
      <alignment horizontal="left" vertical="center"/>
      <protection hidden="1"/>
    </xf>
    <xf numFmtId="0" fontId="1" fillId="13" borderId="185" xfId="1" applyFont="1" applyFill="1" applyBorder="1" applyAlignment="1" applyProtection="1">
      <alignment horizontal="left" vertical="center"/>
      <protection hidden="1"/>
    </xf>
    <xf numFmtId="0" fontId="1" fillId="3" borderId="184" xfId="1" applyFont="1" applyFill="1" applyBorder="1" applyAlignment="1" applyProtection="1">
      <alignment horizontal="left" vertical="center"/>
      <protection locked="0"/>
    </xf>
    <xf numFmtId="0" fontId="1" fillId="3" borderId="145" xfId="1" applyFont="1" applyFill="1" applyBorder="1" applyAlignment="1" applyProtection="1">
      <alignment horizontal="left" vertical="center"/>
    </xf>
    <xf numFmtId="0" fontId="1" fillId="3" borderId="147" xfId="1" applyFont="1" applyFill="1" applyBorder="1" applyAlignment="1" applyProtection="1">
      <alignment horizontal="left" vertical="center"/>
    </xf>
    <xf numFmtId="0" fontId="1" fillId="13" borderId="251" xfId="1" applyFont="1" applyFill="1" applyBorder="1" applyAlignment="1" applyProtection="1">
      <alignment horizontal="left" vertical="center" wrapText="1"/>
      <protection hidden="1"/>
    </xf>
    <xf numFmtId="0" fontId="1" fillId="13" borderId="197" xfId="1" applyFont="1" applyFill="1" applyBorder="1" applyAlignment="1" applyProtection="1">
      <alignment horizontal="left" vertical="center" wrapText="1"/>
      <protection hidden="1"/>
    </xf>
    <xf numFmtId="0" fontId="1" fillId="13" borderId="256" xfId="1" applyFont="1" applyFill="1" applyBorder="1" applyAlignment="1" applyProtection="1">
      <alignment horizontal="left" vertical="center" wrapText="1"/>
      <protection hidden="1"/>
    </xf>
    <xf numFmtId="0" fontId="1" fillId="13" borderId="164" xfId="1" applyFont="1" applyFill="1" applyBorder="1" applyAlignment="1" applyProtection="1">
      <alignment horizontal="left" vertical="center" wrapText="1"/>
      <protection hidden="1"/>
    </xf>
    <xf numFmtId="0" fontId="1" fillId="13" borderId="153" xfId="1" applyFont="1" applyFill="1" applyBorder="1" applyAlignment="1" applyProtection="1">
      <alignment horizontal="left" vertical="center"/>
      <protection hidden="1"/>
    </xf>
    <xf numFmtId="0" fontId="1" fillId="3" borderId="197" xfId="1" applyFont="1" applyFill="1" applyBorder="1" applyAlignment="1" applyProtection="1">
      <alignment horizontal="left" vertical="center"/>
      <protection locked="0"/>
    </xf>
    <xf numFmtId="0" fontId="1" fillId="7" borderId="153" xfId="1" applyFont="1" applyFill="1" applyBorder="1" applyAlignment="1" applyProtection="1">
      <alignment horizontal="left" vertical="center" wrapText="1"/>
      <protection locked="0"/>
    </xf>
    <xf numFmtId="0" fontId="1" fillId="7" borderId="154" xfId="1" applyFont="1" applyFill="1" applyBorder="1" applyAlignment="1" applyProtection="1">
      <alignment horizontal="left" vertical="center" wrapText="1"/>
      <protection locked="0"/>
    </xf>
    <xf numFmtId="0" fontId="1" fillId="7" borderId="245" xfId="1" applyFont="1" applyFill="1" applyBorder="1" applyAlignment="1" applyProtection="1">
      <alignment horizontal="left" vertical="center" wrapText="1"/>
      <protection locked="0"/>
    </xf>
    <xf numFmtId="0" fontId="1" fillId="3" borderId="164" xfId="1" applyFont="1" applyFill="1" applyBorder="1" applyAlignment="1" applyProtection="1">
      <alignment horizontal="left" vertical="center"/>
      <protection locked="0"/>
    </xf>
    <xf numFmtId="0" fontId="2" fillId="3" borderId="203" xfId="1" applyFont="1" applyFill="1" applyBorder="1" applyAlignment="1" applyProtection="1">
      <alignment horizontal="center" vertical="center"/>
      <protection hidden="1"/>
    </xf>
    <xf numFmtId="0" fontId="2" fillId="3" borderId="209" xfId="1" applyFont="1" applyFill="1" applyBorder="1" applyAlignment="1" applyProtection="1">
      <alignment horizontal="center" vertical="center"/>
      <protection hidden="1"/>
    </xf>
    <xf numFmtId="0" fontId="1" fillId="7" borderId="178" xfId="1" applyFont="1" applyFill="1" applyBorder="1" applyAlignment="1" applyProtection="1">
      <alignment horizontal="center" vertical="center" wrapText="1"/>
      <protection locked="0"/>
    </xf>
    <xf numFmtId="0" fontId="1" fillId="7" borderId="178" xfId="1" applyFont="1" applyFill="1" applyBorder="1" applyAlignment="1" applyProtection="1">
      <alignment horizontal="left" vertical="center" wrapText="1"/>
      <protection locked="0"/>
    </xf>
    <xf numFmtId="0" fontId="1" fillId="7" borderId="188" xfId="1" applyFont="1" applyFill="1" applyBorder="1" applyAlignment="1" applyProtection="1">
      <alignment horizontal="left" vertical="center" wrapText="1"/>
      <protection locked="0"/>
    </xf>
    <xf numFmtId="0" fontId="1" fillId="7" borderId="144" xfId="1" applyFont="1" applyFill="1" applyBorder="1" applyAlignment="1" applyProtection="1">
      <alignment horizontal="center" vertical="center" wrapText="1"/>
      <protection locked="0"/>
    </xf>
    <xf numFmtId="0" fontId="1" fillId="7" borderId="144" xfId="1" applyFont="1" applyFill="1" applyBorder="1" applyAlignment="1" applyProtection="1">
      <alignment horizontal="left" vertical="center" wrapText="1"/>
      <protection locked="0"/>
    </xf>
    <xf numFmtId="0" fontId="1" fillId="7" borderId="191" xfId="1" applyFont="1" applyFill="1" applyBorder="1" applyAlignment="1" applyProtection="1">
      <alignment horizontal="left" vertical="center" wrapText="1"/>
      <protection locked="0"/>
    </xf>
    <xf numFmtId="0" fontId="1" fillId="7" borderId="184" xfId="1" applyFont="1" applyFill="1" applyBorder="1" applyAlignment="1" applyProtection="1">
      <alignment horizontal="center" vertical="center" wrapText="1"/>
      <protection locked="0"/>
    </xf>
    <xf numFmtId="0" fontId="1" fillId="7" borderId="184" xfId="1" applyFont="1" applyFill="1" applyBorder="1" applyAlignment="1" applyProtection="1">
      <alignment horizontal="left" vertical="center" wrapText="1"/>
      <protection locked="0"/>
    </xf>
    <xf numFmtId="0" fontId="1" fillId="7" borderId="193" xfId="1" applyFont="1" applyFill="1" applyBorder="1" applyAlignment="1" applyProtection="1">
      <alignment horizontal="left" vertical="center" wrapText="1"/>
      <protection locked="0"/>
    </xf>
    <xf numFmtId="0" fontId="1" fillId="13" borderId="179" xfId="1" applyFont="1" applyFill="1" applyBorder="1" applyAlignment="1" applyProtection="1">
      <alignment horizontal="left" vertical="center"/>
      <protection hidden="1"/>
    </xf>
    <xf numFmtId="0" fontId="1" fillId="13" borderId="195" xfId="1" applyFont="1" applyFill="1" applyBorder="1" applyAlignment="1" applyProtection="1">
      <alignment horizontal="left" vertical="center"/>
      <protection hidden="1"/>
    </xf>
    <xf numFmtId="0" fontId="1" fillId="7" borderId="197" xfId="1" applyFont="1" applyFill="1" applyBorder="1" applyAlignment="1" applyProtection="1">
      <alignment horizontal="center" vertical="center" wrapText="1"/>
      <protection locked="0"/>
    </xf>
    <xf numFmtId="0" fontId="1" fillId="7" borderId="197" xfId="1" applyFont="1" applyFill="1" applyBorder="1" applyAlignment="1" applyProtection="1">
      <alignment horizontal="left" vertical="center" wrapText="1"/>
      <protection locked="0"/>
    </xf>
    <xf numFmtId="0" fontId="1" fillId="7" borderId="210" xfId="1" applyFont="1" applyFill="1" applyBorder="1" applyAlignment="1" applyProtection="1">
      <alignment horizontal="left" vertical="center" wrapText="1"/>
      <protection locked="0"/>
    </xf>
    <xf numFmtId="0" fontId="1" fillId="7" borderId="164" xfId="1" applyFont="1" applyFill="1" applyBorder="1" applyAlignment="1" applyProtection="1">
      <alignment horizontal="center" vertical="center" wrapText="1"/>
      <protection locked="0"/>
    </xf>
    <xf numFmtId="0" fontId="1" fillId="7" borderId="164" xfId="1" applyFont="1" applyFill="1" applyBorder="1" applyAlignment="1" applyProtection="1">
      <alignment horizontal="left" vertical="center" wrapText="1"/>
      <protection locked="0"/>
    </xf>
    <xf numFmtId="0" fontId="1" fillId="7" borderId="211" xfId="1" applyFont="1" applyFill="1" applyBorder="1" applyAlignment="1" applyProtection="1">
      <alignment horizontal="left" vertical="center" wrapText="1"/>
      <protection locked="0"/>
    </xf>
    <xf numFmtId="0" fontId="11" fillId="0" borderId="1" xfId="0" applyFont="1" applyBorder="1" applyAlignment="1" applyProtection="1">
      <alignment horizontal="left" indent="1"/>
      <protection hidden="1"/>
    </xf>
    <xf numFmtId="0" fontId="11" fillId="17" borderId="1" xfId="0" applyFont="1" applyFill="1" applyBorder="1" applyAlignment="1" applyProtection="1">
      <alignment horizontal="center" vertical="center"/>
      <protection locked="0"/>
    </xf>
    <xf numFmtId="0" fontId="11" fillId="0" borderId="1" xfId="0" applyFont="1" applyBorder="1" applyAlignment="1" applyProtection="1">
      <alignment horizontal="left" vertical="center" indent="1"/>
      <protection hidden="1"/>
    </xf>
    <xf numFmtId="0" fontId="11" fillId="0" borderId="2" xfId="0" applyFont="1" applyBorder="1" applyAlignment="1" applyProtection="1">
      <alignment horizontal="left" vertical="center" indent="1"/>
      <protection hidden="1"/>
    </xf>
    <xf numFmtId="0" fontId="11" fillId="0" borderId="3" xfId="0" applyFont="1" applyBorder="1" applyAlignment="1" applyProtection="1">
      <alignment horizontal="left" vertical="center" indent="1"/>
      <protection hidden="1"/>
    </xf>
    <xf numFmtId="0" fontId="11" fillId="0" borderId="4" xfId="0" applyFont="1" applyBorder="1" applyAlignment="1" applyProtection="1">
      <alignment horizontal="left" vertical="center" indent="1"/>
      <protection hidden="1"/>
    </xf>
    <xf numFmtId="0" fontId="11" fillId="0" borderId="1" xfId="0" applyFont="1" applyBorder="1" applyAlignment="1" applyProtection="1">
      <alignment horizontal="left" vertical="center" wrapText="1" indent="1"/>
      <protection hidden="1"/>
    </xf>
    <xf numFmtId="0" fontId="11" fillId="17" borderId="2" xfId="0" applyFont="1" applyFill="1" applyBorder="1" applyAlignment="1" applyProtection="1">
      <alignment horizontal="center" vertical="center"/>
      <protection locked="0"/>
    </xf>
    <xf numFmtId="0" fontId="11" fillId="17" borderId="4" xfId="0" applyFont="1" applyFill="1" applyBorder="1" applyAlignment="1" applyProtection="1">
      <alignment horizontal="center" vertical="center"/>
      <protection locked="0"/>
    </xf>
    <xf numFmtId="0" fontId="5" fillId="10" borderId="1" xfId="0" applyFont="1" applyFill="1" applyBorder="1" applyAlignment="1" applyProtection="1">
      <alignment horizontal="left" vertical="center" indent="1"/>
      <protection hidden="1"/>
    </xf>
    <xf numFmtId="0" fontId="11" fillId="10" borderId="1" xfId="0" applyFont="1" applyFill="1" applyBorder="1" applyAlignment="1" applyProtection="1">
      <alignment horizontal="left" vertical="center" indent="1"/>
      <protection hidden="1"/>
    </xf>
    <xf numFmtId="0" fontId="1" fillId="10" borderId="2" xfId="0" applyFont="1" applyFill="1" applyBorder="1" applyAlignment="1" applyProtection="1">
      <alignment horizontal="left" vertical="center" indent="1"/>
      <protection hidden="1"/>
    </xf>
    <xf numFmtId="0" fontId="1" fillId="10" borderId="3" xfId="0" applyFont="1" applyFill="1" applyBorder="1" applyAlignment="1" applyProtection="1">
      <alignment horizontal="left" vertical="center" indent="1"/>
      <protection hidden="1"/>
    </xf>
    <xf numFmtId="0" fontId="1" fillId="10" borderId="4" xfId="0" applyFont="1" applyFill="1" applyBorder="1" applyAlignment="1" applyProtection="1">
      <alignment horizontal="left" vertical="center" indent="1"/>
      <protection hidden="1"/>
    </xf>
    <xf numFmtId="0" fontId="5" fillId="3" borderId="31" xfId="0" applyFont="1" applyFill="1" applyBorder="1" applyAlignment="1" applyProtection="1">
      <alignment horizontal="center" vertical="center"/>
      <protection hidden="1"/>
    </xf>
    <xf numFmtId="0" fontId="0" fillId="10" borderId="1" xfId="0" applyFill="1" applyBorder="1" applyAlignment="1" applyProtection="1">
      <alignment horizontal="left" vertical="center" indent="1"/>
      <protection hidden="1"/>
    </xf>
    <xf numFmtId="0" fontId="5" fillId="3" borderId="43" xfId="0" applyFont="1" applyFill="1" applyBorder="1" applyAlignment="1" applyProtection="1">
      <alignment horizontal="center" vertical="center" wrapText="1"/>
      <protection hidden="1"/>
    </xf>
    <xf numFmtId="0" fontId="5" fillId="3" borderId="45" xfId="0" applyFont="1" applyFill="1" applyBorder="1" applyAlignment="1" applyProtection="1">
      <alignment horizontal="center" vertical="center" wrapText="1"/>
      <protection hidden="1"/>
    </xf>
    <xf numFmtId="0" fontId="5" fillId="3" borderId="46" xfId="0" applyFont="1" applyFill="1" applyBorder="1" applyAlignment="1" applyProtection="1">
      <alignment horizontal="center" vertical="center" wrapText="1"/>
      <protection hidden="1"/>
    </xf>
    <xf numFmtId="0" fontId="5" fillId="3" borderId="47" xfId="0" applyFont="1" applyFill="1" applyBorder="1" applyAlignment="1" applyProtection="1">
      <alignment horizontal="center" vertical="center" wrapText="1"/>
      <protection hidden="1"/>
    </xf>
    <xf numFmtId="0" fontId="6" fillId="3" borderId="35" xfId="0" applyFont="1" applyFill="1" applyBorder="1" applyAlignment="1" applyProtection="1">
      <alignment horizontal="center" wrapText="1"/>
      <protection hidden="1"/>
    </xf>
    <xf numFmtId="0" fontId="6" fillId="3" borderId="36" xfId="0" applyFont="1" applyFill="1" applyBorder="1" applyAlignment="1" applyProtection="1">
      <alignment horizontal="center" wrapText="1"/>
      <protection hidden="1"/>
    </xf>
    <xf numFmtId="0" fontId="6" fillId="3" borderId="37" xfId="0" applyFont="1" applyFill="1" applyBorder="1" applyAlignment="1" applyProtection="1">
      <alignment horizontal="center" wrapText="1"/>
      <protection hidden="1"/>
    </xf>
    <xf numFmtId="0" fontId="15" fillId="0" borderId="0" xfId="0" applyFont="1" applyAlignment="1" applyProtection="1">
      <alignment horizontal="left" vertical="center" wrapText="1"/>
      <protection hidden="1"/>
    </xf>
    <xf numFmtId="0" fontId="6" fillId="3" borderId="0" xfId="0" applyFont="1" applyFill="1" applyBorder="1" applyAlignment="1" applyProtection="1">
      <alignment horizontal="center" vertical="center" wrapText="1"/>
      <protection hidden="1"/>
    </xf>
    <xf numFmtId="0" fontId="0" fillId="17" borderId="2" xfId="0" applyFill="1" applyBorder="1" applyAlignment="1" applyProtection="1">
      <alignment horizontal="center"/>
      <protection hidden="1"/>
    </xf>
    <xf numFmtId="0" fontId="0" fillId="17" borderId="3" xfId="0" applyFill="1" applyBorder="1" applyAlignment="1" applyProtection="1">
      <alignment horizontal="center"/>
      <protection hidden="1"/>
    </xf>
    <xf numFmtId="0" fontId="0" fillId="17" borderId="4" xfId="0" applyFill="1" applyBorder="1" applyAlignment="1" applyProtection="1">
      <alignment horizontal="center"/>
      <protection hidden="1"/>
    </xf>
    <xf numFmtId="0" fontId="0" fillId="17" borderId="2" xfId="0" applyFill="1" applyBorder="1" applyAlignment="1" applyProtection="1">
      <alignment horizontal="center"/>
      <protection locked="0" hidden="1"/>
    </xf>
    <xf numFmtId="0" fontId="0" fillId="17" borderId="3" xfId="0" applyFill="1" applyBorder="1" applyAlignment="1" applyProtection="1">
      <alignment horizontal="center"/>
      <protection locked="0" hidden="1"/>
    </xf>
    <xf numFmtId="0" fontId="0" fillId="17" borderId="4" xfId="0" applyFill="1" applyBorder="1" applyAlignment="1" applyProtection="1">
      <alignment horizontal="center"/>
      <protection locked="0" hidden="1"/>
    </xf>
    <xf numFmtId="0" fontId="9" fillId="0" borderId="0" xfId="0" applyFont="1" applyAlignment="1" applyProtection="1">
      <alignment horizontal="center"/>
      <protection hidden="1"/>
    </xf>
    <xf numFmtId="0" fontId="1" fillId="17" borderId="2" xfId="0" applyFont="1" applyFill="1" applyBorder="1" applyAlignment="1" applyProtection="1">
      <alignment horizontal="left"/>
      <protection locked="0"/>
    </xf>
    <xf numFmtId="0" fontId="1" fillId="17" borderId="3" xfId="0" applyFont="1" applyFill="1" applyBorder="1" applyAlignment="1" applyProtection="1">
      <alignment horizontal="left"/>
      <protection locked="0"/>
    </xf>
    <xf numFmtId="0" fontId="1" fillId="17" borderId="4" xfId="0" applyFont="1" applyFill="1" applyBorder="1" applyAlignment="1" applyProtection="1">
      <alignment horizontal="left"/>
      <protection locked="0"/>
    </xf>
    <xf numFmtId="0" fontId="1" fillId="10" borderId="1" xfId="0" applyFont="1" applyFill="1" applyBorder="1" applyAlignment="1">
      <alignment horizontal="left" vertical="center" wrapText="1" indent="1"/>
    </xf>
    <xf numFmtId="0" fontId="1" fillId="17" borderId="35" xfId="0" applyFont="1" applyFill="1" applyBorder="1" applyAlignment="1">
      <alignment horizontal="center" vertical="center" wrapText="1"/>
    </xf>
    <xf numFmtId="0" fontId="1" fillId="17" borderId="36" xfId="0" applyFont="1" applyFill="1" applyBorder="1" applyAlignment="1">
      <alignment horizontal="center" vertical="center" wrapText="1"/>
    </xf>
    <xf numFmtId="0" fontId="1" fillId="17" borderId="37" xfId="0" applyFont="1" applyFill="1" applyBorder="1" applyAlignment="1">
      <alignment horizontal="center" vertical="center" wrapText="1"/>
    </xf>
    <xf numFmtId="0" fontId="26" fillId="0" borderId="0" xfId="0" applyFont="1" applyFill="1" applyBorder="1" applyAlignment="1" applyProtection="1">
      <alignment horizontal="left" vertical="center" wrapText="1"/>
    </xf>
    <xf numFmtId="0" fontId="9" fillId="3" borderId="31" xfId="0" applyFont="1" applyFill="1" applyBorder="1" applyAlignment="1">
      <alignment horizontal="center" vertical="center"/>
    </xf>
    <xf numFmtId="0" fontId="5" fillId="10" borderId="31" xfId="0" applyFont="1" applyFill="1" applyBorder="1" applyAlignment="1">
      <alignment horizontal="center" vertical="center"/>
    </xf>
    <xf numFmtId="0" fontId="1" fillId="17" borderId="2" xfId="0" applyFont="1" applyFill="1" applyBorder="1" applyAlignment="1" applyProtection="1">
      <alignment horizontal="center" vertical="center" wrapText="1"/>
      <protection hidden="1"/>
    </xf>
    <xf numFmtId="0" fontId="1" fillId="17" borderId="4" xfId="0" applyFont="1" applyFill="1" applyBorder="1" applyAlignment="1" applyProtection="1">
      <alignment horizontal="center" vertical="center" wrapText="1"/>
      <protection hidden="1"/>
    </xf>
    <xf numFmtId="0" fontId="1" fillId="17" borderId="2" xfId="0" applyFont="1" applyFill="1" applyBorder="1" applyAlignment="1" applyProtection="1">
      <alignment vertical="center" wrapText="1"/>
      <protection hidden="1"/>
    </xf>
    <xf numFmtId="0" fontId="1" fillId="17" borderId="3" xfId="0" applyFont="1" applyFill="1" applyBorder="1" applyAlignment="1" applyProtection="1">
      <alignment vertical="center" wrapText="1"/>
      <protection hidden="1"/>
    </xf>
    <xf numFmtId="0" fontId="1" fillId="17" borderId="4" xfId="0" applyFont="1" applyFill="1" applyBorder="1" applyAlignment="1" applyProtection="1">
      <alignment vertical="center" wrapText="1"/>
      <protection hidden="1"/>
    </xf>
    <xf numFmtId="0" fontId="9" fillId="3" borderId="1" xfId="0" applyFont="1" applyFill="1" applyBorder="1" applyAlignment="1" applyProtection="1">
      <alignment horizontal="center" vertical="center"/>
      <protection hidden="1"/>
    </xf>
    <xf numFmtId="0" fontId="1" fillId="17" borderId="2" xfId="0" applyFont="1" applyFill="1" applyBorder="1" applyAlignment="1" applyProtection="1">
      <alignment horizontal="left" vertical="center" wrapText="1"/>
      <protection locked="0"/>
    </xf>
    <xf numFmtId="0" fontId="1" fillId="17" borderId="3" xfId="0" applyFont="1" applyFill="1" applyBorder="1" applyAlignment="1" applyProtection="1">
      <alignment horizontal="left" vertical="center" wrapText="1"/>
      <protection locked="0"/>
    </xf>
    <xf numFmtId="0" fontId="1" fillId="17" borderId="4" xfId="0" applyFont="1" applyFill="1" applyBorder="1" applyAlignment="1" applyProtection="1">
      <alignment horizontal="left" vertical="center" wrapText="1"/>
      <protection locked="0"/>
    </xf>
    <xf numFmtId="0" fontId="1" fillId="17" borderId="2" xfId="0" applyFont="1" applyFill="1" applyBorder="1" applyAlignment="1" applyProtection="1">
      <alignment horizontal="left" vertical="center" wrapText="1" indent="1"/>
      <protection locked="0"/>
    </xf>
    <xf numFmtId="0" fontId="1" fillId="17" borderId="3" xfId="0" applyFont="1" applyFill="1" applyBorder="1" applyAlignment="1" applyProtection="1">
      <alignment horizontal="left" vertical="center" wrapText="1" indent="1"/>
      <protection locked="0"/>
    </xf>
    <xf numFmtId="0" fontId="1" fillId="17" borderId="4" xfId="0" applyFont="1" applyFill="1" applyBorder="1" applyAlignment="1" applyProtection="1">
      <alignment horizontal="left" vertical="center" wrapText="1" indent="1"/>
      <protection locked="0"/>
    </xf>
    <xf numFmtId="0" fontId="22" fillId="17" borderId="2" xfId="0" applyFont="1" applyFill="1" applyBorder="1" applyAlignment="1" applyProtection="1">
      <alignment horizontal="left" vertical="center" wrapText="1" indent="1"/>
      <protection hidden="1"/>
    </xf>
    <xf numFmtId="0" fontId="22" fillId="17" borderId="3" xfId="0" applyFont="1" applyFill="1" applyBorder="1" applyAlignment="1" applyProtection="1">
      <alignment horizontal="left" vertical="center" wrapText="1" indent="1"/>
      <protection hidden="1"/>
    </xf>
    <xf numFmtId="0" fontId="22" fillId="17" borderId="4" xfId="0" applyFont="1" applyFill="1" applyBorder="1" applyAlignment="1" applyProtection="1">
      <alignment horizontal="left" vertical="center" wrapText="1" indent="1"/>
      <protection hidden="1"/>
    </xf>
    <xf numFmtId="0" fontId="1" fillId="17" borderId="2" xfId="0" applyFont="1" applyFill="1" applyBorder="1" applyAlignment="1" applyProtection="1">
      <alignment horizontal="left" vertical="center" wrapText="1"/>
      <protection hidden="1"/>
    </xf>
    <xf numFmtId="0" fontId="1" fillId="17" borderId="3" xfId="0" applyFont="1" applyFill="1" applyBorder="1" applyAlignment="1" applyProtection="1">
      <alignment horizontal="left" vertical="center" wrapText="1"/>
      <protection hidden="1"/>
    </xf>
    <xf numFmtId="0" fontId="1" fillId="17" borderId="4" xfId="0" applyFont="1" applyFill="1" applyBorder="1" applyAlignment="1" applyProtection="1">
      <alignment horizontal="left" vertical="center" wrapText="1"/>
      <protection hidden="1"/>
    </xf>
    <xf numFmtId="0" fontId="1" fillId="3" borderId="1" xfId="0" applyFont="1" applyFill="1" applyBorder="1" applyAlignment="1" applyProtection="1">
      <alignment horizontal="left" vertical="center" wrapText="1" indent="1"/>
      <protection hidden="1"/>
    </xf>
    <xf numFmtId="0" fontId="1" fillId="17" borderId="3" xfId="0" applyFont="1" applyFill="1" applyBorder="1" applyAlignment="1" applyProtection="1">
      <alignment horizontal="left" vertical="center" indent="1"/>
      <protection locked="0"/>
    </xf>
    <xf numFmtId="0" fontId="1" fillId="17" borderId="4" xfId="0" applyFont="1" applyFill="1" applyBorder="1" applyAlignment="1" applyProtection="1">
      <alignment horizontal="left" vertical="center" indent="1"/>
      <protection locked="0"/>
    </xf>
    <xf numFmtId="0" fontId="5" fillId="3" borderId="31" xfId="0" applyFont="1" applyFill="1" applyBorder="1" applyAlignment="1" applyProtection="1">
      <alignment horizontal="center" vertical="center" wrapText="1"/>
      <protection hidden="1"/>
    </xf>
    <xf numFmtId="0" fontId="21" fillId="0" borderId="19" xfId="0" applyFont="1" applyBorder="1" applyAlignment="1" applyProtection="1">
      <alignment horizontal="left" vertical="center" wrapText="1"/>
      <protection hidden="1"/>
    </xf>
    <xf numFmtId="0" fontId="1" fillId="17" borderId="2" xfId="0" applyFont="1" applyFill="1" applyBorder="1" applyAlignment="1" applyProtection="1">
      <alignment vertical="center" wrapText="1"/>
      <protection locked="0"/>
    </xf>
    <xf numFmtId="0" fontId="1" fillId="17" borderId="3" xfId="0" applyFont="1" applyFill="1" applyBorder="1" applyAlignment="1" applyProtection="1">
      <alignment vertical="center" wrapText="1"/>
      <protection locked="0"/>
    </xf>
    <xf numFmtId="0" fontId="1" fillId="17" borderId="4" xfId="0" applyFont="1" applyFill="1" applyBorder="1" applyAlignment="1" applyProtection="1">
      <alignment vertical="center" wrapText="1"/>
      <protection locked="0"/>
    </xf>
    <xf numFmtId="4" fontId="1" fillId="13" borderId="2" xfId="1" applyNumberFormat="1" applyFont="1" applyFill="1" applyBorder="1" applyAlignment="1" applyProtection="1">
      <alignment horizontal="right" vertical="center"/>
      <protection hidden="1"/>
    </xf>
    <xf numFmtId="4" fontId="1" fillId="13" borderId="4" xfId="1" applyNumberFormat="1" applyFont="1" applyFill="1" applyBorder="1" applyAlignment="1" applyProtection="1">
      <alignment horizontal="right" vertical="center"/>
      <protection hidden="1"/>
    </xf>
    <xf numFmtId="4" fontId="1" fillId="13" borderId="2" xfId="1" applyNumberFormat="1" applyFont="1" applyFill="1" applyBorder="1" applyAlignment="1" applyProtection="1">
      <alignment horizontal="center" vertical="center"/>
      <protection hidden="1"/>
    </xf>
    <xf numFmtId="4" fontId="1" fillId="13" borderId="4" xfId="1" applyNumberFormat="1" applyFont="1" applyFill="1" applyBorder="1" applyAlignment="1" applyProtection="1">
      <alignment horizontal="center" vertical="center"/>
      <protection hidden="1"/>
    </xf>
    <xf numFmtId="0" fontId="1" fillId="13" borderId="2" xfId="1" applyFont="1" applyFill="1" applyBorder="1" applyAlignment="1" applyProtection="1">
      <alignment horizontal="center" vertical="center"/>
      <protection hidden="1"/>
    </xf>
    <xf numFmtId="0" fontId="1" fillId="13" borderId="4" xfId="1" applyFont="1" applyFill="1" applyBorder="1" applyAlignment="1" applyProtection="1">
      <alignment horizontal="center" vertical="center"/>
      <protection hidden="1"/>
    </xf>
    <xf numFmtId="0" fontId="5" fillId="3" borderId="2" xfId="1" applyFont="1" applyFill="1" applyBorder="1" applyAlignment="1" applyProtection="1">
      <alignment horizontal="left" vertical="center" wrapText="1"/>
      <protection hidden="1"/>
    </xf>
    <xf numFmtId="0" fontId="5" fillId="3" borderId="3" xfId="1" applyFont="1" applyFill="1" applyBorder="1" applyAlignment="1" applyProtection="1">
      <alignment horizontal="left" vertical="center" wrapText="1"/>
      <protection hidden="1"/>
    </xf>
    <xf numFmtId="0" fontId="5" fillId="3" borderId="4" xfId="1" applyFont="1" applyFill="1" applyBorder="1" applyAlignment="1" applyProtection="1">
      <alignment horizontal="left" vertical="center" wrapText="1"/>
      <protection hidden="1"/>
    </xf>
    <xf numFmtId="0" fontId="2" fillId="3" borderId="43" xfId="1" applyFont="1" applyFill="1" applyBorder="1" applyAlignment="1" applyProtection="1">
      <alignment horizontal="center" vertical="center" wrapText="1"/>
      <protection hidden="1"/>
    </xf>
    <xf numFmtId="0" fontId="2" fillId="3" borderId="45" xfId="1" applyFont="1" applyFill="1" applyBorder="1" applyAlignment="1" applyProtection="1">
      <alignment horizontal="center" vertical="center" wrapText="1"/>
      <protection hidden="1"/>
    </xf>
    <xf numFmtId="0" fontId="2" fillId="3" borderId="59" xfId="1" applyFont="1" applyFill="1" applyBorder="1" applyAlignment="1" applyProtection="1">
      <alignment horizontal="center" vertical="center" wrapText="1"/>
      <protection hidden="1"/>
    </xf>
    <xf numFmtId="0" fontId="2" fillId="3" borderId="60" xfId="1" applyFont="1" applyFill="1" applyBorder="1" applyAlignment="1" applyProtection="1">
      <alignment horizontal="center" vertical="center" wrapText="1"/>
      <protection hidden="1"/>
    </xf>
    <xf numFmtId="0" fontId="2" fillId="3" borderId="46" xfId="1" applyFont="1" applyFill="1" applyBorder="1" applyAlignment="1" applyProtection="1">
      <alignment horizontal="center" vertical="center" wrapText="1"/>
      <protection hidden="1"/>
    </xf>
    <xf numFmtId="0" fontId="2" fillId="3" borderId="47" xfId="1" applyFont="1" applyFill="1" applyBorder="1" applyAlignment="1" applyProtection="1">
      <alignment horizontal="center" vertical="center" wrapText="1"/>
      <protection hidden="1"/>
    </xf>
    <xf numFmtId="0" fontId="2" fillId="3" borderId="38" xfId="1" applyFont="1" applyFill="1" applyBorder="1" applyAlignment="1" applyProtection="1">
      <alignment horizontal="center" vertical="center" wrapText="1"/>
      <protection hidden="1"/>
    </xf>
    <xf numFmtId="0" fontId="2" fillId="3" borderId="49" xfId="1" applyFont="1" applyFill="1" applyBorder="1" applyAlignment="1" applyProtection="1">
      <alignment horizontal="center" vertical="center" wrapText="1"/>
      <protection hidden="1"/>
    </xf>
    <xf numFmtId="0" fontId="2" fillId="3" borderId="39" xfId="1" applyFont="1" applyFill="1" applyBorder="1" applyAlignment="1" applyProtection="1">
      <alignment horizontal="center" vertical="center" wrapText="1"/>
      <protection hidden="1"/>
    </xf>
    <xf numFmtId="0" fontId="2" fillId="3" borderId="44" xfId="1" applyFont="1" applyFill="1" applyBorder="1" applyAlignment="1" applyProtection="1">
      <alignment horizontal="center" vertical="center" wrapText="1"/>
      <protection hidden="1"/>
    </xf>
    <xf numFmtId="0" fontId="2" fillId="3" borderId="61" xfId="1" applyFont="1" applyFill="1" applyBorder="1" applyAlignment="1" applyProtection="1">
      <alignment horizontal="center" vertical="center" wrapText="1"/>
      <protection hidden="1"/>
    </xf>
    <xf numFmtId="0" fontId="2" fillId="3" borderId="31" xfId="1" applyFont="1" applyFill="1" applyBorder="1" applyAlignment="1" applyProtection="1">
      <alignment horizontal="center" vertical="center" wrapText="1"/>
      <protection hidden="1"/>
    </xf>
    <xf numFmtId="0" fontId="2" fillId="3" borderId="0" xfId="1" applyFont="1" applyFill="1" applyBorder="1" applyAlignment="1" applyProtection="1">
      <alignment horizontal="center" vertical="center" wrapText="1"/>
      <protection hidden="1"/>
    </xf>
    <xf numFmtId="0" fontId="5" fillId="3" borderId="2" xfId="1" applyFont="1" applyFill="1" applyBorder="1" applyAlignment="1" applyProtection="1">
      <alignment horizontal="left" vertical="center"/>
      <protection hidden="1"/>
    </xf>
    <xf numFmtId="0" fontId="5" fillId="3" borderId="3" xfId="1" applyFont="1" applyFill="1" applyBorder="1" applyAlignment="1" applyProtection="1">
      <alignment horizontal="left" vertical="center"/>
      <protection hidden="1"/>
    </xf>
    <xf numFmtId="0" fontId="5" fillId="3" borderId="4" xfId="1" applyFont="1" applyFill="1" applyBorder="1" applyAlignment="1" applyProtection="1">
      <alignment horizontal="left" vertical="center"/>
      <protection hidden="1"/>
    </xf>
    <xf numFmtId="0" fontId="5" fillId="0" borderId="19" xfId="1" applyFont="1" applyFill="1" applyBorder="1" applyAlignment="1" applyProtection="1">
      <alignment horizontal="right" vertical="center" indent="1"/>
      <protection hidden="1"/>
    </xf>
    <xf numFmtId="0" fontId="5" fillId="0" borderId="20" xfId="1" applyFont="1" applyFill="1" applyBorder="1" applyAlignment="1" applyProtection="1">
      <alignment horizontal="right" vertical="center" indent="1"/>
      <protection hidden="1"/>
    </xf>
    <xf numFmtId="4" fontId="5" fillId="7" borderId="22" xfId="1" applyNumberFormat="1" applyFont="1" applyFill="1" applyBorder="1" applyAlignment="1" applyProtection="1">
      <alignment horizontal="right" vertical="center"/>
      <protection hidden="1"/>
    </xf>
    <xf numFmtId="4" fontId="5" fillId="7" borderId="24" xfId="1" applyNumberFormat="1" applyFont="1" applyFill="1" applyBorder="1" applyAlignment="1" applyProtection="1">
      <alignment horizontal="right" vertical="center"/>
      <protection hidden="1"/>
    </xf>
    <xf numFmtId="0" fontId="5" fillId="0" borderId="0" xfId="1" applyFont="1" applyFill="1" applyBorder="1" applyAlignment="1" applyProtection="1">
      <alignment horizontal="right" vertical="center"/>
      <protection hidden="1"/>
    </xf>
    <xf numFmtId="0" fontId="5" fillId="0" borderId="8" xfId="1" applyFont="1" applyFill="1" applyBorder="1" applyAlignment="1" applyProtection="1">
      <alignment horizontal="right" vertical="center"/>
      <protection hidden="1"/>
    </xf>
    <xf numFmtId="0" fontId="5" fillId="0" borderId="48" xfId="1" applyFont="1" applyFill="1" applyBorder="1" applyAlignment="1" applyProtection="1">
      <alignment horizontal="right" vertical="center"/>
      <protection hidden="1"/>
    </xf>
    <xf numFmtId="0" fontId="5" fillId="0" borderId="7" xfId="1" applyFont="1" applyFill="1" applyBorder="1" applyAlignment="1" applyProtection="1">
      <alignment horizontal="right" vertical="center"/>
      <protection hidden="1"/>
    </xf>
    <xf numFmtId="0" fontId="15" fillId="0" borderId="0" xfId="1" applyFont="1" applyFill="1" applyBorder="1" applyAlignment="1" applyProtection="1">
      <alignment horizontal="left" vertical="center" wrapText="1"/>
      <protection hidden="1"/>
    </xf>
    <xf numFmtId="0" fontId="5" fillId="3" borderId="2" xfId="1" applyFont="1" applyFill="1" applyBorder="1" applyAlignment="1" applyProtection="1">
      <alignment horizontal="center" vertical="center"/>
      <protection hidden="1"/>
    </xf>
    <xf numFmtId="0" fontId="5" fillId="3" borderId="4" xfId="1" applyFont="1" applyFill="1" applyBorder="1" applyAlignment="1" applyProtection="1">
      <alignment horizontal="center" vertical="center"/>
      <protection hidden="1"/>
    </xf>
    <xf numFmtId="0" fontId="1" fillId="7" borderId="2" xfId="1" applyFont="1" applyFill="1" applyBorder="1" applyAlignment="1" applyProtection="1">
      <alignment horizontal="left" vertical="center" indent="1"/>
      <protection hidden="1"/>
    </xf>
    <xf numFmtId="0" fontId="1" fillId="7" borderId="4" xfId="1" applyFont="1" applyFill="1" applyBorder="1" applyAlignment="1" applyProtection="1">
      <alignment horizontal="left" vertical="center" indent="1"/>
      <protection hidden="1"/>
    </xf>
    <xf numFmtId="4" fontId="1" fillId="13" borderId="1" xfId="1" applyNumberFormat="1" applyFont="1" applyFill="1" applyBorder="1" applyAlignment="1" applyProtection="1">
      <alignment horizontal="right" vertical="center"/>
      <protection hidden="1"/>
    </xf>
    <xf numFmtId="0" fontId="5" fillId="13" borderId="2" xfId="1" applyFont="1" applyFill="1" applyBorder="1" applyAlignment="1" applyProtection="1">
      <alignment horizontal="left" vertical="center" wrapText="1"/>
      <protection hidden="1"/>
    </xf>
    <xf numFmtId="0" fontId="5" fillId="13" borderId="3" xfId="1" applyFont="1" applyFill="1" applyBorder="1" applyAlignment="1" applyProtection="1">
      <alignment horizontal="left" vertical="center" wrapText="1"/>
      <protection hidden="1"/>
    </xf>
    <xf numFmtId="0" fontId="5" fillId="13" borderId="4" xfId="1" applyFont="1" applyFill="1" applyBorder="1" applyAlignment="1" applyProtection="1">
      <alignment horizontal="left" vertical="center" wrapText="1"/>
      <protection hidden="1"/>
    </xf>
    <xf numFmtId="4" fontId="5" fillId="13" borderId="2" xfId="1" applyNumberFormat="1" applyFont="1" applyFill="1" applyBorder="1" applyAlignment="1" applyProtection="1">
      <alignment horizontal="right" vertical="center" wrapText="1"/>
      <protection hidden="1"/>
    </xf>
    <xf numFmtId="4" fontId="5" fillId="13" borderId="4" xfId="1" applyNumberFormat="1" applyFont="1" applyFill="1" applyBorder="1" applyAlignment="1" applyProtection="1">
      <alignment horizontal="right" vertical="center" wrapText="1"/>
      <protection hidden="1"/>
    </xf>
    <xf numFmtId="0" fontId="1" fillId="13" borderId="2" xfId="1" applyFont="1" applyFill="1" applyBorder="1" applyAlignment="1" applyProtection="1">
      <alignment horizontal="left" vertical="center" wrapText="1" indent="4"/>
      <protection hidden="1"/>
    </xf>
    <xf numFmtId="0" fontId="1" fillId="13" borderId="3" xfId="1" applyFont="1" applyFill="1" applyBorder="1" applyAlignment="1" applyProtection="1">
      <alignment horizontal="left" vertical="center" wrapText="1" indent="4"/>
      <protection hidden="1"/>
    </xf>
    <xf numFmtId="0" fontId="1" fillId="13" borderId="4" xfId="1" applyFont="1" applyFill="1" applyBorder="1" applyAlignment="1" applyProtection="1">
      <alignment horizontal="left" vertical="center" wrapText="1" indent="4"/>
      <protection hidden="1"/>
    </xf>
    <xf numFmtId="4" fontId="5" fillId="13" borderId="2" xfId="1" applyNumberFormat="1" applyFont="1" applyFill="1" applyBorder="1" applyAlignment="1" applyProtection="1">
      <alignment horizontal="right" vertical="center" wrapText="1"/>
      <protection locked="0"/>
    </xf>
    <xf numFmtId="4" fontId="5" fillId="13" borderId="4" xfId="1" applyNumberFormat="1" applyFont="1" applyFill="1" applyBorder="1" applyAlignment="1" applyProtection="1">
      <alignment horizontal="right" vertical="center" wrapText="1"/>
      <protection locked="0"/>
    </xf>
    <xf numFmtId="0" fontId="5" fillId="13" borderId="2" xfId="1" applyFont="1" applyFill="1" applyBorder="1" applyAlignment="1" applyProtection="1">
      <alignment horizontal="right" vertical="center" wrapText="1"/>
      <protection hidden="1"/>
    </xf>
    <xf numFmtId="0" fontId="5" fillId="13" borderId="3" xfId="1" applyFont="1" applyFill="1" applyBorder="1" applyAlignment="1" applyProtection="1">
      <alignment horizontal="right" vertical="center" wrapText="1"/>
      <protection hidden="1"/>
    </xf>
    <xf numFmtId="4" fontId="5" fillId="13" borderId="3" xfId="1" applyNumberFormat="1" applyFont="1" applyFill="1" applyBorder="1" applyAlignment="1" applyProtection="1">
      <alignment horizontal="right" vertical="center" wrapText="1"/>
      <protection locked="0"/>
    </xf>
    <xf numFmtId="0" fontId="1" fillId="13" borderId="1" xfId="1" applyFont="1" applyFill="1" applyBorder="1" applyAlignment="1" applyProtection="1">
      <alignment horizontal="left" vertical="center" wrapText="1" indent="1"/>
      <protection locked="0"/>
    </xf>
    <xf numFmtId="0" fontId="6" fillId="7" borderId="63" xfId="1" applyFont="1" applyFill="1" applyBorder="1" applyAlignment="1" applyProtection="1">
      <alignment horizontal="left" vertical="center" wrapText="1" indent="1"/>
      <protection hidden="1"/>
    </xf>
    <xf numFmtId="0" fontId="6" fillId="7" borderId="34" xfId="1" applyFont="1" applyFill="1" applyBorder="1" applyAlignment="1" applyProtection="1">
      <alignment horizontal="left" vertical="center" wrapText="1" indent="1"/>
      <protection hidden="1"/>
    </xf>
    <xf numFmtId="0" fontId="6" fillId="3" borderId="56" xfId="1" applyFont="1" applyFill="1" applyBorder="1" applyAlignment="1" applyProtection="1">
      <alignment horizontal="center" vertical="center" wrapText="1"/>
      <protection hidden="1"/>
    </xf>
    <xf numFmtId="0" fontId="6" fillId="3" borderId="19" xfId="1" applyFont="1" applyFill="1" applyBorder="1" applyAlignment="1" applyProtection="1">
      <alignment horizontal="center" vertical="center" wrapText="1"/>
      <protection hidden="1"/>
    </xf>
    <xf numFmtId="0" fontId="6" fillId="3" borderId="7" xfId="1" applyFont="1" applyFill="1" applyBorder="1" applyAlignment="1" applyProtection="1">
      <alignment horizontal="center" vertical="center" wrapText="1"/>
      <protection hidden="1"/>
    </xf>
    <xf numFmtId="0" fontId="6" fillId="3" borderId="0" xfId="1" applyFont="1" applyFill="1" applyBorder="1" applyAlignment="1" applyProtection="1">
      <alignment horizontal="center" vertical="center" wrapText="1"/>
      <protection hidden="1"/>
    </xf>
    <xf numFmtId="0" fontId="25" fillId="0" borderId="0" xfId="1" applyFont="1" applyFill="1" applyBorder="1" applyAlignment="1" applyProtection="1">
      <alignment horizontal="left" vertical="center"/>
      <protection hidden="1"/>
    </xf>
    <xf numFmtId="0" fontId="6" fillId="3" borderId="35" xfId="1" applyFont="1" applyFill="1" applyBorder="1" applyAlignment="1" applyProtection="1">
      <alignment horizontal="center" vertical="center" wrapText="1"/>
      <protection hidden="1"/>
    </xf>
    <xf numFmtId="0" fontId="6" fillId="3" borderId="36" xfId="1" applyFont="1" applyFill="1" applyBorder="1" applyAlignment="1" applyProtection="1">
      <alignment horizontal="center" vertical="center" wrapText="1"/>
      <protection hidden="1"/>
    </xf>
    <xf numFmtId="0" fontId="6" fillId="3" borderId="37" xfId="1" applyFont="1" applyFill="1" applyBorder="1" applyAlignment="1" applyProtection="1">
      <alignment horizontal="center" vertical="center" wrapText="1"/>
      <protection hidden="1"/>
    </xf>
    <xf numFmtId="0" fontId="6" fillId="7" borderId="62" xfId="1" applyFont="1" applyFill="1" applyBorder="1" applyAlignment="1" applyProtection="1">
      <alignment horizontal="center" vertical="center" wrapText="1"/>
      <protection hidden="1"/>
    </xf>
    <xf numFmtId="0" fontId="6" fillId="7" borderId="63" xfId="1" applyFont="1" applyFill="1" applyBorder="1" applyAlignment="1" applyProtection="1">
      <alignment horizontal="center" vertical="center" wrapText="1"/>
      <protection hidden="1"/>
    </xf>
    <xf numFmtId="0" fontId="6" fillId="7" borderId="33" xfId="1" applyFont="1" applyFill="1" applyBorder="1" applyAlignment="1" applyProtection="1">
      <alignment horizontal="center" vertical="center" wrapText="1"/>
      <protection hidden="1"/>
    </xf>
    <xf numFmtId="0" fontId="6" fillId="7" borderId="34" xfId="1" applyFont="1" applyFill="1" applyBorder="1" applyAlignment="1" applyProtection="1">
      <alignment horizontal="center" vertical="center" wrapText="1"/>
      <protection hidden="1"/>
    </xf>
    <xf numFmtId="0" fontId="6" fillId="7" borderId="1" xfId="1" applyFont="1" applyFill="1" applyBorder="1" applyAlignment="1" applyProtection="1">
      <alignment horizontal="center" vertical="center" wrapText="1"/>
      <protection hidden="1"/>
    </xf>
    <xf numFmtId="0" fontId="6" fillId="7" borderId="30" xfId="1" applyFont="1" applyFill="1" applyBorder="1" applyAlignment="1" applyProtection="1">
      <alignment horizontal="center" vertical="center" wrapText="1"/>
      <protection hidden="1"/>
    </xf>
    <xf numFmtId="0" fontId="7" fillId="7" borderId="1" xfId="1" applyFont="1" applyFill="1" applyBorder="1" applyAlignment="1" applyProtection="1">
      <alignment horizontal="left" vertical="center" wrapText="1" indent="1"/>
      <protection hidden="1"/>
    </xf>
    <xf numFmtId="0" fontId="5" fillId="13" borderId="4" xfId="1" applyFont="1" applyFill="1" applyBorder="1" applyAlignment="1" applyProtection="1">
      <alignment horizontal="center"/>
      <protection locked="0"/>
    </xf>
    <xf numFmtId="14" fontId="5" fillId="13" borderId="2" xfId="1" applyNumberFormat="1" applyFont="1" applyFill="1" applyBorder="1" applyAlignment="1" applyProtection="1">
      <alignment horizontal="center" vertical="center"/>
      <protection locked="0"/>
    </xf>
    <xf numFmtId="14" fontId="5" fillId="13" borderId="4" xfId="1" applyNumberFormat="1" applyFont="1" applyFill="1" applyBorder="1" applyAlignment="1" applyProtection="1">
      <alignment horizontal="center" vertical="center"/>
      <protection locked="0"/>
    </xf>
    <xf numFmtId="0" fontId="6" fillId="7" borderId="1" xfId="1" applyFont="1" applyFill="1" applyBorder="1" applyAlignment="1" applyProtection="1">
      <alignment horizontal="left" vertical="center" wrapText="1" indent="1"/>
      <protection hidden="1"/>
    </xf>
    <xf numFmtId="0" fontId="7" fillId="7" borderId="30" xfId="1" applyFont="1" applyFill="1" applyBorder="1" applyAlignment="1" applyProtection="1">
      <alignment horizontal="left" vertical="center" wrapText="1" indent="1"/>
      <protection hidden="1"/>
    </xf>
    <xf numFmtId="14" fontId="5" fillId="13" borderId="5" xfId="1" applyNumberFormat="1" applyFont="1" applyFill="1" applyBorder="1" applyAlignment="1" applyProtection="1">
      <alignment horizontal="center" vertical="center"/>
      <protection locked="0"/>
    </xf>
    <xf numFmtId="14" fontId="5" fillId="13" borderId="6" xfId="1" applyNumberFormat="1" applyFont="1" applyFill="1" applyBorder="1" applyAlignment="1" applyProtection="1">
      <alignment horizontal="center" vertical="center"/>
      <protection locked="0"/>
    </xf>
    <xf numFmtId="0" fontId="5" fillId="13" borderId="5" xfId="1" applyFont="1" applyFill="1" applyBorder="1" applyAlignment="1" applyProtection="1">
      <alignment horizontal="center"/>
      <protection hidden="1"/>
    </xf>
    <xf numFmtId="0" fontId="5" fillId="13" borderId="6" xfId="1" applyFont="1" applyFill="1" applyBorder="1" applyAlignment="1" applyProtection="1">
      <alignment horizontal="center"/>
      <protection hidden="1"/>
    </xf>
    <xf numFmtId="0" fontId="6" fillId="3" borderId="28" xfId="1" applyFont="1" applyFill="1" applyBorder="1" applyAlignment="1" applyProtection="1">
      <alignment horizontal="center" vertical="center" wrapText="1"/>
      <protection hidden="1"/>
    </xf>
    <xf numFmtId="0" fontId="6" fillId="3" borderId="8" xfId="1" applyFont="1" applyFill="1" applyBorder="1" applyAlignment="1" applyProtection="1">
      <alignment horizontal="center" vertical="center" wrapText="1"/>
      <protection hidden="1"/>
    </xf>
    <xf numFmtId="0" fontId="1" fillId="0" borderId="0" xfId="1" applyFont="1" applyFill="1" applyBorder="1" applyAlignment="1" applyProtection="1">
      <alignment horizontal="left" vertical="center" indent="1"/>
      <protection hidden="1"/>
    </xf>
    <xf numFmtId="0" fontId="1" fillId="0" borderId="8" xfId="1" applyFont="1" applyFill="1" applyBorder="1" applyAlignment="1" applyProtection="1">
      <alignment horizontal="left" vertical="center" indent="1"/>
      <protection hidden="1"/>
    </xf>
    <xf numFmtId="0" fontId="38" fillId="0" borderId="19" xfId="1" applyFont="1" applyFill="1" applyBorder="1" applyAlignment="1" applyProtection="1">
      <alignment horizontal="left" vertical="center" wrapText="1"/>
      <protection hidden="1"/>
    </xf>
    <xf numFmtId="0" fontId="38" fillId="0" borderId="0" xfId="1" applyFont="1" applyFill="1" applyBorder="1" applyAlignment="1" applyProtection="1">
      <alignment horizontal="left" vertical="center" wrapText="1"/>
      <protection hidden="1"/>
    </xf>
    <xf numFmtId="0" fontId="6" fillId="3" borderId="2" xfId="1" applyFont="1" applyFill="1" applyBorder="1" applyAlignment="1" applyProtection="1">
      <alignment horizontal="center" vertical="center" wrapText="1"/>
      <protection hidden="1"/>
    </xf>
    <xf numFmtId="0" fontId="6" fillId="3" borderId="3" xfId="1" applyFont="1" applyFill="1" applyBorder="1" applyAlignment="1" applyProtection="1">
      <alignment horizontal="center" vertical="center" wrapText="1"/>
      <protection hidden="1"/>
    </xf>
    <xf numFmtId="0" fontId="6" fillId="3" borderId="4" xfId="1" applyFont="1" applyFill="1" applyBorder="1" applyAlignment="1" applyProtection="1">
      <alignment horizontal="center" vertical="center" wrapText="1"/>
      <protection hidden="1"/>
    </xf>
    <xf numFmtId="0" fontId="1" fillId="3" borderId="48" xfId="0" applyFont="1" applyFill="1" applyBorder="1" applyAlignment="1" applyProtection="1">
      <alignment horizontal="center" vertical="center" wrapText="1"/>
      <protection hidden="1"/>
    </xf>
    <xf numFmtId="0" fontId="1" fillId="3" borderId="27" xfId="0" applyFont="1" applyFill="1" applyBorder="1" applyAlignment="1" applyProtection="1">
      <alignment horizontal="center" vertical="center" wrapText="1"/>
      <protection hidden="1"/>
    </xf>
    <xf numFmtId="0" fontId="1" fillId="3" borderId="30" xfId="0" applyFont="1" applyFill="1" applyBorder="1" applyAlignment="1" applyProtection="1">
      <alignment horizontal="center" vertical="center" wrapText="1"/>
      <protection hidden="1"/>
    </xf>
    <xf numFmtId="0" fontId="5" fillId="0" borderId="0" xfId="0" applyFont="1" applyBorder="1" applyAlignment="1" applyProtection="1">
      <alignment horizontal="center"/>
      <protection hidden="1"/>
    </xf>
    <xf numFmtId="0" fontId="1" fillId="17" borderId="1" xfId="1" applyFont="1" applyFill="1" applyBorder="1" applyAlignment="1" applyProtection="1">
      <alignment horizontal="center" vertical="center" wrapText="1"/>
      <protection hidden="1"/>
    </xf>
    <xf numFmtId="0" fontId="11" fillId="17" borderId="2" xfId="0" applyFont="1" applyFill="1" applyBorder="1" applyAlignment="1" applyProtection="1">
      <alignment horizontal="left" vertical="center" wrapText="1"/>
      <protection hidden="1"/>
    </xf>
    <xf numFmtId="0" fontId="11" fillId="17" borderId="3" xfId="0" applyFont="1" applyFill="1" applyBorder="1" applyAlignment="1" applyProtection="1">
      <alignment horizontal="left" vertical="center" wrapText="1"/>
      <protection hidden="1"/>
    </xf>
    <xf numFmtId="0" fontId="11" fillId="17" borderId="4" xfId="0" applyFont="1" applyFill="1" applyBorder="1" applyAlignment="1" applyProtection="1">
      <alignment horizontal="left" vertical="center" wrapText="1"/>
      <protection hidden="1"/>
    </xf>
    <xf numFmtId="0" fontId="5" fillId="3" borderId="0" xfId="0" applyFont="1" applyFill="1" applyBorder="1" applyAlignment="1" applyProtection="1">
      <alignment horizontal="left" vertical="center"/>
      <protection hidden="1"/>
    </xf>
    <xf numFmtId="0" fontId="11" fillId="17" borderId="2" xfId="0" quotePrefix="1" applyFont="1" applyFill="1" applyBorder="1" applyAlignment="1" applyProtection="1">
      <alignment horizontal="left" vertical="center" wrapText="1"/>
      <protection hidden="1"/>
    </xf>
    <xf numFmtId="0" fontId="1" fillId="3" borderId="30" xfId="0" applyFont="1" applyFill="1" applyBorder="1" applyAlignment="1" applyProtection="1">
      <alignment horizontal="center" vertical="center"/>
      <protection hidden="1"/>
    </xf>
    <xf numFmtId="0" fontId="1" fillId="3" borderId="48" xfId="0" applyFont="1" applyFill="1" applyBorder="1" applyAlignment="1" applyProtection="1">
      <alignment horizontal="center" vertical="center"/>
      <protection hidden="1"/>
    </xf>
    <xf numFmtId="0" fontId="1" fillId="3" borderId="27" xfId="0" applyFont="1" applyFill="1" applyBorder="1" applyAlignment="1" applyProtection="1">
      <alignment horizontal="center" vertical="center"/>
      <protection hidden="1"/>
    </xf>
    <xf numFmtId="0" fontId="9" fillId="0" borderId="1" xfId="0" applyFont="1" applyFill="1" applyBorder="1" applyAlignment="1" applyProtection="1">
      <alignment horizontal="center" vertical="center" wrapText="1"/>
      <protection hidden="1"/>
    </xf>
    <xf numFmtId="0" fontId="1" fillId="0" borderId="0" xfId="0" applyFont="1" applyFill="1" applyBorder="1" applyAlignment="1" applyProtection="1">
      <alignment horizontal="left" vertical="center" wrapText="1"/>
      <protection hidden="1"/>
    </xf>
    <xf numFmtId="0" fontId="26" fillId="0" borderId="31" xfId="0" applyFont="1" applyBorder="1" applyAlignment="1" applyProtection="1">
      <alignment horizontal="left" vertical="center" wrapText="1" indent="1"/>
      <protection hidden="1"/>
    </xf>
    <xf numFmtId="0" fontId="27" fillId="3" borderId="51" xfId="0" applyFont="1" applyFill="1" applyBorder="1" applyAlignment="1" applyProtection="1">
      <alignment horizontal="center" vertical="center" wrapText="1"/>
      <protection hidden="1"/>
    </xf>
    <xf numFmtId="0" fontId="27" fillId="3" borderId="52" xfId="0" applyFont="1" applyFill="1" applyBorder="1" applyAlignment="1" applyProtection="1">
      <alignment horizontal="center" vertical="center" wrapText="1"/>
      <protection hidden="1"/>
    </xf>
    <xf numFmtId="0" fontId="27" fillId="3" borderId="53" xfId="0" applyFont="1" applyFill="1" applyBorder="1" applyAlignment="1" applyProtection="1">
      <alignment horizontal="center" vertical="center" wrapText="1"/>
      <protection hidden="1"/>
    </xf>
    <xf numFmtId="0" fontId="9" fillId="0" borderId="27" xfId="0" applyFont="1" applyFill="1" applyBorder="1" applyAlignment="1" applyProtection="1">
      <alignment horizontal="center" wrapText="1"/>
      <protection hidden="1"/>
    </xf>
    <xf numFmtId="0" fontId="0" fillId="0" borderId="92" xfId="0" applyFill="1" applyBorder="1" applyAlignment="1" applyProtection="1">
      <alignment horizontal="right" wrapText="1"/>
      <protection hidden="1"/>
    </xf>
    <xf numFmtId="0" fontId="0" fillId="0" borderId="0" xfId="0" applyFill="1" applyAlignment="1" applyProtection="1">
      <alignment horizontal="right" wrapText="1"/>
      <protection hidden="1"/>
    </xf>
    <xf numFmtId="0" fontId="25" fillId="3" borderId="0" xfId="0" applyFont="1" applyFill="1" applyBorder="1" applyAlignment="1" applyProtection="1">
      <alignment horizontal="left" vertical="center"/>
      <protection hidden="1"/>
    </xf>
    <xf numFmtId="0" fontId="9" fillId="3" borderId="31" xfId="0" applyFont="1" applyFill="1" applyBorder="1" applyAlignment="1" applyProtection="1">
      <alignment horizontal="center" vertical="center"/>
      <protection hidden="1"/>
    </xf>
    <xf numFmtId="0" fontId="5" fillId="3" borderId="1" xfId="0" applyFont="1" applyFill="1" applyBorder="1" applyAlignment="1" applyProtection="1">
      <alignment horizontal="left" vertical="center" wrapText="1" indent="1"/>
      <protection hidden="1"/>
    </xf>
    <xf numFmtId="0" fontId="0" fillId="3" borderId="48" xfId="0" applyFill="1" applyBorder="1" applyAlignment="1" applyProtection="1">
      <alignment horizontal="center"/>
      <protection hidden="1"/>
    </xf>
    <xf numFmtId="0" fontId="0" fillId="3" borderId="30" xfId="0" applyFill="1" applyBorder="1" applyAlignment="1" applyProtection="1">
      <alignment horizontal="center"/>
      <protection hidden="1"/>
    </xf>
    <xf numFmtId="0" fontId="0" fillId="3" borderId="27" xfId="0" applyFill="1" applyBorder="1" applyAlignment="1" applyProtection="1">
      <alignment horizontal="center"/>
      <protection hidden="1"/>
    </xf>
    <xf numFmtId="0" fontId="0" fillId="3" borderId="56" xfId="0" applyFill="1" applyBorder="1" applyAlignment="1" applyProtection="1">
      <alignment horizontal="center"/>
      <protection hidden="1"/>
    </xf>
    <xf numFmtId="0" fontId="0" fillId="3" borderId="7" xfId="0" applyFill="1" applyBorder="1" applyAlignment="1" applyProtection="1">
      <alignment horizontal="center"/>
      <protection hidden="1"/>
    </xf>
    <xf numFmtId="0" fontId="0" fillId="3" borderId="54" xfId="0" applyFill="1" applyBorder="1" applyAlignment="1" applyProtection="1">
      <alignment horizontal="center"/>
      <protection hidden="1"/>
    </xf>
    <xf numFmtId="0" fontId="61" fillId="0" borderId="1" xfId="0" applyFont="1" applyFill="1" applyBorder="1" applyAlignment="1" applyProtection="1">
      <alignment horizontal="left" vertical="center" wrapText="1"/>
      <protection hidden="1"/>
    </xf>
    <xf numFmtId="0" fontId="15" fillId="0" borderId="1" xfId="0" applyFont="1" applyBorder="1" applyAlignment="1" applyProtection="1">
      <alignment horizontal="left" vertical="center" wrapText="1"/>
      <protection hidden="1"/>
    </xf>
    <xf numFmtId="0" fontId="9" fillId="10" borderId="90" xfId="0" applyFont="1" applyFill="1" applyBorder="1" applyAlignment="1" applyProtection="1">
      <alignment horizontal="center" vertical="center" wrapText="1"/>
      <protection hidden="1"/>
    </xf>
    <xf numFmtId="0" fontId="9" fillId="10" borderId="91" xfId="0" applyFont="1" applyFill="1" applyBorder="1" applyAlignment="1" applyProtection="1">
      <alignment horizontal="center" vertical="center" wrapText="1"/>
      <protection hidden="1"/>
    </xf>
    <xf numFmtId="0" fontId="9" fillId="10" borderId="54" xfId="0" applyFont="1" applyFill="1" applyBorder="1" applyAlignment="1" applyProtection="1">
      <alignment horizontal="center" vertical="center" wrapText="1"/>
      <protection hidden="1"/>
    </xf>
    <xf numFmtId="0" fontId="9" fillId="10" borderId="55" xfId="0" applyFont="1" applyFill="1" applyBorder="1" applyAlignment="1" applyProtection="1">
      <alignment horizontal="center" vertical="center" wrapText="1"/>
      <protection hidden="1"/>
    </xf>
    <xf numFmtId="0" fontId="2" fillId="3" borderId="40" xfId="0" applyFont="1" applyFill="1" applyBorder="1" applyAlignment="1" applyProtection="1">
      <alignment horizontal="center" vertical="center" wrapText="1"/>
      <protection hidden="1"/>
    </xf>
    <xf numFmtId="0" fontId="2" fillId="3" borderId="41" xfId="0" applyFont="1" applyFill="1" applyBorder="1" applyAlignment="1" applyProtection="1">
      <alignment horizontal="center" vertical="center" wrapText="1"/>
      <protection hidden="1"/>
    </xf>
    <xf numFmtId="0" fontId="2" fillId="3" borderId="42" xfId="0" applyFont="1" applyFill="1" applyBorder="1" applyAlignment="1" applyProtection="1">
      <alignment horizontal="center" vertical="center" wrapText="1"/>
      <protection hidden="1"/>
    </xf>
    <xf numFmtId="0" fontId="11" fillId="10" borderId="30" xfId="0" applyFont="1" applyFill="1" applyBorder="1" applyAlignment="1" applyProtection="1">
      <alignment horizontal="center" vertical="center" wrapText="1"/>
      <protection hidden="1"/>
    </xf>
    <xf numFmtId="0" fontId="11" fillId="10" borderId="48" xfId="0" applyFont="1" applyFill="1" applyBorder="1" applyAlignment="1" applyProtection="1">
      <alignment horizontal="center" vertical="center" wrapText="1"/>
      <protection hidden="1"/>
    </xf>
    <xf numFmtId="0" fontId="11" fillId="10" borderId="27" xfId="0" applyFont="1" applyFill="1" applyBorder="1" applyAlignment="1" applyProtection="1">
      <alignment horizontal="center" vertical="center" wrapText="1"/>
      <protection hidden="1"/>
    </xf>
    <xf numFmtId="0" fontId="11" fillId="0" borderId="2" xfId="0" applyFont="1" applyFill="1" applyBorder="1" applyAlignment="1" applyProtection="1">
      <alignment horizontal="left" vertical="center" wrapText="1" indent="2"/>
      <protection hidden="1"/>
    </xf>
    <xf numFmtId="0" fontId="11" fillId="0" borderId="3" xfId="0" applyFont="1" applyFill="1" applyBorder="1" applyAlignment="1" applyProtection="1">
      <alignment horizontal="left" vertical="center" wrapText="1" indent="2"/>
      <protection hidden="1"/>
    </xf>
    <xf numFmtId="0" fontId="11" fillId="0" borderId="4" xfId="0" applyFont="1" applyFill="1" applyBorder="1" applyAlignment="1" applyProtection="1">
      <alignment horizontal="left" vertical="center" wrapText="1" indent="2"/>
      <protection hidden="1"/>
    </xf>
    <xf numFmtId="0" fontId="12" fillId="0" borderId="2" xfId="0" applyFont="1" applyFill="1" applyBorder="1" applyAlignment="1" applyProtection="1">
      <alignment horizontal="left" vertical="center" wrapText="1" indent="2"/>
      <protection hidden="1"/>
    </xf>
    <xf numFmtId="0" fontId="12" fillId="0" borderId="3" xfId="0" applyFont="1" applyFill="1" applyBorder="1" applyAlignment="1" applyProtection="1">
      <alignment horizontal="left" vertical="center" wrapText="1" indent="2"/>
      <protection hidden="1"/>
    </xf>
    <xf numFmtId="0" fontId="12" fillId="0" borderId="4" xfId="0" applyFont="1" applyFill="1" applyBorder="1" applyAlignment="1" applyProtection="1">
      <alignment horizontal="left" vertical="center" wrapText="1" indent="2"/>
      <protection hidden="1"/>
    </xf>
    <xf numFmtId="0" fontId="15" fillId="0" borderId="0" xfId="0" applyFont="1" applyBorder="1" applyAlignment="1" applyProtection="1">
      <alignment horizontal="left" vertical="center" wrapText="1"/>
      <protection hidden="1"/>
    </xf>
    <xf numFmtId="0" fontId="22" fillId="16" borderId="2" xfId="0" applyFont="1" applyFill="1" applyBorder="1" applyAlignment="1" applyProtection="1">
      <alignment horizontal="left" vertical="center" wrapText="1"/>
      <protection hidden="1"/>
    </xf>
    <xf numFmtId="0" fontId="22" fillId="16" borderId="3" xfId="0" applyFont="1" applyFill="1" applyBorder="1" applyAlignment="1" applyProtection="1">
      <alignment horizontal="left" vertical="center" wrapText="1"/>
      <protection hidden="1"/>
    </xf>
    <xf numFmtId="0" fontId="22" fillId="16" borderId="4" xfId="0" applyFont="1" applyFill="1" applyBorder="1" applyAlignment="1" applyProtection="1">
      <alignment horizontal="left" vertical="center" wrapText="1"/>
      <protection hidden="1"/>
    </xf>
    <xf numFmtId="4" fontId="17" fillId="16" borderId="2" xfId="0" applyNumberFormat="1" applyFont="1" applyFill="1" applyBorder="1" applyAlignment="1" applyProtection="1">
      <alignment horizontal="left" vertical="center" wrapText="1"/>
      <protection locked="0"/>
    </xf>
    <xf numFmtId="4" fontId="17" fillId="16" borderId="3" xfId="0" applyNumberFormat="1" applyFont="1" applyFill="1" applyBorder="1" applyAlignment="1" applyProtection="1">
      <alignment horizontal="left" vertical="center" wrapText="1"/>
      <protection locked="0"/>
    </xf>
    <xf numFmtId="4" fontId="17" fillId="16" borderId="4" xfId="0" applyNumberFormat="1" applyFont="1" applyFill="1" applyBorder="1" applyAlignment="1" applyProtection="1">
      <alignment horizontal="left" vertical="center" wrapText="1"/>
      <protection locked="0"/>
    </xf>
    <xf numFmtId="0" fontId="46" fillId="3" borderId="30" xfId="0" applyFont="1" applyFill="1" applyBorder="1" applyAlignment="1" applyProtection="1">
      <alignment horizontal="center" vertical="center" textRotation="90"/>
      <protection hidden="1"/>
    </xf>
    <xf numFmtId="0" fontId="46" fillId="3" borderId="48" xfId="0" applyFont="1" applyFill="1" applyBorder="1" applyAlignment="1" applyProtection="1">
      <alignment horizontal="center" vertical="center" textRotation="90"/>
      <protection hidden="1"/>
    </xf>
    <xf numFmtId="0" fontId="46" fillId="3" borderId="27" xfId="0" applyFont="1" applyFill="1" applyBorder="1" applyAlignment="1" applyProtection="1">
      <alignment horizontal="center" vertical="center" textRotation="90"/>
      <protection hidden="1"/>
    </xf>
    <xf numFmtId="0" fontId="5" fillId="14" borderId="0" xfId="0" applyFont="1" applyFill="1" applyBorder="1" applyAlignment="1" applyProtection="1">
      <alignment vertical="center"/>
      <protection hidden="1"/>
    </xf>
    <xf numFmtId="0" fontId="17" fillId="16" borderId="1" xfId="0" applyFont="1" applyFill="1" applyBorder="1" applyAlignment="1" applyProtection="1">
      <alignment horizontal="center" vertical="center" wrapText="1"/>
      <protection hidden="1"/>
    </xf>
    <xf numFmtId="0" fontId="17" fillId="16" borderId="1" xfId="0" quotePrefix="1" applyFont="1" applyFill="1" applyBorder="1" applyAlignment="1" applyProtection="1">
      <alignment horizontal="center" vertical="center" wrapText="1"/>
      <protection hidden="1"/>
    </xf>
    <xf numFmtId="0" fontId="17" fillId="16" borderId="1" xfId="0" quotePrefix="1" applyFont="1" applyFill="1" applyBorder="1" applyAlignment="1" applyProtection="1">
      <alignment horizontal="left" vertical="center" wrapText="1"/>
      <protection hidden="1"/>
    </xf>
    <xf numFmtId="0" fontId="17" fillId="16" borderId="1" xfId="0" applyFont="1" applyFill="1" applyBorder="1" applyAlignment="1" applyProtection="1">
      <alignment horizontal="left" vertical="center"/>
      <protection hidden="1"/>
    </xf>
    <xf numFmtId="0" fontId="22" fillId="16" borderId="1" xfId="0" applyFont="1" applyFill="1" applyBorder="1" applyAlignment="1" applyProtection="1">
      <alignment horizontal="left" vertical="center" wrapText="1" indent="1"/>
      <protection hidden="1"/>
    </xf>
    <xf numFmtId="0" fontId="17" fillId="16" borderId="1" xfId="0" applyFont="1" applyFill="1" applyBorder="1" applyAlignment="1" applyProtection="1">
      <alignment horizontal="center" vertical="center" wrapText="1" shrinkToFit="1"/>
      <protection hidden="1"/>
    </xf>
    <xf numFmtId="0" fontId="17" fillId="16" borderId="2" xfId="0" applyFont="1" applyFill="1" applyBorder="1" applyAlignment="1" applyProtection="1">
      <alignment horizontal="center" vertical="center" wrapText="1"/>
      <protection hidden="1"/>
    </xf>
    <xf numFmtId="0" fontId="17" fillId="16" borderId="3" xfId="0" applyFont="1" applyFill="1" applyBorder="1" applyAlignment="1" applyProtection="1">
      <alignment horizontal="center" vertical="center" wrapText="1"/>
      <protection hidden="1"/>
    </xf>
    <xf numFmtId="0" fontId="17" fillId="16" borderId="4" xfId="0" applyFont="1" applyFill="1" applyBorder="1" applyAlignment="1" applyProtection="1">
      <alignment horizontal="center" vertical="center" wrapText="1"/>
      <protection hidden="1"/>
    </xf>
    <xf numFmtId="0" fontId="17" fillId="16" borderId="56" xfId="0" quotePrefix="1" applyFont="1" applyFill="1" applyBorder="1" applyAlignment="1" applyProtection="1">
      <alignment horizontal="left" vertical="center" wrapText="1" indent="1"/>
      <protection hidden="1"/>
    </xf>
    <xf numFmtId="0" fontId="17" fillId="16" borderId="19" xfId="0" quotePrefix="1" applyFont="1" applyFill="1" applyBorder="1" applyAlignment="1" applyProtection="1">
      <alignment horizontal="left" vertical="center" wrapText="1" indent="1"/>
      <protection hidden="1"/>
    </xf>
    <xf numFmtId="0" fontId="17" fillId="16" borderId="28" xfId="0" quotePrefix="1" applyFont="1" applyFill="1" applyBorder="1" applyAlignment="1" applyProtection="1">
      <alignment horizontal="left" vertical="center" wrapText="1" indent="1"/>
      <protection hidden="1"/>
    </xf>
    <xf numFmtId="0" fontId="17" fillId="16" borderId="7" xfId="0" quotePrefix="1" applyFont="1" applyFill="1" applyBorder="1" applyAlignment="1" applyProtection="1">
      <alignment horizontal="left" vertical="center" wrapText="1" indent="1"/>
      <protection hidden="1"/>
    </xf>
    <xf numFmtId="0" fontId="17" fillId="16" borderId="0" xfId="0" quotePrefix="1" applyFont="1" applyFill="1" applyBorder="1" applyAlignment="1" applyProtection="1">
      <alignment horizontal="left" vertical="center" wrapText="1" indent="1"/>
      <protection hidden="1"/>
    </xf>
    <xf numFmtId="0" fontId="17" fillId="16" borderId="8" xfId="0" quotePrefix="1" applyFont="1" applyFill="1" applyBorder="1" applyAlignment="1" applyProtection="1">
      <alignment horizontal="left" vertical="center" wrapText="1" indent="1"/>
      <protection hidden="1"/>
    </xf>
    <xf numFmtId="0" fontId="17" fillId="16" borderId="54" xfId="0" quotePrefix="1" applyFont="1" applyFill="1" applyBorder="1" applyAlignment="1" applyProtection="1">
      <alignment horizontal="left" vertical="center" wrapText="1" indent="1"/>
      <protection hidden="1"/>
    </xf>
    <xf numFmtId="0" fontId="17" fillId="16" borderId="57" xfId="0" quotePrefix="1" applyFont="1" applyFill="1" applyBorder="1" applyAlignment="1" applyProtection="1">
      <alignment horizontal="left" vertical="center" wrapText="1" indent="1"/>
      <protection hidden="1"/>
    </xf>
    <xf numFmtId="0" fontId="17" fillId="16" borderId="55" xfId="0" quotePrefix="1" applyFont="1" applyFill="1" applyBorder="1" applyAlignment="1" applyProtection="1">
      <alignment horizontal="left" vertical="center" wrapText="1" indent="1"/>
      <protection hidden="1"/>
    </xf>
    <xf numFmtId="0" fontId="17" fillId="16" borderId="2" xfId="0" applyFont="1" applyFill="1" applyBorder="1" applyAlignment="1" applyProtection="1">
      <alignment horizontal="left" vertical="center" wrapText="1" indent="1"/>
      <protection locked="0"/>
    </xf>
    <xf numFmtId="0" fontId="17" fillId="16" borderId="3" xfId="0" applyFont="1" applyFill="1" applyBorder="1" applyAlignment="1" applyProtection="1">
      <alignment horizontal="left" vertical="center" wrapText="1" indent="1"/>
      <protection locked="0"/>
    </xf>
    <xf numFmtId="0" fontId="17" fillId="16" borderId="4" xfId="0" applyFont="1" applyFill="1" applyBorder="1" applyAlignment="1" applyProtection="1">
      <alignment horizontal="left" vertical="center" wrapText="1" indent="1"/>
      <protection locked="0"/>
    </xf>
    <xf numFmtId="4" fontId="17" fillId="16" borderId="2" xfId="0" applyNumberFormat="1" applyFont="1" applyFill="1" applyBorder="1" applyAlignment="1" applyProtection="1">
      <alignment horizontal="left" vertical="center" wrapText="1" indent="1"/>
      <protection locked="0"/>
    </xf>
    <xf numFmtId="4" fontId="17" fillId="16" borderId="3" xfId="0" applyNumberFormat="1" applyFont="1" applyFill="1" applyBorder="1" applyAlignment="1" applyProtection="1">
      <alignment horizontal="left" vertical="center" wrapText="1" indent="1"/>
      <protection locked="0"/>
    </xf>
    <xf numFmtId="4" fontId="17" fillId="16" borderId="4" xfId="0" applyNumberFormat="1" applyFont="1" applyFill="1" applyBorder="1" applyAlignment="1" applyProtection="1">
      <alignment horizontal="left" vertical="center" wrapText="1" indent="1"/>
      <protection locked="0"/>
    </xf>
    <xf numFmtId="4" fontId="17" fillId="16" borderId="2" xfId="0" applyNumberFormat="1" applyFont="1" applyFill="1" applyBorder="1" applyAlignment="1" applyProtection="1">
      <alignment horizontal="center" vertical="center" wrapText="1"/>
      <protection locked="0"/>
    </xf>
    <xf numFmtId="4" fontId="17" fillId="16" borderId="3" xfId="0" applyNumberFormat="1" applyFont="1" applyFill="1" applyBorder="1" applyAlignment="1" applyProtection="1">
      <alignment horizontal="center" vertical="center" wrapText="1"/>
      <protection locked="0"/>
    </xf>
    <xf numFmtId="4" fontId="17" fillId="16" borderId="4" xfId="0" applyNumberFormat="1" applyFont="1" applyFill="1" applyBorder="1" applyAlignment="1" applyProtection="1">
      <alignment horizontal="center" vertical="center" wrapText="1"/>
      <protection locked="0"/>
    </xf>
    <xf numFmtId="0" fontId="17" fillId="16" borderId="56" xfId="0" quotePrefix="1" applyFont="1" applyFill="1" applyBorder="1" applyAlignment="1" applyProtection="1">
      <alignment horizontal="left" vertical="center" wrapText="1"/>
      <protection hidden="1"/>
    </xf>
    <xf numFmtId="0" fontId="17" fillId="16" borderId="19" xfId="0" quotePrefix="1" applyFont="1" applyFill="1" applyBorder="1" applyAlignment="1" applyProtection="1">
      <alignment horizontal="left" vertical="center" wrapText="1"/>
      <protection hidden="1"/>
    </xf>
    <xf numFmtId="0" fontId="17" fillId="16" borderId="28" xfId="0" quotePrefix="1" applyFont="1" applyFill="1" applyBorder="1" applyAlignment="1" applyProtection="1">
      <alignment horizontal="left" vertical="center" wrapText="1"/>
      <protection hidden="1"/>
    </xf>
    <xf numFmtId="0" fontId="17" fillId="16" borderId="7" xfId="0" quotePrefix="1" applyFont="1" applyFill="1" applyBorder="1" applyAlignment="1" applyProtection="1">
      <alignment horizontal="left" vertical="center" wrapText="1"/>
      <protection hidden="1"/>
    </xf>
    <xf numFmtId="0" fontId="17" fillId="16" borderId="0" xfId="0" quotePrefix="1" applyFont="1" applyFill="1" applyBorder="1" applyAlignment="1" applyProtection="1">
      <alignment horizontal="left" vertical="center" wrapText="1"/>
      <protection hidden="1"/>
    </xf>
    <xf numFmtId="0" fontId="17" fillId="16" borderId="8" xfId="0" quotePrefix="1" applyFont="1" applyFill="1" applyBorder="1" applyAlignment="1" applyProtection="1">
      <alignment horizontal="left" vertical="center" wrapText="1"/>
      <protection hidden="1"/>
    </xf>
    <xf numFmtId="0" fontId="17" fillId="16" borderId="2" xfId="0" applyFont="1" applyFill="1" applyBorder="1" applyAlignment="1" applyProtection="1">
      <alignment horizontal="left" vertical="center" wrapText="1" indent="1"/>
      <protection hidden="1"/>
    </xf>
    <xf numFmtId="0" fontId="17" fillId="16" borderId="3" xfId="0" applyFont="1" applyFill="1" applyBorder="1" applyAlignment="1" applyProtection="1">
      <alignment horizontal="left" vertical="center" wrapText="1" indent="1"/>
      <protection hidden="1"/>
    </xf>
    <xf numFmtId="0" fontId="17" fillId="16" borderId="4" xfId="0" applyFont="1" applyFill="1" applyBorder="1" applyAlignment="1" applyProtection="1">
      <alignment horizontal="left" vertical="center" wrapText="1" indent="1"/>
      <protection hidden="1"/>
    </xf>
    <xf numFmtId="0" fontId="5" fillId="14" borderId="0" xfId="0" applyFont="1" applyFill="1" applyBorder="1" applyAlignment="1" applyProtection="1">
      <alignment horizontal="left" vertical="center"/>
      <protection hidden="1"/>
    </xf>
    <xf numFmtId="0" fontId="11" fillId="6" borderId="81" xfId="0" applyFont="1" applyFill="1" applyBorder="1" applyAlignment="1" applyProtection="1">
      <alignment horizontal="left" wrapText="1"/>
      <protection hidden="1"/>
    </xf>
    <xf numFmtId="0" fontId="11" fillId="6" borderId="82" xfId="0" applyFont="1" applyFill="1" applyBorder="1" applyAlignment="1" applyProtection="1">
      <alignment horizontal="left" wrapText="1"/>
      <protection hidden="1"/>
    </xf>
    <xf numFmtId="0" fontId="11" fillId="6" borderId="83" xfId="0" applyFont="1" applyFill="1" applyBorder="1" applyAlignment="1" applyProtection="1">
      <alignment horizontal="left" wrapText="1"/>
      <protection hidden="1"/>
    </xf>
    <xf numFmtId="0" fontId="0" fillId="6" borderId="87" xfId="0" applyFill="1" applyBorder="1" applyAlignment="1" applyProtection="1">
      <alignment horizontal="left"/>
      <protection hidden="1"/>
    </xf>
    <xf numFmtId="0" fontId="0" fillId="6" borderId="88" xfId="0" applyFill="1" applyBorder="1" applyAlignment="1" applyProtection="1">
      <alignment horizontal="left"/>
      <protection hidden="1"/>
    </xf>
    <xf numFmtId="0" fontId="0" fillId="6" borderId="89" xfId="0" applyFill="1" applyBorder="1" applyAlignment="1" applyProtection="1">
      <alignment horizontal="left"/>
      <protection hidden="1"/>
    </xf>
    <xf numFmtId="0" fontId="1" fillId="6" borderId="81" xfId="0" applyFont="1" applyFill="1" applyBorder="1" applyAlignment="1" applyProtection="1">
      <alignment horizontal="left" vertical="center" wrapText="1"/>
      <protection hidden="1"/>
    </xf>
    <xf numFmtId="0" fontId="1" fillId="6" borderId="82" xfId="0" applyFont="1" applyFill="1" applyBorder="1" applyAlignment="1" applyProtection="1">
      <alignment horizontal="left" vertical="center" wrapText="1"/>
      <protection hidden="1"/>
    </xf>
    <xf numFmtId="0" fontId="1" fillId="6" borderId="83" xfId="0" applyFont="1" applyFill="1" applyBorder="1" applyAlignment="1" applyProtection="1">
      <alignment horizontal="left" vertical="center" wrapText="1"/>
      <protection hidden="1"/>
    </xf>
    <xf numFmtId="0" fontId="1" fillId="6" borderId="84" xfId="0" applyFont="1" applyFill="1" applyBorder="1" applyAlignment="1" applyProtection="1">
      <alignment horizontal="left" vertical="center" wrapText="1"/>
      <protection hidden="1"/>
    </xf>
    <xf numFmtId="0" fontId="1" fillId="6" borderId="85" xfId="0" applyFont="1" applyFill="1" applyBorder="1" applyAlignment="1" applyProtection="1">
      <alignment horizontal="left" vertical="center" wrapText="1"/>
      <protection hidden="1"/>
    </xf>
    <xf numFmtId="0" fontId="1" fillId="6" borderId="86" xfId="0" applyFont="1" applyFill="1" applyBorder="1" applyAlignment="1" applyProtection="1">
      <alignment horizontal="left" vertical="center" wrapText="1"/>
      <protection hidden="1"/>
    </xf>
    <xf numFmtId="0" fontId="1" fillId="6" borderId="87" xfId="0" applyFont="1" applyFill="1" applyBorder="1" applyAlignment="1" applyProtection="1">
      <alignment horizontal="left" vertical="center" wrapText="1"/>
      <protection hidden="1"/>
    </xf>
    <xf numFmtId="0" fontId="1" fillId="6" borderId="88" xfId="0" applyFont="1" applyFill="1" applyBorder="1" applyAlignment="1" applyProtection="1">
      <alignment horizontal="left" vertical="center" wrapText="1"/>
      <protection hidden="1"/>
    </xf>
    <xf numFmtId="0" fontId="1" fillId="6" borderId="89" xfId="0" applyFont="1" applyFill="1" applyBorder="1" applyAlignment="1" applyProtection="1">
      <alignment horizontal="left" vertical="center" wrapText="1"/>
      <protection hidden="1"/>
    </xf>
    <xf numFmtId="0" fontId="11" fillId="6" borderId="84" xfId="0" applyFont="1" applyFill="1" applyBorder="1" applyAlignment="1" applyProtection="1">
      <alignment horizontal="left" vertical="center" wrapText="1"/>
      <protection hidden="1"/>
    </xf>
    <xf numFmtId="0" fontId="11" fillId="6" borderId="85" xfId="0" applyFont="1" applyFill="1" applyBorder="1" applyAlignment="1" applyProtection="1">
      <alignment horizontal="left" vertical="center" wrapText="1"/>
      <protection hidden="1"/>
    </xf>
    <xf numFmtId="0" fontId="11" fillId="6" borderId="86" xfId="0" applyFont="1" applyFill="1" applyBorder="1" applyAlignment="1" applyProtection="1">
      <alignment horizontal="left" vertical="center" wrapText="1"/>
      <protection hidden="1"/>
    </xf>
    <xf numFmtId="0" fontId="0" fillId="0" borderId="0" xfId="0" applyAlignment="1"/>
    <xf numFmtId="0" fontId="1" fillId="7" borderId="7" xfId="0" applyFont="1" applyFill="1" applyBorder="1"/>
    <xf numFmtId="0" fontId="1" fillId="7" borderId="0" xfId="0" applyFont="1" applyFill="1" applyBorder="1"/>
    <xf numFmtId="0" fontId="1" fillId="7" borderId="8" xfId="0" applyFont="1" applyFill="1" applyBorder="1"/>
    <xf numFmtId="0" fontId="0" fillId="0" borderId="0" xfId="0"/>
    <xf numFmtId="0" fontId="3" fillId="11" borderId="0" xfId="0" applyFont="1" applyFill="1" applyAlignment="1">
      <alignment horizontal="left" vertical="center"/>
    </xf>
    <xf numFmtId="0" fontId="1" fillId="7" borderId="54" xfId="0" applyFont="1" applyFill="1" applyBorder="1" applyAlignment="1">
      <alignment horizontal="center" vertical="center"/>
    </xf>
    <xf numFmtId="0" fontId="1" fillId="7" borderId="57" xfId="0" applyFont="1" applyFill="1" applyBorder="1" applyAlignment="1">
      <alignment horizontal="center" vertical="center"/>
    </xf>
    <xf numFmtId="0" fontId="1" fillId="7" borderId="55" xfId="0" applyFont="1" applyFill="1" applyBorder="1" applyAlignment="1">
      <alignment horizontal="center" vertical="center"/>
    </xf>
    <xf numFmtId="0" fontId="14" fillId="0" borderId="0" xfId="0" applyFont="1" applyAlignment="1">
      <alignment horizontal="left" indent="1"/>
    </xf>
    <xf numFmtId="0" fontId="14" fillId="0" borderId="0" xfId="0" applyFont="1" applyAlignment="1">
      <alignment horizontal="left" indent="6"/>
    </xf>
    <xf numFmtId="0" fontId="14" fillId="0" borderId="8" xfId="0" applyFont="1" applyBorder="1" applyAlignment="1">
      <alignment horizontal="left" indent="6"/>
    </xf>
    <xf numFmtId="0" fontId="1" fillId="7" borderId="7" xfId="0" applyFont="1" applyFill="1" applyBorder="1" applyAlignment="1"/>
    <xf numFmtId="0" fontId="1" fillId="7" borderId="0" xfId="0" applyFont="1" applyFill="1" applyBorder="1" applyAlignment="1"/>
    <xf numFmtId="0" fontId="1" fillId="7" borderId="8" xfId="0" applyFont="1" applyFill="1" applyBorder="1" applyAlignment="1"/>
    <xf numFmtId="0" fontId="1" fillId="0" borderId="2" xfId="0" applyFont="1" applyBorder="1" applyAlignment="1" applyProtection="1">
      <alignment horizontal="left" vertical="center" wrapText="1" indent="1"/>
      <protection hidden="1"/>
    </xf>
    <xf numFmtId="0" fontId="1" fillId="0" borderId="3" xfId="0" applyFont="1" applyBorder="1" applyAlignment="1" applyProtection="1">
      <alignment horizontal="left" vertical="center" wrapText="1" indent="1"/>
      <protection hidden="1"/>
    </xf>
    <xf numFmtId="0" fontId="1" fillId="0" borderId="4" xfId="0" applyFont="1" applyBorder="1" applyAlignment="1" applyProtection="1">
      <alignment horizontal="left" vertical="center" wrapText="1" indent="1"/>
      <protection hidden="1"/>
    </xf>
    <xf numFmtId="0" fontId="1" fillId="0" borderId="1" xfId="0" applyFont="1" applyBorder="1" applyAlignment="1" applyProtection="1">
      <alignment horizontal="left" vertical="center" indent="1"/>
      <protection hidden="1"/>
    </xf>
    <xf numFmtId="0" fontId="3" fillId="11" borderId="0" xfId="0" applyFont="1" applyFill="1" applyAlignment="1" applyProtection="1">
      <alignment horizontal="left" vertical="center"/>
      <protection hidden="1"/>
    </xf>
    <xf numFmtId="0" fontId="35" fillId="7" borderId="2" xfId="0" applyFont="1" applyFill="1" applyBorder="1" applyAlignment="1" applyProtection="1">
      <alignment horizontal="left" vertical="center" wrapText="1" indent="1"/>
      <protection hidden="1"/>
    </xf>
    <xf numFmtId="0" fontId="35" fillId="7" borderId="3" xfId="0" applyFont="1" applyFill="1" applyBorder="1" applyAlignment="1" applyProtection="1">
      <alignment horizontal="left" vertical="center" wrapText="1" indent="1"/>
      <protection hidden="1"/>
    </xf>
    <xf numFmtId="0" fontId="35" fillId="7" borderId="4" xfId="0" applyFont="1" applyFill="1" applyBorder="1" applyAlignment="1" applyProtection="1">
      <alignment horizontal="left" vertical="center" wrapText="1" indent="1"/>
      <protection hidden="1"/>
    </xf>
    <xf numFmtId="0" fontId="35" fillId="7" borderId="7" xfId="0" applyFont="1" applyFill="1" applyBorder="1" applyAlignment="1" applyProtection="1">
      <alignment horizontal="left" vertical="center" wrapText="1" indent="1"/>
      <protection hidden="1"/>
    </xf>
    <xf numFmtId="0" fontId="35" fillId="7" borderId="0" xfId="0" applyFont="1" applyFill="1" applyBorder="1" applyAlignment="1" applyProtection="1">
      <alignment horizontal="left" vertical="center" wrapText="1" indent="1"/>
      <protection hidden="1"/>
    </xf>
    <xf numFmtId="0" fontId="35" fillId="7" borderId="8" xfId="0" applyFont="1" applyFill="1" applyBorder="1" applyAlignment="1" applyProtection="1">
      <alignment horizontal="left" vertical="center" wrapText="1" indent="1"/>
      <protection hidden="1"/>
    </xf>
    <xf numFmtId="0" fontId="35" fillId="6" borderId="1" xfId="0" applyFont="1" applyFill="1" applyBorder="1" applyAlignment="1" applyProtection="1">
      <alignment horizontal="center" vertical="center" wrapText="1"/>
      <protection hidden="1"/>
    </xf>
    <xf numFmtId="0" fontId="35" fillId="6" borderId="27" xfId="0" applyFont="1" applyFill="1" applyBorder="1" applyAlignment="1" applyProtection="1">
      <alignment horizontal="center" vertical="center" wrapText="1"/>
      <protection hidden="1"/>
    </xf>
    <xf numFmtId="0" fontId="5" fillId="3" borderId="35" xfId="0" applyFont="1" applyFill="1" applyBorder="1" applyAlignment="1" applyProtection="1">
      <alignment horizontal="center" vertical="center"/>
      <protection hidden="1"/>
    </xf>
    <xf numFmtId="0" fontId="5" fillId="3" borderId="36" xfId="0" applyFont="1" applyFill="1" applyBorder="1" applyAlignment="1" applyProtection="1">
      <alignment horizontal="center" vertical="center"/>
      <protection hidden="1"/>
    </xf>
    <xf numFmtId="0" fontId="5" fillId="3" borderId="37" xfId="0" applyFont="1" applyFill="1" applyBorder="1" applyAlignment="1" applyProtection="1">
      <alignment horizontal="center" vertical="center"/>
      <protection hidden="1"/>
    </xf>
    <xf numFmtId="0" fontId="11" fillId="0" borderId="1" xfId="0" applyFont="1" applyBorder="1" applyAlignment="1" applyProtection="1">
      <alignment horizontal="left" vertical="center" wrapText="1"/>
      <protection hidden="1"/>
    </xf>
    <xf numFmtId="0" fontId="11" fillId="0" borderId="56" xfId="0" applyFont="1" applyBorder="1" applyAlignment="1" applyProtection="1">
      <alignment horizontal="left" vertical="top" wrapText="1"/>
      <protection hidden="1"/>
    </xf>
    <xf numFmtId="0" fontId="11" fillId="0" borderId="19" xfId="0" applyFont="1" applyBorder="1" applyAlignment="1" applyProtection="1">
      <alignment horizontal="left" vertical="top" wrapText="1"/>
      <protection hidden="1"/>
    </xf>
    <xf numFmtId="0" fontId="11" fillId="0" borderId="28" xfId="0" applyFont="1" applyBorder="1" applyAlignment="1" applyProtection="1">
      <alignment horizontal="left" vertical="top" wrapText="1"/>
      <protection hidden="1"/>
    </xf>
    <xf numFmtId="0" fontId="11" fillId="0" borderId="7" xfId="0" applyFont="1" applyBorder="1" applyAlignment="1" applyProtection="1">
      <alignment horizontal="left" vertical="top" wrapText="1"/>
      <protection hidden="1"/>
    </xf>
    <xf numFmtId="0" fontId="11" fillId="0" borderId="0" xfId="0" applyFont="1" applyBorder="1" applyAlignment="1" applyProtection="1">
      <alignment horizontal="left" vertical="top" wrapText="1"/>
      <protection hidden="1"/>
    </xf>
    <xf numFmtId="0" fontId="11" fillId="0" borderId="8" xfId="0" applyFont="1" applyBorder="1" applyAlignment="1" applyProtection="1">
      <alignment horizontal="left" vertical="top" wrapText="1"/>
      <protection hidden="1"/>
    </xf>
    <xf numFmtId="0" fontId="11" fillId="0" borderId="54" xfId="0" applyFont="1" applyBorder="1" applyAlignment="1" applyProtection="1">
      <alignment horizontal="left" vertical="top" wrapText="1"/>
      <protection hidden="1"/>
    </xf>
    <xf numFmtId="0" fontId="11" fillId="0" borderId="57" xfId="0" applyFont="1" applyBorder="1" applyAlignment="1" applyProtection="1">
      <alignment horizontal="left" vertical="top" wrapText="1"/>
      <protection hidden="1"/>
    </xf>
    <xf numFmtId="0" fontId="11" fillId="0" borderId="55" xfId="0" applyFont="1" applyBorder="1" applyAlignment="1" applyProtection="1">
      <alignment horizontal="left" vertical="top" wrapText="1"/>
      <protection hidden="1"/>
    </xf>
    <xf numFmtId="0" fontId="11" fillId="0" borderId="2" xfId="0" applyFont="1" applyBorder="1" applyAlignment="1" applyProtection="1">
      <alignment horizontal="left" vertical="center" wrapText="1"/>
      <protection hidden="1"/>
    </xf>
    <xf numFmtId="0" fontId="11" fillId="0" borderId="3" xfId="0" applyFont="1" applyBorder="1" applyAlignment="1" applyProtection="1">
      <alignment horizontal="left" vertical="center" wrapText="1"/>
      <protection hidden="1"/>
    </xf>
    <xf numFmtId="0" fontId="11" fillId="0" borderId="4" xfId="0" applyFont="1" applyBorder="1" applyAlignment="1" applyProtection="1">
      <alignment horizontal="left" vertical="center" wrapText="1"/>
      <protection hidden="1"/>
    </xf>
    <xf numFmtId="0" fontId="1" fillId="0" borderId="1" xfId="0" applyFont="1" applyBorder="1" applyAlignment="1" applyProtection="1">
      <alignment horizontal="left" vertical="center" wrapText="1"/>
      <protection hidden="1"/>
    </xf>
    <xf numFmtId="0" fontId="1" fillId="0" borderId="1" xfId="0" quotePrefix="1" applyFont="1" applyBorder="1" applyAlignment="1" applyProtection="1">
      <alignment horizontal="left" vertical="center" wrapText="1"/>
      <protection hidden="1"/>
    </xf>
    <xf numFmtId="0" fontId="11" fillId="0" borderId="1" xfId="0" quotePrefix="1" applyFont="1" applyBorder="1" applyAlignment="1" applyProtection="1">
      <alignment horizontal="left" vertical="center" wrapText="1"/>
      <protection hidden="1"/>
    </xf>
    <xf numFmtId="0" fontId="44" fillId="19" borderId="0" xfId="0" applyFont="1" applyFill="1" applyAlignment="1">
      <alignment horizontal="center" vertical="center"/>
    </xf>
    <xf numFmtId="0" fontId="11" fillId="0" borderId="43" xfId="0" applyFont="1" applyBorder="1" applyAlignment="1" applyProtection="1">
      <alignment horizontal="center"/>
      <protection locked="0"/>
    </xf>
    <xf numFmtId="0" fontId="11" fillId="0" borderId="44" xfId="0" applyFont="1" applyBorder="1" applyAlignment="1" applyProtection="1">
      <alignment horizontal="center"/>
      <protection locked="0"/>
    </xf>
    <xf numFmtId="0" fontId="11" fillId="0" borderId="45" xfId="0" applyFont="1" applyBorder="1" applyAlignment="1" applyProtection="1">
      <alignment horizontal="center"/>
      <protection locked="0"/>
    </xf>
    <xf numFmtId="0" fontId="11" fillId="0" borderId="59" xfId="0" applyFont="1" applyBorder="1" applyAlignment="1" applyProtection="1">
      <alignment horizontal="center"/>
      <protection locked="0"/>
    </xf>
    <xf numFmtId="0" fontId="11" fillId="0" borderId="0" xfId="0" applyFont="1" applyBorder="1" applyAlignment="1" applyProtection="1">
      <alignment horizontal="center"/>
      <protection locked="0"/>
    </xf>
    <xf numFmtId="0" fontId="11" fillId="0" borderId="60" xfId="0" applyFont="1" applyBorder="1" applyAlignment="1" applyProtection="1">
      <alignment horizontal="center"/>
      <protection locked="0"/>
    </xf>
    <xf numFmtId="0" fontId="11" fillId="0" borderId="46" xfId="0" applyFont="1" applyBorder="1" applyAlignment="1" applyProtection="1">
      <alignment horizontal="center"/>
      <protection locked="0"/>
    </xf>
    <xf numFmtId="0" fontId="11" fillId="0" borderId="61" xfId="0" applyFont="1" applyBorder="1" applyAlignment="1" applyProtection="1">
      <alignment horizontal="center"/>
      <protection locked="0"/>
    </xf>
    <xf numFmtId="0" fontId="11" fillId="0" borderId="47" xfId="0" applyFont="1" applyBorder="1" applyAlignment="1" applyProtection="1">
      <alignment horizontal="center"/>
      <protection locked="0"/>
    </xf>
    <xf numFmtId="0" fontId="66" fillId="23" borderId="59" xfId="0" applyFont="1" applyFill="1" applyBorder="1" applyAlignment="1" applyProtection="1">
      <alignment horizontal="center"/>
      <protection hidden="1"/>
    </xf>
    <xf numFmtId="0" fontId="66" fillId="23" borderId="0" xfId="0" applyFont="1" applyFill="1" applyBorder="1" applyAlignment="1" applyProtection="1">
      <alignment horizontal="center"/>
      <protection hidden="1"/>
    </xf>
    <xf numFmtId="0" fontId="11" fillId="0" borderId="35" xfId="0" applyFont="1" applyBorder="1" applyAlignment="1" applyProtection="1">
      <alignment horizontal="left"/>
      <protection locked="0"/>
    </xf>
    <xf numFmtId="0" fontId="11" fillId="0" borderId="36" xfId="0" applyFont="1" applyBorder="1" applyAlignment="1" applyProtection="1">
      <alignment horizontal="left"/>
      <protection locked="0"/>
    </xf>
    <xf numFmtId="0" fontId="11" fillId="0" borderId="37" xfId="0" applyFont="1" applyBorder="1" applyAlignment="1" applyProtection="1">
      <alignment horizontal="left"/>
      <protection locked="0"/>
    </xf>
    <xf numFmtId="0" fontId="11" fillId="0" borderId="35" xfId="0" applyFont="1" applyBorder="1" applyAlignment="1" applyProtection="1">
      <alignment horizontal="left" vertical="center"/>
      <protection locked="0"/>
    </xf>
    <xf numFmtId="0" fontId="11" fillId="0" borderId="36" xfId="0" applyFont="1" applyBorder="1" applyAlignment="1" applyProtection="1">
      <alignment horizontal="left" vertical="center"/>
      <protection locked="0"/>
    </xf>
    <xf numFmtId="0" fontId="11" fillId="0" borderId="37" xfId="0" applyFont="1" applyBorder="1" applyAlignment="1" applyProtection="1">
      <alignment horizontal="left" vertical="center"/>
      <protection locked="0"/>
    </xf>
    <xf numFmtId="0" fontId="2" fillId="3" borderId="35" xfId="0" applyFont="1" applyFill="1" applyBorder="1" applyAlignment="1" applyProtection="1">
      <alignment horizontal="center"/>
      <protection hidden="1"/>
    </xf>
    <xf numFmtId="0" fontId="2" fillId="3" borderId="36" xfId="0" applyFont="1" applyFill="1" applyBorder="1" applyAlignment="1" applyProtection="1">
      <alignment horizontal="center"/>
      <protection hidden="1"/>
    </xf>
    <xf numFmtId="0" fontId="2" fillId="3" borderId="37" xfId="0" applyFont="1" applyFill="1" applyBorder="1" applyAlignment="1" applyProtection="1">
      <alignment horizontal="center"/>
      <protection hidden="1"/>
    </xf>
    <xf numFmtId="0" fontId="11" fillId="0" borderId="35" xfId="0" applyFont="1" applyBorder="1" applyAlignment="1" applyProtection="1">
      <alignment horizontal="center"/>
      <protection locked="0"/>
    </xf>
    <xf numFmtId="0" fontId="11" fillId="0" borderId="37" xfId="0" applyFont="1" applyBorder="1" applyAlignment="1" applyProtection="1">
      <alignment horizontal="center"/>
      <protection locked="0"/>
    </xf>
    <xf numFmtId="0" fontId="11" fillId="0" borderId="109" xfId="0" applyFont="1" applyBorder="1" applyAlignment="1" applyProtection="1">
      <alignment horizontal="left"/>
      <protection locked="0"/>
    </xf>
    <xf numFmtId="0" fontId="11" fillId="0" borderId="31" xfId="0" applyFont="1" applyBorder="1" applyAlignment="1" applyProtection="1">
      <alignment horizontal="left"/>
      <protection locked="0"/>
    </xf>
    <xf numFmtId="0" fontId="51" fillId="23" borderId="118" xfId="0" applyFont="1" applyFill="1" applyBorder="1" applyAlignment="1" applyProtection="1">
      <alignment horizontal="center"/>
      <protection hidden="1"/>
    </xf>
    <xf numFmtId="0" fontId="51" fillId="23" borderId="119" xfId="0" applyFont="1" applyFill="1" applyBorder="1" applyAlignment="1" applyProtection="1">
      <alignment horizontal="center"/>
      <protection hidden="1"/>
    </xf>
    <xf numFmtId="0" fontId="2" fillId="3" borderId="129" xfId="0" applyFont="1" applyFill="1" applyBorder="1" applyAlignment="1" applyProtection="1">
      <alignment horizontal="center"/>
      <protection hidden="1"/>
    </xf>
    <xf numFmtId="0" fontId="2" fillId="3" borderId="130" xfId="0" applyFont="1" applyFill="1" applyBorder="1" applyAlignment="1" applyProtection="1">
      <alignment horizontal="center"/>
      <protection hidden="1"/>
    </xf>
    <xf numFmtId="0" fontId="2" fillId="3" borderId="131" xfId="0" applyFont="1" applyFill="1" applyBorder="1" applyAlignment="1" applyProtection="1">
      <alignment horizontal="center"/>
      <protection hidden="1"/>
    </xf>
    <xf numFmtId="0" fontId="9" fillId="3" borderId="129" xfId="0" applyFont="1" applyFill="1" applyBorder="1" applyAlignment="1" applyProtection="1">
      <alignment horizontal="center"/>
      <protection hidden="1"/>
    </xf>
    <xf numFmtId="0" fontId="9" fillId="3" borderId="130" xfId="0" applyFont="1" applyFill="1" applyBorder="1" applyAlignment="1" applyProtection="1">
      <alignment horizontal="center"/>
      <protection hidden="1"/>
    </xf>
    <xf numFmtId="0" fontId="9" fillId="3" borderId="131" xfId="0" applyFont="1" applyFill="1" applyBorder="1" applyAlignment="1" applyProtection="1">
      <alignment horizontal="center"/>
      <protection hidden="1"/>
    </xf>
    <xf numFmtId="0" fontId="11" fillId="0" borderId="126" xfId="0" applyFont="1" applyBorder="1" applyAlignment="1" applyProtection="1">
      <alignment horizontal="left"/>
      <protection locked="0"/>
    </xf>
    <xf numFmtId="0" fontId="69" fillId="0" borderId="0" xfId="0" applyFont="1" applyAlignment="1" applyProtection="1">
      <alignment horizontal="center"/>
      <protection hidden="1"/>
    </xf>
    <xf numFmtId="0" fontId="54" fillId="0" borderId="0" xfId="0" applyFont="1" applyAlignment="1" applyProtection="1">
      <alignment horizontal="center"/>
      <protection hidden="1"/>
    </xf>
    <xf numFmtId="0" fontId="65" fillId="0" borderId="0" xfId="0" applyFont="1" applyBorder="1" applyAlignment="1" applyProtection="1">
      <alignment horizontal="center"/>
      <protection hidden="1"/>
    </xf>
    <xf numFmtId="0" fontId="51" fillId="22" borderId="101" xfId="0" applyFont="1" applyFill="1" applyBorder="1" applyAlignment="1" applyProtection="1">
      <alignment horizontal="center" vertical="center"/>
      <protection hidden="1"/>
    </xf>
    <xf numFmtId="0" fontId="12" fillId="22" borderId="102" xfId="0" applyFont="1" applyFill="1" applyBorder="1" applyAlignment="1" applyProtection="1">
      <alignment horizontal="center" vertical="center"/>
      <protection hidden="1"/>
    </xf>
    <xf numFmtId="0" fontId="51" fillId="22" borderId="23" xfId="0" applyFont="1" applyFill="1" applyBorder="1" applyAlignment="1" applyProtection="1">
      <alignment horizontal="center" wrapText="1"/>
      <protection hidden="1"/>
    </xf>
    <xf numFmtId="0" fontId="51" fillId="22" borderId="101" xfId="0" applyFont="1" applyFill="1" applyBorder="1" applyAlignment="1" applyProtection="1">
      <alignment horizontal="center" vertical="center" wrapText="1"/>
      <protection hidden="1"/>
    </xf>
    <xf numFmtId="0" fontId="12" fillId="22" borderId="102" xfId="0" applyFont="1" applyFill="1" applyBorder="1" applyAlignment="1" applyProtection="1">
      <alignment horizontal="center" vertical="center" wrapText="1"/>
      <protection hidden="1"/>
    </xf>
    <xf numFmtId="0" fontId="64" fillId="0" borderId="0" xfId="0" applyFont="1" applyAlignment="1" applyProtection="1">
      <alignment horizontal="center"/>
      <protection hidden="1"/>
    </xf>
    <xf numFmtId="39" fontId="64" fillId="0" borderId="0" xfId="0" applyNumberFormat="1" applyFont="1" applyAlignment="1" applyProtection="1">
      <alignment horizontal="center"/>
      <protection hidden="1"/>
    </xf>
    <xf numFmtId="39" fontId="51" fillId="22" borderId="101" xfId="0" applyNumberFormat="1" applyFont="1" applyFill="1" applyBorder="1" applyAlignment="1" applyProtection="1">
      <alignment horizontal="center" vertical="center"/>
      <protection hidden="1"/>
    </xf>
    <xf numFmtId="39" fontId="12" fillId="22" borderId="102" xfId="0" applyNumberFormat="1" applyFont="1" applyFill="1" applyBorder="1" applyAlignment="1" applyProtection="1">
      <alignment horizontal="center" vertical="center"/>
      <protection hidden="1"/>
    </xf>
    <xf numFmtId="39" fontId="51" fillId="22" borderId="23" xfId="0" applyNumberFormat="1" applyFont="1" applyFill="1" applyBorder="1" applyAlignment="1" applyProtection="1">
      <alignment horizontal="center" wrapText="1"/>
      <protection hidden="1"/>
    </xf>
    <xf numFmtId="39" fontId="51" fillId="22" borderId="101" xfId="0" applyNumberFormat="1" applyFont="1" applyFill="1" applyBorder="1" applyAlignment="1" applyProtection="1">
      <alignment horizontal="center" vertical="center" wrapText="1"/>
      <protection hidden="1"/>
    </xf>
    <xf numFmtId="39" fontId="12" fillId="22" borderId="102" xfId="0" applyNumberFormat="1" applyFont="1" applyFill="1" applyBorder="1" applyAlignment="1" applyProtection="1">
      <alignment horizontal="center" vertical="center" wrapText="1"/>
      <protection hidden="1"/>
    </xf>
    <xf numFmtId="0" fontId="0" fillId="0" borderId="0" xfId="0" applyAlignment="1">
      <alignment horizontal="center" wrapText="1"/>
    </xf>
    <xf numFmtId="0" fontId="0" fillId="26" borderId="144" xfId="0" applyFill="1" applyBorder="1" applyAlignment="1" applyProtection="1">
      <alignment horizontal="center"/>
      <protection hidden="1"/>
    </xf>
    <xf numFmtId="0" fontId="11" fillId="26" borderId="144" xfId="0" applyFont="1" applyFill="1" applyBorder="1" applyAlignment="1" applyProtection="1">
      <alignment horizontal="center" wrapText="1"/>
      <protection hidden="1"/>
    </xf>
    <xf numFmtId="0" fontId="51" fillId="27" borderId="144" xfId="0" applyFont="1" applyFill="1" applyBorder="1" applyAlignment="1" applyProtection="1">
      <alignment horizontal="center" vertical="center"/>
      <protection hidden="1"/>
    </xf>
    <xf numFmtId="0" fontId="11" fillId="26" borderId="144" xfId="0" applyFont="1" applyFill="1" applyBorder="1" applyAlignment="1" applyProtection="1">
      <alignment horizontal="center" vertical="center" wrapText="1"/>
      <protection locked="0"/>
    </xf>
    <xf numFmtId="0" fontId="51" fillId="28" borderId="144" xfId="0" applyFont="1" applyFill="1" applyBorder="1" applyAlignment="1" applyProtection="1">
      <alignment horizontal="center" wrapText="1"/>
      <protection hidden="1"/>
    </xf>
    <xf numFmtId="0" fontId="11" fillId="26" borderId="144" xfId="0" applyFont="1" applyFill="1" applyBorder="1" applyAlignment="1" applyProtection="1">
      <alignment horizontal="center" vertical="center" wrapText="1"/>
      <protection hidden="1"/>
    </xf>
    <xf numFmtId="0" fontId="11" fillId="27" borderId="144" xfId="0" applyFont="1" applyFill="1" applyBorder="1" applyAlignment="1" applyProtection="1">
      <alignment horizontal="center"/>
      <protection hidden="1"/>
    </xf>
    <xf numFmtId="0" fontId="51" fillId="27" borderId="145" xfId="0" applyFont="1" applyFill="1" applyBorder="1" applyAlignment="1" applyProtection="1">
      <alignment horizontal="center" vertical="center"/>
      <protection hidden="1"/>
    </xf>
    <xf numFmtId="0" fontId="51" fillId="27" borderId="146" xfId="0" applyFont="1" applyFill="1" applyBorder="1" applyAlignment="1" applyProtection="1">
      <alignment horizontal="center" vertical="center"/>
      <protection hidden="1"/>
    </xf>
    <xf numFmtId="0" fontId="51" fillId="27" borderId="147" xfId="0" applyFont="1" applyFill="1" applyBorder="1" applyAlignment="1" applyProtection="1">
      <alignment horizontal="center" vertical="center"/>
      <protection hidden="1"/>
    </xf>
    <xf numFmtId="0" fontId="5" fillId="29" borderId="144" xfId="1" applyFont="1" applyFill="1" applyBorder="1" applyAlignment="1" applyProtection="1">
      <alignment horizontal="center" vertical="center" wrapText="1"/>
      <protection locked="0"/>
    </xf>
    <xf numFmtId="0" fontId="51" fillId="27" borderId="145" xfId="0" applyFont="1" applyFill="1" applyBorder="1" applyAlignment="1" applyProtection="1">
      <alignment horizontal="center" vertical="center"/>
      <protection locked="0"/>
    </xf>
    <xf numFmtId="0" fontId="51" fillId="27" borderId="146" xfId="0" applyFont="1" applyFill="1" applyBorder="1" applyAlignment="1" applyProtection="1">
      <alignment horizontal="center" vertical="center"/>
      <protection locked="0"/>
    </xf>
    <xf numFmtId="0" fontId="51" fillId="27" borderId="147" xfId="0" applyFont="1" applyFill="1" applyBorder="1" applyAlignment="1" applyProtection="1">
      <alignment horizontal="center" vertical="center"/>
      <protection locked="0"/>
    </xf>
    <xf numFmtId="0" fontId="11" fillId="26" borderId="148" xfId="0" applyFont="1" applyFill="1" applyBorder="1" applyAlignment="1" applyProtection="1">
      <alignment horizontal="center" vertical="center" wrapText="1"/>
      <protection locked="0"/>
    </xf>
    <xf numFmtId="0" fontId="11" fillId="26" borderId="149" xfId="0" applyFont="1" applyFill="1" applyBorder="1" applyAlignment="1" applyProtection="1">
      <alignment horizontal="center" vertical="center" wrapText="1"/>
      <protection locked="0"/>
    </xf>
    <xf numFmtId="0" fontId="11" fillId="26" borderId="150" xfId="0" applyFont="1" applyFill="1" applyBorder="1" applyAlignment="1" applyProtection="1">
      <alignment horizontal="center" vertical="center" wrapText="1"/>
      <protection locked="0"/>
    </xf>
    <xf numFmtId="0" fontId="11" fillId="26" borderId="151" xfId="0" applyFont="1" applyFill="1" applyBorder="1" applyAlignment="1" applyProtection="1">
      <alignment horizontal="center" vertical="center" wrapText="1"/>
      <protection locked="0"/>
    </xf>
    <xf numFmtId="0" fontId="11" fillId="26" borderId="0" xfId="0" applyFont="1" applyFill="1" applyBorder="1" applyAlignment="1" applyProtection="1">
      <alignment horizontal="center" vertical="center" wrapText="1"/>
      <protection locked="0"/>
    </xf>
    <xf numFmtId="0" fontId="11" fillId="26" borderId="152" xfId="0" applyFont="1" applyFill="1" applyBorder="1" applyAlignment="1" applyProtection="1">
      <alignment horizontal="center" vertical="center" wrapText="1"/>
      <protection locked="0"/>
    </xf>
    <xf numFmtId="0" fontId="11" fillId="26" borderId="153" xfId="0" applyFont="1" applyFill="1" applyBorder="1" applyAlignment="1" applyProtection="1">
      <alignment horizontal="center" vertical="center" wrapText="1"/>
      <protection locked="0"/>
    </xf>
    <xf numFmtId="0" fontId="11" fillId="26" borderId="154" xfId="0" applyFont="1" applyFill="1" applyBorder="1" applyAlignment="1" applyProtection="1">
      <alignment horizontal="center" vertical="center" wrapText="1"/>
      <protection locked="0"/>
    </xf>
    <xf numFmtId="0" fontId="11" fillId="26" borderId="155" xfId="0" applyFont="1" applyFill="1" applyBorder="1" applyAlignment="1" applyProtection="1">
      <alignment horizontal="center" vertical="center" wrapText="1"/>
      <protection locked="0"/>
    </xf>
    <xf numFmtId="0" fontId="0" fillId="26" borderId="148" xfId="0" applyFill="1" applyBorder="1" applyAlignment="1" applyProtection="1">
      <alignment horizontal="center"/>
      <protection hidden="1"/>
    </xf>
    <xf numFmtId="0" fontId="0" fillId="26" borderId="149" xfId="0" applyFill="1" applyBorder="1" applyAlignment="1" applyProtection="1">
      <alignment horizontal="center"/>
      <protection hidden="1"/>
    </xf>
    <xf numFmtId="0" fontId="0" fillId="26" borderId="150" xfId="0" applyFill="1" applyBorder="1" applyAlignment="1" applyProtection="1">
      <alignment horizontal="center"/>
      <protection hidden="1"/>
    </xf>
    <xf numFmtId="0" fontId="0" fillId="26" borderId="151" xfId="0" applyFill="1" applyBorder="1" applyAlignment="1" applyProtection="1">
      <alignment horizontal="center"/>
      <protection hidden="1"/>
    </xf>
    <xf numFmtId="0" fontId="0" fillId="26" borderId="0" xfId="0" applyFill="1" applyBorder="1" applyAlignment="1" applyProtection="1">
      <alignment horizontal="center"/>
      <protection hidden="1"/>
    </xf>
    <xf numFmtId="0" fontId="0" fillId="26" borderId="152" xfId="0" applyFill="1" applyBorder="1" applyAlignment="1" applyProtection="1">
      <alignment horizontal="center"/>
      <protection hidden="1"/>
    </xf>
    <xf numFmtId="0" fontId="0" fillId="26" borderId="153" xfId="0" applyFill="1" applyBorder="1" applyAlignment="1" applyProtection="1">
      <alignment horizontal="center"/>
      <protection hidden="1"/>
    </xf>
    <xf numFmtId="0" fontId="0" fillId="26" borderId="154" xfId="0" applyFill="1" applyBorder="1" applyAlignment="1" applyProtection="1">
      <alignment horizontal="center"/>
      <protection hidden="1"/>
    </xf>
    <xf numFmtId="0" fontId="0" fillId="26" borderId="155" xfId="0" applyFill="1" applyBorder="1" applyAlignment="1" applyProtection="1">
      <alignment horizontal="center"/>
      <protection hidden="1"/>
    </xf>
    <xf numFmtId="0" fontId="81" fillId="30" borderId="144" xfId="0" applyFont="1" applyFill="1" applyBorder="1" applyAlignment="1" applyProtection="1">
      <alignment horizontal="center" vertical="center" wrapText="1"/>
      <protection hidden="1"/>
    </xf>
    <xf numFmtId="0" fontId="11" fillId="26" borderId="148" xfId="0" applyFont="1" applyFill="1" applyBorder="1" applyAlignment="1" applyProtection="1">
      <alignment horizontal="center" vertical="center" wrapText="1"/>
      <protection hidden="1"/>
    </xf>
    <xf numFmtId="0" fontId="11" fillId="26" borderId="149" xfId="0" applyFont="1" applyFill="1" applyBorder="1" applyAlignment="1" applyProtection="1">
      <alignment horizontal="center" vertical="center" wrapText="1"/>
      <protection hidden="1"/>
    </xf>
    <xf numFmtId="0" fontId="11" fillId="26" borderId="150" xfId="0" applyFont="1" applyFill="1" applyBorder="1" applyAlignment="1" applyProtection="1">
      <alignment horizontal="center" vertical="center" wrapText="1"/>
      <protection hidden="1"/>
    </xf>
    <xf numFmtId="0" fontId="11" fillId="26" borderId="153" xfId="0" applyFont="1" applyFill="1" applyBorder="1" applyAlignment="1" applyProtection="1">
      <alignment horizontal="center" vertical="center" wrapText="1"/>
      <protection hidden="1"/>
    </xf>
    <xf numFmtId="0" fontId="11" fillId="26" borderId="154" xfId="0" applyFont="1" applyFill="1" applyBorder="1" applyAlignment="1" applyProtection="1">
      <alignment horizontal="center" vertical="center" wrapText="1"/>
      <protection hidden="1"/>
    </xf>
    <xf numFmtId="0" fontId="11" fillId="26" borderId="155" xfId="0" applyFont="1" applyFill="1" applyBorder="1" applyAlignment="1" applyProtection="1">
      <alignment horizontal="center" vertical="center" wrapText="1"/>
      <protection hidden="1"/>
    </xf>
    <xf numFmtId="0" fontId="0" fillId="26" borderId="144" xfId="0" applyFill="1" applyBorder="1" applyAlignment="1" applyProtection="1">
      <alignment horizontal="center"/>
      <protection locked="0"/>
    </xf>
    <xf numFmtId="0" fontId="66" fillId="27" borderId="156" xfId="1" applyFont="1" applyFill="1" applyBorder="1" applyAlignment="1" applyProtection="1">
      <alignment horizontal="center" vertical="center"/>
      <protection hidden="1"/>
    </xf>
    <xf numFmtId="0" fontId="66" fillId="27" borderId="157" xfId="1" applyFont="1" applyFill="1" applyBorder="1" applyAlignment="1" applyProtection="1">
      <alignment horizontal="center" vertical="center"/>
      <protection hidden="1"/>
    </xf>
    <xf numFmtId="0" fontId="66" fillId="27" borderId="158" xfId="1" applyFont="1" applyFill="1" applyBorder="1" applyAlignment="1" applyProtection="1">
      <alignment horizontal="center" vertical="center"/>
      <protection hidden="1"/>
    </xf>
    <xf numFmtId="0" fontId="66" fillId="27" borderId="159" xfId="1" applyFont="1" applyFill="1" applyBorder="1" applyAlignment="1" applyProtection="1">
      <alignment horizontal="center" vertical="center"/>
      <protection hidden="1"/>
    </xf>
    <xf numFmtId="0" fontId="66" fillId="27" borderId="0" xfId="1" applyFont="1" applyFill="1" applyBorder="1" applyAlignment="1" applyProtection="1">
      <alignment horizontal="center" vertical="center"/>
      <protection hidden="1"/>
    </xf>
    <xf numFmtId="0" fontId="66" fillId="27" borderId="160" xfId="1" applyFont="1" applyFill="1" applyBorder="1" applyAlignment="1" applyProtection="1">
      <alignment horizontal="center" vertical="center"/>
      <protection hidden="1"/>
    </xf>
    <xf numFmtId="0" fontId="66" fillId="27" borderId="161" xfId="1" applyFont="1" applyFill="1" applyBorder="1" applyAlignment="1" applyProtection="1">
      <alignment horizontal="center" vertical="center"/>
      <protection hidden="1"/>
    </xf>
    <xf numFmtId="0" fontId="66" fillId="27" borderId="162" xfId="1" applyFont="1" applyFill="1" applyBorder="1" applyAlignment="1" applyProtection="1">
      <alignment horizontal="center" vertical="center"/>
      <protection hidden="1"/>
    </xf>
    <xf numFmtId="0" fontId="66" fillId="27" borderId="163" xfId="1" applyFont="1" applyFill="1" applyBorder="1" applyAlignment="1" applyProtection="1">
      <alignment horizontal="center" vertical="center"/>
      <protection hidden="1"/>
    </xf>
    <xf numFmtId="0" fontId="0" fillId="26" borderId="164" xfId="0" applyFill="1" applyBorder="1" applyAlignment="1" applyProtection="1">
      <alignment horizontal="center"/>
      <protection hidden="1"/>
    </xf>
    <xf numFmtId="0" fontId="82" fillId="27" borderId="165" xfId="0" applyFont="1" applyFill="1" applyBorder="1" applyAlignment="1" applyProtection="1">
      <alignment horizontal="center"/>
      <protection hidden="1"/>
    </xf>
    <xf numFmtId="0" fontId="82" fillId="27" borderId="166" xfId="0" applyFont="1" applyFill="1" applyBorder="1" applyAlignment="1" applyProtection="1">
      <alignment horizontal="center"/>
      <protection hidden="1"/>
    </xf>
    <xf numFmtId="0" fontId="11" fillId="31" borderId="165" xfId="0" applyFont="1" applyFill="1" applyBorder="1" applyAlignment="1" applyProtection="1">
      <alignment horizontal="left" vertical="center"/>
      <protection locked="0"/>
    </xf>
    <xf numFmtId="0" fontId="11" fillId="31" borderId="166" xfId="0" applyFont="1" applyFill="1" applyBorder="1" applyAlignment="1" applyProtection="1">
      <alignment horizontal="left" vertical="center"/>
      <protection locked="0"/>
    </xf>
    <xf numFmtId="0" fontId="11" fillId="31" borderId="167" xfId="0" applyFont="1" applyFill="1" applyBorder="1" applyAlignment="1" applyProtection="1">
      <alignment horizontal="left" vertical="center"/>
      <protection locked="0"/>
    </xf>
    <xf numFmtId="0" fontId="82" fillId="27" borderId="165" xfId="0" applyFont="1" applyFill="1" applyBorder="1" applyAlignment="1" applyProtection="1">
      <alignment horizontal="left" vertical="center"/>
      <protection hidden="1"/>
    </xf>
    <xf numFmtId="0" fontId="82" fillId="27" borderId="166" xfId="0" applyFont="1" applyFill="1" applyBorder="1" applyAlignment="1" applyProtection="1">
      <alignment horizontal="left" vertical="center"/>
      <protection hidden="1"/>
    </xf>
    <xf numFmtId="0" fontId="0" fillId="31" borderId="165" xfId="0" applyFill="1" applyBorder="1" applyAlignment="1" applyProtection="1">
      <alignment horizontal="left" vertical="center"/>
      <protection locked="0"/>
    </xf>
    <xf numFmtId="0" fontId="0" fillId="31" borderId="166" xfId="0" applyFill="1" applyBorder="1" applyAlignment="1" applyProtection="1">
      <alignment horizontal="left" vertical="center"/>
      <protection locked="0"/>
    </xf>
    <xf numFmtId="0" fontId="0" fillId="31" borderId="167" xfId="0" applyFill="1" applyBorder="1" applyAlignment="1" applyProtection="1">
      <alignment horizontal="left" vertical="center"/>
      <protection locked="0"/>
    </xf>
    <xf numFmtId="0" fontId="70" fillId="30" borderId="165" xfId="0" applyFont="1" applyFill="1" applyBorder="1" applyAlignment="1" applyProtection="1">
      <alignment horizontal="left" vertical="center"/>
      <protection hidden="1"/>
    </xf>
    <xf numFmtId="0" fontId="70" fillId="30" borderId="166" xfId="0" applyFont="1" applyFill="1" applyBorder="1" applyAlignment="1" applyProtection="1">
      <alignment horizontal="left" vertical="center"/>
      <protection hidden="1"/>
    </xf>
    <xf numFmtId="0" fontId="70" fillId="30" borderId="167" xfId="0" applyFont="1" applyFill="1" applyBorder="1" applyAlignment="1" applyProtection="1">
      <alignment horizontal="left" vertical="center"/>
      <protection hidden="1"/>
    </xf>
    <xf numFmtId="0" fontId="0" fillId="26" borderId="168" xfId="0" applyFill="1" applyBorder="1" applyAlignment="1" applyProtection="1">
      <alignment horizontal="center"/>
      <protection locked="0"/>
    </xf>
    <xf numFmtId="0" fontId="0" fillId="26" borderId="169" xfId="0" applyFill="1" applyBorder="1" applyAlignment="1" applyProtection="1">
      <alignment horizontal="center"/>
      <protection locked="0"/>
    </xf>
    <xf numFmtId="0" fontId="0" fillId="26" borderId="170" xfId="0" applyFill="1" applyBorder="1" applyAlignment="1" applyProtection="1">
      <alignment horizontal="center"/>
      <protection locked="0"/>
    </xf>
    <xf numFmtId="0" fontId="0" fillId="26" borderId="171" xfId="0" applyFill="1" applyBorder="1" applyAlignment="1" applyProtection="1">
      <alignment horizontal="center"/>
      <protection locked="0"/>
    </xf>
    <xf numFmtId="0" fontId="0" fillId="26" borderId="0" xfId="0" applyFill="1" applyBorder="1" applyAlignment="1" applyProtection="1">
      <alignment horizontal="center"/>
      <protection locked="0"/>
    </xf>
    <xf numFmtId="0" fontId="0" fillId="26" borderId="172" xfId="0" applyFill="1" applyBorder="1" applyAlignment="1" applyProtection="1">
      <alignment horizontal="center"/>
      <protection locked="0"/>
    </xf>
    <xf numFmtId="0" fontId="0" fillId="26" borderId="173" xfId="0" applyFill="1" applyBorder="1" applyAlignment="1" applyProtection="1">
      <alignment horizontal="center"/>
      <protection locked="0"/>
    </xf>
    <xf numFmtId="0" fontId="0" fillId="26" borderId="174" xfId="0" applyFill="1" applyBorder="1" applyAlignment="1" applyProtection="1">
      <alignment horizontal="center"/>
      <protection locked="0"/>
    </xf>
    <xf numFmtId="0" fontId="0" fillId="26" borderId="175" xfId="0" applyFill="1" applyBorder="1" applyAlignment="1" applyProtection="1">
      <alignment horizontal="center"/>
      <protection locked="0"/>
    </xf>
    <xf numFmtId="0" fontId="0" fillId="31" borderId="168" xfId="0" applyFill="1" applyBorder="1" applyAlignment="1" applyProtection="1">
      <alignment horizontal="center"/>
      <protection locked="0"/>
    </xf>
    <xf numFmtId="0" fontId="0" fillId="31" borderId="169" xfId="0" applyFill="1" applyBorder="1" applyAlignment="1" applyProtection="1">
      <alignment horizontal="center"/>
      <protection locked="0"/>
    </xf>
    <xf numFmtId="0" fontId="0" fillId="31" borderId="170" xfId="0" applyFill="1" applyBorder="1" applyAlignment="1" applyProtection="1">
      <alignment horizontal="center"/>
      <protection locked="0"/>
    </xf>
    <xf numFmtId="0" fontId="0" fillId="31" borderId="171" xfId="0" applyFill="1" applyBorder="1" applyAlignment="1" applyProtection="1">
      <alignment horizontal="center"/>
      <protection locked="0"/>
    </xf>
    <xf numFmtId="0" fontId="0" fillId="31" borderId="0" xfId="0" applyFill="1" applyBorder="1" applyAlignment="1" applyProtection="1">
      <alignment horizontal="center"/>
      <protection locked="0"/>
    </xf>
    <xf numFmtId="0" fontId="0" fillId="31" borderId="172" xfId="0" applyFill="1" applyBorder="1" applyAlignment="1" applyProtection="1">
      <alignment horizontal="center"/>
      <protection locked="0"/>
    </xf>
    <xf numFmtId="0" fontId="0" fillId="31" borderId="173" xfId="0" applyFill="1" applyBorder="1" applyAlignment="1" applyProtection="1">
      <alignment horizontal="center"/>
      <protection locked="0"/>
    </xf>
    <xf numFmtId="0" fontId="0" fillId="31" borderId="174" xfId="0" applyFill="1" applyBorder="1" applyAlignment="1" applyProtection="1">
      <alignment horizontal="center"/>
      <protection locked="0"/>
    </xf>
    <xf numFmtId="0" fontId="0" fillId="31" borderId="175" xfId="0" applyFill="1" applyBorder="1" applyAlignment="1" applyProtection="1">
      <alignment horizontal="center"/>
      <protection locked="0"/>
    </xf>
    <xf numFmtId="0" fontId="51" fillId="28" borderId="176" xfId="0" applyFont="1" applyFill="1" applyBorder="1" applyAlignment="1" applyProtection="1">
      <alignment horizontal="center" vertical="center" wrapText="1"/>
      <protection hidden="1"/>
    </xf>
    <xf numFmtId="0" fontId="51" fillId="28" borderId="165" xfId="0" applyFont="1" applyFill="1" applyBorder="1" applyAlignment="1" applyProtection="1">
      <alignment horizontal="center" vertical="center" wrapText="1"/>
      <protection hidden="1"/>
    </xf>
    <xf numFmtId="0" fontId="51" fillId="28" borderId="167" xfId="0" applyFont="1" applyFill="1" applyBorder="1" applyAlignment="1" applyProtection="1">
      <alignment horizontal="center" vertical="center" wrapText="1"/>
      <protection hidden="1"/>
    </xf>
    <xf numFmtId="0" fontId="51" fillId="28" borderId="166" xfId="0" applyFont="1" applyFill="1" applyBorder="1" applyAlignment="1" applyProtection="1">
      <alignment horizontal="center" vertical="center" wrapText="1"/>
      <protection hidden="1"/>
    </xf>
    <xf numFmtId="0" fontId="51" fillId="27" borderId="176" xfId="0" applyFont="1" applyFill="1" applyBorder="1" applyAlignment="1" applyProtection="1">
      <alignment horizontal="center" vertical="center"/>
      <protection hidden="1"/>
    </xf>
    <xf numFmtId="0" fontId="11" fillId="15" borderId="176" xfId="0" applyFont="1" applyFill="1" applyBorder="1" applyAlignment="1" applyProtection="1">
      <alignment horizontal="left" vertical="center" wrapText="1"/>
      <protection hidden="1"/>
    </xf>
    <xf numFmtId="0" fontId="11" fillId="35" borderId="176" xfId="0" applyFont="1" applyFill="1" applyBorder="1" applyAlignment="1" applyProtection="1">
      <alignment horizontal="left" vertical="center"/>
      <protection hidden="1"/>
    </xf>
    <xf numFmtId="0" fontId="11" fillId="35" borderId="166" xfId="0" applyFont="1" applyFill="1" applyBorder="1" applyAlignment="1" applyProtection="1">
      <alignment horizontal="left" vertical="center" wrapText="1"/>
      <protection hidden="1"/>
    </xf>
    <xf numFmtId="0" fontId="11" fillId="35" borderId="167" xfId="0" applyFont="1" applyFill="1" applyBorder="1" applyAlignment="1" applyProtection="1">
      <alignment horizontal="left" vertical="center" wrapText="1"/>
      <protection hidden="1"/>
    </xf>
    <xf numFmtId="0" fontId="11" fillId="0" borderId="176" xfId="0" applyFont="1" applyBorder="1" applyAlignment="1" applyProtection="1">
      <alignment horizontal="left" vertical="center"/>
      <protection hidden="1"/>
    </xf>
    <xf numFmtId="0" fontId="11" fillId="0" borderId="165" xfId="0" applyFont="1" applyBorder="1" applyAlignment="1" applyProtection="1">
      <alignment horizontal="left" vertical="center"/>
      <protection hidden="1"/>
    </xf>
    <xf numFmtId="0" fontId="11" fillId="0" borderId="167" xfId="0" applyFont="1" applyBorder="1" applyAlignment="1" applyProtection="1">
      <alignment horizontal="left" vertical="center"/>
      <protection hidden="1"/>
    </xf>
    <xf numFmtId="0" fontId="11" fillId="15" borderId="165" xfId="0" applyFont="1" applyFill="1" applyBorder="1" applyAlignment="1" applyProtection="1">
      <alignment horizontal="left" vertical="center"/>
      <protection locked="0"/>
    </xf>
    <xf numFmtId="0" fontId="11" fillId="15" borderId="166" xfId="0" applyFont="1" applyFill="1" applyBorder="1" applyAlignment="1" applyProtection="1">
      <alignment horizontal="left" vertical="center"/>
      <protection locked="0"/>
    </xf>
    <xf numFmtId="0" fontId="11" fillId="15" borderId="167" xfId="0" applyFont="1" applyFill="1" applyBorder="1" applyAlignment="1" applyProtection="1">
      <alignment horizontal="left" vertical="center"/>
      <protection locked="0"/>
    </xf>
    <xf numFmtId="0" fontId="11" fillId="0" borderId="176" xfId="0" applyFont="1" applyBorder="1" applyAlignment="1" applyProtection="1">
      <alignment horizontal="center" vertical="center"/>
      <protection hidden="1"/>
    </xf>
    <xf numFmtId="0" fontId="11" fillId="15" borderId="165" xfId="0" applyFont="1" applyFill="1" applyBorder="1" applyAlignment="1" applyProtection="1">
      <alignment horizontal="center" vertical="center" wrapText="1"/>
      <protection hidden="1"/>
    </xf>
    <xf numFmtId="0" fontId="11" fillId="15" borderId="166" xfId="0" applyFont="1" applyFill="1" applyBorder="1" applyAlignment="1" applyProtection="1">
      <alignment horizontal="center" vertical="center" wrapText="1"/>
      <protection hidden="1"/>
    </xf>
    <xf numFmtId="0" fontId="84" fillId="15" borderId="166" xfId="0" applyFont="1" applyFill="1" applyBorder="1" applyAlignment="1" applyProtection="1">
      <alignment horizontal="center" vertical="center" wrapText="1"/>
      <protection hidden="1"/>
    </xf>
    <xf numFmtId="0" fontId="84" fillId="15" borderId="167" xfId="0" applyFont="1" applyFill="1" applyBorder="1" applyAlignment="1" applyProtection="1">
      <alignment horizontal="center" vertical="center" wrapText="1"/>
      <protection hidden="1"/>
    </xf>
    <xf numFmtId="0" fontId="51" fillId="28" borderId="176" xfId="0" applyFont="1" applyFill="1" applyBorder="1" applyAlignment="1" applyProtection="1">
      <alignment horizontal="center" vertical="center"/>
      <protection hidden="1"/>
    </xf>
    <xf numFmtId="0" fontId="11" fillId="0" borderId="165" xfId="0" applyFont="1" applyBorder="1" applyAlignment="1" applyProtection="1">
      <alignment horizontal="center" vertical="center"/>
      <protection hidden="1"/>
    </xf>
    <xf numFmtId="0" fontId="11" fillId="0" borderId="167" xfId="0" applyFont="1" applyBorder="1" applyAlignment="1" applyProtection="1">
      <alignment horizontal="center" vertical="center"/>
      <protection hidden="1"/>
    </xf>
    <xf numFmtId="0" fontId="11" fillId="0" borderId="0" xfId="0" applyFont="1" applyAlignment="1" applyProtection="1">
      <alignment horizontal="center" vertical="center"/>
      <protection hidden="1"/>
    </xf>
    <xf numFmtId="0" fontId="11" fillId="0" borderId="176" xfId="0" applyFont="1" applyBorder="1" applyAlignment="1" applyProtection="1">
      <alignment horizontal="center"/>
      <protection hidden="1"/>
    </xf>
    <xf numFmtId="0" fontId="11" fillId="0" borderId="165" xfId="0" applyFont="1" applyBorder="1" applyAlignment="1" applyProtection="1">
      <alignment horizontal="center"/>
      <protection hidden="1"/>
    </xf>
    <xf numFmtId="0" fontId="11" fillId="0" borderId="167" xfId="0" applyFont="1" applyBorder="1" applyAlignment="1" applyProtection="1">
      <alignment horizontal="center"/>
      <protection hidden="1"/>
    </xf>
    <xf numFmtId="0" fontId="11" fillId="0" borderId="166" xfId="0" applyFont="1" applyBorder="1" applyAlignment="1" applyProtection="1">
      <alignment horizontal="center"/>
      <protection hidden="1"/>
    </xf>
    <xf numFmtId="0" fontId="5" fillId="31" borderId="189" xfId="1" applyFont="1" applyFill="1" applyBorder="1" applyAlignment="1" applyProtection="1">
      <alignment horizontal="center" vertical="center"/>
      <protection hidden="1"/>
    </xf>
    <xf numFmtId="0" fontId="5" fillId="31" borderId="192" xfId="1" applyFont="1" applyFill="1" applyBorder="1" applyAlignment="1" applyProtection="1">
      <alignment horizontal="center" vertical="center"/>
      <protection hidden="1"/>
    </xf>
    <xf numFmtId="0" fontId="5" fillId="31" borderId="194" xfId="1" applyFont="1" applyFill="1" applyBorder="1" applyAlignment="1" applyProtection="1">
      <alignment horizontal="center" vertical="center"/>
      <protection hidden="1"/>
    </xf>
    <xf numFmtId="0" fontId="1" fillId="35" borderId="145" xfId="1" applyFont="1" applyFill="1" applyBorder="1" applyAlignment="1" applyProtection="1">
      <alignment horizontal="left" vertical="center"/>
      <protection hidden="1"/>
    </xf>
    <xf numFmtId="0" fontId="1" fillId="35" borderId="147" xfId="1" applyFont="1" applyFill="1" applyBorder="1" applyAlignment="1" applyProtection="1">
      <alignment horizontal="left" vertical="center"/>
      <protection hidden="1"/>
    </xf>
    <xf numFmtId="0" fontId="1" fillId="31" borderId="144" xfId="1" applyFont="1" applyFill="1" applyBorder="1" applyAlignment="1" applyProtection="1">
      <alignment horizontal="left" vertical="center" wrapText="1"/>
      <protection locked="0"/>
    </xf>
    <xf numFmtId="0" fontId="51" fillId="30" borderId="177" xfId="1" applyFont="1" applyFill="1" applyBorder="1" applyAlignment="1" applyProtection="1">
      <alignment horizontal="center" vertical="center"/>
      <protection hidden="1"/>
    </xf>
    <xf numFmtId="0" fontId="51" fillId="30" borderId="178" xfId="1" applyFont="1" applyFill="1" applyBorder="1" applyAlignment="1" applyProtection="1">
      <alignment horizontal="center" vertical="center"/>
      <protection hidden="1"/>
    </xf>
    <xf numFmtId="0" fontId="51" fillId="30" borderId="183" xfId="1" applyFont="1" applyFill="1" applyBorder="1" applyAlignment="1" applyProtection="1">
      <alignment horizontal="center" vertical="center"/>
      <protection hidden="1"/>
    </xf>
    <xf numFmtId="0" fontId="51" fillId="30" borderId="184" xfId="1" applyFont="1" applyFill="1" applyBorder="1" applyAlignment="1" applyProtection="1">
      <alignment horizontal="center" vertical="center"/>
      <protection hidden="1"/>
    </xf>
    <xf numFmtId="0" fontId="51" fillId="30" borderId="179" xfId="1" applyFont="1" applyFill="1" applyBorder="1" applyAlignment="1" applyProtection="1">
      <alignment horizontal="center" vertical="center" wrapText="1"/>
      <protection hidden="1"/>
    </xf>
    <xf numFmtId="0" fontId="51" fillId="30" borderId="180" xfId="1" applyFont="1" applyFill="1" applyBorder="1" applyAlignment="1" applyProtection="1">
      <alignment horizontal="center" vertical="center" wrapText="1"/>
      <protection hidden="1"/>
    </xf>
    <xf numFmtId="0" fontId="51" fillId="30" borderId="181" xfId="1" applyFont="1" applyFill="1" applyBorder="1" applyAlignment="1" applyProtection="1">
      <alignment horizontal="center" vertical="center" wrapText="1"/>
      <protection hidden="1"/>
    </xf>
    <xf numFmtId="0" fontId="51" fillId="30" borderId="182" xfId="1" applyFont="1" applyFill="1" applyBorder="1" applyAlignment="1" applyProtection="1">
      <alignment horizontal="center" vertical="center" wrapText="1"/>
      <protection hidden="1"/>
    </xf>
    <xf numFmtId="0" fontId="5" fillId="27" borderId="185" xfId="1" applyFont="1" applyFill="1" applyBorder="1" applyAlignment="1" applyProtection="1">
      <alignment horizontal="center" vertical="center"/>
      <protection hidden="1"/>
    </xf>
    <xf numFmtId="0" fontId="5" fillId="27" borderId="186" xfId="1" applyFont="1" applyFill="1" applyBorder="1" applyAlignment="1" applyProtection="1">
      <alignment horizontal="center" vertical="center"/>
      <protection hidden="1"/>
    </xf>
    <xf numFmtId="0" fontId="5" fillId="27" borderId="187" xfId="1" applyFont="1" applyFill="1" applyBorder="1" applyAlignment="1" applyProtection="1">
      <alignment horizontal="center" vertical="center"/>
      <protection hidden="1"/>
    </xf>
    <xf numFmtId="0" fontId="1" fillId="31" borderId="144" xfId="1" applyFont="1" applyFill="1" applyBorder="1" applyAlignment="1" applyProtection="1">
      <alignment horizontal="left" vertical="center"/>
      <protection locked="0"/>
    </xf>
    <xf numFmtId="0" fontId="1" fillId="35" borderId="177" xfId="1" applyFont="1" applyFill="1" applyBorder="1" applyAlignment="1" applyProtection="1">
      <alignment horizontal="left" vertical="center" wrapText="1"/>
      <protection hidden="1"/>
    </xf>
    <xf numFmtId="0" fontId="1" fillId="35" borderId="178" xfId="1" applyFont="1" applyFill="1" applyBorder="1" applyAlignment="1" applyProtection="1">
      <alignment horizontal="left" vertical="center" wrapText="1"/>
      <protection hidden="1"/>
    </xf>
    <xf numFmtId="0" fontId="1" fillId="35" borderId="190" xfId="1" applyFont="1" applyFill="1" applyBorder="1" applyAlignment="1" applyProtection="1">
      <alignment horizontal="left" vertical="center" wrapText="1"/>
      <protection hidden="1"/>
    </xf>
    <xf numFmtId="0" fontId="1" fillId="35" borderId="144" xfId="1" applyFont="1" applyFill="1" applyBorder="1" applyAlignment="1" applyProtection="1">
      <alignment horizontal="left" vertical="center" wrapText="1"/>
      <protection hidden="1"/>
    </xf>
    <xf numFmtId="0" fontId="1" fillId="35" borderId="183" xfId="1" applyFont="1" applyFill="1" applyBorder="1" applyAlignment="1" applyProtection="1">
      <alignment horizontal="left" vertical="center" wrapText="1"/>
      <protection hidden="1"/>
    </xf>
    <xf numFmtId="0" fontId="1" fillId="35" borderId="184" xfId="1" applyFont="1" applyFill="1" applyBorder="1" applyAlignment="1" applyProtection="1">
      <alignment horizontal="left" vertical="center" wrapText="1"/>
      <protection hidden="1"/>
    </xf>
    <xf numFmtId="0" fontId="1" fillId="31" borderId="178" xfId="1" applyFont="1" applyFill="1" applyBorder="1" applyAlignment="1" applyProtection="1">
      <alignment horizontal="left" vertical="center" wrapText="1"/>
      <protection locked="0"/>
    </xf>
    <xf numFmtId="0" fontId="1" fillId="35" borderId="185" xfId="1" applyFont="1" applyFill="1" applyBorder="1" applyAlignment="1" applyProtection="1">
      <alignment horizontal="left" vertical="center"/>
      <protection hidden="1"/>
    </xf>
    <xf numFmtId="0" fontId="1" fillId="35" borderId="187" xfId="1" applyFont="1" applyFill="1" applyBorder="1" applyAlignment="1" applyProtection="1">
      <alignment horizontal="left" vertical="center"/>
      <protection hidden="1"/>
    </xf>
    <xf numFmtId="0" fontId="1" fillId="31" borderId="184" xfId="1" applyFont="1" applyFill="1" applyBorder="1" applyAlignment="1" applyProtection="1">
      <alignment horizontal="left" vertical="center" wrapText="1"/>
      <protection locked="0"/>
    </xf>
    <xf numFmtId="0" fontId="1" fillId="31" borderId="184" xfId="1" applyFont="1" applyFill="1" applyBorder="1" applyAlignment="1" applyProtection="1">
      <alignment horizontal="left" vertical="center"/>
      <protection locked="0"/>
    </xf>
    <xf numFmtId="0" fontId="1" fillId="35" borderId="179" xfId="1" applyFont="1" applyFill="1" applyBorder="1" applyAlignment="1" applyProtection="1">
      <alignment horizontal="left" vertical="center"/>
      <protection hidden="1"/>
    </xf>
    <xf numFmtId="0" fontId="1" fillId="35" borderId="195" xfId="1" applyFont="1" applyFill="1" applyBorder="1" applyAlignment="1" applyProtection="1">
      <alignment horizontal="left" vertical="center"/>
      <protection hidden="1"/>
    </xf>
    <xf numFmtId="0" fontId="1" fillId="31" borderId="178" xfId="1" applyFont="1" applyFill="1" applyBorder="1" applyAlignment="1" applyProtection="1">
      <alignment horizontal="left" vertical="center"/>
      <protection locked="0"/>
    </xf>
    <xf numFmtId="0" fontId="51" fillId="30" borderId="144" xfId="1" applyFont="1" applyFill="1" applyBorder="1" applyAlignment="1" applyProtection="1">
      <alignment horizontal="center" vertical="center" wrapText="1"/>
      <protection hidden="1"/>
    </xf>
    <xf numFmtId="0" fontId="5" fillId="27" borderId="144" xfId="1" applyFont="1" applyFill="1" applyBorder="1" applyAlignment="1" applyProtection="1">
      <alignment horizontal="center" vertical="center"/>
      <protection hidden="1"/>
    </xf>
    <xf numFmtId="0" fontId="51" fillId="30" borderId="145" xfId="1" applyFont="1" applyFill="1" applyBorder="1" applyAlignment="1" applyProtection="1">
      <alignment horizontal="center" vertical="center"/>
      <protection hidden="1"/>
    </xf>
    <xf numFmtId="0" fontId="51" fillId="30" borderId="147" xfId="1" applyFont="1" applyFill="1" applyBorder="1" applyAlignment="1" applyProtection="1">
      <alignment horizontal="center" vertical="center"/>
      <protection hidden="1"/>
    </xf>
    <xf numFmtId="0" fontId="5" fillId="30" borderId="145" xfId="1" applyFont="1" applyFill="1" applyBorder="1" applyAlignment="1" applyProtection="1">
      <alignment horizontal="center" vertical="center"/>
      <protection hidden="1"/>
    </xf>
    <xf numFmtId="0" fontId="5" fillId="30" borderId="146" xfId="1" applyFont="1" applyFill="1" applyBorder="1" applyAlignment="1" applyProtection="1">
      <alignment horizontal="center" vertical="center"/>
      <protection hidden="1"/>
    </xf>
    <xf numFmtId="0" fontId="5" fillId="30" borderId="147" xfId="1" applyFont="1" applyFill="1" applyBorder="1" applyAlignment="1" applyProtection="1">
      <alignment horizontal="center" vertical="center"/>
      <protection hidden="1"/>
    </xf>
    <xf numFmtId="0" fontId="51" fillId="30" borderId="144" xfId="1" applyFont="1" applyFill="1" applyBorder="1" applyAlignment="1" applyProtection="1">
      <alignment horizontal="center" vertical="center"/>
      <protection hidden="1"/>
    </xf>
    <xf numFmtId="0" fontId="5" fillId="31" borderId="164" xfId="1" applyFont="1" applyFill="1" applyBorder="1" applyAlignment="1" applyProtection="1">
      <alignment horizontal="center" vertical="center"/>
      <protection hidden="1"/>
    </xf>
    <xf numFmtId="0" fontId="5" fillId="31" borderId="196" xfId="1" applyFont="1" applyFill="1" applyBorder="1" applyAlignment="1" applyProtection="1">
      <alignment horizontal="center" vertical="center"/>
      <protection hidden="1"/>
    </xf>
    <xf numFmtId="0" fontId="5" fillId="31" borderId="197" xfId="1" applyFont="1" applyFill="1" applyBorder="1" applyAlignment="1" applyProtection="1">
      <alignment horizontal="center" vertical="center"/>
      <protection hidden="1"/>
    </xf>
    <xf numFmtId="0" fontId="1" fillId="31" borderId="144" xfId="1" applyFont="1" applyFill="1" applyBorder="1" applyAlignment="1" applyProtection="1">
      <alignment horizontal="center" vertical="center" wrapText="1"/>
      <protection locked="0"/>
    </xf>
    <xf numFmtId="0" fontId="1" fillId="35" borderId="144" xfId="1" applyFont="1" applyFill="1" applyBorder="1" applyAlignment="1" applyProtection="1">
      <alignment horizontal="center" vertical="center"/>
      <protection locked="0"/>
    </xf>
    <xf numFmtId="0" fontId="5" fillId="31" borderId="144" xfId="1" applyFont="1" applyFill="1" applyBorder="1" applyAlignment="1" applyProtection="1">
      <alignment horizontal="center" vertical="center"/>
      <protection hidden="1"/>
    </xf>
    <xf numFmtId="0" fontId="1" fillId="31" borderId="144" xfId="1" applyFont="1" applyFill="1" applyBorder="1" applyAlignment="1" applyProtection="1">
      <alignment horizontal="left" wrapText="1"/>
      <protection locked="0"/>
    </xf>
    <xf numFmtId="0" fontId="7" fillId="26" borderId="0" xfId="0" applyFont="1" applyFill="1" applyAlignment="1" applyProtection="1">
      <alignment horizontal="center" vertical="center" wrapText="1"/>
      <protection hidden="1"/>
    </xf>
    <xf numFmtId="0" fontId="51" fillId="27" borderId="144" xfId="1" applyFont="1" applyFill="1" applyBorder="1" applyAlignment="1" applyProtection="1">
      <alignment horizontal="center" vertical="center"/>
      <protection hidden="1"/>
    </xf>
    <xf numFmtId="0" fontId="1" fillId="31" borderId="145" xfId="1" applyFont="1" applyFill="1" applyBorder="1" applyAlignment="1" applyProtection="1">
      <alignment horizontal="left" vertical="center"/>
      <protection hidden="1"/>
    </xf>
    <xf numFmtId="0" fontId="1" fillId="31" borderId="147" xfId="1" applyFont="1" applyFill="1" applyBorder="1" applyAlignment="1" applyProtection="1">
      <alignment horizontal="left" vertical="center"/>
      <protection hidden="1"/>
    </xf>
    <xf numFmtId="0" fontId="1" fillId="31" borderId="145" xfId="1" applyFont="1" applyFill="1" applyBorder="1" applyAlignment="1" applyProtection="1">
      <alignment horizontal="center" vertical="center"/>
      <protection hidden="1"/>
    </xf>
    <xf numFmtId="0" fontId="1" fillId="31" borderId="147" xfId="1" applyFont="1" applyFill="1" applyBorder="1" applyAlignment="1" applyProtection="1">
      <alignment horizontal="center" vertical="center"/>
      <protection hidden="1"/>
    </xf>
    <xf numFmtId="0" fontId="11" fillId="26" borderId="0" xfId="0" applyFont="1" applyFill="1" applyAlignment="1" applyProtection="1">
      <alignment horizontal="center" vertical="center" wrapText="1"/>
      <protection hidden="1"/>
    </xf>
    <xf numFmtId="0" fontId="51" fillId="30" borderId="178" xfId="1" applyFont="1" applyFill="1" applyBorder="1" applyAlignment="1" applyProtection="1">
      <alignment horizontal="center" vertical="center" wrapText="1"/>
      <protection hidden="1"/>
    </xf>
    <xf numFmtId="0" fontId="51" fillId="30" borderId="184" xfId="1" applyFont="1" applyFill="1" applyBorder="1" applyAlignment="1" applyProtection="1">
      <alignment horizontal="center" vertical="center" wrapText="1"/>
      <protection hidden="1"/>
    </xf>
    <xf numFmtId="0" fontId="1" fillId="31" borderId="184" xfId="1" applyFont="1" applyFill="1" applyBorder="1" applyAlignment="1" applyProtection="1">
      <alignment horizontal="center"/>
      <protection locked="0"/>
    </xf>
    <xf numFmtId="0" fontId="1" fillId="31" borderId="144" xfId="1" applyFont="1" applyFill="1" applyBorder="1" applyAlignment="1" applyProtection="1">
      <alignment horizontal="left" vertical="center" wrapText="1"/>
      <protection hidden="1"/>
    </xf>
    <xf numFmtId="0" fontId="1" fillId="31" borderId="178" xfId="1" applyFont="1" applyFill="1" applyBorder="1" applyAlignment="1" applyProtection="1">
      <alignment horizontal="left" vertical="center" wrapText="1"/>
      <protection hidden="1"/>
    </xf>
    <xf numFmtId="0" fontId="1" fillId="31" borderId="184" xfId="1" applyFont="1" applyFill="1" applyBorder="1" applyAlignment="1" applyProtection="1">
      <alignment horizontal="left" vertical="center" wrapText="1"/>
      <protection hidden="1"/>
    </xf>
    <xf numFmtId="0" fontId="1" fillId="31" borderId="184" xfId="1" applyFont="1" applyFill="1" applyBorder="1" applyAlignment="1" applyProtection="1">
      <alignment horizontal="center"/>
      <protection hidden="1"/>
    </xf>
    <xf numFmtId="0" fontId="1" fillId="35" borderId="144" xfId="1" applyFont="1" applyFill="1" applyBorder="1" applyAlignment="1" applyProtection="1">
      <alignment horizontal="center" vertical="center"/>
      <protection hidden="1"/>
    </xf>
    <xf numFmtId="0" fontId="81" fillId="30" borderId="0" xfId="0" applyFont="1" applyFill="1" applyAlignment="1" applyProtection="1">
      <alignment horizontal="center" vertical="center"/>
      <protection hidden="1"/>
    </xf>
    <xf numFmtId="0" fontId="51" fillId="30" borderId="203" xfId="1" applyFont="1" applyFill="1" applyBorder="1" applyAlignment="1" applyProtection="1">
      <alignment horizontal="center" vertical="center"/>
      <protection hidden="1"/>
    </xf>
    <xf numFmtId="0" fontId="51" fillId="30" borderId="204" xfId="1" applyFont="1" applyFill="1" applyBorder="1" applyAlignment="1" applyProtection="1">
      <alignment horizontal="center" vertical="center"/>
      <protection hidden="1"/>
    </xf>
    <xf numFmtId="0" fontId="51" fillId="30" borderId="204" xfId="0" applyFont="1" applyFill="1" applyBorder="1" applyAlignment="1" applyProtection="1">
      <alignment horizontal="center" vertical="center"/>
      <protection hidden="1"/>
    </xf>
    <xf numFmtId="0" fontId="51" fillId="30" borderId="204" xfId="0" applyFont="1" applyFill="1" applyBorder="1" applyAlignment="1" applyProtection="1">
      <alignment horizontal="center" vertical="center" wrapText="1"/>
      <protection hidden="1"/>
    </xf>
    <xf numFmtId="0" fontId="51" fillId="30" borderId="205" xfId="0" applyFont="1" applyFill="1" applyBorder="1" applyAlignment="1" applyProtection="1">
      <alignment horizontal="center" vertical="center" wrapText="1"/>
      <protection hidden="1"/>
    </xf>
    <xf numFmtId="0" fontId="1" fillId="35" borderId="156" xfId="1" applyFont="1" applyFill="1" applyBorder="1" applyAlignment="1" applyProtection="1">
      <alignment horizontal="left" vertical="center" wrapText="1"/>
      <protection hidden="1"/>
    </xf>
    <xf numFmtId="0" fontId="1" fillId="35" borderId="206" xfId="1" applyFont="1" applyFill="1" applyBorder="1" applyAlignment="1" applyProtection="1">
      <alignment horizontal="left" vertical="center" wrapText="1"/>
      <protection hidden="1"/>
    </xf>
    <xf numFmtId="0" fontId="1" fillId="35" borderId="159" xfId="1" applyFont="1" applyFill="1" applyBorder="1" applyAlignment="1" applyProtection="1">
      <alignment horizontal="left" vertical="center" wrapText="1"/>
      <protection hidden="1"/>
    </xf>
    <xf numFmtId="0" fontId="1" fillId="35" borderId="172" xfId="1" applyFont="1" applyFill="1" applyBorder="1" applyAlignment="1" applyProtection="1">
      <alignment horizontal="left" vertical="center" wrapText="1"/>
      <protection hidden="1"/>
    </xf>
    <xf numFmtId="0" fontId="1" fillId="35" borderId="161" xfId="1" applyFont="1" applyFill="1" applyBorder="1" applyAlignment="1" applyProtection="1">
      <alignment horizontal="left" vertical="center" wrapText="1"/>
      <protection hidden="1"/>
    </xf>
    <xf numFmtId="0" fontId="1" fillId="35" borderId="207" xfId="1" applyFont="1" applyFill="1" applyBorder="1" applyAlignment="1" applyProtection="1">
      <alignment horizontal="left" vertical="center" wrapText="1"/>
      <protection hidden="1"/>
    </xf>
    <xf numFmtId="0" fontId="11" fillId="31" borderId="195" xfId="0" applyFont="1" applyFill="1" applyBorder="1" applyAlignment="1" applyProtection="1">
      <alignment horizontal="left" vertical="center"/>
      <protection locked="0"/>
    </xf>
    <xf numFmtId="0" fontId="11" fillId="31" borderId="178" xfId="0" applyFont="1" applyFill="1" applyBorder="1" applyAlignment="1" applyProtection="1">
      <alignment horizontal="left" vertical="center"/>
      <protection locked="0"/>
    </xf>
    <xf numFmtId="0" fontId="11" fillId="31" borderId="178" xfId="0" applyFont="1" applyFill="1" applyBorder="1" applyAlignment="1" applyProtection="1">
      <alignment horizontal="center"/>
      <protection locked="0"/>
    </xf>
    <xf numFmtId="4" fontId="11" fillId="31" borderId="178" xfId="0" applyNumberFormat="1" applyFont="1" applyFill="1" applyBorder="1" applyAlignment="1" applyProtection="1">
      <alignment horizontal="center"/>
      <protection locked="0"/>
    </xf>
    <xf numFmtId="4" fontId="11" fillId="31" borderId="188" xfId="0" applyNumberFormat="1" applyFont="1" applyFill="1" applyBorder="1" applyAlignment="1" applyProtection="1">
      <alignment horizontal="center"/>
      <protection locked="0"/>
    </xf>
    <xf numFmtId="0" fontId="11" fillId="31" borderId="147" xfId="0" applyFont="1" applyFill="1" applyBorder="1" applyAlignment="1" applyProtection="1">
      <alignment horizontal="left" vertical="center"/>
      <protection locked="0"/>
    </xf>
    <xf numFmtId="0" fontId="11" fillId="31" borderId="144" xfId="0" applyFont="1" applyFill="1" applyBorder="1" applyAlignment="1" applyProtection="1">
      <alignment horizontal="left" vertical="center"/>
      <protection locked="0"/>
    </xf>
    <xf numFmtId="0" fontId="11" fillId="31" borderId="144" xfId="0" applyFont="1" applyFill="1" applyBorder="1" applyAlignment="1" applyProtection="1">
      <alignment horizontal="center"/>
      <protection locked="0"/>
    </xf>
    <xf numFmtId="4" fontId="11" fillId="31" borderId="144" xfId="0" applyNumberFormat="1" applyFont="1" applyFill="1" applyBorder="1" applyAlignment="1" applyProtection="1">
      <alignment horizontal="center"/>
      <protection locked="0"/>
    </xf>
    <xf numFmtId="4" fontId="11" fillId="31" borderId="191" xfId="0" applyNumberFormat="1" applyFont="1" applyFill="1" applyBorder="1" applyAlignment="1" applyProtection="1">
      <alignment horizontal="center"/>
      <protection locked="0"/>
    </xf>
    <xf numFmtId="0" fontId="11" fillId="27" borderId="208" xfId="0" applyFont="1" applyFill="1" applyBorder="1" applyAlignment="1" applyProtection="1">
      <alignment horizontal="left" vertical="center"/>
      <protection hidden="1"/>
    </xf>
    <xf numFmtId="0" fontId="11" fillId="27" borderId="186" xfId="0" applyFont="1" applyFill="1" applyBorder="1" applyAlignment="1" applyProtection="1">
      <alignment horizontal="left" vertical="center"/>
      <protection hidden="1"/>
    </xf>
    <xf numFmtId="0" fontId="11" fillId="27" borderId="187" xfId="0" applyFont="1" applyFill="1" applyBorder="1" applyAlignment="1" applyProtection="1">
      <alignment horizontal="left" vertical="center"/>
      <protection hidden="1"/>
    </xf>
    <xf numFmtId="4" fontId="11" fillId="31" borderId="184" xfId="0" applyNumberFormat="1" applyFont="1" applyFill="1" applyBorder="1" applyAlignment="1" applyProtection="1">
      <alignment horizontal="center"/>
      <protection hidden="1"/>
    </xf>
    <xf numFmtId="4" fontId="11" fillId="31" borderId="193" xfId="0" applyNumberFormat="1" applyFont="1" applyFill="1" applyBorder="1" applyAlignment="1" applyProtection="1">
      <alignment horizontal="center"/>
      <protection hidden="1"/>
    </xf>
    <xf numFmtId="0" fontId="1" fillId="35" borderId="209" xfId="1" applyFont="1" applyFill="1" applyBorder="1" applyAlignment="1" applyProtection="1">
      <alignment horizontal="left" vertical="center" wrapText="1"/>
      <protection hidden="1"/>
    </xf>
    <xf numFmtId="0" fontId="1" fillId="35" borderId="152" xfId="1" applyFont="1" applyFill="1" applyBorder="1" applyAlignment="1" applyProtection="1">
      <alignment horizontal="left" vertical="center" wrapText="1"/>
      <protection hidden="1"/>
    </xf>
    <xf numFmtId="0" fontId="1" fillId="35" borderId="162" xfId="1" applyFont="1" applyFill="1" applyBorder="1" applyAlignment="1" applyProtection="1">
      <alignment horizontal="left" vertical="center" wrapText="1"/>
      <protection hidden="1"/>
    </xf>
    <xf numFmtId="0" fontId="11" fillId="31" borderId="197" xfId="0" applyFont="1" applyFill="1" applyBorder="1" applyAlignment="1" applyProtection="1">
      <alignment horizontal="left" vertical="center"/>
      <protection locked="0"/>
    </xf>
    <xf numFmtId="0" fontId="11" fillId="31" borderId="197" xfId="0" applyFont="1" applyFill="1" applyBorder="1" applyAlignment="1" applyProtection="1">
      <alignment horizontal="center"/>
      <protection locked="0"/>
    </xf>
    <xf numFmtId="4" fontId="11" fillId="31" borderId="197" xfId="0" applyNumberFormat="1" applyFont="1" applyFill="1" applyBorder="1" applyAlignment="1" applyProtection="1">
      <alignment horizontal="center"/>
      <protection locked="0"/>
    </xf>
    <xf numFmtId="4" fontId="11" fillId="31" borderId="210" xfId="0" applyNumberFormat="1" applyFont="1" applyFill="1" applyBorder="1" applyAlignment="1" applyProtection="1">
      <alignment horizontal="center"/>
      <protection locked="0"/>
    </xf>
    <xf numFmtId="0" fontId="11" fillId="31" borderId="164" xfId="0" applyFont="1" applyFill="1" applyBorder="1" applyAlignment="1" applyProtection="1">
      <alignment horizontal="left" vertical="center"/>
      <protection locked="0"/>
    </xf>
    <xf numFmtId="0" fontId="11" fillId="31" borderId="164" xfId="0" applyFont="1" applyFill="1" applyBorder="1" applyAlignment="1" applyProtection="1">
      <alignment horizontal="center"/>
      <protection locked="0"/>
    </xf>
    <xf numFmtId="4" fontId="11" fillId="31" borderId="164" xfId="0" applyNumberFormat="1" applyFont="1" applyFill="1" applyBorder="1" applyAlignment="1" applyProtection="1">
      <alignment horizontal="center"/>
      <protection locked="0"/>
    </xf>
    <xf numFmtId="4" fontId="11" fillId="31" borderId="211" xfId="0" applyNumberFormat="1" applyFont="1" applyFill="1" applyBorder="1" applyAlignment="1" applyProtection="1">
      <alignment horizontal="center"/>
      <protection locked="0"/>
    </xf>
    <xf numFmtId="4" fontId="11" fillId="31" borderId="212" xfId="0" applyNumberFormat="1" applyFont="1" applyFill="1" applyBorder="1" applyAlignment="1" applyProtection="1">
      <alignment horizontal="center"/>
      <protection hidden="1"/>
    </xf>
    <xf numFmtId="4" fontId="11" fillId="31" borderId="213" xfId="0" applyNumberFormat="1" applyFont="1" applyFill="1" applyBorder="1" applyAlignment="1" applyProtection="1">
      <alignment horizontal="center"/>
      <protection hidden="1"/>
    </xf>
    <xf numFmtId="0" fontId="1" fillId="35" borderId="214" xfId="1" applyFont="1" applyFill="1" applyBorder="1" applyAlignment="1" applyProtection="1">
      <alignment horizontal="left" vertical="center" wrapText="1"/>
      <protection hidden="1"/>
    </xf>
    <xf numFmtId="0" fontId="11" fillId="31" borderId="184" xfId="0" applyFont="1" applyFill="1" applyBorder="1" applyAlignment="1" applyProtection="1">
      <alignment horizontal="left" vertical="center"/>
      <protection locked="0"/>
    </xf>
    <xf numFmtId="0" fontId="11" fillId="31" borderId="184" xfId="0" applyFont="1" applyFill="1" applyBorder="1" applyAlignment="1" applyProtection="1">
      <alignment horizontal="center"/>
      <protection locked="0"/>
    </xf>
    <xf numFmtId="4" fontId="11" fillId="31" borderId="184" xfId="0" applyNumberFormat="1" applyFont="1" applyFill="1" applyBorder="1" applyAlignment="1" applyProtection="1">
      <alignment horizontal="center"/>
      <protection locked="0"/>
    </xf>
    <xf numFmtId="4" fontId="11" fillId="31" borderId="193" xfId="0" applyNumberFormat="1" applyFont="1" applyFill="1" applyBorder="1" applyAlignment="1" applyProtection="1">
      <alignment horizontal="center"/>
      <protection locked="0"/>
    </xf>
    <xf numFmtId="0" fontId="11" fillId="31" borderId="178" xfId="0" applyFont="1" applyFill="1" applyBorder="1" applyAlignment="1" applyProtection="1">
      <alignment horizontal="left" vertical="center" wrapText="1"/>
      <protection locked="0"/>
    </xf>
    <xf numFmtId="0" fontId="1" fillId="35" borderId="157" xfId="1" applyFont="1" applyFill="1" applyBorder="1" applyAlignment="1" applyProtection="1">
      <alignment horizontal="left" vertical="center" wrapText="1"/>
      <protection hidden="1"/>
    </xf>
    <xf numFmtId="0" fontId="1" fillId="35" borderId="0" xfId="1" applyFont="1" applyFill="1" applyBorder="1" applyAlignment="1" applyProtection="1">
      <alignment horizontal="left" vertical="center" wrapText="1"/>
      <protection hidden="1"/>
    </xf>
    <xf numFmtId="0" fontId="51" fillId="30" borderId="161" xfId="0" applyFont="1" applyFill="1" applyBorder="1" applyAlignment="1" applyProtection="1">
      <alignment horizontal="right" vertical="center"/>
      <protection hidden="1"/>
    </xf>
    <xf numFmtId="0" fontId="51" fillId="30" borderId="162" xfId="0" applyFont="1" applyFill="1" applyBorder="1" applyAlignment="1" applyProtection="1">
      <alignment horizontal="right" vertical="center"/>
      <protection hidden="1"/>
    </xf>
    <xf numFmtId="4" fontId="11" fillId="27" borderId="215" xfId="0" applyNumberFormat="1" applyFont="1" applyFill="1" applyBorder="1" applyAlignment="1" applyProtection="1">
      <alignment horizontal="center"/>
      <protection hidden="1"/>
    </xf>
    <xf numFmtId="4" fontId="11" fillId="27" borderId="216" xfId="0" applyNumberFormat="1" applyFont="1" applyFill="1" applyBorder="1" applyAlignment="1" applyProtection="1">
      <alignment horizontal="center"/>
      <protection hidden="1"/>
    </xf>
    <xf numFmtId="0" fontId="11" fillId="31" borderId="195" xfId="0" applyFont="1" applyFill="1" applyBorder="1" applyAlignment="1" applyProtection="1">
      <alignment horizontal="left" vertical="center"/>
      <protection hidden="1"/>
    </xf>
    <xf numFmtId="0" fontId="11" fillId="31" borderId="178" xfId="0" applyFont="1" applyFill="1" applyBorder="1" applyAlignment="1" applyProtection="1">
      <alignment horizontal="left" vertical="center"/>
      <protection hidden="1"/>
    </xf>
    <xf numFmtId="0" fontId="11" fillId="31" borderId="178" xfId="0" applyFont="1" applyFill="1" applyBorder="1" applyAlignment="1" applyProtection="1">
      <alignment horizontal="center"/>
      <protection hidden="1"/>
    </xf>
    <xf numFmtId="4" fontId="11" fillId="31" borderId="178" xfId="0" applyNumberFormat="1" applyFont="1" applyFill="1" applyBorder="1" applyAlignment="1" applyProtection="1">
      <alignment horizontal="center"/>
      <protection hidden="1"/>
    </xf>
    <xf numFmtId="4" fontId="11" fillId="31" borderId="188" xfId="0" applyNumberFormat="1" applyFont="1" applyFill="1" applyBorder="1" applyAlignment="1" applyProtection="1">
      <alignment horizontal="center"/>
      <protection hidden="1"/>
    </xf>
    <xf numFmtId="0" fontId="11" fillId="31" borderId="147" xfId="0" applyFont="1" applyFill="1" applyBorder="1" applyAlignment="1" applyProtection="1">
      <alignment horizontal="left" vertical="center"/>
      <protection hidden="1"/>
    </xf>
    <xf numFmtId="0" fontId="11" fillId="31" borderId="144" xfId="0" applyFont="1" applyFill="1" applyBorder="1" applyAlignment="1" applyProtection="1">
      <alignment horizontal="left" vertical="center"/>
      <protection hidden="1"/>
    </xf>
    <xf numFmtId="0" fontId="11" fillId="31" borderId="144" xfId="0" applyFont="1" applyFill="1" applyBorder="1" applyAlignment="1" applyProtection="1">
      <alignment horizontal="center"/>
      <protection hidden="1"/>
    </xf>
    <xf numFmtId="4" fontId="11" fillId="31" borderId="144" xfId="0" applyNumberFormat="1" applyFont="1" applyFill="1" applyBorder="1" applyAlignment="1" applyProtection="1">
      <alignment horizontal="center"/>
      <protection hidden="1"/>
    </xf>
    <xf numFmtId="4" fontId="11" fillId="31" borderId="191" xfId="0" applyNumberFormat="1" applyFont="1" applyFill="1" applyBorder="1" applyAlignment="1" applyProtection="1">
      <alignment horizontal="center"/>
      <protection hidden="1"/>
    </xf>
    <xf numFmtId="0" fontId="11" fillId="31" borderId="197" xfId="0" applyFont="1" applyFill="1" applyBorder="1" applyAlignment="1" applyProtection="1">
      <alignment horizontal="left" vertical="center"/>
      <protection hidden="1"/>
    </xf>
    <xf numFmtId="0" fontId="11" fillId="31" borderId="197" xfId="0" applyFont="1" applyFill="1" applyBorder="1" applyAlignment="1" applyProtection="1">
      <alignment horizontal="center"/>
      <protection hidden="1"/>
    </xf>
    <xf numFmtId="4" fontId="11" fillId="31" borderId="197" xfId="0" applyNumberFormat="1" applyFont="1" applyFill="1" applyBorder="1" applyAlignment="1" applyProtection="1">
      <alignment horizontal="center"/>
      <protection hidden="1"/>
    </xf>
    <xf numFmtId="4" fontId="11" fillId="31" borderId="210" xfId="0" applyNumberFormat="1" applyFont="1" applyFill="1" applyBorder="1" applyAlignment="1" applyProtection="1">
      <alignment horizontal="center"/>
      <protection hidden="1"/>
    </xf>
    <xf numFmtId="0" fontId="11" fillId="31" borderId="164" xfId="0" applyFont="1" applyFill="1" applyBorder="1" applyAlignment="1" applyProtection="1">
      <alignment horizontal="left" vertical="center"/>
      <protection hidden="1"/>
    </xf>
    <xf numFmtId="0" fontId="11" fillId="31" borderId="164" xfId="0" applyFont="1" applyFill="1" applyBorder="1" applyAlignment="1" applyProtection="1">
      <alignment horizontal="center"/>
      <protection hidden="1"/>
    </xf>
    <xf numFmtId="4" fontId="11" fillId="31" borderId="164" xfId="0" applyNumberFormat="1" applyFont="1" applyFill="1" applyBorder="1" applyAlignment="1" applyProtection="1">
      <alignment horizontal="center"/>
      <protection hidden="1"/>
    </xf>
    <xf numFmtId="4" fontId="11" fillId="31" borderId="211" xfId="0" applyNumberFormat="1" applyFont="1" applyFill="1" applyBorder="1" applyAlignment="1" applyProtection="1">
      <alignment horizontal="center"/>
      <protection hidden="1"/>
    </xf>
    <xf numFmtId="0" fontId="11" fillId="31" borderId="184" xfId="0" applyFont="1" applyFill="1" applyBorder="1" applyAlignment="1" applyProtection="1">
      <alignment horizontal="left" vertical="center"/>
      <protection hidden="1"/>
    </xf>
    <xf numFmtId="0" fontId="11" fillId="31" borderId="184" xfId="0" applyFont="1" applyFill="1" applyBorder="1" applyAlignment="1" applyProtection="1">
      <alignment horizontal="center"/>
      <protection hidden="1"/>
    </xf>
    <xf numFmtId="0" fontId="11" fillId="31" borderId="178" xfId="0" applyFont="1" applyFill="1" applyBorder="1" applyAlignment="1" applyProtection="1">
      <alignment horizontal="left" vertical="center" wrapText="1"/>
      <protection hidden="1"/>
    </xf>
    <xf numFmtId="0" fontId="66" fillId="30" borderId="0" xfId="0" applyFont="1" applyFill="1" applyAlignment="1" applyProtection="1">
      <alignment horizontal="center" vertical="center"/>
      <protection hidden="1"/>
    </xf>
    <xf numFmtId="0" fontId="87" fillId="27" borderId="217" xfId="0" applyFont="1" applyFill="1" applyBorder="1" applyAlignment="1" applyProtection="1">
      <alignment horizontal="center" vertical="center"/>
      <protection hidden="1"/>
    </xf>
    <xf numFmtId="0" fontId="2" fillId="35" borderId="101" xfId="0" applyFont="1" applyFill="1" applyBorder="1" applyAlignment="1" applyProtection="1">
      <alignment horizontal="center" vertical="center" textRotation="90" wrapText="1"/>
      <protection hidden="1"/>
    </xf>
    <xf numFmtId="0" fontId="2" fillId="35" borderId="108" xfId="0" applyFont="1" applyFill="1" applyBorder="1" applyAlignment="1" applyProtection="1">
      <alignment horizontal="center" vertical="center" textRotation="90" wrapText="1"/>
      <protection hidden="1"/>
    </xf>
    <xf numFmtId="0" fontId="2" fillId="35" borderId="102" xfId="0" applyFont="1" applyFill="1" applyBorder="1" applyAlignment="1" applyProtection="1">
      <alignment horizontal="center" vertical="center" textRotation="90" wrapText="1"/>
      <protection hidden="1"/>
    </xf>
    <xf numFmtId="0" fontId="2" fillId="35" borderId="22" xfId="0" applyFont="1" applyFill="1" applyBorder="1" applyAlignment="1" applyProtection="1">
      <alignment horizontal="center" vertical="center" wrapText="1"/>
      <protection hidden="1"/>
    </xf>
    <xf numFmtId="0" fontId="2" fillId="35" borderId="23" xfId="0" applyFont="1" applyFill="1" applyBorder="1" applyAlignment="1" applyProtection="1">
      <alignment horizontal="center" vertical="center" wrapText="1"/>
      <protection hidden="1"/>
    </xf>
    <xf numFmtId="0" fontId="2" fillId="35" borderId="24" xfId="0" applyFont="1" applyFill="1" applyBorder="1" applyAlignment="1" applyProtection="1">
      <alignment horizontal="center" vertical="center" wrapText="1"/>
      <protection hidden="1"/>
    </xf>
    <xf numFmtId="0" fontId="2" fillId="15" borderId="23"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center" vertical="center" wrapText="1"/>
      <protection hidden="1"/>
    </xf>
    <xf numFmtId="0" fontId="2" fillId="35" borderId="22" xfId="0" applyFont="1" applyFill="1" applyBorder="1" applyAlignment="1" applyProtection="1">
      <alignment horizontal="justify" vertical="center" wrapText="1"/>
      <protection hidden="1"/>
    </xf>
    <xf numFmtId="0" fontId="2" fillId="35" borderId="24" xfId="0" applyFont="1" applyFill="1" applyBorder="1" applyAlignment="1" applyProtection="1">
      <alignment horizontal="justify" vertical="center" wrapText="1"/>
      <protection hidden="1"/>
    </xf>
    <xf numFmtId="0" fontId="2" fillId="15" borderId="22" xfId="0" applyFont="1" applyFill="1" applyBorder="1" applyAlignment="1" applyProtection="1">
      <alignment horizontal="center" vertical="center" wrapText="1"/>
      <protection hidden="1"/>
    </xf>
    <xf numFmtId="0" fontId="2" fillId="15" borderId="22" xfId="0" applyFont="1" applyFill="1" applyBorder="1" applyAlignment="1" applyProtection="1">
      <alignment horizontal="justify" vertical="center" wrapText="1"/>
      <protection hidden="1"/>
    </xf>
    <xf numFmtId="0" fontId="2" fillId="15" borderId="24" xfId="0" applyFont="1" applyFill="1" applyBorder="1" applyAlignment="1" applyProtection="1">
      <alignment horizontal="justify" vertical="center" wrapText="1"/>
      <protection hidden="1"/>
    </xf>
    <xf numFmtId="0" fontId="2" fillId="35" borderId="220" xfId="0" applyFont="1" applyFill="1" applyBorder="1" applyAlignment="1" applyProtection="1">
      <alignment horizontal="center" vertical="center" wrapText="1"/>
      <protection hidden="1"/>
    </xf>
    <xf numFmtId="0" fontId="2" fillId="35" borderId="218" xfId="0" applyFont="1" applyFill="1" applyBorder="1" applyAlignment="1" applyProtection="1">
      <alignment horizontal="center" vertical="center" wrapText="1"/>
      <protection hidden="1"/>
    </xf>
    <xf numFmtId="0" fontId="2" fillId="35" borderId="219" xfId="0" applyFont="1" applyFill="1" applyBorder="1" applyAlignment="1" applyProtection="1">
      <alignment horizontal="center" vertical="center" wrapText="1"/>
      <protection hidden="1"/>
    </xf>
    <xf numFmtId="0" fontId="2" fillId="15" borderId="231" xfId="0" applyFont="1" applyFill="1" applyBorder="1" applyAlignment="1" applyProtection="1">
      <alignment horizontal="left" vertical="center" wrapText="1"/>
      <protection hidden="1"/>
    </xf>
    <xf numFmtId="0" fontId="2" fillId="15" borderId="108" xfId="0" applyFont="1" applyFill="1" applyBorder="1" applyAlignment="1" applyProtection="1">
      <alignment horizontal="left" vertical="center" wrapText="1"/>
      <protection hidden="1"/>
    </xf>
    <xf numFmtId="0" fontId="2" fillId="15" borderId="227" xfId="0" applyFont="1" applyFill="1" applyBorder="1" applyAlignment="1" applyProtection="1">
      <alignment horizontal="left" vertical="center" wrapText="1"/>
      <protection hidden="1"/>
    </xf>
    <xf numFmtId="0" fontId="11" fillId="35" borderId="222" xfId="0" applyFont="1" applyFill="1" applyBorder="1" applyAlignment="1" applyProtection="1">
      <alignment horizontal="justify" vertical="center" wrapText="1"/>
      <protection hidden="1"/>
    </xf>
    <xf numFmtId="0" fontId="11" fillId="35" borderId="221" xfId="0" applyFont="1" applyFill="1" applyBorder="1" applyAlignment="1" applyProtection="1">
      <alignment horizontal="justify" vertical="center" wrapText="1"/>
      <protection hidden="1"/>
    </xf>
    <xf numFmtId="0" fontId="11" fillId="35" borderId="25" xfId="0" applyFont="1" applyFill="1" applyBorder="1" applyAlignment="1" applyProtection="1">
      <alignment horizontal="justify" vertical="center" wrapText="1"/>
      <protection hidden="1"/>
    </xf>
    <xf numFmtId="0" fontId="11" fillId="35" borderId="32" xfId="0" applyFont="1" applyFill="1" applyBorder="1" applyAlignment="1" applyProtection="1">
      <alignment horizontal="justify" vertical="center" wrapText="1"/>
      <protection hidden="1"/>
    </xf>
    <xf numFmtId="0" fontId="11" fillId="35" borderId="15" xfId="0" applyFont="1" applyFill="1" applyBorder="1" applyAlignment="1" applyProtection="1">
      <alignment horizontal="justify" vertical="center" wrapText="1"/>
      <protection hidden="1"/>
    </xf>
    <xf numFmtId="0" fontId="11" fillId="35" borderId="17" xfId="0" applyFont="1" applyFill="1" applyBorder="1" applyAlignment="1" applyProtection="1">
      <alignment horizontal="justify" vertical="center" wrapText="1"/>
      <protection hidden="1"/>
    </xf>
    <xf numFmtId="0" fontId="11" fillId="35" borderId="223" xfId="0" applyFont="1" applyFill="1" applyBorder="1" applyAlignment="1" applyProtection="1">
      <alignment horizontal="left" vertical="center" wrapText="1"/>
      <protection hidden="1"/>
    </xf>
    <xf numFmtId="0" fontId="11" fillId="35" borderId="224" xfId="0" applyFont="1" applyFill="1" applyBorder="1" applyAlignment="1" applyProtection="1">
      <alignment horizontal="left" vertical="center" wrapText="1"/>
      <protection hidden="1"/>
    </xf>
    <xf numFmtId="0" fontId="11" fillId="35" borderId="223" xfId="0" applyFont="1" applyFill="1" applyBorder="1" applyAlignment="1" applyProtection="1">
      <alignment horizontal="justify" vertical="center" wrapText="1"/>
      <protection hidden="1"/>
    </xf>
    <xf numFmtId="0" fontId="11" fillId="35" borderId="225" xfId="0" applyFont="1" applyFill="1" applyBorder="1" applyAlignment="1" applyProtection="1">
      <alignment horizontal="justify" vertical="center" wrapText="1"/>
      <protection hidden="1"/>
    </xf>
    <xf numFmtId="0" fontId="11" fillId="35" borderId="224" xfId="0" applyFont="1" applyFill="1" applyBorder="1" applyAlignment="1" applyProtection="1">
      <alignment horizontal="justify" vertical="center" wrapText="1"/>
      <protection hidden="1"/>
    </xf>
    <xf numFmtId="0" fontId="11" fillId="35" borderId="9" xfId="0" applyFont="1" applyFill="1" applyBorder="1" applyAlignment="1" applyProtection="1">
      <alignment horizontal="justify" vertical="center" wrapText="1"/>
      <protection hidden="1"/>
    </xf>
    <xf numFmtId="0" fontId="11" fillId="35" borderId="11" xfId="0" applyFont="1" applyFill="1" applyBorder="1" applyAlignment="1" applyProtection="1">
      <alignment horizontal="justify" vertical="center" wrapText="1"/>
      <protection hidden="1"/>
    </xf>
    <xf numFmtId="0" fontId="11" fillId="35" borderId="22" xfId="0" applyFont="1" applyFill="1" applyBorder="1" applyAlignment="1" applyProtection="1">
      <alignment horizontal="justify" vertical="center" wrapText="1"/>
      <protection hidden="1"/>
    </xf>
    <xf numFmtId="0" fontId="11" fillId="35" borderId="23" xfId="0" applyFont="1" applyFill="1" applyBorder="1" applyAlignment="1" applyProtection="1">
      <alignment horizontal="justify" vertical="center" wrapText="1"/>
      <protection hidden="1"/>
    </xf>
    <xf numFmtId="0" fontId="11" fillId="35" borderId="24" xfId="0" applyFont="1" applyFill="1" applyBorder="1" applyAlignment="1" applyProtection="1">
      <alignment horizontal="justify" vertical="center" wrapText="1"/>
      <protection hidden="1"/>
    </xf>
    <xf numFmtId="0" fontId="11" fillId="35" borderId="15" xfId="0" applyFont="1" applyFill="1" applyBorder="1" applyAlignment="1" applyProtection="1">
      <alignment vertical="top" wrapText="1"/>
      <protection hidden="1"/>
    </xf>
    <xf numFmtId="0" fontId="11" fillId="35" borderId="17" xfId="0" applyFont="1" applyFill="1" applyBorder="1" applyAlignment="1" applyProtection="1">
      <alignment vertical="top" wrapText="1"/>
      <protection hidden="1"/>
    </xf>
    <xf numFmtId="0" fontId="11" fillId="15" borderId="101" xfId="0" applyFont="1" applyFill="1" applyBorder="1" applyAlignment="1" applyProtection="1">
      <alignment horizontal="center" vertical="center" wrapText="1"/>
      <protection hidden="1"/>
    </xf>
    <xf numFmtId="0" fontId="11" fillId="15" borderId="227" xfId="0" applyFont="1" applyFill="1" applyBorder="1" applyAlignment="1" applyProtection="1">
      <alignment horizontal="center" vertical="center" wrapText="1"/>
      <protection hidden="1"/>
    </xf>
    <xf numFmtId="0" fontId="11" fillId="15" borderId="9" xfId="0" applyFont="1" applyFill="1" applyBorder="1" applyAlignment="1" applyProtection="1">
      <alignment horizontal="left" vertical="center" wrapText="1"/>
      <protection hidden="1"/>
    </xf>
    <xf numFmtId="0" fontId="11" fillId="15" borderId="10" xfId="0" applyFont="1" applyFill="1" applyBorder="1" applyAlignment="1" applyProtection="1">
      <alignment horizontal="left" vertical="center" wrapText="1"/>
      <protection hidden="1"/>
    </xf>
    <xf numFmtId="0" fontId="11" fillId="15" borderId="11" xfId="0" applyFont="1" applyFill="1" applyBorder="1" applyAlignment="1" applyProtection="1">
      <alignment horizontal="left" vertical="center" wrapText="1"/>
      <protection hidden="1"/>
    </xf>
    <xf numFmtId="0" fontId="11" fillId="35" borderId="220" xfId="0" applyFont="1" applyFill="1" applyBorder="1" applyAlignment="1" applyProtection="1">
      <alignment horizontal="justify" vertical="center" wrapText="1"/>
      <protection hidden="1"/>
    </xf>
    <xf numFmtId="0" fontId="11" fillId="35" borderId="219" xfId="0" applyFont="1" applyFill="1" applyBorder="1" applyAlignment="1" applyProtection="1">
      <alignment horizontal="justify" vertical="center" wrapText="1"/>
      <protection hidden="1"/>
    </xf>
    <xf numFmtId="0" fontId="11" fillId="15" borderId="228" xfId="0" applyFont="1" applyFill="1" applyBorder="1" applyAlignment="1" applyProtection="1">
      <alignment horizontal="left" vertical="center" wrapText="1"/>
      <protection hidden="1"/>
    </xf>
    <xf numFmtId="0" fontId="11" fillId="15" borderId="229" xfId="0" applyFont="1" applyFill="1" applyBorder="1" applyAlignment="1" applyProtection="1">
      <alignment horizontal="left" vertical="center" wrapText="1"/>
      <protection hidden="1"/>
    </xf>
    <xf numFmtId="0" fontId="11" fillId="15" borderId="235" xfId="0" applyFont="1" applyFill="1" applyBorder="1" applyAlignment="1" applyProtection="1">
      <alignment horizontal="left" vertical="center" wrapText="1"/>
      <protection hidden="1"/>
    </xf>
    <xf numFmtId="0" fontId="2" fillId="15" borderId="102" xfId="0" applyFont="1" applyFill="1" applyBorder="1" applyAlignment="1" applyProtection="1">
      <alignment horizontal="left" vertical="center" wrapText="1"/>
      <protection hidden="1"/>
    </xf>
    <xf numFmtId="0" fontId="11" fillId="35" borderId="9" xfId="0" applyFont="1" applyFill="1" applyBorder="1" applyAlignment="1" applyProtection="1">
      <alignment vertical="center" wrapText="1"/>
      <protection hidden="1"/>
    </xf>
    <xf numFmtId="0" fontId="11" fillId="35" borderId="11" xfId="0" applyFont="1" applyFill="1" applyBorder="1" applyAlignment="1" applyProtection="1">
      <alignment vertical="center" wrapText="1"/>
      <protection hidden="1"/>
    </xf>
    <xf numFmtId="0" fontId="11" fillId="35" borderId="15" xfId="0" applyFont="1" applyFill="1" applyBorder="1" applyAlignment="1" applyProtection="1">
      <alignment vertical="center" wrapText="1"/>
      <protection hidden="1"/>
    </xf>
    <xf numFmtId="0" fontId="11" fillId="35" borderId="17" xfId="0" applyFont="1" applyFill="1" applyBorder="1" applyAlignment="1" applyProtection="1">
      <alignment vertical="center" wrapText="1"/>
      <protection hidden="1"/>
    </xf>
    <xf numFmtId="0" fontId="2" fillId="35" borderId="101" xfId="0" applyFont="1" applyFill="1" applyBorder="1" applyAlignment="1" applyProtection="1">
      <alignment horizontal="justify" vertical="center" wrapText="1"/>
      <protection hidden="1"/>
    </xf>
    <xf numFmtId="0" fontId="2" fillId="35" borderId="102" xfId="0" applyFont="1" applyFill="1" applyBorder="1" applyAlignment="1" applyProtection="1">
      <alignment horizontal="justify" vertical="center" wrapText="1"/>
      <protection hidden="1"/>
    </xf>
    <xf numFmtId="1" fontId="11" fillId="35" borderId="15" xfId="0" applyNumberFormat="1" applyFont="1" applyFill="1" applyBorder="1" applyAlignment="1" applyProtection="1">
      <alignment horizontal="center" vertical="center" wrapText="1"/>
      <protection hidden="1"/>
    </xf>
    <xf numFmtId="1" fontId="11" fillId="35" borderId="17" xfId="0" applyNumberFormat="1" applyFont="1" applyFill="1" applyBorder="1" applyAlignment="1" applyProtection="1">
      <alignment horizontal="center" vertical="center" wrapText="1"/>
      <protection hidden="1"/>
    </xf>
    <xf numFmtId="1" fontId="11" fillId="15" borderId="108" xfId="0" applyNumberFormat="1" applyFont="1" applyFill="1" applyBorder="1" applyAlignment="1" applyProtection="1">
      <alignment horizontal="center" vertical="center" wrapText="1"/>
      <protection hidden="1"/>
    </xf>
    <xf numFmtId="1" fontId="11" fillId="15" borderId="102" xfId="0" applyNumberFormat="1" applyFont="1" applyFill="1" applyBorder="1" applyAlignment="1" applyProtection="1">
      <alignment horizontal="center" vertical="center" wrapText="1"/>
      <protection hidden="1"/>
    </xf>
    <xf numFmtId="0" fontId="11" fillId="15" borderId="25" xfId="0" applyFont="1" applyFill="1" applyBorder="1" applyAlignment="1" applyProtection="1">
      <alignment horizontal="left" vertical="center" wrapText="1"/>
      <protection hidden="1"/>
    </xf>
    <xf numFmtId="0" fontId="11" fillId="15" borderId="0" xfId="0" applyFont="1" applyFill="1" applyBorder="1" applyAlignment="1" applyProtection="1">
      <alignment horizontal="left" vertical="center" wrapText="1"/>
      <protection hidden="1"/>
    </xf>
    <xf numFmtId="0" fontId="11" fillId="15" borderId="32" xfId="0" applyFont="1" applyFill="1" applyBorder="1" applyAlignment="1" applyProtection="1">
      <alignment horizontal="left" vertical="center" wrapText="1"/>
      <protection hidden="1"/>
    </xf>
    <xf numFmtId="1" fontId="11" fillId="35" borderId="22" xfId="0" applyNumberFormat="1" applyFont="1" applyFill="1" applyBorder="1" applyAlignment="1" applyProtection="1">
      <alignment horizontal="center" vertical="center" wrapText="1"/>
      <protection hidden="1"/>
    </xf>
    <xf numFmtId="1" fontId="11" fillId="35" borderId="24" xfId="0" applyNumberFormat="1" applyFont="1" applyFill="1" applyBorder="1" applyAlignment="1" applyProtection="1">
      <alignment horizontal="center" vertical="center" wrapText="1"/>
      <protection hidden="1"/>
    </xf>
    <xf numFmtId="0" fontId="11" fillId="15" borderId="129" xfId="0" applyFont="1" applyFill="1" applyBorder="1" applyAlignment="1" applyProtection="1">
      <alignment horizontal="left" vertical="center" wrapText="1"/>
      <protection hidden="1"/>
    </xf>
    <xf numFmtId="0" fontId="11" fillId="15" borderId="130" xfId="0" applyFont="1" applyFill="1" applyBorder="1" applyAlignment="1" applyProtection="1">
      <alignment horizontal="left" vertical="center" wrapText="1"/>
      <protection hidden="1"/>
    </xf>
    <xf numFmtId="0" fontId="11" fillId="15" borderId="234" xfId="0" applyFont="1" applyFill="1" applyBorder="1" applyAlignment="1" applyProtection="1">
      <alignment horizontal="left" vertical="center" wrapText="1"/>
      <protection hidden="1"/>
    </xf>
    <xf numFmtId="0" fontId="11" fillId="15" borderId="102" xfId="0" applyFont="1" applyFill="1" applyBorder="1" applyAlignment="1" applyProtection="1">
      <alignment horizontal="center" vertical="center" wrapText="1"/>
      <protection hidden="1"/>
    </xf>
    <xf numFmtId="0" fontId="82" fillId="15" borderId="217" xfId="0" applyFont="1" applyFill="1" applyBorder="1" applyAlignment="1" applyProtection="1">
      <alignment horizontal="center" vertical="center"/>
      <protection hidden="1"/>
    </xf>
    <xf numFmtId="0" fontId="11" fillId="15" borderId="232" xfId="0" applyFont="1" applyFill="1" applyBorder="1" applyAlignment="1" applyProtection="1">
      <alignment horizontal="left" vertical="center" wrapText="1"/>
      <protection hidden="1"/>
    </xf>
    <xf numFmtId="0" fontId="11" fillId="15" borderId="233" xfId="0" applyFont="1" applyFill="1" applyBorder="1" applyAlignment="1" applyProtection="1">
      <alignment horizontal="left" vertical="center" wrapText="1"/>
      <protection hidden="1"/>
    </xf>
    <xf numFmtId="0" fontId="11" fillId="15" borderId="243" xfId="0" applyFont="1" applyFill="1" applyBorder="1" applyAlignment="1" applyProtection="1">
      <alignment horizontal="left" vertical="center" wrapText="1"/>
      <protection hidden="1"/>
    </xf>
    <xf numFmtId="182" fontId="11" fillId="15" borderId="101" xfId="0" applyNumberFormat="1" applyFont="1" applyFill="1" applyBorder="1" applyAlignment="1" applyProtection="1">
      <alignment horizontal="center" vertical="center" wrapText="1"/>
      <protection hidden="1"/>
    </xf>
    <xf numFmtId="182" fontId="11" fillId="15" borderId="102" xfId="0" applyNumberFormat="1" applyFont="1" applyFill="1" applyBorder="1" applyAlignment="1" applyProtection="1">
      <alignment horizontal="center" vertical="center" wrapText="1"/>
      <protection hidden="1"/>
    </xf>
    <xf numFmtId="0" fontId="2" fillId="15" borderId="221" xfId="0" applyFont="1" applyFill="1" applyBorder="1" applyAlignment="1" applyProtection="1">
      <alignment horizontal="left" vertical="center" wrapText="1"/>
      <protection hidden="1"/>
    </xf>
    <xf numFmtId="0" fontId="2" fillId="15" borderId="32" xfId="0" applyFont="1" applyFill="1" applyBorder="1" applyAlignment="1" applyProtection="1">
      <alignment horizontal="left" vertical="center" wrapText="1"/>
      <protection hidden="1"/>
    </xf>
    <xf numFmtId="0" fontId="2" fillId="15" borderId="226" xfId="0" applyFont="1" applyFill="1" applyBorder="1" applyAlignment="1" applyProtection="1">
      <alignment horizontal="left" vertical="center" wrapText="1"/>
      <protection hidden="1"/>
    </xf>
    <xf numFmtId="0" fontId="2" fillId="15" borderId="17" xfId="0" applyFont="1" applyFill="1" applyBorder="1" applyAlignment="1" applyProtection="1">
      <alignment horizontal="left" vertical="center" wrapText="1"/>
      <protection hidden="1"/>
    </xf>
    <xf numFmtId="0" fontId="2" fillId="35" borderId="11" xfId="0" applyFont="1" applyFill="1" applyBorder="1" applyAlignment="1" applyProtection="1">
      <alignment horizontal="justify" vertical="center" wrapText="1"/>
      <protection hidden="1"/>
    </xf>
    <xf numFmtId="0" fontId="2" fillId="35" borderId="17" xfId="0" applyFont="1" applyFill="1" applyBorder="1" applyAlignment="1" applyProtection="1">
      <alignment horizontal="justify" vertical="center" wrapText="1"/>
      <protection hidden="1"/>
    </xf>
    <xf numFmtId="0" fontId="2" fillId="35" borderId="32" xfId="0" applyFont="1" applyFill="1" applyBorder="1" applyAlignment="1" applyProtection="1">
      <alignment horizontal="justify" vertical="center" wrapText="1"/>
      <protection hidden="1"/>
    </xf>
    <xf numFmtId="0" fontId="11" fillId="15" borderId="108" xfId="0" applyFont="1" applyFill="1" applyBorder="1" applyAlignment="1" applyProtection="1">
      <alignment horizontal="center" vertical="center" wrapText="1"/>
      <protection hidden="1"/>
    </xf>
    <xf numFmtId="0" fontId="11" fillId="15" borderId="25" xfId="0" applyFont="1" applyFill="1" applyBorder="1" applyAlignment="1" applyProtection="1">
      <alignment vertical="center" wrapText="1"/>
      <protection locked="0"/>
    </xf>
    <xf numFmtId="0" fontId="11" fillId="15" borderId="0" xfId="0" applyFont="1" applyFill="1" applyAlignment="1" applyProtection="1">
      <alignment vertical="center" wrapText="1"/>
      <protection locked="0"/>
    </xf>
    <xf numFmtId="0" fontId="11" fillId="15" borderId="32" xfId="0" applyFont="1" applyFill="1" applyBorder="1" applyAlignment="1" applyProtection="1">
      <alignment vertical="center" wrapText="1"/>
      <protection locked="0"/>
    </xf>
    <xf numFmtId="4" fontId="11" fillId="15" borderId="101" xfId="0" applyNumberFormat="1" applyFont="1" applyFill="1" applyBorder="1" applyAlignment="1" applyProtection="1">
      <alignment horizontal="center" vertical="center" wrapText="1"/>
      <protection hidden="1"/>
    </xf>
    <xf numFmtId="0" fontId="11" fillId="15" borderId="228" xfId="0" applyFont="1" applyFill="1" applyBorder="1" applyAlignment="1" applyProtection="1">
      <alignment horizontal="justify" vertical="center" wrapText="1"/>
      <protection locked="0"/>
    </xf>
    <xf numFmtId="0" fontId="11" fillId="15" borderId="229" xfId="0" applyFont="1" applyFill="1" applyBorder="1" applyAlignment="1" applyProtection="1">
      <alignment horizontal="justify" vertical="center" wrapText="1"/>
      <protection locked="0"/>
    </xf>
    <xf numFmtId="0" fontId="11" fillId="15" borderId="235" xfId="0" applyFont="1" applyFill="1" applyBorder="1" applyAlignment="1" applyProtection="1">
      <alignment horizontal="justify" vertical="center" wrapText="1"/>
      <protection locked="0"/>
    </xf>
    <xf numFmtId="0" fontId="11" fillId="15" borderId="236" xfId="0" applyFont="1" applyFill="1" applyBorder="1" applyAlignment="1" applyProtection="1">
      <alignment horizontal="justify" vertical="center" wrapText="1"/>
      <protection locked="0"/>
    </xf>
    <xf numFmtId="0" fontId="11" fillId="15" borderId="237" xfId="0" applyFont="1" applyFill="1" applyBorder="1" applyAlignment="1" applyProtection="1">
      <alignment horizontal="justify" vertical="center" wrapText="1"/>
      <protection locked="0"/>
    </xf>
    <xf numFmtId="0" fontId="11" fillId="15" borderId="238" xfId="0" applyFont="1" applyFill="1" applyBorder="1" applyAlignment="1" applyProtection="1">
      <alignment horizontal="justify" vertical="center" wrapText="1"/>
      <protection locked="0"/>
    </xf>
    <xf numFmtId="4" fontId="11" fillId="15" borderId="231" xfId="0" applyNumberFormat="1" applyFont="1" applyFill="1" applyBorder="1" applyAlignment="1" applyProtection="1">
      <alignment horizontal="center" vertical="center" wrapText="1"/>
      <protection hidden="1"/>
    </xf>
    <xf numFmtId="0" fontId="11" fillId="15" borderId="239" xfId="0" applyFont="1" applyFill="1" applyBorder="1" applyAlignment="1" applyProtection="1">
      <alignment vertical="center" wrapText="1"/>
      <protection locked="0"/>
    </xf>
    <xf numFmtId="0" fontId="11" fillId="15" borderId="240" xfId="0" applyFont="1" applyFill="1" applyBorder="1" applyAlignment="1" applyProtection="1">
      <alignment vertical="center" wrapText="1"/>
      <protection locked="0"/>
    </xf>
    <xf numFmtId="0" fontId="11" fillId="15" borderId="226" xfId="0" applyFont="1" applyFill="1" applyBorder="1" applyAlignment="1" applyProtection="1">
      <alignment vertical="center" wrapText="1"/>
      <protection locked="0"/>
    </xf>
    <xf numFmtId="0" fontId="11" fillId="15" borderId="222" xfId="0" applyFont="1" applyFill="1" applyBorder="1" applyAlignment="1" applyProtection="1">
      <alignment horizontal="justify" vertical="center" wrapText="1"/>
      <protection locked="0"/>
    </xf>
    <xf numFmtId="0" fontId="11" fillId="15" borderId="241" xfId="0" applyFont="1" applyFill="1" applyBorder="1" applyAlignment="1" applyProtection="1">
      <alignment horizontal="justify" vertical="center" wrapText="1"/>
      <protection locked="0"/>
    </xf>
    <xf numFmtId="0" fontId="11" fillId="15" borderId="221" xfId="0" applyFont="1" applyFill="1" applyBorder="1" applyAlignment="1" applyProtection="1">
      <alignment horizontal="justify" vertical="center" wrapText="1"/>
      <protection locked="0"/>
    </xf>
    <xf numFmtId="0" fontId="11" fillId="15" borderId="222" xfId="0" applyFont="1" applyFill="1" applyBorder="1" applyAlignment="1" applyProtection="1">
      <alignment vertical="center" wrapText="1"/>
      <protection locked="0"/>
    </xf>
    <xf numFmtId="0" fontId="11" fillId="15" borderId="241" xfId="0" applyFont="1" applyFill="1" applyBorder="1" applyAlignment="1" applyProtection="1">
      <alignment vertical="center" wrapText="1"/>
      <protection locked="0"/>
    </xf>
    <xf numFmtId="0" fontId="11" fillId="15" borderId="221" xfId="0" applyFont="1" applyFill="1" applyBorder="1" applyAlignment="1" applyProtection="1">
      <alignment vertical="center" wrapText="1"/>
      <protection locked="0"/>
    </xf>
    <xf numFmtId="0" fontId="2" fillId="35" borderId="223" xfId="0" applyFont="1" applyFill="1" applyBorder="1" applyAlignment="1" applyProtection="1">
      <alignment horizontal="center" vertical="center" wrapText="1"/>
      <protection hidden="1"/>
    </xf>
    <xf numFmtId="0" fontId="2" fillId="35" borderId="225" xfId="0" applyFont="1" applyFill="1" applyBorder="1" applyAlignment="1" applyProtection="1">
      <alignment horizontal="center" vertical="center" wrapText="1"/>
      <protection hidden="1"/>
    </xf>
    <xf numFmtId="0" fontId="2" fillId="35" borderId="224" xfId="0" applyFont="1" applyFill="1" applyBorder="1" applyAlignment="1" applyProtection="1">
      <alignment horizontal="center" vertical="center" wrapText="1"/>
      <protection hidden="1"/>
    </xf>
    <xf numFmtId="0" fontId="2" fillId="15" borderId="223" xfId="0" applyFont="1" applyFill="1" applyBorder="1" applyAlignment="1" applyProtection="1">
      <alignment horizontal="center" vertical="center" wrapText="1"/>
      <protection hidden="1"/>
    </xf>
    <xf numFmtId="0" fontId="2" fillId="15" borderId="225" xfId="0" applyFont="1" applyFill="1" applyBorder="1" applyAlignment="1" applyProtection="1">
      <alignment horizontal="center" vertical="center" wrapText="1"/>
      <protection hidden="1"/>
    </xf>
    <xf numFmtId="0" fontId="2" fillId="15" borderId="224" xfId="0" applyFont="1" applyFill="1" applyBorder="1" applyAlignment="1" applyProtection="1">
      <alignment horizontal="center" vertical="center" wrapText="1"/>
      <protection hidden="1"/>
    </xf>
    <xf numFmtId="0" fontId="2" fillId="15" borderId="223" xfId="0" applyFont="1" applyFill="1" applyBorder="1" applyAlignment="1" applyProtection="1">
      <alignment horizontal="right" vertical="center" wrapText="1"/>
      <protection hidden="1"/>
    </xf>
    <xf numFmtId="0" fontId="2" fillId="15" borderId="225" xfId="0" applyFont="1" applyFill="1" applyBorder="1" applyAlignment="1" applyProtection="1">
      <alignment horizontal="right" vertical="center" wrapText="1"/>
      <protection hidden="1"/>
    </xf>
    <xf numFmtId="0" fontId="2" fillId="15" borderId="224" xfId="0" applyFont="1" applyFill="1" applyBorder="1" applyAlignment="1" applyProtection="1">
      <alignment horizontal="right" vertical="center" wrapText="1"/>
      <protection hidden="1"/>
    </xf>
    <xf numFmtId="0" fontId="11" fillId="15" borderId="129" xfId="0" applyFont="1" applyFill="1" applyBorder="1" applyAlignment="1" applyProtection="1">
      <alignment vertical="center" wrapText="1"/>
      <protection locked="0"/>
    </xf>
    <xf numFmtId="0" fontId="11" fillId="15" borderId="130" xfId="0" applyFont="1" applyFill="1" applyBorder="1" applyAlignment="1" applyProtection="1">
      <alignment vertical="center" wrapText="1"/>
      <protection locked="0"/>
    </xf>
    <xf numFmtId="0" fontId="11" fillId="15" borderId="234" xfId="0" applyFont="1" applyFill="1" applyBorder="1" applyAlignment="1" applyProtection="1">
      <alignment vertical="center" wrapText="1"/>
      <protection locked="0"/>
    </xf>
    <xf numFmtId="0" fontId="11" fillId="35" borderId="9" xfId="0" applyFont="1" applyFill="1" applyBorder="1" applyAlignment="1" applyProtection="1">
      <alignment horizontal="left" vertical="center" wrapText="1"/>
      <protection hidden="1"/>
    </xf>
    <xf numFmtId="0" fontId="11" fillId="35" borderId="11" xfId="0" applyFont="1" applyFill="1" applyBorder="1" applyAlignment="1" applyProtection="1">
      <alignment horizontal="left" vertical="center" wrapText="1"/>
      <protection hidden="1"/>
    </xf>
    <xf numFmtId="0" fontId="11" fillId="35" borderId="25" xfId="0" applyFont="1" applyFill="1" applyBorder="1" applyAlignment="1" applyProtection="1">
      <alignment horizontal="left" vertical="center" wrapText="1"/>
      <protection hidden="1"/>
    </xf>
    <xf numFmtId="0" fontId="11" fillId="35" borderId="32" xfId="0" applyFont="1" applyFill="1" applyBorder="1" applyAlignment="1" applyProtection="1">
      <alignment horizontal="left" vertical="center" wrapText="1"/>
      <protection hidden="1"/>
    </xf>
    <xf numFmtId="0" fontId="11" fillId="35" borderId="239" xfId="0" applyFont="1" applyFill="1" applyBorder="1" applyAlignment="1" applyProtection="1">
      <alignment horizontal="left" vertical="center" wrapText="1"/>
      <protection hidden="1"/>
    </xf>
    <xf numFmtId="0" fontId="11" fillId="35" borderId="226" xfId="0" applyFont="1" applyFill="1" applyBorder="1" applyAlignment="1" applyProtection="1">
      <alignment horizontal="left" vertical="center" wrapText="1"/>
      <protection hidden="1"/>
    </xf>
    <xf numFmtId="0" fontId="11" fillId="15" borderId="232" xfId="0" applyFont="1" applyFill="1" applyBorder="1" applyAlignment="1" applyProtection="1">
      <alignment horizontal="left" vertical="center" wrapText="1"/>
      <protection locked="0"/>
    </xf>
    <xf numFmtId="0" fontId="11" fillId="15" borderId="233" xfId="0" applyFont="1" applyFill="1" applyBorder="1" applyAlignment="1" applyProtection="1">
      <alignment horizontal="left" vertical="center" wrapText="1"/>
      <protection locked="0"/>
    </xf>
    <xf numFmtId="0" fontId="11" fillId="15" borderId="243" xfId="0" applyFont="1" applyFill="1" applyBorder="1" applyAlignment="1" applyProtection="1">
      <alignment horizontal="left" vertical="center" wrapText="1"/>
      <protection locked="0"/>
    </xf>
    <xf numFmtId="4" fontId="11" fillId="15" borderId="108" xfId="0" applyNumberFormat="1" applyFont="1" applyFill="1" applyBorder="1" applyAlignment="1" applyProtection="1">
      <alignment horizontal="center" vertical="center" wrapText="1"/>
      <protection hidden="1"/>
    </xf>
    <xf numFmtId="4" fontId="11" fillId="15" borderId="227" xfId="0" applyNumberFormat="1" applyFont="1" applyFill="1" applyBorder="1" applyAlignment="1" applyProtection="1">
      <alignment horizontal="center" vertical="center" wrapText="1"/>
      <protection hidden="1"/>
    </xf>
    <xf numFmtId="0" fontId="11" fillId="15" borderId="25" xfId="0" applyFont="1" applyFill="1" applyBorder="1" applyAlignment="1" applyProtection="1">
      <alignment horizontal="left" vertical="center" wrapText="1"/>
      <protection locked="0"/>
    </xf>
    <xf numFmtId="0" fontId="11" fillId="15" borderId="0" xfId="0" applyFont="1" applyFill="1" applyAlignment="1" applyProtection="1">
      <alignment horizontal="left" vertical="center" wrapText="1"/>
      <protection locked="0"/>
    </xf>
    <xf numFmtId="0" fontId="11" fillId="15" borderId="32" xfId="0" applyFont="1" applyFill="1" applyBorder="1" applyAlignment="1" applyProtection="1">
      <alignment horizontal="left" vertical="center" wrapText="1"/>
      <protection locked="0"/>
    </xf>
    <xf numFmtId="0" fontId="11" fillId="15" borderId="126" xfId="0" applyFont="1" applyFill="1" applyBorder="1" applyAlignment="1" applyProtection="1">
      <alignment horizontal="left" vertical="center" wrapText="1"/>
      <protection locked="0"/>
    </xf>
    <xf numFmtId="0" fontId="11" fillId="15" borderId="36" xfId="0" applyFont="1" applyFill="1" applyBorder="1" applyAlignment="1" applyProtection="1">
      <alignment horizontal="left" vertical="center" wrapText="1"/>
      <protection locked="0"/>
    </xf>
    <xf numFmtId="0" fontId="11" fillId="15" borderId="128" xfId="0" applyFont="1" applyFill="1" applyBorder="1" applyAlignment="1" applyProtection="1">
      <alignment horizontal="left" vertical="center" wrapText="1"/>
      <protection locked="0"/>
    </xf>
    <xf numFmtId="0" fontId="11" fillId="15" borderId="239" xfId="0" applyFont="1" applyFill="1" applyBorder="1" applyAlignment="1" applyProtection="1">
      <alignment horizontal="left" vertical="center" wrapText="1"/>
      <protection locked="0"/>
    </xf>
    <xf numFmtId="0" fontId="11" fillId="15" borderId="240" xfId="0" applyFont="1" applyFill="1" applyBorder="1" applyAlignment="1" applyProtection="1">
      <alignment horizontal="left" vertical="center" wrapText="1"/>
      <protection locked="0"/>
    </xf>
    <xf numFmtId="0" fontId="11" fillId="15" borderId="226" xfId="0" applyFont="1" applyFill="1" applyBorder="1" applyAlignment="1" applyProtection="1">
      <alignment horizontal="left" vertical="center" wrapText="1"/>
      <protection locked="0"/>
    </xf>
    <xf numFmtId="0" fontId="2" fillId="35" borderId="231" xfId="0" applyFont="1" applyFill="1" applyBorder="1" applyAlignment="1" applyProtection="1">
      <alignment horizontal="left" vertical="center" wrapText="1"/>
      <protection hidden="1"/>
    </xf>
    <xf numFmtId="0" fontId="2" fillId="35" borderId="108" xfId="0" applyFont="1" applyFill="1" applyBorder="1" applyAlignment="1" applyProtection="1">
      <alignment horizontal="left" vertical="center" wrapText="1"/>
      <protection hidden="1"/>
    </xf>
    <xf numFmtId="0" fontId="2" fillId="35" borderId="227" xfId="0" applyFont="1" applyFill="1" applyBorder="1" applyAlignment="1" applyProtection="1">
      <alignment horizontal="left" vertical="center" wrapText="1"/>
      <protection hidden="1"/>
    </xf>
    <xf numFmtId="0" fontId="11" fillId="35" borderId="222" xfId="0" applyFont="1" applyFill="1" applyBorder="1" applyAlignment="1" applyProtection="1">
      <alignment vertical="center" wrapText="1"/>
      <protection hidden="1"/>
    </xf>
    <xf numFmtId="0" fontId="11" fillId="35" borderId="221" xfId="0" applyFont="1" applyFill="1" applyBorder="1" applyAlignment="1" applyProtection="1">
      <alignment vertical="center" wrapText="1"/>
      <protection hidden="1"/>
    </xf>
    <xf numFmtId="0" fontId="11" fillId="35" borderId="25" xfId="0" applyFont="1" applyFill="1" applyBorder="1" applyAlignment="1" applyProtection="1">
      <alignment vertical="center" wrapText="1"/>
      <protection hidden="1"/>
    </xf>
    <xf numFmtId="0" fontId="11" fillId="35" borderId="32" xfId="0" applyFont="1" applyFill="1" applyBorder="1" applyAlignment="1" applyProtection="1">
      <alignment vertical="center" wrapText="1"/>
      <protection hidden="1"/>
    </xf>
    <xf numFmtId="0" fontId="11" fillId="35" borderId="222" xfId="0" applyFont="1" applyFill="1" applyBorder="1" applyAlignment="1" applyProtection="1">
      <alignment horizontal="left" vertical="center" wrapText="1"/>
      <protection hidden="1"/>
    </xf>
    <xf numFmtId="0" fontId="11" fillId="35" borderId="221" xfId="0" applyFont="1" applyFill="1" applyBorder="1" applyAlignment="1" applyProtection="1">
      <alignment horizontal="left" vertical="center" wrapText="1"/>
      <protection hidden="1"/>
    </xf>
    <xf numFmtId="0" fontId="11" fillId="35" borderId="15" xfId="0" applyFont="1" applyFill="1" applyBorder="1" applyAlignment="1" applyProtection="1">
      <alignment horizontal="left" vertical="center" wrapText="1"/>
      <protection hidden="1"/>
    </xf>
    <xf numFmtId="0" fontId="11" fillId="35" borderId="17" xfId="0" applyFont="1" applyFill="1" applyBorder="1" applyAlignment="1" applyProtection="1">
      <alignment horizontal="left" vertical="center" wrapText="1"/>
      <protection hidden="1"/>
    </xf>
    <xf numFmtId="0" fontId="11" fillId="15" borderId="231" xfId="0" applyFont="1" applyFill="1" applyBorder="1" applyAlignment="1" applyProtection="1">
      <alignment horizontal="center" vertical="center" wrapText="1"/>
      <protection hidden="1"/>
    </xf>
    <xf numFmtId="4" fontId="11" fillId="15" borderId="102" xfId="0" applyNumberFormat="1" applyFont="1" applyFill="1" applyBorder="1" applyAlignment="1" applyProtection="1">
      <alignment horizontal="center" vertical="center" wrapText="1"/>
      <protection hidden="1"/>
    </xf>
    <xf numFmtId="0" fontId="11" fillId="15" borderId="126" xfId="0" applyFont="1" applyFill="1" applyBorder="1" applyAlignment="1" applyProtection="1">
      <alignment vertical="center" wrapText="1"/>
      <protection locked="0"/>
    </xf>
    <xf numFmtId="0" fontId="11" fillId="15" borderId="36" xfId="0" applyFont="1" applyFill="1" applyBorder="1" applyAlignment="1" applyProtection="1">
      <alignment vertical="center" wrapText="1"/>
      <protection locked="0"/>
    </xf>
    <xf numFmtId="0" fontId="11" fillId="15" borderId="128" xfId="0" applyFont="1" applyFill="1" applyBorder="1" applyAlignment="1" applyProtection="1">
      <alignment vertical="center" wrapText="1"/>
      <protection locked="0"/>
    </xf>
    <xf numFmtId="0" fontId="11" fillId="15" borderId="230" xfId="0" applyFont="1" applyFill="1" applyBorder="1" applyAlignment="1" applyProtection="1">
      <alignment vertical="center" wrapText="1"/>
      <protection locked="0"/>
    </xf>
    <xf numFmtId="0" fontId="11" fillId="15" borderId="44" xfId="0" applyFont="1" applyFill="1" applyBorder="1" applyAlignment="1" applyProtection="1">
      <alignment vertical="center" wrapText="1"/>
      <protection locked="0"/>
    </xf>
    <xf numFmtId="0" fontId="11" fillId="15" borderId="242" xfId="0" applyFont="1" applyFill="1" applyBorder="1" applyAlignment="1" applyProtection="1">
      <alignment vertical="center" wrapText="1"/>
      <protection locked="0"/>
    </xf>
  </cellXfs>
  <cellStyles count="9">
    <cellStyle name="Cancel" xfId="5"/>
    <cellStyle name="Hipervínculo" xfId="8" builtinId="8"/>
    <cellStyle name="Millares 2" xfId="3"/>
    <cellStyle name="Moneda [0] 2" xfId="6"/>
    <cellStyle name="Normal" xfId="0" builtinId="0"/>
    <cellStyle name="Normal 2" xfId="1"/>
    <cellStyle name="Normal 3" xfId="2"/>
    <cellStyle name="Porcentaje" xfId="7" builtinId="5"/>
    <cellStyle name="Porcentaje 2" xfId="4"/>
  </cellStyles>
  <dxfs count="55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ont>
        <color rgb="FFCCCC00"/>
      </font>
      <fill>
        <patternFill>
          <bgColor rgb="FFCCCC00"/>
        </patternFill>
      </fill>
    </dxf>
    <dxf>
      <font>
        <color theme="8" tint="0.39994506668294322"/>
      </font>
      <fill>
        <patternFill>
          <bgColor theme="8" tint="0.39994506668294322"/>
        </patternFill>
      </fill>
    </dxf>
    <dxf>
      <font>
        <color theme="3" tint="0.59996337778862885"/>
      </font>
      <fill>
        <patternFill>
          <bgColor theme="3" tint="0.59996337778862885"/>
        </patternFill>
      </fill>
    </dxf>
    <dxf>
      <font>
        <color theme="7" tint="0.39994506668294322"/>
      </font>
      <fill>
        <patternFill>
          <bgColor theme="7" tint="0.39994506668294322"/>
        </patternFill>
      </fill>
    </dxf>
    <dxf>
      <font>
        <color theme="5" tint="0.59996337778862885"/>
      </font>
      <fill>
        <patternFill>
          <bgColor theme="5" tint="0.59996337778862885"/>
        </patternFill>
      </fill>
    </dxf>
    <dxf>
      <font>
        <color theme="7" tint="0.59996337778862885"/>
      </font>
      <fill>
        <patternFill>
          <bgColor theme="7" tint="0.59996337778862885"/>
        </patternFill>
      </fill>
    </dxf>
    <dxf>
      <font>
        <color theme="9" tint="0.59996337778862885"/>
      </font>
      <fill>
        <patternFill>
          <bgColor theme="9" tint="0.59996337778862885"/>
        </patternFill>
      </fill>
    </dxf>
    <dxf>
      <font>
        <color rgb="FFFFFF66"/>
      </font>
      <fill>
        <patternFill>
          <bgColor rgb="FFFFFF66"/>
        </patternFill>
      </fill>
    </dxf>
    <dxf>
      <font>
        <color rgb="FF63C384"/>
      </font>
      <fill>
        <patternFill>
          <bgColor rgb="FF63C384"/>
        </patternFill>
      </fill>
    </dxf>
    <dxf>
      <font>
        <color rgb="FF00CC66"/>
      </font>
      <fill>
        <patternFill>
          <bgColor rgb="FF00CC66"/>
        </patternFill>
      </fill>
    </dxf>
    <dxf>
      <font>
        <color theme="4" tint="0.59996337778862885"/>
      </font>
      <fill>
        <patternFill>
          <bgColor theme="4" tint="0.59996337778862885"/>
        </patternFill>
      </fill>
    </dxf>
    <dxf>
      <font>
        <color theme="9" tint="0.59996337778862885"/>
      </font>
      <fill>
        <patternFill>
          <bgColor theme="9" tint="0.59996337778862885"/>
        </patternFill>
      </fill>
    </dxf>
    <dxf>
      <font>
        <color rgb="FFCCCC00"/>
      </font>
      <fill>
        <patternFill>
          <bgColor rgb="FFCCCC00"/>
        </patternFill>
      </fill>
    </dxf>
    <dxf>
      <font>
        <color theme="8" tint="0.39994506668294322"/>
      </font>
      <fill>
        <patternFill>
          <bgColor theme="8" tint="0.39994506668294322"/>
        </patternFill>
      </fill>
    </dxf>
    <dxf>
      <font>
        <color theme="3" tint="0.59996337778862885"/>
      </font>
      <fill>
        <patternFill>
          <bgColor theme="3" tint="0.59996337778862885"/>
        </patternFill>
      </fill>
    </dxf>
    <dxf>
      <font>
        <color theme="7" tint="0.39994506668294322"/>
      </font>
      <fill>
        <patternFill>
          <bgColor theme="7" tint="0.39994506668294322"/>
        </patternFill>
      </fill>
    </dxf>
    <dxf>
      <font>
        <color theme="5" tint="0.59996337778862885"/>
      </font>
      <fill>
        <patternFill>
          <bgColor theme="5" tint="0.59996337778862885"/>
        </patternFill>
      </fill>
    </dxf>
    <dxf>
      <font>
        <color theme="7" tint="0.59996337778862885"/>
      </font>
      <fill>
        <patternFill>
          <bgColor theme="7" tint="0.59996337778862885"/>
        </patternFill>
      </fill>
    </dxf>
    <dxf>
      <font>
        <color theme="9" tint="0.59996337778862885"/>
      </font>
      <fill>
        <patternFill>
          <bgColor theme="9" tint="0.59996337778862885"/>
        </patternFill>
      </fill>
    </dxf>
    <dxf>
      <font>
        <color rgb="FFFFFF66"/>
      </font>
      <fill>
        <patternFill>
          <bgColor rgb="FFFFFF66"/>
        </patternFill>
      </fill>
    </dxf>
    <dxf>
      <font>
        <color rgb="FF63C384"/>
      </font>
      <fill>
        <patternFill>
          <bgColor rgb="FF63C384"/>
        </patternFill>
      </fill>
    </dxf>
    <dxf>
      <font>
        <color rgb="FF00CC66"/>
      </font>
      <fill>
        <patternFill>
          <bgColor rgb="FF00CC66"/>
        </patternFill>
      </fill>
    </dxf>
    <dxf>
      <font>
        <color theme="4" tint="0.59996337778862885"/>
      </font>
      <fill>
        <patternFill>
          <bgColor theme="4" tint="0.59996337778862885"/>
        </patternFill>
      </fill>
    </dxf>
    <dxf>
      <font>
        <color theme="9" tint="0.59996337778862885"/>
      </font>
      <fill>
        <patternFill>
          <bgColor theme="9" tint="0.59996337778862885"/>
        </patternFill>
      </fill>
    </dxf>
    <dxf>
      <font>
        <color theme="0"/>
      </font>
      <fill>
        <patternFill>
          <bgColor theme="0"/>
        </patternFill>
      </fill>
      <border>
        <left style="thin">
          <color theme="0"/>
        </left>
        <right style="thin">
          <color theme="0"/>
        </right>
        <top style="thin">
          <color theme="0"/>
        </top>
        <bottom style="thin">
          <color theme="0"/>
        </bottom>
        <vertical/>
        <horizontal/>
      </border>
    </dxf>
    <dxf>
      <font>
        <color theme="0"/>
      </font>
      <fill>
        <patternFill>
          <bgColor theme="0"/>
        </patternFill>
      </fill>
      <border>
        <right style="thin">
          <color theme="0"/>
        </right>
        <top style="thin">
          <color theme="0"/>
        </top>
        <bottom style="thin">
          <color theme="0"/>
        </bottom>
        <vertical/>
        <horizontal/>
      </border>
    </dxf>
    <dxf>
      <font>
        <color rgb="FF9C0006"/>
      </font>
      <fill>
        <patternFill>
          <bgColor rgb="FFFFC7CE"/>
        </patternFill>
      </fill>
    </dxf>
    <dxf>
      <font>
        <color theme="0"/>
      </font>
      <fill>
        <patternFill>
          <bgColor theme="0"/>
        </patternFill>
      </fill>
      <border>
        <left style="thin">
          <color theme="0"/>
        </left>
        <right style="thin">
          <color theme="0"/>
        </right>
        <top style="thin">
          <color theme="0"/>
        </top>
        <bottom style="thin">
          <color theme="0"/>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i val="0"/>
        <color theme="0"/>
      </font>
      <fill>
        <patternFill>
          <bgColor rgb="FFFF0000"/>
        </patternFill>
      </fill>
    </dxf>
    <dxf>
      <font>
        <b/>
        <i val="0"/>
        <color theme="1"/>
      </font>
      <fill>
        <patternFill>
          <bgColor theme="8" tint="0.59996337778862885"/>
        </patternFill>
      </fill>
    </dxf>
    <dxf>
      <fill>
        <patternFill>
          <bgColor rgb="FFFF0000"/>
        </patternFill>
      </fill>
    </dxf>
    <dxf>
      <fill>
        <patternFill>
          <bgColor rgb="FFFFC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50"/>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2" tint="-9.9948118533890809E-2"/>
      </font>
      <fill>
        <patternFill>
          <bgColor theme="2" tint="-9.9948118533890809E-2"/>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FF0000"/>
        </patternFill>
      </fill>
    </dxf>
  </dxfs>
  <tableStyles count="0" defaultTableStyle="TableStyleMedium2" defaultPivotStyle="PivotStyleLight16"/>
  <colors>
    <mruColors>
      <color rgb="FFDBFAFD"/>
      <color rgb="FFCCFF99"/>
      <color rgb="FFFFF9E5"/>
      <color rgb="FFFB9E97"/>
      <color rgb="FFCBBA99"/>
      <color rgb="FFD9FFEC"/>
      <color rgb="FFFCE7C4"/>
      <color rgb="FFFDFDDB"/>
      <color rgb="FF3333CC"/>
      <color rgb="FF3030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50-EC42-11CE-9E0D-00AA006002F3}"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activeX/activeX56.xml><?xml version="1.0" encoding="utf-8"?>
<ax:ocx xmlns:ax="http://schemas.microsoft.com/office/2006/activeX" xmlns:r="http://schemas.openxmlformats.org/officeDocument/2006/relationships" ax:classid="{8BD21D50-EC42-11CE-9E0D-00AA006002F3}" ax:persistence="persistStreamInit" r:id="rId1"/>
</file>

<file path=xl/activeX/activeX57.xml><?xml version="1.0" encoding="utf-8"?>
<ax:ocx xmlns:ax="http://schemas.microsoft.com/office/2006/activeX" xmlns:r="http://schemas.openxmlformats.org/officeDocument/2006/relationships" ax:classid="{8BD21D50-EC42-11CE-9E0D-00AA006002F3}" ax:persistence="persistStreamInit" r:id="rId1"/>
</file>

<file path=xl/activeX/activeX58.xml><?xml version="1.0" encoding="utf-8"?>
<ax:ocx xmlns:ax="http://schemas.microsoft.com/office/2006/activeX" xmlns:r="http://schemas.openxmlformats.org/officeDocument/2006/relationships" ax:classid="{8BD21D50-EC42-11CE-9E0D-00AA006002F3}"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GESTIÓN!$V$21</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4997-4749-8F26-65BDAAD94B6C}"/>
            </c:ext>
          </c:extLst>
        </c:ser>
        <c:ser>
          <c:idx val="1"/>
          <c:order val="1"/>
          <c:spPr>
            <a:solidFill>
              <a:schemeClr val="accent5">
                <a:lumMod val="75000"/>
              </a:schemeClr>
            </a:solidFill>
          </c:spPr>
          <c:invertIfNegative val="0"/>
          <c:val>
            <c:numRef>
              <c:f>GESTIÓN!$W$21</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4997-4749-8F26-65BDAAD94B6C}"/>
            </c:ext>
          </c:extLst>
        </c:ser>
        <c:dLbls>
          <c:showLegendKey val="0"/>
          <c:showVal val="0"/>
          <c:showCatName val="0"/>
          <c:showSerName val="0"/>
          <c:showPercent val="0"/>
          <c:showBubbleSize val="0"/>
        </c:dLbls>
        <c:gapWidth val="150"/>
        <c:overlap val="100"/>
        <c:axId val="223630128"/>
        <c:axId val="223631248"/>
      </c:barChart>
      <c:catAx>
        <c:axId val="223630128"/>
        <c:scaling>
          <c:orientation val="minMax"/>
        </c:scaling>
        <c:delete val="1"/>
        <c:axPos val="l"/>
        <c:majorTickMark val="out"/>
        <c:minorTickMark val="none"/>
        <c:tickLblPos val="nextTo"/>
        <c:crossAx val="223631248"/>
        <c:crosses val="autoZero"/>
        <c:auto val="1"/>
        <c:lblAlgn val="ctr"/>
        <c:lblOffset val="100"/>
        <c:noMultiLvlLbl val="0"/>
      </c:catAx>
      <c:valAx>
        <c:axId val="223631248"/>
        <c:scaling>
          <c:orientation val="minMax"/>
          <c:max val="1"/>
        </c:scaling>
        <c:delete val="1"/>
        <c:axPos val="b"/>
        <c:numFmt formatCode="0.000" sourceLinked="1"/>
        <c:majorTickMark val="out"/>
        <c:minorTickMark val="none"/>
        <c:tickLblPos val="nextTo"/>
        <c:crossAx val="223630128"/>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GESTIÓN!$V$22</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053C-41F9-A8D9-CC9FEB7581D5}"/>
            </c:ext>
          </c:extLst>
        </c:ser>
        <c:ser>
          <c:idx val="1"/>
          <c:order val="1"/>
          <c:spPr>
            <a:solidFill>
              <a:schemeClr val="accent5">
                <a:lumMod val="75000"/>
              </a:schemeClr>
            </a:solidFill>
          </c:spPr>
          <c:invertIfNegative val="0"/>
          <c:val>
            <c:numRef>
              <c:f>GESTIÓN!$W$22</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053C-41F9-A8D9-CC9FEB7581D5}"/>
            </c:ext>
          </c:extLst>
        </c:ser>
        <c:dLbls>
          <c:showLegendKey val="0"/>
          <c:showVal val="0"/>
          <c:showCatName val="0"/>
          <c:showSerName val="0"/>
          <c:showPercent val="0"/>
          <c:showBubbleSize val="0"/>
        </c:dLbls>
        <c:gapWidth val="150"/>
        <c:overlap val="100"/>
        <c:serLines/>
        <c:axId val="223634048"/>
        <c:axId val="66685536"/>
      </c:barChart>
      <c:catAx>
        <c:axId val="223634048"/>
        <c:scaling>
          <c:orientation val="minMax"/>
        </c:scaling>
        <c:delete val="1"/>
        <c:axPos val="l"/>
        <c:majorTickMark val="out"/>
        <c:minorTickMark val="none"/>
        <c:tickLblPos val="nextTo"/>
        <c:crossAx val="66685536"/>
        <c:crosses val="autoZero"/>
        <c:auto val="1"/>
        <c:lblAlgn val="ctr"/>
        <c:lblOffset val="100"/>
        <c:noMultiLvlLbl val="0"/>
      </c:catAx>
      <c:valAx>
        <c:axId val="66685536"/>
        <c:scaling>
          <c:orientation val="minMax"/>
          <c:max val="1"/>
        </c:scaling>
        <c:delete val="1"/>
        <c:axPos val="b"/>
        <c:numFmt formatCode="0.000" sourceLinked="1"/>
        <c:majorTickMark val="out"/>
        <c:minorTickMark val="none"/>
        <c:tickLblPos val="nextTo"/>
        <c:crossAx val="223634048"/>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GESTIÓN!$V$23</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0A87-47E7-BD10-5F5537CCFA41}"/>
            </c:ext>
          </c:extLst>
        </c:ser>
        <c:ser>
          <c:idx val="1"/>
          <c:order val="1"/>
          <c:spPr>
            <a:solidFill>
              <a:schemeClr val="accent5">
                <a:lumMod val="75000"/>
              </a:schemeClr>
            </a:solidFill>
          </c:spPr>
          <c:invertIfNegative val="0"/>
          <c:val>
            <c:numRef>
              <c:f>GESTIÓN!$W$23</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0A87-47E7-BD10-5F5537CCFA41}"/>
            </c:ext>
          </c:extLst>
        </c:ser>
        <c:dLbls>
          <c:showLegendKey val="0"/>
          <c:showVal val="0"/>
          <c:showCatName val="0"/>
          <c:showSerName val="0"/>
          <c:showPercent val="0"/>
          <c:showBubbleSize val="0"/>
        </c:dLbls>
        <c:gapWidth val="150"/>
        <c:overlap val="100"/>
        <c:axId val="66688336"/>
        <c:axId val="66688896"/>
      </c:barChart>
      <c:catAx>
        <c:axId val="66688336"/>
        <c:scaling>
          <c:orientation val="minMax"/>
        </c:scaling>
        <c:delete val="1"/>
        <c:axPos val="l"/>
        <c:majorTickMark val="out"/>
        <c:minorTickMark val="none"/>
        <c:tickLblPos val="nextTo"/>
        <c:crossAx val="66688896"/>
        <c:crosses val="autoZero"/>
        <c:auto val="1"/>
        <c:lblAlgn val="ctr"/>
        <c:lblOffset val="100"/>
        <c:noMultiLvlLbl val="0"/>
      </c:catAx>
      <c:valAx>
        <c:axId val="66688896"/>
        <c:scaling>
          <c:orientation val="minMax"/>
          <c:max val="1"/>
        </c:scaling>
        <c:delete val="1"/>
        <c:axPos val="b"/>
        <c:numFmt formatCode="0.000" sourceLinked="1"/>
        <c:majorTickMark val="out"/>
        <c:minorTickMark val="none"/>
        <c:tickLblPos val="nextTo"/>
        <c:crossAx val="66688336"/>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GESTIÓN!$V$24</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16A7-4CA7-8EC3-CA70C8F4E7F8}"/>
            </c:ext>
          </c:extLst>
        </c:ser>
        <c:ser>
          <c:idx val="1"/>
          <c:order val="1"/>
          <c:spPr>
            <a:solidFill>
              <a:schemeClr val="accent5">
                <a:lumMod val="75000"/>
              </a:schemeClr>
            </a:solidFill>
          </c:spPr>
          <c:invertIfNegative val="0"/>
          <c:val>
            <c:numRef>
              <c:f>GESTIÓN!$W$24</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16A7-4CA7-8EC3-CA70C8F4E7F8}"/>
            </c:ext>
          </c:extLst>
        </c:ser>
        <c:dLbls>
          <c:showLegendKey val="0"/>
          <c:showVal val="0"/>
          <c:showCatName val="0"/>
          <c:showSerName val="0"/>
          <c:showPercent val="0"/>
          <c:showBubbleSize val="0"/>
        </c:dLbls>
        <c:gapWidth val="150"/>
        <c:overlap val="100"/>
        <c:axId val="66692256"/>
        <c:axId val="66692816"/>
      </c:barChart>
      <c:catAx>
        <c:axId val="66692256"/>
        <c:scaling>
          <c:orientation val="minMax"/>
        </c:scaling>
        <c:delete val="1"/>
        <c:axPos val="l"/>
        <c:majorTickMark val="out"/>
        <c:minorTickMark val="none"/>
        <c:tickLblPos val="nextTo"/>
        <c:crossAx val="66692816"/>
        <c:crosses val="autoZero"/>
        <c:auto val="1"/>
        <c:lblAlgn val="ctr"/>
        <c:lblOffset val="100"/>
        <c:noMultiLvlLbl val="0"/>
      </c:catAx>
      <c:valAx>
        <c:axId val="66692816"/>
        <c:scaling>
          <c:orientation val="minMax"/>
          <c:max val="1"/>
        </c:scaling>
        <c:delete val="1"/>
        <c:axPos val="b"/>
        <c:numFmt formatCode="0.000" sourceLinked="1"/>
        <c:majorTickMark val="out"/>
        <c:minorTickMark val="none"/>
        <c:tickLblPos val="nextTo"/>
        <c:crossAx val="66692256"/>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GESTIÓN!$V$26</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0C94-42BC-BCAE-2FF3211817D4}"/>
            </c:ext>
          </c:extLst>
        </c:ser>
        <c:ser>
          <c:idx val="1"/>
          <c:order val="1"/>
          <c:spPr>
            <a:solidFill>
              <a:schemeClr val="accent5">
                <a:lumMod val="75000"/>
              </a:schemeClr>
            </a:solidFill>
          </c:spPr>
          <c:invertIfNegative val="0"/>
          <c:val>
            <c:numRef>
              <c:f>GESTIÓN!$W$26</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0C94-42BC-BCAE-2FF3211817D4}"/>
            </c:ext>
          </c:extLst>
        </c:ser>
        <c:dLbls>
          <c:showLegendKey val="0"/>
          <c:showVal val="0"/>
          <c:showCatName val="0"/>
          <c:showSerName val="0"/>
          <c:showPercent val="0"/>
          <c:showBubbleSize val="0"/>
        </c:dLbls>
        <c:gapWidth val="150"/>
        <c:overlap val="100"/>
        <c:axId val="227272960"/>
        <c:axId val="227273520"/>
      </c:barChart>
      <c:catAx>
        <c:axId val="227272960"/>
        <c:scaling>
          <c:orientation val="minMax"/>
        </c:scaling>
        <c:delete val="1"/>
        <c:axPos val="l"/>
        <c:majorTickMark val="out"/>
        <c:minorTickMark val="none"/>
        <c:tickLblPos val="nextTo"/>
        <c:crossAx val="227273520"/>
        <c:crosses val="autoZero"/>
        <c:auto val="1"/>
        <c:lblAlgn val="ctr"/>
        <c:lblOffset val="100"/>
        <c:noMultiLvlLbl val="0"/>
      </c:catAx>
      <c:valAx>
        <c:axId val="227273520"/>
        <c:scaling>
          <c:orientation val="minMax"/>
          <c:max val="1"/>
        </c:scaling>
        <c:delete val="1"/>
        <c:axPos val="b"/>
        <c:numFmt formatCode="0.000" sourceLinked="1"/>
        <c:majorTickMark val="out"/>
        <c:minorTickMark val="none"/>
        <c:tickLblPos val="nextTo"/>
        <c:crossAx val="227272960"/>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GESTIÓN!$V$25</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8E1D-4DA9-91F4-A4B168419ABF}"/>
            </c:ext>
          </c:extLst>
        </c:ser>
        <c:ser>
          <c:idx val="1"/>
          <c:order val="1"/>
          <c:spPr>
            <a:solidFill>
              <a:schemeClr val="accent5">
                <a:lumMod val="75000"/>
              </a:schemeClr>
            </a:solidFill>
          </c:spPr>
          <c:invertIfNegative val="0"/>
          <c:val>
            <c:numRef>
              <c:f>GESTIÓN!$W$25</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8E1D-4DA9-91F4-A4B168419ABF}"/>
            </c:ext>
          </c:extLst>
        </c:ser>
        <c:dLbls>
          <c:showLegendKey val="0"/>
          <c:showVal val="0"/>
          <c:showCatName val="0"/>
          <c:showSerName val="0"/>
          <c:showPercent val="0"/>
          <c:showBubbleSize val="0"/>
        </c:dLbls>
        <c:gapWidth val="150"/>
        <c:overlap val="100"/>
        <c:axId val="227276320"/>
        <c:axId val="227276880"/>
      </c:barChart>
      <c:catAx>
        <c:axId val="227276320"/>
        <c:scaling>
          <c:orientation val="minMax"/>
        </c:scaling>
        <c:delete val="1"/>
        <c:axPos val="l"/>
        <c:majorTickMark val="out"/>
        <c:minorTickMark val="none"/>
        <c:tickLblPos val="nextTo"/>
        <c:crossAx val="227276880"/>
        <c:crosses val="autoZero"/>
        <c:auto val="1"/>
        <c:lblAlgn val="ctr"/>
        <c:lblOffset val="100"/>
        <c:noMultiLvlLbl val="0"/>
      </c:catAx>
      <c:valAx>
        <c:axId val="227276880"/>
        <c:scaling>
          <c:orientation val="minMax"/>
          <c:max val="1"/>
        </c:scaling>
        <c:delete val="1"/>
        <c:axPos val="b"/>
        <c:numFmt formatCode="0.000" sourceLinked="1"/>
        <c:majorTickMark val="out"/>
        <c:minorTickMark val="none"/>
        <c:tickLblPos val="nextTo"/>
        <c:crossAx val="227276320"/>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GESTIÓN!$V$28</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A182-4567-8399-8D035315D1BF}"/>
            </c:ext>
          </c:extLst>
        </c:ser>
        <c:ser>
          <c:idx val="1"/>
          <c:order val="1"/>
          <c:spPr>
            <a:solidFill>
              <a:schemeClr val="accent5">
                <a:lumMod val="75000"/>
              </a:schemeClr>
            </a:solidFill>
          </c:spPr>
          <c:invertIfNegative val="0"/>
          <c:val>
            <c:numRef>
              <c:f>GESTIÓN!$W$28</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A182-4567-8399-8D035315D1BF}"/>
            </c:ext>
          </c:extLst>
        </c:ser>
        <c:dLbls>
          <c:showLegendKey val="0"/>
          <c:showVal val="0"/>
          <c:showCatName val="0"/>
          <c:showSerName val="0"/>
          <c:showPercent val="0"/>
          <c:showBubbleSize val="0"/>
        </c:dLbls>
        <c:gapWidth val="150"/>
        <c:overlap val="100"/>
        <c:axId val="227280240"/>
        <c:axId val="227280800"/>
      </c:barChart>
      <c:catAx>
        <c:axId val="227280240"/>
        <c:scaling>
          <c:orientation val="minMax"/>
        </c:scaling>
        <c:delete val="1"/>
        <c:axPos val="l"/>
        <c:majorTickMark val="out"/>
        <c:minorTickMark val="none"/>
        <c:tickLblPos val="nextTo"/>
        <c:crossAx val="227280800"/>
        <c:crosses val="autoZero"/>
        <c:auto val="1"/>
        <c:lblAlgn val="ctr"/>
        <c:lblOffset val="100"/>
        <c:noMultiLvlLbl val="0"/>
      </c:catAx>
      <c:valAx>
        <c:axId val="227280800"/>
        <c:scaling>
          <c:orientation val="minMax"/>
          <c:max val="1"/>
        </c:scaling>
        <c:delete val="1"/>
        <c:axPos val="b"/>
        <c:numFmt formatCode="0.000" sourceLinked="1"/>
        <c:majorTickMark val="out"/>
        <c:minorTickMark val="none"/>
        <c:tickLblPos val="nextTo"/>
        <c:crossAx val="227280240"/>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GESTIÓN!$V$29</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0BF7-4EF8-B5B1-252D7F142174}"/>
            </c:ext>
          </c:extLst>
        </c:ser>
        <c:ser>
          <c:idx val="1"/>
          <c:order val="1"/>
          <c:spPr>
            <a:solidFill>
              <a:schemeClr val="accent5">
                <a:lumMod val="75000"/>
              </a:schemeClr>
            </a:solidFill>
          </c:spPr>
          <c:invertIfNegative val="0"/>
          <c:val>
            <c:numRef>
              <c:f>GESTIÓN!$W$29</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0BF7-4EF8-B5B1-252D7F142174}"/>
            </c:ext>
          </c:extLst>
        </c:ser>
        <c:dLbls>
          <c:showLegendKey val="0"/>
          <c:showVal val="0"/>
          <c:showCatName val="0"/>
          <c:showSerName val="0"/>
          <c:showPercent val="0"/>
          <c:showBubbleSize val="0"/>
        </c:dLbls>
        <c:gapWidth val="150"/>
        <c:overlap val="100"/>
        <c:serLines/>
        <c:axId val="227283600"/>
        <c:axId val="227284160"/>
      </c:barChart>
      <c:catAx>
        <c:axId val="227283600"/>
        <c:scaling>
          <c:orientation val="minMax"/>
        </c:scaling>
        <c:delete val="1"/>
        <c:axPos val="l"/>
        <c:majorTickMark val="out"/>
        <c:minorTickMark val="none"/>
        <c:tickLblPos val="nextTo"/>
        <c:crossAx val="227284160"/>
        <c:crosses val="autoZero"/>
        <c:auto val="1"/>
        <c:lblAlgn val="ctr"/>
        <c:lblOffset val="100"/>
        <c:noMultiLvlLbl val="0"/>
      </c:catAx>
      <c:valAx>
        <c:axId val="227284160"/>
        <c:scaling>
          <c:orientation val="minMax"/>
          <c:max val="1"/>
        </c:scaling>
        <c:delete val="1"/>
        <c:axPos val="b"/>
        <c:numFmt formatCode="0.000" sourceLinked="1"/>
        <c:majorTickMark val="out"/>
        <c:minorTickMark val="none"/>
        <c:tickLblPos val="nextTo"/>
        <c:crossAx val="227283600"/>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GESTIÓN!$V$30</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AA47-4762-AC1E-DC404329BE5F}"/>
            </c:ext>
          </c:extLst>
        </c:ser>
        <c:ser>
          <c:idx val="1"/>
          <c:order val="1"/>
          <c:spPr>
            <a:solidFill>
              <a:schemeClr val="accent5">
                <a:lumMod val="75000"/>
              </a:schemeClr>
            </a:solidFill>
          </c:spPr>
          <c:invertIfNegative val="0"/>
          <c:val>
            <c:numRef>
              <c:f>GESTIÓN!$W$30</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AA47-4762-AC1E-DC404329BE5F}"/>
            </c:ext>
          </c:extLst>
        </c:ser>
        <c:dLbls>
          <c:showLegendKey val="0"/>
          <c:showVal val="0"/>
          <c:showCatName val="0"/>
          <c:showSerName val="0"/>
          <c:showPercent val="0"/>
          <c:showBubbleSize val="0"/>
        </c:dLbls>
        <c:gapWidth val="150"/>
        <c:overlap val="100"/>
        <c:axId val="272509472"/>
        <c:axId val="272510032"/>
      </c:barChart>
      <c:catAx>
        <c:axId val="272509472"/>
        <c:scaling>
          <c:orientation val="minMax"/>
        </c:scaling>
        <c:delete val="1"/>
        <c:axPos val="l"/>
        <c:majorTickMark val="out"/>
        <c:minorTickMark val="none"/>
        <c:tickLblPos val="nextTo"/>
        <c:crossAx val="272510032"/>
        <c:crosses val="autoZero"/>
        <c:auto val="1"/>
        <c:lblAlgn val="ctr"/>
        <c:lblOffset val="100"/>
        <c:noMultiLvlLbl val="0"/>
      </c:catAx>
      <c:valAx>
        <c:axId val="272510032"/>
        <c:scaling>
          <c:orientation val="minMax"/>
          <c:max val="1"/>
        </c:scaling>
        <c:delete val="1"/>
        <c:axPos val="b"/>
        <c:numFmt formatCode="0.000" sourceLinked="1"/>
        <c:majorTickMark val="out"/>
        <c:minorTickMark val="none"/>
        <c:tickLblPos val="nextTo"/>
        <c:crossAx val="272509472"/>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GESTIÓN!$V$31</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7F3C-4B75-BACA-D892C57FC18B}"/>
            </c:ext>
          </c:extLst>
        </c:ser>
        <c:ser>
          <c:idx val="1"/>
          <c:order val="1"/>
          <c:spPr>
            <a:solidFill>
              <a:schemeClr val="accent5">
                <a:lumMod val="75000"/>
              </a:schemeClr>
            </a:solidFill>
          </c:spPr>
          <c:invertIfNegative val="0"/>
          <c:val>
            <c:numRef>
              <c:f>GESTIÓN!$W$31</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7F3C-4B75-BACA-D892C57FC18B}"/>
            </c:ext>
          </c:extLst>
        </c:ser>
        <c:dLbls>
          <c:showLegendKey val="0"/>
          <c:showVal val="0"/>
          <c:showCatName val="0"/>
          <c:showSerName val="0"/>
          <c:showPercent val="0"/>
          <c:showBubbleSize val="0"/>
        </c:dLbls>
        <c:gapWidth val="150"/>
        <c:overlap val="100"/>
        <c:axId val="272512272"/>
        <c:axId val="272512832"/>
      </c:barChart>
      <c:catAx>
        <c:axId val="272512272"/>
        <c:scaling>
          <c:orientation val="minMax"/>
        </c:scaling>
        <c:delete val="1"/>
        <c:axPos val="l"/>
        <c:majorTickMark val="out"/>
        <c:minorTickMark val="none"/>
        <c:tickLblPos val="nextTo"/>
        <c:crossAx val="272512832"/>
        <c:crosses val="autoZero"/>
        <c:auto val="1"/>
        <c:lblAlgn val="ctr"/>
        <c:lblOffset val="100"/>
        <c:noMultiLvlLbl val="0"/>
      </c:catAx>
      <c:valAx>
        <c:axId val="272512832"/>
        <c:scaling>
          <c:orientation val="minMax"/>
          <c:max val="1"/>
        </c:scaling>
        <c:delete val="1"/>
        <c:axPos val="b"/>
        <c:numFmt formatCode="0.000" sourceLinked="1"/>
        <c:majorTickMark val="out"/>
        <c:minorTickMark val="none"/>
        <c:tickLblPos val="nextTo"/>
        <c:crossAx val="272512272"/>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GESTIÓN!$V$33</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E8DC-48FD-835B-6FB3DA7575D4}"/>
            </c:ext>
          </c:extLst>
        </c:ser>
        <c:ser>
          <c:idx val="1"/>
          <c:order val="1"/>
          <c:spPr>
            <a:solidFill>
              <a:schemeClr val="accent5">
                <a:lumMod val="75000"/>
              </a:schemeClr>
            </a:solidFill>
          </c:spPr>
          <c:invertIfNegative val="0"/>
          <c:val>
            <c:numRef>
              <c:f>GESTIÓN!$W$33</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E8DC-48FD-835B-6FB3DA7575D4}"/>
            </c:ext>
          </c:extLst>
        </c:ser>
        <c:dLbls>
          <c:showLegendKey val="0"/>
          <c:showVal val="0"/>
          <c:showCatName val="0"/>
          <c:showSerName val="0"/>
          <c:showPercent val="0"/>
          <c:showBubbleSize val="0"/>
        </c:dLbls>
        <c:gapWidth val="150"/>
        <c:overlap val="100"/>
        <c:axId val="272515632"/>
        <c:axId val="272516192"/>
      </c:barChart>
      <c:catAx>
        <c:axId val="272515632"/>
        <c:scaling>
          <c:orientation val="minMax"/>
        </c:scaling>
        <c:delete val="1"/>
        <c:axPos val="l"/>
        <c:majorTickMark val="out"/>
        <c:minorTickMark val="none"/>
        <c:tickLblPos val="nextTo"/>
        <c:crossAx val="272516192"/>
        <c:crosses val="autoZero"/>
        <c:auto val="1"/>
        <c:lblAlgn val="ctr"/>
        <c:lblOffset val="100"/>
        <c:noMultiLvlLbl val="0"/>
      </c:catAx>
      <c:valAx>
        <c:axId val="272516192"/>
        <c:scaling>
          <c:orientation val="minMax"/>
          <c:max val="1"/>
        </c:scaling>
        <c:delete val="1"/>
        <c:axPos val="b"/>
        <c:numFmt formatCode="0.000" sourceLinked="1"/>
        <c:majorTickMark val="out"/>
        <c:minorTickMark val="none"/>
        <c:tickLblPos val="nextTo"/>
        <c:crossAx val="272515632"/>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GESTIÓN!$V$32</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9135-4AAD-B192-34C2E7DF196B}"/>
            </c:ext>
          </c:extLst>
        </c:ser>
        <c:ser>
          <c:idx val="1"/>
          <c:order val="1"/>
          <c:spPr>
            <a:solidFill>
              <a:schemeClr val="accent5">
                <a:lumMod val="75000"/>
              </a:schemeClr>
            </a:solidFill>
          </c:spPr>
          <c:invertIfNegative val="0"/>
          <c:val>
            <c:numRef>
              <c:f>GESTIÓN!$W$32</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9135-4AAD-B192-34C2E7DF196B}"/>
            </c:ext>
          </c:extLst>
        </c:ser>
        <c:dLbls>
          <c:showLegendKey val="0"/>
          <c:showVal val="0"/>
          <c:showCatName val="0"/>
          <c:showSerName val="0"/>
          <c:showPercent val="0"/>
          <c:showBubbleSize val="0"/>
        </c:dLbls>
        <c:gapWidth val="150"/>
        <c:overlap val="100"/>
        <c:axId val="272518992"/>
        <c:axId val="272519552"/>
      </c:barChart>
      <c:catAx>
        <c:axId val="272518992"/>
        <c:scaling>
          <c:orientation val="minMax"/>
        </c:scaling>
        <c:delete val="1"/>
        <c:axPos val="l"/>
        <c:majorTickMark val="out"/>
        <c:minorTickMark val="none"/>
        <c:tickLblPos val="nextTo"/>
        <c:crossAx val="272519552"/>
        <c:crosses val="autoZero"/>
        <c:auto val="1"/>
        <c:lblAlgn val="ctr"/>
        <c:lblOffset val="100"/>
        <c:noMultiLvlLbl val="0"/>
      </c:catAx>
      <c:valAx>
        <c:axId val="272519552"/>
        <c:scaling>
          <c:orientation val="minMax"/>
          <c:max val="1"/>
        </c:scaling>
        <c:delete val="1"/>
        <c:axPos val="b"/>
        <c:numFmt formatCode="0.000" sourceLinked="1"/>
        <c:majorTickMark val="out"/>
        <c:minorTickMark val="none"/>
        <c:tickLblPos val="nextTo"/>
        <c:crossAx val="272518992"/>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GESTIÓN!$V$35</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74EF-41D8-A882-DF95551144F2}"/>
            </c:ext>
          </c:extLst>
        </c:ser>
        <c:ser>
          <c:idx val="1"/>
          <c:order val="1"/>
          <c:spPr>
            <a:solidFill>
              <a:schemeClr val="accent5">
                <a:lumMod val="75000"/>
              </a:schemeClr>
            </a:solidFill>
          </c:spPr>
          <c:invertIfNegative val="0"/>
          <c:val>
            <c:numRef>
              <c:f>GESTIÓN!$W$35</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74EF-41D8-A882-DF95551144F2}"/>
            </c:ext>
          </c:extLst>
        </c:ser>
        <c:dLbls>
          <c:showLegendKey val="0"/>
          <c:showVal val="0"/>
          <c:showCatName val="0"/>
          <c:showSerName val="0"/>
          <c:showPercent val="0"/>
          <c:showBubbleSize val="0"/>
        </c:dLbls>
        <c:gapWidth val="150"/>
        <c:overlap val="100"/>
        <c:axId val="272522352"/>
        <c:axId val="272522912"/>
      </c:barChart>
      <c:catAx>
        <c:axId val="272522352"/>
        <c:scaling>
          <c:orientation val="minMax"/>
        </c:scaling>
        <c:delete val="1"/>
        <c:axPos val="l"/>
        <c:majorTickMark val="out"/>
        <c:minorTickMark val="none"/>
        <c:tickLblPos val="nextTo"/>
        <c:crossAx val="272522912"/>
        <c:crosses val="autoZero"/>
        <c:auto val="1"/>
        <c:lblAlgn val="ctr"/>
        <c:lblOffset val="100"/>
        <c:noMultiLvlLbl val="0"/>
      </c:catAx>
      <c:valAx>
        <c:axId val="272522912"/>
        <c:scaling>
          <c:orientation val="minMax"/>
          <c:max val="1"/>
        </c:scaling>
        <c:delete val="1"/>
        <c:axPos val="b"/>
        <c:numFmt formatCode="0.000" sourceLinked="1"/>
        <c:majorTickMark val="out"/>
        <c:minorTickMark val="none"/>
        <c:tickLblPos val="nextTo"/>
        <c:crossAx val="272522352"/>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GESTIÓN!$V$36</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EFA9-460F-A60E-0FD39ABAC20F}"/>
            </c:ext>
          </c:extLst>
        </c:ser>
        <c:ser>
          <c:idx val="1"/>
          <c:order val="1"/>
          <c:spPr>
            <a:solidFill>
              <a:schemeClr val="accent5">
                <a:lumMod val="75000"/>
              </a:schemeClr>
            </a:solidFill>
          </c:spPr>
          <c:invertIfNegative val="0"/>
          <c:val>
            <c:numRef>
              <c:f>GESTIÓN!$W$36</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EFA9-460F-A60E-0FD39ABAC20F}"/>
            </c:ext>
          </c:extLst>
        </c:ser>
        <c:dLbls>
          <c:showLegendKey val="0"/>
          <c:showVal val="0"/>
          <c:showCatName val="0"/>
          <c:showSerName val="0"/>
          <c:showPercent val="0"/>
          <c:showBubbleSize val="0"/>
        </c:dLbls>
        <c:gapWidth val="150"/>
        <c:overlap val="100"/>
        <c:serLines/>
        <c:axId val="273015776"/>
        <c:axId val="273016336"/>
      </c:barChart>
      <c:catAx>
        <c:axId val="273015776"/>
        <c:scaling>
          <c:orientation val="minMax"/>
        </c:scaling>
        <c:delete val="1"/>
        <c:axPos val="l"/>
        <c:majorTickMark val="out"/>
        <c:minorTickMark val="none"/>
        <c:tickLblPos val="nextTo"/>
        <c:crossAx val="273016336"/>
        <c:crosses val="autoZero"/>
        <c:auto val="1"/>
        <c:lblAlgn val="ctr"/>
        <c:lblOffset val="100"/>
        <c:noMultiLvlLbl val="0"/>
      </c:catAx>
      <c:valAx>
        <c:axId val="273016336"/>
        <c:scaling>
          <c:orientation val="minMax"/>
          <c:max val="1"/>
        </c:scaling>
        <c:delete val="1"/>
        <c:axPos val="b"/>
        <c:numFmt formatCode="0.000" sourceLinked="1"/>
        <c:majorTickMark val="out"/>
        <c:minorTickMark val="none"/>
        <c:tickLblPos val="nextTo"/>
        <c:crossAx val="273015776"/>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GESTIÓN!$V$37</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179C-45F2-8C55-E0B42B04335A}"/>
            </c:ext>
          </c:extLst>
        </c:ser>
        <c:ser>
          <c:idx val="1"/>
          <c:order val="1"/>
          <c:spPr>
            <a:solidFill>
              <a:schemeClr val="accent5">
                <a:lumMod val="75000"/>
              </a:schemeClr>
            </a:solidFill>
          </c:spPr>
          <c:invertIfNegative val="0"/>
          <c:val>
            <c:numRef>
              <c:f>GESTIÓN!$W$37</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179C-45F2-8C55-E0B42B04335A}"/>
            </c:ext>
          </c:extLst>
        </c:ser>
        <c:dLbls>
          <c:showLegendKey val="0"/>
          <c:showVal val="0"/>
          <c:showCatName val="0"/>
          <c:showSerName val="0"/>
          <c:showPercent val="0"/>
          <c:showBubbleSize val="0"/>
        </c:dLbls>
        <c:gapWidth val="150"/>
        <c:overlap val="100"/>
        <c:axId val="273019136"/>
        <c:axId val="273019696"/>
      </c:barChart>
      <c:catAx>
        <c:axId val="273019136"/>
        <c:scaling>
          <c:orientation val="minMax"/>
        </c:scaling>
        <c:delete val="1"/>
        <c:axPos val="l"/>
        <c:majorTickMark val="out"/>
        <c:minorTickMark val="none"/>
        <c:tickLblPos val="nextTo"/>
        <c:crossAx val="273019696"/>
        <c:crosses val="autoZero"/>
        <c:auto val="1"/>
        <c:lblAlgn val="ctr"/>
        <c:lblOffset val="100"/>
        <c:noMultiLvlLbl val="0"/>
      </c:catAx>
      <c:valAx>
        <c:axId val="273019696"/>
        <c:scaling>
          <c:orientation val="minMax"/>
          <c:max val="1"/>
        </c:scaling>
        <c:delete val="1"/>
        <c:axPos val="b"/>
        <c:numFmt formatCode="0.000" sourceLinked="1"/>
        <c:majorTickMark val="out"/>
        <c:minorTickMark val="none"/>
        <c:tickLblPos val="nextTo"/>
        <c:crossAx val="273019136"/>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GESTIÓN!$V$38</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4A28-46AA-9045-75CE76215F0A}"/>
            </c:ext>
          </c:extLst>
        </c:ser>
        <c:ser>
          <c:idx val="1"/>
          <c:order val="1"/>
          <c:spPr>
            <a:solidFill>
              <a:schemeClr val="accent5">
                <a:lumMod val="75000"/>
              </a:schemeClr>
            </a:solidFill>
          </c:spPr>
          <c:invertIfNegative val="0"/>
          <c:val>
            <c:numRef>
              <c:f>GESTIÓN!$W$38</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4A28-46AA-9045-75CE76215F0A}"/>
            </c:ext>
          </c:extLst>
        </c:ser>
        <c:dLbls>
          <c:showLegendKey val="0"/>
          <c:showVal val="0"/>
          <c:showCatName val="0"/>
          <c:showSerName val="0"/>
          <c:showPercent val="0"/>
          <c:showBubbleSize val="0"/>
        </c:dLbls>
        <c:gapWidth val="150"/>
        <c:overlap val="100"/>
        <c:axId val="273022496"/>
        <c:axId val="273023056"/>
      </c:barChart>
      <c:catAx>
        <c:axId val="273022496"/>
        <c:scaling>
          <c:orientation val="minMax"/>
        </c:scaling>
        <c:delete val="1"/>
        <c:axPos val="l"/>
        <c:majorTickMark val="out"/>
        <c:minorTickMark val="none"/>
        <c:tickLblPos val="nextTo"/>
        <c:crossAx val="273023056"/>
        <c:crosses val="autoZero"/>
        <c:auto val="1"/>
        <c:lblAlgn val="ctr"/>
        <c:lblOffset val="100"/>
        <c:noMultiLvlLbl val="0"/>
      </c:catAx>
      <c:valAx>
        <c:axId val="273023056"/>
        <c:scaling>
          <c:orientation val="minMax"/>
          <c:max val="1"/>
        </c:scaling>
        <c:delete val="1"/>
        <c:axPos val="b"/>
        <c:numFmt formatCode="0.000" sourceLinked="1"/>
        <c:majorTickMark val="out"/>
        <c:minorTickMark val="none"/>
        <c:tickLblPos val="nextTo"/>
        <c:crossAx val="273022496"/>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GESTIÓN!$V$40</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9439-4B7A-B9F9-5B60D901DC20}"/>
            </c:ext>
          </c:extLst>
        </c:ser>
        <c:ser>
          <c:idx val="1"/>
          <c:order val="1"/>
          <c:spPr>
            <a:solidFill>
              <a:schemeClr val="accent5">
                <a:lumMod val="75000"/>
              </a:schemeClr>
            </a:solidFill>
          </c:spPr>
          <c:invertIfNegative val="0"/>
          <c:val>
            <c:numRef>
              <c:f>GESTIÓN!$W$40</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9439-4B7A-B9F9-5B60D901DC20}"/>
            </c:ext>
          </c:extLst>
        </c:ser>
        <c:dLbls>
          <c:showLegendKey val="0"/>
          <c:showVal val="0"/>
          <c:showCatName val="0"/>
          <c:showSerName val="0"/>
          <c:showPercent val="0"/>
          <c:showBubbleSize val="0"/>
        </c:dLbls>
        <c:gapWidth val="150"/>
        <c:overlap val="100"/>
        <c:axId val="273025856"/>
        <c:axId val="273026416"/>
      </c:barChart>
      <c:catAx>
        <c:axId val="273025856"/>
        <c:scaling>
          <c:orientation val="minMax"/>
        </c:scaling>
        <c:delete val="1"/>
        <c:axPos val="l"/>
        <c:majorTickMark val="out"/>
        <c:minorTickMark val="none"/>
        <c:tickLblPos val="nextTo"/>
        <c:crossAx val="273026416"/>
        <c:crosses val="autoZero"/>
        <c:auto val="1"/>
        <c:lblAlgn val="ctr"/>
        <c:lblOffset val="100"/>
        <c:noMultiLvlLbl val="0"/>
      </c:catAx>
      <c:valAx>
        <c:axId val="273026416"/>
        <c:scaling>
          <c:orientation val="minMax"/>
          <c:max val="1"/>
        </c:scaling>
        <c:delete val="1"/>
        <c:axPos val="b"/>
        <c:numFmt formatCode="0.000" sourceLinked="1"/>
        <c:majorTickMark val="out"/>
        <c:minorTickMark val="none"/>
        <c:tickLblPos val="nextTo"/>
        <c:crossAx val="273025856"/>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GESTIÓN!$V$39</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6E04-4101-9924-3EFBCD1722CB}"/>
            </c:ext>
          </c:extLst>
        </c:ser>
        <c:ser>
          <c:idx val="1"/>
          <c:order val="1"/>
          <c:spPr>
            <a:solidFill>
              <a:schemeClr val="accent5">
                <a:lumMod val="75000"/>
              </a:schemeClr>
            </a:solidFill>
          </c:spPr>
          <c:invertIfNegative val="0"/>
          <c:val>
            <c:numRef>
              <c:f>GESTIÓN!$W$39</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6E04-4101-9924-3EFBCD1722CB}"/>
            </c:ext>
          </c:extLst>
        </c:ser>
        <c:dLbls>
          <c:showLegendKey val="0"/>
          <c:showVal val="0"/>
          <c:showCatName val="0"/>
          <c:showSerName val="0"/>
          <c:showPercent val="0"/>
          <c:showBubbleSize val="0"/>
        </c:dLbls>
        <c:gapWidth val="150"/>
        <c:overlap val="100"/>
        <c:axId val="273029216"/>
        <c:axId val="273029776"/>
      </c:barChart>
      <c:catAx>
        <c:axId val="273029216"/>
        <c:scaling>
          <c:orientation val="minMax"/>
        </c:scaling>
        <c:delete val="1"/>
        <c:axPos val="l"/>
        <c:majorTickMark val="out"/>
        <c:minorTickMark val="none"/>
        <c:tickLblPos val="nextTo"/>
        <c:crossAx val="273029776"/>
        <c:crosses val="autoZero"/>
        <c:auto val="1"/>
        <c:lblAlgn val="ctr"/>
        <c:lblOffset val="100"/>
        <c:noMultiLvlLbl val="0"/>
      </c:catAx>
      <c:valAx>
        <c:axId val="273029776"/>
        <c:scaling>
          <c:orientation val="minMax"/>
          <c:max val="1"/>
        </c:scaling>
        <c:delete val="1"/>
        <c:axPos val="b"/>
        <c:numFmt formatCode="0.000" sourceLinked="1"/>
        <c:majorTickMark val="out"/>
        <c:minorTickMark val="none"/>
        <c:tickLblPos val="nextTo"/>
        <c:crossAx val="273029216"/>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GESTIÓN!$V$41</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4C83-4922-954F-D3D60B6F2A11}"/>
            </c:ext>
          </c:extLst>
        </c:ser>
        <c:ser>
          <c:idx val="1"/>
          <c:order val="1"/>
          <c:spPr>
            <a:solidFill>
              <a:schemeClr val="accent5">
                <a:lumMod val="75000"/>
              </a:schemeClr>
            </a:solidFill>
          </c:spPr>
          <c:invertIfNegative val="0"/>
          <c:val>
            <c:numRef>
              <c:f>GESTIÓN!$W$41</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4C83-4922-954F-D3D60B6F2A11}"/>
            </c:ext>
          </c:extLst>
        </c:ser>
        <c:dLbls>
          <c:showLegendKey val="0"/>
          <c:showVal val="0"/>
          <c:showCatName val="0"/>
          <c:showSerName val="0"/>
          <c:showPercent val="0"/>
          <c:showBubbleSize val="0"/>
        </c:dLbls>
        <c:gapWidth val="150"/>
        <c:overlap val="100"/>
        <c:axId val="273303792"/>
        <c:axId val="273304352"/>
      </c:barChart>
      <c:catAx>
        <c:axId val="273303792"/>
        <c:scaling>
          <c:orientation val="minMax"/>
        </c:scaling>
        <c:delete val="1"/>
        <c:axPos val="l"/>
        <c:majorTickMark val="out"/>
        <c:minorTickMark val="none"/>
        <c:tickLblPos val="nextTo"/>
        <c:crossAx val="273304352"/>
        <c:crosses val="autoZero"/>
        <c:auto val="1"/>
        <c:lblAlgn val="ctr"/>
        <c:lblOffset val="100"/>
        <c:noMultiLvlLbl val="0"/>
      </c:catAx>
      <c:valAx>
        <c:axId val="273304352"/>
        <c:scaling>
          <c:orientation val="minMax"/>
          <c:max val="1"/>
        </c:scaling>
        <c:delete val="1"/>
        <c:axPos val="b"/>
        <c:numFmt formatCode="0.000" sourceLinked="1"/>
        <c:majorTickMark val="out"/>
        <c:minorTickMark val="none"/>
        <c:tickLblPos val="nextTo"/>
        <c:crossAx val="273303792"/>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GESTIÓN!$V$42</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6984-4AB7-91A9-1B203ED460AA}"/>
            </c:ext>
          </c:extLst>
        </c:ser>
        <c:ser>
          <c:idx val="1"/>
          <c:order val="1"/>
          <c:spPr>
            <a:solidFill>
              <a:schemeClr val="accent5">
                <a:lumMod val="75000"/>
              </a:schemeClr>
            </a:solidFill>
          </c:spPr>
          <c:invertIfNegative val="0"/>
          <c:val>
            <c:numRef>
              <c:f>GESTIÓN!$W$42</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6984-4AB7-91A9-1B203ED460AA}"/>
            </c:ext>
          </c:extLst>
        </c:ser>
        <c:dLbls>
          <c:showLegendKey val="0"/>
          <c:showVal val="0"/>
          <c:showCatName val="0"/>
          <c:showSerName val="0"/>
          <c:showPercent val="0"/>
          <c:showBubbleSize val="0"/>
        </c:dLbls>
        <c:gapWidth val="150"/>
        <c:overlap val="100"/>
        <c:serLines/>
        <c:axId val="273307152"/>
        <c:axId val="273307712"/>
      </c:barChart>
      <c:catAx>
        <c:axId val="273307152"/>
        <c:scaling>
          <c:orientation val="minMax"/>
        </c:scaling>
        <c:delete val="1"/>
        <c:axPos val="l"/>
        <c:majorTickMark val="out"/>
        <c:minorTickMark val="none"/>
        <c:tickLblPos val="nextTo"/>
        <c:crossAx val="273307712"/>
        <c:crosses val="autoZero"/>
        <c:auto val="1"/>
        <c:lblAlgn val="ctr"/>
        <c:lblOffset val="100"/>
        <c:noMultiLvlLbl val="0"/>
      </c:catAx>
      <c:valAx>
        <c:axId val="273307712"/>
        <c:scaling>
          <c:orientation val="minMax"/>
          <c:max val="1"/>
        </c:scaling>
        <c:delete val="1"/>
        <c:axPos val="b"/>
        <c:numFmt formatCode="0.000" sourceLinked="1"/>
        <c:majorTickMark val="out"/>
        <c:minorTickMark val="none"/>
        <c:tickLblPos val="nextTo"/>
        <c:crossAx val="273307152"/>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GESTIÓN!$V$43</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4F50-442B-83D2-898AC1E0C06B}"/>
            </c:ext>
          </c:extLst>
        </c:ser>
        <c:ser>
          <c:idx val="1"/>
          <c:order val="1"/>
          <c:spPr>
            <a:solidFill>
              <a:schemeClr val="accent5">
                <a:lumMod val="75000"/>
              </a:schemeClr>
            </a:solidFill>
          </c:spPr>
          <c:invertIfNegative val="0"/>
          <c:val>
            <c:numRef>
              <c:f>GESTIÓN!$W$43</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4F50-442B-83D2-898AC1E0C06B}"/>
            </c:ext>
          </c:extLst>
        </c:ser>
        <c:dLbls>
          <c:showLegendKey val="0"/>
          <c:showVal val="0"/>
          <c:showCatName val="0"/>
          <c:showSerName val="0"/>
          <c:showPercent val="0"/>
          <c:showBubbleSize val="0"/>
        </c:dLbls>
        <c:gapWidth val="150"/>
        <c:overlap val="100"/>
        <c:axId val="273310512"/>
        <c:axId val="273311072"/>
      </c:barChart>
      <c:catAx>
        <c:axId val="273310512"/>
        <c:scaling>
          <c:orientation val="minMax"/>
        </c:scaling>
        <c:delete val="1"/>
        <c:axPos val="l"/>
        <c:majorTickMark val="out"/>
        <c:minorTickMark val="none"/>
        <c:tickLblPos val="nextTo"/>
        <c:crossAx val="273311072"/>
        <c:crosses val="autoZero"/>
        <c:auto val="1"/>
        <c:lblAlgn val="ctr"/>
        <c:lblOffset val="100"/>
        <c:noMultiLvlLbl val="0"/>
      </c:catAx>
      <c:valAx>
        <c:axId val="273311072"/>
        <c:scaling>
          <c:orientation val="minMax"/>
          <c:max val="1"/>
        </c:scaling>
        <c:delete val="1"/>
        <c:axPos val="b"/>
        <c:numFmt formatCode="0.000" sourceLinked="1"/>
        <c:majorTickMark val="out"/>
        <c:minorTickMark val="none"/>
        <c:tickLblPos val="nextTo"/>
        <c:crossAx val="273310512"/>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GESTIÓN!$V$44</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7A98-4167-A2DA-050BCF193541}"/>
            </c:ext>
          </c:extLst>
        </c:ser>
        <c:ser>
          <c:idx val="1"/>
          <c:order val="1"/>
          <c:spPr>
            <a:solidFill>
              <a:schemeClr val="accent5">
                <a:lumMod val="75000"/>
              </a:schemeClr>
            </a:solidFill>
          </c:spPr>
          <c:invertIfNegative val="0"/>
          <c:val>
            <c:numRef>
              <c:f>GESTIÓN!$W$44</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7A98-4167-A2DA-050BCF193541}"/>
            </c:ext>
          </c:extLst>
        </c:ser>
        <c:dLbls>
          <c:showLegendKey val="0"/>
          <c:showVal val="0"/>
          <c:showCatName val="0"/>
          <c:showSerName val="0"/>
          <c:showPercent val="0"/>
          <c:showBubbleSize val="0"/>
        </c:dLbls>
        <c:gapWidth val="150"/>
        <c:overlap val="100"/>
        <c:axId val="273313872"/>
        <c:axId val="273314432"/>
      </c:barChart>
      <c:catAx>
        <c:axId val="273313872"/>
        <c:scaling>
          <c:orientation val="minMax"/>
        </c:scaling>
        <c:delete val="1"/>
        <c:axPos val="l"/>
        <c:majorTickMark val="out"/>
        <c:minorTickMark val="none"/>
        <c:tickLblPos val="nextTo"/>
        <c:crossAx val="273314432"/>
        <c:crosses val="autoZero"/>
        <c:auto val="1"/>
        <c:lblAlgn val="ctr"/>
        <c:lblOffset val="100"/>
        <c:noMultiLvlLbl val="0"/>
      </c:catAx>
      <c:valAx>
        <c:axId val="273314432"/>
        <c:scaling>
          <c:orientation val="minMax"/>
          <c:max val="1"/>
        </c:scaling>
        <c:delete val="1"/>
        <c:axPos val="b"/>
        <c:numFmt formatCode="0.000" sourceLinked="1"/>
        <c:majorTickMark val="out"/>
        <c:minorTickMark val="none"/>
        <c:tickLblPos val="nextTo"/>
        <c:crossAx val="273313872"/>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GESTIÓN!$V$45</c:f>
              <c:numCache>
                <c:formatCode>0.000</c:formatCode>
                <c:ptCount val="1"/>
                <c:pt idx="0">
                  <c:v>0</c:v>
                </c:pt>
              </c:numCache>
            </c:numRef>
          </c:val>
          <c:extLst xmlns:c16r2="http://schemas.microsoft.com/office/drawing/2015/06/chart">
            <c:ext xmlns:c16="http://schemas.microsoft.com/office/drawing/2014/chart" uri="{C3380CC4-5D6E-409C-BE32-E72D297353CC}">
              <c16:uniqueId val="{00000000-C9D0-4095-9DF0-30233718418A}"/>
            </c:ext>
          </c:extLst>
        </c:ser>
        <c:ser>
          <c:idx val="1"/>
          <c:order val="1"/>
          <c:spPr>
            <a:solidFill>
              <a:schemeClr val="accent5">
                <a:lumMod val="75000"/>
              </a:schemeClr>
            </a:solidFill>
          </c:spPr>
          <c:invertIfNegative val="0"/>
          <c:val>
            <c:numRef>
              <c:f>GESTIÓN!$W$45</c:f>
              <c:numCache>
                <c:formatCode>General</c:formatCode>
                <c:ptCount val="1"/>
                <c:pt idx="0">
                  <c:v>0</c:v>
                </c:pt>
              </c:numCache>
            </c:numRef>
          </c:val>
          <c:extLst xmlns:c16r2="http://schemas.microsoft.com/office/drawing/2015/06/chart">
            <c:ext xmlns:c16="http://schemas.microsoft.com/office/drawing/2014/chart" uri="{C3380CC4-5D6E-409C-BE32-E72D297353CC}">
              <c16:uniqueId val="{00000001-C9D0-4095-9DF0-30233718418A}"/>
            </c:ext>
          </c:extLst>
        </c:ser>
        <c:dLbls>
          <c:showLegendKey val="0"/>
          <c:showVal val="0"/>
          <c:showCatName val="0"/>
          <c:showSerName val="0"/>
          <c:showPercent val="0"/>
          <c:showBubbleSize val="0"/>
        </c:dLbls>
        <c:gapWidth val="150"/>
        <c:overlap val="100"/>
        <c:axId val="273317232"/>
        <c:axId val="273820736"/>
      </c:barChart>
      <c:catAx>
        <c:axId val="273317232"/>
        <c:scaling>
          <c:orientation val="minMax"/>
        </c:scaling>
        <c:delete val="1"/>
        <c:axPos val="l"/>
        <c:majorTickMark val="out"/>
        <c:minorTickMark val="none"/>
        <c:tickLblPos val="nextTo"/>
        <c:crossAx val="273820736"/>
        <c:crosses val="autoZero"/>
        <c:auto val="1"/>
        <c:lblAlgn val="ctr"/>
        <c:lblOffset val="100"/>
        <c:noMultiLvlLbl val="0"/>
      </c:catAx>
      <c:valAx>
        <c:axId val="273820736"/>
        <c:scaling>
          <c:orientation val="minMax"/>
          <c:max val="1"/>
        </c:scaling>
        <c:delete val="1"/>
        <c:axPos val="b"/>
        <c:numFmt formatCode="0.000" sourceLinked="1"/>
        <c:majorTickMark val="out"/>
        <c:minorTickMark val="none"/>
        <c:tickLblPos val="nextTo"/>
        <c:crossAx val="273317232"/>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GESTIÓN!#REF!</c:f>
              <c:numCache>
                <c:formatCode>General</c:formatCode>
                <c:ptCount val="1"/>
                <c:pt idx="0">
                  <c:v>1</c:v>
                </c:pt>
              </c:numCache>
            </c:numRef>
          </c:val>
          <c:extLst xmlns:c16r2="http://schemas.microsoft.com/office/drawing/2015/06/chart">
            <c:ext xmlns:c16="http://schemas.microsoft.com/office/drawing/2014/chart" uri="{C3380CC4-5D6E-409C-BE32-E72D297353CC}">
              <c16:uniqueId val="{00000000-D2AA-4441-93C8-917FACC7EA5D}"/>
            </c:ext>
          </c:extLst>
        </c:ser>
        <c:ser>
          <c:idx val="1"/>
          <c:order val="1"/>
          <c:spPr>
            <a:solidFill>
              <a:schemeClr val="accent5">
                <a:lumMod val="75000"/>
              </a:schemeClr>
            </a:solidFill>
          </c:spPr>
          <c:invertIfNegative val="0"/>
          <c:val>
            <c:numRef>
              <c:f>GESTIÓN!#REF!</c:f>
              <c:numCache>
                <c:formatCode>General</c:formatCode>
                <c:ptCount val="1"/>
                <c:pt idx="0">
                  <c:v>1</c:v>
                </c:pt>
              </c:numCache>
            </c:numRef>
          </c:val>
          <c:extLst xmlns:c16r2="http://schemas.microsoft.com/office/drawing/2015/06/chart">
            <c:ext xmlns:c16="http://schemas.microsoft.com/office/drawing/2014/chart" uri="{C3380CC4-5D6E-409C-BE32-E72D297353CC}">
              <c16:uniqueId val="{00000001-D2AA-4441-93C8-917FACC7EA5D}"/>
            </c:ext>
          </c:extLst>
        </c:ser>
        <c:dLbls>
          <c:showLegendKey val="0"/>
          <c:showVal val="0"/>
          <c:showCatName val="0"/>
          <c:showSerName val="0"/>
          <c:showPercent val="0"/>
          <c:showBubbleSize val="0"/>
        </c:dLbls>
        <c:gapWidth val="150"/>
        <c:overlap val="100"/>
        <c:axId val="273823536"/>
        <c:axId val="273824096"/>
      </c:barChart>
      <c:catAx>
        <c:axId val="273823536"/>
        <c:scaling>
          <c:orientation val="minMax"/>
        </c:scaling>
        <c:delete val="1"/>
        <c:axPos val="l"/>
        <c:majorTickMark val="out"/>
        <c:minorTickMark val="none"/>
        <c:tickLblPos val="nextTo"/>
        <c:crossAx val="273824096"/>
        <c:crosses val="autoZero"/>
        <c:auto val="1"/>
        <c:lblAlgn val="ctr"/>
        <c:lblOffset val="100"/>
        <c:noMultiLvlLbl val="0"/>
      </c:catAx>
      <c:valAx>
        <c:axId val="273824096"/>
        <c:scaling>
          <c:orientation val="minMax"/>
          <c:max val="1"/>
        </c:scaling>
        <c:delete val="1"/>
        <c:axPos val="b"/>
        <c:numFmt formatCode="General" sourceLinked="1"/>
        <c:majorTickMark val="out"/>
        <c:minorTickMark val="none"/>
        <c:tickLblPos val="nextTo"/>
        <c:crossAx val="273823536"/>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GESTIÓN!#REF!</c:f>
              <c:numCache>
                <c:formatCode>General</c:formatCode>
                <c:ptCount val="1"/>
                <c:pt idx="0">
                  <c:v>1</c:v>
                </c:pt>
              </c:numCache>
            </c:numRef>
          </c:val>
          <c:extLst xmlns:c16r2="http://schemas.microsoft.com/office/drawing/2015/06/chart">
            <c:ext xmlns:c16="http://schemas.microsoft.com/office/drawing/2014/chart" uri="{C3380CC4-5D6E-409C-BE32-E72D297353CC}">
              <c16:uniqueId val="{00000000-C8AE-4594-8F23-11A5497D7214}"/>
            </c:ext>
          </c:extLst>
        </c:ser>
        <c:ser>
          <c:idx val="1"/>
          <c:order val="1"/>
          <c:spPr>
            <a:solidFill>
              <a:schemeClr val="accent5">
                <a:lumMod val="75000"/>
              </a:schemeClr>
            </a:solidFill>
          </c:spPr>
          <c:invertIfNegative val="0"/>
          <c:val>
            <c:numRef>
              <c:f>GESTIÓN!#REF!</c:f>
              <c:numCache>
                <c:formatCode>General</c:formatCode>
                <c:ptCount val="1"/>
                <c:pt idx="0">
                  <c:v>1</c:v>
                </c:pt>
              </c:numCache>
            </c:numRef>
          </c:val>
          <c:extLst xmlns:c16r2="http://schemas.microsoft.com/office/drawing/2015/06/chart">
            <c:ext xmlns:c16="http://schemas.microsoft.com/office/drawing/2014/chart" uri="{C3380CC4-5D6E-409C-BE32-E72D297353CC}">
              <c16:uniqueId val="{00000001-C8AE-4594-8F23-11A5497D7214}"/>
            </c:ext>
          </c:extLst>
        </c:ser>
        <c:dLbls>
          <c:showLegendKey val="0"/>
          <c:showVal val="0"/>
          <c:showCatName val="0"/>
          <c:showSerName val="0"/>
          <c:showPercent val="0"/>
          <c:showBubbleSize val="0"/>
        </c:dLbls>
        <c:gapWidth val="150"/>
        <c:overlap val="100"/>
        <c:axId val="273826896"/>
        <c:axId val="273827456"/>
      </c:barChart>
      <c:catAx>
        <c:axId val="273826896"/>
        <c:scaling>
          <c:orientation val="minMax"/>
        </c:scaling>
        <c:delete val="1"/>
        <c:axPos val="l"/>
        <c:majorTickMark val="out"/>
        <c:minorTickMark val="none"/>
        <c:tickLblPos val="nextTo"/>
        <c:crossAx val="273827456"/>
        <c:crosses val="autoZero"/>
        <c:auto val="1"/>
        <c:lblAlgn val="ctr"/>
        <c:lblOffset val="100"/>
        <c:noMultiLvlLbl val="0"/>
      </c:catAx>
      <c:valAx>
        <c:axId val="273827456"/>
        <c:scaling>
          <c:orientation val="minMax"/>
          <c:max val="1"/>
        </c:scaling>
        <c:delete val="1"/>
        <c:axPos val="b"/>
        <c:numFmt formatCode="General" sourceLinked="1"/>
        <c:majorTickMark val="out"/>
        <c:minorTickMark val="none"/>
        <c:tickLblPos val="nextTo"/>
        <c:crossAx val="273826896"/>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GESTIÓN!#REF!</c:f>
              <c:numCache>
                <c:formatCode>General</c:formatCode>
                <c:ptCount val="1"/>
                <c:pt idx="0">
                  <c:v>1</c:v>
                </c:pt>
              </c:numCache>
            </c:numRef>
          </c:val>
          <c:extLst xmlns:c16r2="http://schemas.microsoft.com/office/drawing/2015/06/chart">
            <c:ext xmlns:c16="http://schemas.microsoft.com/office/drawing/2014/chart" uri="{C3380CC4-5D6E-409C-BE32-E72D297353CC}">
              <c16:uniqueId val="{00000000-725A-402A-88AD-3A2E97674312}"/>
            </c:ext>
          </c:extLst>
        </c:ser>
        <c:ser>
          <c:idx val="1"/>
          <c:order val="1"/>
          <c:spPr>
            <a:solidFill>
              <a:schemeClr val="accent5">
                <a:lumMod val="75000"/>
              </a:schemeClr>
            </a:solidFill>
          </c:spPr>
          <c:invertIfNegative val="0"/>
          <c:val>
            <c:numRef>
              <c:f>GESTIÓN!#REF!</c:f>
              <c:numCache>
                <c:formatCode>General</c:formatCode>
                <c:ptCount val="1"/>
                <c:pt idx="0">
                  <c:v>1</c:v>
                </c:pt>
              </c:numCache>
            </c:numRef>
          </c:val>
          <c:extLst xmlns:c16r2="http://schemas.microsoft.com/office/drawing/2015/06/chart">
            <c:ext xmlns:c16="http://schemas.microsoft.com/office/drawing/2014/chart" uri="{C3380CC4-5D6E-409C-BE32-E72D297353CC}">
              <c16:uniqueId val="{00000001-725A-402A-88AD-3A2E97674312}"/>
            </c:ext>
          </c:extLst>
        </c:ser>
        <c:dLbls>
          <c:showLegendKey val="0"/>
          <c:showVal val="0"/>
          <c:showCatName val="0"/>
          <c:showSerName val="0"/>
          <c:showPercent val="0"/>
          <c:showBubbleSize val="0"/>
        </c:dLbls>
        <c:gapWidth val="150"/>
        <c:overlap val="100"/>
        <c:axId val="273830256"/>
        <c:axId val="273830816"/>
      </c:barChart>
      <c:catAx>
        <c:axId val="273830256"/>
        <c:scaling>
          <c:orientation val="minMax"/>
        </c:scaling>
        <c:delete val="1"/>
        <c:axPos val="l"/>
        <c:majorTickMark val="out"/>
        <c:minorTickMark val="none"/>
        <c:tickLblPos val="nextTo"/>
        <c:crossAx val="273830816"/>
        <c:crosses val="autoZero"/>
        <c:auto val="1"/>
        <c:lblAlgn val="ctr"/>
        <c:lblOffset val="100"/>
        <c:noMultiLvlLbl val="0"/>
      </c:catAx>
      <c:valAx>
        <c:axId val="273830816"/>
        <c:scaling>
          <c:orientation val="minMax"/>
          <c:max val="1"/>
        </c:scaling>
        <c:delete val="1"/>
        <c:axPos val="b"/>
        <c:numFmt formatCode="General" sourceLinked="1"/>
        <c:majorTickMark val="out"/>
        <c:minorTickMark val="none"/>
        <c:tickLblPos val="nextTo"/>
        <c:crossAx val="273830256"/>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GESTIÓN!#REF!</c:f>
              <c:numCache>
                <c:formatCode>General</c:formatCode>
                <c:ptCount val="1"/>
                <c:pt idx="0">
                  <c:v>1</c:v>
                </c:pt>
              </c:numCache>
            </c:numRef>
          </c:val>
          <c:extLst xmlns:c16r2="http://schemas.microsoft.com/office/drawing/2015/06/chart">
            <c:ext xmlns:c16="http://schemas.microsoft.com/office/drawing/2014/chart" uri="{C3380CC4-5D6E-409C-BE32-E72D297353CC}">
              <c16:uniqueId val="{00000000-7D96-474E-B0BA-397BAC15FACC}"/>
            </c:ext>
          </c:extLst>
        </c:ser>
        <c:ser>
          <c:idx val="1"/>
          <c:order val="1"/>
          <c:spPr>
            <a:solidFill>
              <a:schemeClr val="accent5">
                <a:lumMod val="75000"/>
              </a:schemeClr>
            </a:solidFill>
          </c:spPr>
          <c:invertIfNegative val="0"/>
          <c:val>
            <c:numRef>
              <c:f>GESTIÓN!#REF!</c:f>
              <c:numCache>
                <c:formatCode>General</c:formatCode>
                <c:ptCount val="1"/>
                <c:pt idx="0">
                  <c:v>1</c:v>
                </c:pt>
              </c:numCache>
            </c:numRef>
          </c:val>
          <c:extLst xmlns:c16r2="http://schemas.microsoft.com/office/drawing/2015/06/chart">
            <c:ext xmlns:c16="http://schemas.microsoft.com/office/drawing/2014/chart" uri="{C3380CC4-5D6E-409C-BE32-E72D297353CC}">
              <c16:uniqueId val="{00000001-7D96-474E-B0BA-397BAC15FACC}"/>
            </c:ext>
          </c:extLst>
        </c:ser>
        <c:dLbls>
          <c:showLegendKey val="0"/>
          <c:showVal val="0"/>
          <c:showCatName val="0"/>
          <c:showSerName val="0"/>
          <c:showPercent val="0"/>
          <c:showBubbleSize val="0"/>
        </c:dLbls>
        <c:gapWidth val="150"/>
        <c:overlap val="100"/>
        <c:axId val="273833616"/>
        <c:axId val="273834176"/>
      </c:barChart>
      <c:catAx>
        <c:axId val="273833616"/>
        <c:scaling>
          <c:orientation val="minMax"/>
        </c:scaling>
        <c:delete val="1"/>
        <c:axPos val="l"/>
        <c:majorTickMark val="out"/>
        <c:minorTickMark val="none"/>
        <c:tickLblPos val="nextTo"/>
        <c:crossAx val="273834176"/>
        <c:crosses val="autoZero"/>
        <c:auto val="1"/>
        <c:lblAlgn val="ctr"/>
        <c:lblOffset val="100"/>
        <c:noMultiLvlLbl val="0"/>
      </c:catAx>
      <c:valAx>
        <c:axId val="273834176"/>
        <c:scaling>
          <c:orientation val="minMax"/>
          <c:max val="1"/>
        </c:scaling>
        <c:delete val="1"/>
        <c:axPos val="b"/>
        <c:numFmt formatCode="General" sourceLinked="1"/>
        <c:majorTickMark val="out"/>
        <c:minorTickMark val="none"/>
        <c:tickLblPos val="nextTo"/>
        <c:crossAx val="273833616"/>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GESTIÓN!#REF!</c:f>
              <c:numCache>
                <c:formatCode>General</c:formatCode>
                <c:ptCount val="1"/>
                <c:pt idx="0">
                  <c:v>1</c:v>
                </c:pt>
              </c:numCache>
            </c:numRef>
          </c:val>
          <c:extLst xmlns:c16r2="http://schemas.microsoft.com/office/drawing/2015/06/chart">
            <c:ext xmlns:c16="http://schemas.microsoft.com/office/drawing/2014/chart" uri="{C3380CC4-5D6E-409C-BE32-E72D297353CC}">
              <c16:uniqueId val="{00000000-2B29-4892-8257-5CC73AC949C0}"/>
            </c:ext>
          </c:extLst>
        </c:ser>
        <c:ser>
          <c:idx val="1"/>
          <c:order val="1"/>
          <c:spPr>
            <a:solidFill>
              <a:schemeClr val="accent5">
                <a:lumMod val="75000"/>
              </a:schemeClr>
            </a:solidFill>
          </c:spPr>
          <c:invertIfNegative val="0"/>
          <c:val>
            <c:numRef>
              <c:f>GESTIÓN!#REF!</c:f>
              <c:numCache>
                <c:formatCode>General</c:formatCode>
                <c:ptCount val="1"/>
                <c:pt idx="0">
                  <c:v>1</c:v>
                </c:pt>
              </c:numCache>
            </c:numRef>
          </c:val>
          <c:extLst xmlns:c16r2="http://schemas.microsoft.com/office/drawing/2015/06/chart">
            <c:ext xmlns:c16="http://schemas.microsoft.com/office/drawing/2014/chart" uri="{C3380CC4-5D6E-409C-BE32-E72D297353CC}">
              <c16:uniqueId val="{00000001-2B29-4892-8257-5CC73AC949C0}"/>
            </c:ext>
          </c:extLst>
        </c:ser>
        <c:dLbls>
          <c:showLegendKey val="0"/>
          <c:showVal val="0"/>
          <c:showCatName val="0"/>
          <c:showSerName val="0"/>
          <c:showPercent val="0"/>
          <c:showBubbleSize val="0"/>
        </c:dLbls>
        <c:gapWidth val="150"/>
        <c:overlap val="100"/>
        <c:axId val="273704992"/>
        <c:axId val="273705552"/>
      </c:barChart>
      <c:catAx>
        <c:axId val="273704992"/>
        <c:scaling>
          <c:orientation val="minMax"/>
        </c:scaling>
        <c:delete val="1"/>
        <c:axPos val="l"/>
        <c:majorTickMark val="out"/>
        <c:minorTickMark val="none"/>
        <c:tickLblPos val="nextTo"/>
        <c:crossAx val="273705552"/>
        <c:crosses val="autoZero"/>
        <c:auto val="1"/>
        <c:lblAlgn val="ctr"/>
        <c:lblOffset val="100"/>
        <c:noMultiLvlLbl val="0"/>
      </c:catAx>
      <c:valAx>
        <c:axId val="273705552"/>
        <c:scaling>
          <c:orientation val="minMax"/>
          <c:max val="1"/>
        </c:scaling>
        <c:delete val="1"/>
        <c:axPos val="b"/>
        <c:numFmt formatCode="General" sourceLinked="1"/>
        <c:majorTickMark val="out"/>
        <c:minorTickMark val="none"/>
        <c:tickLblPos val="nextTo"/>
        <c:crossAx val="273704992"/>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074249605055291E-2"/>
          <c:y val="0.1504271074600862"/>
          <c:w val="0.94312796208530802"/>
          <c:h val="0.28889003746141068"/>
        </c:manualLayout>
      </c:layout>
      <c:barChart>
        <c:barDir val="bar"/>
        <c:grouping val="stacked"/>
        <c:varyColors val="0"/>
        <c:ser>
          <c:idx val="0"/>
          <c:order val="0"/>
          <c:spPr>
            <a:noFill/>
            <a:ln>
              <a:noFill/>
            </a:ln>
          </c:spPr>
          <c:invertIfNegative val="0"/>
          <c:val>
            <c:numRef>
              <c:f>GESTIÓN!#REF!</c:f>
              <c:numCache>
                <c:formatCode>General</c:formatCode>
                <c:ptCount val="1"/>
                <c:pt idx="0">
                  <c:v>1</c:v>
                </c:pt>
              </c:numCache>
            </c:numRef>
          </c:val>
          <c:extLst xmlns:c16r2="http://schemas.microsoft.com/office/drawing/2015/06/chart">
            <c:ext xmlns:c16="http://schemas.microsoft.com/office/drawing/2014/chart" uri="{C3380CC4-5D6E-409C-BE32-E72D297353CC}">
              <c16:uniqueId val="{00000000-0DF7-46F3-B776-3E7959330132}"/>
            </c:ext>
          </c:extLst>
        </c:ser>
        <c:ser>
          <c:idx val="1"/>
          <c:order val="1"/>
          <c:spPr>
            <a:solidFill>
              <a:schemeClr val="accent5">
                <a:lumMod val="75000"/>
              </a:schemeClr>
            </a:solidFill>
          </c:spPr>
          <c:invertIfNegative val="0"/>
          <c:val>
            <c:numRef>
              <c:f>GESTIÓN!#REF!</c:f>
              <c:numCache>
                <c:formatCode>General</c:formatCode>
                <c:ptCount val="1"/>
                <c:pt idx="0">
                  <c:v>1</c:v>
                </c:pt>
              </c:numCache>
            </c:numRef>
          </c:val>
          <c:extLst xmlns:c16r2="http://schemas.microsoft.com/office/drawing/2015/06/chart">
            <c:ext xmlns:c16="http://schemas.microsoft.com/office/drawing/2014/chart" uri="{C3380CC4-5D6E-409C-BE32-E72D297353CC}">
              <c16:uniqueId val="{00000001-0DF7-46F3-B776-3E7959330132}"/>
            </c:ext>
          </c:extLst>
        </c:ser>
        <c:dLbls>
          <c:showLegendKey val="0"/>
          <c:showVal val="0"/>
          <c:showCatName val="0"/>
          <c:showSerName val="0"/>
          <c:showPercent val="0"/>
          <c:showBubbleSize val="0"/>
        </c:dLbls>
        <c:gapWidth val="150"/>
        <c:overlap val="100"/>
        <c:axId val="273708352"/>
        <c:axId val="273708912"/>
      </c:barChart>
      <c:catAx>
        <c:axId val="273708352"/>
        <c:scaling>
          <c:orientation val="minMax"/>
        </c:scaling>
        <c:delete val="1"/>
        <c:axPos val="l"/>
        <c:majorTickMark val="out"/>
        <c:minorTickMark val="none"/>
        <c:tickLblPos val="nextTo"/>
        <c:crossAx val="273708912"/>
        <c:crosses val="autoZero"/>
        <c:auto val="1"/>
        <c:lblAlgn val="ctr"/>
        <c:lblOffset val="100"/>
        <c:noMultiLvlLbl val="0"/>
      </c:catAx>
      <c:valAx>
        <c:axId val="273708912"/>
        <c:scaling>
          <c:orientation val="minMax"/>
          <c:max val="1"/>
        </c:scaling>
        <c:delete val="1"/>
        <c:axPos val="b"/>
        <c:numFmt formatCode="General" sourceLinked="1"/>
        <c:majorTickMark val="out"/>
        <c:minorTickMark val="none"/>
        <c:tickLblPos val="nextTo"/>
        <c:crossAx val="273708352"/>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s-PE" sz="1400"/>
              <a:t>DEMANDA DE AGUA EN</a:t>
            </a:r>
            <a:r>
              <a:rPr lang="es-PE" sz="1400" baseline="0"/>
              <a:t> LA SITUACIÓN </a:t>
            </a:r>
            <a:r>
              <a:rPr lang="es-PE" sz="1400"/>
              <a:t>ACTUAL</a:t>
            </a:r>
          </a:p>
        </c:rich>
      </c:tx>
      <c:layout>
        <c:manualLayout>
          <c:xMode val="edge"/>
          <c:yMode val="edge"/>
          <c:x val="0.22439951646213935"/>
          <c:y val="4.2711160123867484E-2"/>
        </c:manualLayout>
      </c:layout>
      <c:overlay val="0"/>
      <c:spPr>
        <a:noFill/>
        <a:ln w="25400">
          <a:noFill/>
        </a:ln>
      </c:spPr>
    </c:title>
    <c:autoTitleDeleted val="0"/>
    <c:plotArea>
      <c:layout>
        <c:manualLayout>
          <c:layoutTarget val="inner"/>
          <c:xMode val="edge"/>
          <c:yMode val="edge"/>
          <c:x val="0.16"/>
          <c:y val="0.16112552090683058"/>
          <c:w val="0.81200000000000006"/>
          <c:h val="0.71526082257620616"/>
        </c:manualLayout>
      </c:layout>
      <c:lineChart>
        <c:grouping val="standard"/>
        <c:varyColors val="0"/>
        <c:ser>
          <c:idx val="0"/>
          <c:order val="0"/>
          <c:tx>
            <c:v>Demanda</c:v>
          </c:tx>
          <c:spPr>
            <a:ln w="31750">
              <a:solidFill>
                <a:schemeClr val="tx2"/>
              </a:solidFill>
            </a:ln>
          </c:spPr>
          <c:marker>
            <c:symbol val="triangle"/>
            <c:size val="4"/>
            <c:spPr>
              <a:solidFill>
                <a:srgbClr val="0000FF"/>
              </a:solidFill>
              <a:ln>
                <a:solidFill>
                  <a:srgbClr val="0000FF"/>
                </a:solidFill>
                <a:prstDash val="solid"/>
              </a:ln>
            </c:spPr>
          </c:marker>
          <c:cat>
            <c:strRef>
              <c:f>BalanceHSP!$C$87:$N$87</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BalanceHSP!$C$92:$N$92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xmlns:c16r2="http://schemas.microsoft.com/office/drawing/2015/06/chart">
            <c:ext xmlns:c16="http://schemas.microsoft.com/office/drawing/2014/chart" uri="{C3380CC4-5D6E-409C-BE32-E72D297353CC}">
              <c16:uniqueId val="{00000000-C902-4195-89EB-EEFECB2420F1}"/>
            </c:ext>
          </c:extLst>
        </c:ser>
        <c:dLbls>
          <c:showLegendKey val="0"/>
          <c:showVal val="0"/>
          <c:showCatName val="0"/>
          <c:showSerName val="0"/>
          <c:showPercent val="0"/>
          <c:showBubbleSize val="0"/>
        </c:dLbls>
        <c:marker val="1"/>
        <c:smooth val="0"/>
        <c:axId val="273720112"/>
        <c:axId val="273720672"/>
      </c:lineChart>
      <c:catAx>
        <c:axId val="273720112"/>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273720672"/>
        <c:crosses val="autoZero"/>
        <c:auto val="1"/>
        <c:lblAlgn val="ctr"/>
        <c:lblOffset val="100"/>
        <c:tickLblSkip val="1"/>
        <c:tickMarkSkip val="1"/>
        <c:noMultiLvlLbl val="0"/>
      </c:catAx>
      <c:valAx>
        <c:axId val="273720672"/>
        <c:scaling>
          <c:orientation val="minMax"/>
        </c:scaling>
        <c:delete val="0"/>
        <c:axPos val="l"/>
        <c:majorGridlines>
          <c:spPr>
            <a:ln w="3175">
              <a:solidFill>
                <a:srgbClr val="000000"/>
              </a:solidFill>
              <a:prstDash val="solid"/>
            </a:ln>
          </c:spPr>
        </c:majorGridlines>
        <c:title>
          <c:tx>
            <c:rich>
              <a:bodyPr/>
              <a:lstStyle/>
              <a:p>
                <a:pPr>
                  <a:defRPr sz="1050" b="1" i="0" u="none" strike="noStrike" baseline="0">
                    <a:solidFill>
                      <a:srgbClr val="000000"/>
                    </a:solidFill>
                    <a:latin typeface="Arial"/>
                    <a:ea typeface="Arial"/>
                    <a:cs typeface="Arial"/>
                  </a:defRPr>
                </a:pPr>
                <a:r>
                  <a:rPr lang="es-PE" sz="1050"/>
                  <a:t>Volumen en MMC</a:t>
                </a:r>
              </a:p>
            </c:rich>
          </c:tx>
          <c:layout>
            <c:manualLayout>
              <c:xMode val="edge"/>
              <c:yMode val="edge"/>
              <c:x val="3.1999887413537119E-2"/>
              <c:y val="0.39641983581839507"/>
            </c:manualLayout>
          </c:layout>
          <c:overlay val="0"/>
          <c:spPr>
            <a:noFill/>
            <a:ln w="25400">
              <a:noFill/>
            </a:ln>
          </c:spPr>
        </c:title>
        <c:numFmt formatCode="#,##0.0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273720112"/>
        <c:crosses val="autoZero"/>
        <c:crossBetween val="between"/>
      </c:valAx>
      <c:dTable>
        <c:showHorzBorder val="1"/>
        <c:showVertBorder val="1"/>
        <c:showOutline val="1"/>
        <c:showKeys val="1"/>
        <c:txPr>
          <a:bodyPr/>
          <a:lstStyle/>
          <a:p>
            <a:pPr rtl="0">
              <a:defRPr sz="800"/>
            </a:pPr>
            <a:endParaRPr lang="es-PE"/>
          </a:p>
        </c:txPr>
      </c:dTable>
      <c:spPr>
        <a:solidFill>
          <a:schemeClr val="accent1">
            <a:lumMod val="20000"/>
            <a:lumOff val="80000"/>
          </a:schemeClr>
        </a:solidFill>
        <a:ln w="25400">
          <a:noFill/>
        </a:ln>
      </c:spPr>
    </c:plotArea>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s-PE"/>
    </a:p>
  </c:txPr>
  <c:printSettings>
    <c:headerFooter alignWithMargins="0"/>
    <c:pageMargins b="1" l="0.75" r="0.75" t="1" header="0" footer="0"/>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s-PE" sz="1600"/>
              <a:t>DISPONIBILIDAD</a:t>
            </a:r>
            <a:r>
              <a:rPr lang="es-PE" sz="1600" baseline="0"/>
              <a:t> HIDRICA DEL PROYECTO</a:t>
            </a:r>
            <a:endParaRPr lang="es-PE" sz="1600"/>
          </a:p>
        </c:rich>
      </c:tx>
      <c:layout>
        <c:manualLayout>
          <c:xMode val="edge"/>
          <c:yMode val="edge"/>
          <c:x val="0.21292615650766428"/>
          <c:y val="5.6993189003775355E-2"/>
        </c:manualLayout>
      </c:layout>
      <c:overlay val="0"/>
      <c:spPr>
        <a:noFill/>
        <a:ln w="25400">
          <a:noFill/>
        </a:ln>
      </c:spPr>
    </c:title>
    <c:autoTitleDeleted val="0"/>
    <c:plotArea>
      <c:layout>
        <c:manualLayout>
          <c:layoutTarget val="inner"/>
          <c:xMode val="edge"/>
          <c:yMode val="edge"/>
          <c:x val="0.12917942716700939"/>
          <c:y val="0.19164619164619165"/>
          <c:w val="0.848677232177661"/>
          <c:h val="0.69533169533169537"/>
        </c:manualLayout>
      </c:layout>
      <c:lineChart>
        <c:grouping val="standard"/>
        <c:varyColors val="1"/>
        <c:ser>
          <c:idx val="0"/>
          <c:order val="0"/>
          <c:tx>
            <c:v>Oferta</c:v>
          </c:tx>
          <c:spPr>
            <a:ln w="31750">
              <a:solidFill>
                <a:srgbClr val="FF0000"/>
              </a:solidFill>
            </a:ln>
          </c:spPr>
          <c:marker>
            <c:symbol val="square"/>
            <c:size val="3"/>
            <c:spPr>
              <a:solidFill>
                <a:srgbClr val="000000"/>
              </a:solidFill>
              <a:ln w="9525">
                <a:noFill/>
              </a:ln>
              <a:effectLst>
                <a:outerShdw dist="35921" dir="2700000" algn="br">
                  <a:srgbClr val="000000"/>
                </a:outerShdw>
              </a:effectLst>
            </c:spPr>
          </c:marker>
          <c:cat>
            <c:strRef>
              <c:f>BalanceHSP!$C$87:$N$87</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BalanceHSP!$C$91:$N$91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xmlns:c16r2="http://schemas.microsoft.com/office/drawing/2015/06/chart">
            <c:ext xmlns:c16="http://schemas.microsoft.com/office/drawing/2014/chart" uri="{C3380CC4-5D6E-409C-BE32-E72D297353CC}">
              <c16:uniqueId val="{00000000-1C59-41CA-B5EF-03A4835AAFDF}"/>
            </c:ext>
          </c:extLst>
        </c:ser>
        <c:dLbls>
          <c:showLegendKey val="0"/>
          <c:showVal val="0"/>
          <c:showCatName val="0"/>
          <c:showSerName val="0"/>
          <c:showPercent val="0"/>
          <c:showBubbleSize val="0"/>
        </c:dLbls>
        <c:marker val="1"/>
        <c:smooth val="0"/>
        <c:axId val="278031536"/>
        <c:axId val="278032096"/>
      </c:lineChart>
      <c:catAx>
        <c:axId val="278031536"/>
        <c:scaling>
          <c:orientation val="minMax"/>
        </c:scaling>
        <c:delete val="0"/>
        <c:axPos val="b"/>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s-PE"/>
          </a:p>
        </c:txPr>
        <c:crossAx val="278032096"/>
        <c:crosses val="autoZero"/>
        <c:auto val="1"/>
        <c:lblAlgn val="ctr"/>
        <c:lblOffset val="100"/>
        <c:tickLblSkip val="1"/>
        <c:tickMarkSkip val="1"/>
        <c:noMultiLvlLbl val="0"/>
      </c:catAx>
      <c:valAx>
        <c:axId val="278032096"/>
        <c:scaling>
          <c:orientation val="minMax"/>
        </c:scaling>
        <c:delete val="0"/>
        <c:axPos val="l"/>
        <c:majorGridlines>
          <c:spPr>
            <a:ln w="3175">
              <a:solidFill>
                <a:srgbClr val="000000"/>
              </a:solidFill>
              <a:prstDash val="solid"/>
            </a:ln>
          </c:spPr>
        </c:majorGridlines>
        <c:title>
          <c:tx>
            <c:rich>
              <a:bodyPr/>
              <a:lstStyle/>
              <a:p>
                <a:pPr>
                  <a:defRPr sz="1050" b="1" i="0" u="none" strike="noStrike" baseline="0">
                    <a:solidFill>
                      <a:srgbClr val="000000"/>
                    </a:solidFill>
                    <a:latin typeface="Arial"/>
                    <a:ea typeface="Arial"/>
                    <a:cs typeface="Arial"/>
                  </a:defRPr>
                </a:pPr>
                <a:r>
                  <a:rPr lang="es-PE" sz="1050"/>
                  <a:t>Volumen</a:t>
                </a:r>
                <a:r>
                  <a:rPr lang="es-PE"/>
                  <a:t> en MMC</a:t>
                </a:r>
              </a:p>
            </c:rich>
          </c:tx>
          <c:layout>
            <c:manualLayout>
              <c:xMode val="edge"/>
              <c:yMode val="edge"/>
              <c:x val="2.7355665907615206E-2"/>
              <c:y val="0.4226044226044226"/>
            </c:manualLayout>
          </c:layout>
          <c:overlay val="0"/>
          <c:spPr>
            <a:noFill/>
            <a:ln w="25400">
              <a:noFill/>
            </a:ln>
          </c:spPr>
        </c:title>
        <c:numFmt formatCode="#,##0.000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s-PE"/>
          </a:p>
        </c:txPr>
        <c:crossAx val="278031536"/>
        <c:crosses val="autoZero"/>
        <c:crossBetween val="between"/>
      </c:valAx>
      <c:dTable>
        <c:showHorzBorder val="1"/>
        <c:showVertBorder val="1"/>
        <c:showOutline val="1"/>
        <c:showKeys val="1"/>
        <c:txPr>
          <a:bodyPr/>
          <a:lstStyle/>
          <a:p>
            <a:pPr rtl="0">
              <a:defRPr sz="800"/>
            </a:pPr>
            <a:endParaRPr lang="es-PE"/>
          </a:p>
        </c:txPr>
      </c:dTable>
      <c:spPr>
        <a:solidFill>
          <a:schemeClr val="accent1">
            <a:lumMod val="20000"/>
            <a:lumOff val="80000"/>
          </a:schemeClr>
        </a:solidFill>
        <a:ln w="25400">
          <a:noFill/>
        </a:ln>
      </c:spPr>
    </c:plotArea>
    <c:plotVisOnly val="1"/>
    <c:dispBlanksAs val="gap"/>
    <c:showDLblsOverMax val="0"/>
  </c:chart>
  <c:spPr>
    <a:solidFill>
      <a:srgbClr val="FFFFFF"/>
    </a:solidFill>
    <a:ln w="9525">
      <a:noFill/>
    </a:ln>
  </c:spPr>
  <c:txPr>
    <a:bodyPr/>
    <a:lstStyle/>
    <a:p>
      <a:pPr>
        <a:defRPr sz="1750" b="0" i="0" u="none" strike="noStrike" baseline="0">
          <a:solidFill>
            <a:srgbClr val="000000"/>
          </a:solidFill>
          <a:latin typeface="Arial"/>
          <a:ea typeface="Arial"/>
          <a:cs typeface="Arial"/>
        </a:defRPr>
      </a:pPr>
      <a:endParaRPr lang="es-PE"/>
    </a:p>
  </c:txPr>
  <c:printSettings>
    <c:headerFooter alignWithMargins="0"/>
    <c:pageMargins b="1" l="0.75" r="0.75" t="1" header="0" footer="0"/>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Arial"/>
                <a:ea typeface="Arial"/>
                <a:cs typeface="Arial"/>
              </a:defRPr>
            </a:pPr>
            <a:r>
              <a:rPr lang="es-PE" sz="1400" b="1" i="0" u="none" strike="noStrike" baseline="0">
                <a:solidFill>
                  <a:srgbClr val="000000"/>
                </a:solidFill>
                <a:latin typeface="Arial"/>
                <a:cs typeface="Arial"/>
              </a:rPr>
              <a:t>BALANCE HIDRICO EN SITUACION ACTUAL</a:t>
            </a:r>
          </a:p>
        </c:rich>
      </c:tx>
      <c:layout>
        <c:manualLayout>
          <c:xMode val="edge"/>
          <c:yMode val="edge"/>
          <c:x val="0.2259919072615923"/>
          <c:y val="4.6705076499583893E-2"/>
        </c:manualLayout>
      </c:layout>
      <c:overlay val="0"/>
      <c:spPr>
        <a:noFill/>
        <a:ln w="25400">
          <a:noFill/>
        </a:ln>
      </c:spPr>
    </c:title>
    <c:autoTitleDeleted val="0"/>
    <c:plotArea>
      <c:layout>
        <c:manualLayout>
          <c:layoutTarget val="inner"/>
          <c:xMode val="edge"/>
          <c:yMode val="edge"/>
          <c:x val="0.16109140828941099"/>
          <c:y val="0.1873538143797599"/>
          <c:w val="0.83075865516810399"/>
          <c:h val="0.68384153139812121"/>
        </c:manualLayout>
      </c:layout>
      <c:lineChart>
        <c:grouping val="standard"/>
        <c:varyColors val="0"/>
        <c:ser>
          <c:idx val="0"/>
          <c:order val="0"/>
          <c:tx>
            <c:v>Oferta</c:v>
          </c:tx>
          <c:spPr>
            <a:ln w="31750">
              <a:solidFill>
                <a:schemeClr val="tx2"/>
              </a:solidFill>
            </a:ln>
          </c:spPr>
          <c:marker>
            <c:symbol val="square"/>
            <c:size val="3"/>
            <c:spPr>
              <a:solidFill>
                <a:srgbClr val="000080"/>
              </a:solidFill>
              <a:ln>
                <a:solidFill>
                  <a:srgbClr val="000080"/>
                </a:solidFill>
                <a:prstDash val="solid"/>
              </a:ln>
            </c:spPr>
          </c:marker>
          <c:cat>
            <c:strLit>
              <c:ptCount val="12"/>
              <c:pt idx="0">
                <c:v>ENE</c:v>
              </c:pt>
              <c:pt idx="1">
                <c:v>FEB</c:v>
              </c:pt>
              <c:pt idx="2">
                <c:v>MAR</c:v>
              </c:pt>
              <c:pt idx="3">
                <c:v>ABR</c:v>
              </c:pt>
              <c:pt idx="4">
                <c:v>MAY</c:v>
              </c:pt>
              <c:pt idx="5">
                <c:v>JUN</c:v>
              </c:pt>
              <c:pt idx="6">
                <c:v>JUL</c:v>
              </c:pt>
              <c:pt idx="7">
                <c:v>AGO</c:v>
              </c:pt>
              <c:pt idx="8">
                <c:v>SEP</c:v>
              </c:pt>
              <c:pt idx="9">
                <c:v>OCT</c:v>
              </c:pt>
              <c:pt idx="10">
                <c:v>NOV</c:v>
              </c:pt>
              <c:pt idx="11">
                <c:v>DIC</c:v>
              </c:pt>
            </c:strLit>
          </c:cat>
          <c:val>
            <c:numRef>
              <c:f>BalanceHSP!$C$91:$N$91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xmlns:c16r2="http://schemas.microsoft.com/office/drawing/2015/06/chart">
            <c:ext xmlns:c16="http://schemas.microsoft.com/office/drawing/2014/chart" uri="{C3380CC4-5D6E-409C-BE32-E72D297353CC}">
              <c16:uniqueId val="{00000000-634E-49A6-B6BE-503D87187F2B}"/>
            </c:ext>
          </c:extLst>
        </c:ser>
        <c:ser>
          <c:idx val="1"/>
          <c:order val="1"/>
          <c:tx>
            <c:v>Demanda</c:v>
          </c:tx>
          <c:spPr>
            <a:ln w="31750">
              <a:solidFill>
                <a:srgbClr val="FF0000"/>
              </a:solidFill>
            </a:ln>
          </c:spPr>
          <c:marker>
            <c:symbol val="square"/>
            <c:size val="3"/>
            <c:spPr>
              <a:solidFill>
                <a:srgbClr val="0000FF"/>
              </a:solidFill>
              <a:ln>
                <a:solidFill>
                  <a:srgbClr val="0000FF"/>
                </a:solidFill>
                <a:prstDash val="solid"/>
              </a:ln>
            </c:spPr>
          </c:marker>
          <c:cat>
            <c:strLit>
              <c:ptCount val="12"/>
              <c:pt idx="0">
                <c:v>ENE</c:v>
              </c:pt>
              <c:pt idx="1">
                <c:v>FEB</c:v>
              </c:pt>
              <c:pt idx="2">
                <c:v>MAR</c:v>
              </c:pt>
              <c:pt idx="3">
                <c:v>ABR</c:v>
              </c:pt>
              <c:pt idx="4">
                <c:v>MAY</c:v>
              </c:pt>
              <c:pt idx="5">
                <c:v>JUN</c:v>
              </c:pt>
              <c:pt idx="6">
                <c:v>JUL</c:v>
              </c:pt>
              <c:pt idx="7">
                <c:v>AGO</c:v>
              </c:pt>
              <c:pt idx="8">
                <c:v>SEP</c:v>
              </c:pt>
              <c:pt idx="9">
                <c:v>OCT</c:v>
              </c:pt>
              <c:pt idx="10">
                <c:v>NOV</c:v>
              </c:pt>
              <c:pt idx="11">
                <c:v>DIC</c:v>
              </c:pt>
            </c:strLit>
          </c:cat>
          <c:val>
            <c:numRef>
              <c:f>BalanceHSP!$C$92:$N$92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xmlns:c16r2="http://schemas.microsoft.com/office/drawing/2015/06/chart">
            <c:ext xmlns:c16="http://schemas.microsoft.com/office/drawing/2014/chart" uri="{C3380CC4-5D6E-409C-BE32-E72D297353CC}">
              <c16:uniqueId val="{00000001-634E-49A6-B6BE-503D87187F2B}"/>
            </c:ext>
          </c:extLst>
        </c:ser>
        <c:dLbls>
          <c:showLegendKey val="0"/>
          <c:showVal val="0"/>
          <c:showCatName val="0"/>
          <c:showSerName val="0"/>
          <c:showPercent val="0"/>
          <c:showBubbleSize val="0"/>
        </c:dLbls>
        <c:hiLowLines>
          <c:spPr>
            <a:ln w="25400">
              <a:solidFill>
                <a:srgbClr val="000000"/>
              </a:solidFill>
              <a:prstDash val="solid"/>
            </a:ln>
          </c:spPr>
        </c:hiLowLines>
        <c:marker val="1"/>
        <c:smooth val="0"/>
        <c:axId val="278035456"/>
        <c:axId val="278036016"/>
      </c:lineChart>
      <c:catAx>
        <c:axId val="278035456"/>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278036016"/>
        <c:crosses val="autoZero"/>
        <c:auto val="1"/>
        <c:lblAlgn val="ctr"/>
        <c:lblOffset val="100"/>
        <c:tickMarkSkip val="1"/>
        <c:noMultiLvlLbl val="0"/>
      </c:catAx>
      <c:valAx>
        <c:axId val="278036016"/>
        <c:scaling>
          <c:orientation val="minMax"/>
        </c:scaling>
        <c:delete val="0"/>
        <c:axPos val="l"/>
        <c:majorGridlines>
          <c:spPr>
            <a:ln w="3175">
              <a:solidFill>
                <a:srgbClr val="000000"/>
              </a:solidFill>
              <a:prstDash val="solid"/>
            </a:ln>
          </c:spPr>
        </c:majorGridlines>
        <c:title>
          <c:tx>
            <c:rich>
              <a:bodyPr/>
              <a:lstStyle/>
              <a:p>
                <a:pPr>
                  <a:defRPr sz="1050" b="0" i="0" u="none" strike="noStrike" baseline="0">
                    <a:solidFill>
                      <a:srgbClr val="000000"/>
                    </a:solidFill>
                    <a:latin typeface="Calibri"/>
                    <a:ea typeface="Calibri"/>
                    <a:cs typeface="Calibri"/>
                  </a:defRPr>
                </a:pPr>
                <a:r>
                  <a:rPr lang="es-PE" sz="1050" b="1" i="0" u="none" strike="noStrike" baseline="0">
                    <a:solidFill>
                      <a:srgbClr val="000000"/>
                    </a:solidFill>
                    <a:latin typeface="Arial"/>
                    <a:cs typeface="Arial"/>
                  </a:rPr>
                  <a:t>Volumen en MMC)</a:t>
                </a:r>
              </a:p>
            </c:rich>
          </c:tx>
          <c:layout>
            <c:manualLayout>
              <c:xMode val="edge"/>
              <c:yMode val="edge"/>
              <c:x val="5.0465541400820831E-2"/>
              <c:y val="0.35500129082225373"/>
            </c:manualLayout>
          </c:layout>
          <c:overlay val="0"/>
          <c:spPr>
            <a:noFill/>
            <a:ln w="25400">
              <a:noFill/>
            </a:ln>
          </c:spPr>
        </c:title>
        <c:numFmt formatCode="#,##0.0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278035456"/>
        <c:crosses val="autoZero"/>
        <c:crossBetween val="between"/>
      </c:valAx>
      <c:dTable>
        <c:showHorzBorder val="1"/>
        <c:showVertBorder val="1"/>
        <c:showOutline val="1"/>
        <c:showKeys val="1"/>
        <c:spPr>
          <a:ln w="3175">
            <a:solidFill>
              <a:srgbClr val="000000"/>
            </a:solidFill>
            <a:prstDash val="solid"/>
          </a:ln>
        </c:spPr>
        <c:txPr>
          <a:bodyPr/>
          <a:lstStyle/>
          <a:p>
            <a:pPr rtl="0">
              <a:defRPr sz="800" b="0" i="0" u="none" strike="noStrike" baseline="0">
                <a:solidFill>
                  <a:srgbClr val="000000"/>
                </a:solidFill>
                <a:latin typeface="Arial"/>
                <a:ea typeface="Arial"/>
                <a:cs typeface="Arial"/>
              </a:defRPr>
            </a:pPr>
            <a:endParaRPr lang="es-PE"/>
          </a:p>
        </c:txPr>
      </c:dTable>
      <c:spPr>
        <a:solidFill>
          <a:schemeClr val="accent1">
            <a:lumMod val="20000"/>
            <a:lumOff val="80000"/>
          </a:schemeClr>
        </a:solidFill>
        <a:ln w="25400">
          <a:noFill/>
        </a:ln>
      </c:spPr>
    </c:plotArea>
    <c:plotVisOnly val="1"/>
    <c:dispBlanksAs val="gap"/>
    <c:showDLblsOverMax val="0"/>
  </c:chart>
  <c:spPr>
    <a:solidFill>
      <a:srgbClr val="FFFFFF"/>
    </a:solidFill>
    <a:ln w="9525">
      <a:noFill/>
    </a:ln>
  </c:spPr>
  <c:txPr>
    <a:bodyPr/>
    <a:lstStyle/>
    <a:p>
      <a:pPr>
        <a:defRPr sz="1750" b="0" i="0" u="none" strike="noStrike" baseline="0">
          <a:solidFill>
            <a:srgbClr val="000000"/>
          </a:solidFill>
          <a:latin typeface="Arial"/>
          <a:ea typeface="Arial"/>
          <a:cs typeface="Arial"/>
        </a:defRPr>
      </a:pPr>
      <a:endParaRPr lang="es-PE"/>
    </a:p>
  </c:txPr>
  <c:printSettings>
    <c:headerFooter alignWithMargins="0"/>
    <c:pageMargins b="1" l="0.75" r="0.75" t="1" header="0" footer="0"/>
    <c:pageSetup paperSize="9" orientation="landscape" verticalDpi="0"/>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s-PE" sz="1400"/>
              <a:t>DEMANDA DE AGUA EN</a:t>
            </a:r>
            <a:r>
              <a:rPr lang="es-PE" sz="1400" baseline="0"/>
              <a:t> LA SITUACIÓN </a:t>
            </a:r>
            <a:r>
              <a:rPr lang="es-PE" sz="1400"/>
              <a:t>CON PROYECTO</a:t>
            </a:r>
          </a:p>
        </c:rich>
      </c:tx>
      <c:layout>
        <c:manualLayout>
          <c:xMode val="edge"/>
          <c:yMode val="edge"/>
          <c:x val="0.18278939122720098"/>
          <c:y val="4.2711160123867484E-2"/>
        </c:manualLayout>
      </c:layout>
      <c:overlay val="0"/>
      <c:spPr>
        <a:noFill/>
        <a:ln w="25400">
          <a:noFill/>
        </a:ln>
      </c:spPr>
    </c:title>
    <c:autoTitleDeleted val="0"/>
    <c:plotArea>
      <c:layout>
        <c:manualLayout>
          <c:layoutTarget val="inner"/>
          <c:xMode val="edge"/>
          <c:yMode val="edge"/>
          <c:x val="0.16"/>
          <c:y val="0.16112552090683058"/>
          <c:w val="0.81200000000000006"/>
          <c:h val="0.71526082257620616"/>
        </c:manualLayout>
      </c:layout>
      <c:lineChart>
        <c:grouping val="standard"/>
        <c:varyColors val="0"/>
        <c:ser>
          <c:idx val="0"/>
          <c:order val="0"/>
          <c:tx>
            <c:v>Demanda</c:v>
          </c:tx>
          <c:spPr>
            <a:ln w="31750">
              <a:solidFill>
                <a:schemeClr val="tx2"/>
              </a:solidFill>
            </a:ln>
          </c:spPr>
          <c:marker>
            <c:symbol val="triangle"/>
            <c:size val="4"/>
            <c:spPr>
              <a:solidFill>
                <a:srgbClr val="0000FF"/>
              </a:solidFill>
              <a:ln>
                <a:solidFill>
                  <a:srgbClr val="0000FF"/>
                </a:solidFill>
                <a:prstDash val="solid"/>
              </a:ln>
            </c:spPr>
          </c:marker>
          <c:cat>
            <c:strRef>
              <c:f>BalanceHCP!$C$87:$N$87</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BalanceHCP!$C$92:$N$92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xmlns:c16r2="http://schemas.microsoft.com/office/drawing/2015/06/chart">
            <c:ext xmlns:c16="http://schemas.microsoft.com/office/drawing/2014/chart" uri="{C3380CC4-5D6E-409C-BE32-E72D297353CC}">
              <c16:uniqueId val="{00000000-6236-40FA-91EF-993B4D74C6A8}"/>
            </c:ext>
          </c:extLst>
        </c:ser>
        <c:dLbls>
          <c:showLegendKey val="0"/>
          <c:showVal val="0"/>
          <c:showCatName val="0"/>
          <c:showSerName val="0"/>
          <c:showPercent val="0"/>
          <c:showBubbleSize val="0"/>
        </c:dLbls>
        <c:marker val="1"/>
        <c:smooth val="0"/>
        <c:axId val="278329520"/>
        <c:axId val="278330080"/>
      </c:lineChart>
      <c:catAx>
        <c:axId val="278329520"/>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278330080"/>
        <c:crosses val="autoZero"/>
        <c:auto val="1"/>
        <c:lblAlgn val="ctr"/>
        <c:lblOffset val="100"/>
        <c:tickLblSkip val="1"/>
        <c:tickMarkSkip val="1"/>
        <c:noMultiLvlLbl val="0"/>
      </c:catAx>
      <c:valAx>
        <c:axId val="278330080"/>
        <c:scaling>
          <c:orientation val="minMax"/>
        </c:scaling>
        <c:delete val="0"/>
        <c:axPos val="l"/>
        <c:majorGridlines>
          <c:spPr>
            <a:ln w="3175">
              <a:solidFill>
                <a:srgbClr val="000000"/>
              </a:solidFill>
              <a:prstDash val="solid"/>
            </a:ln>
          </c:spPr>
        </c:majorGridlines>
        <c:title>
          <c:tx>
            <c:rich>
              <a:bodyPr/>
              <a:lstStyle/>
              <a:p>
                <a:pPr>
                  <a:defRPr sz="1050" b="1" i="0" u="none" strike="noStrike" baseline="0">
                    <a:solidFill>
                      <a:srgbClr val="000000"/>
                    </a:solidFill>
                    <a:latin typeface="Arial"/>
                    <a:ea typeface="Arial"/>
                    <a:cs typeface="Arial"/>
                  </a:defRPr>
                </a:pPr>
                <a:r>
                  <a:rPr lang="es-PE" sz="1050"/>
                  <a:t>Volumen en MMC</a:t>
                </a:r>
              </a:p>
            </c:rich>
          </c:tx>
          <c:layout>
            <c:manualLayout>
              <c:xMode val="edge"/>
              <c:yMode val="edge"/>
              <c:x val="3.1999887413537119E-2"/>
              <c:y val="0.39641983581839507"/>
            </c:manualLayout>
          </c:layout>
          <c:overlay val="0"/>
          <c:spPr>
            <a:noFill/>
            <a:ln w="25400">
              <a:noFill/>
            </a:ln>
          </c:spPr>
        </c:title>
        <c:numFmt formatCode="#,##0.0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278329520"/>
        <c:crosses val="autoZero"/>
        <c:crossBetween val="between"/>
      </c:valAx>
      <c:dTable>
        <c:showHorzBorder val="1"/>
        <c:showVertBorder val="1"/>
        <c:showOutline val="1"/>
        <c:showKeys val="1"/>
        <c:txPr>
          <a:bodyPr/>
          <a:lstStyle/>
          <a:p>
            <a:pPr rtl="0">
              <a:defRPr sz="800"/>
            </a:pPr>
            <a:endParaRPr lang="es-PE"/>
          </a:p>
        </c:txPr>
      </c:dTable>
      <c:spPr>
        <a:solidFill>
          <a:schemeClr val="accent1">
            <a:lumMod val="20000"/>
            <a:lumOff val="80000"/>
          </a:schemeClr>
        </a:solidFill>
        <a:ln w="25400">
          <a:noFill/>
        </a:ln>
      </c:spPr>
    </c:plotArea>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s-PE"/>
    </a:p>
  </c:txPr>
  <c:printSettings>
    <c:headerFooter alignWithMargins="0"/>
    <c:pageMargins b="1" l="0.75" r="0.75" t="1" header="0" footer="0"/>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s-PE" sz="1600"/>
              <a:t>DISPONIBILIDAD</a:t>
            </a:r>
            <a:r>
              <a:rPr lang="es-PE" sz="1600" baseline="0"/>
              <a:t> HIDRICA DEL PROYECTO</a:t>
            </a:r>
            <a:endParaRPr lang="es-PE" sz="1600"/>
          </a:p>
        </c:rich>
      </c:tx>
      <c:layout>
        <c:manualLayout>
          <c:xMode val="edge"/>
          <c:yMode val="edge"/>
          <c:x val="0.21292615650766428"/>
          <c:y val="5.6993189003775355E-2"/>
        </c:manualLayout>
      </c:layout>
      <c:overlay val="0"/>
      <c:spPr>
        <a:noFill/>
        <a:ln w="25400">
          <a:noFill/>
        </a:ln>
      </c:spPr>
    </c:title>
    <c:autoTitleDeleted val="0"/>
    <c:plotArea>
      <c:layout>
        <c:manualLayout>
          <c:layoutTarget val="inner"/>
          <c:xMode val="edge"/>
          <c:yMode val="edge"/>
          <c:x val="0.12917942716700939"/>
          <c:y val="0.19164619164619165"/>
          <c:w val="0.848677232177661"/>
          <c:h val="0.69533169533169537"/>
        </c:manualLayout>
      </c:layout>
      <c:lineChart>
        <c:grouping val="standard"/>
        <c:varyColors val="1"/>
        <c:ser>
          <c:idx val="0"/>
          <c:order val="0"/>
          <c:tx>
            <c:v>Oferta</c:v>
          </c:tx>
          <c:spPr>
            <a:ln w="31750">
              <a:solidFill>
                <a:srgbClr val="FF0000"/>
              </a:solidFill>
            </a:ln>
          </c:spPr>
          <c:marker>
            <c:symbol val="square"/>
            <c:size val="3"/>
            <c:spPr>
              <a:solidFill>
                <a:srgbClr val="000000"/>
              </a:solidFill>
              <a:ln w="9525">
                <a:noFill/>
              </a:ln>
              <a:effectLst>
                <a:outerShdw dist="35921" dir="2700000" algn="br">
                  <a:srgbClr val="000000"/>
                </a:outerShdw>
              </a:effectLst>
            </c:spPr>
          </c:marker>
          <c:dLbls>
            <c:delete val="1"/>
          </c:dLbls>
          <c:cat>
            <c:strRef>
              <c:f>BalanceHCP!$C$52:$N$52</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BalanceHCP!$C$91:$N$91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xmlns:c16r2="http://schemas.microsoft.com/office/drawing/2015/06/chart">
            <c:ext xmlns:c16="http://schemas.microsoft.com/office/drawing/2014/chart" uri="{C3380CC4-5D6E-409C-BE32-E72D297353CC}">
              <c16:uniqueId val="{00000000-816D-4823-90D9-15A2DD91C2C4}"/>
            </c:ext>
          </c:extLst>
        </c:ser>
        <c:dLbls>
          <c:showLegendKey val="0"/>
          <c:showVal val="1"/>
          <c:showCatName val="0"/>
          <c:showSerName val="0"/>
          <c:showPercent val="0"/>
          <c:showBubbleSize val="0"/>
        </c:dLbls>
        <c:marker val="1"/>
        <c:smooth val="0"/>
        <c:axId val="278332880"/>
        <c:axId val="278333440"/>
      </c:lineChart>
      <c:catAx>
        <c:axId val="278332880"/>
        <c:scaling>
          <c:orientation val="minMax"/>
        </c:scaling>
        <c:delete val="0"/>
        <c:axPos val="b"/>
        <c:majorGridlines>
          <c:spPr>
            <a:ln w="3175">
              <a:solidFill>
                <a:srgbClr val="000000"/>
              </a:solidFill>
              <a:prstDash val="solid"/>
            </a:ln>
          </c:spPr>
        </c:majorGridlines>
        <c:numFmt formatCode="#,##0.000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s-PE"/>
          </a:p>
        </c:txPr>
        <c:crossAx val="278333440"/>
        <c:crosses val="autoZero"/>
        <c:auto val="1"/>
        <c:lblAlgn val="ctr"/>
        <c:lblOffset val="100"/>
        <c:tickLblSkip val="1"/>
        <c:tickMarkSkip val="1"/>
        <c:noMultiLvlLbl val="0"/>
      </c:catAx>
      <c:valAx>
        <c:axId val="278333440"/>
        <c:scaling>
          <c:orientation val="minMax"/>
        </c:scaling>
        <c:delete val="0"/>
        <c:axPos val="l"/>
        <c:majorGridlines>
          <c:spPr>
            <a:ln w="3175">
              <a:solidFill>
                <a:srgbClr val="000000"/>
              </a:solidFill>
              <a:prstDash val="solid"/>
            </a:ln>
          </c:spPr>
        </c:majorGridlines>
        <c:title>
          <c:tx>
            <c:rich>
              <a:bodyPr/>
              <a:lstStyle/>
              <a:p>
                <a:pPr>
                  <a:defRPr sz="1050" b="1" i="0" u="none" strike="noStrike" baseline="0">
                    <a:solidFill>
                      <a:srgbClr val="000000"/>
                    </a:solidFill>
                    <a:latin typeface="Arial"/>
                    <a:ea typeface="Arial"/>
                    <a:cs typeface="Arial"/>
                  </a:defRPr>
                </a:pPr>
                <a:r>
                  <a:rPr lang="es-PE" sz="1050"/>
                  <a:t>Volumen</a:t>
                </a:r>
                <a:r>
                  <a:rPr lang="es-PE"/>
                  <a:t> en MMC</a:t>
                </a:r>
              </a:p>
            </c:rich>
          </c:tx>
          <c:layout>
            <c:manualLayout>
              <c:xMode val="edge"/>
              <c:yMode val="edge"/>
              <c:x val="2.7355665907615206E-2"/>
              <c:y val="0.4226044226044226"/>
            </c:manualLayout>
          </c:layout>
          <c:overlay val="0"/>
          <c:spPr>
            <a:noFill/>
            <a:ln w="25400">
              <a:noFill/>
            </a:ln>
          </c:spPr>
        </c:title>
        <c:numFmt formatCode="#,##0.000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s-PE"/>
          </a:p>
        </c:txPr>
        <c:crossAx val="278332880"/>
        <c:crosses val="autoZero"/>
        <c:crossBetween val="between"/>
      </c:valAx>
      <c:dTable>
        <c:showHorzBorder val="1"/>
        <c:showVertBorder val="1"/>
        <c:showOutline val="1"/>
        <c:showKeys val="1"/>
        <c:txPr>
          <a:bodyPr/>
          <a:lstStyle/>
          <a:p>
            <a:pPr rtl="0">
              <a:defRPr sz="800"/>
            </a:pPr>
            <a:endParaRPr lang="es-PE"/>
          </a:p>
        </c:txPr>
      </c:dTable>
      <c:spPr>
        <a:solidFill>
          <a:schemeClr val="accent1">
            <a:lumMod val="20000"/>
            <a:lumOff val="80000"/>
          </a:schemeClr>
        </a:solidFill>
        <a:ln w="25400">
          <a:noFill/>
        </a:ln>
      </c:spPr>
    </c:plotArea>
    <c:plotVisOnly val="1"/>
    <c:dispBlanksAs val="gap"/>
    <c:showDLblsOverMax val="0"/>
  </c:chart>
  <c:spPr>
    <a:solidFill>
      <a:srgbClr val="FFFFFF"/>
    </a:solidFill>
    <a:ln w="9525">
      <a:noFill/>
    </a:ln>
  </c:spPr>
  <c:txPr>
    <a:bodyPr/>
    <a:lstStyle/>
    <a:p>
      <a:pPr>
        <a:defRPr sz="1750" b="0" i="0" u="none" strike="noStrike" baseline="0">
          <a:solidFill>
            <a:srgbClr val="000000"/>
          </a:solidFill>
          <a:latin typeface="Arial"/>
          <a:ea typeface="Arial"/>
          <a:cs typeface="Arial"/>
        </a:defRPr>
      </a:pPr>
      <a:endParaRPr lang="es-PE"/>
    </a:p>
  </c:txPr>
  <c:printSettings>
    <c:headerFooter alignWithMargins="0"/>
    <c:pageMargins b="1" l="0.75" r="0.75" t="1" header="0" footer="0"/>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Arial"/>
                <a:ea typeface="Arial"/>
                <a:cs typeface="Arial"/>
              </a:defRPr>
            </a:pPr>
            <a:r>
              <a:rPr lang="es-PE" sz="1400" b="1" i="0" u="none" strike="noStrike" baseline="0">
                <a:solidFill>
                  <a:srgbClr val="000000"/>
                </a:solidFill>
                <a:latin typeface="Arial"/>
                <a:cs typeface="Arial"/>
              </a:rPr>
              <a:t>BALANCE HIDRICO EN SITUACION CON PROYECTO</a:t>
            </a:r>
          </a:p>
        </c:rich>
      </c:tx>
      <c:layout>
        <c:manualLayout>
          <c:xMode val="edge"/>
          <c:yMode val="edge"/>
          <c:x val="0.20431171713291937"/>
          <c:y val="4.6705073815458603E-2"/>
        </c:manualLayout>
      </c:layout>
      <c:overlay val="0"/>
      <c:spPr>
        <a:noFill/>
        <a:ln w="25400">
          <a:noFill/>
        </a:ln>
      </c:spPr>
    </c:title>
    <c:autoTitleDeleted val="0"/>
    <c:plotArea>
      <c:layout>
        <c:manualLayout>
          <c:layoutTarget val="inner"/>
          <c:xMode val="edge"/>
          <c:yMode val="edge"/>
          <c:x val="0.16109140828941099"/>
          <c:y val="0.1873538143797599"/>
          <c:w val="0.83075865516810399"/>
          <c:h val="0.68384153139812121"/>
        </c:manualLayout>
      </c:layout>
      <c:lineChart>
        <c:grouping val="standard"/>
        <c:varyColors val="0"/>
        <c:ser>
          <c:idx val="0"/>
          <c:order val="0"/>
          <c:tx>
            <c:v>Oferta</c:v>
          </c:tx>
          <c:spPr>
            <a:ln w="31750">
              <a:solidFill>
                <a:schemeClr val="tx2"/>
              </a:solidFill>
            </a:ln>
          </c:spPr>
          <c:marker>
            <c:symbol val="square"/>
            <c:size val="3"/>
            <c:spPr>
              <a:solidFill>
                <a:srgbClr val="000080"/>
              </a:solidFill>
              <a:ln>
                <a:solidFill>
                  <a:srgbClr val="000080"/>
                </a:solidFill>
                <a:prstDash val="solid"/>
              </a:ln>
            </c:spPr>
          </c:marker>
          <c:cat>
            <c:strRef>
              <c:f>BalanceHCP!$C$87:$N$87</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BalanceHCP!$C$91:$N$91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xmlns:c16r2="http://schemas.microsoft.com/office/drawing/2015/06/chart">
            <c:ext xmlns:c16="http://schemas.microsoft.com/office/drawing/2014/chart" uri="{C3380CC4-5D6E-409C-BE32-E72D297353CC}">
              <c16:uniqueId val="{00000000-2588-4C30-9B43-CC723E43CE4A}"/>
            </c:ext>
          </c:extLst>
        </c:ser>
        <c:ser>
          <c:idx val="1"/>
          <c:order val="1"/>
          <c:tx>
            <c:v>Demanda</c:v>
          </c:tx>
          <c:spPr>
            <a:ln w="31750">
              <a:solidFill>
                <a:srgbClr val="FF0000"/>
              </a:solidFill>
            </a:ln>
          </c:spPr>
          <c:marker>
            <c:symbol val="square"/>
            <c:size val="3"/>
            <c:spPr>
              <a:solidFill>
                <a:srgbClr val="0000FF"/>
              </a:solidFill>
              <a:ln>
                <a:solidFill>
                  <a:srgbClr val="0000FF"/>
                </a:solidFill>
                <a:prstDash val="solid"/>
              </a:ln>
            </c:spPr>
          </c:marker>
          <c:cat>
            <c:strRef>
              <c:f>BalanceHCP!$C$87:$N$87</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BalanceHCP!$C$92:$N$92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xmlns:c16r2="http://schemas.microsoft.com/office/drawing/2015/06/chart">
            <c:ext xmlns:c16="http://schemas.microsoft.com/office/drawing/2014/chart" uri="{C3380CC4-5D6E-409C-BE32-E72D297353CC}">
              <c16:uniqueId val="{00000001-2588-4C30-9B43-CC723E43CE4A}"/>
            </c:ext>
          </c:extLst>
        </c:ser>
        <c:dLbls>
          <c:showLegendKey val="0"/>
          <c:showVal val="0"/>
          <c:showCatName val="0"/>
          <c:showSerName val="0"/>
          <c:showPercent val="0"/>
          <c:showBubbleSize val="0"/>
        </c:dLbls>
        <c:hiLowLines>
          <c:spPr>
            <a:ln w="25400">
              <a:solidFill>
                <a:srgbClr val="000000"/>
              </a:solidFill>
              <a:prstDash val="solid"/>
            </a:ln>
          </c:spPr>
        </c:hiLowLines>
        <c:marker val="1"/>
        <c:smooth val="0"/>
        <c:axId val="278336800"/>
        <c:axId val="278337360"/>
      </c:lineChart>
      <c:catAx>
        <c:axId val="278336800"/>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278337360"/>
        <c:crosses val="autoZero"/>
        <c:auto val="1"/>
        <c:lblAlgn val="ctr"/>
        <c:lblOffset val="100"/>
        <c:tickMarkSkip val="1"/>
        <c:noMultiLvlLbl val="0"/>
      </c:catAx>
      <c:valAx>
        <c:axId val="278337360"/>
        <c:scaling>
          <c:orientation val="minMax"/>
        </c:scaling>
        <c:delete val="0"/>
        <c:axPos val="l"/>
        <c:majorGridlines>
          <c:spPr>
            <a:ln w="3175">
              <a:solidFill>
                <a:srgbClr val="000000"/>
              </a:solidFill>
              <a:prstDash val="solid"/>
            </a:ln>
          </c:spPr>
        </c:majorGridlines>
        <c:title>
          <c:tx>
            <c:rich>
              <a:bodyPr/>
              <a:lstStyle/>
              <a:p>
                <a:pPr>
                  <a:defRPr sz="1050" b="0" i="0" u="none" strike="noStrike" baseline="0">
                    <a:solidFill>
                      <a:srgbClr val="000000"/>
                    </a:solidFill>
                    <a:latin typeface="Calibri"/>
                    <a:ea typeface="Calibri"/>
                    <a:cs typeface="Calibri"/>
                  </a:defRPr>
                </a:pPr>
                <a:r>
                  <a:rPr lang="es-PE" sz="1050" b="1" i="0" u="none" strike="noStrike" baseline="0">
                    <a:solidFill>
                      <a:srgbClr val="000000"/>
                    </a:solidFill>
                    <a:latin typeface="Arial"/>
                    <a:cs typeface="Arial"/>
                  </a:rPr>
                  <a:t>Volumen en MMC)</a:t>
                </a:r>
              </a:p>
            </c:rich>
          </c:tx>
          <c:layout>
            <c:manualLayout>
              <c:xMode val="edge"/>
              <c:yMode val="edge"/>
              <c:x val="5.0465541400820831E-2"/>
              <c:y val="0.35500129082225373"/>
            </c:manualLayout>
          </c:layout>
          <c:overlay val="0"/>
          <c:spPr>
            <a:noFill/>
            <a:ln w="25400">
              <a:noFill/>
            </a:ln>
          </c:spPr>
        </c:title>
        <c:numFmt formatCode="#,##0.0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278336800"/>
        <c:crosses val="autoZero"/>
        <c:crossBetween val="between"/>
      </c:valAx>
      <c:dTable>
        <c:showHorzBorder val="1"/>
        <c:showVertBorder val="1"/>
        <c:showOutline val="1"/>
        <c:showKeys val="1"/>
        <c:spPr>
          <a:ln w="3175">
            <a:solidFill>
              <a:srgbClr val="000000"/>
            </a:solidFill>
            <a:prstDash val="solid"/>
          </a:ln>
        </c:spPr>
        <c:txPr>
          <a:bodyPr/>
          <a:lstStyle/>
          <a:p>
            <a:pPr rtl="0">
              <a:defRPr sz="800" b="0" i="0" u="none" strike="noStrike" baseline="0">
                <a:solidFill>
                  <a:srgbClr val="000000"/>
                </a:solidFill>
                <a:latin typeface="Arial"/>
                <a:ea typeface="Arial"/>
                <a:cs typeface="Arial"/>
              </a:defRPr>
            </a:pPr>
            <a:endParaRPr lang="es-PE"/>
          </a:p>
        </c:txPr>
      </c:dTable>
      <c:spPr>
        <a:solidFill>
          <a:schemeClr val="accent1">
            <a:lumMod val="20000"/>
            <a:lumOff val="80000"/>
          </a:schemeClr>
        </a:solidFill>
        <a:ln w="25400">
          <a:noFill/>
        </a:ln>
      </c:spPr>
    </c:plotArea>
    <c:plotVisOnly val="1"/>
    <c:dispBlanksAs val="gap"/>
    <c:showDLblsOverMax val="0"/>
  </c:chart>
  <c:spPr>
    <a:solidFill>
      <a:srgbClr val="FFFFFF"/>
    </a:solidFill>
    <a:ln w="9525">
      <a:noFill/>
    </a:ln>
  </c:spPr>
  <c:txPr>
    <a:bodyPr/>
    <a:lstStyle/>
    <a:p>
      <a:pPr>
        <a:defRPr sz="1750" b="0" i="0" u="none" strike="noStrike" baseline="0">
          <a:solidFill>
            <a:srgbClr val="000000"/>
          </a:solidFill>
          <a:latin typeface="Arial"/>
          <a:ea typeface="Arial"/>
          <a:cs typeface="Arial"/>
        </a:defRPr>
      </a:pPr>
      <a:endParaRPr lang="es-PE"/>
    </a:p>
  </c:txPr>
  <c:printSettings>
    <c:headerFooter alignWithMargins="0"/>
    <c:pageMargins b="1" l="0.75" r="0.75" t="1" header="0" footer="0"/>
    <c:pageSetup paperSize="9" orientation="landscape" verticalDpi="0"/>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BaseDatosCultivos!$K$4:$O$4</c:f>
              <c:numCache>
                <c:formatCode>General</c:formatCode>
                <c:ptCount val="5"/>
                <c:pt idx="0">
                  <c:v>1</c:v>
                </c:pt>
                <c:pt idx="1">
                  <c:v>40</c:v>
                </c:pt>
                <c:pt idx="2">
                  <c:v>100</c:v>
                </c:pt>
                <c:pt idx="3">
                  <c:v>150</c:v>
                </c:pt>
                <c:pt idx="4">
                  <c:v>165</c:v>
                </c:pt>
              </c:numCache>
            </c:numRef>
          </c:xVal>
          <c:yVal>
            <c:numRef>
              <c:f>BaseDatosCultivos!$P$4:$T$4</c:f>
              <c:numCache>
                <c:formatCode>0.00</c:formatCode>
                <c:ptCount val="5"/>
                <c:pt idx="0">
                  <c:v>0.7</c:v>
                </c:pt>
                <c:pt idx="1">
                  <c:v>0.7</c:v>
                </c:pt>
                <c:pt idx="2">
                  <c:v>1.05</c:v>
                </c:pt>
                <c:pt idx="3">
                  <c:v>1.05</c:v>
                </c:pt>
                <c:pt idx="4">
                  <c:v>0.95</c:v>
                </c:pt>
              </c:numCache>
            </c:numRef>
          </c:yVal>
          <c:smooth val="0"/>
          <c:extLst xmlns:c16r2="http://schemas.microsoft.com/office/drawing/2015/06/chart">
            <c:ext xmlns:c16="http://schemas.microsoft.com/office/drawing/2014/chart" uri="{C3380CC4-5D6E-409C-BE32-E72D297353CC}">
              <c16:uniqueId val="{00000000-4433-4CC8-A7B8-EB3C55C33112}"/>
            </c:ext>
          </c:extLst>
        </c:ser>
        <c:dLbls>
          <c:showLegendKey val="0"/>
          <c:showVal val="0"/>
          <c:showCatName val="0"/>
          <c:showSerName val="0"/>
          <c:showPercent val="0"/>
          <c:showBubbleSize val="0"/>
        </c:dLbls>
        <c:axId val="278341280"/>
        <c:axId val="278341840"/>
      </c:scatterChart>
      <c:valAx>
        <c:axId val="278341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278341840"/>
        <c:crosses val="autoZero"/>
        <c:crossBetween val="midCat"/>
        <c:majorUnit val="15"/>
      </c:valAx>
      <c:valAx>
        <c:axId val="278341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278341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trendlineType val="linear"/>
            <c:dispRSqr val="0"/>
            <c:dispEq val="1"/>
            <c:trendlineLbl>
              <c:numFmt formatCode="General" sourceLinked="0"/>
            </c:trendlineLbl>
          </c:trendline>
          <c:xVal>
            <c:numRef>
              <c:f>BaseDatosCultivos!$L$5:$M$5</c:f>
              <c:numCache>
                <c:formatCode>General</c:formatCode>
                <c:ptCount val="2"/>
                <c:pt idx="0">
                  <c:v>20</c:v>
                </c:pt>
                <c:pt idx="1">
                  <c:v>50</c:v>
                </c:pt>
              </c:numCache>
            </c:numRef>
          </c:xVal>
          <c:yVal>
            <c:numRef>
              <c:f>BaseDatosCultivos!$H$5:$I$5</c:f>
              <c:numCache>
                <c:formatCode>General</c:formatCode>
                <c:ptCount val="2"/>
                <c:pt idx="0" formatCode="0.00">
                  <c:v>0.7</c:v>
                </c:pt>
                <c:pt idx="1">
                  <c:v>1.05</c:v>
                </c:pt>
              </c:numCache>
            </c:numRef>
          </c:yVal>
          <c:smooth val="0"/>
          <c:extLst xmlns:c16r2="http://schemas.microsoft.com/office/drawing/2015/06/chart">
            <c:ext xmlns:c16="http://schemas.microsoft.com/office/drawing/2014/chart" uri="{C3380CC4-5D6E-409C-BE32-E72D297353CC}">
              <c16:uniqueId val="{00000000-4A82-4C5C-9884-E62BB38633FB}"/>
            </c:ext>
          </c:extLst>
        </c:ser>
        <c:dLbls>
          <c:showLegendKey val="0"/>
          <c:showVal val="0"/>
          <c:showCatName val="0"/>
          <c:showSerName val="0"/>
          <c:showPercent val="0"/>
          <c:showBubbleSize val="0"/>
        </c:dLbls>
        <c:axId val="279202192"/>
        <c:axId val="279202752"/>
      </c:scatterChart>
      <c:valAx>
        <c:axId val="2792021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279202752"/>
        <c:crosses val="autoZero"/>
        <c:crossBetween val="midCat"/>
        <c:majorUnit val="15"/>
      </c:valAx>
      <c:valAx>
        <c:axId val="279202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2792021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trendlineType val="linear"/>
            <c:dispRSqr val="0"/>
            <c:dispEq val="1"/>
            <c:trendlineLbl>
              <c:numFmt formatCode="General" sourceLinked="0"/>
            </c:trendlineLbl>
          </c:trendline>
          <c:xVal>
            <c:numRef>
              <c:f>BaseDatosCultivos!$N$5:$O$5</c:f>
              <c:numCache>
                <c:formatCode>General</c:formatCode>
                <c:ptCount val="2"/>
                <c:pt idx="0">
                  <c:v>80</c:v>
                </c:pt>
                <c:pt idx="1">
                  <c:v>100</c:v>
                </c:pt>
              </c:numCache>
            </c:numRef>
          </c:xVal>
          <c:yVal>
            <c:numRef>
              <c:f>BaseDatosCultivos!$I$5:$J$5</c:f>
              <c:numCache>
                <c:formatCode>General</c:formatCode>
                <c:ptCount val="2"/>
                <c:pt idx="0">
                  <c:v>1.05</c:v>
                </c:pt>
                <c:pt idx="1">
                  <c:v>0.95</c:v>
                </c:pt>
              </c:numCache>
            </c:numRef>
          </c:yVal>
          <c:smooth val="0"/>
          <c:extLst xmlns:c16r2="http://schemas.microsoft.com/office/drawing/2015/06/chart">
            <c:ext xmlns:c16="http://schemas.microsoft.com/office/drawing/2014/chart" uri="{C3380CC4-5D6E-409C-BE32-E72D297353CC}">
              <c16:uniqueId val="{00000000-677A-427A-90DE-C7F7016B0787}"/>
            </c:ext>
          </c:extLst>
        </c:ser>
        <c:dLbls>
          <c:showLegendKey val="0"/>
          <c:showVal val="0"/>
          <c:showCatName val="0"/>
          <c:showSerName val="0"/>
          <c:showPercent val="0"/>
          <c:showBubbleSize val="0"/>
        </c:dLbls>
        <c:axId val="279204992"/>
        <c:axId val="279205552"/>
      </c:scatterChart>
      <c:valAx>
        <c:axId val="2792049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279205552"/>
        <c:crosses val="autoZero"/>
        <c:crossBetween val="midCat"/>
        <c:majorUnit val="15"/>
      </c:valAx>
      <c:valAx>
        <c:axId val="27920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279204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XFD52" lockText="1"/>
</file>

<file path=xl/ctrlProps/ctrlProp4.xml><?xml version="1.0" encoding="utf-8"?>
<formControlPr xmlns="http://schemas.microsoft.com/office/spreadsheetml/2009/9/main" objectType="CheckBox" fmlaLink="XFD53" lockText="1"/>
</file>

<file path=xl/ctrlProps/ctrlProp5.xml><?xml version="1.0" encoding="utf-8"?>
<formControlPr xmlns="http://schemas.microsoft.com/office/spreadsheetml/2009/9/main" objectType="CheckBox" fmlaLink="XFD54" lockText="1"/>
</file>

<file path=xl/ctrlProps/ctrlProp6.xml><?xml version="1.0" encoding="utf-8"?>
<formControlPr xmlns="http://schemas.microsoft.com/office/spreadsheetml/2009/9/main" objectType="CheckBox" fmlaLink="XFD55" lockText="1"/>
</file>

<file path=xl/ctrlProps/ctrlProp7.xml><?xml version="1.0" encoding="utf-8"?>
<formControlPr xmlns="http://schemas.microsoft.com/office/spreadsheetml/2009/9/main" objectType="CheckBox" fmlaLink="XFD56" lockText="1"/>
</file>

<file path=xl/ctrlProps/ctrlProp8.xml><?xml version="1.0" encoding="utf-8"?>
<formControlPr xmlns="http://schemas.microsoft.com/office/spreadsheetml/2009/9/main" objectType="CheckBox" fmlaLink="$XFC$64"/>
</file>

<file path=xl/ctrlProps/ctrlProp9.xml><?xml version="1.0" encoding="utf-8"?>
<formControlPr xmlns="http://schemas.microsoft.com/office/spreadsheetml/2009/9/main" objectType="CheckBox" fmlaLink="$XFC$65"/>
</file>

<file path=xl/ctrlProps/ctrlProp10.xml><?xml version="1.0" encoding="utf-8"?>
<formControlPr xmlns="http://schemas.microsoft.com/office/spreadsheetml/2009/9/main" objectType="CheckBox" fmlaLink="$XFC$66"/>
</file>

<file path=xl/ctrlProps/ctrlProp11.xml><?xml version="1.0" encoding="utf-8"?>
<formControlPr xmlns="http://schemas.microsoft.com/office/spreadsheetml/2009/9/main" objectType="CheckBox" fmlaLink="$XFC$67"/>
</file>

<file path=xl/ctrlProps/ctrlProp12.xml><?xml version="1.0" encoding="utf-8"?>
<formControlPr xmlns="http://schemas.microsoft.com/office/spreadsheetml/2009/9/main" objectType="CheckBox" fmlaLink="$XFC$68"/>
</file>

<file path=xl/ctrlProps/ctrlProp13.xml><?xml version="1.0" encoding="utf-8"?>
<formControlPr xmlns="http://schemas.microsoft.com/office/spreadsheetml/2009/9/main" objectType="CheckBox" fmlaLink="XFD85" lockText="1"/>
</file>

<file path=xl/ctrlProps/ctrlProp14.xml><?xml version="1.0" encoding="utf-8"?>
<formControlPr xmlns="http://schemas.microsoft.com/office/spreadsheetml/2009/9/main" objectType="CheckBox" fmlaLink="XFD86" lockText="1"/>
</file>

<file path=xl/ctrlProps/ctrlProp15.xml><?xml version="1.0" encoding="utf-8"?>
<formControlPr xmlns="http://schemas.microsoft.com/office/spreadsheetml/2009/9/main" objectType="CheckBox" fmlaLink="XFD87" lockText="1"/>
</file>

<file path=xl/ctrlProps/ctrlProp16.xml><?xml version="1.0" encoding="utf-8"?>
<formControlPr xmlns="http://schemas.microsoft.com/office/spreadsheetml/2009/9/main" objectType="CheckBox" fmlaLink="XFD88" lockText="1"/>
</file>

<file path=xl/ctrlProps/ctrlProp17.xml><?xml version="1.0" encoding="utf-8"?>
<formControlPr xmlns="http://schemas.microsoft.com/office/spreadsheetml/2009/9/main" objectType="CheckBox" fmlaLink="XFD89" lockText="1"/>
</file>

<file path=xl/ctrlProps/ctrlProp18.xml><?xml version="1.0" encoding="utf-8"?>
<formControlPr xmlns="http://schemas.microsoft.com/office/spreadsheetml/2009/9/main" objectType="CheckBox" fmlaLink="$XFC$70"/>
</file>

<file path=xl/ctrlProps/ctrlProp19.xml><?xml version="1.0" encoding="utf-8"?>
<formControlPr xmlns="http://schemas.microsoft.com/office/spreadsheetml/2009/9/main" objectType="CheckBox" fmlaLink="$XFC$71"/>
</file>

<file path=xl/ctrlProps/ctrlProp20.xml><?xml version="1.0" encoding="utf-8"?>
<formControlPr xmlns="http://schemas.microsoft.com/office/spreadsheetml/2009/9/main" objectType="CheckBox" fmlaLink="$XFC$72"/>
</file>

<file path=xl/ctrlProps/ctrlProp21.xml><?xml version="1.0" encoding="utf-8"?>
<formControlPr xmlns="http://schemas.microsoft.com/office/spreadsheetml/2009/9/main" objectType="CheckBox" fmlaLink="$XFC$73"/>
</file>

<file path=xl/ctrlProps/ctrlProp22.xml><?xml version="1.0" encoding="utf-8"?>
<formControlPr xmlns="http://schemas.microsoft.com/office/spreadsheetml/2009/9/main" objectType="CheckBox" fmlaLink="$XFC$74"/>
</file>

<file path=xl/ctrlProps/ctrlProp23.xml><?xml version="1.0" encoding="utf-8"?>
<formControlPr xmlns="http://schemas.microsoft.com/office/spreadsheetml/2009/9/main" objectType="CheckBox" fmlaLink="#REF!" lockText="1"/>
</file>

<file path=xl/ctrlProps/ctrlProp24.xml><?xml version="1.0" encoding="utf-8"?>
<formControlPr xmlns="http://schemas.microsoft.com/office/spreadsheetml/2009/9/main" objectType="CheckBox" fmlaLink="#REF!" lockText="1"/>
</file>

<file path=xl/ctrlProps/ctrlProp25.xml><?xml version="1.0" encoding="utf-8"?>
<formControlPr xmlns="http://schemas.microsoft.com/office/spreadsheetml/2009/9/main" objectType="CheckBox" fmlaLink="#REF!" lockText="1"/>
</file>

<file path=xl/ctrlProps/ctrlProp26.xml><?xml version="1.0" encoding="utf-8"?>
<formControlPr xmlns="http://schemas.microsoft.com/office/spreadsheetml/2009/9/main" objectType="CheckBox" fmlaLink="#REF!" lockText="1"/>
</file>

<file path=xl/ctrlProps/ctrlProp27.xml><?xml version="1.0" encoding="utf-8"?>
<formControlPr xmlns="http://schemas.microsoft.com/office/spreadsheetml/2009/9/main" objectType="CheckBox" fmlaLink="#REF!" lockText="1"/>
</file>

<file path=xl/ctrlProps/ctrlProp28.xml><?xml version="1.0" encoding="utf-8"?>
<formControlPr xmlns="http://schemas.microsoft.com/office/spreadsheetml/2009/9/main" objectType="CheckBox" fmlaLink="#REF!" lockText="1"/>
</file>

<file path=xl/ctrlProps/ctrlProp29.xml><?xml version="1.0" encoding="utf-8"?>
<formControlPr xmlns="http://schemas.microsoft.com/office/spreadsheetml/2009/9/main" objectType="CheckBox" fmlaLink="#REF!" lockText="1"/>
</file>

<file path=xl/ctrlProps/ctrlProp30.xml><?xml version="1.0" encoding="utf-8"?>
<formControlPr xmlns="http://schemas.microsoft.com/office/spreadsheetml/2009/9/main" objectType="CheckBox" fmlaLink="#REF!" lockText="1"/>
</file>

<file path=xl/ctrlProps/ctrlProp31.xml><?xml version="1.0" encoding="utf-8"?>
<formControlPr xmlns="http://schemas.microsoft.com/office/spreadsheetml/2009/9/main" objectType="CheckBox" fmlaLink="#REF!" lockText="1"/>
</file>

<file path=xl/ctrlProps/ctrlProp32.xml><?xml version="1.0" encoding="utf-8"?>
<formControlPr xmlns="http://schemas.microsoft.com/office/spreadsheetml/2009/9/main" objectType="CheckBox" fmlaLink="#REF!" lockText="1"/>
</file>

<file path=xl/ctrlProps/ctrlProp33.xml><?xml version="1.0" encoding="utf-8"?>
<formControlPr xmlns="http://schemas.microsoft.com/office/spreadsheetml/2009/9/main" objectType="CheckBox" fmlaLink="#REF!" lockText="1"/>
</file>

<file path=xl/ctrlProps/ctrlProp34.xml><?xml version="1.0" encoding="utf-8"?>
<formControlPr xmlns="http://schemas.microsoft.com/office/spreadsheetml/2009/9/main" objectType="CheckBox" fmlaLink="#REF!" lockText="1"/>
</file>

<file path=xl/ctrlProps/ctrlProp35.xml><?xml version="1.0" encoding="utf-8"?>
<formControlPr xmlns="http://schemas.microsoft.com/office/spreadsheetml/2009/9/main" objectType="CheckBox" fmlaLink="#REF!" lockText="1"/>
</file>

<file path=xl/ctrlProps/ctrlProp36.xml><?xml version="1.0" encoding="utf-8"?>
<formControlPr xmlns="http://schemas.microsoft.com/office/spreadsheetml/2009/9/main" objectType="CheckBox" fmlaLink="#REF!" lockText="1"/>
</file>

<file path=xl/ctrlProps/ctrlProp37.xml><?xml version="1.0" encoding="utf-8"?>
<formControlPr xmlns="http://schemas.microsoft.com/office/spreadsheetml/2009/9/main" objectType="CheckBox" fmlaLink="#REF!" lockText="1"/>
</file>

<file path=xl/ctrlProps/ctrlProp38.xml><?xml version="1.0" encoding="utf-8"?>
<formControlPr xmlns="http://schemas.microsoft.com/office/spreadsheetml/2009/9/main" objectType="CheckBox" fmlaLink="#REF!" lockText="1"/>
</file>

<file path=xl/ctrlProps/ctrlProp39.xml><?xml version="1.0" encoding="utf-8"?>
<formControlPr xmlns="http://schemas.microsoft.com/office/spreadsheetml/2009/9/main" objectType="CheckBox" fmlaLink="#REF!" lockText="1"/>
</file>

<file path=xl/ctrlProps/ctrlProp40.xml><?xml version="1.0" encoding="utf-8"?>
<formControlPr xmlns="http://schemas.microsoft.com/office/spreadsheetml/2009/9/main" objectType="CheckBox" fmlaLink="#REF!" lockText="1"/>
</file>

<file path=xl/ctrlProps/ctrlProp41.xml><?xml version="1.0" encoding="utf-8"?>
<formControlPr xmlns="http://schemas.microsoft.com/office/spreadsheetml/2009/9/main" objectType="CheckBox" fmlaLink="#REF!" lockText="1"/>
</file>

<file path=xl/ctrlProps/ctrlProp42.xml><?xml version="1.0" encoding="utf-8"?>
<formControlPr xmlns="http://schemas.microsoft.com/office/spreadsheetml/2009/9/main" objectType="CheckBox" fmlaLink="#REF!" lockText="1"/>
</file>

<file path=xl/ctrlProps/ctrlProp43.xml><?xml version="1.0" encoding="utf-8"?>
<formControlPr xmlns="http://schemas.microsoft.com/office/spreadsheetml/2009/9/main" objectType="CheckBox" fmlaLink="#REF!" lockText="1"/>
</file>

<file path=xl/ctrlProps/ctrlProp44.xml><?xml version="1.0" encoding="utf-8"?>
<formControlPr xmlns="http://schemas.microsoft.com/office/spreadsheetml/2009/9/main" objectType="CheckBox" fmlaLink="#REF!" lockText="1"/>
</file>

<file path=xl/ctrlProps/ctrlProp45.xml><?xml version="1.0" encoding="utf-8"?>
<formControlPr xmlns="http://schemas.microsoft.com/office/spreadsheetml/2009/9/main" objectType="CheckBox" fmlaLink="#REF!" lockText="1"/>
</file>

<file path=xl/ctrlProps/ctrlProp46.xml><?xml version="1.0" encoding="utf-8"?>
<formControlPr xmlns="http://schemas.microsoft.com/office/spreadsheetml/2009/9/main" objectType="CheckBox" fmlaLink="#REF!" lockText="1"/>
</file>

<file path=xl/ctrlProps/ctrlProp47.xml><?xml version="1.0" encoding="utf-8"?>
<formControlPr xmlns="http://schemas.microsoft.com/office/spreadsheetml/2009/9/main" objectType="CheckBox" fmlaLink="#REF!" lockText="1"/>
</file>

<file path=xl/ctrlProps/ctrlProp48.xml><?xml version="1.0" encoding="utf-8"?>
<formControlPr xmlns="http://schemas.microsoft.com/office/spreadsheetml/2009/9/main" objectType="CheckBox" fmlaLink="#REF!" lockText="1"/>
</file>

<file path=xl/ctrlProps/ctrlProp49.xml><?xml version="1.0" encoding="utf-8"?>
<formControlPr xmlns="http://schemas.microsoft.com/office/spreadsheetml/2009/9/main" objectType="CheckBox" fmlaLink="#REF!" lockText="1"/>
</file>

<file path=xl/ctrlProps/ctrlProp50.xml><?xml version="1.0" encoding="utf-8"?>
<formControlPr xmlns="http://schemas.microsoft.com/office/spreadsheetml/2009/9/main" objectType="CheckBox" fmlaLink="#REF!" lockText="1"/>
</file>

<file path=xl/ctrlProps/ctrlProp51.xml><?xml version="1.0" encoding="utf-8"?>
<formControlPr xmlns="http://schemas.microsoft.com/office/spreadsheetml/2009/9/main" objectType="CheckBox" fmlaLink="#REF!" lockText="1"/>
</file>

<file path=xl/ctrlProps/ctrlProp52.xml><?xml version="1.0" encoding="utf-8"?>
<formControlPr xmlns="http://schemas.microsoft.com/office/spreadsheetml/2009/9/main" objectType="CheckBox" fmlaLink="#REF!" lockText="1"/>
</file>

<file path=xl/ctrlProps/ctrlProp53.xml><?xml version="1.0" encoding="utf-8"?>
<formControlPr xmlns="http://schemas.microsoft.com/office/spreadsheetml/2009/9/main" objectType="CheckBox" checked="Checked"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CheckBox" fmlaLink="$XFC$8" lockText="1"/>
</file>

<file path=xl/ctrlProps/ctrlProp57.xml><?xml version="1.0" encoding="utf-8"?>
<formControlPr xmlns="http://schemas.microsoft.com/office/spreadsheetml/2009/9/main" objectType="CheckBox" fmlaLink="$XFC$10" lockText="1"/>
</file>

<file path=xl/ctrlProps/ctrlProp58.xml><?xml version="1.0" encoding="utf-8"?>
<formControlPr xmlns="http://schemas.microsoft.com/office/spreadsheetml/2009/9/main" objectType="CheckBox" fmlaLink="$XFC$11" lockText="1"/>
</file>

<file path=xl/ctrlProps/ctrlProp59.xml><?xml version="1.0" encoding="utf-8"?>
<formControlPr xmlns="http://schemas.microsoft.com/office/spreadsheetml/2009/9/main" objectType="CheckBox" fmlaLink="$XFC$12" lockText="1"/>
</file>

<file path=xl/ctrlProps/ctrlProp60.xml><?xml version="1.0" encoding="utf-8"?>
<formControlPr xmlns="http://schemas.microsoft.com/office/spreadsheetml/2009/9/main" objectType="CheckBox" fmlaLink="$XFC$13" lockText="1"/>
</file>

<file path=xl/ctrlProps/ctrlProp61.xml><?xml version="1.0" encoding="utf-8"?>
<formControlPr xmlns="http://schemas.microsoft.com/office/spreadsheetml/2009/9/main" objectType="CheckBox" fmlaLink="$XFC$14" lockText="1"/>
</file>

<file path=xl/ctrlProps/ctrlProp62.xml><?xml version="1.0" encoding="utf-8"?>
<formControlPr xmlns="http://schemas.microsoft.com/office/spreadsheetml/2009/9/main" objectType="CheckBox" fmlaLink="$XFC$15" lockText="1"/>
</file>

<file path=xl/ctrlProps/ctrlProp63.xml><?xml version="1.0" encoding="utf-8"?>
<formControlPr xmlns="http://schemas.microsoft.com/office/spreadsheetml/2009/9/main" objectType="CheckBox" fmlaLink="$XFC$16" lockText="1"/>
</file>

<file path=xl/ctrlProps/ctrlProp64.xml><?xml version="1.0" encoding="utf-8"?>
<formControlPr xmlns="http://schemas.microsoft.com/office/spreadsheetml/2009/9/main" objectType="CheckBox" fmlaLink="$XFC$17" lockText="1"/>
</file>

<file path=xl/ctrlProps/ctrlProp65.xml><?xml version="1.0" encoding="utf-8"?>
<formControlPr xmlns="http://schemas.microsoft.com/office/spreadsheetml/2009/9/main" objectType="CheckBox" fmlaLink="$XFC$18" lockText="1"/>
</file>

<file path=xl/ctrlProps/ctrlProp66.xml><?xml version="1.0" encoding="utf-8"?>
<formControlPr xmlns="http://schemas.microsoft.com/office/spreadsheetml/2009/9/main" objectType="CheckBox" fmlaLink="$XFC$20" lockText="1"/>
</file>

<file path=xl/ctrlProps/ctrlProp67.xml><?xml version="1.0" encoding="utf-8"?>
<formControlPr xmlns="http://schemas.microsoft.com/office/spreadsheetml/2009/9/main" objectType="CheckBox" fmlaLink="$XFC$21" lockText="1"/>
</file>

<file path=xl/ctrlProps/ctrlProp68.xml><?xml version="1.0" encoding="utf-8"?>
<formControlPr xmlns="http://schemas.microsoft.com/office/spreadsheetml/2009/9/main" objectType="CheckBox" fmlaLink="$XFC$22" lockText="1"/>
</file>

<file path=xl/ctrlProps/ctrlProp69.xml><?xml version="1.0" encoding="utf-8"?>
<formControlPr xmlns="http://schemas.microsoft.com/office/spreadsheetml/2009/9/main" objectType="CheckBox" fmlaLink="$XFC$23" lockText="1"/>
</file>

<file path=xl/ctrlProps/ctrlProp70.xml><?xml version="1.0" encoding="utf-8"?>
<formControlPr xmlns="http://schemas.microsoft.com/office/spreadsheetml/2009/9/main" objectType="CheckBox" fmlaLink="$XFC$24" lockText="1"/>
</file>

<file path=xl/ctrlProps/ctrlProp71.xml><?xml version="1.0" encoding="utf-8"?>
<formControlPr xmlns="http://schemas.microsoft.com/office/spreadsheetml/2009/9/main" objectType="CheckBox" fmlaLink="$XFC$25" lockText="1"/>
</file>

<file path=xl/ctrlProps/ctrlProp72.xml><?xml version="1.0" encoding="utf-8"?>
<formControlPr xmlns="http://schemas.microsoft.com/office/spreadsheetml/2009/9/main" objectType="CheckBox" fmlaLink="$XFC$26" lockText="1"/>
</file>

<file path=xl/ctrlProps/ctrlProp73.xml><?xml version="1.0" encoding="utf-8"?>
<formControlPr xmlns="http://schemas.microsoft.com/office/spreadsheetml/2009/9/main" objectType="CheckBox" fmlaLink="$XFC$27" lockText="1"/>
</file>

<file path=xl/ctrlProps/ctrlProp74.xml><?xml version="1.0" encoding="utf-8"?>
<formControlPr xmlns="http://schemas.microsoft.com/office/spreadsheetml/2009/9/main" objectType="CheckBox" fmlaLink="$XFC$28" lockText="1"/>
</file>

<file path=xl/ctrlProps/ctrlProp75.xml><?xml version="1.0" encoding="utf-8"?>
<formControlPr xmlns="http://schemas.microsoft.com/office/spreadsheetml/2009/9/main" objectType="CheckBox" fmlaLink="$XFC$29" lockText="1"/>
</file>

<file path=xl/ctrlProps/ctrlProp76.xml><?xml version="1.0" encoding="utf-8"?>
<formControlPr xmlns="http://schemas.microsoft.com/office/spreadsheetml/2009/9/main" objectType="CheckBox" fmlaLink="$XFC$30" lockText="1"/>
</file>

<file path=xl/ctrlProps/ctrlProp77.xml><?xml version="1.0" encoding="utf-8"?>
<formControlPr xmlns="http://schemas.microsoft.com/office/spreadsheetml/2009/9/main" objectType="CheckBox" fmlaLink="$XFC$31" lockText="1"/>
</file>

<file path=xl/ctrlProps/ctrlProp78.xml><?xml version="1.0" encoding="utf-8"?>
<formControlPr xmlns="http://schemas.microsoft.com/office/spreadsheetml/2009/9/main" objectType="CheckBox" fmlaLink="$XFC$32" lockText="1"/>
</file>

<file path=xl/ctrlProps/ctrlProp79.xml><?xml version="1.0" encoding="utf-8"?>
<formControlPr xmlns="http://schemas.microsoft.com/office/spreadsheetml/2009/9/main" objectType="CheckBox" fmlaLink="$XFC$33" lockText="1"/>
</file>

<file path=xl/ctrlProps/ctrlProp80.xml><?xml version="1.0" encoding="utf-8"?>
<formControlPr xmlns="http://schemas.microsoft.com/office/spreadsheetml/2009/9/main" objectType="CheckBox" fmlaLink="$XFC$35" lockText="1"/>
</file>

<file path=xl/ctrlProps/ctrlProp81.xml><?xml version="1.0" encoding="utf-8"?>
<formControlPr xmlns="http://schemas.microsoft.com/office/spreadsheetml/2009/9/main" objectType="CheckBox" fmlaLink="$XFC$36" lockText="1"/>
</file>

<file path=xl/ctrlProps/ctrlProp82.xml><?xml version="1.0" encoding="utf-8"?>
<formControlPr xmlns="http://schemas.microsoft.com/office/spreadsheetml/2009/9/main" objectType="CheckBox" fmlaLink="$XFC$37" lockText="1"/>
</file>

<file path=xl/ctrlProps/ctrlProp83.xml><?xml version="1.0" encoding="utf-8"?>
<formControlPr xmlns="http://schemas.microsoft.com/office/spreadsheetml/2009/9/main" objectType="CheckBox" fmlaLink="$XFC$38" lockText="1"/>
</file>

<file path=xl/ctrlProps/ctrlProp84.xml><?xml version="1.0" encoding="utf-8"?>
<formControlPr xmlns="http://schemas.microsoft.com/office/spreadsheetml/2009/9/main" objectType="CheckBox" fmlaLink="$XFC$39" lockText="1"/>
</file>

<file path=xl/ctrlProps/ctrlProp85.xml><?xml version="1.0" encoding="utf-8"?>
<formControlPr xmlns="http://schemas.microsoft.com/office/spreadsheetml/2009/9/main" objectType="CheckBox" fmlaLink="$XFC$40" lockText="1"/>
</file>

<file path=xl/ctrlProps/ctrlProp86.xml><?xml version="1.0" encoding="utf-8"?>
<formControlPr xmlns="http://schemas.microsoft.com/office/spreadsheetml/2009/9/main" objectType="CheckBox" fmlaLink="$XFC$41" lockText="1"/>
</file>

<file path=xl/ctrlProps/ctrlProp87.xml><?xml version="1.0" encoding="utf-8"?>
<formControlPr xmlns="http://schemas.microsoft.com/office/spreadsheetml/2009/9/main" objectType="CheckBox" fmlaLink="$XFC$42" lockText="1"/>
</file>

<file path=xl/ctrlProps/ctrlProp88.xml><?xml version="1.0" encoding="utf-8"?>
<formControlPr xmlns="http://schemas.microsoft.com/office/spreadsheetml/2009/9/main" objectType="CheckBox" fmlaLink="$XFC$43" lockText="1"/>
</file>

<file path=xl/drawings/_rels/drawing1.xml.rels><?xml version="1.0" encoding="UTF-8" standalone="yes"?>
<Relationships xmlns="http://schemas.openxmlformats.org/package/2006/relationships"><Relationship Id="rId8" Type="http://schemas.openxmlformats.org/officeDocument/2006/relationships/hyperlink" Target="#'AREA DE ESTUDIO'!A1"/><Relationship Id="rId13" Type="http://schemas.openxmlformats.org/officeDocument/2006/relationships/hyperlink" Target="#'PROBLEMA-OBJETIVO'!A1"/><Relationship Id="rId18" Type="http://schemas.openxmlformats.org/officeDocument/2006/relationships/hyperlink" Target="#'MARCO LOGICO'!A1"/><Relationship Id="rId3" Type="http://schemas.openxmlformats.org/officeDocument/2006/relationships/image" Target="../media/image2.png"/><Relationship Id="rId21" Type="http://schemas.openxmlformats.org/officeDocument/2006/relationships/hyperlink" Target="#'Personal '!A1"/><Relationship Id="rId7" Type="http://schemas.openxmlformats.org/officeDocument/2006/relationships/hyperlink" Target="#'ANALISIS T&#201;CNICO'!A1"/><Relationship Id="rId12" Type="http://schemas.openxmlformats.org/officeDocument/2006/relationships/image" Target="../media/image3.jpg"/><Relationship Id="rId17" Type="http://schemas.openxmlformats.org/officeDocument/2006/relationships/hyperlink" Target="#CONCLUSIONES!A1"/><Relationship Id="rId2" Type="http://schemas.openxmlformats.org/officeDocument/2006/relationships/hyperlink" Target="#'DATOS GENERALES'!A1"/><Relationship Id="rId16" Type="http://schemas.openxmlformats.org/officeDocument/2006/relationships/hyperlink" Target="#GESTI&#211;N!A1"/><Relationship Id="rId20" Type="http://schemas.openxmlformats.org/officeDocument/2006/relationships/hyperlink" Target="#ANEXOS!A1"/><Relationship Id="rId1" Type="http://schemas.openxmlformats.org/officeDocument/2006/relationships/image" Target="../media/image1.emf"/><Relationship Id="rId6" Type="http://schemas.openxmlformats.org/officeDocument/2006/relationships/hyperlink" Target="#'HORIZONTE DE EVALUACI&#211;N'!A1"/><Relationship Id="rId11" Type="http://schemas.openxmlformats.org/officeDocument/2006/relationships/hyperlink" Target="#SOSTENIBILIDAD!A1"/><Relationship Id="rId5" Type="http://schemas.openxmlformats.org/officeDocument/2006/relationships/hyperlink" Target="#INVOLUCRADOS!A1"/><Relationship Id="rId15" Type="http://schemas.openxmlformats.org/officeDocument/2006/relationships/hyperlink" Target="#'BRECHA DE SERVICIO'!A1"/><Relationship Id="rId10" Type="http://schemas.openxmlformats.org/officeDocument/2006/relationships/hyperlink" Target="#'EVALUACION SOCIAL'!A1"/><Relationship Id="rId19" Type="http://schemas.openxmlformats.org/officeDocument/2006/relationships/hyperlink" Target="#'Protocolo final'!A1"/><Relationship Id="rId4" Type="http://schemas.openxmlformats.org/officeDocument/2006/relationships/hyperlink" Target="#'UNIDAD PRODUCTORA'!A1"/><Relationship Id="rId9" Type="http://schemas.openxmlformats.org/officeDocument/2006/relationships/hyperlink" Target="#'COSTO TOTAL'!A1"/><Relationship Id="rId14" Type="http://schemas.openxmlformats.org/officeDocument/2006/relationships/hyperlink" Target="#'PROBLEMA-OBJETIVO'!A72"/><Relationship Id="rId22"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hyperlink" Target="#INVOLUCRADOS!A1"/><Relationship Id="rId13" Type="http://schemas.openxmlformats.org/officeDocument/2006/relationships/hyperlink" Target="#'PROBLEMA-OBJETIVO'!A79"/><Relationship Id="rId18" Type="http://schemas.openxmlformats.org/officeDocument/2006/relationships/hyperlink" Target="#SOSTENIBILIDAD!A1"/><Relationship Id="rId3" Type="http://schemas.openxmlformats.org/officeDocument/2006/relationships/image" Target="../media/image7.jpg"/><Relationship Id="rId21" Type="http://schemas.openxmlformats.org/officeDocument/2006/relationships/hyperlink" Target="#'MARCO LOGICO'!A1"/><Relationship Id="rId7" Type="http://schemas.openxmlformats.org/officeDocument/2006/relationships/hyperlink" Target="#'AREA DE ESTUDIO'!A1"/><Relationship Id="rId12" Type="http://schemas.openxmlformats.org/officeDocument/2006/relationships/hyperlink" Target="#'DATOS GENERALES'!A1"/><Relationship Id="rId17" Type="http://schemas.openxmlformats.org/officeDocument/2006/relationships/hyperlink" Target="#'ANALISIS T&#201;CNICO'!A1"/><Relationship Id="rId2" Type="http://schemas.openxmlformats.org/officeDocument/2006/relationships/image" Target="../media/image6.jpg"/><Relationship Id="rId16" Type="http://schemas.openxmlformats.org/officeDocument/2006/relationships/hyperlink" Target="#'BRECHA DE SERVICIO'!A1"/><Relationship Id="rId20" Type="http://schemas.openxmlformats.org/officeDocument/2006/relationships/hyperlink" Target="#CONCLUSIONES!A1"/><Relationship Id="rId1" Type="http://schemas.openxmlformats.org/officeDocument/2006/relationships/image" Target="../media/image5.jpg"/><Relationship Id="rId6" Type="http://schemas.openxmlformats.org/officeDocument/2006/relationships/image" Target="../media/image2.png"/><Relationship Id="rId11" Type="http://schemas.openxmlformats.org/officeDocument/2006/relationships/hyperlink" Target="#'PROBLEMA-OBJETIVO'!A1"/><Relationship Id="rId5" Type="http://schemas.openxmlformats.org/officeDocument/2006/relationships/hyperlink" Target="#MEN&#218;!A1"/><Relationship Id="rId15" Type="http://schemas.openxmlformats.org/officeDocument/2006/relationships/hyperlink" Target="#'EVALUACION SOCIAL'!A1"/><Relationship Id="rId10" Type="http://schemas.openxmlformats.org/officeDocument/2006/relationships/hyperlink" Target="#'HORIZONTE DE EVALUACI&#211;N'!A1"/><Relationship Id="rId19" Type="http://schemas.openxmlformats.org/officeDocument/2006/relationships/hyperlink" Target="#GESTI&#211;N!A1"/><Relationship Id="rId4" Type="http://schemas.openxmlformats.org/officeDocument/2006/relationships/image" Target="../media/image8.jpg"/><Relationship Id="rId9" Type="http://schemas.openxmlformats.org/officeDocument/2006/relationships/hyperlink" Target="#'UNIDAD PRODUCTORA'!A1"/><Relationship Id="rId14" Type="http://schemas.openxmlformats.org/officeDocument/2006/relationships/hyperlink" Target="#'COSTO TOTAL'!A1"/></Relationships>
</file>

<file path=xl/drawings/_rels/drawing3.xml.rels><?xml version="1.0" encoding="UTF-8" standalone="yes"?>
<Relationships xmlns="http://schemas.openxmlformats.org/package/2006/relationships"><Relationship Id="rId8" Type="http://schemas.openxmlformats.org/officeDocument/2006/relationships/hyperlink" Target="#INVOLUCRADOS!A1"/><Relationship Id="rId13" Type="http://schemas.openxmlformats.org/officeDocument/2006/relationships/hyperlink" Target="#'PROBLEMA-OBJETIVO'!A79"/><Relationship Id="rId18" Type="http://schemas.openxmlformats.org/officeDocument/2006/relationships/hyperlink" Target="#SOSTENIBILIDAD!A1"/><Relationship Id="rId3" Type="http://schemas.openxmlformats.org/officeDocument/2006/relationships/image" Target="../media/image7.jpg"/><Relationship Id="rId21" Type="http://schemas.openxmlformats.org/officeDocument/2006/relationships/hyperlink" Target="#'MARCO LOGICO'!A1"/><Relationship Id="rId7" Type="http://schemas.openxmlformats.org/officeDocument/2006/relationships/hyperlink" Target="#'AREA DE ESTUDIO'!A1"/><Relationship Id="rId12" Type="http://schemas.openxmlformats.org/officeDocument/2006/relationships/hyperlink" Target="#'DATOS GENERALES'!A1"/><Relationship Id="rId17" Type="http://schemas.openxmlformats.org/officeDocument/2006/relationships/hyperlink" Target="#'ANALISIS T&#201;CNICO'!A1"/><Relationship Id="rId2" Type="http://schemas.openxmlformats.org/officeDocument/2006/relationships/image" Target="../media/image6.jpg"/><Relationship Id="rId16" Type="http://schemas.openxmlformats.org/officeDocument/2006/relationships/hyperlink" Target="#'BRECHA DE SERVICIO'!A1"/><Relationship Id="rId20" Type="http://schemas.openxmlformats.org/officeDocument/2006/relationships/hyperlink" Target="#CONCLUSIONES!A1"/><Relationship Id="rId1" Type="http://schemas.openxmlformats.org/officeDocument/2006/relationships/image" Target="../media/image5.jpg"/><Relationship Id="rId6" Type="http://schemas.openxmlformats.org/officeDocument/2006/relationships/image" Target="../media/image2.png"/><Relationship Id="rId11" Type="http://schemas.openxmlformats.org/officeDocument/2006/relationships/hyperlink" Target="#'PROBLEMA-OBJETIVO'!A1"/><Relationship Id="rId5" Type="http://schemas.openxmlformats.org/officeDocument/2006/relationships/hyperlink" Target="#MEN&#218;!A1"/><Relationship Id="rId15" Type="http://schemas.openxmlformats.org/officeDocument/2006/relationships/hyperlink" Target="#'EVALUACION SOCIAL'!A1"/><Relationship Id="rId10" Type="http://schemas.openxmlformats.org/officeDocument/2006/relationships/hyperlink" Target="#'HORIZONTE DE EVALUACI&#211;N'!A1"/><Relationship Id="rId19" Type="http://schemas.openxmlformats.org/officeDocument/2006/relationships/hyperlink" Target="#GESTI&#211;N!A1"/><Relationship Id="rId4" Type="http://schemas.openxmlformats.org/officeDocument/2006/relationships/image" Target="../media/image8.jpg"/><Relationship Id="rId9" Type="http://schemas.openxmlformats.org/officeDocument/2006/relationships/hyperlink" Target="#'UNIDAD PRODUCTORA'!A1"/><Relationship Id="rId14" Type="http://schemas.openxmlformats.org/officeDocument/2006/relationships/hyperlink" Target="#'COSTO TOTAL'!A1"/></Relationships>
</file>

<file path=xl/drawings/_rels/drawing4.xml.rels><?xml version="1.0" encoding="UTF-8" standalone="yes"?>
<Relationships xmlns="http://schemas.openxmlformats.org/package/2006/relationships"><Relationship Id="rId8" Type="http://schemas.openxmlformats.org/officeDocument/2006/relationships/hyperlink" Target="#INVOLUCRADOS!A1"/><Relationship Id="rId13" Type="http://schemas.openxmlformats.org/officeDocument/2006/relationships/hyperlink" Target="#'PROBLEMA-OBJETIVO'!A79"/><Relationship Id="rId18" Type="http://schemas.openxmlformats.org/officeDocument/2006/relationships/hyperlink" Target="#SOSTENIBILIDAD!A1"/><Relationship Id="rId3" Type="http://schemas.openxmlformats.org/officeDocument/2006/relationships/image" Target="../media/image7.jpg"/><Relationship Id="rId21" Type="http://schemas.openxmlformats.org/officeDocument/2006/relationships/hyperlink" Target="#'MARCO LOGICO'!A1"/><Relationship Id="rId7" Type="http://schemas.openxmlformats.org/officeDocument/2006/relationships/hyperlink" Target="#'AREA DE ESTUDIO'!A1"/><Relationship Id="rId12" Type="http://schemas.openxmlformats.org/officeDocument/2006/relationships/hyperlink" Target="#'DATOS GENERALES'!A1"/><Relationship Id="rId17" Type="http://schemas.openxmlformats.org/officeDocument/2006/relationships/hyperlink" Target="#'ANALISIS T&#201;CNICO'!A1"/><Relationship Id="rId2" Type="http://schemas.openxmlformats.org/officeDocument/2006/relationships/image" Target="../media/image6.jpg"/><Relationship Id="rId16" Type="http://schemas.openxmlformats.org/officeDocument/2006/relationships/hyperlink" Target="#'BRECHA DE SERVICIO'!A1"/><Relationship Id="rId20" Type="http://schemas.openxmlformats.org/officeDocument/2006/relationships/hyperlink" Target="#CONCLUSIONES!A1"/><Relationship Id="rId1" Type="http://schemas.openxmlformats.org/officeDocument/2006/relationships/image" Target="../media/image5.jpg"/><Relationship Id="rId6" Type="http://schemas.openxmlformats.org/officeDocument/2006/relationships/image" Target="../media/image2.png"/><Relationship Id="rId11" Type="http://schemas.openxmlformats.org/officeDocument/2006/relationships/hyperlink" Target="#'PROBLEMA-OBJETIVO'!A1"/><Relationship Id="rId5" Type="http://schemas.openxmlformats.org/officeDocument/2006/relationships/hyperlink" Target="#MEN&#218;!A1"/><Relationship Id="rId15" Type="http://schemas.openxmlformats.org/officeDocument/2006/relationships/hyperlink" Target="#'EVALUACION SOCIAL'!A1"/><Relationship Id="rId10" Type="http://schemas.openxmlformats.org/officeDocument/2006/relationships/hyperlink" Target="#'HORIZONTE DE EVALUACI&#211;N'!A1"/><Relationship Id="rId19" Type="http://schemas.openxmlformats.org/officeDocument/2006/relationships/hyperlink" Target="#GESTI&#211;N!A1"/><Relationship Id="rId4" Type="http://schemas.openxmlformats.org/officeDocument/2006/relationships/image" Target="../media/image8.jpg"/><Relationship Id="rId9" Type="http://schemas.openxmlformats.org/officeDocument/2006/relationships/hyperlink" Target="#'UNIDAD PRODUCTORA'!A1"/><Relationship Id="rId14" Type="http://schemas.openxmlformats.org/officeDocument/2006/relationships/hyperlink" Target="#'COSTO TOTAL'!A1"/></Relationships>
</file>

<file path=xl/drawings/_rels/drawing5.xml.rels><?xml version="1.0" encoding="UTF-8" standalone="yes"?>
<Relationships xmlns="http://schemas.openxmlformats.org/package/2006/relationships"><Relationship Id="rId8" Type="http://schemas.openxmlformats.org/officeDocument/2006/relationships/hyperlink" Target="#INVOLUCRADOS!A1"/><Relationship Id="rId13" Type="http://schemas.openxmlformats.org/officeDocument/2006/relationships/hyperlink" Target="#'PROBLEMA-OBJETIVO'!A79"/><Relationship Id="rId18" Type="http://schemas.openxmlformats.org/officeDocument/2006/relationships/hyperlink" Target="#SOSTENIBILIDAD!A1"/><Relationship Id="rId3" Type="http://schemas.openxmlformats.org/officeDocument/2006/relationships/image" Target="../media/image7.jpg"/><Relationship Id="rId21" Type="http://schemas.openxmlformats.org/officeDocument/2006/relationships/hyperlink" Target="#'MARCO LOGICO'!A1"/><Relationship Id="rId7" Type="http://schemas.openxmlformats.org/officeDocument/2006/relationships/hyperlink" Target="#'AREA DE ESTUDIO'!A1"/><Relationship Id="rId12" Type="http://schemas.openxmlformats.org/officeDocument/2006/relationships/hyperlink" Target="#'DATOS GENERALES'!A1"/><Relationship Id="rId17" Type="http://schemas.openxmlformats.org/officeDocument/2006/relationships/hyperlink" Target="#'ANALISIS T&#201;CNICO'!A1"/><Relationship Id="rId2" Type="http://schemas.openxmlformats.org/officeDocument/2006/relationships/image" Target="../media/image6.jpg"/><Relationship Id="rId16" Type="http://schemas.openxmlformats.org/officeDocument/2006/relationships/hyperlink" Target="#'BRECHA DE SERVICIO'!A1"/><Relationship Id="rId20" Type="http://schemas.openxmlformats.org/officeDocument/2006/relationships/hyperlink" Target="#CONCLUSIONES!A1"/><Relationship Id="rId1" Type="http://schemas.openxmlformats.org/officeDocument/2006/relationships/image" Target="../media/image5.jpg"/><Relationship Id="rId6" Type="http://schemas.openxmlformats.org/officeDocument/2006/relationships/image" Target="../media/image2.png"/><Relationship Id="rId11" Type="http://schemas.openxmlformats.org/officeDocument/2006/relationships/hyperlink" Target="#'PROBLEMA-OBJETIVO'!A1"/><Relationship Id="rId5" Type="http://schemas.openxmlformats.org/officeDocument/2006/relationships/hyperlink" Target="#MEN&#218;!A1"/><Relationship Id="rId15" Type="http://schemas.openxmlformats.org/officeDocument/2006/relationships/hyperlink" Target="#'EVALUACION SOCIAL'!A1"/><Relationship Id="rId10" Type="http://schemas.openxmlformats.org/officeDocument/2006/relationships/hyperlink" Target="#'HORIZONTE DE EVALUACI&#211;N'!A1"/><Relationship Id="rId19" Type="http://schemas.openxmlformats.org/officeDocument/2006/relationships/hyperlink" Target="#GESTI&#211;N!A1"/><Relationship Id="rId4" Type="http://schemas.openxmlformats.org/officeDocument/2006/relationships/image" Target="../media/image8.jpg"/><Relationship Id="rId9" Type="http://schemas.openxmlformats.org/officeDocument/2006/relationships/hyperlink" Target="#'UNIDAD PRODUCTORA'!A1"/><Relationship Id="rId14" Type="http://schemas.openxmlformats.org/officeDocument/2006/relationships/hyperlink" Target="#'COSTO TOTAL'!A1"/></Relationships>
</file>

<file path=xl/drawings/_rels/drawing6.xml.rels><?xml version="1.0" encoding="UTF-8" standalone="yes"?>
<Relationships xmlns="http://schemas.openxmlformats.org/package/2006/relationships"><Relationship Id="rId8" Type="http://schemas.openxmlformats.org/officeDocument/2006/relationships/hyperlink" Target="#INVOLUCRADOS!A1"/><Relationship Id="rId13" Type="http://schemas.openxmlformats.org/officeDocument/2006/relationships/hyperlink" Target="#'PROBLEMA-OBJETIVO'!A79"/><Relationship Id="rId18" Type="http://schemas.openxmlformats.org/officeDocument/2006/relationships/hyperlink" Target="#SOSTENIBILIDAD!A1"/><Relationship Id="rId3" Type="http://schemas.openxmlformats.org/officeDocument/2006/relationships/image" Target="../media/image7.jpg"/><Relationship Id="rId21" Type="http://schemas.openxmlformats.org/officeDocument/2006/relationships/hyperlink" Target="#'MARCO LOGICO'!A1"/><Relationship Id="rId7" Type="http://schemas.openxmlformats.org/officeDocument/2006/relationships/hyperlink" Target="#'AREA DE ESTUDIO'!A1"/><Relationship Id="rId12" Type="http://schemas.openxmlformats.org/officeDocument/2006/relationships/hyperlink" Target="#'DATOS GENERALES'!A1"/><Relationship Id="rId17" Type="http://schemas.openxmlformats.org/officeDocument/2006/relationships/hyperlink" Target="#'ANALISIS T&#201;CNICO'!A1"/><Relationship Id="rId2" Type="http://schemas.openxmlformats.org/officeDocument/2006/relationships/image" Target="../media/image6.jpg"/><Relationship Id="rId16" Type="http://schemas.openxmlformats.org/officeDocument/2006/relationships/hyperlink" Target="#'BRECHA DE SERVICIO'!A1"/><Relationship Id="rId20" Type="http://schemas.openxmlformats.org/officeDocument/2006/relationships/hyperlink" Target="#CONCLUSIONES!A1"/><Relationship Id="rId1" Type="http://schemas.openxmlformats.org/officeDocument/2006/relationships/image" Target="../media/image5.jpg"/><Relationship Id="rId6" Type="http://schemas.openxmlformats.org/officeDocument/2006/relationships/image" Target="../media/image2.png"/><Relationship Id="rId11" Type="http://schemas.openxmlformats.org/officeDocument/2006/relationships/hyperlink" Target="#'PROBLEMA-OBJETIVO'!A1"/><Relationship Id="rId5" Type="http://schemas.openxmlformats.org/officeDocument/2006/relationships/hyperlink" Target="#MEN&#218;!A1"/><Relationship Id="rId15" Type="http://schemas.openxmlformats.org/officeDocument/2006/relationships/hyperlink" Target="#'EVALUACION SOCIAL'!A1"/><Relationship Id="rId10" Type="http://schemas.openxmlformats.org/officeDocument/2006/relationships/hyperlink" Target="#'HORIZONTE DE EVALUACI&#211;N'!A1"/><Relationship Id="rId19" Type="http://schemas.openxmlformats.org/officeDocument/2006/relationships/hyperlink" Target="#GESTI&#211;N!A1"/><Relationship Id="rId4" Type="http://schemas.openxmlformats.org/officeDocument/2006/relationships/image" Target="../media/image8.jpg"/><Relationship Id="rId9" Type="http://schemas.openxmlformats.org/officeDocument/2006/relationships/hyperlink" Target="#'UNIDAD PRODUCTORA'!A1"/><Relationship Id="rId14" Type="http://schemas.openxmlformats.org/officeDocument/2006/relationships/hyperlink" Target="#'COSTO TOTAL'!A1"/></Relationships>
</file>

<file path=xl/drawings/_rels/drawing7.xml.rels><?xml version="1.0" encoding="UTF-8" standalone="yes"?>
<Relationships xmlns="http://schemas.openxmlformats.org/package/2006/relationships"><Relationship Id="rId8" Type="http://schemas.openxmlformats.org/officeDocument/2006/relationships/hyperlink" Target="#INVOLUCRADOS!A1"/><Relationship Id="rId13" Type="http://schemas.openxmlformats.org/officeDocument/2006/relationships/hyperlink" Target="#'PROBLEMA-OBJETIVO'!A79"/><Relationship Id="rId18" Type="http://schemas.openxmlformats.org/officeDocument/2006/relationships/hyperlink" Target="#SOSTENIBILIDAD!A1"/><Relationship Id="rId3" Type="http://schemas.openxmlformats.org/officeDocument/2006/relationships/image" Target="../media/image7.jpg"/><Relationship Id="rId21" Type="http://schemas.openxmlformats.org/officeDocument/2006/relationships/hyperlink" Target="#'MARCO LOGICO'!A1"/><Relationship Id="rId7" Type="http://schemas.openxmlformats.org/officeDocument/2006/relationships/hyperlink" Target="#'AREA DE ESTUDIO'!A1"/><Relationship Id="rId12" Type="http://schemas.openxmlformats.org/officeDocument/2006/relationships/hyperlink" Target="#'DATOS GENERALES'!A1"/><Relationship Id="rId17" Type="http://schemas.openxmlformats.org/officeDocument/2006/relationships/hyperlink" Target="#'ANALISIS T&#201;CNICO'!A1"/><Relationship Id="rId2" Type="http://schemas.openxmlformats.org/officeDocument/2006/relationships/image" Target="../media/image6.jpg"/><Relationship Id="rId16" Type="http://schemas.openxmlformats.org/officeDocument/2006/relationships/hyperlink" Target="#'BRECHA DE SERVICIO'!A1"/><Relationship Id="rId20" Type="http://schemas.openxmlformats.org/officeDocument/2006/relationships/hyperlink" Target="#CONCLUSIONES!A1"/><Relationship Id="rId1" Type="http://schemas.openxmlformats.org/officeDocument/2006/relationships/image" Target="../media/image5.jpg"/><Relationship Id="rId6" Type="http://schemas.openxmlformats.org/officeDocument/2006/relationships/image" Target="../media/image2.png"/><Relationship Id="rId11" Type="http://schemas.openxmlformats.org/officeDocument/2006/relationships/hyperlink" Target="#'PROBLEMA-OBJETIVO'!A1"/><Relationship Id="rId5" Type="http://schemas.openxmlformats.org/officeDocument/2006/relationships/hyperlink" Target="#MEN&#218;!A1"/><Relationship Id="rId15" Type="http://schemas.openxmlformats.org/officeDocument/2006/relationships/hyperlink" Target="#'EVALUACION SOCIAL'!A1"/><Relationship Id="rId10" Type="http://schemas.openxmlformats.org/officeDocument/2006/relationships/hyperlink" Target="#'HORIZONTE DE EVALUACI&#211;N'!A1"/><Relationship Id="rId19" Type="http://schemas.openxmlformats.org/officeDocument/2006/relationships/hyperlink" Target="#GESTI&#211;N!A1"/><Relationship Id="rId4" Type="http://schemas.openxmlformats.org/officeDocument/2006/relationships/image" Target="../media/image8.jpg"/><Relationship Id="rId9" Type="http://schemas.openxmlformats.org/officeDocument/2006/relationships/hyperlink" Target="#'UNIDAD PRODUCTORA'!A1"/><Relationship Id="rId14" Type="http://schemas.openxmlformats.org/officeDocument/2006/relationships/hyperlink" Target="#'COSTO TOTAL'!A1"/></Relationships>
</file>

<file path=xl/drawings/_rels/drawing8.xml.rels><?xml version="1.0" encoding="UTF-8" standalone="yes"?>
<Relationships xmlns="http://schemas.openxmlformats.org/package/2006/relationships"><Relationship Id="rId8" Type="http://schemas.openxmlformats.org/officeDocument/2006/relationships/hyperlink" Target="#INVOLUCRADOS!A1"/><Relationship Id="rId13" Type="http://schemas.openxmlformats.org/officeDocument/2006/relationships/hyperlink" Target="#'PROBLEMA-OBJETIVO'!A79"/><Relationship Id="rId18" Type="http://schemas.openxmlformats.org/officeDocument/2006/relationships/hyperlink" Target="#SOSTENIBILIDAD!A1"/><Relationship Id="rId3" Type="http://schemas.openxmlformats.org/officeDocument/2006/relationships/image" Target="../media/image7.jpg"/><Relationship Id="rId21" Type="http://schemas.openxmlformats.org/officeDocument/2006/relationships/hyperlink" Target="#'MARCO LOGICO'!A1"/><Relationship Id="rId7" Type="http://schemas.openxmlformats.org/officeDocument/2006/relationships/hyperlink" Target="#'AREA DE ESTUDIO'!A1"/><Relationship Id="rId12" Type="http://schemas.openxmlformats.org/officeDocument/2006/relationships/hyperlink" Target="#'DATOS GENERALES'!A1"/><Relationship Id="rId17" Type="http://schemas.openxmlformats.org/officeDocument/2006/relationships/hyperlink" Target="#'ANALISIS T&#201;CNICO'!A1"/><Relationship Id="rId2" Type="http://schemas.openxmlformats.org/officeDocument/2006/relationships/image" Target="../media/image6.jpg"/><Relationship Id="rId16" Type="http://schemas.openxmlformats.org/officeDocument/2006/relationships/hyperlink" Target="#'BRECHA DE SERVICIO'!A1"/><Relationship Id="rId20" Type="http://schemas.openxmlformats.org/officeDocument/2006/relationships/hyperlink" Target="#CONCLUSIONES!A1"/><Relationship Id="rId1" Type="http://schemas.openxmlformats.org/officeDocument/2006/relationships/image" Target="../media/image5.jpg"/><Relationship Id="rId6" Type="http://schemas.openxmlformats.org/officeDocument/2006/relationships/image" Target="../media/image2.png"/><Relationship Id="rId11" Type="http://schemas.openxmlformats.org/officeDocument/2006/relationships/hyperlink" Target="#'PROBLEMA-OBJETIVO'!A1"/><Relationship Id="rId5" Type="http://schemas.openxmlformats.org/officeDocument/2006/relationships/hyperlink" Target="#MEN&#218;!A1"/><Relationship Id="rId15" Type="http://schemas.openxmlformats.org/officeDocument/2006/relationships/hyperlink" Target="#'EVALUACION SOCIAL'!A1"/><Relationship Id="rId10" Type="http://schemas.openxmlformats.org/officeDocument/2006/relationships/hyperlink" Target="#'HORIZONTE DE EVALUACI&#211;N'!A1"/><Relationship Id="rId19" Type="http://schemas.openxmlformats.org/officeDocument/2006/relationships/hyperlink" Target="#GESTI&#211;N!A1"/><Relationship Id="rId4" Type="http://schemas.openxmlformats.org/officeDocument/2006/relationships/image" Target="../media/image8.jpg"/><Relationship Id="rId9" Type="http://schemas.openxmlformats.org/officeDocument/2006/relationships/hyperlink" Target="#'UNIDAD PRODUCTORA'!A1"/><Relationship Id="rId14" Type="http://schemas.openxmlformats.org/officeDocument/2006/relationships/hyperlink" Target="#'COSTO TOTAL'!A1"/></Relationships>
</file>

<file path=xl/drawings/_rels/drawing9.xml.rels><?xml version="1.0" encoding="UTF-8" standalone="yes"?>
<Relationships xmlns="http://schemas.openxmlformats.org/package/2006/relationships"><Relationship Id="rId8" Type="http://schemas.openxmlformats.org/officeDocument/2006/relationships/hyperlink" Target="#INVOLUCRADOS!A1"/><Relationship Id="rId13" Type="http://schemas.openxmlformats.org/officeDocument/2006/relationships/hyperlink" Target="#'PROBLEMA-OBJETIVO'!A79"/><Relationship Id="rId18" Type="http://schemas.openxmlformats.org/officeDocument/2006/relationships/hyperlink" Target="#SOSTENIBILIDAD!A1"/><Relationship Id="rId3" Type="http://schemas.openxmlformats.org/officeDocument/2006/relationships/image" Target="../media/image7.jpg"/><Relationship Id="rId21" Type="http://schemas.openxmlformats.org/officeDocument/2006/relationships/hyperlink" Target="#'MARCO LOGICO'!A1"/><Relationship Id="rId7" Type="http://schemas.openxmlformats.org/officeDocument/2006/relationships/hyperlink" Target="#'AREA DE ESTUDIO'!A1"/><Relationship Id="rId12" Type="http://schemas.openxmlformats.org/officeDocument/2006/relationships/hyperlink" Target="#'DATOS GENERALES'!A1"/><Relationship Id="rId17" Type="http://schemas.openxmlformats.org/officeDocument/2006/relationships/hyperlink" Target="#'ANALISIS T&#201;CNICO'!A1"/><Relationship Id="rId2" Type="http://schemas.openxmlformats.org/officeDocument/2006/relationships/image" Target="../media/image6.jpg"/><Relationship Id="rId16" Type="http://schemas.openxmlformats.org/officeDocument/2006/relationships/hyperlink" Target="#'BRECHA DE SERVICIO'!A1"/><Relationship Id="rId20" Type="http://schemas.openxmlformats.org/officeDocument/2006/relationships/hyperlink" Target="#CONCLUSIONES!A1"/><Relationship Id="rId1" Type="http://schemas.openxmlformats.org/officeDocument/2006/relationships/image" Target="../media/image5.jpg"/><Relationship Id="rId6" Type="http://schemas.openxmlformats.org/officeDocument/2006/relationships/image" Target="../media/image2.png"/><Relationship Id="rId11" Type="http://schemas.openxmlformats.org/officeDocument/2006/relationships/hyperlink" Target="#'PROBLEMA-OBJETIVO'!A1"/><Relationship Id="rId5" Type="http://schemas.openxmlformats.org/officeDocument/2006/relationships/hyperlink" Target="#MEN&#218;!A1"/><Relationship Id="rId15" Type="http://schemas.openxmlformats.org/officeDocument/2006/relationships/hyperlink" Target="#'EVALUACION SOCIAL'!A1"/><Relationship Id="rId10" Type="http://schemas.openxmlformats.org/officeDocument/2006/relationships/hyperlink" Target="#'HORIZONTE DE EVALUACI&#211;N'!A1"/><Relationship Id="rId19" Type="http://schemas.openxmlformats.org/officeDocument/2006/relationships/hyperlink" Target="#GESTI&#211;N!A1"/><Relationship Id="rId4" Type="http://schemas.openxmlformats.org/officeDocument/2006/relationships/image" Target="../media/image8.jpg"/><Relationship Id="rId9" Type="http://schemas.openxmlformats.org/officeDocument/2006/relationships/hyperlink" Target="#'UNIDAD PRODUCTORA'!A1"/><Relationship Id="rId14" Type="http://schemas.openxmlformats.org/officeDocument/2006/relationships/hyperlink" Target="#'COSTO TOTAL'!A1"/></Relationships>
</file>

<file path=xl/drawings/_rels/drawing10.xml.rels><?xml version="1.0" encoding="UTF-8" standalone="yes"?>
<Relationships xmlns="http://schemas.openxmlformats.org/package/2006/relationships"><Relationship Id="rId13" Type="http://schemas.openxmlformats.org/officeDocument/2006/relationships/hyperlink" Target="#'PROBLEMA-OBJETIVO'!A79"/><Relationship Id="rId18" Type="http://schemas.openxmlformats.org/officeDocument/2006/relationships/hyperlink" Target="#SOSTENIBILIDAD!A1"/><Relationship Id="rId26" Type="http://schemas.openxmlformats.org/officeDocument/2006/relationships/chart" Target="../charts/chart6.xml"/><Relationship Id="rId39" Type="http://schemas.openxmlformats.org/officeDocument/2006/relationships/chart" Target="../charts/chart19.xml"/><Relationship Id="rId21" Type="http://schemas.openxmlformats.org/officeDocument/2006/relationships/chart" Target="../charts/chart1.xml"/><Relationship Id="rId34" Type="http://schemas.openxmlformats.org/officeDocument/2006/relationships/chart" Target="../charts/chart14.xml"/><Relationship Id="rId42" Type="http://schemas.openxmlformats.org/officeDocument/2006/relationships/chart" Target="../charts/chart22.xml"/><Relationship Id="rId47" Type="http://schemas.openxmlformats.org/officeDocument/2006/relationships/chart" Target="../charts/chart27.xml"/><Relationship Id="rId7" Type="http://schemas.openxmlformats.org/officeDocument/2006/relationships/hyperlink" Target="#'AREA DE ESTUDIO'!A1"/><Relationship Id="rId2" Type="http://schemas.openxmlformats.org/officeDocument/2006/relationships/image" Target="../media/image6.jpg"/><Relationship Id="rId16" Type="http://schemas.openxmlformats.org/officeDocument/2006/relationships/hyperlink" Target="#'BRECHA DE SERVICIO'!A1"/><Relationship Id="rId29" Type="http://schemas.openxmlformats.org/officeDocument/2006/relationships/chart" Target="../charts/chart9.xml"/><Relationship Id="rId11" Type="http://schemas.openxmlformats.org/officeDocument/2006/relationships/hyperlink" Target="#'PROBLEMA-OBJETIVO'!A1"/><Relationship Id="rId24" Type="http://schemas.openxmlformats.org/officeDocument/2006/relationships/chart" Target="../charts/chart4.xml"/><Relationship Id="rId32" Type="http://schemas.openxmlformats.org/officeDocument/2006/relationships/chart" Target="../charts/chart12.xml"/><Relationship Id="rId37" Type="http://schemas.openxmlformats.org/officeDocument/2006/relationships/chart" Target="../charts/chart17.xml"/><Relationship Id="rId40" Type="http://schemas.openxmlformats.org/officeDocument/2006/relationships/chart" Target="../charts/chart20.xml"/><Relationship Id="rId45" Type="http://schemas.openxmlformats.org/officeDocument/2006/relationships/chart" Target="../charts/chart25.xml"/><Relationship Id="rId5" Type="http://schemas.openxmlformats.org/officeDocument/2006/relationships/hyperlink" Target="#MEN&#218;!A1"/><Relationship Id="rId15" Type="http://schemas.openxmlformats.org/officeDocument/2006/relationships/hyperlink" Target="#'EVALUACION SOCIAL'!A1"/><Relationship Id="rId23" Type="http://schemas.openxmlformats.org/officeDocument/2006/relationships/chart" Target="../charts/chart3.xml"/><Relationship Id="rId28" Type="http://schemas.openxmlformats.org/officeDocument/2006/relationships/chart" Target="../charts/chart8.xml"/><Relationship Id="rId36" Type="http://schemas.openxmlformats.org/officeDocument/2006/relationships/chart" Target="../charts/chart16.xml"/><Relationship Id="rId49" Type="http://schemas.openxmlformats.org/officeDocument/2006/relationships/chart" Target="../charts/chart29.xml"/><Relationship Id="rId10" Type="http://schemas.openxmlformats.org/officeDocument/2006/relationships/hyperlink" Target="#'HORIZONTE DE EVALUACI&#211;N'!A1"/><Relationship Id="rId19" Type="http://schemas.openxmlformats.org/officeDocument/2006/relationships/hyperlink" Target="#GESTI&#211;N!A1"/><Relationship Id="rId31" Type="http://schemas.openxmlformats.org/officeDocument/2006/relationships/chart" Target="../charts/chart11.xml"/><Relationship Id="rId44" Type="http://schemas.openxmlformats.org/officeDocument/2006/relationships/chart" Target="../charts/chart24.xml"/><Relationship Id="rId4" Type="http://schemas.openxmlformats.org/officeDocument/2006/relationships/image" Target="../media/image8.jpg"/><Relationship Id="rId9" Type="http://schemas.openxmlformats.org/officeDocument/2006/relationships/hyperlink" Target="#'UNIDAD PRODUCTORA'!A1"/><Relationship Id="rId14" Type="http://schemas.openxmlformats.org/officeDocument/2006/relationships/hyperlink" Target="#'COSTO TOTAL'!A1"/><Relationship Id="rId22" Type="http://schemas.openxmlformats.org/officeDocument/2006/relationships/chart" Target="../charts/chart2.xml"/><Relationship Id="rId27" Type="http://schemas.openxmlformats.org/officeDocument/2006/relationships/chart" Target="../charts/chart7.xml"/><Relationship Id="rId30" Type="http://schemas.openxmlformats.org/officeDocument/2006/relationships/chart" Target="../charts/chart10.xml"/><Relationship Id="rId35" Type="http://schemas.openxmlformats.org/officeDocument/2006/relationships/chart" Target="../charts/chart15.xml"/><Relationship Id="rId43" Type="http://schemas.openxmlformats.org/officeDocument/2006/relationships/chart" Target="../charts/chart23.xml"/><Relationship Id="rId48" Type="http://schemas.openxmlformats.org/officeDocument/2006/relationships/chart" Target="../charts/chart28.xml"/><Relationship Id="rId8" Type="http://schemas.openxmlformats.org/officeDocument/2006/relationships/hyperlink" Target="#INVOLUCRADOS!A1"/><Relationship Id="rId3" Type="http://schemas.openxmlformats.org/officeDocument/2006/relationships/image" Target="../media/image7.jpg"/><Relationship Id="rId12" Type="http://schemas.openxmlformats.org/officeDocument/2006/relationships/hyperlink" Target="#CONCLUSIONES!A1"/><Relationship Id="rId17" Type="http://schemas.openxmlformats.org/officeDocument/2006/relationships/hyperlink" Target="#'ANALISIS T&#201;CNICO'!A1"/><Relationship Id="rId25" Type="http://schemas.openxmlformats.org/officeDocument/2006/relationships/chart" Target="../charts/chart5.xml"/><Relationship Id="rId33" Type="http://schemas.openxmlformats.org/officeDocument/2006/relationships/chart" Target="../charts/chart13.xml"/><Relationship Id="rId38" Type="http://schemas.openxmlformats.org/officeDocument/2006/relationships/chart" Target="../charts/chart18.xml"/><Relationship Id="rId46" Type="http://schemas.openxmlformats.org/officeDocument/2006/relationships/chart" Target="../charts/chart26.xml"/><Relationship Id="rId20" Type="http://schemas.openxmlformats.org/officeDocument/2006/relationships/hyperlink" Target="#'MARCO LOGICO'!A1"/><Relationship Id="rId41" Type="http://schemas.openxmlformats.org/officeDocument/2006/relationships/chart" Target="../charts/chart21.xml"/><Relationship Id="rId1" Type="http://schemas.openxmlformats.org/officeDocument/2006/relationships/image" Target="../media/image5.jpg"/><Relationship Id="rId6" Type="http://schemas.openxmlformats.org/officeDocument/2006/relationships/image" Target="../media/image2.png"/></Relationships>
</file>

<file path=xl/drawings/_rels/drawing11.xml.rels><?xml version="1.0" encoding="UTF-8" standalone="yes"?>
<Relationships xmlns="http://schemas.openxmlformats.org/package/2006/relationships"><Relationship Id="rId8" Type="http://schemas.openxmlformats.org/officeDocument/2006/relationships/hyperlink" Target="#INVOLUCRADOS!A1"/><Relationship Id="rId13" Type="http://schemas.openxmlformats.org/officeDocument/2006/relationships/hyperlink" Target="#'PROBLEMA-OBJETIVO'!A79"/><Relationship Id="rId18" Type="http://schemas.openxmlformats.org/officeDocument/2006/relationships/hyperlink" Target="#SOSTENIBILIDAD!A1"/><Relationship Id="rId3" Type="http://schemas.openxmlformats.org/officeDocument/2006/relationships/image" Target="../media/image7.jpg"/><Relationship Id="rId21" Type="http://schemas.openxmlformats.org/officeDocument/2006/relationships/hyperlink" Target="#'MARCO LOGICO'!A1"/><Relationship Id="rId7" Type="http://schemas.openxmlformats.org/officeDocument/2006/relationships/hyperlink" Target="#'AREA DE ESTUDIO'!A1"/><Relationship Id="rId12" Type="http://schemas.openxmlformats.org/officeDocument/2006/relationships/hyperlink" Target="#'DATOS GENERALES'!A1"/><Relationship Id="rId17" Type="http://schemas.openxmlformats.org/officeDocument/2006/relationships/hyperlink" Target="#'ANALISIS T&#201;CNICO'!A1"/><Relationship Id="rId2" Type="http://schemas.openxmlformats.org/officeDocument/2006/relationships/image" Target="../media/image6.jpg"/><Relationship Id="rId16" Type="http://schemas.openxmlformats.org/officeDocument/2006/relationships/hyperlink" Target="#'BRECHA DE SERVICIO'!A1"/><Relationship Id="rId20" Type="http://schemas.openxmlformats.org/officeDocument/2006/relationships/hyperlink" Target="#CONCLUSIONES!A1"/><Relationship Id="rId1" Type="http://schemas.openxmlformats.org/officeDocument/2006/relationships/image" Target="../media/image5.jpg"/><Relationship Id="rId6" Type="http://schemas.openxmlformats.org/officeDocument/2006/relationships/image" Target="../media/image2.png"/><Relationship Id="rId11" Type="http://schemas.openxmlformats.org/officeDocument/2006/relationships/hyperlink" Target="#'PROBLEMA-OBJETIVO'!A1"/><Relationship Id="rId5" Type="http://schemas.openxmlformats.org/officeDocument/2006/relationships/hyperlink" Target="#MEN&#218;!A1"/><Relationship Id="rId15" Type="http://schemas.openxmlformats.org/officeDocument/2006/relationships/hyperlink" Target="#'EVALUACION SOCIAL'!A1"/><Relationship Id="rId10" Type="http://schemas.openxmlformats.org/officeDocument/2006/relationships/hyperlink" Target="#'HORIZONTE DE EVALUACI&#211;N'!A1"/><Relationship Id="rId19" Type="http://schemas.openxmlformats.org/officeDocument/2006/relationships/hyperlink" Target="#GESTI&#211;N!A1"/><Relationship Id="rId4" Type="http://schemas.openxmlformats.org/officeDocument/2006/relationships/image" Target="../media/image8.jpg"/><Relationship Id="rId9" Type="http://schemas.openxmlformats.org/officeDocument/2006/relationships/hyperlink" Target="#'UNIDAD PRODUCTORA'!A1"/><Relationship Id="rId14" Type="http://schemas.openxmlformats.org/officeDocument/2006/relationships/hyperlink" Target="#'COSTO TOTAL'!A1"/></Relationships>
</file>

<file path=xl/drawings/_rels/drawing12.xml.rels><?xml version="1.0" encoding="UTF-8" standalone="yes"?>
<Relationships xmlns="http://schemas.openxmlformats.org/package/2006/relationships"><Relationship Id="rId8" Type="http://schemas.openxmlformats.org/officeDocument/2006/relationships/hyperlink" Target="#INVOLUCRADOS!A1"/><Relationship Id="rId13" Type="http://schemas.openxmlformats.org/officeDocument/2006/relationships/hyperlink" Target="#'PROBLEMA-OBJETIVO'!A79"/><Relationship Id="rId18" Type="http://schemas.openxmlformats.org/officeDocument/2006/relationships/hyperlink" Target="#SOSTENIBILIDAD!A1"/><Relationship Id="rId3" Type="http://schemas.openxmlformats.org/officeDocument/2006/relationships/image" Target="../media/image7.jpg"/><Relationship Id="rId21" Type="http://schemas.openxmlformats.org/officeDocument/2006/relationships/hyperlink" Target="#'MARCO LOGICO'!A1"/><Relationship Id="rId7" Type="http://schemas.openxmlformats.org/officeDocument/2006/relationships/hyperlink" Target="#'AREA DE ESTUDIO'!A1"/><Relationship Id="rId12" Type="http://schemas.openxmlformats.org/officeDocument/2006/relationships/hyperlink" Target="#'DATOS GENERALES'!A1"/><Relationship Id="rId17" Type="http://schemas.openxmlformats.org/officeDocument/2006/relationships/hyperlink" Target="#'ANALISIS T&#201;CNICO'!A1"/><Relationship Id="rId2" Type="http://schemas.openxmlformats.org/officeDocument/2006/relationships/image" Target="../media/image6.jpg"/><Relationship Id="rId16" Type="http://schemas.openxmlformats.org/officeDocument/2006/relationships/hyperlink" Target="#'BRECHA DE SERVICIO'!A1"/><Relationship Id="rId20" Type="http://schemas.openxmlformats.org/officeDocument/2006/relationships/hyperlink" Target="#CONCLUSIONES!A1"/><Relationship Id="rId1" Type="http://schemas.openxmlformats.org/officeDocument/2006/relationships/image" Target="../media/image5.jpg"/><Relationship Id="rId6" Type="http://schemas.openxmlformats.org/officeDocument/2006/relationships/image" Target="../media/image2.png"/><Relationship Id="rId11" Type="http://schemas.openxmlformats.org/officeDocument/2006/relationships/hyperlink" Target="#'PROBLEMA-OBJETIVO'!A1"/><Relationship Id="rId5" Type="http://schemas.openxmlformats.org/officeDocument/2006/relationships/hyperlink" Target="#MEN&#218;!A1"/><Relationship Id="rId15" Type="http://schemas.openxmlformats.org/officeDocument/2006/relationships/hyperlink" Target="#'EVALUACION SOCIAL'!A1"/><Relationship Id="rId10" Type="http://schemas.openxmlformats.org/officeDocument/2006/relationships/hyperlink" Target="#'HORIZONTE DE EVALUACI&#211;N'!A1"/><Relationship Id="rId19" Type="http://schemas.openxmlformats.org/officeDocument/2006/relationships/hyperlink" Target="#GESTI&#211;N!A1"/><Relationship Id="rId4" Type="http://schemas.openxmlformats.org/officeDocument/2006/relationships/image" Target="../media/image8.jpg"/><Relationship Id="rId9" Type="http://schemas.openxmlformats.org/officeDocument/2006/relationships/hyperlink" Target="#'UNIDAD PRODUCTORA'!A1"/><Relationship Id="rId14" Type="http://schemas.openxmlformats.org/officeDocument/2006/relationships/hyperlink" Target="#'COSTO TOTAL'!A1"/></Relationships>
</file>

<file path=xl/drawings/_rels/drawing13.xml.rels><?xml version="1.0" encoding="UTF-8" standalone="yes"?>
<Relationships xmlns="http://schemas.openxmlformats.org/package/2006/relationships"><Relationship Id="rId8" Type="http://schemas.openxmlformats.org/officeDocument/2006/relationships/hyperlink" Target="#INVOLUCRADOS!A1"/><Relationship Id="rId13" Type="http://schemas.openxmlformats.org/officeDocument/2006/relationships/hyperlink" Target="#'PROBLEMA-OBJETIVO'!A79"/><Relationship Id="rId18" Type="http://schemas.openxmlformats.org/officeDocument/2006/relationships/hyperlink" Target="#SOSTENIBILIDAD!A1"/><Relationship Id="rId3" Type="http://schemas.openxmlformats.org/officeDocument/2006/relationships/image" Target="../media/image7.jpg"/><Relationship Id="rId21" Type="http://schemas.openxmlformats.org/officeDocument/2006/relationships/hyperlink" Target="#'MARCO LOGICO'!A1"/><Relationship Id="rId7" Type="http://schemas.openxmlformats.org/officeDocument/2006/relationships/hyperlink" Target="#'AREA DE ESTUDIO'!A1"/><Relationship Id="rId12" Type="http://schemas.openxmlformats.org/officeDocument/2006/relationships/hyperlink" Target="#'DATOS GENERALES'!A1"/><Relationship Id="rId17" Type="http://schemas.openxmlformats.org/officeDocument/2006/relationships/hyperlink" Target="#'ANALISIS T&#201;CNICO'!A1"/><Relationship Id="rId2" Type="http://schemas.openxmlformats.org/officeDocument/2006/relationships/image" Target="../media/image6.jpg"/><Relationship Id="rId16" Type="http://schemas.openxmlformats.org/officeDocument/2006/relationships/hyperlink" Target="#'BRECHA DE SERVICIO'!A1"/><Relationship Id="rId20" Type="http://schemas.openxmlformats.org/officeDocument/2006/relationships/hyperlink" Target="#CONCLUSIONES!A1"/><Relationship Id="rId1" Type="http://schemas.openxmlformats.org/officeDocument/2006/relationships/image" Target="../media/image5.jpg"/><Relationship Id="rId6" Type="http://schemas.openxmlformats.org/officeDocument/2006/relationships/image" Target="../media/image2.png"/><Relationship Id="rId11" Type="http://schemas.openxmlformats.org/officeDocument/2006/relationships/hyperlink" Target="#'PROBLEMA-OBJETIVO'!A1"/><Relationship Id="rId5" Type="http://schemas.openxmlformats.org/officeDocument/2006/relationships/hyperlink" Target="#MEN&#218;!A1"/><Relationship Id="rId15" Type="http://schemas.openxmlformats.org/officeDocument/2006/relationships/hyperlink" Target="#'EVALUACION SOCIAL'!A1"/><Relationship Id="rId10" Type="http://schemas.openxmlformats.org/officeDocument/2006/relationships/hyperlink" Target="#'HORIZONTE DE EVALUACI&#211;N'!A1"/><Relationship Id="rId19" Type="http://schemas.openxmlformats.org/officeDocument/2006/relationships/hyperlink" Target="#GESTI&#211;N!A1"/><Relationship Id="rId4" Type="http://schemas.openxmlformats.org/officeDocument/2006/relationships/image" Target="../media/image8.jpg"/><Relationship Id="rId9" Type="http://schemas.openxmlformats.org/officeDocument/2006/relationships/hyperlink" Target="#'UNIDAD PRODUCTORA'!A1"/><Relationship Id="rId14" Type="http://schemas.openxmlformats.org/officeDocument/2006/relationships/hyperlink" Target="#'COSTO TOTAL'!A1"/></Relationships>
</file>

<file path=xl/drawings/_rels/drawing14.xml.rels><?xml version="1.0" encoding="UTF-8" standalone="yes"?>
<Relationships xmlns="http://schemas.openxmlformats.org/package/2006/relationships"><Relationship Id="rId8" Type="http://schemas.openxmlformats.org/officeDocument/2006/relationships/hyperlink" Target="#INVOLUCRADOS!A1"/><Relationship Id="rId13" Type="http://schemas.openxmlformats.org/officeDocument/2006/relationships/hyperlink" Target="#'PROBLEMA-OBJETIVO'!A79"/><Relationship Id="rId18" Type="http://schemas.openxmlformats.org/officeDocument/2006/relationships/hyperlink" Target="#SOSTENIBILIDAD!A1"/><Relationship Id="rId3" Type="http://schemas.openxmlformats.org/officeDocument/2006/relationships/image" Target="../media/image7.jpg"/><Relationship Id="rId21" Type="http://schemas.openxmlformats.org/officeDocument/2006/relationships/hyperlink" Target="#'MARCO LOGICO'!A1"/><Relationship Id="rId7" Type="http://schemas.openxmlformats.org/officeDocument/2006/relationships/hyperlink" Target="#'AREA DE ESTUDIO'!A1"/><Relationship Id="rId12" Type="http://schemas.openxmlformats.org/officeDocument/2006/relationships/hyperlink" Target="#'DATOS GENERALES'!A1"/><Relationship Id="rId17" Type="http://schemas.openxmlformats.org/officeDocument/2006/relationships/hyperlink" Target="#'ANALISIS T&#201;CNICO'!A1"/><Relationship Id="rId2" Type="http://schemas.openxmlformats.org/officeDocument/2006/relationships/image" Target="../media/image6.jpg"/><Relationship Id="rId16" Type="http://schemas.openxmlformats.org/officeDocument/2006/relationships/hyperlink" Target="#'BRECHA DE SERVICIO'!A1"/><Relationship Id="rId20" Type="http://schemas.openxmlformats.org/officeDocument/2006/relationships/hyperlink" Target="#CONCLUSIONES!A1"/><Relationship Id="rId1" Type="http://schemas.openxmlformats.org/officeDocument/2006/relationships/image" Target="../media/image5.jpg"/><Relationship Id="rId6" Type="http://schemas.openxmlformats.org/officeDocument/2006/relationships/image" Target="../media/image2.png"/><Relationship Id="rId11" Type="http://schemas.openxmlformats.org/officeDocument/2006/relationships/hyperlink" Target="#'PROBLEMA-OBJETIVO'!A1"/><Relationship Id="rId5" Type="http://schemas.openxmlformats.org/officeDocument/2006/relationships/hyperlink" Target="#MEN&#218;!A1"/><Relationship Id="rId15" Type="http://schemas.openxmlformats.org/officeDocument/2006/relationships/hyperlink" Target="#'EVALUACION SOCIAL'!A1"/><Relationship Id="rId10" Type="http://schemas.openxmlformats.org/officeDocument/2006/relationships/hyperlink" Target="#'HORIZONTE DE EVALUACI&#211;N'!A1"/><Relationship Id="rId19" Type="http://schemas.openxmlformats.org/officeDocument/2006/relationships/hyperlink" Target="#GESTI&#211;N!A1"/><Relationship Id="rId4" Type="http://schemas.openxmlformats.org/officeDocument/2006/relationships/image" Target="../media/image8.jpg"/><Relationship Id="rId9" Type="http://schemas.openxmlformats.org/officeDocument/2006/relationships/hyperlink" Target="#'UNIDAD PRODUCTORA'!A1"/><Relationship Id="rId14" Type="http://schemas.openxmlformats.org/officeDocument/2006/relationships/hyperlink" Target="#'COSTO TOTAL'!A1"/></Relationships>
</file>

<file path=xl/drawings/_rels/drawing1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218;!A1"/></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218;!A1"/></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218;!A1"/></Relationships>
</file>

<file path=xl/drawings/_rels/drawing1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218;!A1"/></Relationships>
</file>

<file path=xl/drawings/_rels/drawing1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218;!A1"/></Relationships>
</file>

<file path=xl/drawings/_rels/drawing20.xml.rels><?xml version="1.0" encoding="UTF-8" standalone="yes"?>
<Relationships xmlns="http://schemas.openxmlformats.org/package/2006/relationships"><Relationship Id="rId1" Type="http://schemas.openxmlformats.org/officeDocument/2006/relationships/image" Target="../media/image35.jpg"/></Relationships>
</file>

<file path=xl/drawings/_rels/drawing21.xml.rels><?xml version="1.0" encoding="UTF-8" standalone="yes"?>
<Relationships xmlns="http://schemas.openxmlformats.org/package/2006/relationships"><Relationship Id="rId3" Type="http://schemas.openxmlformats.org/officeDocument/2006/relationships/image" Target="../media/image7.jpg"/><Relationship Id="rId7" Type="http://schemas.openxmlformats.org/officeDocument/2006/relationships/chart" Target="../charts/chart32.xml"/><Relationship Id="rId2" Type="http://schemas.openxmlformats.org/officeDocument/2006/relationships/image" Target="../media/image6.jpg"/><Relationship Id="rId1" Type="http://schemas.openxmlformats.org/officeDocument/2006/relationships/image" Target="../media/image5.jpg"/><Relationship Id="rId6" Type="http://schemas.openxmlformats.org/officeDocument/2006/relationships/chart" Target="../charts/chart31.xml"/><Relationship Id="rId5" Type="http://schemas.openxmlformats.org/officeDocument/2006/relationships/chart" Target="../charts/chart30.xml"/><Relationship Id="rId4" Type="http://schemas.openxmlformats.org/officeDocument/2006/relationships/image" Target="../media/image8.jpg"/></Relationships>
</file>

<file path=xl/drawings/_rels/drawing22.xml.rels><?xml version="1.0" encoding="UTF-8" standalone="yes"?>
<Relationships xmlns="http://schemas.openxmlformats.org/package/2006/relationships"><Relationship Id="rId3" Type="http://schemas.openxmlformats.org/officeDocument/2006/relationships/chart" Target="../charts/chart35.xml"/><Relationship Id="rId7" Type="http://schemas.openxmlformats.org/officeDocument/2006/relationships/image" Target="../media/image8.jpg"/><Relationship Id="rId2" Type="http://schemas.openxmlformats.org/officeDocument/2006/relationships/chart" Target="../charts/chart34.xml"/><Relationship Id="rId1" Type="http://schemas.openxmlformats.org/officeDocument/2006/relationships/chart" Target="../charts/chart33.xml"/><Relationship Id="rId6" Type="http://schemas.openxmlformats.org/officeDocument/2006/relationships/image" Target="../media/image7.jpg"/><Relationship Id="rId5" Type="http://schemas.openxmlformats.org/officeDocument/2006/relationships/image" Target="../media/image6.jpg"/><Relationship Id="rId4" Type="http://schemas.openxmlformats.org/officeDocument/2006/relationships/image" Target="../media/image5.jpg"/></Relationships>
</file>

<file path=xl/drawings/_rels/drawing24.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44.png"/><Relationship Id="rId1" Type="http://schemas.openxmlformats.org/officeDocument/2006/relationships/image" Target="../media/image43.png"/><Relationship Id="rId5" Type="http://schemas.openxmlformats.org/officeDocument/2006/relationships/image" Target="../media/image47.png"/><Relationship Id="rId4" Type="http://schemas.openxmlformats.org/officeDocument/2006/relationships/image" Target="../media/image46.png"/></Relationships>
</file>

<file path=xl/drawings/_rels/drawing26.xml.rels><?xml version="1.0" encoding="UTF-8" standalone="yes"?>
<Relationships xmlns="http://schemas.openxmlformats.org/package/2006/relationships"><Relationship Id="rId3" Type="http://schemas.openxmlformats.org/officeDocument/2006/relationships/image" Target="../media/image50.png"/><Relationship Id="rId2" Type="http://schemas.openxmlformats.org/officeDocument/2006/relationships/image" Target="../media/image49.png"/><Relationship Id="rId1" Type="http://schemas.openxmlformats.org/officeDocument/2006/relationships/image" Target="../media/image4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 Id="rId4"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5" Type="http://schemas.openxmlformats.org/officeDocument/2006/relationships/image" Target="../media/image18.emf"/><Relationship Id="rId4" Type="http://schemas.openxmlformats.org/officeDocument/2006/relationships/image" Target="../media/image17.emf"/><Relationship Id="rId9"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27.emf"/><Relationship Id="rId7" Type="http://schemas.openxmlformats.org/officeDocument/2006/relationships/image" Target="../media/image31.emf"/><Relationship Id="rId2" Type="http://schemas.openxmlformats.org/officeDocument/2006/relationships/image" Target="../media/image26.emf"/><Relationship Id="rId1" Type="http://schemas.openxmlformats.org/officeDocument/2006/relationships/image" Target="../media/image25.emf"/><Relationship Id="rId6" Type="http://schemas.openxmlformats.org/officeDocument/2006/relationships/image" Target="../media/image30.emf"/><Relationship Id="rId5" Type="http://schemas.openxmlformats.org/officeDocument/2006/relationships/image" Target="../media/image29.emf"/><Relationship Id="rId4" Type="http://schemas.openxmlformats.org/officeDocument/2006/relationships/image" Target="../media/image28.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0.emf"/><Relationship Id="rId1" Type="http://schemas.openxmlformats.org/officeDocument/2006/relationships/image" Target="../media/image3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xdr:from>
      <xdr:col>0</xdr:col>
      <xdr:colOff>92352</xdr:colOff>
      <xdr:row>0</xdr:row>
      <xdr:rowOff>65432</xdr:rowOff>
    </xdr:from>
    <xdr:to>
      <xdr:col>24</xdr:col>
      <xdr:colOff>242681</xdr:colOff>
      <xdr:row>28</xdr:row>
      <xdr:rowOff>123264</xdr:rowOff>
    </xdr:to>
    <xdr:sp macro="" textlink="">
      <xdr:nvSpPr>
        <xdr:cNvPr id="2" name="Rectángulo redondeado 1">
          <a:extLst>
            <a:ext uri="{FF2B5EF4-FFF2-40B4-BE49-F238E27FC236}">
              <a16:creationId xmlns="" xmlns:a16="http://schemas.microsoft.com/office/drawing/2014/main" id="{00000000-0008-0000-0000-000002000000}"/>
            </a:ext>
          </a:extLst>
        </xdr:cNvPr>
        <xdr:cNvSpPr/>
      </xdr:nvSpPr>
      <xdr:spPr>
        <a:xfrm>
          <a:off x="92352" y="65432"/>
          <a:ext cx="7465529" cy="5658532"/>
        </a:xfrm>
        <a:prstGeom prst="roundRect">
          <a:avLst>
            <a:gd name="adj" fmla="val 2722"/>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5</xdr:col>
      <xdr:colOff>278466</xdr:colOff>
      <xdr:row>2</xdr:row>
      <xdr:rowOff>196102</xdr:rowOff>
    </xdr:from>
    <xdr:to>
      <xdr:col>24</xdr:col>
      <xdr:colOff>156882</xdr:colOff>
      <xdr:row>9</xdr:row>
      <xdr:rowOff>32496</xdr:rowOff>
    </xdr:to>
    <xdr:sp macro="" textlink="">
      <xdr:nvSpPr>
        <xdr:cNvPr id="3" name="Rectángulo 2">
          <a:extLst>
            <a:ext uri="{FF2B5EF4-FFF2-40B4-BE49-F238E27FC236}">
              <a16:creationId xmlns="" xmlns:a16="http://schemas.microsoft.com/office/drawing/2014/main" id="{00000000-0008-0000-0000-000003000000}"/>
            </a:ext>
          </a:extLst>
        </xdr:cNvPr>
        <xdr:cNvSpPr/>
      </xdr:nvSpPr>
      <xdr:spPr>
        <a:xfrm>
          <a:off x="1791260" y="599514"/>
          <a:ext cx="5627034" cy="1248335"/>
        </a:xfrm>
        <a:prstGeom prst="rect">
          <a:avLst/>
        </a:prstGeom>
        <a:solidFill>
          <a:schemeClr val="accent6">
            <a:lumMod val="7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solidFill>
              <a:schemeClr val="bg1"/>
            </a:solidFill>
          </a:endParaRPr>
        </a:p>
      </xdr:txBody>
    </xdr:sp>
    <xdr:clientData/>
  </xdr:twoCellAnchor>
  <xdr:twoCellAnchor>
    <xdr:from>
      <xdr:col>6</xdr:col>
      <xdr:colOff>238123</xdr:colOff>
      <xdr:row>10</xdr:row>
      <xdr:rowOff>74517</xdr:rowOff>
    </xdr:from>
    <xdr:to>
      <xdr:col>10</xdr:col>
      <xdr:colOff>219075</xdr:colOff>
      <xdr:row>13</xdr:row>
      <xdr:rowOff>112617</xdr:rowOff>
    </xdr:to>
    <xdr:sp macro="" textlink="">
      <xdr:nvSpPr>
        <xdr:cNvPr id="4" name="Recortar rectángulo de esquina sencilla 3">
          <a:extLst>
            <a:ext uri="{FF2B5EF4-FFF2-40B4-BE49-F238E27FC236}">
              <a16:creationId xmlns="" xmlns:a16="http://schemas.microsoft.com/office/drawing/2014/main" id="{00000000-0008-0000-0000-000004000000}"/>
            </a:ext>
          </a:extLst>
        </xdr:cNvPr>
        <xdr:cNvSpPr/>
      </xdr:nvSpPr>
      <xdr:spPr>
        <a:xfrm flipH="1">
          <a:off x="2053476" y="2091576"/>
          <a:ext cx="1191187" cy="643217"/>
        </a:xfrm>
        <a:prstGeom prst="snip1Rect">
          <a:avLst>
            <a:gd name="adj" fmla="val 44716"/>
          </a:avLst>
        </a:prstGeom>
        <a:solidFill>
          <a:schemeClr val="accent6">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6</xdr:col>
      <xdr:colOff>295275</xdr:colOff>
      <xdr:row>10</xdr:row>
      <xdr:rowOff>103092</xdr:rowOff>
    </xdr:from>
    <xdr:to>
      <xdr:col>8</xdr:col>
      <xdr:colOff>185420</xdr:colOff>
      <xdr:row>13</xdr:row>
      <xdr:rowOff>151987</xdr:rowOff>
    </xdr:to>
    <xdr:sp macro="" textlink="">
      <xdr:nvSpPr>
        <xdr:cNvPr id="5" name="CuadroTexto 4">
          <a:extLst>
            <a:ext uri="{FF2B5EF4-FFF2-40B4-BE49-F238E27FC236}">
              <a16:creationId xmlns="" xmlns:a16="http://schemas.microsoft.com/office/drawing/2014/main" id="{00000000-0008-0000-0000-000005000000}"/>
            </a:ext>
          </a:extLst>
        </xdr:cNvPr>
        <xdr:cNvSpPr txBox="1"/>
      </xdr:nvSpPr>
      <xdr:spPr>
        <a:xfrm>
          <a:off x="2110628" y="2120151"/>
          <a:ext cx="495263" cy="654012"/>
        </a:xfrm>
        <a:prstGeom prst="rect">
          <a:avLst/>
        </a:prstGeom>
        <a:noFill/>
      </xdr:spPr>
      <xdr:txBody>
        <a:bodyPr wrap="square" rtlCol="0">
          <a:noAutofit/>
        </a:bodyPr>
        <a:lstStyle/>
        <a:p>
          <a:pPr>
            <a:spcAft>
              <a:spcPts val="0"/>
            </a:spcAft>
          </a:pPr>
          <a:r>
            <a:rPr lang="es-MX" sz="4000" b="1" kern="1200">
              <a:solidFill>
                <a:srgbClr val="FFFFFF"/>
              </a:solidFill>
              <a:effectLst/>
              <a:latin typeface="Arial" panose="020B0604020202020204" pitchFamily="34" charset="0"/>
              <a:ea typeface="Times New Roman" panose="02020603050405020304" pitchFamily="18" charset="0"/>
            </a:rPr>
            <a:t>1</a:t>
          </a:r>
          <a:endParaRPr lang="es-PE" sz="1200">
            <a:effectLst/>
            <a:latin typeface="Times New Roman" panose="02020603050405020304" pitchFamily="18" charset="0"/>
            <a:ea typeface="Times New Roman" panose="02020603050405020304" pitchFamily="18" charset="0"/>
          </a:endParaRPr>
        </a:p>
      </xdr:txBody>
    </xdr:sp>
    <xdr:clientData/>
  </xdr:twoCellAnchor>
  <xdr:twoCellAnchor editAs="oneCell">
    <xdr:from>
      <xdr:col>8</xdr:col>
      <xdr:colOff>238125</xdr:colOff>
      <xdr:row>10</xdr:row>
      <xdr:rowOff>150717</xdr:rowOff>
    </xdr:from>
    <xdr:to>
      <xdr:col>10</xdr:col>
      <xdr:colOff>38100</xdr:colOff>
      <xdr:row>12</xdr:row>
      <xdr:rowOff>84041</xdr:rowOff>
    </xdr:to>
    <xdr:pic>
      <xdr:nvPicPr>
        <xdr:cNvPr id="6" name="Imagen 5">
          <a:extLst>
            <a:ext uri="{FF2B5EF4-FFF2-40B4-BE49-F238E27FC236}">
              <a16:creationId xmlns="" xmlns:a16="http://schemas.microsoft.com/office/drawing/2014/main" id="{00000000-0008-0000-0000-000006000000}"/>
            </a:ext>
          </a:extLst>
        </xdr:cNvPr>
        <xdr:cNvPicPr/>
      </xdr:nvPicPr>
      <xdr:blipFill>
        <a:blip xmlns:r="http://schemas.openxmlformats.org/officeDocument/2006/relationships" r:embed="rId1">
          <a:duotone>
            <a:schemeClr val="accent4">
              <a:shade val="45000"/>
              <a:satMod val="135000"/>
            </a:schemeClr>
            <a:prstClr val="white"/>
          </a:duotone>
          <a:lum bright="20000" contrast="-40000"/>
        </a:blip>
        <a:stretch>
          <a:fillRect/>
        </a:stretch>
      </xdr:blipFill>
      <xdr:spPr>
        <a:xfrm>
          <a:off x="2658596" y="2167776"/>
          <a:ext cx="405092" cy="336736"/>
        </a:xfrm>
        <a:prstGeom prst="rect">
          <a:avLst/>
        </a:prstGeom>
        <a:ln>
          <a:noFill/>
        </a:ln>
        <a:effectLst>
          <a:outerShdw blurRad="50800" dist="38100" dir="2700000" algn="tl" rotWithShape="0">
            <a:prstClr val="black">
              <a:alpha val="40000"/>
            </a:prstClr>
          </a:outerShdw>
        </a:effectLst>
      </xdr:spPr>
    </xdr:pic>
    <xdr:clientData/>
  </xdr:twoCellAnchor>
  <xdr:twoCellAnchor>
    <xdr:from>
      <xdr:col>11</xdr:col>
      <xdr:colOff>76200</xdr:colOff>
      <xdr:row>10</xdr:row>
      <xdr:rowOff>74517</xdr:rowOff>
    </xdr:from>
    <xdr:to>
      <xdr:col>15</xdr:col>
      <xdr:colOff>57152</xdr:colOff>
      <xdr:row>13</xdr:row>
      <xdr:rowOff>112617</xdr:rowOff>
    </xdr:to>
    <xdr:sp macro="" textlink="">
      <xdr:nvSpPr>
        <xdr:cNvPr id="7" name="Recortar rectángulo de esquina sencilla 6">
          <a:extLst>
            <a:ext uri="{FF2B5EF4-FFF2-40B4-BE49-F238E27FC236}">
              <a16:creationId xmlns="" xmlns:a16="http://schemas.microsoft.com/office/drawing/2014/main" id="{00000000-0008-0000-0000-000007000000}"/>
            </a:ext>
          </a:extLst>
        </xdr:cNvPr>
        <xdr:cNvSpPr/>
      </xdr:nvSpPr>
      <xdr:spPr>
        <a:xfrm flipH="1">
          <a:off x="3429000" y="2074767"/>
          <a:ext cx="1200152" cy="638175"/>
        </a:xfrm>
        <a:prstGeom prst="snip1Rect">
          <a:avLst>
            <a:gd name="adj" fmla="val 44716"/>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11</xdr:col>
      <xdr:colOff>133352</xdr:colOff>
      <xdr:row>10</xdr:row>
      <xdr:rowOff>103092</xdr:rowOff>
    </xdr:from>
    <xdr:to>
      <xdr:col>13</xdr:col>
      <xdr:colOff>23497</xdr:colOff>
      <xdr:row>13</xdr:row>
      <xdr:rowOff>151987</xdr:rowOff>
    </xdr:to>
    <xdr:sp macro="" textlink="">
      <xdr:nvSpPr>
        <xdr:cNvPr id="8" name="CuadroTexto 7">
          <a:extLst>
            <a:ext uri="{FF2B5EF4-FFF2-40B4-BE49-F238E27FC236}">
              <a16:creationId xmlns="" xmlns:a16="http://schemas.microsoft.com/office/drawing/2014/main" id="{00000000-0008-0000-0000-000008000000}"/>
            </a:ext>
          </a:extLst>
        </xdr:cNvPr>
        <xdr:cNvSpPr txBox="1"/>
      </xdr:nvSpPr>
      <xdr:spPr>
        <a:xfrm>
          <a:off x="3486152" y="2103342"/>
          <a:ext cx="499745" cy="648970"/>
        </a:xfrm>
        <a:prstGeom prst="rect">
          <a:avLst/>
        </a:prstGeom>
        <a:noFill/>
      </xdr:spPr>
      <xdr:txBody>
        <a:bodyPr wrap="square" rtlCol="0">
          <a:noAutofit/>
        </a:bodyPr>
        <a:lstStyle/>
        <a:p>
          <a:pPr>
            <a:spcAft>
              <a:spcPts val="0"/>
            </a:spcAft>
          </a:pPr>
          <a:r>
            <a:rPr lang="es-MX" sz="4000" b="1" kern="1200">
              <a:solidFill>
                <a:srgbClr val="FFFFFF"/>
              </a:solidFill>
              <a:effectLst/>
              <a:latin typeface="Arial" panose="020B0604020202020204" pitchFamily="34" charset="0"/>
              <a:ea typeface="Times New Roman" panose="02020603050405020304" pitchFamily="18" charset="0"/>
            </a:rPr>
            <a:t>2</a:t>
          </a:r>
          <a:endParaRPr lang="es-PE" sz="1200">
            <a:effectLst/>
            <a:latin typeface="Times New Roman" panose="02020603050405020304" pitchFamily="18" charset="0"/>
            <a:ea typeface="Times New Roman" panose="02020603050405020304" pitchFamily="18" charset="0"/>
          </a:endParaRPr>
        </a:p>
      </xdr:txBody>
    </xdr:sp>
    <xdr:clientData/>
  </xdr:twoCellAnchor>
  <xdr:twoCellAnchor editAs="oneCell">
    <xdr:from>
      <xdr:col>13</xdr:col>
      <xdr:colOff>76202</xdr:colOff>
      <xdr:row>10</xdr:row>
      <xdr:rowOff>150717</xdr:rowOff>
    </xdr:from>
    <xdr:to>
      <xdr:col>14</xdr:col>
      <xdr:colOff>180977</xdr:colOff>
      <xdr:row>12</xdr:row>
      <xdr:rowOff>84041</xdr:rowOff>
    </xdr:to>
    <xdr:pic>
      <xdr:nvPicPr>
        <xdr:cNvPr id="9" name="Imagen 8">
          <a:extLst>
            <a:ext uri="{FF2B5EF4-FFF2-40B4-BE49-F238E27FC236}">
              <a16:creationId xmlns="" xmlns:a16="http://schemas.microsoft.com/office/drawing/2014/main" id="{00000000-0008-0000-0000-000009000000}"/>
            </a:ext>
          </a:extLst>
        </xdr:cNvPr>
        <xdr:cNvPicPr/>
      </xdr:nvPicPr>
      <xdr:blipFill>
        <a:blip xmlns:r="http://schemas.openxmlformats.org/officeDocument/2006/relationships" r:embed="rId1">
          <a:duotone>
            <a:schemeClr val="accent5">
              <a:shade val="45000"/>
              <a:satMod val="135000"/>
            </a:schemeClr>
            <a:prstClr val="white"/>
          </a:duotone>
        </a:blip>
        <a:stretch>
          <a:fillRect/>
        </a:stretch>
      </xdr:blipFill>
      <xdr:spPr>
        <a:xfrm>
          <a:off x="4038602" y="2150967"/>
          <a:ext cx="409575" cy="333374"/>
        </a:xfrm>
        <a:prstGeom prst="rect">
          <a:avLst/>
        </a:prstGeom>
        <a:ln>
          <a:noFill/>
        </a:ln>
        <a:effectLst>
          <a:outerShdw blurRad="50800" dist="38100" dir="2700000" algn="tl" rotWithShape="0">
            <a:prstClr val="black">
              <a:alpha val="40000"/>
            </a:prstClr>
          </a:outerShdw>
        </a:effectLst>
      </xdr:spPr>
    </xdr:pic>
    <xdr:clientData/>
  </xdr:twoCellAnchor>
  <xdr:twoCellAnchor>
    <xdr:from>
      <xdr:col>15</xdr:col>
      <xdr:colOff>247650</xdr:colOff>
      <xdr:row>10</xdr:row>
      <xdr:rowOff>78130</xdr:rowOff>
    </xdr:from>
    <xdr:to>
      <xdr:col>19</xdr:col>
      <xdr:colOff>228602</xdr:colOff>
      <xdr:row>13</xdr:row>
      <xdr:rowOff>116230</xdr:rowOff>
    </xdr:to>
    <xdr:sp macro="" textlink="">
      <xdr:nvSpPr>
        <xdr:cNvPr id="10" name="Recortar rectángulo de esquina sencilla 9">
          <a:extLst>
            <a:ext uri="{FF2B5EF4-FFF2-40B4-BE49-F238E27FC236}">
              <a16:creationId xmlns="" xmlns:a16="http://schemas.microsoft.com/office/drawing/2014/main" id="{00000000-0008-0000-0000-00000A000000}"/>
            </a:ext>
          </a:extLst>
        </xdr:cNvPr>
        <xdr:cNvSpPr/>
      </xdr:nvSpPr>
      <xdr:spPr>
        <a:xfrm flipH="1">
          <a:off x="4819650" y="2078380"/>
          <a:ext cx="1200152" cy="638175"/>
        </a:xfrm>
        <a:prstGeom prst="snip1Rect">
          <a:avLst>
            <a:gd name="adj" fmla="val 44716"/>
          </a:avLst>
        </a:prstGeom>
        <a:solidFill>
          <a:schemeClr val="accent6">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16</xdr:col>
      <xdr:colOff>2</xdr:colOff>
      <xdr:row>10</xdr:row>
      <xdr:rowOff>106705</xdr:rowOff>
    </xdr:from>
    <xdr:to>
      <xdr:col>17</xdr:col>
      <xdr:colOff>194947</xdr:colOff>
      <xdr:row>13</xdr:row>
      <xdr:rowOff>155600</xdr:rowOff>
    </xdr:to>
    <xdr:sp macro="" textlink="">
      <xdr:nvSpPr>
        <xdr:cNvPr id="11" name="CuadroTexto 10">
          <a:extLst>
            <a:ext uri="{FF2B5EF4-FFF2-40B4-BE49-F238E27FC236}">
              <a16:creationId xmlns="" xmlns:a16="http://schemas.microsoft.com/office/drawing/2014/main" id="{00000000-0008-0000-0000-00000B000000}"/>
            </a:ext>
          </a:extLst>
        </xdr:cNvPr>
        <xdr:cNvSpPr txBox="1"/>
      </xdr:nvSpPr>
      <xdr:spPr>
        <a:xfrm>
          <a:off x="4876802" y="2106955"/>
          <a:ext cx="499745" cy="648970"/>
        </a:xfrm>
        <a:prstGeom prst="rect">
          <a:avLst/>
        </a:prstGeom>
        <a:noFill/>
      </xdr:spPr>
      <xdr:txBody>
        <a:bodyPr wrap="square" rtlCol="0">
          <a:noAutofit/>
        </a:bodyPr>
        <a:lstStyle/>
        <a:p>
          <a:pPr>
            <a:spcAft>
              <a:spcPts val="0"/>
            </a:spcAft>
          </a:pPr>
          <a:r>
            <a:rPr lang="es-MX" sz="4000" b="1" kern="1200">
              <a:solidFill>
                <a:srgbClr val="FFFFFF"/>
              </a:solidFill>
              <a:effectLst/>
              <a:latin typeface="Arial" panose="020B0604020202020204" pitchFamily="34" charset="0"/>
              <a:ea typeface="Times New Roman" panose="02020603050405020304" pitchFamily="18" charset="0"/>
            </a:rPr>
            <a:t>3</a:t>
          </a:r>
          <a:endParaRPr lang="es-PE" sz="1200">
            <a:effectLst/>
            <a:latin typeface="Times New Roman" panose="02020603050405020304" pitchFamily="18" charset="0"/>
            <a:ea typeface="Times New Roman" panose="02020603050405020304" pitchFamily="18" charset="0"/>
          </a:endParaRPr>
        </a:p>
      </xdr:txBody>
    </xdr:sp>
    <xdr:clientData/>
  </xdr:twoCellAnchor>
  <xdr:twoCellAnchor editAs="oneCell">
    <xdr:from>
      <xdr:col>17</xdr:col>
      <xdr:colOff>247652</xdr:colOff>
      <xdr:row>10</xdr:row>
      <xdr:rowOff>154330</xdr:rowOff>
    </xdr:from>
    <xdr:to>
      <xdr:col>19</xdr:col>
      <xdr:colOff>47627</xdr:colOff>
      <xdr:row>12</xdr:row>
      <xdr:rowOff>87654</xdr:rowOff>
    </xdr:to>
    <xdr:pic>
      <xdr:nvPicPr>
        <xdr:cNvPr id="12" name="Imagen 11">
          <a:extLst>
            <a:ext uri="{FF2B5EF4-FFF2-40B4-BE49-F238E27FC236}">
              <a16:creationId xmlns="" xmlns:a16="http://schemas.microsoft.com/office/drawing/2014/main" id="{00000000-0008-0000-0000-00000C000000}"/>
            </a:ext>
          </a:extLst>
        </xdr:cNvPr>
        <xdr:cNvPicPr/>
      </xdr:nvPicPr>
      <xdr:blipFill>
        <a:blip xmlns:r="http://schemas.openxmlformats.org/officeDocument/2006/relationships" r:embed="rId1">
          <a:duotone>
            <a:schemeClr val="accent2">
              <a:shade val="45000"/>
              <a:satMod val="135000"/>
            </a:schemeClr>
            <a:prstClr val="white"/>
          </a:duotone>
        </a:blip>
        <a:stretch>
          <a:fillRect/>
        </a:stretch>
      </xdr:blipFill>
      <xdr:spPr>
        <a:xfrm>
          <a:off x="5429252" y="2154580"/>
          <a:ext cx="409575" cy="333374"/>
        </a:xfrm>
        <a:prstGeom prst="rect">
          <a:avLst/>
        </a:prstGeom>
        <a:ln>
          <a:noFill/>
        </a:ln>
        <a:effectLst>
          <a:outerShdw blurRad="50800" dist="38100" dir="2700000" algn="tl" rotWithShape="0">
            <a:prstClr val="black">
              <a:alpha val="40000"/>
            </a:prstClr>
          </a:outerShdw>
        </a:effectLst>
      </xdr:spPr>
    </xdr:pic>
    <xdr:clientData/>
  </xdr:twoCellAnchor>
  <xdr:twoCellAnchor>
    <xdr:from>
      <xdr:col>20</xdr:col>
      <xdr:colOff>80798</xdr:colOff>
      <xdr:row>10</xdr:row>
      <xdr:rowOff>74188</xdr:rowOff>
    </xdr:from>
    <xdr:to>
      <xdr:col>24</xdr:col>
      <xdr:colOff>61750</xdr:colOff>
      <xdr:row>13</xdr:row>
      <xdr:rowOff>112288</xdr:rowOff>
    </xdr:to>
    <xdr:sp macro="" textlink="">
      <xdr:nvSpPr>
        <xdr:cNvPr id="13" name="Recortar rectángulo de esquina sencilla 12">
          <a:extLst>
            <a:ext uri="{FF2B5EF4-FFF2-40B4-BE49-F238E27FC236}">
              <a16:creationId xmlns="" xmlns:a16="http://schemas.microsoft.com/office/drawing/2014/main" id="{00000000-0008-0000-0000-00000D000000}"/>
            </a:ext>
          </a:extLst>
        </xdr:cNvPr>
        <xdr:cNvSpPr/>
      </xdr:nvSpPr>
      <xdr:spPr>
        <a:xfrm flipH="1">
          <a:off x="6176798" y="2074438"/>
          <a:ext cx="1200152" cy="638175"/>
        </a:xfrm>
        <a:prstGeom prst="snip1Rect">
          <a:avLst>
            <a:gd name="adj" fmla="val 44716"/>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20</xdr:col>
      <xdr:colOff>137950</xdr:colOff>
      <xdr:row>10</xdr:row>
      <xdr:rowOff>102763</xdr:rowOff>
    </xdr:from>
    <xdr:to>
      <xdr:col>22</xdr:col>
      <xdr:colOff>28095</xdr:colOff>
      <xdr:row>13</xdr:row>
      <xdr:rowOff>151658</xdr:rowOff>
    </xdr:to>
    <xdr:sp macro="" textlink="">
      <xdr:nvSpPr>
        <xdr:cNvPr id="14" name="CuadroTexto 13">
          <a:extLst>
            <a:ext uri="{FF2B5EF4-FFF2-40B4-BE49-F238E27FC236}">
              <a16:creationId xmlns="" xmlns:a16="http://schemas.microsoft.com/office/drawing/2014/main" id="{00000000-0008-0000-0000-00000E000000}"/>
            </a:ext>
          </a:extLst>
        </xdr:cNvPr>
        <xdr:cNvSpPr txBox="1"/>
      </xdr:nvSpPr>
      <xdr:spPr>
        <a:xfrm>
          <a:off x="6233950" y="2103013"/>
          <a:ext cx="499745" cy="648970"/>
        </a:xfrm>
        <a:prstGeom prst="rect">
          <a:avLst/>
        </a:prstGeom>
        <a:noFill/>
      </xdr:spPr>
      <xdr:txBody>
        <a:bodyPr wrap="square" rtlCol="0">
          <a:noAutofit/>
        </a:bodyPr>
        <a:lstStyle/>
        <a:p>
          <a:pPr>
            <a:spcAft>
              <a:spcPts val="0"/>
            </a:spcAft>
          </a:pPr>
          <a:r>
            <a:rPr lang="es-MX" sz="4000" b="1" kern="1200">
              <a:solidFill>
                <a:srgbClr val="FFFFFF"/>
              </a:solidFill>
              <a:effectLst/>
              <a:latin typeface="Arial" panose="020B0604020202020204" pitchFamily="34" charset="0"/>
              <a:ea typeface="Times New Roman" panose="02020603050405020304" pitchFamily="18" charset="0"/>
            </a:rPr>
            <a:t>4</a:t>
          </a:r>
          <a:endParaRPr lang="es-PE" sz="1200">
            <a:effectLst/>
            <a:latin typeface="Times New Roman" panose="02020603050405020304" pitchFamily="18" charset="0"/>
            <a:ea typeface="Times New Roman" panose="02020603050405020304" pitchFamily="18" charset="0"/>
          </a:endParaRPr>
        </a:p>
      </xdr:txBody>
    </xdr:sp>
    <xdr:clientData/>
  </xdr:twoCellAnchor>
  <xdr:twoCellAnchor editAs="oneCell">
    <xdr:from>
      <xdr:col>22</xdr:col>
      <xdr:colOff>80800</xdr:colOff>
      <xdr:row>10</xdr:row>
      <xdr:rowOff>150388</xdr:rowOff>
    </xdr:from>
    <xdr:to>
      <xdr:col>23</xdr:col>
      <xdr:colOff>182948</xdr:colOff>
      <xdr:row>12</xdr:row>
      <xdr:rowOff>83712</xdr:rowOff>
    </xdr:to>
    <xdr:pic>
      <xdr:nvPicPr>
        <xdr:cNvPr id="15" name="Imagen 14">
          <a:extLst>
            <a:ext uri="{FF2B5EF4-FFF2-40B4-BE49-F238E27FC236}">
              <a16:creationId xmlns="" xmlns:a16="http://schemas.microsoft.com/office/drawing/2014/main" id="{00000000-0008-0000-0000-00000F000000}"/>
            </a:ext>
          </a:extLst>
        </xdr:cNvPr>
        <xdr:cNvPicPr/>
      </xdr:nvPicPr>
      <xdr:blipFill>
        <a:blip xmlns:r="http://schemas.openxmlformats.org/officeDocument/2006/relationships" r:embed="rId1">
          <a:duotone>
            <a:schemeClr val="bg2">
              <a:shade val="45000"/>
              <a:satMod val="135000"/>
            </a:schemeClr>
            <a:prstClr val="white"/>
          </a:duotone>
        </a:blip>
        <a:stretch>
          <a:fillRect/>
        </a:stretch>
      </xdr:blipFill>
      <xdr:spPr>
        <a:xfrm>
          <a:off x="6786400" y="2150638"/>
          <a:ext cx="406948" cy="333374"/>
        </a:xfrm>
        <a:prstGeom prst="rect">
          <a:avLst/>
        </a:prstGeom>
        <a:ln>
          <a:noFill/>
        </a:ln>
        <a:effectLst>
          <a:outerShdw blurRad="50800" dist="38100" dir="2700000" algn="tl" rotWithShape="0">
            <a:prstClr val="black">
              <a:alpha val="40000"/>
            </a:prstClr>
          </a:outerShdw>
        </a:effectLst>
      </xdr:spPr>
    </xdr:pic>
    <xdr:clientData/>
  </xdr:twoCellAnchor>
  <xdr:twoCellAnchor>
    <xdr:from>
      <xdr:col>6</xdr:col>
      <xdr:colOff>228600</xdr:colOff>
      <xdr:row>13</xdr:row>
      <xdr:rowOff>160242</xdr:rowOff>
    </xdr:from>
    <xdr:to>
      <xdr:col>10</xdr:col>
      <xdr:colOff>228600</xdr:colOff>
      <xdr:row>16</xdr:row>
      <xdr:rowOff>5302</xdr:rowOff>
    </xdr:to>
    <xdr:sp macro="" textlink="">
      <xdr:nvSpPr>
        <xdr:cNvPr id="16" name="Rectángulo 15">
          <a:extLst>
            <a:ext uri="{FF2B5EF4-FFF2-40B4-BE49-F238E27FC236}">
              <a16:creationId xmlns="" xmlns:a16="http://schemas.microsoft.com/office/drawing/2014/main" id="{00000000-0008-0000-0000-000010000000}"/>
            </a:ext>
          </a:extLst>
        </xdr:cNvPr>
        <xdr:cNvSpPr/>
      </xdr:nvSpPr>
      <xdr:spPr>
        <a:xfrm>
          <a:off x="2043953" y="2782418"/>
          <a:ext cx="1210235" cy="450178"/>
        </a:xfrm>
        <a:prstGeom prst="rect">
          <a:avLst/>
        </a:prstGeom>
        <a:solidFill>
          <a:schemeClr val="accent6">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MX" sz="1100" b="1" i="0" kern="1200">
              <a:solidFill>
                <a:srgbClr val="FFFFFF"/>
              </a:solidFill>
              <a:effectLst/>
              <a:latin typeface="Arial" panose="020B0604020202020204" pitchFamily="34" charset="0"/>
              <a:ea typeface="Times New Roman" panose="02020603050405020304" pitchFamily="18" charset="0"/>
            </a:rPr>
            <a:t>Datos</a:t>
          </a:r>
          <a:r>
            <a:rPr lang="es-MX" sz="1100" b="1" i="0" kern="1200" baseline="0">
              <a:solidFill>
                <a:srgbClr val="FFFFFF"/>
              </a:solidFill>
              <a:effectLst/>
              <a:latin typeface="Arial" panose="020B0604020202020204" pitchFamily="34" charset="0"/>
              <a:ea typeface="Times New Roman" panose="02020603050405020304" pitchFamily="18" charset="0"/>
            </a:rPr>
            <a:t> Generales</a:t>
          </a:r>
          <a:endParaRPr lang="es-PE" sz="1200" i="0">
            <a:effectLst/>
            <a:latin typeface="Times New Roman" panose="02020603050405020304" pitchFamily="18" charset="0"/>
            <a:ea typeface="Times New Roman" panose="02020603050405020304" pitchFamily="18" charset="0"/>
          </a:endParaRPr>
        </a:p>
      </xdr:txBody>
    </xdr:sp>
    <xdr:clientData/>
  </xdr:twoCellAnchor>
  <xdr:twoCellAnchor>
    <xdr:from>
      <xdr:col>11</xdr:col>
      <xdr:colOff>85725</xdr:colOff>
      <xdr:row>13</xdr:row>
      <xdr:rowOff>160243</xdr:rowOff>
    </xdr:from>
    <xdr:to>
      <xdr:col>15</xdr:col>
      <xdr:colOff>59531</xdr:colOff>
      <xdr:row>16</xdr:row>
      <xdr:rowOff>6653</xdr:rowOff>
    </xdr:to>
    <xdr:sp macro="" textlink="">
      <xdr:nvSpPr>
        <xdr:cNvPr id="17" name="Rectángulo 16">
          <a:extLst>
            <a:ext uri="{FF2B5EF4-FFF2-40B4-BE49-F238E27FC236}">
              <a16:creationId xmlns="" xmlns:a16="http://schemas.microsoft.com/office/drawing/2014/main" id="{00000000-0008-0000-0000-000011000000}"/>
            </a:ext>
          </a:extLst>
        </xdr:cNvPr>
        <xdr:cNvSpPr/>
      </xdr:nvSpPr>
      <xdr:spPr>
        <a:xfrm>
          <a:off x="3438525" y="2760568"/>
          <a:ext cx="1193006" cy="446485"/>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MX" sz="1200" b="1" i="0" kern="1200">
              <a:solidFill>
                <a:srgbClr val="FFFFFF"/>
              </a:solidFill>
              <a:effectLst/>
              <a:latin typeface="Arial" panose="020B0604020202020204" pitchFamily="34" charset="0"/>
              <a:ea typeface="Times New Roman" panose="02020603050405020304" pitchFamily="18" charset="0"/>
            </a:rPr>
            <a:t>Identificación</a:t>
          </a:r>
          <a:endParaRPr lang="es-PE" sz="1200" i="0">
            <a:effectLst/>
            <a:latin typeface="Times New Roman" panose="02020603050405020304" pitchFamily="18" charset="0"/>
            <a:ea typeface="Times New Roman" panose="02020603050405020304" pitchFamily="18" charset="0"/>
          </a:endParaRPr>
        </a:p>
      </xdr:txBody>
    </xdr:sp>
    <xdr:clientData/>
  </xdr:twoCellAnchor>
  <xdr:twoCellAnchor>
    <xdr:from>
      <xdr:col>15</xdr:col>
      <xdr:colOff>233294</xdr:colOff>
      <xdr:row>13</xdr:row>
      <xdr:rowOff>169386</xdr:rowOff>
    </xdr:from>
    <xdr:to>
      <xdr:col>19</xdr:col>
      <xdr:colOff>233295</xdr:colOff>
      <xdr:row>16</xdr:row>
      <xdr:rowOff>14446</xdr:rowOff>
    </xdr:to>
    <xdr:sp macro="" textlink="">
      <xdr:nvSpPr>
        <xdr:cNvPr id="18" name="Rectángulo 17">
          <a:extLst>
            <a:ext uri="{FF2B5EF4-FFF2-40B4-BE49-F238E27FC236}">
              <a16:creationId xmlns="" xmlns:a16="http://schemas.microsoft.com/office/drawing/2014/main" id="{00000000-0008-0000-0000-000012000000}"/>
            </a:ext>
          </a:extLst>
        </xdr:cNvPr>
        <xdr:cNvSpPr/>
      </xdr:nvSpPr>
      <xdr:spPr>
        <a:xfrm>
          <a:off x="4805294" y="2769711"/>
          <a:ext cx="1219201" cy="445135"/>
        </a:xfrm>
        <a:prstGeom prst="rect">
          <a:avLst/>
        </a:prstGeom>
        <a:solidFill>
          <a:schemeClr val="accent6">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MX" sz="1100" b="1" i="0" kern="1200">
              <a:solidFill>
                <a:srgbClr val="FFFFFF"/>
              </a:solidFill>
              <a:effectLst/>
              <a:latin typeface="Arial" panose="020B0604020202020204" pitchFamily="34" charset="0"/>
              <a:ea typeface="Times New Roman" panose="02020603050405020304" pitchFamily="18" charset="0"/>
            </a:rPr>
            <a:t>Formulación</a:t>
          </a:r>
          <a:endParaRPr lang="es-PE" sz="1200" i="0">
            <a:effectLst/>
            <a:latin typeface="Times New Roman" panose="02020603050405020304" pitchFamily="18" charset="0"/>
            <a:ea typeface="Times New Roman" panose="02020603050405020304" pitchFamily="18" charset="0"/>
          </a:endParaRPr>
        </a:p>
      </xdr:txBody>
    </xdr:sp>
    <xdr:clientData/>
  </xdr:twoCellAnchor>
  <xdr:twoCellAnchor>
    <xdr:from>
      <xdr:col>20</xdr:col>
      <xdr:colOff>85725</xdr:colOff>
      <xdr:row>13</xdr:row>
      <xdr:rowOff>161432</xdr:rowOff>
    </xdr:from>
    <xdr:to>
      <xdr:col>24</xdr:col>
      <xdr:colOff>59531</xdr:colOff>
      <xdr:row>16</xdr:row>
      <xdr:rowOff>7842</xdr:rowOff>
    </xdr:to>
    <xdr:sp macro="" textlink="">
      <xdr:nvSpPr>
        <xdr:cNvPr id="19" name="Rectángulo 18">
          <a:extLst>
            <a:ext uri="{FF2B5EF4-FFF2-40B4-BE49-F238E27FC236}">
              <a16:creationId xmlns="" xmlns:a16="http://schemas.microsoft.com/office/drawing/2014/main" id="{00000000-0008-0000-0000-000013000000}"/>
            </a:ext>
          </a:extLst>
        </xdr:cNvPr>
        <xdr:cNvSpPr/>
      </xdr:nvSpPr>
      <xdr:spPr>
        <a:xfrm>
          <a:off x="6181725" y="2761757"/>
          <a:ext cx="1193006" cy="446485"/>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MX" sz="1200" b="1" i="0" kern="1200">
              <a:solidFill>
                <a:srgbClr val="FFFFFF"/>
              </a:solidFill>
              <a:effectLst/>
              <a:latin typeface="Arial" panose="020B0604020202020204" pitchFamily="34" charset="0"/>
              <a:ea typeface="Times New Roman" panose="02020603050405020304" pitchFamily="18" charset="0"/>
            </a:rPr>
            <a:t>Evaluación</a:t>
          </a:r>
          <a:endParaRPr lang="es-PE" sz="1200" i="0">
            <a:effectLst/>
            <a:latin typeface="Times New Roman" panose="02020603050405020304" pitchFamily="18" charset="0"/>
            <a:ea typeface="Times New Roman" panose="02020603050405020304" pitchFamily="18" charset="0"/>
          </a:endParaRPr>
        </a:p>
      </xdr:txBody>
    </xdr:sp>
    <xdr:clientData/>
  </xdr:twoCellAnchor>
  <xdr:twoCellAnchor>
    <xdr:from>
      <xdr:col>6</xdr:col>
      <xdr:colOff>198558</xdr:colOff>
      <xdr:row>16</xdr:row>
      <xdr:rowOff>30124</xdr:rowOff>
    </xdr:from>
    <xdr:to>
      <xdr:col>10</xdr:col>
      <xdr:colOff>228599</xdr:colOff>
      <xdr:row>27</xdr:row>
      <xdr:rowOff>196661</xdr:rowOff>
    </xdr:to>
    <xdr:sp macro="" textlink="">
      <xdr:nvSpPr>
        <xdr:cNvPr id="20" name="Rectángulo 19">
          <a:hlinkClick xmlns:r="http://schemas.openxmlformats.org/officeDocument/2006/relationships" r:id="rId2"/>
          <a:extLst>
            <a:ext uri="{FF2B5EF4-FFF2-40B4-BE49-F238E27FC236}">
              <a16:creationId xmlns="" xmlns:a16="http://schemas.microsoft.com/office/drawing/2014/main" id="{00000000-0008-0000-0000-000014000000}"/>
            </a:ext>
          </a:extLst>
        </xdr:cNvPr>
        <xdr:cNvSpPr/>
      </xdr:nvSpPr>
      <xdr:spPr>
        <a:xfrm>
          <a:off x="2013911" y="3257418"/>
          <a:ext cx="1240276" cy="2385302"/>
        </a:xfrm>
        <a:prstGeom prst="rect">
          <a:avLst/>
        </a:prstGeom>
        <a:solidFill>
          <a:schemeClr val="accent6">
            <a:lumMod val="60000"/>
            <a:lumOff val="4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3"/>
            </a:buBlip>
          </a:pPr>
          <a:r>
            <a:rPr lang="es-MX" sz="1050" i="0" kern="1200">
              <a:solidFill>
                <a:schemeClr val="tx1"/>
              </a:solidFill>
              <a:effectLst/>
              <a:latin typeface="Agency FB" panose="020B0503020202020204" pitchFamily="34" charset="0"/>
              <a:ea typeface="Times New Roman" panose="02020603050405020304" pitchFamily="18" charset="0"/>
            </a:rPr>
            <a:t>Nombre</a:t>
          </a:r>
          <a:r>
            <a:rPr lang="es-MX" sz="1050" i="0" kern="1200" baseline="0">
              <a:solidFill>
                <a:schemeClr val="tx1"/>
              </a:solidFill>
              <a:effectLst/>
              <a:latin typeface="Agency FB" panose="020B0503020202020204" pitchFamily="34" charset="0"/>
              <a:ea typeface="Times New Roman" panose="02020603050405020304" pitchFamily="18" charset="0"/>
            </a:rPr>
            <a:t> del proyecto, responsabilidad funcional, alineamiento a una brecha prioritaria e Institucionalidad</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11</xdr:col>
      <xdr:colOff>86459</xdr:colOff>
      <xdr:row>19</xdr:row>
      <xdr:rowOff>80680</xdr:rowOff>
    </xdr:from>
    <xdr:to>
      <xdr:col>15</xdr:col>
      <xdr:colOff>58859</xdr:colOff>
      <xdr:row>21</xdr:row>
      <xdr:rowOff>815</xdr:rowOff>
    </xdr:to>
    <xdr:sp macro="" textlink="">
      <xdr:nvSpPr>
        <xdr:cNvPr id="21" name="Rectángulo 20">
          <a:hlinkClick xmlns:r="http://schemas.openxmlformats.org/officeDocument/2006/relationships" r:id="rId4"/>
          <a:extLst>
            <a:ext uri="{FF2B5EF4-FFF2-40B4-BE49-F238E27FC236}">
              <a16:creationId xmlns="" xmlns:a16="http://schemas.microsoft.com/office/drawing/2014/main" id="{00000000-0008-0000-0000-000015000000}"/>
            </a:ext>
          </a:extLst>
        </xdr:cNvPr>
        <xdr:cNvSpPr/>
      </xdr:nvSpPr>
      <xdr:spPr>
        <a:xfrm>
          <a:off x="3439259" y="3881155"/>
          <a:ext cx="1191600" cy="320185"/>
        </a:xfrm>
        <a:prstGeom prst="rect">
          <a:avLst/>
        </a:prstGeom>
        <a:solidFill>
          <a:schemeClr val="accent6">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Unidad</a:t>
          </a:r>
          <a:r>
            <a:rPr lang="es-MX" sz="1050" i="0" kern="1200" baseline="0">
              <a:solidFill>
                <a:srgbClr val="000000"/>
              </a:solidFill>
              <a:effectLst/>
              <a:latin typeface="Agency FB" panose="020B0503020202020204" pitchFamily="34" charset="0"/>
              <a:ea typeface="Times New Roman" panose="02020603050405020304" pitchFamily="18" charset="0"/>
            </a:rPr>
            <a:t> Productora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85725</xdr:colOff>
      <xdr:row>21</xdr:row>
      <xdr:rowOff>33054</xdr:rowOff>
    </xdr:from>
    <xdr:to>
      <xdr:col>15</xdr:col>
      <xdr:colOff>58125</xdr:colOff>
      <xdr:row>22</xdr:row>
      <xdr:rowOff>168087</xdr:rowOff>
    </xdr:to>
    <xdr:sp macro="" textlink="">
      <xdr:nvSpPr>
        <xdr:cNvPr id="22" name="Rectángulo 21">
          <a:hlinkClick xmlns:r="http://schemas.openxmlformats.org/officeDocument/2006/relationships" r:id="rId5"/>
          <a:extLst>
            <a:ext uri="{FF2B5EF4-FFF2-40B4-BE49-F238E27FC236}">
              <a16:creationId xmlns="" xmlns:a16="http://schemas.microsoft.com/office/drawing/2014/main" id="{00000000-0008-0000-0000-000016000000}"/>
            </a:ext>
          </a:extLst>
        </xdr:cNvPr>
        <xdr:cNvSpPr/>
      </xdr:nvSpPr>
      <xdr:spPr>
        <a:xfrm>
          <a:off x="3438525" y="4233579"/>
          <a:ext cx="1191600" cy="335058"/>
        </a:xfrm>
        <a:prstGeom prst="rect">
          <a:avLst/>
        </a:prstGeom>
        <a:solidFill>
          <a:schemeClr val="accent6">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15</xdr:col>
      <xdr:colOff>238125</xdr:colOff>
      <xdr:row>16</xdr:row>
      <xdr:rowOff>56490</xdr:rowOff>
    </xdr:from>
    <xdr:to>
      <xdr:col>19</xdr:col>
      <xdr:colOff>246525</xdr:colOff>
      <xdr:row>18</xdr:row>
      <xdr:rowOff>47625</xdr:rowOff>
    </xdr:to>
    <xdr:sp macro="" textlink="">
      <xdr:nvSpPr>
        <xdr:cNvPr id="24" name="Rectángulo 23">
          <a:hlinkClick xmlns:r="http://schemas.openxmlformats.org/officeDocument/2006/relationships" r:id="rId6"/>
          <a:extLst>
            <a:ext uri="{FF2B5EF4-FFF2-40B4-BE49-F238E27FC236}">
              <a16:creationId xmlns="" xmlns:a16="http://schemas.microsoft.com/office/drawing/2014/main" id="{00000000-0008-0000-0000-000018000000}"/>
            </a:ext>
          </a:extLst>
        </xdr:cNvPr>
        <xdr:cNvSpPr/>
      </xdr:nvSpPr>
      <xdr:spPr>
        <a:xfrm>
          <a:off x="4810125" y="3256890"/>
          <a:ext cx="1227600" cy="391185"/>
        </a:xfrm>
        <a:prstGeom prst="rect">
          <a:avLst/>
        </a:prstGeom>
        <a:solidFill>
          <a:schemeClr val="accent6">
            <a:lumMod val="60000"/>
            <a:lumOff val="4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15</xdr:col>
      <xdr:colOff>249689</xdr:colOff>
      <xdr:row>20</xdr:row>
      <xdr:rowOff>66758</xdr:rowOff>
    </xdr:from>
    <xdr:to>
      <xdr:col>19</xdr:col>
      <xdr:colOff>257015</xdr:colOff>
      <xdr:row>22</xdr:row>
      <xdr:rowOff>26708</xdr:rowOff>
    </xdr:to>
    <xdr:sp macro="" textlink="">
      <xdr:nvSpPr>
        <xdr:cNvPr id="25" name="Rectángulo 24">
          <a:hlinkClick xmlns:r="http://schemas.openxmlformats.org/officeDocument/2006/relationships" r:id="rId7"/>
          <a:extLst>
            <a:ext uri="{FF2B5EF4-FFF2-40B4-BE49-F238E27FC236}">
              <a16:creationId xmlns="" xmlns:a16="http://schemas.microsoft.com/office/drawing/2014/main" id="{00000000-0008-0000-0000-000019000000}"/>
            </a:ext>
          </a:extLst>
        </xdr:cNvPr>
        <xdr:cNvSpPr/>
      </xdr:nvSpPr>
      <xdr:spPr>
        <a:xfrm>
          <a:off x="4821689" y="4067258"/>
          <a:ext cx="1226526" cy="360000"/>
        </a:xfrm>
        <a:prstGeom prst="rect">
          <a:avLst/>
        </a:prstGeom>
        <a:solidFill>
          <a:schemeClr val="accent6">
            <a:lumMod val="60000"/>
            <a:lumOff val="4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Análisis</a:t>
          </a:r>
          <a:r>
            <a:rPr lang="es-MX" sz="1050" i="0" kern="1200" baseline="0">
              <a:solidFill>
                <a:srgbClr val="000000"/>
              </a:solidFill>
              <a:effectLst/>
              <a:latin typeface="Agency FB" panose="020B0503020202020204" pitchFamily="34" charset="0"/>
              <a:ea typeface="Times New Roman" panose="02020603050405020304" pitchFamily="18" charset="0"/>
            </a:rPr>
            <a:t> técnico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80469</xdr:colOff>
      <xdr:row>16</xdr:row>
      <xdr:rowOff>58345</xdr:rowOff>
    </xdr:from>
    <xdr:to>
      <xdr:col>15</xdr:col>
      <xdr:colOff>52869</xdr:colOff>
      <xdr:row>19</xdr:row>
      <xdr:rowOff>42579</xdr:rowOff>
    </xdr:to>
    <xdr:sp macro="" textlink="">
      <xdr:nvSpPr>
        <xdr:cNvPr id="26" name="Rectángulo 25">
          <a:hlinkClick xmlns:r="http://schemas.openxmlformats.org/officeDocument/2006/relationships" r:id="rId8"/>
          <a:extLst>
            <a:ext uri="{FF2B5EF4-FFF2-40B4-BE49-F238E27FC236}">
              <a16:creationId xmlns="" xmlns:a16="http://schemas.microsoft.com/office/drawing/2014/main" id="{00000000-0008-0000-0000-00001A000000}"/>
            </a:ext>
          </a:extLst>
        </xdr:cNvPr>
        <xdr:cNvSpPr/>
      </xdr:nvSpPr>
      <xdr:spPr>
        <a:xfrm>
          <a:off x="3433269" y="3258745"/>
          <a:ext cx="1191600" cy="584309"/>
        </a:xfrm>
        <a:prstGeom prst="rect">
          <a:avLst/>
        </a:prstGeom>
        <a:solidFill>
          <a:schemeClr val="accent6">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Área</a:t>
          </a:r>
          <a:r>
            <a:rPr lang="es-MX" sz="1050" i="0" kern="1200" baseline="0">
              <a:solidFill>
                <a:srgbClr val="000000"/>
              </a:solidFill>
              <a:effectLst/>
              <a:latin typeface="Agency FB" panose="020B0503020202020204" pitchFamily="34" charset="0"/>
              <a:ea typeface="Times New Roman" panose="02020603050405020304" pitchFamily="18" charset="0"/>
            </a:rPr>
            <a:t> de estudio/área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15</xdr:col>
      <xdr:colOff>243508</xdr:colOff>
      <xdr:row>26</xdr:row>
      <xdr:rowOff>28574</xdr:rowOff>
    </xdr:from>
    <xdr:to>
      <xdr:col>19</xdr:col>
      <xdr:colOff>250834</xdr:colOff>
      <xdr:row>28</xdr:row>
      <xdr:rowOff>4479</xdr:rowOff>
    </xdr:to>
    <xdr:sp macro="" textlink="">
      <xdr:nvSpPr>
        <xdr:cNvPr id="27" name="Rectángulo 26">
          <a:hlinkClick xmlns:r="http://schemas.openxmlformats.org/officeDocument/2006/relationships" r:id="rId9"/>
          <a:extLst>
            <a:ext uri="{FF2B5EF4-FFF2-40B4-BE49-F238E27FC236}">
              <a16:creationId xmlns="" xmlns:a16="http://schemas.microsoft.com/office/drawing/2014/main" id="{00000000-0008-0000-0000-00001B000000}"/>
            </a:ext>
          </a:extLst>
        </xdr:cNvPr>
        <xdr:cNvSpPr/>
      </xdr:nvSpPr>
      <xdr:spPr>
        <a:xfrm>
          <a:off x="4815508" y="5229224"/>
          <a:ext cx="1226526" cy="375955"/>
        </a:xfrm>
        <a:prstGeom prst="rect">
          <a:avLst/>
        </a:prstGeom>
        <a:solidFill>
          <a:schemeClr val="accent6">
            <a:lumMod val="60000"/>
            <a:lumOff val="4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Costos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20</xdr:col>
      <xdr:colOff>91936</xdr:colOff>
      <xdr:row>16</xdr:row>
      <xdr:rowOff>57491</xdr:rowOff>
    </xdr:from>
    <xdr:to>
      <xdr:col>24</xdr:col>
      <xdr:colOff>64336</xdr:colOff>
      <xdr:row>20</xdr:row>
      <xdr:rowOff>171450</xdr:rowOff>
    </xdr:to>
    <xdr:sp macro="" textlink="">
      <xdr:nvSpPr>
        <xdr:cNvPr id="28" name="Rectángulo 27">
          <a:hlinkClick xmlns:r="http://schemas.openxmlformats.org/officeDocument/2006/relationships" r:id="rId10"/>
          <a:extLst>
            <a:ext uri="{FF2B5EF4-FFF2-40B4-BE49-F238E27FC236}">
              <a16:creationId xmlns="" xmlns:a16="http://schemas.microsoft.com/office/drawing/2014/main" id="{00000000-0008-0000-0000-00001C000000}"/>
            </a:ext>
          </a:extLst>
        </xdr:cNvPr>
        <xdr:cNvSpPr/>
      </xdr:nvSpPr>
      <xdr:spPr>
        <a:xfrm>
          <a:off x="6187936" y="3257891"/>
          <a:ext cx="1191600" cy="914059"/>
        </a:xfrm>
        <a:prstGeom prst="rect">
          <a:avLst/>
        </a:prstGeom>
        <a:solidFill>
          <a:schemeClr val="accent6">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15</xdr:col>
      <xdr:colOff>247058</xdr:colOff>
      <xdr:row>24</xdr:row>
      <xdr:rowOff>45420</xdr:rowOff>
    </xdr:from>
    <xdr:to>
      <xdr:col>19</xdr:col>
      <xdr:colOff>255458</xdr:colOff>
      <xdr:row>26</xdr:row>
      <xdr:rowOff>5370</xdr:rowOff>
    </xdr:to>
    <xdr:sp macro="" textlink="">
      <xdr:nvSpPr>
        <xdr:cNvPr id="29" name="Rectángulo 28">
          <a:hlinkClick xmlns:r="http://schemas.openxmlformats.org/officeDocument/2006/relationships" r:id="rId11"/>
          <a:extLst>
            <a:ext uri="{FF2B5EF4-FFF2-40B4-BE49-F238E27FC236}">
              <a16:creationId xmlns="" xmlns:a16="http://schemas.microsoft.com/office/drawing/2014/main" id="{00000000-0008-0000-0000-00001D000000}"/>
            </a:ext>
          </a:extLst>
        </xdr:cNvPr>
        <xdr:cNvSpPr/>
      </xdr:nvSpPr>
      <xdr:spPr>
        <a:xfrm>
          <a:off x="4819058" y="4846020"/>
          <a:ext cx="1227600" cy="360000"/>
        </a:xfrm>
        <a:prstGeom prst="rect">
          <a:avLst/>
        </a:prstGeom>
        <a:solidFill>
          <a:schemeClr val="accent6">
            <a:lumMod val="60000"/>
            <a:lumOff val="4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cs typeface="+mn-cs"/>
            </a:rPr>
            <a:t>Sostenibilidad, </a:t>
          </a:r>
          <a:endParaRPr lang="es-PE" sz="1050" i="0" kern="1200">
            <a:solidFill>
              <a:srgbClr val="000000"/>
            </a:solidFill>
            <a:effectLst/>
            <a:latin typeface="Agency FB" panose="020B0503020202020204" pitchFamily="34" charset="0"/>
            <a:ea typeface="Times New Roman" panose="02020603050405020304" pitchFamily="18" charset="0"/>
            <a:cs typeface="+mn-cs"/>
          </a:endParaRPr>
        </a:p>
      </xdr:txBody>
    </xdr:sp>
    <xdr:clientData/>
  </xdr:twoCellAnchor>
  <xdr:twoCellAnchor>
    <xdr:from>
      <xdr:col>1</xdr:col>
      <xdr:colOff>66675</xdr:colOff>
      <xdr:row>14</xdr:row>
      <xdr:rowOff>72275</xdr:rowOff>
    </xdr:from>
    <xdr:to>
      <xdr:col>5</xdr:col>
      <xdr:colOff>200025</xdr:colOff>
      <xdr:row>15</xdr:row>
      <xdr:rowOff>160250</xdr:rowOff>
    </xdr:to>
    <xdr:sp macro="[0]!pantallacompleta" textlink="">
      <xdr:nvSpPr>
        <xdr:cNvPr id="30" name="Rectángulo redondeado 29">
          <a:extLst>
            <a:ext uri="{FF2B5EF4-FFF2-40B4-BE49-F238E27FC236}">
              <a16:creationId xmlns="" xmlns:a16="http://schemas.microsoft.com/office/drawing/2014/main" id="{00000000-0008-0000-0000-00001E000000}"/>
            </a:ext>
          </a:extLst>
        </xdr:cNvPr>
        <xdr:cNvSpPr/>
      </xdr:nvSpPr>
      <xdr:spPr>
        <a:xfrm>
          <a:off x="371475" y="2872625"/>
          <a:ext cx="1352550" cy="288000"/>
        </a:xfrm>
        <a:prstGeom prst="roundRect">
          <a:avLst/>
        </a:prstGeom>
        <a:solidFill>
          <a:schemeClr val="accent6">
            <a:lumMod val="20000"/>
            <a:lumOff val="8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Pantalla completa</a:t>
          </a:r>
        </a:p>
      </xdr:txBody>
    </xdr:sp>
    <xdr:clientData/>
  </xdr:twoCellAnchor>
  <xdr:twoCellAnchor>
    <xdr:from>
      <xdr:col>1</xdr:col>
      <xdr:colOff>63777</xdr:colOff>
      <xdr:row>16</xdr:row>
      <xdr:rowOff>13445</xdr:rowOff>
    </xdr:from>
    <xdr:to>
      <xdr:col>5</xdr:col>
      <xdr:colOff>197127</xdr:colOff>
      <xdr:row>17</xdr:row>
      <xdr:rowOff>101420</xdr:rowOff>
    </xdr:to>
    <xdr:sp macro="[0]!pantallanormal" textlink="">
      <xdr:nvSpPr>
        <xdr:cNvPr id="31" name="Rectángulo redondeado 30">
          <a:extLst>
            <a:ext uri="{FF2B5EF4-FFF2-40B4-BE49-F238E27FC236}">
              <a16:creationId xmlns="" xmlns:a16="http://schemas.microsoft.com/office/drawing/2014/main" id="{00000000-0008-0000-0000-00001F000000}"/>
            </a:ext>
          </a:extLst>
        </xdr:cNvPr>
        <xdr:cNvSpPr/>
      </xdr:nvSpPr>
      <xdr:spPr>
        <a:xfrm>
          <a:off x="368577" y="3213845"/>
          <a:ext cx="1352550" cy="288000"/>
        </a:xfrm>
        <a:prstGeom prst="roundRect">
          <a:avLst/>
        </a:prstGeom>
        <a:solidFill>
          <a:schemeClr val="accent6">
            <a:lumMod val="20000"/>
            <a:lumOff val="8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Pantalla normal</a:t>
          </a:r>
        </a:p>
      </xdr:txBody>
    </xdr:sp>
    <xdr:clientData/>
  </xdr:twoCellAnchor>
  <xdr:twoCellAnchor>
    <xdr:from>
      <xdr:col>1</xdr:col>
      <xdr:colOff>63777</xdr:colOff>
      <xdr:row>17</xdr:row>
      <xdr:rowOff>146795</xdr:rowOff>
    </xdr:from>
    <xdr:to>
      <xdr:col>5</xdr:col>
      <xdr:colOff>197127</xdr:colOff>
      <xdr:row>19</xdr:row>
      <xdr:rowOff>34745</xdr:rowOff>
    </xdr:to>
    <xdr:sp macro="[0]!Mostrar_Instructivo" textlink="">
      <xdr:nvSpPr>
        <xdr:cNvPr id="32" name="Rectángulo redondeado 31">
          <a:extLst>
            <a:ext uri="{FF2B5EF4-FFF2-40B4-BE49-F238E27FC236}">
              <a16:creationId xmlns="" xmlns:a16="http://schemas.microsoft.com/office/drawing/2014/main" id="{00000000-0008-0000-0000-000020000000}"/>
            </a:ext>
          </a:extLst>
        </xdr:cNvPr>
        <xdr:cNvSpPr/>
      </xdr:nvSpPr>
      <xdr:spPr>
        <a:xfrm>
          <a:off x="368577" y="3547220"/>
          <a:ext cx="1352550" cy="288000"/>
        </a:xfrm>
        <a:prstGeom prst="roundRect">
          <a:avLst/>
        </a:prstGeom>
        <a:solidFill>
          <a:schemeClr val="accent6">
            <a:lumMod val="20000"/>
            <a:lumOff val="8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Instructivo</a:t>
          </a:r>
        </a:p>
      </xdr:txBody>
    </xdr:sp>
    <xdr:clientData/>
  </xdr:twoCellAnchor>
  <xdr:twoCellAnchor>
    <xdr:from>
      <xdr:col>1</xdr:col>
      <xdr:colOff>54252</xdr:colOff>
      <xdr:row>19</xdr:row>
      <xdr:rowOff>81800</xdr:rowOff>
    </xdr:from>
    <xdr:to>
      <xdr:col>5</xdr:col>
      <xdr:colOff>187602</xdr:colOff>
      <xdr:row>20</xdr:row>
      <xdr:rowOff>169775</xdr:rowOff>
    </xdr:to>
    <xdr:sp macro="[0]!ImprimirHojas" textlink="">
      <xdr:nvSpPr>
        <xdr:cNvPr id="33" name="Rectángulo redondeado 32">
          <a:extLst>
            <a:ext uri="{FF2B5EF4-FFF2-40B4-BE49-F238E27FC236}">
              <a16:creationId xmlns="" xmlns:a16="http://schemas.microsoft.com/office/drawing/2014/main" id="{00000000-0008-0000-0000-000021000000}"/>
            </a:ext>
          </a:extLst>
        </xdr:cNvPr>
        <xdr:cNvSpPr/>
      </xdr:nvSpPr>
      <xdr:spPr>
        <a:xfrm>
          <a:off x="359052" y="3882275"/>
          <a:ext cx="1352550" cy="288000"/>
        </a:xfrm>
        <a:prstGeom prst="roundRect">
          <a:avLst/>
        </a:prstGeom>
        <a:solidFill>
          <a:schemeClr val="accent6">
            <a:lumMod val="20000"/>
            <a:lumOff val="8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Imprimir</a:t>
          </a:r>
        </a:p>
      </xdr:txBody>
    </xdr:sp>
    <xdr:clientData/>
  </xdr:twoCellAnchor>
  <xdr:twoCellAnchor>
    <xdr:from>
      <xdr:col>0</xdr:col>
      <xdr:colOff>219075</xdr:colOff>
      <xdr:row>12</xdr:row>
      <xdr:rowOff>157998</xdr:rowOff>
    </xdr:from>
    <xdr:to>
      <xdr:col>6</xdr:col>
      <xdr:colOff>47625</xdr:colOff>
      <xdr:row>28</xdr:row>
      <xdr:rowOff>19049</xdr:rowOff>
    </xdr:to>
    <xdr:sp macro="" textlink="">
      <xdr:nvSpPr>
        <xdr:cNvPr id="34" name="Rectángulo 33">
          <a:extLst>
            <a:ext uri="{FF2B5EF4-FFF2-40B4-BE49-F238E27FC236}">
              <a16:creationId xmlns="" xmlns:a16="http://schemas.microsoft.com/office/drawing/2014/main" id="{00000000-0008-0000-0000-000022000000}"/>
            </a:ext>
          </a:extLst>
        </xdr:cNvPr>
        <xdr:cNvSpPr/>
      </xdr:nvSpPr>
      <xdr:spPr>
        <a:xfrm>
          <a:off x="219075" y="2558298"/>
          <a:ext cx="1657350" cy="3061451"/>
        </a:xfrm>
        <a:prstGeom prst="rect">
          <a:avLst/>
        </a:prstGeom>
        <a:noFill/>
        <a:ln>
          <a:solidFill>
            <a:schemeClr val="bg2">
              <a:lumMod val="5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xdr:col>
      <xdr:colOff>66675</xdr:colOff>
      <xdr:row>11</xdr:row>
      <xdr:rowOff>196099</xdr:rowOff>
    </xdr:from>
    <xdr:to>
      <xdr:col>5</xdr:col>
      <xdr:colOff>200025</xdr:colOff>
      <xdr:row>13</xdr:row>
      <xdr:rowOff>186576</xdr:rowOff>
    </xdr:to>
    <xdr:sp macro="" textlink="">
      <xdr:nvSpPr>
        <xdr:cNvPr id="35" name="Rectángulo 34">
          <a:extLst>
            <a:ext uri="{FF2B5EF4-FFF2-40B4-BE49-F238E27FC236}">
              <a16:creationId xmlns="" xmlns:a16="http://schemas.microsoft.com/office/drawing/2014/main" id="{00000000-0008-0000-0000-000023000000}"/>
            </a:ext>
          </a:extLst>
        </xdr:cNvPr>
        <xdr:cNvSpPr/>
      </xdr:nvSpPr>
      <xdr:spPr>
        <a:xfrm>
          <a:off x="369234" y="2414864"/>
          <a:ext cx="1343585" cy="393888"/>
        </a:xfrm>
        <a:prstGeom prst="rect">
          <a:avLst/>
        </a:prstGeom>
        <a:solidFill>
          <a:schemeClr val="accent6">
            <a:lumMod val="50000"/>
          </a:schemeClr>
        </a:solid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chemeClr val="bg1"/>
              </a:solidFill>
              <a:latin typeface="Arial Narrow" panose="020B0606020202030204" pitchFamily="34" charset="0"/>
            </a:rPr>
            <a:t>Opciones adicionales|</a:t>
          </a:r>
        </a:p>
      </xdr:txBody>
    </xdr:sp>
    <xdr:clientData/>
  </xdr:twoCellAnchor>
  <xdr:twoCellAnchor editAs="oneCell">
    <xdr:from>
      <xdr:col>0</xdr:col>
      <xdr:colOff>197464</xdr:colOff>
      <xdr:row>1</xdr:row>
      <xdr:rowOff>190501</xdr:rowOff>
    </xdr:from>
    <xdr:to>
      <xdr:col>7</xdr:col>
      <xdr:colOff>268433</xdr:colOff>
      <xdr:row>11</xdr:row>
      <xdr:rowOff>17318</xdr:rowOff>
    </xdr:to>
    <xdr:pic>
      <xdr:nvPicPr>
        <xdr:cNvPr id="36" name="Picture 2">
          <a:extLst>
            <a:ext uri="{FF2B5EF4-FFF2-40B4-BE49-F238E27FC236}">
              <a16:creationId xmlns="" xmlns:a16="http://schemas.microsoft.com/office/drawing/2014/main" id="{00000000-0008-0000-0000-000024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197464" y="389660"/>
          <a:ext cx="2192446" cy="1818408"/>
        </a:xfrm>
        <a:prstGeom prst="flowChartDelay">
          <a:avLst/>
        </a:prstGeom>
        <a:noFill/>
        <a:ln w="38100">
          <a:solidFill>
            <a:schemeClr val="bg1"/>
          </a:solidFill>
        </a:ln>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148185</xdr:colOff>
      <xdr:row>3</xdr:row>
      <xdr:rowOff>8917</xdr:rowOff>
    </xdr:from>
    <xdr:to>
      <xdr:col>24</xdr:col>
      <xdr:colOff>165651</xdr:colOff>
      <xdr:row>9</xdr:row>
      <xdr:rowOff>107679</xdr:rowOff>
    </xdr:to>
    <xdr:sp macro="" textlink="">
      <xdr:nvSpPr>
        <xdr:cNvPr id="41" name="CuadroTexto 40">
          <a:extLst>
            <a:ext uri="{FF2B5EF4-FFF2-40B4-BE49-F238E27FC236}">
              <a16:creationId xmlns="" xmlns:a16="http://schemas.microsoft.com/office/drawing/2014/main" id="{00000000-0008-0000-0000-000029000000}"/>
            </a:ext>
          </a:extLst>
        </xdr:cNvPr>
        <xdr:cNvSpPr txBox="1"/>
      </xdr:nvSpPr>
      <xdr:spPr>
        <a:xfrm>
          <a:off x="2293381" y="605265"/>
          <a:ext cx="5227227" cy="1291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s-PE" sz="1600" b="1" baseline="0">
              <a:solidFill>
                <a:schemeClr val="bg1"/>
              </a:solidFill>
              <a:latin typeface="Arial Narrow" panose="020B0606020202030204" pitchFamily="34" charset="0"/>
              <a:ea typeface="+mn-ea"/>
              <a:cs typeface="+mn-cs"/>
            </a:rPr>
            <a:t>FICHA TÉCNICA ESPECIFICA ESTANDAR :</a:t>
          </a:r>
        </a:p>
        <a:p>
          <a:pPr marL="0" marR="0" indent="0" algn="ctr" defTabSz="914400" eaLnBrk="1" fontAlgn="auto" latinLnBrk="0" hangingPunct="1">
            <a:lnSpc>
              <a:spcPct val="100000"/>
            </a:lnSpc>
            <a:spcBef>
              <a:spcPts val="0"/>
            </a:spcBef>
            <a:spcAft>
              <a:spcPts val="0"/>
            </a:spcAft>
            <a:buClrTx/>
            <a:buSzTx/>
            <a:buFontTx/>
            <a:buNone/>
            <a:tabLst/>
            <a:defRPr/>
          </a:pPr>
          <a:r>
            <a:rPr lang="es-PE" sz="1600" b="1" baseline="0">
              <a:solidFill>
                <a:schemeClr val="bg1"/>
              </a:solidFill>
              <a:latin typeface="Arial Narrow" panose="020B0606020202030204" pitchFamily="34" charset="0"/>
              <a:ea typeface="+mn-ea"/>
              <a:cs typeface="+mn-cs"/>
            </a:rPr>
            <a:t>SERVICIO DE PROVISIÓN DE AGUA PARA RIEGO -  NATURALEZA MEJORAMIENTO</a:t>
          </a:r>
        </a:p>
        <a:p>
          <a:pPr algn="ctr"/>
          <a:r>
            <a:rPr lang="es-PE" sz="1050" b="0" baseline="0">
              <a:solidFill>
                <a:schemeClr val="bg1"/>
              </a:solidFill>
              <a:latin typeface="Arial Narrow" panose="020B0606020202030204" pitchFamily="34" charset="0"/>
            </a:rPr>
            <a:t>Plantilla predeterminada Versión 1.0 - Noviembre 2020</a:t>
          </a:r>
        </a:p>
        <a:p>
          <a:pPr marL="0" marR="0" indent="0" algn="ctr" defTabSz="914400" eaLnBrk="1" fontAlgn="auto" latinLnBrk="0" hangingPunct="1">
            <a:lnSpc>
              <a:spcPct val="100000"/>
            </a:lnSpc>
            <a:spcBef>
              <a:spcPts val="0"/>
            </a:spcBef>
            <a:spcAft>
              <a:spcPts val="0"/>
            </a:spcAft>
            <a:buClrTx/>
            <a:buSzTx/>
            <a:buFontTx/>
            <a:buNone/>
            <a:tabLst/>
            <a:defRPr/>
          </a:pPr>
          <a:r>
            <a:rPr lang="es-PE" sz="1050" b="0" baseline="0">
              <a:solidFill>
                <a:schemeClr val="bg1"/>
              </a:solidFill>
              <a:latin typeface="Arial Narrow" panose="020B0606020202030204" pitchFamily="34" charset="0"/>
              <a:ea typeface="+mn-ea"/>
              <a:cs typeface="+mn-cs"/>
            </a:rPr>
            <a:t>Monto de Inversión a Precios de Mercado mayor de 750 UIT hasta 1,860 UIT</a:t>
          </a:r>
        </a:p>
        <a:p>
          <a:pPr marL="0" marR="0" indent="0" algn="ctr" defTabSz="914400" eaLnBrk="1" fontAlgn="auto" latinLnBrk="0" hangingPunct="1">
            <a:lnSpc>
              <a:spcPct val="100000"/>
            </a:lnSpc>
            <a:spcBef>
              <a:spcPts val="0"/>
            </a:spcBef>
            <a:spcAft>
              <a:spcPts val="0"/>
            </a:spcAft>
            <a:buClrTx/>
            <a:buSzTx/>
            <a:buFontTx/>
            <a:buNone/>
            <a:tabLst/>
            <a:defRPr/>
          </a:pPr>
          <a:r>
            <a:rPr lang="es-PE" sz="1050" b="0" baseline="0">
              <a:solidFill>
                <a:schemeClr val="bg1"/>
              </a:solidFill>
              <a:latin typeface="Arial Narrow" panose="020B0606020202030204" pitchFamily="34" charset="0"/>
              <a:ea typeface="+mn-ea"/>
              <a:cs typeface="+mn-cs"/>
            </a:rPr>
            <a:t>(La información registrada en esta ficha tiene carácter de Declaración Jurada)</a:t>
          </a:r>
        </a:p>
        <a:p>
          <a:pPr algn="ctr"/>
          <a:endParaRPr lang="es-PE" sz="1050" b="0">
            <a:solidFill>
              <a:schemeClr val="bg1"/>
            </a:solidFill>
            <a:latin typeface="Arial Narrow" panose="020B0606020202030204" pitchFamily="34" charset="0"/>
          </a:endParaRPr>
        </a:p>
      </xdr:txBody>
    </xdr:sp>
    <xdr:clientData/>
  </xdr:twoCellAnchor>
  <xdr:twoCellAnchor>
    <xdr:from>
      <xdr:col>11</xdr:col>
      <xdr:colOff>102995</xdr:colOff>
      <xdr:row>23</xdr:row>
      <xdr:rowOff>26565</xdr:rowOff>
    </xdr:from>
    <xdr:to>
      <xdr:col>15</xdr:col>
      <xdr:colOff>75395</xdr:colOff>
      <xdr:row>25</xdr:row>
      <xdr:rowOff>33893</xdr:rowOff>
    </xdr:to>
    <xdr:sp macro="" textlink="">
      <xdr:nvSpPr>
        <xdr:cNvPr id="42" name="Rectángulo 28">
          <a:hlinkClick xmlns:r="http://schemas.openxmlformats.org/officeDocument/2006/relationships" r:id="rId13"/>
          <a:extLst>
            <a:ext uri="{FF2B5EF4-FFF2-40B4-BE49-F238E27FC236}">
              <a16:creationId xmlns="" xmlns:a16="http://schemas.microsoft.com/office/drawing/2014/main" id="{00000000-0008-0000-0000-00002A000000}"/>
            </a:ext>
          </a:extLst>
        </xdr:cNvPr>
        <xdr:cNvSpPr/>
      </xdr:nvSpPr>
      <xdr:spPr>
        <a:xfrm>
          <a:off x="3455795" y="4627140"/>
          <a:ext cx="1191600" cy="407378"/>
        </a:xfrm>
        <a:prstGeom prst="rect">
          <a:avLst/>
        </a:prstGeom>
        <a:solidFill>
          <a:schemeClr val="accent6">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P</a:t>
          </a:r>
          <a:r>
            <a:rPr lang="es-MX" sz="1100" i="0" kern="1200" baseline="0">
              <a:solidFill>
                <a:srgbClr val="000000"/>
              </a:solidFill>
              <a:effectLst/>
              <a:latin typeface="Agency FB" panose="020B0503020202020204" pitchFamily="34" charset="0"/>
              <a:ea typeface="Times New Roman" panose="02020603050405020304" pitchFamily="18" charset="0"/>
            </a:rPr>
            <a:t>roblema / objetivos</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102053</xdr:colOff>
      <xdr:row>25</xdr:row>
      <xdr:rowOff>82040</xdr:rowOff>
    </xdr:from>
    <xdr:to>
      <xdr:col>15</xdr:col>
      <xdr:colOff>74453</xdr:colOff>
      <xdr:row>27</xdr:row>
      <xdr:rowOff>196661</xdr:rowOff>
    </xdr:to>
    <xdr:sp macro="" textlink="">
      <xdr:nvSpPr>
        <xdr:cNvPr id="43" name="Rectángulo 28">
          <a:hlinkClick xmlns:r="http://schemas.openxmlformats.org/officeDocument/2006/relationships" r:id="rId14"/>
          <a:extLst>
            <a:ext uri="{FF2B5EF4-FFF2-40B4-BE49-F238E27FC236}">
              <a16:creationId xmlns="" xmlns:a16="http://schemas.microsoft.com/office/drawing/2014/main" id="{00000000-0008-0000-0000-00002B000000}"/>
            </a:ext>
          </a:extLst>
        </xdr:cNvPr>
        <xdr:cNvSpPr/>
      </xdr:nvSpPr>
      <xdr:spPr>
        <a:xfrm>
          <a:off x="3454853" y="5082665"/>
          <a:ext cx="1191600" cy="514671"/>
        </a:xfrm>
        <a:prstGeom prst="rect">
          <a:avLst/>
        </a:prstGeom>
        <a:solidFill>
          <a:schemeClr val="accent6">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Alternativas de solución</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15</xdr:col>
      <xdr:colOff>243567</xdr:colOff>
      <xdr:row>18</xdr:row>
      <xdr:rowOff>72836</xdr:rowOff>
    </xdr:from>
    <xdr:to>
      <xdr:col>19</xdr:col>
      <xdr:colOff>250893</xdr:colOff>
      <xdr:row>20</xdr:row>
      <xdr:rowOff>32786</xdr:rowOff>
    </xdr:to>
    <xdr:sp macro="" textlink="">
      <xdr:nvSpPr>
        <xdr:cNvPr id="44" name="Rectángulo 29">
          <a:hlinkClick xmlns:r="http://schemas.openxmlformats.org/officeDocument/2006/relationships" r:id="rId15"/>
          <a:extLst>
            <a:ext uri="{FF2B5EF4-FFF2-40B4-BE49-F238E27FC236}">
              <a16:creationId xmlns="" xmlns:a16="http://schemas.microsoft.com/office/drawing/2014/main" id="{00000000-0008-0000-0000-00002C000000}"/>
            </a:ext>
          </a:extLst>
        </xdr:cNvPr>
        <xdr:cNvSpPr/>
      </xdr:nvSpPr>
      <xdr:spPr>
        <a:xfrm>
          <a:off x="4815567" y="3673286"/>
          <a:ext cx="1226526" cy="360000"/>
        </a:xfrm>
        <a:prstGeom prst="rect">
          <a:avLst/>
        </a:prstGeom>
        <a:solidFill>
          <a:schemeClr val="accent6">
            <a:lumMod val="60000"/>
            <a:lumOff val="4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del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15</xdr:col>
      <xdr:colOff>249009</xdr:colOff>
      <xdr:row>22</xdr:row>
      <xdr:rowOff>57547</xdr:rowOff>
    </xdr:from>
    <xdr:to>
      <xdr:col>19</xdr:col>
      <xdr:colOff>257174</xdr:colOff>
      <xdr:row>24</xdr:row>
      <xdr:rowOff>17497</xdr:rowOff>
    </xdr:to>
    <xdr:sp macro="" textlink="">
      <xdr:nvSpPr>
        <xdr:cNvPr id="45" name="Rectángulo 40">
          <a:hlinkClick xmlns:r="http://schemas.openxmlformats.org/officeDocument/2006/relationships" r:id="rId16"/>
          <a:extLst>
            <a:ext uri="{FF2B5EF4-FFF2-40B4-BE49-F238E27FC236}">
              <a16:creationId xmlns="" xmlns:a16="http://schemas.microsoft.com/office/drawing/2014/main" id="{00000000-0008-0000-0000-00002D000000}"/>
            </a:ext>
          </a:extLst>
        </xdr:cNvPr>
        <xdr:cNvSpPr/>
      </xdr:nvSpPr>
      <xdr:spPr>
        <a:xfrm>
          <a:off x="4821009" y="4458097"/>
          <a:ext cx="1227365" cy="360000"/>
        </a:xfrm>
        <a:prstGeom prst="rect">
          <a:avLst/>
        </a:prstGeom>
        <a:solidFill>
          <a:schemeClr val="accent6">
            <a:lumMod val="60000"/>
            <a:lumOff val="4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cs typeface="+mn-cs"/>
            </a:rPr>
            <a:t>Gestión</a:t>
          </a:r>
          <a:endParaRPr lang="es-PE" sz="1050" i="0" kern="1200">
            <a:solidFill>
              <a:srgbClr val="000000"/>
            </a:solidFill>
            <a:effectLst/>
            <a:latin typeface="Agency FB" panose="020B0503020202020204" pitchFamily="34" charset="0"/>
            <a:ea typeface="Times New Roman" panose="02020603050405020304" pitchFamily="18" charset="0"/>
            <a:cs typeface="+mn-cs"/>
          </a:endParaRPr>
        </a:p>
      </xdr:txBody>
    </xdr:sp>
    <xdr:clientData/>
  </xdr:twoCellAnchor>
  <xdr:twoCellAnchor>
    <xdr:from>
      <xdr:col>20</xdr:col>
      <xdr:colOff>104019</xdr:colOff>
      <xdr:row>26</xdr:row>
      <xdr:rowOff>7201</xdr:rowOff>
    </xdr:from>
    <xdr:to>
      <xdr:col>24</xdr:col>
      <xdr:colOff>76419</xdr:colOff>
      <xdr:row>28</xdr:row>
      <xdr:rowOff>398</xdr:rowOff>
    </xdr:to>
    <xdr:sp macro="" textlink="">
      <xdr:nvSpPr>
        <xdr:cNvPr id="46" name="Rectángulo 40">
          <a:hlinkClick xmlns:r="http://schemas.openxmlformats.org/officeDocument/2006/relationships" r:id="rId17"/>
          <a:extLst>
            <a:ext uri="{FF2B5EF4-FFF2-40B4-BE49-F238E27FC236}">
              <a16:creationId xmlns="" xmlns:a16="http://schemas.microsoft.com/office/drawing/2014/main" id="{00000000-0008-0000-0000-00002E000000}"/>
            </a:ext>
          </a:extLst>
        </xdr:cNvPr>
        <xdr:cNvSpPr/>
      </xdr:nvSpPr>
      <xdr:spPr>
        <a:xfrm>
          <a:off x="6242352" y="5235368"/>
          <a:ext cx="1200067" cy="395363"/>
        </a:xfrm>
        <a:prstGeom prst="rect">
          <a:avLst/>
        </a:prstGeom>
        <a:solidFill>
          <a:schemeClr val="accent6">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Conclusiones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20</xdr:col>
      <xdr:colOff>91773</xdr:colOff>
      <xdr:row>21</xdr:row>
      <xdr:rowOff>19050</xdr:rowOff>
    </xdr:from>
    <xdr:to>
      <xdr:col>24</xdr:col>
      <xdr:colOff>64173</xdr:colOff>
      <xdr:row>25</xdr:row>
      <xdr:rowOff>175930</xdr:rowOff>
    </xdr:to>
    <xdr:sp macro="" textlink="">
      <xdr:nvSpPr>
        <xdr:cNvPr id="47" name="Rectángulo 40">
          <a:hlinkClick xmlns:r="http://schemas.openxmlformats.org/officeDocument/2006/relationships" r:id="rId18"/>
          <a:extLst>
            <a:ext uri="{FF2B5EF4-FFF2-40B4-BE49-F238E27FC236}">
              <a16:creationId xmlns="" xmlns:a16="http://schemas.microsoft.com/office/drawing/2014/main" id="{00000000-0008-0000-0000-00002F000000}"/>
            </a:ext>
          </a:extLst>
        </xdr:cNvPr>
        <xdr:cNvSpPr/>
      </xdr:nvSpPr>
      <xdr:spPr>
        <a:xfrm>
          <a:off x="6230106" y="4241800"/>
          <a:ext cx="1200067" cy="961213"/>
        </a:xfrm>
        <a:prstGeom prst="rect">
          <a:avLst/>
        </a:prstGeom>
        <a:solidFill>
          <a:schemeClr val="accent6">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Marco Lógico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xdr:col>
      <xdr:colOff>54252</xdr:colOff>
      <xdr:row>21</xdr:row>
      <xdr:rowOff>12202</xdr:rowOff>
    </xdr:from>
    <xdr:to>
      <xdr:col>5</xdr:col>
      <xdr:colOff>187602</xdr:colOff>
      <xdr:row>22</xdr:row>
      <xdr:rowOff>100177</xdr:rowOff>
    </xdr:to>
    <xdr:sp macro="" textlink="">
      <xdr:nvSpPr>
        <xdr:cNvPr id="48" name="Rectángulo redondeado 32">
          <a:hlinkClick xmlns:r="http://schemas.openxmlformats.org/officeDocument/2006/relationships" r:id="rId19"/>
          <a:extLst>
            <a:ext uri="{FF2B5EF4-FFF2-40B4-BE49-F238E27FC236}">
              <a16:creationId xmlns="" xmlns:a16="http://schemas.microsoft.com/office/drawing/2014/main" id="{00000000-0008-0000-0000-000030000000}"/>
            </a:ext>
          </a:extLst>
        </xdr:cNvPr>
        <xdr:cNvSpPr/>
      </xdr:nvSpPr>
      <xdr:spPr>
        <a:xfrm>
          <a:off x="359052" y="4212727"/>
          <a:ext cx="1352550" cy="288000"/>
        </a:xfrm>
        <a:prstGeom prst="roundRect">
          <a:avLst/>
        </a:prstGeom>
        <a:solidFill>
          <a:schemeClr val="accent6">
            <a:lumMod val="20000"/>
            <a:lumOff val="8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Protocolo de Evaluación</a:t>
          </a:r>
        </a:p>
      </xdr:txBody>
    </xdr:sp>
    <xdr:clientData/>
  </xdr:twoCellAnchor>
  <xdr:twoCellAnchor>
    <xdr:from>
      <xdr:col>1</xdr:col>
      <xdr:colOff>57150</xdr:colOff>
      <xdr:row>22</xdr:row>
      <xdr:rowOff>148475</xdr:rowOff>
    </xdr:from>
    <xdr:to>
      <xdr:col>5</xdr:col>
      <xdr:colOff>190500</xdr:colOff>
      <xdr:row>24</xdr:row>
      <xdr:rowOff>36425</xdr:rowOff>
    </xdr:to>
    <xdr:sp macro="" textlink="">
      <xdr:nvSpPr>
        <xdr:cNvPr id="49" name="Rectángulo redondeado 32">
          <a:hlinkClick xmlns:r="http://schemas.openxmlformats.org/officeDocument/2006/relationships" r:id="rId20"/>
          <a:extLst>
            <a:ext uri="{FF2B5EF4-FFF2-40B4-BE49-F238E27FC236}">
              <a16:creationId xmlns="" xmlns:a16="http://schemas.microsoft.com/office/drawing/2014/main" id="{00000000-0008-0000-0000-000031000000}"/>
            </a:ext>
          </a:extLst>
        </xdr:cNvPr>
        <xdr:cNvSpPr/>
      </xdr:nvSpPr>
      <xdr:spPr>
        <a:xfrm>
          <a:off x="361950" y="4549025"/>
          <a:ext cx="1352550" cy="288000"/>
        </a:xfrm>
        <a:prstGeom prst="roundRect">
          <a:avLst/>
        </a:prstGeom>
        <a:solidFill>
          <a:schemeClr val="accent6">
            <a:lumMod val="20000"/>
            <a:lumOff val="8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Anexos</a:t>
          </a:r>
        </a:p>
      </xdr:txBody>
    </xdr:sp>
    <xdr:clientData/>
  </xdr:twoCellAnchor>
  <xdr:twoCellAnchor>
    <xdr:from>
      <xdr:col>1</xdr:col>
      <xdr:colOff>57150</xdr:colOff>
      <xdr:row>26</xdr:row>
      <xdr:rowOff>0</xdr:rowOff>
    </xdr:from>
    <xdr:to>
      <xdr:col>5</xdr:col>
      <xdr:colOff>190500</xdr:colOff>
      <xdr:row>27</xdr:row>
      <xdr:rowOff>87975</xdr:rowOff>
    </xdr:to>
    <xdr:sp macro="[0]!convertir" textlink="">
      <xdr:nvSpPr>
        <xdr:cNvPr id="52" name="Rectángulo redondeado 32">
          <a:extLst>
            <a:ext uri="{FF2B5EF4-FFF2-40B4-BE49-F238E27FC236}">
              <a16:creationId xmlns="" xmlns:a16="http://schemas.microsoft.com/office/drawing/2014/main" id="{00000000-0008-0000-0000-000034000000}"/>
            </a:ext>
          </a:extLst>
        </xdr:cNvPr>
        <xdr:cNvSpPr/>
      </xdr:nvSpPr>
      <xdr:spPr>
        <a:xfrm>
          <a:off x="361950" y="5200650"/>
          <a:ext cx="1352550" cy="288000"/>
        </a:xfrm>
        <a:prstGeom prst="roundRect">
          <a:avLst/>
        </a:prstGeom>
        <a:solidFill>
          <a:schemeClr val="accent6">
            <a:lumMod val="20000"/>
            <a:lumOff val="8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Guardar</a:t>
          </a:r>
          <a:r>
            <a:rPr lang="es-PE" sz="900" baseline="0">
              <a:solidFill>
                <a:schemeClr val="tx1"/>
              </a:solidFill>
              <a:latin typeface="Arial Narrow" panose="020B0606020202030204" pitchFamily="34" charset="0"/>
            </a:rPr>
            <a:t> en PDF</a:t>
          </a:r>
          <a:endParaRPr lang="es-PE" sz="900">
            <a:solidFill>
              <a:schemeClr val="tx1"/>
            </a:solidFill>
            <a:latin typeface="Arial Narrow" panose="020B0606020202030204" pitchFamily="34" charset="0"/>
          </a:endParaRPr>
        </a:p>
      </xdr:txBody>
    </xdr:sp>
    <xdr:clientData/>
  </xdr:twoCellAnchor>
  <xdr:twoCellAnchor>
    <xdr:from>
      <xdr:col>1</xdr:col>
      <xdr:colOff>57150</xdr:colOff>
      <xdr:row>24</xdr:row>
      <xdr:rowOff>76200</xdr:rowOff>
    </xdr:from>
    <xdr:to>
      <xdr:col>5</xdr:col>
      <xdr:colOff>190500</xdr:colOff>
      <xdr:row>25</xdr:row>
      <xdr:rowOff>164175</xdr:rowOff>
    </xdr:to>
    <xdr:sp macro="" textlink="">
      <xdr:nvSpPr>
        <xdr:cNvPr id="56" name="Rectángulo redondeado 32">
          <a:hlinkClick xmlns:r="http://schemas.openxmlformats.org/officeDocument/2006/relationships" r:id="rId21"/>
          <a:extLst>
            <a:ext uri="{FF2B5EF4-FFF2-40B4-BE49-F238E27FC236}">
              <a16:creationId xmlns="" xmlns:a16="http://schemas.microsoft.com/office/drawing/2014/main" id="{00000000-0008-0000-0000-000038000000}"/>
            </a:ext>
          </a:extLst>
        </xdr:cNvPr>
        <xdr:cNvSpPr/>
      </xdr:nvSpPr>
      <xdr:spPr>
        <a:xfrm>
          <a:off x="361950" y="4876800"/>
          <a:ext cx="1352550" cy="288000"/>
        </a:xfrm>
        <a:prstGeom prst="roundRect">
          <a:avLst/>
        </a:prstGeom>
        <a:solidFill>
          <a:schemeClr val="accent6">
            <a:lumMod val="20000"/>
            <a:lumOff val="8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Perfiles Profesionales</a:t>
          </a:r>
        </a:p>
      </xdr:txBody>
    </xdr:sp>
    <xdr:clientData/>
  </xdr:twoCellAnchor>
  <xdr:twoCellAnchor editAs="oneCell">
    <xdr:from>
      <xdr:col>0</xdr:col>
      <xdr:colOff>200025</xdr:colOff>
      <xdr:row>2</xdr:row>
      <xdr:rowOff>86117</xdr:rowOff>
    </xdr:from>
    <xdr:to>
      <xdr:col>6</xdr:col>
      <xdr:colOff>86591</xdr:colOff>
      <xdr:row>4</xdr:row>
      <xdr:rowOff>33946</xdr:rowOff>
    </xdr:to>
    <xdr:pic>
      <xdr:nvPicPr>
        <xdr:cNvPr id="54" name="53 Imagen" descr="Inicio Catálogo de Productos Agrarios">
          <a:extLst>
            <a:ext uri="{FF2B5EF4-FFF2-40B4-BE49-F238E27FC236}">
              <a16:creationId xmlns="" xmlns:a16="http://schemas.microsoft.com/office/drawing/2014/main" id="{00000000-0008-0000-0000-000036000000}"/>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200025" y="484435"/>
          <a:ext cx="1704975" cy="3461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59530</xdr:colOff>
      <xdr:row>8</xdr:row>
      <xdr:rowOff>178593</xdr:rowOff>
    </xdr:to>
    <xdr:grpSp>
      <xdr:nvGrpSpPr>
        <xdr:cNvPr id="29" name="Grupo 21">
          <a:extLst>
            <a:ext uri="{FF2B5EF4-FFF2-40B4-BE49-F238E27FC236}">
              <a16:creationId xmlns="" xmlns:a16="http://schemas.microsoft.com/office/drawing/2014/main" id="{00000000-0008-0000-0100-00001D000000}"/>
            </a:ext>
          </a:extLst>
        </xdr:cNvPr>
        <xdr:cNvGrpSpPr/>
      </xdr:nvGrpSpPr>
      <xdr:grpSpPr>
        <a:xfrm>
          <a:off x="0" y="0"/>
          <a:ext cx="9036843" cy="1702593"/>
          <a:chOff x="9592236" y="1916205"/>
          <a:chExt cx="9551614" cy="1724448"/>
        </a:xfrm>
      </xdr:grpSpPr>
      <xdr:pic>
        <xdr:nvPicPr>
          <xdr:cNvPr id="30" name="Imagen 22">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31" name="Imagen 23">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32" name="Imagen 24">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33" name="Imagen 25">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21987"/>
            <a:ext cx="2368646" cy="1703296"/>
          </a:xfrm>
          <a:prstGeom prst="rect">
            <a:avLst/>
          </a:prstGeom>
        </xdr:spPr>
      </xdr:pic>
    </xdr:grpSp>
    <xdr:clientData/>
  </xdr:twoCellAnchor>
  <xdr:twoCellAnchor>
    <xdr:from>
      <xdr:col>0</xdr:col>
      <xdr:colOff>227135</xdr:colOff>
      <xdr:row>39</xdr:row>
      <xdr:rowOff>131885</xdr:rowOff>
    </xdr:from>
    <xdr:to>
      <xdr:col>27</xdr:col>
      <xdr:colOff>152400</xdr:colOff>
      <xdr:row>45</xdr:row>
      <xdr:rowOff>0</xdr:rowOff>
    </xdr:to>
    <xdr:sp macro="" textlink="">
      <xdr:nvSpPr>
        <xdr:cNvPr id="2" name="Rectángulo 1">
          <a:extLst>
            <a:ext uri="{FF2B5EF4-FFF2-40B4-BE49-F238E27FC236}">
              <a16:creationId xmlns="" xmlns:a16="http://schemas.microsoft.com/office/drawing/2014/main" id="{00000000-0008-0000-0100-000002000000}"/>
            </a:ext>
          </a:extLst>
        </xdr:cNvPr>
        <xdr:cNvSpPr/>
      </xdr:nvSpPr>
      <xdr:spPr>
        <a:xfrm>
          <a:off x="227135" y="6904160"/>
          <a:ext cx="8412040" cy="1001590"/>
        </a:xfrm>
        <a:prstGeom prst="rect">
          <a:avLst/>
        </a:prstGeom>
        <a:noFill/>
        <a:ln w="9525">
          <a:solidFill>
            <a:srgbClr val="B7A897"/>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0</xdr:col>
      <xdr:colOff>311395</xdr:colOff>
      <xdr:row>3</xdr:row>
      <xdr:rowOff>102577</xdr:rowOff>
    </xdr:from>
    <xdr:to>
      <xdr:col>3</xdr:col>
      <xdr:colOff>12457</xdr:colOff>
      <xdr:row>8</xdr:row>
      <xdr:rowOff>29308</xdr:rowOff>
    </xdr:to>
    <xdr:sp macro="" textlink="">
      <xdr:nvSpPr>
        <xdr:cNvPr id="3" name="Rectángulo 2">
          <a:hlinkClick xmlns:r="http://schemas.openxmlformats.org/officeDocument/2006/relationships" r:id="rId5"/>
          <a:extLst>
            <a:ext uri="{FF2B5EF4-FFF2-40B4-BE49-F238E27FC236}">
              <a16:creationId xmlns="" xmlns:a16="http://schemas.microsoft.com/office/drawing/2014/main" id="{00000000-0008-0000-0100-000003000000}"/>
            </a:ext>
          </a:extLst>
        </xdr:cNvPr>
        <xdr:cNvSpPr/>
      </xdr:nvSpPr>
      <xdr:spPr>
        <a:xfrm>
          <a:off x="311395" y="674077"/>
          <a:ext cx="644037" cy="87923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3</xdr:col>
      <xdr:colOff>37594</xdr:colOff>
      <xdr:row>5</xdr:row>
      <xdr:rowOff>189480</xdr:rowOff>
    </xdr:from>
    <xdr:to>
      <xdr:col>6</xdr:col>
      <xdr:colOff>231913</xdr:colOff>
      <xdr:row>8</xdr:row>
      <xdr:rowOff>22873</xdr:rowOff>
    </xdr:to>
    <xdr:sp macro="" textlink="">
      <xdr:nvSpPr>
        <xdr:cNvPr id="4" name="Rectángulo 3">
          <a:hlinkClick xmlns:r="http://schemas.openxmlformats.org/officeDocument/2006/relationships" r:id="rId7"/>
          <a:extLst>
            <a:ext uri="{FF2B5EF4-FFF2-40B4-BE49-F238E27FC236}">
              <a16:creationId xmlns="" xmlns:a16="http://schemas.microsoft.com/office/drawing/2014/main" id="{00000000-0008-0000-0100-000004000000}"/>
            </a:ext>
          </a:extLst>
        </xdr:cNvPr>
        <xdr:cNvSpPr/>
      </xdr:nvSpPr>
      <xdr:spPr>
        <a:xfrm>
          <a:off x="1028194" y="1103880"/>
          <a:ext cx="1184919"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267940</xdr:colOff>
      <xdr:row>5</xdr:row>
      <xdr:rowOff>187092</xdr:rowOff>
    </xdr:from>
    <xdr:to>
      <xdr:col>9</xdr:col>
      <xdr:colOff>314734</xdr:colOff>
      <xdr:row>8</xdr:row>
      <xdr:rowOff>21441</xdr:rowOff>
    </xdr:to>
    <xdr:sp macro="" textlink="">
      <xdr:nvSpPr>
        <xdr:cNvPr id="5" name="Rectángulo 4">
          <a:hlinkClick xmlns:r="http://schemas.openxmlformats.org/officeDocument/2006/relationships" r:id="rId8"/>
          <a:extLst>
            <a:ext uri="{FF2B5EF4-FFF2-40B4-BE49-F238E27FC236}">
              <a16:creationId xmlns="" xmlns:a16="http://schemas.microsoft.com/office/drawing/2014/main" id="{00000000-0008-0000-0100-000005000000}"/>
            </a:ext>
          </a:extLst>
        </xdr:cNvPr>
        <xdr:cNvSpPr/>
      </xdr:nvSpPr>
      <xdr:spPr>
        <a:xfrm>
          <a:off x="2249140" y="1107842"/>
          <a:ext cx="1037394" cy="38679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266697</xdr:colOff>
      <xdr:row>3</xdr:row>
      <xdr:rowOff>125801</xdr:rowOff>
    </xdr:from>
    <xdr:to>
      <xdr:col>9</xdr:col>
      <xdr:colOff>314734</xdr:colOff>
      <xdr:row>5</xdr:row>
      <xdr:rowOff>149694</xdr:rowOff>
    </xdr:to>
    <xdr:sp macro="" textlink="">
      <xdr:nvSpPr>
        <xdr:cNvPr id="6" name="Rectángulo 5">
          <a:hlinkClick xmlns:r="http://schemas.openxmlformats.org/officeDocument/2006/relationships" r:id="rId9"/>
          <a:extLst>
            <a:ext uri="{FF2B5EF4-FFF2-40B4-BE49-F238E27FC236}">
              <a16:creationId xmlns="" xmlns:a16="http://schemas.microsoft.com/office/drawing/2014/main" id="{00000000-0008-0000-0100-000006000000}"/>
            </a:ext>
          </a:extLst>
        </xdr:cNvPr>
        <xdr:cNvSpPr/>
      </xdr:nvSpPr>
      <xdr:spPr>
        <a:xfrm>
          <a:off x="2247897" y="678251"/>
          <a:ext cx="1038637"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13</xdr:col>
      <xdr:colOff>189395</xdr:colOff>
      <xdr:row>3</xdr:row>
      <xdr:rowOff>128943</xdr:rowOff>
    </xdr:from>
    <xdr:to>
      <xdr:col>16</xdr:col>
      <xdr:colOff>131418</xdr:colOff>
      <xdr:row>5</xdr:row>
      <xdr:rowOff>149087</xdr:rowOff>
    </xdr:to>
    <xdr:sp macro="" textlink="">
      <xdr:nvSpPr>
        <xdr:cNvPr id="7" name="Rectángulo 6">
          <a:hlinkClick xmlns:r="http://schemas.openxmlformats.org/officeDocument/2006/relationships" r:id="rId10"/>
          <a:extLst>
            <a:ext uri="{FF2B5EF4-FFF2-40B4-BE49-F238E27FC236}">
              <a16:creationId xmlns="" xmlns:a16="http://schemas.microsoft.com/office/drawing/2014/main" id="{00000000-0008-0000-0100-000007000000}"/>
            </a:ext>
          </a:extLst>
        </xdr:cNvPr>
        <xdr:cNvSpPr/>
      </xdr:nvSpPr>
      <xdr:spPr>
        <a:xfrm>
          <a:off x="4481995" y="681393"/>
          <a:ext cx="932623" cy="38844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33606</xdr:colOff>
      <xdr:row>3</xdr:row>
      <xdr:rowOff>119589</xdr:rowOff>
    </xdr:from>
    <xdr:to>
      <xdr:col>13</xdr:col>
      <xdr:colOff>149082</xdr:colOff>
      <xdr:row>5</xdr:row>
      <xdr:rowOff>145681</xdr:rowOff>
    </xdr:to>
    <xdr:sp macro="" textlink="">
      <xdr:nvSpPr>
        <xdr:cNvPr id="8" name="Rectángulo 7">
          <a:hlinkClick xmlns:r="http://schemas.openxmlformats.org/officeDocument/2006/relationships" r:id="rId11"/>
          <a:extLst>
            <a:ext uri="{FF2B5EF4-FFF2-40B4-BE49-F238E27FC236}">
              <a16:creationId xmlns="" xmlns:a16="http://schemas.microsoft.com/office/drawing/2014/main" id="{00000000-0008-0000-0100-000008000000}"/>
            </a:ext>
          </a:extLst>
        </xdr:cNvPr>
        <xdr:cNvSpPr/>
      </xdr:nvSpPr>
      <xdr:spPr>
        <a:xfrm>
          <a:off x="3335606" y="672039"/>
          <a:ext cx="1106076"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3</xdr:col>
      <xdr:colOff>41130</xdr:colOff>
      <xdr:row>3</xdr:row>
      <xdr:rowOff>119076</xdr:rowOff>
    </xdr:from>
    <xdr:to>
      <xdr:col>6</xdr:col>
      <xdr:colOff>231914</xdr:colOff>
      <xdr:row>5</xdr:row>
      <xdr:rowOff>142970</xdr:rowOff>
    </xdr:to>
    <xdr:sp macro="" textlink="">
      <xdr:nvSpPr>
        <xdr:cNvPr id="9" name="Rectángulo 8">
          <a:hlinkClick xmlns:r="http://schemas.openxmlformats.org/officeDocument/2006/relationships" r:id="rId12"/>
          <a:extLst>
            <a:ext uri="{FF2B5EF4-FFF2-40B4-BE49-F238E27FC236}">
              <a16:creationId xmlns="" xmlns:a16="http://schemas.microsoft.com/office/drawing/2014/main" id="{00000000-0008-0000-0100-000009000000}"/>
            </a:ext>
          </a:extLst>
        </xdr:cNvPr>
        <xdr:cNvSpPr/>
      </xdr:nvSpPr>
      <xdr:spPr>
        <a:xfrm>
          <a:off x="1031730" y="671526"/>
          <a:ext cx="1181384" cy="39219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49119</xdr:colOff>
      <xdr:row>6</xdr:row>
      <xdr:rowOff>1657</xdr:rowOff>
    </xdr:from>
    <xdr:to>
      <xdr:col>13</xdr:col>
      <xdr:colOff>149082</xdr:colOff>
      <xdr:row>8</xdr:row>
      <xdr:rowOff>27749</xdr:rowOff>
    </xdr:to>
    <xdr:sp macro="" textlink="">
      <xdr:nvSpPr>
        <xdr:cNvPr id="10" name="Rectángulo 9">
          <a:hlinkClick xmlns:r="http://schemas.openxmlformats.org/officeDocument/2006/relationships" r:id="rId13"/>
          <a:extLst>
            <a:ext uri="{FF2B5EF4-FFF2-40B4-BE49-F238E27FC236}">
              <a16:creationId xmlns="" xmlns:a16="http://schemas.microsoft.com/office/drawing/2014/main" id="{00000000-0008-0000-0100-00000A000000}"/>
            </a:ext>
          </a:extLst>
        </xdr:cNvPr>
        <xdr:cNvSpPr/>
      </xdr:nvSpPr>
      <xdr:spPr>
        <a:xfrm>
          <a:off x="3351119" y="1106557"/>
          <a:ext cx="1090563"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19</xdr:col>
      <xdr:colOff>203815</xdr:colOff>
      <xdr:row>6</xdr:row>
      <xdr:rowOff>17141</xdr:rowOff>
    </xdr:from>
    <xdr:to>
      <xdr:col>22</xdr:col>
      <xdr:colOff>211240</xdr:colOff>
      <xdr:row>8</xdr:row>
      <xdr:rowOff>32141</xdr:rowOff>
    </xdr:to>
    <xdr:sp macro="" textlink="">
      <xdr:nvSpPr>
        <xdr:cNvPr id="11" name="Rectángulo 10">
          <a:hlinkClick xmlns:r="http://schemas.openxmlformats.org/officeDocument/2006/relationships" r:id="rId14"/>
          <a:extLst>
            <a:ext uri="{FF2B5EF4-FFF2-40B4-BE49-F238E27FC236}">
              <a16:creationId xmlns="" xmlns:a16="http://schemas.microsoft.com/office/drawing/2014/main" id="{00000000-0008-0000-0100-00000B000000}"/>
            </a:ext>
          </a:extLst>
        </xdr:cNvPr>
        <xdr:cNvSpPr/>
      </xdr:nvSpPr>
      <xdr:spPr>
        <a:xfrm>
          <a:off x="6175990" y="1160141"/>
          <a:ext cx="950400" cy="3960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22</xdr:col>
      <xdr:colOff>237874</xdr:colOff>
      <xdr:row>3</xdr:row>
      <xdr:rowOff>152431</xdr:rowOff>
    </xdr:from>
    <xdr:to>
      <xdr:col>25</xdr:col>
      <xdr:colOff>246157</xdr:colOff>
      <xdr:row>5</xdr:row>
      <xdr:rowOff>185431</xdr:rowOff>
    </xdr:to>
    <xdr:sp macro="" textlink="">
      <xdr:nvSpPr>
        <xdr:cNvPr id="12" name="Rectángulo 11">
          <a:hlinkClick xmlns:r="http://schemas.openxmlformats.org/officeDocument/2006/relationships" r:id="rId15"/>
          <a:extLst>
            <a:ext uri="{FF2B5EF4-FFF2-40B4-BE49-F238E27FC236}">
              <a16:creationId xmlns="" xmlns:a16="http://schemas.microsoft.com/office/drawing/2014/main" id="{00000000-0008-0000-0100-00000C000000}"/>
            </a:ext>
          </a:extLst>
        </xdr:cNvPr>
        <xdr:cNvSpPr/>
      </xdr:nvSpPr>
      <xdr:spPr>
        <a:xfrm>
          <a:off x="7153024" y="723931"/>
          <a:ext cx="951258" cy="4140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267746</xdr:colOff>
      <xdr:row>38</xdr:row>
      <xdr:rowOff>200024</xdr:rowOff>
    </xdr:from>
    <xdr:to>
      <xdr:col>9</xdr:col>
      <xdr:colOff>19050</xdr:colOff>
      <xdr:row>40</xdr:row>
      <xdr:rowOff>82373</xdr:rowOff>
    </xdr:to>
    <xdr:sp macro="" textlink="">
      <xdr:nvSpPr>
        <xdr:cNvPr id="13" name="Rectángulo redondeado 12">
          <a:extLst>
            <a:ext uri="{FF2B5EF4-FFF2-40B4-BE49-F238E27FC236}">
              <a16:creationId xmlns="" xmlns:a16="http://schemas.microsoft.com/office/drawing/2014/main" id="{00000000-0008-0000-0100-00000D000000}"/>
            </a:ext>
          </a:extLst>
        </xdr:cNvPr>
        <xdr:cNvSpPr/>
      </xdr:nvSpPr>
      <xdr:spPr>
        <a:xfrm>
          <a:off x="267746" y="7524749"/>
          <a:ext cx="2580229" cy="358599"/>
        </a:xfrm>
        <a:prstGeom prst="roundRect">
          <a:avLst/>
        </a:prstGeom>
        <a:solidFill>
          <a:srgbClr val="CBBA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PE" sz="1100" b="1"/>
            <a:t>1.03 Nombre</a:t>
          </a:r>
          <a:r>
            <a:rPr lang="es-PE" sz="1100" b="1" baseline="0"/>
            <a:t> del proyecto de inversión</a:t>
          </a:r>
          <a:endParaRPr lang="es-PE" sz="1100" b="1"/>
        </a:p>
      </xdr:txBody>
    </xdr:sp>
    <xdr:clientData/>
  </xdr:twoCellAnchor>
  <xdr:twoCellAnchor>
    <xdr:from>
      <xdr:col>0</xdr:col>
      <xdr:colOff>228600</xdr:colOff>
      <xdr:row>26</xdr:row>
      <xdr:rowOff>19050</xdr:rowOff>
    </xdr:from>
    <xdr:to>
      <xdr:col>21</xdr:col>
      <xdr:colOff>265234</xdr:colOff>
      <xdr:row>38</xdr:row>
      <xdr:rowOff>0</xdr:rowOff>
    </xdr:to>
    <xdr:sp macro="" textlink="">
      <xdr:nvSpPr>
        <xdr:cNvPr id="14" name="Rectángulo 13">
          <a:extLst>
            <a:ext uri="{FF2B5EF4-FFF2-40B4-BE49-F238E27FC236}">
              <a16:creationId xmlns="" xmlns:a16="http://schemas.microsoft.com/office/drawing/2014/main" id="{00000000-0008-0000-0100-00000E000000}"/>
            </a:ext>
          </a:extLst>
        </xdr:cNvPr>
        <xdr:cNvSpPr/>
      </xdr:nvSpPr>
      <xdr:spPr>
        <a:xfrm>
          <a:off x="228600" y="3251200"/>
          <a:ext cx="6970834" cy="1428750"/>
        </a:xfrm>
        <a:prstGeom prst="rect">
          <a:avLst/>
        </a:prstGeom>
        <a:noFill/>
        <a:ln w="9525">
          <a:solidFill>
            <a:srgbClr val="B7A897"/>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0</xdr:col>
      <xdr:colOff>311602</xdr:colOff>
      <xdr:row>25</xdr:row>
      <xdr:rowOff>73478</xdr:rowOff>
    </xdr:from>
    <xdr:to>
      <xdr:col>15</xdr:col>
      <xdr:colOff>19050</xdr:colOff>
      <xdr:row>27</xdr:row>
      <xdr:rowOff>30354</xdr:rowOff>
    </xdr:to>
    <xdr:sp macro="" textlink="">
      <xdr:nvSpPr>
        <xdr:cNvPr id="15" name="Rectángulo redondeado 14">
          <a:extLst>
            <a:ext uri="{FF2B5EF4-FFF2-40B4-BE49-F238E27FC236}">
              <a16:creationId xmlns="" xmlns:a16="http://schemas.microsoft.com/office/drawing/2014/main" id="{00000000-0008-0000-0100-00000F000000}"/>
            </a:ext>
          </a:extLst>
        </xdr:cNvPr>
        <xdr:cNvSpPr/>
      </xdr:nvSpPr>
      <xdr:spPr>
        <a:xfrm>
          <a:off x="311602" y="3654878"/>
          <a:ext cx="4422323" cy="280726"/>
        </a:xfrm>
        <a:prstGeom prst="roundRect">
          <a:avLst/>
        </a:prstGeom>
        <a:solidFill>
          <a:srgbClr val="CBBA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b="1"/>
            <a:t>1.02 Responsabilidad</a:t>
          </a:r>
          <a:r>
            <a:rPr lang="es-PE" sz="1100" b="1" baseline="0"/>
            <a:t> funcional y tipología del proyecto de inversión</a:t>
          </a:r>
          <a:endParaRPr lang="es-PE" sz="1100" b="1"/>
        </a:p>
      </xdr:txBody>
    </xdr:sp>
    <xdr:clientData/>
  </xdr:twoCellAnchor>
  <xdr:twoCellAnchor>
    <xdr:from>
      <xdr:col>1</xdr:col>
      <xdr:colOff>19050</xdr:colOff>
      <xdr:row>0</xdr:row>
      <xdr:rowOff>123825</xdr:rowOff>
    </xdr:from>
    <xdr:to>
      <xdr:col>10</xdr:col>
      <xdr:colOff>47624</xdr:colOff>
      <xdr:row>2</xdr:row>
      <xdr:rowOff>133350</xdr:rowOff>
    </xdr:to>
    <xdr:sp macro="" textlink="">
      <xdr:nvSpPr>
        <xdr:cNvPr id="16" name="CuadroTexto 15">
          <a:extLst>
            <a:ext uri="{FF2B5EF4-FFF2-40B4-BE49-F238E27FC236}">
              <a16:creationId xmlns="" xmlns:a16="http://schemas.microsoft.com/office/drawing/2014/main" id="{00000000-0008-0000-0100-000010000000}"/>
            </a:ext>
          </a:extLst>
        </xdr:cNvPr>
        <xdr:cNvSpPr txBox="1"/>
      </xdr:nvSpPr>
      <xdr:spPr>
        <a:xfrm>
          <a:off x="333375" y="123825"/>
          <a:ext cx="2857499" cy="390525"/>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B7A897"/>
              </a:solidFill>
            </a:rPr>
            <a:t>DATO</a:t>
          </a:r>
          <a:r>
            <a:rPr lang="es-PE" sz="1400" b="1" baseline="0">
              <a:solidFill>
                <a:srgbClr val="B7A897"/>
              </a:solidFill>
            </a:rPr>
            <a:t>S GENERALES DEL PROYECTO </a:t>
          </a:r>
          <a:endParaRPr lang="es-PE" sz="1400" b="1">
            <a:solidFill>
              <a:srgbClr val="B7A897"/>
            </a:solidFill>
          </a:endParaRPr>
        </a:p>
      </xdr:txBody>
    </xdr:sp>
    <xdr:clientData/>
  </xdr:twoCellAnchor>
  <xdr:twoCellAnchor>
    <xdr:from>
      <xdr:col>23</xdr:col>
      <xdr:colOff>123826</xdr:colOff>
      <xdr:row>0</xdr:row>
      <xdr:rowOff>123826</xdr:rowOff>
    </xdr:from>
    <xdr:to>
      <xdr:col>27</xdr:col>
      <xdr:colOff>276226</xdr:colOff>
      <xdr:row>2</xdr:row>
      <xdr:rowOff>133350</xdr:rowOff>
    </xdr:to>
    <xdr:sp macro="[0]!Mostrar_Ayuda_Datos_Generales" textlink="">
      <xdr:nvSpPr>
        <xdr:cNvPr id="17" name="CuadroTexto 16">
          <a:extLst>
            <a:ext uri="{FF2B5EF4-FFF2-40B4-BE49-F238E27FC236}">
              <a16:creationId xmlns="" xmlns:a16="http://schemas.microsoft.com/office/drawing/2014/main" id="{00000000-0008-0000-0100-000011000000}"/>
            </a:ext>
          </a:extLst>
        </xdr:cNvPr>
        <xdr:cNvSpPr txBox="1"/>
      </xdr:nvSpPr>
      <xdr:spPr>
        <a:xfrm>
          <a:off x="7353301" y="123826"/>
          <a:ext cx="1409700" cy="39052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B7A897"/>
              </a:solidFill>
            </a:rPr>
            <a:t>INSTRUCTIVO</a:t>
          </a:r>
        </a:p>
      </xdr:txBody>
    </xdr:sp>
    <xdr:clientData/>
  </xdr:twoCellAnchor>
  <xdr:twoCellAnchor>
    <xdr:from>
      <xdr:col>0</xdr:col>
      <xdr:colOff>204107</xdr:colOff>
      <xdr:row>47</xdr:row>
      <xdr:rowOff>108857</xdr:rowOff>
    </xdr:from>
    <xdr:to>
      <xdr:col>27</xdr:col>
      <xdr:colOff>166687</xdr:colOff>
      <xdr:row>60</xdr:row>
      <xdr:rowOff>23812</xdr:rowOff>
    </xdr:to>
    <xdr:sp macro="" textlink="">
      <xdr:nvSpPr>
        <xdr:cNvPr id="18" name="Rectángulo 17">
          <a:extLst>
            <a:ext uri="{FF2B5EF4-FFF2-40B4-BE49-F238E27FC236}">
              <a16:creationId xmlns="" xmlns:a16="http://schemas.microsoft.com/office/drawing/2014/main" id="{00000000-0008-0000-0100-000012000000}"/>
            </a:ext>
          </a:extLst>
        </xdr:cNvPr>
        <xdr:cNvSpPr/>
      </xdr:nvSpPr>
      <xdr:spPr>
        <a:xfrm>
          <a:off x="204107" y="5106307"/>
          <a:ext cx="8877980" cy="3153455"/>
        </a:xfrm>
        <a:prstGeom prst="rect">
          <a:avLst/>
        </a:prstGeom>
        <a:noFill/>
        <a:ln w="9525">
          <a:solidFill>
            <a:srgbClr val="B7A897"/>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0</xdr:col>
      <xdr:colOff>296156</xdr:colOff>
      <xdr:row>46</xdr:row>
      <xdr:rowOff>134472</xdr:rowOff>
    </xdr:from>
    <xdr:to>
      <xdr:col>14</xdr:col>
      <xdr:colOff>19050</xdr:colOff>
      <xdr:row>48</xdr:row>
      <xdr:rowOff>121763</xdr:rowOff>
    </xdr:to>
    <xdr:sp macro="" textlink="">
      <xdr:nvSpPr>
        <xdr:cNvPr id="19" name="Rectángulo redondeado 18">
          <a:extLst>
            <a:ext uri="{FF2B5EF4-FFF2-40B4-BE49-F238E27FC236}">
              <a16:creationId xmlns="" xmlns:a16="http://schemas.microsoft.com/office/drawing/2014/main" id="{00000000-0008-0000-0100-000013000000}"/>
            </a:ext>
          </a:extLst>
        </xdr:cNvPr>
        <xdr:cNvSpPr/>
      </xdr:nvSpPr>
      <xdr:spPr>
        <a:xfrm>
          <a:off x="296156" y="5849472"/>
          <a:ext cx="4123444" cy="311141"/>
        </a:xfrm>
        <a:prstGeom prst="roundRect">
          <a:avLst/>
        </a:prstGeom>
        <a:solidFill>
          <a:srgbClr val="CBBA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b="1"/>
            <a:t>1.04 Alineamiento</a:t>
          </a:r>
          <a:r>
            <a:rPr lang="es-PE" sz="1100" b="1" baseline="0"/>
            <a:t> y contribución al cierre de una brecha prioritaria</a:t>
          </a:r>
          <a:endParaRPr lang="es-PE" sz="1100" b="1"/>
        </a:p>
      </xdr:txBody>
    </xdr:sp>
    <xdr:clientData/>
  </xdr:twoCellAnchor>
  <xdr:twoCellAnchor>
    <xdr:from>
      <xdr:col>0</xdr:col>
      <xdr:colOff>217715</xdr:colOff>
      <xdr:row>12</xdr:row>
      <xdr:rowOff>54428</xdr:rowOff>
    </xdr:from>
    <xdr:to>
      <xdr:col>27</xdr:col>
      <xdr:colOff>180295</xdr:colOff>
      <xdr:row>24</xdr:row>
      <xdr:rowOff>149678</xdr:rowOff>
    </xdr:to>
    <xdr:sp macro="" textlink="">
      <xdr:nvSpPr>
        <xdr:cNvPr id="20" name="Rectángulo 19">
          <a:extLst>
            <a:ext uri="{FF2B5EF4-FFF2-40B4-BE49-F238E27FC236}">
              <a16:creationId xmlns="" xmlns:a16="http://schemas.microsoft.com/office/drawing/2014/main" id="{00000000-0008-0000-0100-000014000000}"/>
            </a:ext>
          </a:extLst>
        </xdr:cNvPr>
        <xdr:cNvSpPr/>
      </xdr:nvSpPr>
      <xdr:spPr>
        <a:xfrm>
          <a:off x="217715" y="8620578"/>
          <a:ext cx="8877980" cy="4870450"/>
        </a:xfrm>
        <a:prstGeom prst="rect">
          <a:avLst/>
        </a:prstGeom>
        <a:noFill/>
        <a:ln w="9525">
          <a:solidFill>
            <a:srgbClr val="B7A897"/>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0</xdr:col>
      <xdr:colOff>313764</xdr:colOff>
      <xdr:row>11</xdr:row>
      <xdr:rowOff>44823</xdr:rowOff>
    </xdr:from>
    <xdr:to>
      <xdr:col>6</xdr:col>
      <xdr:colOff>66675</xdr:colOff>
      <xdr:row>13</xdr:row>
      <xdr:rowOff>32114</xdr:rowOff>
    </xdr:to>
    <xdr:sp macro="" textlink="">
      <xdr:nvSpPr>
        <xdr:cNvPr id="21" name="Rectángulo redondeado 20">
          <a:extLst>
            <a:ext uri="{FF2B5EF4-FFF2-40B4-BE49-F238E27FC236}">
              <a16:creationId xmlns="" xmlns:a16="http://schemas.microsoft.com/office/drawing/2014/main" id="{00000000-0008-0000-0100-000015000000}"/>
            </a:ext>
          </a:extLst>
        </xdr:cNvPr>
        <xdr:cNvSpPr/>
      </xdr:nvSpPr>
      <xdr:spPr>
        <a:xfrm>
          <a:off x="313764" y="9426948"/>
          <a:ext cx="1638861" cy="311141"/>
        </a:xfrm>
        <a:prstGeom prst="roundRect">
          <a:avLst/>
        </a:prstGeom>
        <a:solidFill>
          <a:srgbClr val="CBBA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PE" sz="1100" b="1"/>
            <a:t>1.01 Institucionalidad</a:t>
          </a:r>
        </a:p>
      </xdr:txBody>
    </xdr:sp>
    <xdr:clientData/>
  </xdr:twoCellAnchor>
  <xdr:twoCellAnchor>
    <xdr:from>
      <xdr:col>13</xdr:col>
      <xdr:colOff>198777</xdr:colOff>
      <xdr:row>6</xdr:row>
      <xdr:rowOff>8284</xdr:rowOff>
    </xdr:from>
    <xdr:to>
      <xdr:col>16</xdr:col>
      <xdr:colOff>141402</xdr:colOff>
      <xdr:row>8</xdr:row>
      <xdr:rowOff>34376</xdr:rowOff>
    </xdr:to>
    <xdr:sp macro="" textlink="">
      <xdr:nvSpPr>
        <xdr:cNvPr id="22" name="Rectángulo 21">
          <a:hlinkClick xmlns:r="http://schemas.openxmlformats.org/officeDocument/2006/relationships" r:id="rId16"/>
          <a:extLst>
            <a:ext uri="{FF2B5EF4-FFF2-40B4-BE49-F238E27FC236}">
              <a16:creationId xmlns="" xmlns:a16="http://schemas.microsoft.com/office/drawing/2014/main" id="{00000000-0008-0000-0100-000016000000}"/>
            </a:ext>
          </a:extLst>
        </xdr:cNvPr>
        <xdr:cNvSpPr/>
      </xdr:nvSpPr>
      <xdr:spPr>
        <a:xfrm>
          <a:off x="4285002" y="1151284"/>
          <a:ext cx="885600" cy="4070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16</xdr:col>
      <xdr:colOff>165652</xdr:colOff>
      <xdr:row>3</xdr:row>
      <xdr:rowOff>140804</xdr:rowOff>
    </xdr:from>
    <xdr:to>
      <xdr:col>19</xdr:col>
      <xdr:colOff>161925</xdr:colOff>
      <xdr:row>5</xdr:row>
      <xdr:rowOff>149754</xdr:rowOff>
    </xdr:to>
    <xdr:sp macro="" textlink="">
      <xdr:nvSpPr>
        <xdr:cNvPr id="23" name="Rectángulo 22">
          <a:hlinkClick xmlns:r="http://schemas.openxmlformats.org/officeDocument/2006/relationships" r:id="rId17"/>
          <a:extLst>
            <a:ext uri="{FF2B5EF4-FFF2-40B4-BE49-F238E27FC236}">
              <a16:creationId xmlns="" xmlns:a16="http://schemas.microsoft.com/office/drawing/2014/main" id="{00000000-0008-0000-0100-000017000000}"/>
            </a:ext>
          </a:extLst>
        </xdr:cNvPr>
        <xdr:cNvSpPr/>
      </xdr:nvSpPr>
      <xdr:spPr>
        <a:xfrm>
          <a:off x="5194852" y="712304"/>
          <a:ext cx="939248" cy="38995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19</xdr:col>
      <xdr:colOff>196712</xdr:colOff>
      <xdr:row>3</xdr:row>
      <xdr:rowOff>141633</xdr:rowOff>
    </xdr:from>
    <xdr:to>
      <xdr:col>22</xdr:col>
      <xdr:colOff>204995</xdr:colOff>
      <xdr:row>5</xdr:row>
      <xdr:rowOff>174763</xdr:rowOff>
    </xdr:to>
    <xdr:sp macro="" textlink="">
      <xdr:nvSpPr>
        <xdr:cNvPr id="24" name="Rectángulo 23">
          <a:hlinkClick xmlns:r="http://schemas.openxmlformats.org/officeDocument/2006/relationships" r:id="rId18"/>
          <a:extLst>
            <a:ext uri="{FF2B5EF4-FFF2-40B4-BE49-F238E27FC236}">
              <a16:creationId xmlns="" xmlns:a16="http://schemas.microsoft.com/office/drawing/2014/main" id="{00000000-0008-0000-0100-000018000000}"/>
            </a:ext>
          </a:extLst>
        </xdr:cNvPr>
        <xdr:cNvSpPr/>
      </xdr:nvSpPr>
      <xdr:spPr>
        <a:xfrm>
          <a:off x="6168887" y="713133"/>
          <a:ext cx="951258" cy="4141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16</xdr:col>
      <xdr:colOff>171449</xdr:colOff>
      <xdr:row>6</xdr:row>
      <xdr:rowOff>15737</xdr:rowOff>
    </xdr:from>
    <xdr:to>
      <xdr:col>19</xdr:col>
      <xdr:colOff>168074</xdr:colOff>
      <xdr:row>8</xdr:row>
      <xdr:rowOff>30200</xdr:rowOff>
    </xdr:to>
    <xdr:sp macro="" textlink="">
      <xdr:nvSpPr>
        <xdr:cNvPr id="25" name="Rectángulo 24">
          <a:hlinkClick xmlns:r="http://schemas.openxmlformats.org/officeDocument/2006/relationships" r:id="rId19"/>
          <a:extLst>
            <a:ext uri="{FF2B5EF4-FFF2-40B4-BE49-F238E27FC236}">
              <a16:creationId xmlns="" xmlns:a16="http://schemas.microsoft.com/office/drawing/2014/main" id="{00000000-0008-0000-0100-000019000000}"/>
            </a:ext>
          </a:extLst>
        </xdr:cNvPr>
        <xdr:cNvSpPr/>
      </xdr:nvSpPr>
      <xdr:spPr>
        <a:xfrm>
          <a:off x="5200649" y="1158737"/>
          <a:ext cx="939600" cy="3954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22</xdr:col>
      <xdr:colOff>244587</xdr:colOff>
      <xdr:row>6</xdr:row>
      <xdr:rowOff>14463</xdr:rowOff>
    </xdr:from>
    <xdr:to>
      <xdr:col>25</xdr:col>
      <xdr:colOff>252012</xdr:colOff>
      <xdr:row>8</xdr:row>
      <xdr:rowOff>29463</xdr:rowOff>
    </xdr:to>
    <xdr:sp macro="" textlink="">
      <xdr:nvSpPr>
        <xdr:cNvPr id="26" name="Rectángulo 25">
          <a:hlinkClick xmlns:r="http://schemas.openxmlformats.org/officeDocument/2006/relationships" r:id="rId20"/>
          <a:extLst>
            <a:ext uri="{FF2B5EF4-FFF2-40B4-BE49-F238E27FC236}">
              <a16:creationId xmlns="" xmlns:a16="http://schemas.microsoft.com/office/drawing/2014/main" id="{00000000-0008-0000-0100-00001A000000}"/>
            </a:ext>
          </a:extLst>
        </xdr:cNvPr>
        <xdr:cNvSpPr/>
      </xdr:nvSpPr>
      <xdr:spPr>
        <a:xfrm>
          <a:off x="7159737" y="1157463"/>
          <a:ext cx="950400" cy="3960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Conclusione</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25</xdr:col>
      <xdr:colOff>282023</xdr:colOff>
      <xdr:row>3</xdr:row>
      <xdr:rowOff>139562</xdr:rowOff>
    </xdr:from>
    <xdr:to>
      <xdr:col>27</xdr:col>
      <xdr:colOff>297409</xdr:colOff>
      <xdr:row>8</xdr:row>
      <xdr:rowOff>40171</xdr:rowOff>
    </xdr:to>
    <xdr:sp macro="" textlink="">
      <xdr:nvSpPr>
        <xdr:cNvPr id="27" name="Rectángulo 26">
          <a:hlinkClick xmlns:r="http://schemas.openxmlformats.org/officeDocument/2006/relationships" r:id="rId21"/>
          <a:extLst>
            <a:ext uri="{FF2B5EF4-FFF2-40B4-BE49-F238E27FC236}">
              <a16:creationId xmlns="" xmlns:a16="http://schemas.microsoft.com/office/drawing/2014/main" id="{00000000-0008-0000-0100-00001B000000}"/>
            </a:ext>
          </a:extLst>
        </xdr:cNvPr>
        <xdr:cNvSpPr/>
      </xdr:nvSpPr>
      <xdr:spPr>
        <a:xfrm>
          <a:off x="8140148" y="711062"/>
          <a:ext cx="644036" cy="85310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79375</xdr:colOff>
      <xdr:row>9</xdr:row>
      <xdr:rowOff>63500</xdr:rowOff>
    </xdr:to>
    <xdr:grpSp>
      <xdr:nvGrpSpPr>
        <xdr:cNvPr id="27" name="Grupo 21">
          <a:extLst>
            <a:ext uri="{FF2B5EF4-FFF2-40B4-BE49-F238E27FC236}">
              <a16:creationId xmlns="" xmlns:a16="http://schemas.microsoft.com/office/drawing/2014/main" id="{00000000-0008-0000-0200-00001B000000}"/>
            </a:ext>
          </a:extLst>
        </xdr:cNvPr>
        <xdr:cNvGrpSpPr/>
      </xdr:nvGrpSpPr>
      <xdr:grpSpPr>
        <a:xfrm>
          <a:off x="0" y="0"/>
          <a:ext cx="8854281" cy="1480344"/>
          <a:chOff x="9592236" y="1916205"/>
          <a:chExt cx="9551614" cy="1724448"/>
        </a:xfrm>
      </xdr:grpSpPr>
      <xdr:pic>
        <xdr:nvPicPr>
          <xdr:cNvPr id="28" name="Imagen 22">
            <a:extLst>
              <a:ext uri="{FF2B5EF4-FFF2-40B4-BE49-F238E27FC236}">
                <a16:creationId xmlns="" xmlns:a16="http://schemas.microsoft.com/office/drawing/2014/main" id="{00000000-0008-0000-0200-00001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29" name="Imagen 23">
            <a:extLst>
              <a:ext uri="{FF2B5EF4-FFF2-40B4-BE49-F238E27FC236}">
                <a16:creationId xmlns="" xmlns:a16="http://schemas.microsoft.com/office/drawing/2014/main" id="{00000000-0008-0000-0200-00001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31" name="Imagen 24">
            <a:extLst>
              <a:ext uri="{FF2B5EF4-FFF2-40B4-BE49-F238E27FC236}">
                <a16:creationId xmlns="" xmlns:a16="http://schemas.microsoft.com/office/drawing/2014/main" id="{00000000-0008-0000-0200-00001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51" name="Imagen 25">
            <a:extLst>
              <a:ext uri="{FF2B5EF4-FFF2-40B4-BE49-F238E27FC236}">
                <a16:creationId xmlns="" xmlns:a16="http://schemas.microsoft.com/office/drawing/2014/main" id="{00000000-0008-0000-0200-00003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21987"/>
            <a:ext cx="2368646" cy="1703296"/>
          </a:xfrm>
          <a:prstGeom prst="rect">
            <a:avLst/>
          </a:prstGeom>
        </xdr:spPr>
      </xdr:pic>
    </xdr:grpSp>
    <xdr:clientData/>
  </xdr:twoCellAnchor>
  <xdr:twoCellAnchor>
    <xdr:from>
      <xdr:col>0</xdr:col>
      <xdr:colOff>292345</xdr:colOff>
      <xdr:row>3</xdr:row>
      <xdr:rowOff>102577</xdr:rowOff>
    </xdr:from>
    <xdr:to>
      <xdr:col>2</xdr:col>
      <xdr:colOff>307732</xdr:colOff>
      <xdr:row>8</xdr:row>
      <xdr:rowOff>29308</xdr:rowOff>
    </xdr:to>
    <xdr:sp macro="" textlink="">
      <xdr:nvSpPr>
        <xdr:cNvPr id="32" name="Rectángulo 31">
          <a:hlinkClick xmlns:r="http://schemas.openxmlformats.org/officeDocument/2006/relationships" r:id="rId5"/>
          <a:extLst>
            <a:ext uri="{FF2B5EF4-FFF2-40B4-BE49-F238E27FC236}">
              <a16:creationId xmlns="" xmlns:a16="http://schemas.microsoft.com/office/drawing/2014/main" id="{00000000-0008-0000-0200-000020000000}"/>
            </a:ext>
          </a:extLst>
        </xdr:cNvPr>
        <xdr:cNvSpPr/>
      </xdr:nvSpPr>
      <xdr:spPr>
        <a:xfrm>
          <a:off x="292345" y="655027"/>
          <a:ext cx="783737" cy="84748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3</xdr:col>
      <xdr:colOff>20276</xdr:colOff>
      <xdr:row>5</xdr:row>
      <xdr:rowOff>189480</xdr:rowOff>
    </xdr:from>
    <xdr:to>
      <xdr:col>6</xdr:col>
      <xdr:colOff>214595</xdr:colOff>
      <xdr:row>8</xdr:row>
      <xdr:rowOff>22873</xdr:rowOff>
    </xdr:to>
    <xdr:sp macro="" textlink="">
      <xdr:nvSpPr>
        <xdr:cNvPr id="33" name="Rectángulo 32">
          <a:hlinkClick xmlns:r="http://schemas.openxmlformats.org/officeDocument/2006/relationships" r:id="rId7"/>
          <a:extLst>
            <a:ext uri="{FF2B5EF4-FFF2-40B4-BE49-F238E27FC236}">
              <a16:creationId xmlns="" xmlns:a16="http://schemas.microsoft.com/office/drawing/2014/main" id="{00000000-0008-0000-0200-000021000000}"/>
            </a:ext>
          </a:extLst>
        </xdr:cNvPr>
        <xdr:cNvSpPr/>
      </xdr:nvSpPr>
      <xdr:spPr>
        <a:xfrm>
          <a:off x="1059367" y="890866"/>
          <a:ext cx="1129501" cy="4048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241963</xdr:colOff>
      <xdr:row>5</xdr:row>
      <xdr:rowOff>187092</xdr:rowOff>
    </xdr:from>
    <xdr:to>
      <xdr:col>9</xdr:col>
      <xdr:colOff>288757</xdr:colOff>
      <xdr:row>8</xdr:row>
      <xdr:rowOff>21441</xdr:rowOff>
    </xdr:to>
    <xdr:sp macro="" textlink="">
      <xdr:nvSpPr>
        <xdr:cNvPr id="34" name="Rectángulo 33">
          <a:hlinkClick xmlns:r="http://schemas.openxmlformats.org/officeDocument/2006/relationships" r:id="rId8"/>
          <a:extLst>
            <a:ext uri="{FF2B5EF4-FFF2-40B4-BE49-F238E27FC236}">
              <a16:creationId xmlns="" xmlns:a16="http://schemas.microsoft.com/office/drawing/2014/main" id="{00000000-0008-0000-0200-000022000000}"/>
            </a:ext>
          </a:extLst>
        </xdr:cNvPr>
        <xdr:cNvSpPr/>
      </xdr:nvSpPr>
      <xdr:spPr>
        <a:xfrm>
          <a:off x="2216236" y="888478"/>
          <a:ext cx="981976" cy="40584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240720</xdr:colOff>
      <xdr:row>3</xdr:row>
      <xdr:rowOff>125801</xdr:rowOff>
    </xdr:from>
    <xdr:to>
      <xdr:col>9</xdr:col>
      <xdr:colOff>288757</xdr:colOff>
      <xdr:row>5</xdr:row>
      <xdr:rowOff>149694</xdr:rowOff>
    </xdr:to>
    <xdr:sp macro="" textlink="">
      <xdr:nvSpPr>
        <xdr:cNvPr id="35" name="Rectángulo 34">
          <a:hlinkClick xmlns:r="http://schemas.openxmlformats.org/officeDocument/2006/relationships" r:id="rId9"/>
          <a:extLst>
            <a:ext uri="{FF2B5EF4-FFF2-40B4-BE49-F238E27FC236}">
              <a16:creationId xmlns="" xmlns:a16="http://schemas.microsoft.com/office/drawing/2014/main" id="{00000000-0008-0000-0200-000023000000}"/>
            </a:ext>
          </a:extLst>
        </xdr:cNvPr>
        <xdr:cNvSpPr/>
      </xdr:nvSpPr>
      <xdr:spPr>
        <a:xfrm>
          <a:off x="2214993" y="437528"/>
          <a:ext cx="983219" cy="41355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13</xdr:col>
      <xdr:colOff>154758</xdr:colOff>
      <xdr:row>3</xdr:row>
      <xdr:rowOff>128943</xdr:rowOff>
    </xdr:from>
    <xdr:to>
      <xdr:col>16</xdr:col>
      <xdr:colOff>147204</xdr:colOff>
      <xdr:row>5</xdr:row>
      <xdr:rowOff>149087</xdr:rowOff>
    </xdr:to>
    <xdr:sp macro="" textlink="">
      <xdr:nvSpPr>
        <xdr:cNvPr id="36" name="Rectángulo 35">
          <a:hlinkClick xmlns:r="http://schemas.openxmlformats.org/officeDocument/2006/relationships" r:id="rId10"/>
          <a:extLst>
            <a:ext uri="{FF2B5EF4-FFF2-40B4-BE49-F238E27FC236}">
              <a16:creationId xmlns="" xmlns:a16="http://schemas.microsoft.com/office/drawing/2014/main" id="{00000000-0008-0000-0200-000024000000}"/>
            </a:ext>
          </a:extLst>
        </xdr:cNvPr>
        <xdr:cNvSpPr/>
      </xdr:nvSpPr>
      <xdr:spPr>
        <a:xfrm>
          <a:off x="4311122" y="440670"/>
          <a:ext cx="927627" cy="40980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16288</xdr:colOff>
      <xdr:row>3</xdr:row>
      <xdr:rowOff>119589</xdr:rowOff>
    </xdr:from>
    <xdr:to>
      <xdr:col>13</xdr:col>
      <xdr:colOff>131764</xdr:colOff>
      <xdr:row>5</xdr:row>
      <xdr:rowOff>145681</xdr:rowOff>
    </xdr:to>
    <xdr:sp macro="" textlink="">
      <xdr:nvSpPr>
        <xdr:cNvPr id="37" name="Rectángulo 36">
          <a:hlinkClick xmlns:r="http://schemas.openxmlformats.org/officeDocument/2006/relationships" r:id="rId11"/>
          <a:extLst>
            <a:ext uri="{FF2B5EF4-FFF2-40B4-BE49-F238E27FC236}">
              <a16:creationId xmlns="" xmlns:a16="http://schemas.microsoft.com/office/drawing/2014/main" id="{00000000-0008-0000-0200-000025000000}"/>
            </a:ext>
          </a:extLst>
        </xdr:cNvPr>
        <xdr:cNvSpPr/>
      </xdr:nvSpPr>
      <xdr:spPr>
        <a:xfrm>
          <a:off x="3237470" y="431316"/>
          <a:ext cx="1050658" cy="41575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3</xdr:col>
      <xdr:colOff>23812</xdr:colOff>
      <xdr:row>3</xdr:row>
      <xdr:rowOff>119076</xdr:rowOff>
    </xdr:from>
    <xdr:to>
      <xdr:col>6</xdr:col>
      <xdr:colOff>214596</xdr:colOff>
      <xdr:row>5</xdr:row>
      <xdr:rowOff>142970</xdr:rowOff>
    </xdr:to>
    <xdr:sp macro="" textlink="">
      <xdr:nvSpPr>
        <xdr:cNvPr id="38" name="Rectángulo 37">
          <a:hlinkClick xmlns:r="http://schemas.openxmlformats.org/officeDocument/2006/relationships" r:id="rId12"/>
          <a:extLst>
            <a:ext uri="{FF2B5EF4-FFF2-40B4-BE49-F238E27FC236}">
              <a16:creationId xmlns="" xmlns:a16="http://schemas.microsoft.com/office/drawing/2014/main" id="{00000000-0008-0000-0200-000026000000}"/>
            </a:ext>
          </a:extLst>
        </xdr:cNvPr>
        <xdr:cNvSpPr/>
      </xdr:nvSpPr>
      <xdr:spPr>
        <a:xfrm>
          <a:off x="1062903" y="430803"/>
          <a:ext cx="1125966" cy="41355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14482</xdr:colOff>
      <xdr:row>6</xdr:row>
      <xdr:rowOff>1657</xdr:rowOff>
    </xdr:from>
    <xdr:to>
      <xdr:col>13</xdr:col>
      <xdr:colOff>130500</xdr:colOff>
      <xdr:row>8</xdr:row>
      <xdr:rowOff>27749</xdr:rowOff>
    </xdr:to>
    <xdr:sp macro="" textlink="">
      <xdr:nvSpPr>
        <xdr:cNvPr id="39" name="Rectángulo 38">
          <a:hlinkClick xmlns:r="http://schemas.openxmlformats.org/officeDocument/2006/relationships" r:id="rId13"/>
          <a:extLst>
            <a:ext uri="{FF2B5EF4-FFF2-40B4-BE49-F238E27FC236}">
              <a16:creationId xmlns="" xmlns:a16="http://schemas.microsoft.com/office/drawing/2014/main" id="{00000000-0008-0000-0200-000027000000}"/>
            </a:ext>
          </a:extLst>
        </xdr:cNvPr>
        <xdr:cNvSpPr/>
      </xdr:nvSpPr>
      <xdr:spPr>
        <a:xfrm>
          <a:off x="3235664" y="893543"/>
          <a:ext cx="1051200" cy="4070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19</xdr:col>
      <xdr:colOff>157923</xdr:colOff>
      <xdr:row>6</xdr:row>
      <xdr:rowOff>7616</xdr:rowOff>
    </xdr:from>
    <xdr:to>
      <xdr:col>22</xdr:col>
      <xdr:colOff>165941</xdr:colOff>
      <xdr:row>8</xdr:row>
      <xdr:rowOff>41413</xdr:rowOff>
    </xdr:to>
    <xdr:sp macro="" textlink="">
      <xdr:nvSpPr>
        <xdr:cNvPr id="40" name="Rectángulo 39">
          <a:hlinkClick xmlns:r="http://schemas.openxmlformats.org/officeDocument/2006/relationships" r:id="rId14"/>
          <a:extLst>
            <a:ext uri="{FF2B5EF4-FFF2-40B4-BE49-F238E27FC236}">
              <a16:creationId xmlns="" xmlns:a16="http://schemas.microsoft.com/office/drawing/2014/main" id="{00000000-0008-0000-0200-000028000000}"/>
            </a:ext>
          </a:extLst>
        </xdr:cNvPr>
        <xdr:cNvSpPr/>
      </xdr:nvSpPr>
      <xdr:spPr>
        <a:xfrm>
          <a:off x="6184650" y="899502"/>
          <a:ext cx="943200" cy="41479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22</xdr:col>
      <xdr:colOff>203236</xdr:colOff>
      <xdr:row>3</xdr:row>
      <xdr:rowOff>142909</xdr:rowOff>
    </xdr:from>
    <xdr:to>
      <xdr:col>25</xdr:col>
      <xdr:colOff>186054</xdr:colOff>
      <xdr:row>5</xdr:row>
      <xdr:rowOff>157372</xdr:rowOff>
    </xdr:to>
    <xdr:sp macro="" textlink="">
      <xdr:nvSpPr>
        <xdr:cNvPr id="41" name="Rectángulo 40">
          <a:hlinkClick xmlns:r="http://schemas.openxmlformats.org/officeDocument/2006/relationships" r:id="rId15"/>
          <a:extLst>
            <a:ext uri="{FF2B5EF4-FFF2-40B4-BE49-F238E27FC236}">
              <a16:creationId xmlns="" xmlns:a16="http://schemas.microsoft.com/office/drawing/2014/main" id="{00000000-0008-0000-0200-000029000000}"/>
            </a:ext>
          </a:extLst>
        </xdr:cNvPr>
        <xdr:cNvSpPr/>
      </xdr:nvSpPr>
      <xdr:spPr>
        <a:xfrm>
          <a:off x="7165145" y="454636"/>
          <a:ext cx="918000" cy="40412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285750</xdr:colOff>
      <xdr:row>1</xdr:row>
      <xdr:rowOff>2199</xdr:rowOff>
    </xdr:from>
    <xdr:to>
      <xdr:col>9</xdr:col>
      <xdr:colOff>266700</xdr:colOff>
      <xdr:row>3</xdr:row>
      <xdr:rowOff>29307</xdr:rowOff>
    </xdr:to>
    <xdr:sp macro="" textlink="">
      <xdr:nvSpPr>
        <xdr:cNvPr id="42" name="CuadroTexto 41">
          <a:extLst>
            <a:ext uri="{FF2B5EF4-FFF2-40B4-BE49-F238E27FC236}">
              <a16:creationId xmlns="" xmlns:a16="http://schemas.microsoft.com/office/drawing/2014/main" id="{00000000-0008-0000-0200-00002A000000}"/>
            </a:ext>
          </a:extLst>
        </xdr:cNvPr>
        <xdr:cNvSpPr txBox="1"/>
      </xdr:nvSpPr>
      <xdr:spPr>
        <a:xfrm>
          <a:off x="285750" y="106974"/>
          <a:ext cx="2914650" cy="236658"/>
        </a:xfrm>
        <a:prstGeom prst="rect">
          <a:avLst/>
        </a:prstGeom>
        <a:solidFill>
          <a:schemeClr val="bg1"/>
        </a:solidFill>
        <a:ln w="317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3333CC"/>
              </a:solidFill>
            </a:rPr>
            <a:t>2. AREA DE ESTUDIO E INFLUENCIA</a:t>
          </a:r>
        </a:p>
      </xdr:txBody>
    </xdr:sp>
    <xdr:clientData/>
  </xdr:twoCellAnchor>
  <xdr:twoCellAnchor>
    <xdr:from>
      <xdr:col>23</xdr:col>
      <xdr:colOff>140276</xdr:colOff>
      <xdr:row>1</xdr:row>
      <xdr:rowOff>867</xdr:rowOff>
    </xdr:from>
    <xdr:to>
      <xdr:col>27</xdr:col>
      <xdr:colOff>187901</xdr:colOff>
      <xdr:row>2</xdr:row>
      <xdr:rowOff>76200</xdr:rowOff>
    </xdr:to>
    <xdr:sp macro="[0]!Mostrar_Ayuda_Area_Estudio" textlink="">
      <xdr:nvSpPr>
        <xdr:cNvPr id="43" name="CuadroTexto 42">
          <a:extLst>
            <a:ext uri="{FF2B5EF4-FFF2-40B4-BE49-F238E27FC236}">
              <a16:creationId xmlns="" xmlns:a16="http://schemas.microsoft.com/office/drawing/2014/main" id="{00000000-0008-0000-0200-00002B000000}"/>
            </a:ext>
          </a:extLst>
        </xdr:cNvPr>
        <xdr:cNvSpPr txBox="1"/>
      </xdr:nvSpPr>
      <xdr:spPr>
        <a:xfrm>
          <a:off x="7413912" y="104776"/>
          <a:ext cx="1294534" cy="179242"/>
        </a:xfrm>
        <a:prstGeom prst="rect">
          <a:avLst/>
        </a:prstGeom>
        <a:solidFill>
          <a:schemeClr val="bg1"/>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3333CC"/>
              </a:solidFill>
            </a:rPr>
            <a:t>INSTRUCTIVO</a:t>
          </a:r>
        </a:p>
      </xdr:txBody>
    </xdr:sp>
    <xdr:clientData/>
  </xdr:twoCellAnchor>
  <xdr:twoCellAnchor>
    <xdr:from>
      <xdr:col>13</xdr:col>
      <xdr:colOff>164141</xdr:colOff>
      <xdr:row>6</xdr:row>
      <xdr:rowOff>8284</xdr:rowOff>
    </xdr:from>
    <xdr:to>
      <xdr:col>16</xdr:col>
      <xdr:colOff>157760</xdr:colOff>
      <xdr:row>8</xdr:row>
      <xdr:rowOff>34376</xdr:rowOff>
    </xdr:to>
    <xdr:sp macro="" textlink="">
      <xdr:nvSpPr>
        <xdr:cNvPr id="44" name="Rectángulo 43">
          <a:hlinkClick xmlns:r="http://schemas.openxmlformats.org/officeDocument/2006/relationships" r:id="rId16"/>
          <a:extLst>
            <a:ext uri="{FF2B5EF4-FFF2-40B4-BE49-F238E27FC236}">
              <a16:creationId xmlns="" xmlns:a16="http://schemas.microsoft.com/office/drawing/2014/main" id="{00000000-0008-0000-0200-00002C000000}"/>
            </a:ext>
          </a:extLst>
        </xdr:cNvPr>
        <xdr:cNvSpPr/>
      </xdr:nvSpPr>
      <xdr:spPr>
        <a:xfrm>
          <a:off x="4320505" y="900170"/>
          <a:ext cx="928800" cy="4070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16</xdr:col>
      <xdr:colOff>165652</xdr:colOff>
      <xdr:row>3</xdr:row>
      <xdr:rowOff>140804</xdr:rowOff>
    </xdr:from>
    <xdr:to>
      <xdr:col>19</xdr:col>
      <xdr:colOff>141270</xdr:colOff>
      <xdr:row>5</xdr:row>
      <xdr:rowOff>149754</xdr:rowOff>
    </xdr:to>
    <xdr:sp macro="" textlink="">
      <xdr:nvSpPr>
        <xdr:cNvPr id="45" name="Rectángulo 44">
          <a:hlinkClick xmlns:r="http://schemas.openxmlformats.org/officeDocument/2006/relationships" r:id="rId17"/>
          <a:extLst>
            <a:ext uri="{FF2B5EF4-FFF2-40B4-BE49-F238E27FC236}">
              <a16:creationId xmlns="" xmlns:a16="http://schemas.microsoft.com/office/drawing/2014/main" id="{00000000-0008-0000-0200-00002D000000}"/>
            </a:ext>
          </a:extLst>
        </xdr:cNvPr>
        <xdr:cNvSpPr/>
      </xdr:nvSpPr>
      <xdr:spPr>
        <a:xfrm>
          <a:off x="5257197" y="452531"/>
          <a:ext cx="910800" cy="39860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19</xdr:col>
      <xdr:colOff>166405</xdr:colOff>
      <xdr:row>3</xdr:row>
      <xdr:rowOff>138174</xdr:rowOff>
    </xdr:from>
    <xdr:to>
      <xdr:col>22</xdr:col>
      <xdr:colOff>174688</xdr:colOff>
      <xdr:row>5</xdr:row>
      <xdr:rowOff>162645</xdr:rowOff>
    </xdr:to>
    <xdr:sp macro="" textlink="">
      <xdr:nvSpPr>
        <xdr:cNvPr id="46" name="Rectángulo 45">
          <a:hlinkClick xmlns:r="http://schemas.openxmlformats.org/officeDocument/2006/relationships" r:id="rId18"/>
          <a:extLst>
            <a:ext uri="{FF2B5EF4-FFF2-40B4-BE49-F238E27FC236}">
              <a16:creationId xmlns="" xmlns:a16="http://schemas.microsoft.com/office/drawing/2014/main" id="{00000000-0008-0000-0200-00002E000000}"/>
            </a:ext>
          </a:extLst>
        </xdr:cNvPr>
        <xdr:cNvSpPr/>
      </xdr:nvSpPr>
      <xdr:spPr>
        <a:xfrm>
          <a:off x="6193132" y="449901"/>
          <a:ext cx="943465" cy="4141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16</xdr:col>
      <xdr:colOff>181841</xdr:colOff>
      <xdr:row>6</xdr:row>
      <xdr:rowOff>10541</xdr:rowOff>
    </xdr:from>
    <xdr:to>
      <xdr:col>19</xdr:col>
      <xdr:colOff>156993</xdr:colOff>
      <xdr:row>8</xdr:row>
      <xdr:rowOff>33663</xdr:rowOff>
    </xdr:to>
    <xdr:sp macro="" textlink="">
      <xdr:nvSpPr>
        <xdr:cNvPr id="47" name="Rectángulo 46">
          <a:hlinkClick xmlns:r="http://schemas.openxmlformats.org/officeDocument/2006/relationships" r:id="rId19"/>
          <a:extLst>
            <a:ext uri="{FF2B5EF4-FFF2-40B4-BE49-F238E27FC236}">
              <a16:creationId xmlns="" xmlns:a16="http://schemas.microsoft.com/office/drawing/2014/main" id="{00000000-0008-0000-0200-00002F000000}"/>
            </a:ext>
          </a:extLst>
        </xdr:cNvPr>
        <xdr:cNvSpPr/>
      </xdr:nvSpPr>
      <xdr:spPr>
        <a:xfrm>
          <a:off x="5273386" y="902427"/>
          <a:ext cx="910334" cy="40412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22</xdr:col>
      <xdr:colOff>196963</xdr:colOff>
      <xdr:row>6</xdr:row>
      <xdr:rowOff>5804</xdr:rowOff>
    </xdr:from>
    <xdr:to>
      <xdr:col>25</xdr:col>
      <xdr:colOff>179781</xdr:colOff>
      <xdr:row>8</xdr:row>
      <xdr:rowOff>38934</xdr:rowOff>
    </xdr:to>
    <xdr:sp macro="" textlink="">
      <xdr:nvSpPr>
        <xdr:cNvPr id="48" name="Rectángulo 47">
          <a:hlinkClick xmlns:r="http://schemas.openxmlformats.org/officeDocument/2006/relationships" r:id="rId20"/>
          <a:extLst>
            <a:ext uri="{FF2B5EF4-FFF2-40B4-BE49-F238E27FC236}">
              <a16:creationId xmlns="" xmlns:a16="http://schemas.microsoft.com/office/drawing/2014/main" id="{00000000-0008-0000-0200-000030000000}"/>
            </a:ext>
          </a:extLst>
        </xdr:cNvPr>
        <xdr:cNvSpPr/>
      </xdr:nvSpPr>
      <xdr:spPr>
        <a:xfrm>
          <a:off x="7158872" y="897690"/>
          <a:ext cx="918000" cy="4141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Conclusiones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25</xdr:col>
      <xdr:colOff>215348</xdr:colOff>
      <xdr:row>3</xdr:row>
      <xdr:rowOff>149087</xdr:rowOff>
    </xdr:from>
    <xdr:to>
      <xdr:col>27</xdr:col>
      <xdr:colOff>230734</xdr:colOff>
      <xdr:row>8</xdr:row>
      <xdr:rowOff>49696</xdr:rowOff>
    </xdr:to>
    <xdr:sp macro="" textlink="">
      <xdr:nvSpPr>
        <xdr:cNvPr id="49" name="Rectángulo 48">
          <a:hlinkClick xmlns:r="http://schemas.openxmlformats.org/officeDocument/2006/relationships" r:id="rId21"/>
          <a:extLst>
            <a:ext uri="{FF2B5EF4-FFF2-40B4-BE49-F238E27FC236}">
              <a16:creationId xmlns="" xmlns:a16="http://schemas.microsoft.com/office/drawing/2014/main" id="{00000000-0008-0000-0200-000031000000}"/>
            </a:ext>
          </a:extLst>
        </xdr:cNvPr>
        <xdr:cNvSpPr/>
      </xdr:nvSpPr>
      <xdr:spPr>
        <a:xfrm>
          <a:off x="8578298" y="701537"/>
          <a:ext cx="675786" cy="82135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8660</xdr:colOff>
      <xdr:row>34</xdr:row>
      <xdr:rowOff>17318</xdr:rowOff>
    </xdr:from>
    <xdr:to>
      <xdr:col>18</xdr:col>
      <xdr:colOff>294409</xdr:colOff>
      <xdr:row>35</xdr:row>
      <xdr:rowOff>3039341</xdr:rowOff>
    </xdr:to>
    <xdr:sp macro="" textlink="">
      <xdr:nvSpPr>
        <xdr:cNvPr id="2" name="Rectángulo 1">
          <a:extLst>
            <a:ext uri="{FF2B5EF4-FFF2-40B4-BE49-F238E27FC236}">
              <a16:creationId xmlns="" xmlns:a16="http://schemas.microsoft.com/office/drawing/2014/main" id="{00000000-0008-0000-0200-000002000000}"/>
            </a:ext>
          </a:extLst>
        </xdr:cNvPr>
        <xdr:cNvSpPr/>
      </xdr:nvSpPr>
      <xdr:spPr>
        <a:xfrm>
          <a:off x="320387" y="7135091"/>
          <a:ext cx="5689022" cy="3229841"/>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19</xdr:col>
      <xdr:colOff>17318</xdr:colOff>
      <xdr:row>35</xdr:row>
      <xdr:rowOff>17318</xdr:rowOff>
    </xdr:from>
    <xdr:to>
      <xdr:col>23</xdr:col>
      <xdr:colOff>294409</xdr:colOff>
      <xdr:row>36</xdr:row>
      <xdr:rowOff>181841</xdr:rowOff>
    </xdr:to>
    <xdr:sp macro="" textlink="">
      <xdr:nvSpPr>
        <xdr:cNvPr id="3" name="Rectángulo 2">
          <a:extLst>
            <a:ext uri="{FF2B5EF4-FFF2-40B4-BE49-F238E27FC236}">
              <a16:creationId xmlns="" xmlns:a16="http://schemas.microsoft.com/office/drawing/2014/main" id="{00000000-0008-0000-0200-000003000000}"/>
            </a:ext>
          </a:extLst>
        </xdr:cNvPr>
        <xdr:cNvSpPr/>
      </xdr:nvSpPr>
      <xdr:spPr>
        <a:xfrm>
          <a:off x="6044045" y="7342909"/>
          <a:ext cx="1524000" cy="3212523"/>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24</xdr:col>
      <xdr:colOff>43296</xdr:colOff>
      <xdr:row>34</xdr:row>
      <xdr:rowOff>0</xdr:rowOff>
    </xdr:from>
    <xdr:to>
      <xdr:col>27</xdr:col>
      <xdr:colOff>294410</xdr:colOff>
      <xdr:row>35</xdr:row>
      <xdr:rowOff>103909</xdr:rowOff>
    </xdr:to>
    <xdr:sp macro="[0]!Cargar_imagenes" textlink="">
      <xdr:nvSpPr>
        <xdr:cNvPr id="4" name="Rectángulo 3">
          <a:extLst>
            <a:ext uri="{FF2B5EF4-FFF2-40B4-BE49-F238E27FC236}">
              <a16:creationId xmlns="" xmlns:a16="http://schemas.microsoft.com/office/drawing/2014/main" id="{00000000-0008-0000-0200-000004000000}"/>
            </a:ext>
          </a:extLst>
        </xdr:cNvPr>
        <xdr:cNvSpPr/>
      </xdr:nvSpPr>
      <xdr:spPr>
        <a:xfrm>
          <a:off x="7628660" y="7117773"/>
          <a:ext cx="1186295" cy="311727"/>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Cargar Imagenes</a:t>
          </a:r>
        </a:p>
      </xdr:txBody>
    </xdr:sp>
    <xdr:clientData/>
  </xdr:twoCellAnchor>
  <xdr:oneCellAnchor>
    <xdr:from>
      <xdr:col>27</xdr:col>
      <xdr:colOff>164523</xdr:colOff>
      <xdr:row>35</xdr:row>
      <xdr:rowOff>536864</xdr:rowOff>
    </xdr:from>
    <xdr:ext cx="184731" cy="264560"/>
    <xdr:sp macro="" textlink="">
      <xdr:nvSpPr>
        <xdr:cNvPr id="5" name="CuadroTexto 4">
          <a:extLst>
            <a:ext uri="{FF2B5EF4-FFF2-40B4-BE49-F238E27FC236}">
              <a16:creationId xmlns="" xmlns:a16="http://schemas.microsoft.com/office/drawing/2014/main" id="{00000000-0008-0000-0200-000005000000}"/>
            </a:ext>
          </a:extLst>
        </xdr:cNvPr>
        <xdr:cNvSpPr txBox="1"/>
      </xdr:nvSpPr>
      <xdr:spPr>
        <a:xfrm>
          <a:off x="8685068" y="786245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PE" sz="1100"/>
        </a:p>
      </xdr:txBody>
    </xdr:sp>
    <xdr:clientData/>
  </xdr:oneCellAnchor>
  <xdr:twoCellAnchor>
    <xdr:from>
      <xdr:col>25</xdr:col>
      <xdr:colOff>8659</xdr:colOff>
      <xdr:row>57</xdr:row>
      <xdr:rowOff>8660</xdr:rowOff>
    </xdr:from>
    <xdr:to>
      <xdr:col>28</xdr:col>
      <xdr:colOff>17318</xdr:colOff>
      <xdr:row>58</xdr:row>
      <xdr:rowOff>17319</xdr:rowOff>
    </xdr:to>
    <xdr:sp macro="[0]!Numero_Insumos_analizar_AE" textlink="">
      <xdr:nvSpPr>
        <xdr:cNvPr id="30" name="Rectángulo 29">
          <a:extLst>
            <a:ext uri="{FF2B5EF4-FFF2-40B4-BE49-F238E27FC236}">
              <a16:creationId xmlns="" xmlns:a16="http://schemas.microsoft.com/office/drawing/2014/main" id="{00000000-0008-0000-0200-00001E000000}"/>
            </a:ext>
          </a:extLst>
        </xdr:cNvPr>
        <xdr:cNvSpPr/>
      </xdr:nvSpPr>
      <xdr:spPr>
        <a:xfrm>
          <a:off x="7905750" y="21613092"/>
          <a:ext cx="943841" cy="251113"/>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xdr:twoCellAnchor>
    <xdr:from>
      <xdr:col>10</xdr:col>
      <xdr:colOff>303069</xdr:colOff>
      <xdr:row>57</xdr:row>
      <xdr:rowOff>8659</xdr:rowOff>
    </xdr:from>
    <xdr:to>
      <xdr:col>14</xdr:col>
      <xdr:colOff>8660</xdr:colOff>
      <xdr:row>58</xdr:row>
      <xdr:rowOff>8659</xdr:rowOff>
    </xdr:to>
    <xdr:sp macro="[0]!Numero_Servicios_Publicos_analizar_AE" textlink="">
      <xdr:nvSpPr>
        <xdr:cNvPr id="50" name="Rectángulo 49">
          <a:extLst>
            <a:ext uri="{FF2B5EF4-FFF2-40B4-BE49-F238E27FC236}">
              <a16:creationId xmlns="" xmlns:a16="http://schemas.microsoft.com/office/drawing/2014/main" id="{00000000-0008-0000-0200-000032000000}"/>
            </a:ext>
          </a:extLst>
        </xdr:cNvPr>
        <xdr:cNvSpPr/>
      </xdr:nvSpPr>
      <xdr:spPr>
        <a:xfrm>
          <a:off x="3524251" y="21613091"/>
          <a:ext cx="952500" cy="242454"/>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mc:AlternateContent xmlns:mc="http://schemas.openxmlformats.org/markup-compatibility/2006">
    <mc:Choice xmlns:a14="http://schemas.microsoft.com/office/drawing/2010/main" Requires="a14">
      <xdr:twoCellAnchor editAs="oneCell">
        <xdr:from>
          <xdr:col>1</xdr:col>
          <xdr:colOff>76200</xdr:colOff>
          <xdr:row>80</xdr:row>
          <xdr:rowOff>19050</xdr:rowOff>
        </xdr:from>
        <xdr:to>
          <xdr:col>10</xdr:col>
          <xdr:colOff>304800</xdr:colOff>
          <xdr:row>83</xdr:row>
          <xdr:rowOff>47625</xdr:rowOff>
        </xdr:to>
        <xdr:sp macro="" textlink="">
          <xdr:nvSpPr>
            <xdr:cNvPr id="3074" name="CommandButton1" hidden="1">
              <a:extLst>
                <a:ext uri="{63B3BB69-23CF-44E3-9099-C40C66FF867C}">
                  <a14:compatExt spid="_x0000_s3074"/>
                </a:ext>
                <a:ext uri="{FF2B5EF4-FFF2-40B4-BE49-F238E27FC236}">
                  <a16:creationId xmlns=""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190500</xdr:colOff>
          <xdr:row>77</xdr:row>
          <xdr:rowOff>47625</xdr:rowOff>
        </xdr:from>
        <xdr:to>
          <xdr:col>28</xdr:col>
          <xdr:colOff>0</xdr:colOff>
          <xdr:row>80</xdr:row>
          <xdr:rowOff>123825</xdr:rowOff>
        </xdr:to>
        <xdr:sp macro="" textlink="">
          <xdr:nvSpPr>
            <xdr:cNvPr id="3076" name="CommandButton2"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109</xdr:row>
          <xdr:rowOff>66675</xdr:rowOff>
        </xdr:from>
        <xdr:to>
          <xdr:col>8</xdr:col>
          <xdr:colOff>266700</xdr:colOff>
          <xdr:row>112</xdr:row>
          <xdr:rowOff>85725</xdr:rowOff>
        </xdr:to>
        <xdr:sp macro="" textlink="">
          <xdr:nvSpPr>
            <xdr:cNvPr id="3077" name="CommandButton3" hidden="1">
              <a:extLst>
                <a:ext uri="{63B3BB69-23CF-44E3-9099-C40C66FF867C}">
                  <a14:compatExt spid="_x0000_s3077"/>
                </a:ext>
                <a:ext uri="{FF2B5EF4-FFF2-40B4-BE49-F238E27FC236}">
                  <a16:creationId xmlns=""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114</xdr:row>
          <xdr:rowOff>95250</xdr:rowOff>
        </xdr:from>
        <xdr:to>
          <xdr:col>8</xdr:col>
          <xdr:colOff>219075</xdr:colOff>
          <xdr:row>117</xdr:row>
          <xdr:rowOff>114300</xdr:rowOff>
        </xdr:to>
        <xdr:sp macro="" textlink="">
          <xdr:nvSpPr>
            <xdr:cNvPr id="3078" name="CommandButton4" hidden="1">
              <a:extLst>
                <a:ext uri="{63B3BB69-23CF-44E3-9099-C40C66FF867C}">
                  <a14:compatExt spid="_x0000_s3078"/>
                </a:ext>
                <a:ext uri="{FF2B5EF4-FFF2-40B4-BE49-F238E27FC236}">
                  <a16:creationId xmlns="" xmlns:a16="http://schemas.microsoft.com/office/drawing/2014/main" id="{00000000-0008-0000-02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38100</xdr:colOff>
          <xdr:row>42</xdr:row>
          <xdr:rowOff>9525</xdr:rowOff>
        </xdr:from>
        <xdr:to>
          <xdr:col>27</xdr:col>
          <xdr:colOff>295275</xdr:colOff>
          <xdr:row>42</xdr:row>
          <xdr:rowOff>390525</xdr:rowOff>
        </xdr:to>
        <xdr:sp macro="" textlink="">
          <xdr:nvSpPr>
            <xdr:cNvPr id="3081" name="Button 9" hidden="1">
              <a:extLst>
                <a:ext uri="{63B3BB69-23CF-44E3-9099-C40C66FF867C}">
                  <a14:compatExt spid="_x0000_s3081"/>
                </a:ext>
                <a:ext uri="{FF2B5EF4-FFF2-40B4-BE49-F238E27FC236}">
                  <a16:creationId xmlns=""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000000"/>
                  </a:solidFill>
                  <a:latin typeface="Arial"/>
                  <a:cs typeface="Arial"/>
                </a:rPr>
                <a:t>Tipo de Suelos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0</xdr:colOff>
      <xdr:row>9</xdr:row>
      <xdr:rowOff>0</xdr:rowOff>
    </xdr:to>
    <xdr:grpSp>
      <xdr:nvGrpSpPr>
        <xdr:cNvPr id="119" name="Grupo 21">
          <a:extLst>
            <a:ext uri="{FF2B5EF4-FFF2-40B4-BE49-F238E27FC236}">
              <a16:creationId xmlns="" xmlns:a16="http://schemas.microsoft.com/office/drawing/2014/main" id="{00000000-0008-0000-0300-000077000000}"/>
            </a:ext>
          </a:extLst>
        </xdr:cNvPr>
        <xdr:cNvGrpSpPr/>
      </xdr:nvGrpSpPr>
      <xdr:grpSpPr>
        <a:xfrm>
          <a:off x="0" y="0"/>
          <a:ext cx="14518821" cy="1455964"/>
          <a:chOff x="9592236" y="1916205"/>
          <a:chExt cx="9551614" cy="1740716"/>
        </a:xfrm>
      </xdr:grpSpPr>
      <xdr:pic>
        <xdr:nvPicPr>
          <xdr:cNvPr id="120" name="Imagen 22">
            <a:extLst>
              <a:ext uri="{FF2B5EF4-FFF2-40B4-BE49-F238E27FC236}">
                <a16:creationId xmlns="" xmlns:a16="http://schemas.microsoft.com/office/drawing/2014/main" id="{00000000-0008-0000-0300-00007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121" name="Imagen 23">
            <a:extLst>
              <a:ext uri="{FF2B5EF4-FFF2-40B4-BE49-F238E27FC236}">
                <a16:creationId xmlns="" xmlns:a16="http://schemas.microsoft.com/office/drawing/2014/main" id="{00000000-0008-0000-0300-00007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122" name="Imagen 24">
            <a:extLst>
              <a:ext uri="{FF2B5EF4-FFF2-40B4-BE49-F238E27FC236}">
                <a16:creationId xmlns="" xmlns:a16="http://schemas.microsoft.com/office/drawing/2014/main" id="{00000000-0008-0000-0300-00007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123" name="Imagen 25">
            <a:extLst>
              <a:ext uri="{FF2B5EF4-FFF2-40B4-BE49-F238E27FC236}">
                <a16:creationId xmlns="" xmlns:a16="http://schemas.microsoft.com/office/drawing/2014/main" id="{00000000-0008-0000-0300-00007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21987"/>
            <a:ext cx="2368646" cy="1734934"/>
          </a:xfrm>
          <a:prstGeom prst="rect">
            <a:avLst/>
          </a:prstGeom>
        </xdr:spPr>
      </xdr:pic>
    </xdr:grpSp>
    <xdr:clientData/>
  </xdr:twoCellAnchor>
  <xdr:twoCellAnchor>
    <xdr:from>
      <xdr:col>1</xdr:col>
      <xdr:colOff>68036</xdr:colOff>
      <xdr:row>200</xdr:row>
      <xdr:rowOff>54429</xdr:rowOff>
    </xdr:from>
    <xdr:to>
      <xdr:col>12</xdr:col>
      <xdr:colOff>612321</xdr:colOff>
      <xdr:row>204</xdr:row>
      <xdr:rowOff>190500</xdr:rowOff>
    </xdr:to>
    <xdr:sp macro="" textlink="">
      <xdr:nvSpPr>
        <xdr:cNvPr id="272" name="Rectángulo 271">
          <a:extLst>
            <a:ext uri="{FF2B5EF4-FFF2-40B4-BE49-F238E27FC236}">
              <a16:creationId xmlns="" xmlns:a16="http://schemas.microsoft.com/office/drawing/2014/main" id="{00000000-0008-0000-0300-000010010000}"/>
            </a:ext>
          </a:extLst>
        </xdr:cNvPr>
        <xdr:cNvSpPr/>
      </xdr:nvSpPr>
      <xdr:spPr>
        <a:xfrm>
          <a:off x="785586" y="22641379"/>
          <a:ext cx="8437335" cy="2644321"/>
        </a:xfrm>
        <a:prstGeom prst="rect">
          <a:avLst/>
        </a:prstGeom>
        <a:solidFill>
          <a:schemeClr val="accent6">
            <a:lumMod val="20000"/>
            <a:lumOff val="80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800" b="1">
              <a:solidFill>
                <a:schemeClr val="bg1">
                  <a:lumMod val="50000"/>
                </a:schemeClr>
              </a:solidFill>
            </a:rPr>
            <a:t>INSERTAR</a:t>
          </a:r>
          <a:r>
            <a:rPr lang="es-PE" sz="2800" b="1" baseline="0">
              <a:solidFill>
                <a:schemeClr val="bg1">
                  <a:lumMod val="50000"/>
                </a:schemeClr>
              </a:solidFill>
            </a:rPr>
            <a:t> IMAGEN AQUÍ</a:t>
          </a:r>
          <a:endParaRPr lang="es-PE" sz="2800" b="1">
            <a:solidFill>
              <a:schemeClr val="bg1">
                <a:lumMod val="50000"/>
              </a:schemeClr>
            </a:solidFill>
          </a:endParaRPr>
        </a:p>
      </xdr:txBody>
    </xdr:sp>
    <xdr:clientData fLocksWithSheet="0"/>
  </xdr:twoCellAnchor>
  <xdr:twoCellAnchor>
    <xdr:from>
      <xdr:col>0</xdr:col>
      <xdr:colOff>245281</xdr:colOff>
      <xdr:row>3</xdr:row>
      <xdr:rowOff>95107</xdr:rowOff>
    </xdr:from>
    <xdr:to>
      <xdr:col>1</xdr:col>
      <xdr:colOff>579782</xdr:colOff>
      <xdr:row>8</xdr:row>
      <xdr:rowOff>21838</xdr:rowOff>
    </xdr:to>
    <xdr:sp macro="" textlink="">
      <xdr:nvSpPr>
        <xdr:cNvPr id="384" name="Rectángulo 383">
          <a:hlinkClick xmlns:r="http://schemas.openxmlformats.org/officeDocument/2006/relationships" r:id="rId5"/>
          <a:extLst>
            <a:ext uri="{FF2B5EF4-FFF2-40B4-BE49-F238E27FC236}">
              <a16:creationId xmlns="" xmlns:a16="http://schemas.microsoft.com/office/drawing/2014/main" id="{00000000-0008-0000-0300-000080010000}"/>
            </a:ext>
          </a:extLst>
        </xdr:cNvPr>
        <xdr:cNvSpPr/>
      </xdr:nvSpPr>
      <xdr:spPr>
        <a:xfrm>
          <a:off x="245281" y="318737"/>
          <a:ext cx="582979" cy="87923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611163</xdr:colOff>
      <xdr:row>5</xdr:row>
      <xdr:rowOff>184038</xdr:rowOff>
    </xdr:from>
    <xdr:to>
      <xdr:col>3</xdr:col>
      <xdr:colOff>441078</xdr:colOff>
      <xdr:row>8</xdr:row>
      <xdr:rowOff>17431</xdr:rowOff>
    </xdr:to>
    <xdr:sp macro="" textlink="">
      <xdr:nvSpPr>
        <xdr:cNvPr id="385" name="Rectángulo 384">
          <a:hlinkClick xmlns:r="http://schemas.openxmlformats.org/officeDocument/2006/relationships" r:id="rId7"/>
          <a:extLst>
            <a:ext uri="{FF2B5EF4-FFF2-40B4-BE49-F238E27FC236}">
              <a16:creationId xmlns="" xmlns:a16="http://schemas.microsoft.com/office/drawing/2014/main" id="{00000000-0008-0000-0300-000081010000}"/>
            </a:ext>
          </a:extLst>
        </xdr:cNvPr>
        <xdr:cNvSpPr/>
      </xdr:nvSpPr>
      <xdr:spPr>
        <a:xfrm>
          <a:off x="859641" y="788668"/>
          <a:ext cx="1204828" cy="4048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472889</xdr:colOff>
      <xdr:row>6</xdr:row>
      <xdr:rowOff>675</xdr:rowOff>
    </xdr:from>
    <xdr:to>
      <xdr:col>5</xdr:col>
      <xdr:colOff>138606</xdr:colOff>
      <xdr:row>8</xdr:row>
      <xdr:rowOff>25524</xdr:rowOff>
    </xdr:to>
    <xdr:sp macro="" textlink="">
      <xdr:nvSpPr>
        <xdr:cNvPr id="386" name="Rectángulo 385">
          <a:hlinkClick xmlns:r="http://schemas.openxmlformats.org/officeDocument/2006/relationships" r:id="rId8"/>
          <a:extLst>
            <a:ext uri="{FF2B5EF4-FFF2-40B4-BE49-F238E27FC236}">
              <a16:creationId xmlns="" xmlns:a16="http://schemas.microsoft.com/office/drawing/2014/main" id="{00000000-0008-0000-0300-000082010000}"/>
            </a:ext>
          </a:extLst>
        </xdr:cNvPr>
        <xdr:cNvSpPr/>
      </xdr:nvSpPr>
      <xdr:spPr>
        <a:xfrm>
          <a:off x="2092139" y="943650"/>
          <a:ext cx="1323067" cy="40584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471646</xdr:colOff>
      <xdr:row>3</xdr:row>
      <xdr:rowOff>120359</xdr:rowOff>
    </xdr:from>
    <xdr:to>
      <xdr:col>5</xdr:col>
      <xdr:colOff>137977</xdr:colOff>
      <xdr:row>5</xdr:row>
      <xdr:rowOff>174734</xdr:rowOff>
    </xdr:to>
    <xdr:sp macro="" textlink="">
      <xdr:nvSpPr>
        <xdr:cNvPr id="387" name="Rectángulo 386">
          <a:hlinkClick xmlns:r="http://schemas.openxmlformats.org/officeDocument/2006/relationships" r:id="rId9"/>
          <a:extLst>
            <a:ext uri="{FF2B5EF4-FFF2-40B4-BE49-F238E27FC236}">
              <a16:creationId xmlns="" xmlns:a16="http://schemas.microsoft.com/office/drawing/2014/main" id="{00000000-0008-0000-0300-000083010000}"/>
            </a:ext>
          </a:extLst>
        </xdr:cNvPr>
        <xdr:cNvSpPr/>
      </xdr:nvSpPr>
      <xdr:spPr>
        <a:xfrm>
          <a:off x="2090896" y="520409"/>
          <a:ext cx="1323681"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5499</xdr:colOff>
      <xdr:row>3</xdr:row>
      <xdr:rowOff>121471</xdr:rowOff>
    </xdr:from>
    <xdr:to>
      <xdr:col>8</xdr:col>
      <xdr:colOff>338138</xdr:colOff>
      <xdr:row>5</xdr:row>
      <xdr:rowOff>175846</xdr:rowOff>
    </xdr:to>
    <xdr:sp macro="" textlink="">
      <xdr:nvSpPr>
        <xdr:cNvPr id="388" name="Rectángulo 387">
          <a:hlinkClick xmlns:r="http://schemas.openxmlformats.org/officeDocument/2006/relationships" r:id="rId10"/>
          <a:extLst>
            <a:ext uri="{FF2B5EF4-FFF2-40B4-BE49-F238E27FC236}">
              <a16:creationId xmlns="" xmlns:a16="http://schemas.microsoft.com/office/drawing/2014/main" id="{00000000-0008-0000-0300-000084010000}"/>
            </a:ext>
          </a:extLst>
        </xdr:cNvPr>
        <xdr:cNvSpPr/>
      </xdr:nvSpPr>
      <xdr:spPr>
        <a:xfrm>
          <a:off x="4653699" y="521521"/>
          <a:ext cx="1018439"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166141</xdr:colOff>
      <xdr:row>3</xdr:row>
      <xdr:rowOff>119588</xdr:rowOff>
    </xdr:from>
    <xdr:to>
      <xdr:col>6</xdr:col>
      <xdr:colOff>656704</xdr:colOff>
      <xdr:row>5</xdr:row>
      <xdr:rowOff>173963</xdr:rowOff>
    </xdr:to>
    <xdr:sp macro="" textlink="">
      <xdr:nvSpPr>
        <xdr:cNvPr id="389" name="Rectángulo 388">
          <a:hlinkClick xmlns:r="http://schemas.openxmlformats.org/officeDocument/2006/relationships" r:id="rId11"/>
          <a:extLst>
            <a:ext uri="{FF2B5EF4-FFF2-40B4-BE49-F238E27FC236}">
              <a16:creationId xmlns="" xmlns:a16="http://schemas.microsoft.com/office/drawing/2014/main" id="{00000000-0008-0000-0300-000085010000}"/>
            </a:ext>
          </a:extLst>
        </xdr:cNvPr>
        <xdr:cNvSpPr/>
      </xdr:nvSpPr>
      <xdr:spPr>
        <a:xfrm>
          <a:off x="3442741" y="519638"/>
          <a:ext cx="1176363"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614699</xdr:colOff>
      <xdr:row>3</xdr:row>
      <xdr:rowOff>113633</xdr:rowOff>
    </xdr:from>
    <xdr:to>
      <xdr:col>3</xdr:col>
      <xdr:colOff>442726</xdr:colOff>
      <xdr:row>5</xdr:row>
      <xdr:rowOff>168008</xdr:rowOff>
    </xdr:to>
    <xdr:sp macro="" textlink="">
      <xdr:nvSpPr>
        <xdr:cNvPr id="390" name="Rectángulo 389">
          <a:hlinkClick xmlns:r="http://schemas.openxmlformats.org/officeDocument/2006/relationships" r:id="rId12"/>
          <a:extLst>
            <a:ext uri="{FF2B5EF4-FFF2-40B4-BE49-F238E27FC236}">
              <a16:creationId xmlns="" xmlns:a16="http://schemas.microsoft.com/office/drawing/2014/main" id="{00000000-0008-0000-0300-000086010000}"/>
            </a:ext>
          </a:extLst>
        </xdr:cNvPr>
        <xdr:cNvSpPr/>
      </xdr:nvSpPr>
      <xdr:spPr>
        <a:xfrm>
          <a:off x="862349" y="513683"/>
          <a:ext cx="1199627"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181655</xdr:colOff>
      <xdr:row>6</xdr:row>
      <xdr:rowOff>1657</xdr:rowOff>
    </xdr:from>
    <xdr:to>
      <xdr:col>6</xdr:col>
      <xdr:colOff>663831</xdr:colOff>
      <xdr:row>8</xdr:row>
      <xdr:rowOff>27749</xdr:rowOff>
    </xdr:to>
    <xdr:sp macro="" textlink="">
      <xdr:nvSpPr>
        <xdr:cNvPr id="391" name="Rectángulo 390">
          <a:hlinkClick xmlns:r="http://schemas.openxmlformats.org/officeDocument/2006/relationships" r:id="rId13"/>
          <a:extLst>
            <a:ext uri="{FF2B5EF4-FFF2-40B4-BE49-F238E27FC236}">
              <a16:creationId xmlns="" xmlns:a16="http://schemas.microsoft.com/office/drawing/2014/main" id="{00000000-0008-0000-0300-000087010000}"/>
            </a:ext>
          </a:extLst>
        </xdr:cNvPr>
        <xdr:cNvSpPr/>
      </xdr:nvSpPr>
      <xdr:spPr>
        <a:xfrm>
          <a:off x="3179959" y="796787"/>
          <a:ext cx="1169633" cy="4070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84702</xdr:colOff>
      <xdr:row>6</xdr:row>
      <xdr:rowOff>145</xdr:rowOff>
    </xdr:from>
    <xdr:to>
      <xdr:col>11</xdr:col>
      <xdr:colOff>543702</xdr:colOff>
      <xdr:row>8</xdr:row>
      <xdr:rowOff>25945</xdr:rowOff>
    </xdr:to>
    <xdr:sp macro="" textlink="">
      <xdr:nvSpPr>
        <xdr:cNvPr id="392" name="Rectángulo 391">
          <a:hlinkClick xmlns:r="http://schemas.openxmlformats.org/officeDocument/2006/relationships" r:id="rId14"/>
          <a:extLst>
            <a:ext uri="{FF2B5EF4-FFF2-40B4-BE49-F238E27FC236}">
              <a16:creationId xmlns="" xmlns:a16="http://schemas.microsoft.com/office/drawing/2014/main" id="{00000000-0008-0000-0300-000088010000}"/>
            </a:ext>
          </a:extLst>
        </xdr:cNvPr>
        <xdr:cNvSpPr/>
      </xdr:nvSpPr>
      <xdr:spPr>
        <a:xfrm>
          <a:off x="6790302" y="943120"/>
          <a:ext cx="11448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11</xdr:col>
      <xdr:colOff>554354</xdr:colOff>
      <xdr:row>3</xdr:row>
      <xdr:rowOff>114785</xdr:rowOff>
    </xdr:from>
    <xdr:to>
      <xdr:col>13</xdr:col>
      <xdr:colOff>325920</xdr:colOff>
      <xdr:row>5</xdr:row>
      <xdr:rowOff>169160</xdr:rowOff>
    </xdr:to>
    <xdr:sp macro="" textlink="">
      <xdr:nvSpPr>
        <xdr:cNvPr id="393" name="Rectángulo 392">
          <a:hlinkClick xmlns:r="http://schemas.openxmlformats.org/officeDocument/2006/relationships" r:id="rId15"/>
          <a:extLst>
            <a:ext uri="{FF2B5EF4-FFF2-40B4-BE49-F238E27FC236}">
              <a16:creationId xmlns="" xmlns:a16="http://schemas.microsoft.com/office/drawing/2014/main" id="{00000000-0008-0000-0300-000089010000}"/>
            </a:ext>
          </a:extLst>
        </xdr:cNvPr>
        <xdr:cNvSpPr/>
      </xdr:nvSpPr>
      <xdr:spPr>
        <a:xfrm>
          <a:off x="7945754" y="514835"/>
          <a:ext cx="1143166"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xdr:col>
      <xdr:colOff>1122</xdr:colOff>
      <xdr:row>0</xdr:row>
      <xdr:rowOff>123825</xdr:rowOff>
    </xdr:from>
    <xdr:to>
      <xdr:col>4</xdr:col>
      <xdr:colOff>123265</xdr:colOff>
      <xdr:row>2</xdr:row>
      <xdr:rowOff>133350</xdr:rowOff>
    </xdr:to>
    <xdr:sp macro="" textlink="">
      <xdr:nvSpPr>
        <xdr:cNvPr id="394" name="CuadroTexto 393">
          <a:extLst>
            <a:ext uri="{FF2B5EF4-FFF2-40B4-BE49-F238E27FC236}">
              <a16:creationId xmlns="" xmlns:a16="http://schemas.microsoft.com/office/drawing/2014/main" id="{00000000-0008-0000-0300-00008A010000}"/>
            </a:ext>
          </a:extLst>
        </xdr:cNvPr>
        <xdr:cNvSpPr txBox="1"/>
      </xdr:nvSpPr>
      <xdr:spPr>
        <a:xfrm>
          <a:off x="247651" y="123825"/>
          <a:ext cx="2172820" cy="278466"/>
        </a:xfrm>
        <a:prstGeom prst="rect">
          <a:avLst/>
        </a:prstGeom>
        <a:solidFill>
          <a:schemeClr val="bg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chemeClr val="accent6"/>
              </a:solidFill>
            </a:rPr>
            <a:t>3. UNIDAD PRODUCTORA</a:t>
          </a:r>
        </a:p>
      </xdr:txBody>
    </xdr:sp>
    <xdr:clientData/>
  </xdr:twoCellAnchor>
  <xdr:twoCellAnchor>
    <xdr:from>
      <xdr:col>12</xdr:col>
      <xdr:colOff>431800</xdr:colOff>
      <xdr:row>0</xdr:row>
      <xdr:rowOff>114755</xdr:rowOff>
    </xdr:from>
    <xdr:to>
      <xdr:col>14</xdr:col>
      <xdr:colOff>603249</xdr:colOff>
      <xdr:row>2</xdr:row>
      <xdr:rowOff>124279</xdr:rowOff>
    </xdr:to>
    <xdr:sp macro="[0]!Mostrar_Ayuda_Unidad_Productora" textlink="">
      <xdr:nvSpPr>
        <xdr:cNvPr id="395" name="CuadroTexto 394">
          <a:extLst>
            <a:ext uri="{FF2B5EF4-FFF2-40B4-BE49-F238E27FC236}">
              <a16:creationId xmlns="" xmlns:a16="http://schemas.microsoft.com/office/drawing/2014/main" id="{00000000-0008-0000-0300-00008B010000}"/>
            </a:ext>
          </a:extLst>
        </xdr:cNvPr>
        <xdr:cNvSpPr txBox="1"/>
      </xdr:nvSpPr>
      <xdr:spPr>
        <a:xfrm>
          <a:off x="8509000" y="114755"/>
          <a:ext cx="1543049" cy="276224"/>
        </a:xfrm>
        <a:prstGeom prst="rect">
          <a:avLst/>
        </a:prstGeom>
        <a:solidFill>
          <a:schemeClr val="bg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6"/>
              </a:solidFill>
            </a:rPr>
            <a:t>INSTRUCTIVO</a:t>
          </a:r>
        </a:p>
      </xdr:txBody>
    </xdr:sp>
    <xdr:clientData/>
  </xdr:twoCellAnchor>
  <xdr:twoCellAnchor>
    <xdr:from>
      <xdr:col>7</xdr:col>
      <xdr:colOff>14881</xdr:colOff>
      <xdr:row>6</xdr:row>
      <xdr:rowOff>813</xdr:rowOff>
    </xdr:from>
    <xdr:to>
      <xdr:col>8</xdr:col>
      <xdr:colOff>347519</xdr:colOff>
      <xdr:row>8</xdr:row>
      <xdr:rowOff>26905</xdr:rowOff>
    </xdr:to>
    <xdr:sp macro="" textlink="">
      <xdr:nvSpPr>
        <xdr:cNvPr id="396" name="Rectángulo 395">
          <a:hlinkClick xmlns:r="http://schemas.openxmlformats.org/officeDocument/2006/relationships" r:id="rId16"/>
          <a:extLst>
            <a:ext uri="{FF2B5EF4-FFF2-40B4-BE49-F238E27FC236}">
              <a16:creationId xmlns="" xmlns:a16="http://schemas.microsoft.com/office/drawing/2014/main" id="{00000000-0008-0000-0300-00008C010000}"/>
            </a:ext>
          </a:extLst>
        </xdr:cNvPr>
        <xdr:cNvSpPr/>
      </xdr:nvSpPr>
      <xdr:spPr>
        <a:xfrm>
          <a:off x="4388098" y="795943"/>
          <a:ext cx="1020095" cy="4070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370388</xdr:colOff>
      <xdr:row>3</xdr:row>
      <xdr:rowOff>114282</xdr:rowOff>
    </xdr:from>
    <xdr:to>
      <xdr:col>10</xdr:col>
      <xdr:colOff>45290</xdr:colOff>
      <xdr:row>5</xdr:row>
      <xdr:rowOff>168657</xdr:rowOff>
    </xdr:to>
    <xdr:sp macro="" textlink="">
      <xdr:nvSpPr>
        <xdr:cNvPr id="397" name="Rectángulo 396">
          <a:hlinkClick xmlns:r="http://schemas.openxmlformats.org/officeDocument/2006/relationships" r:id="rId17"/>
          <a:extLst>
            <a:ext uri="{FF2B5EF4-FFF2-40B4-BE49-F238E27FC236}">
              <a16:creationId xmlns="" xmlns:a16="http://schemas.microsoft.com/office/drawing/2014/main" id="{00000000-0008-0000-0300-00008D010000}"/>
            </a:ext>
          </a:extLst>
        </xdr:cNvPr>
        <xdr:cNvSpPr/>
      </xdr:nvSpPr>
      <xdr:spPr>
        <a:xfrm>
          <a:off x="5704388" y="514332"/>
          <a:ext cx="1046502"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10</xdr:col>
      <xdr:colOff>84567</xdr:colOff>
      <xdr:row>3</xdr:row>
      <xdr:rowOff>113964</xdr:rowOff>
    </xdr:from>
    <xdr:to>
      <xdr:col>11</xdr:col>
      <xdr:colOff>541933</xdr:colOff>
      <xdr:row>5</xdr:row>
      <xdr:rowOff>168339</xdr:rowOff>
    </xdr:to>
    <xdr:sp macro="" textlink="">
      <xdr:nvSpPr>
        <xdr:cNvPr id="398" name="Rectángulo 397">
          <a:hlinkClick xmlns:r="http://schemas.openxmlformats.org/officeDocument/2006/relationships" r:id="rId18"/>
          <a:extLst>
            <a:ext uri="{FF2B5EF4-FFF2-40B4-BE49-F238E27FC236}">
              <a16:creationId xmlns="" xmlns:a16="http://schemas.microsoft.com/office/drawing/2014/main" id="{00000000-0008-0000-0300-00008E010000}"/>
            </a:ext>
          </a:extLst>
        </xdr:cNvPr>
        <xdr:cNvSpPr/>
      </xdr:nvSpPr>
      <xdr:spPr>
        <a:xfrm>
          <a:off x="6790167" y="514014"/>
          <a:ext cx="1143166"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362895</xdr:colOff>
      <xdr:row>6</xdr:row>
      <xdr:rowOff>7119</xdr:rowOff>
    </xdr:from>
    <xdr:to>
      <xdr:col>10</xdr:col>
      <xdr:colOff>38895</xdr:colOff>
      <xdr:row>8</xdr:row>
      <xdr:rowOff>32919</xdr:rowOff>
    </xdr:to>
    <xdr:sp macro="" textlink="">
      <xdr:nvSpPr>
        <xdr:cNvPr id="399" name="Rectángulo 398">
          <a:hlinkClick xmlns:r="http://schemas.openxmlformats.org/officeDocument/2006/relationships" r:id="rId19"/>
          <a:extLst>
            <a:ext uri="{FF2B5EF4-FFF2-40B4-BE49-F238E27FC236}">
              <a16:creationId xmlns="" xmlns:a16="http://schemas.microsoft.com/office/drawing/2014/main" id="{00000000-0008-0000-0300-00008F010000}"/>
            </a:ext>
          </a:extLst>
        </xdr:cNvPr>
        <xdr:cNvSpPr/>
      </xdr:nvSpPr>
      <xdr:spPr>
        <a:xfrm>
          <a:off x="5696895" y="950094"/>
          <a:ext cx="10476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569383</xdr:colOff>
      <xdr:row>5</xdr:row>
      <xdr:rowOff>187273</xdr:rowOff>
    </xdr:from>
    <xdr:to>
      <xdr:col>13</xdr:col>
      <xdr:colOff>320820</xdr:colOff>
      <xdr:row>8</xdr:row>
      <xdr:rowOff>22573</xdr:rowOff>
    </xdr:to>
    <xdr:sp macro="" textlink="">
      <xdr:nvSpPr>
        <xdr:cNvPr id="400" name="Rectángulo 399">
          <a:hlinkClick xmlns:r="http://schemas.openxmlformats.org/officeDocument/2006/relationships" r:id="rId20"/>
          <a:extLst>
            <a:ext uri="{FF2B5EF4-FFF2-40B4-BE49-F238E27FC236}">
              <a16:creationId xmlns="" xmlns:a16="http://schemas.microsoft.com/office/drawing/2014/main" id="{00000000-0008-0000-0300-000090010000}"/>
            </a:ext>
          </a:extLst>
        </xdr:cNvPr>
        <xdr:cNvSpPr/>
      </xdr:nvSpPr>
      <xdr:spPr>
        <a:xfrm>
          <a:off x="7960783" y="939748"/>
          <a:ext cx="1123037"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Conclusiones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13</xdr:col>
      <xdr:colOff>354982</xdr:colOff>
      <xdr:row>3</xdr:row>
      <xdr:rowOff>111441</xdr:rowOff>
    </xdr:from>
    <xdr:to>
      <xdr:col>14</xdr:col>
      <xdr:colOff>611347</xdr:colOff>
      <xdr:row>8</xdr:row>
      <xdr:rowOff>37116</xdr:rowOff>
    </xdr:to>
    <xdr:sp macro="" textlink="">
      <xdr:nvSpPr>
        <xdr:cNvPr id="401" name="Rectángulo 400">
          <a:hlinkClick xmlns:r="http://schemas.openxmlformats.org/officeDocument/2006/relationships" r:id="rId21"/>
          <a:extLst>
            <a:ext uri="{FF2B5EF4-FFF2-40B4-BE49-F238E27FC236}">
              <a16:creationId xmlns="" xmlns:a16="http://schemas.microsoft.com/office/drawing/2014/main" id="{00000000-0008-0000-0300-000091010000}"/>
            </a:ext>
          </a:extLst>
        </xdr:cNvPr>
        <xdr:cNvSpPr/>
      </xdr:nvSpPr>
      <xdr:spPr>
        <a:xfrm>
          <a:off x="9117982" y="511491"/>
          <a:ext cx="942165" cy="8496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11</xdr:col>
      <xdr:colOff>29765</xdr:colOff>
      <xdr:row>205</xdr:row>
      <xdr:rowOff>39688</xdr:rowOff>
    </xdr:from>
    <xdr:to>
      <xdr:col>12</xdr:col>
      <xdr:colOff>654843</xdr:colOff>
      <xdr:row>205</xdr:row>
      <xdr:rowOff>337344</xdr:rowOff>
    </xdr:to>
    <xdr:sp macro="[0]!Cargar_imagenes" textlink="">
      <xdr:nvSpPr>
        <xdr:cNvPr id="2" name="Rectángulo 1">
          <a:extLst>
            <a:ext uri="{FF2B5EF4-FFF2-40B4-BE49-F238E27FC236}">
              <a16:creationId xmlns="" xmlns:a16="http://schemas.microsoft.com/office/drawing/2014/main" id="{00000000-0008-0000-0300-000002000000}"/>
            </a:ext>
          </a:extLst>
        </xdr:cNvPr>
        <xdr:cNvSpPr/>
      </xdr:nvSpPr>
      <xdr:spPr>
        <a:xfrm>
          <a:off x="7411640" y="29219922"/>
          <a:ext cx="1309687" cy="297656"/>
        </a:xfrm>
        <a:prstGeom prst="rect">
          <a:avLst/>
        </a:prstGeom>
        <a:solidFill>
          <a:schemeClr val="bg2"/>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PE" sz="1050">
              <a:solidFill>
                <a:sysClr val="windowText" lastClr="000000"/>
              </a:solidFill>
              <a:latin typeface="Agency FB" panose="020B0503020202020204" pitchFamily="34" charset="0"/>
            </a:rPr>
            <a:t>Insertar Imágen</a:t>
          </a:r>
        </a:p>
      </xdr:txBody>
    </xdr:sp>
    <xdr:clientData/>
  </xdr:twoCellAnchor>
  <xdr:twoCellAnchor>
    <xdr:from>
      <xdr:col>13</xdr:col>
      <xdr:colOff>19844</xdr:colOff>
      <xdr:row>201</xdr:row>
      <xdr:rowOff>29766</xdr:rowOff>
    </xdr:from>
    <xdr:to>
      <xdr:col>19</xdr:col>
      <xdr:colOff>654844</xdr:colOff>
      <xdr:row>201</xdr:row>
      <xdr:rowOff>1488282</xdr:rowOff>
    </xdr:to>
    <xdr:sp macro="" textlink="">
      <xdr:nvSpPr>
        <xdr:cNvPr id="160" name="Rectángulo 159">
          <a:extLst>
            <a:ext uri="{FF2B5EF4-FFF2-40B4-BE49-F238E27FC236}">
              <a16:creationId xmlns="" xmlns:a16="http://schemas.microsoft.com/office/drawing/2014/main" id="{00000000-0008-0000-0300-0000A0000000}"/>
            </a:ext>
          </a:extLst>
        </xdr:cNvPr>
        <xdr:cNvSpPr/>
      </xdr:nvSpPr>
      <xdr:spPr>
        <a:xfrm>
          <a:off x="8770938" y="26838672"/>
          <a:ext cx="4742656" cy="1458516"/>
        </a:xfrm>
        <a:prstGeom prst="rect">
          <a:avLst/>
        </a:prstGeom>
        <a:solidFill>
          <a:schemeClr val="accent6">
            <a:lumMod val="20000"/>
            <a:lumOff val="80000"/>
          </a:schemeClr>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800" b="1">
              <a:solidFill>
                <a:schemeClr val="bg1">
                  <a:lumMod val="50000"/>
                </a:schemeClr>
              </a:solidFill>
            </a:rPr>
            <a:t>INSERTAR</a:t>
          </a:r>
          <a:r>
            <a:rPr lang="es-PE" sz="2800" b="1" baseline="0">
              <a:solidFill>
                <a:schemeClr val="bg1">
                  <a:lumMod val="50000"/>
                </a:schemeClr>
              </a:solidFill>
            </a:rPr>
            <a:t> IMAGEN AQUÍ</a:t>
          </a:r>
          <a:endParaRPr lang="es-PE" sz="2800" b="1">
            <a:solidFill>
              <a:schemeClr val="bg1">
                <a:lumMod val="50000"/>
              </a:schemeClr>
            </a:solidFill>
          </a:endParaRPr>
        </a:p>
      </xdr:txBody>
    </xdr:sp>
    <xdr:clientData fLocksWithSheet="0"/>
  </xdr:twoCellAnchor>
  <xdr:twoCellAnchor>
    <xdr:from>
      <xdr:col>18</xdr:col>
      <xdr:colOff>109140</xdr:colOff>
      <xdr:row>200</xdr:row>
      <xdr:rowOff>59531</xdr:rowOff>
    </xdr:from>
    <xdr:to>
      <xdr:col>19</xdr:col>
      <xdr:colOff>635000</xdr:colOff>
      <xdr:row>200</xdr:row>
      <xdr:rowOff>337344</xdr:rowOff>
    </xdr:to>
    <xdr:sp macro="[0]!Cargar_imagenes" textlink="">
      <xdr:nvSpPr>
        <xdr:cNvPr id="3" name="Rectángulo 2">
          <a:extLst>
            <a:ext uri="{FF2B5EF4-FFF2-40B4-BE49-F238E27FC236}">
              <a16:creationId xmlns="" xmlns:a16="http://schemas.microsoft.com/office/drawing/2014/main" id="{00000000-0008-0000-0300-000003000000}"/>
            </a:ext>
          </a:extLst>
        </xdr:cNvPr>
        <xdr:cNvSpPr/>
      </xdr:nvSpPr>
      <xdr:spPr>
        <a:xfrm>
          <a:off x="12283281" y="26491406"/>
          <a:ext cx="1210469" cy="277813"/>
        </a:xfrm>
        <a:prstGeom prst="rect">
          <a:avLst/>
        </a:prstGeom>
        <a:solidFill>
          <a:schemeClr val="bg2"/>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PE" sz="1050">
              <a:solidFill>
                <a:sysClr val="windowText" lastClr="000000"/>
              </a:solidFill>
              <a:latin typeface="Agency FB" panose="020B0503020202020204" pitchFamily="34" charset="0"/>
            </a:rPr>
            <a:t>Insertar Imágen</a:t>
          </a:r>
        </a:p>
      </xdr:txBody>
    </xdr:sp>
    <xdr:clientData/>
  </xdr:twoCellAnchor>
  <mc:AlternateContent xmlns:mc="http://schemas.openxmlformats.org/markup-compatibility/2006">
    <mc:Choice xmlns:a14="http://schemas.microsoft.com/office/drawing/2010/main" Requires="a14">
      <xdr:twoCellAnchor editAs="oneCell">
        <xdr:from>
          <xdr:col>3</xdr:col>
          <xdr:colOff>285750</xdr:colOff>
          <xdr:row>72</xdr:row>
          <xdr:rowOff>9525</xdr:rowOff>
        </xdr:from>
        <xdr:to>
          <xdr:col>3</xdr:col>
          <xdr:colOff>476250</xdr:colOff>
          <xdr:row>73</xdr:row>
          <xdr:rowOff>0</xdr:rowOff>
        </xdr:to>
        <xdr:sp macro="" textlink="">
          <xdr:nvSpPr>
            <xdr:cNvPr id="41598" name="OptionButton1" hidden="1">
              <a:extLst>
                <a:ext uri="{63B3BB69-23CF-44E3-9099-C40C66FF867C}">
                  <a14:compatExt spid="_x0000_s41598"/>
                </a:ext>
                <a:ext uri="{FF2B5EF4-FFF2-40B4-BE49-F238E27FC236}">
                  <a16:creationId xmlns="" xmlns:a16="http://schemas.microsoft.com/office/drawing/2014/main" id="{00000000-0008-0000-0300-00007E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72</xdr:row>
          <xdr:rowOff>9525</xdr:rowOff>
        </xdr:from>
        <xdr:to>
          <xdr:col>4</xdr:col>
          <xdr:colOff>609600</xdr:colOff>
          <xdr:row>73</xdr:row>
          <xdr:rowOff>0</xdr:rowOff>
        </xdr:to>
        <xdr:sp macro="" textlink="">
          <xdr:nvSpPr>
            <xdr:cNvPr id="41601" name="OptionButton2" hidden="1">
              <a:extLst>
                <a:ext uri="{63B3BB69-23CF-44E3-9099-C40C66FF867C}">
                  <a14:compatExt spid="_x0000_s41601"/>
                </a:ext>
                <a:ext uri="{FF2B5EF4-FFF2-40B4-BE49-F238E27FC236}">
                  <a16:creationId xmlns="" xmlns:a16="http://schemas.microsoft.com/office/drawing/2014/main" id="{00000000-0008-0000-0300-000081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72</xdr:row>
          <xdr:rowOff>9525</xdr:rowOff>
        </xdr:from>
        <xdr:to>
          <xdr:col>5</xdr:col>
          <xdr:colOff>457200</xdr:colOff>
          <xdr:row>73</xdr:row>
          <xdr:rowOff>0</xdr:rowOff>
        </xdr:to>
        <xdr:sp macro="" textlink="">
          <xdr:nvSpPr>
            <xdr:cNvPr id="41602" name="OptionButton3" hidden="1">
              <a:extLst>
                <a:ext uri="{63B3BB69-23CF-44E3-9099-C40C66FF867C}">
                  <a14:compatExt spid="_x0000_s41602"/>
                </a:ext>
                <a:ext uri="{FF2B5EF4-FFF2-40B4-BE49-F238E27FC236}">
                  <a16:creationId xmlns="" xmlns:a16="http://schemas.microsoft.com/office/drawing/2014/main" id="{00000000-0008-0000-0300-000082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73</xdr:row>
          <xdr:rowOff>9525</xdr:rowOff>
        </xdr:from>
        <xdr:to>
          <xdr:col>3</xdr:col>
          <xdr:colOff>476250</xdr:colOff>
          <xdr:row>74</xdr:row>
          <xdr:rowOff>0</xdr:rowOff>
        </xdr:to>
        <xdr:sp macro="" textlink="">
          <xdr:nvSpPr>
            <xdr:cNvPr id="41603" name="OptionButton4" hidden="1">
              <a:extLst>
                <a:ext uri="{63B3BB69-23CF-44E3-9099-C40C66FF867C}">
                  <a14:compatExt spid="_x0000_s41603"/>
                </a:ext>
                <a:ext uri="{FF2B5EF4-FFF2-40B4-BE49-F238E27FC236}">
                  <a16:creationId xmlns="" xmlns:a16="http://schemas.microsoft.com/office/drawing/2014/main" id="{00000000-0008-0000-0300-000083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73</xdr:row>
          <xdr:rowOff>9525</xdr:rowOff>
        </xdr:from>
        <xdr:to>
          <xdr:col>4</xdr:col>
          <xdr:colOff>609600</xdr:colOff>
          <xdr:row>74</xdr:row>
          <xdr:rowOff>0</xdr:rowOff>
        </xdr:to>
        <xdr:sp macro="" textlink="">
          <xdr:nvSpPr>
            <xdr:cNvPr id="41604" name="OptionButton5" hidden="1">
              <a:extLst>
                <a:ext uri="{63B3BB69-23CF-44E3-9099-C40C66FF867C}">
                  <a14:compatExt spid="_x0000_s41604"/>
                </a:ext>
                <a:ext uri="{FF2B5EF4-FFF2-40B4-BE49-F238E27FC236}">
                  <a16:creationId xmlns="" xmlns:a16="http://schemas.microsoft.com/office/drawing/2014/main" id="{00000000-0008-0000-0300-000084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73</xdr:row>
          <xdr:rowOff>9525</xdr:rowOff>
        </xdr:from>
        <xdr:to>
          <xdr:col>5</xdr:col>
          <xdr:colOff>457200</xdr:colOff>
          <xdr:row>74</xdr:row>
          <xdr:rowOff>0</xdr:rowOff>
        </xdr:to>
        <xdr:sp macro="" textlink="">
          <xdr:nvSpPr>
            <xdr:cNvPr id="41605" name="OptionButton6" hidden="1">
              <a:extLst>
                <a:ext uri="{63B3BB69-23CF-44E3-9099-C40C66FF867C}">
                  <a14:compatExt spid="_x0000_s41605"/>
                </a:ext>
                <a:ext uri="{FF2B5EF4-FFF2-40B4-BE49-F238E27FC236}">
                  <a16:creationId xmlns="" xmlns:a16="http://schemas.microsoft.com/office/drawing/2014/main" id="{00000000-0008-0000-0300-000085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74</xdr:row>
          <xdr:rowOff>9525</xdr:rowOff>
        </xdr:from>
        <xdr:to>
          <xdr:col>3</xdr:col>
          <xdr:colOff>476250</xdr:colOff>
          <xdr:row>75</xdr:row>
          <xdr:rowOff>0</xdr:rowOff>
        </xdr:to>
        <xdr:sp macro="" textlink="">
          <xdr:nvSpPr>
            <xdr:cNvPr id="41606" name="OptionButton7" hidden="1">
              <a:extLst>
                <a:ext uri="{63B3BB69-23CF-44E3-9099-C40C66FF867C}">
                  <a14:compatExt spid="_x0000_s41606"/>
                </a:ext>
                <a:ext uri="{FF2B5EF4-FFF2-40B4-BE49-F238E27FC236}">
                  <a16:creationId xmlns="" xmlns:a16="http://schemas.microsoft.com/office/drawing/2014/main" id="{00000000-0008-0000-0300-000086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74</xdr:row>
          <xdr:rowOff>9525</xdr:rowOff>
        </xdr:from>
        <xdr:to>
          <xdr:col>4</xdr:col>
          <xdr:colOff>609600</xdr:colOff>
          <xdr:row>75</xdr:row>
          <xdr:rowOff>0</xdr:rowOff>
        </xdr:to>
        <xdr:sp macro="" textlink="">
          <xdr:nvSpPr>
            <xdr:cNvPr id="41607" name="OptionButton8" hidden="1">
              <a:extLst>
                <a:ext uri="{63B3BB69-23CF-44E3-9099-C40C66FF867C}">
                  <a14:compatExt spid="_x0000_s41607"/>
                </a:ext>
                <a:ext uri="{FF2B5EF4-FFF2-40B4-BE49-F238E27FC236}">
                  <a16:creationId xmlns="" xmlns:a16="http://schemas.microsoft.com/office/drawing/2014/main" id="{00000000-0008-0000-0300-000087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74</xdr:row>
          <xdr:rowOff>9525</xdr:rowOff>
        </xdr:from>
        <xdr:to>
          <xdr:col>5</xdr:col>
          <xdr:colOff>457200</xdr:colOff>
          <xdr:row>75</xdr:row>
          <xdr:rowOff>0</xdr:rowOff>
        </xdr:to>
        <xdr:sp macro="" textlink="">
          <xdr:nvSpPr>
            <xdr:cNvPr id="41608" name="OptionButton9" hidden="1">
              <a:extLst>
                <a:ext uri="{63B3BB69-23CF-44E3-9099-C40C66FF867C}">
                  <a14:compatExt spid="_x0000_s41608"/>
                </a:ext>
                <a:ext uri="{FF2B5EF4-FFF2-40B4-BE49-F238E27FC236}">
                  <a16:creationId xmlns="" xmlns:a16="http://schemas.microsoft.com/office/drawing/2014/main" id="{00000000-0008-0000-0300-000088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75</xdr:row>
          <xdr:rowOff>9525</xdr:rowOff>
        </xdr:from>
        <xdr:to>
          <xdr:col>3</xdr:col>
          <xdr:colOff>476250</xdr:colOff>
          <xdr:row>76</xdr:row>
          <xdr:rowOff>0</xdr:rowOff>
        </xdr:to>
        <xdr:sp macro="" textlink="">
          <xdr:nvSpPr>
            <xdr:cNvPr id="41609" name="OptionButton10" hidden="1">
              <a:extLst>
                <a:ext uri="{63B3BB69-23CF-44E3-9099-C40C66FF867C}">
                  <a14:compatExt spid="_x0000_s41609"/>
                </a:ext>
                <a:ext uri="{FF2B5EF4-FFF2-40B4-BE49-F238E27FC236}">
                  <a16:creationId xmlns="" xmlns:a16="http://schemas.microsoft.com/office/drawing/2014/main" id="{00000000-0008-0000-0300-000089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75</xdr:row>
          <xdr:rowOff>9525</xdr:rowOff>
        </xdr:from>
        <xdr:to>
          <xdr:col>4</xdr:col>
          <xdr:colOff>609600</xdr:colOff>
          <xdr:row>76</xdr:row>
          <xdr:rowOff>0</xdr:rowOff>
        </xdr:to>
        <xdr:sp macro="" textlink="">
          <xdr:nvSpPr>
            <xdr:cNvPr id="41610" name="OptionButton11" hidden="1">
              <a:extLst>
                <a:ext uri="{63B3BB69-23CF-44E3-9099-C40C66FF867C}">
                  <a14:compatExt spid="_x0000_s41610"/>
                </a:ext>
                <a:ext uri="{FF2B5EF4-FFF2-40B4-BE49-F238E27FC236}">
                  <a16:creationId xmlns="" xmlns:a16="http://schemas.microsoft.com/office/drawing/2014/main" id="{00000000-0008-0000-0300-00008A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75</xdr:row>
          <xdr:rowOff>9525</xdr:rowOff>
        </xdr:from>
        <xdr:to>
          <xdr:col>5</xdr:col>
          <xdr:colOff>457200</xdr:colOff>
          <xdr:row>76</xdr:row>
          <xdr:rowOff>0</xdr:rowOff>
        </xdr:to>
        <xdr:sp macro="" textlink="">
          <xdr:nvSpPr>
            <xdr:cNvPr id="41611" name="OptionButton12" hidden="1">
              <a:extLst>
                <a:ext uri="{63B3BB69-23CF-44E3-9099-C40C66FF867C}">
                  <a14:compatExt spid="_x0000_s41611"/>
                </a:ext>
                <a:ext uri="{FF2B5EF4-FFF2-40B4-BE49-F238E27FC236}">
                  <a16:creationId xmlns="" xmlns:a16="http://schemas.microsoft.com/office/drawing/2014/main" id="{00000000-0008-0000-0300-00008B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64</xdr:row>
          <xdr:rowOff>133350</xdr:rowOff>
        </xdr:from>
        <xdr:to>
          <xdr:col>8</xdr:col>
          <xdr:colOff>590550</xdr:colOff>
          <xdr:row>66</xdr:row>
          <xdr:rowOff>38100</xdr:rowOff>
        </xdr:to>
        <xdr:sp macro="" textlink="">
          <xdr:nvSpPr>
            <xdr:cNvPr id="41613" name="OptionButton13" hidden="1">
              <a:extLst>
                <a:ext uri="{63B3BB69-23CF-44E3-9099-C40C66FF867C}">
                  <a14:compatExt spid="_x0000_s41613"/>
                </a:ext>
                <a:ext uri="{FF2B5EF4-FFF2-40B4-BE49-F238E27FC236}">
                  <a16:creationId xmlns="" xmlns:a16="http://schemas.microsoft.com/office/drawing/2014/main" id="{00000000-0008-0000-0300-00008D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400050</xdr:colOff>
          <xdr:row>64</xdr:row>
          <xdr:rowOff>133350</xdr:rowOff>
        </xdr:from>
        <xdr:to>
          <xdr:col>9</xdr:col>
          <xdr:colOff>590550</xdr:colOff>
          <xdr:row>66</xdr:row>
          <xdr:rowOff>38100</xdr:rowOff>
        </xdr:to>
        <xdr:sp macro="" textlink="">
          <xdr:nvSpPr>
            <xdr:cNvPr id="41614" name="OptionButton14" hidden="1">
              <a:extLst>
                <a:ext uri="{63B3BB69-23CF-44E3-9099-C40C66FF867C}">
                  <a14:compatExt spid="_x0000_s41614"/>
                </a:ext>
                <a:ext uri="{FF2B5EF4-FFF2-40B4-BE49-F238E27FC236}">
                  <a16:creationId xmlns="" xmlns:a16="http://schemas.microsoft.com/office/drawing/2014/main" id="{00000000-0008-0000-0300-00008EA2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76</xdr:row>
          <xdr:rowOff>9525</xdr:rowOff>
        </xdr:from>
        <xdr:to>
          <xdr:col>3</xdr:col>
          <xdr:colOff>476250</xdr:colOff>
          <xdr:row>77</xdr:row>
          <xdr:rowOff>0</xdr:rowOff>
        </xdr:to>
        <xdr:sp macro="" textlink="">
          <xdr:nvSpPr>
            <xdr:cNvPr id="41617" name="OptionButton15" hidden="1">
              <a:extLst>
                <a:ext uri="{63B3BB69-23CF-44E3-9099-C40C66FF867C}">
                  <a14:compatExt spid="_x0000_s41617"/>
                </a:ext>
                <a:ext uri="{FF2B5EF4-FFF2-40B4-BE49-F238E27FC236}">
                  <a16:creationId xmlns="" xmlns:a16="http://schemas.microsoft.com/office/drawing/2014/main" id="{00000000-0008-0000-0300-000091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76</xdr:row>
          <xdr:rowOff>9525</xdr:rowOff>
        </xdr:from>
        <xdr:to>
          <xdr:col>4</xdr:col>
          <xdr:colOff>609600</xdr:colOff>
          <xdr:row>77</xdr:row>
          <xdr:rowOff>0</xdr:rowOff>
        </xdr:to>
        <xdr:sp macro="" textlink="">
          <xdr:nvSpPr>
            <xdr:cNvPr id="41618" name="OptionButton16" hidden="1">
              <a:extLst>
                <a:ext uri="{63B3BB69-23CF-44E3-9099-C40C66FF867C}">
                  <a14:compatExt spid="_x0000_s41618"/>
                </a:ext>
                <a:ext uri="{FF2B5EF4-FFF2-40B4-BE49-F238E27FC236}">
                  <a16:creationId xmlns="" xmlns:a16="http://schemas.microsoft.com/office/drawing/2014/main" id="{00000000-0008-0000-0300-000092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76</xdr:row>
          <xdr:rowOff>9525</xdr:rowOff>
        </xdr:from>
        <xdr:to>
          <xdr:col>5</xdr:col>
          <xdr:colOff>466725</xdr:colOff>
          <xdr:row>77</xdr:row>
          <xdr:rowOff>0</xdr:rowOff>
        </xdr:to>
        <xdr:sp macro="" textlink="">
          <xdr:nvSpPr>
            <xdr:cNvPr id="41619" name="OptionButton17" hidden="1">
              <a:extLst>
                <a:ext uri="{63B3BB69-23CF-44E3-9099-C40C66FF867C}">
                  <a14:compatExt spid="_x0000_s41619"/>
                </a:ext>
                <a:ext uri="{FF2B5EF4-FFF2-40B4-BE49-F238E27FC236}">
                  <a16:creationId xmlns="" xmlns:a16="http://schemas.microsoft.com/office/drawing/2014/main" id="{00000000-0008-0000-0300-000093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77</xdr:row>
          <xdr:rowOff>9525</xdr:rowOff>
        </xdr:from>
        <xdr:to>
          <xdr:col>3</xdr:col>
          <xdr:colOff>476250</xdr:colOff>
          <xdr:row>78</xdr:row>
          <xdr:rowOff>0</xdr:rowOff>
        </xdr:to>
        <xdr:sp macro="" textlink="">
          <xdr:nvSpPr>
            <xdr:cNvPr id="41620" name="OptionButton18" hidden="1">
              <a:extLst>
                <a:ext uri="{63B3BB69-23CF-44E3-9099-C40C66FF867C}">
                  <a14:compatExt spid="_x0000_s41620"/>
                </a:ext>
                <a:ext uri="{FF2B5EF4-FFF2-40B4-BE49-F238E27FC236}">
                  <a16:creationId xmlns="" xmlns:a16="http://schemas.microsoft.com/office/drawing/2014/main" id="{00000000-0008-0000-0300-000094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77</xdr:row>
          <xdr:rowOff>9525</xdr:rowOff>
        </xdr:from>
        <xdr:to>
          <xdr:col>4</xdr:col>
          <xdr:colOff>609600</xdr:colOff>
          <xdr:row>78</xdr:row>
          <xdr:rowOff>0</xdr:rowOff>
        </xdr:to>
        <xdr:sp macro="" textlink="">
          <xdr:nvSpPr>
            <xdr:cNvPr id="41623" name="OptionButton19" hidden="1">
              <a:extLst>
                <a:ext uri="{63B3BB69-23CF-44E3-9099-C40C66FF867C}">
                  <a14:compatExt spid="_x0000_s41623"/>
                </a:ext>
                <a:ext uri="{FF2B5EF4-FFF2-40B4-BE49-F238E27FC236}">
                  <a16:creationId xmlns="" xmlns:a16="http://schemas.microsoft.com/office/drawing/2014/main" id="{00000000-0008-0000-0300-000097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77</xdr:row>
          <xdr:rowOff>9525</xdr:rowOff>
        </xdr:from>
        <xdr:to>
          <xdr:col>5</xdr:col>
          <xdr:colOff>457200</xdr:colOff>
          <xdr:row>78</xdr:row>
          <xdr:rowOff>0</xdr:rowOff>
        </xdr:to>
        <xdr:sp macro="" textlink="">
          <xdr:nvSpPr>
            <xdr:cNvPr id="41624" name="OptionButton20" hidden="1">
              <a:extLst>
                <a:ext uri="{63B3BB69-23CF-44E3-9099-C40C66FF867C}">
                  <a14:compatExt spid="_x0000_s41624"/>
                </a:ext>
                <a:ext uri="{FF2B5EF4-FFF2-40B4-BE49-F238E27FC236}">
                  <a16:creationId xmlns="" xmlns:a16="http://schemas.microsoft.com/office/drawing/2014/main" id="{00000000-0008-0000-0300-000098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78</xdr:row>
          <xdr:rowOff>9525</xdr:rowOff>
        </xdr:from>
        <xdr:to>
          <xdr:col>3</xdr:col>
          <xdr:colOff>476250</xdr:colOff>
          <xdr:row>79</xdr:row>
          <xdr:rowOff>0</xdr:rowOff>
        </xdr:to>
        <xdr:sp macro="" textlink="">
          <xdr:nvSpPr>
            <xdr:cNvPr id="41625" name="OptionButton21" hidden="1">
              <a:extLst>
                <a:ext uri="{63B3BB69-23CF-44E3-9099-C40C66FF867C}">
                  <a14:compatExt spid="_x0000_s41625"/>
                </a:ext>
                <a:ext uri="{FF2B5EF4-FFF2-40B4-BE49-F238E27FC236}">
                  <a16:creationId xmlns="" xmlns:a16="http://schemas.microsoft.com/office/drawing/2014/main" id="{00000000-0008-0000-0300-000099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78</xdr:row>
          <xdr:rowOff>9525</xdr:rowOff>
        </xdr:from>
        <xdr:to>
          <xdr:col>4</xdr:col>
          <xdr:colOff>609600</xdr:colOff>
          <xdr:row>79</xdr:row>
          <xdr:rowOff>0</xdr:rowOff>
        </xdr:to>
        <xdr:sp macro="" textlink="">
          <xdr:nvSpPr>
            <xdr:cNvPr id="41626" name="OptionButton22" hidden="1">
              <a:extLst>
                <a:ext uri="{63B3BB69-23CF-44E3-9099-C40C66FF867C}">
                  <a14:compatExt spid="_x0000_s41626"/>
                </a:ext>
                <a:ext uri="{FF2B5EF4-FFF2-40B4-BE49-F238E27FC236}">
                  <a16:creationId xmlns="" xmlns:a16="http://schemas.microsoft.com/office/drawing/2014/main" id="{00000000-0008-0000-0300-00009A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78</xdr:row>
          <xdr:rowOff>9525</xdr:rowOff>
        </xdr:from>
        <xdr:to>
          <xdr:col>5</xdr:col>
          <xdr:colOff>457200</xdr:colOff>
          <xdr:row>79</xdr:row>
          <xdr:rowOff>0</xdr:rowOff>
        </xdr:to>
        <xdr:sp macro="" textlink="">
          <xdr:nvSpPr>
            <xdr:cNvPr id="41627" name="OptionButton23" hidden="1">
              <a:extLst>
                <a:ext uri="{63B3BB69-23CF-44E3-9099-C40C66FF867C}">
                  <a14:compatExt spid="_x0000_s41627"/>
                </a:ext>
                <a:ext uri="{FF2B5EF4-FFF2-40B4-BE49-F238E27FC236}">
                  <a16:creationId xmlns="" xmlns:a16="http://schemas.microsoft.com/office/drawing/2014/main" id="{00000000-0008-0000-0300-00009B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79</xdr:row>
          <xdr:rowOff>9525</xdr:rowOff>
        </xdr:from>
        <xdr:to>
          <xdr:col>3</xdr:col>
          <xdr:colOff>476250</xdr:colOff>
          <xdr:row>80</xdr:row>
          <xdr:rowOff>0</xdr:rowOff>
        </xdr:to>
        <xdr:sp macro="" textlink="">
          <xdr:nvSpPr>
            <xdr:cNvPr id="41628" name="OptionButton24" hidden="1">
              <a:extLst>
                <a:ext uri="{63B3BB69-23CF-44E3-9099-C40C66FF867C}">
                  <a14:compatExt spid="_x0000_s41628"/>
                </a:ext>
                <a:ext uri="{FF2B5EF4-FFF2-40B4-BE49-F238E27FC236}">
                  <a16:creationId xmlns="" xmlns:a16="http://schemas.microsoft.com/office/drawing/2014/main" id="{00000000-0008-0000-0300-00009C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79</xdr:row>
          <xdr:rowOff>9525</xdr:rowOff>
        </xdr:from>
        <xdr:to>
          <xdr:col>4</xdr:col>
          <xdr:colOff>609600</xdr:colOff>
          <xdr:row>80</xdr:row>
          <xdr:rowOff>0</xdr:rowOff>
        </xdr:to>
        <xdr:sp macro="" textlink="">
          <xdr:nvSpPr>
            <xdr:cNvPr id="41629" name="OptionButton25" hidden="1">
              <a:extLst>
                <a:ext uri="{63B3BB69-23CF-44E3-9099-C40C66FF867C}">
                  <a14:compatExt spid="_x0000_s41629"/>
                </a:ext>
                <a:ext uri="{FF2B5EF4-FFF2-40B4-BE49-F238E27FC236}">
                  <a16:creationId xmlns="" xmlns:a16="http://schemas.microsoft.com/office/drawing/2014/main" id="{00000000-0008-0000-0300-00009D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79</xdr:row>
          <xdr:rowOff>9525</xdr:rowOff>
        </xdr:from>
        <xdr:to>
          <xdr:col>5</xdr:col>
          <xdr:colOff>466725</xdr:colOff>
          <xdr:row>80</xdr:row>
          <xdr:rowOff>0</xdr:rowOff>
        </xdr:to>
        <xdr:sp macro="" textlink="">
          <xdr:nvSpPr>
            <xdr:cNvPr id="41630" name="OptionButton26" hidden="1">
              <a:extLst>
                <a:ext uri="{63B3BB69-23CF-44E3-9099-C40C66FF867C}">
                  <a14:compatExt spid="_x0000_s41630"/>
                </a:ext>
                <a:ext uri="{FF2B5EF4-FFF2-40B4-BE49-F238E27FC236}">
                  <a16:creationId xmlns="" xmlns:a16="http://schemas.microsoft.com/office/drawing/2014/main" id="{00000000-0008-0000-0300-00009E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80</xdr:row>
          <xdr:rowOff>9525</xdr:rowOff>
        </xdr:from>
        <xdr:to>
          <xdr:col>3</xdr:col>
          <xdr:colOff>476250</xdr:colOff>
          <xdr:row>81</xdr:row>
          <xdr:rowOff>0</xdr:rowOff>
        </xdr:to>
        <xdr:sp macro="" textlink="">
          <xdr:nvSpPr>
            <xdr:cNvPr id="41631" name="OptionButton27" hidden="1">
              <a:extLst>
                <a:ext uri="{63B3BB69-23CF-44E3-9099-C40C66FF867C}">
                  <a14:compatExt spid="_x0000_s41631"/>
                </a:ext>
                <a:ext uri="{FF2B5EF4-FFF2-40B4-BE49-F238E27FC236}">
                  <a16:creationId xmlns="" xmlns:a16="http://schemas.microsoft.com/office/drawing/2014/main" id="{00000000-0008-0000-0300-00009F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80</xdr:row>
          <xdr:rowOff>9525</xdr:rowOff>
        </xdr:from>
        <xdr:to>
          <xdr:col>4</xdr:col>
          <xdr:colOff>609600</xdr:colOff>
          <xdr:row>81</xdr:row>
          <xdr:rowOff>0</xdr:rowOff>
        </xdr:to>
        <xdr:sp macro="" textlink="">
          <xdr:nvSpPr>
            <xdr:cNvPr id="41632" name="OptionButton28" hidden="1">
              <a:extLst>
                <a:ext uri="{63B3BB69-23CF-44E3-9099-C40C66FF867C}">
                  <a14:compatExt spid="_x0000_s41632"/>
                </a:ext>
                <a:ext uri="{FF2B5EF4-FFF2-40B4-BE49-F238E27FC236}">
                  <a16:creationId xmlns="" xmlns:a16="http://schemas.microsoft.com/office/drawing/2014/main" id="{00000000-0008-0000-0300-0000A0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80</xdr:row>
          <xdr:rowOff>9525</xdr:rowOff>
        </xdr:from>
        <xdr:to>
          <xdr:col>5</xdr:col>
          <xdr:colOff>466725</xdr:colOff>
          <xdr:row>81</xdr:row>
          <xdr:rowOff>0</xdr:rowOff>
        </xdr:to>
        <xdr:sp macro="" textlink="">
          <xdr:nvSpPr>
            <xdr:cNvPr id="41633" name="OptionButton29" hidden="1">
              <a:extLst>
                <a:ext uri="{63B3BB69-23CF-44E3-9099-C40C66FF867C}">
                  <a14:compatExt spid="_x0000_s41633"/>
                </a:ext>
                <a:ext uri="{FF2B5EF4-FFF2-40B4-BE49-F238E27FC236}">
                  <a16:creationId xmlns="" xmlns:a16="http://schemas.microsoft.com/office/drawing/2014/main" id="{00000000-0008-0000-0300-0000A1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81</xdr:row>
          <xdr:rowOff>9525</xdr:rowOff>
        </xdr:from>
        <xdr:to>
          <xdr:col>3</xdr:col>
          <xdr:colOff>476250</xdr:colOff>
          <xdr:row>82</xdr:row>
          <xdr:rowOff>0</xdr:rowOff>
        </xdr:to>
        <xdr:sp macro="" textlink="">
          <xdr:nvSpPr>
            <xdr:cNvPr id="41634" name="OptionButton30" hidden="1">
              <a:extLst>
                <a:ext uri="{63B3BB69-23CF-44E3-9099-C40C66FF867C}">
                  <a14:compatExt spid="_x0000_s41634"/>
                </a:ext>
                <a:ext uri="{FF2B5EF4-FFF2-40B4-BE49-F238E27FC236}">
                  <a16:creationId xmlns="" xmlns:a16="http://schemas.microsoft.com/office/drawing/2014/main" id="{00000000-0008-0000-0300-0000A2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81</xdr:row>
          <xdr:rowOff>9525</xdr:rowOff>
        </xdr:from>
        <xdr:to>
          <xdr:col>4</xdr:col>
          <xdr:colOff>609600</xdr:colOff>
          <xdr:row>82</xdr:row>
          <xdr:rowOff>0</xdr:rowOff>
        </xdr:to>
        <xdr:sp macro="" textlink="">
          <xdr:nvSpPr>
            <xdr:cNvPr id="41635" name="OptionButton31" hidden="1">
              <a:extLst>
                <a:ext uri="{63B3BB69-23CF-44E3-9099-C40C66FF867C}">
                  <a14:compatExt spid="_x0000_s41635"/>
                </a:ext>
                <a:ext uri="{FF2B5EF4-FFF2-40B4-BE49-F238E27FC236}">
                  <a16:creationId xmlns="" xmlns:a16="http://schemas.microsoft.com/office/drawing/2014/main" id="{00000000-0008-0000-0300-0000A3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81</xdr:row>
          <xdr:rowOff>9525</xdr:rowOff>
        </xdr:from>
        <xdr:to>
          <xdr:col>5</xdr:col>
          <xdr:colOff>457200</xdr:colOff>
          <xdr:row>82</xdr:row>
          <xdr:rowOff>0</xdr:rowOff>
        </xdr:to>
        <xdr:sp macro="" textlink="">
          <xdr:nvSpPr>
            <xdr:cNvPr id="41636" name="OptionButton32" hidden="1">
              <a:extLst>
                <a:ext uri="{63B3BB69-23CF-44E3-9099-C40C66FF867C}">
                  <a14:compatExt spid="_x0000_s41636"/>
                </a:ext>
                <a:ext uri="{FF2B5EF4-FFF2-40B4-BE49-F238E27FC236}">
                  <a16:creationId xmlns="" xmlns:a16="http://schemas.microsoft.com/office/drawing/2014/main" id="{00000000-0008-0000-0300-0000A4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82</xdr:row>
          <xdr:rowOff>9525</xdr:rowOff>
        </xdr:from>
        <xdr:to>
          <xdr:col>3</xdr:col>
          <xdr:colOff>476250</xdr:colOff>
          <xdr:row>83</xdr:row>
          <xdr:rowOff>9525</xdr:rowOff>
        </xdr:to>
        <xdr:sp macro="" textlink="">
          <xdr:nvSpPr>
            <xdr:cNvPr id="41637" name="OptionButton33" hidden="1">
              <a:extLst>
                <a:ext uri="{63B3BB69-23CF-44E3-9099-C40C66FF867C}">
                  <a14:compatExt spid="_x0000_s41637"/>
                </a:ext>
                <a:ext uri="{FF2B5EF4-FFF2-40B4-BE49-F238E27FC236}">
                  <a16:creationId xmlns="" xmlns:a16="http://schemas.microsoft.com/office/drawing/2014/main" id="{00000000-0008-0000-0300-0000A5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82</xdr:row>
          <xdr:rowOff>9525</xdr:rowOff>
        </xdr:from>
        <xdr:to>
          <xdr:col>4</xdr:col>
          <xdr:colOff>609600</xdr:colOff>
          <xdr:row>83</xdr:row>
          <xdr:rowOff>0</xdr:rowOff>
        </xdr:to>
        <xdr:sp macro="" textlink="">
          <xdr:nvSpPr>
            <xdr:cNvPr id="41638" name="OptionButton34" hidden="1">
              <a:extLst>
                <a:ext uri="{63B3BB69-23CF-44E3-9099-C40C66FF867C}">
                  <a14:compatExt spid="_x0000_s41638"/>
                </a:ext>
                <a:ext uri="{FF2B5EF4-FFF2-40B4-BE49-F238E27FC236}">
                  <a16:creationId xmlns="" xmlns:a16="http://schemas.microsoft.com/office/drawing/2014/main" id="{00000000-0008-0000-0300-0000A6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82</xdr:row>
          <xdr:rowOff>9525</xdr:rowOff>
        </xdr:from>
        <xdr:to>
          <xdr:col>5</xdr:col>
          <xdr:colOff>457200</xdr:colOff>
          <xdr:row>83</xdr:row>
          <xdr:rowOff>0</xdr:rowOff>
        </xdr:to>
        <xdr:sp macro="" textlink="">
          <xdr:nvSpPr>
            <xdr:cNvPr id="41639" name="OptionButton35" hidden="1">
              <a:extLst>
                <a:ext uri="{63B3BB69-23CF-44E3-9099-C40C66FF867C}">
                  <a14:compatExt spid="_x0000_s41639"/>
                </a:ext>
                <a:ext uri="{FF2B5EF4-FFF2-40B4-BE49-F238E27FC236}">
                  <a16:creationId xmlns="" xmlns:a16="http://schemas.microsoft.com/office/drawing/2014/main" id="{00000000-0008-0000-0300-0000A7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83</xdr:row>
          <xdr:rowOff>9525</xdr:rowOff>
        </xdr:from>
        <xdr:to>
          <xdr:col>3</xdr:col>
          <xdr:colOff>476250</xdr:colOff>
          <xdr:row>84</xdr:row>
          <xdr:rowOff>9525</xdr:rowOff>
        </xdr:to>
        <xdr:sp macro="" textlink="">
          <xdr:nvSpPr>
            <xdr:cNvPr id="41640" name="OptionButton36" hidden="1">
              <a:extLst>
                <a:ext uri="{63B3BB69-23CF-44E3-9099-C40C66FF867C}">
                  <a14:compatExt spid="_x0000_s41640"/>
                </a:ext>
                <a:ext uri="{FF2B5EF4-FFF2-40B4-BE49-F238E27FC236}">
                  <a16:creationId xmlns="" xmlns:a16="http://schemas.microsoft.com/office/drawing/2014/main" id="{00000000-0008-0000-0300-0000A8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83</xdr:row>
          <xdr:rowOff>9525</xdr:rowOff>
        </xdr:from>
        <xdr:to>
          <xdr:col>4</xdr:col>
          <xdr:colOff>609600</xdr:colOff>
          <xdr:row>84</xdr:row>
          <xdr:rowOff>9525</xdr:rowOff>
        </xdr:to>
        <xdr:sp macro="" textlink="">
          <xdr:nvSpPr>
            <xdr:cNvPr id="41641" name="OptionButton37" hidden="1">
              <a:extLst>
                <a:ext uri="{63B3BB69-23CF-44E3-9099-C40C66FF867C}">
                  <a14:compatExt spid="_x0000_s41641"/>
                </a:ext>
                <a:ext uri="{FF2B5EF4-FFF2-40B4-BE49-F238E27FC236}">
                  <a16:creationId xmlns="" xmlns:a16="http://schemas.microsoft.com/office/drawing/2014/main" id="{00000000-0008-0000-0300-0000A9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83</xdr:row>
          <xdr:rowOff>9525</xdr:rowOff>
        </xdr:from>
        <xdr:to>
          <xdr:col>5</xdr:col>
          <xdr:colOff>466725</xdr:colOff>
          <xdr:row>84</xdr:row>
          <xdr:rowOff>9525</xdr:rowOff>
        </xdr:to>
        <xdr:sp macro="" textlink="">
          <xdr:nvSpPr>
            <xdr:cNvPr id="41642" name="OptionButton38" hidden="1">
              <a:extLst>
                <a:ext uri="{63B3BB69-23CF-44E3-9099-C40C66FF867C}">
                  <a14:compatExt spid="_x0000_s41642"/>
                </a:ext>
                <a:ext uri="{FF2B5EF4-FFF2-40B4-BE49-F238E27FC236}">
                  <a16:creationId xmlns="" xmlns:a16="http://schemas.microsoft.com/office/drawing/2014/main" id="{00000000-0008-0000-0300-0000AA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285750</xdr:colOff>
          <xdr:row>84</xdr:row>
          <xdr:rowOff>9525</xdr:rowOff>
        </xdr:from>
        <xdr:to>
          <xdr:col>3</xdr:col>
          <xdr:colOff>476250</xdr:colOff>
          <xdr:row>85</xdr:row>
          <xdr:rowOff>0</xdr:rowOff>
        </xdr:to>
        <xdr:sp macro="" textlink="">
          <xdr:nvSpPr>
            <xdr:cNvPr id="41643" name="OptionButton39" hidden="1">
              <a:extLst>
                <a:ext uri="{63B3BB69-23CF-44E3-9099-C40C66FF867C}">
                  <a14:compatExt spid="_x0000_s41643"/>
                </a:ext>
                <a:ext uri="{FF2B5EF4-FFF2-40B4-BE49-F238E27FC236}">
                  <a16:creationId xmlns="" xmlns:a16="http://schemas.microsoft.com/office/drawing/2014/main" id="{00000000-0008-0000-0300-0000AB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84</xdr:row>
          <xdr:rowOff>0</xdr:rowOff>
        </xdr:from>
        <xdr:to>
          <xdr:col>4</xdr:col>
          <xdr:colOff>609600</xdr:colOff>
          <xdr:row>84</xdr:row>
          <xdr:rowOff>304800</xdr:rowOff>
        </xdr:to>
        <xdr:sp macro="" textlink="">
          <xdr:nvSpPr>
            <xdr:cNvPr id="41644" name="OptionButton40" hidden="1">
              <a:extLst>
                <a:ext uri="{63B3BB69-23CF-44E3-9099-C40C66FF867C}">
                  <a14:compatExt spid="_x0000_s41644"/>
                </a:ext>
                <a:ext uri="{FF2B5EF4-FFF2-40B4-BE49-F238E27FC236}">
                  <a16:creationId xmlns="" xmlns:a16="http://schemas.microsoft.com/office/drawing/2014/main" id="{00000000-0008-0000-0300-0000AC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84</xdr:row>
          <xdr:rowOff>0</xdr:rowOff>
        </xdr:from>
        <xdr:to>
          <xdr:col>5</xdr:col>
          <xdr:colOff>466725</xdr:colOff>
          <xdr:row>84</xdr:row>
          <xdr:rowOff>304800</xdr:rowOff>
        </xdr:to>
        <xdr:sp macro="" textlink="">
          <xdr:nvSpPr>
            <xdr:cNvPr id="41645" name="OptionButton41" hidden="1">
              <a:extLst>
                <a:ext uri="{63B3BB69-23CF-44E3-9099-C40C66FF867C}">
                  <a14:compatExt spid="_x0000_s41645"/>
                </a:ext>
                <a:ext uri="{FF2B5EF4-FFF2-40B4-BE49-F238E27FC236}">
                  <a16:creationId xmlns="" xmlns:a16="http://schemas.microsoft.com/office/drawing/2014/main" id="{00000000-0008-0000-0300-0000AD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93</xdr:row>
          <xdr:rowOff>152400</xdr:rowOff>
        </xdr:from>
        <xdr:to>
          <xdr:col>16</xdr:col>
          <xdr:colOff>66675</xdr:colOff>
          <xdr:row>95</xdr:row>
          <xdr:rowOff>19050</xdr:rowOff>
        </xdr:to>
        <xdr:sp macro="" textlink="">
          <xdr:nvSpPr>
            <xdr:cNvPr id="41702" name="CommandButton1" hidden="1">
              <a:extLst>
                <a:ext uri="{63B3BB69-23CF-44E3-9099-C40C66FF867C}">
                  <a14:compatExt spid="_x0000_s41702"/>
                </a:ext>
                <a:ext uri="{FF2B5EF4-FFF2-40B4-BE49-F238E27FC236}">
                  <a16:creationId xmlns="" xmlns:a16="http://schemas.microsoft.com/office/drawing/2014/main" id="{00000000-0008-0000-0300-0000E6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133</xdr:row>
          <xdr:rowOff>104775</xdr:rowOff>
        </xdr:from>
        <xdr:to>
          <xdr:col>4</xdr:col>
          <xdr:colOff>733425</xdr:colOff>
          <xdr:row>136</xdr:row>
          <xdr:rowOff>0</xdr:rowOff>
        </xdr:to>
        <xdr:sp macro="" textlink="">
          <xdr:nvSpPr>
            <xdr:cNvPr id="41704" name="CommandButton2" hidden="1">
              <a:extLst>
                <a:ext uri="{63B3BB69-23CF-44E3-9099-C40C66FF867C}">
                  <a14:compatExt spid="_x0000_s41704"/>
                </a:ext>
                <a:ext uri="{FF2B5EF4-FFF2-40B4-BE49-F238E27FC236}">
                  <a16:creationId xmlns="" xmlns:a16="http://schemas.microsoft.com/office/drawing/2014/main" id="{00000000-0008-0000-0300-0000E8A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609600</xdr:colOff>
          <xdr:row>157</xdr:row>
          <xdr:rowOff>57150</xdr:rowOff>
        </xdr:from>
        <xdr:to>
          <xdr:col>17</xdr:col>
          <xdr:colOff>638175</xdr:colOff>
          <xdr:row>160</xdr:row>
          <xdr:rowOff>0</xdr:rowOff>
        </xdr:to>
        <xdr:sp macro="" textlink="">
          <xdr:nvSpPr>
            <xdr:cNvPr id="41705" name="Button 745" hidden="1">
              <a:extLst>
                <a:ext uri="{63B3BB69-23CF-44E3-9099-C40C66FF867C}">
                  <a14:compatExt spid="_x0000_s41705"/>
                </a:ext>
                <a:ext uri="{FF2B5EF4-FFF2-40B4-BE49-F238E27FC236}">
                  <a16:creationId xmlns="" xmlns:a16="http://schemas.microsoft.com/office/drawing/2014/main" id="{00000000-0008-0000-0300-0000E9A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rPr>
                <a:t>Ir a la hoja de Resumen del Análisis de Riesgos de Desastres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9525</xdr:colOff>
      <xdr:row>9</xdr:row>
      <xdr:rowOff>9525</xdr:rowOff>
    </xdr:to>
    <xdr:grpSp>
      <xdr:nvGrpSpPr>
        <xdr:cNvPr id="22" name="Grupo 21">
          <a:extLst>
            <a:ext uri="{FF2B5EF4-FFF2-40B4-BE49-F238E27FC236}">
              <a16:creationId xmlns="" xmlns:a16="http://schemas.microsoft.com/office/drawing/2014/main" id="{00000000-0008-0000-0400-000016000000}"/>
            </a:ext>
          </a:extLst>
        </xdr:cNvPr>
        <xdr:cNvGrpSpPr/>
      </xdr:nvGrpSpPr>
      <xdr:grpSpPr>
        <a:xfrm>
          <a:off x="0" y="0"/>
          <a:ext cx="9001125" cy="1724025"/>
          <a:chOff x="9592236" y="1916205"/>
          <a:chExt cx="9551614" cy="1734028"/>
        </a:xfrm>
      </xdr:grpSpPr>
      <xdr:pic>
        <xdr:nvPicPr>
          <xdr:cNvPr id="23" name="Imagen 22">
            <a:extLst>
              <a:ext uri="{FF2B5EF4-FFF2-40B4-BE49-F238E27FC236}">
                <a16:creationId xmlns="" xmlns:a16="http://schemas.microsoft.com/office/drawing/2014/main" id="{00000000-0008-0000-0400-00001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24" name="Imagen 23">
            <a:extLst>
              <a:ext uri="{FF2B5EF4-FFF2-40B4-BE49-F238E27FC236}">
                <a16:creationId xmlns="" xmlns:a16="http://schemas.microsoft.com/office/drawing/2014/main" id="{00000000-0008-0000-0400-00001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25" name="Imagen 24">
            <a:extLst>
              <a:ext uri="{FF2B5EF4-FFF2-40B4-BE49-F238E27FC236}">
                <a16:creationId xmlns="" xmlns:a16="http://schemas.microsoft.com/office/drawing/2014/main" id="{00000000-0008-0000-04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26" name="Imagen 25">
            <a:extLst>
              <a:ext uri="{FF2B5EF4-FFF2-40B4-BE49-F238E27FC236}">
                <a16:creationId xmlns="" xmlns:a16="http://schemas.microsoft.com/office/drawing/2014/main" id="{00000000-0008-0000-0400-00001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31567"/>
            <a:ext cx="2368646" cy="1718666"/>
          </a:xfrm>
          <a:prstGeom prst="rect">
            <a:avLst/>
          </a:prstGeom>
        </xdr:spPr>
      </xdr:pic>
    </xdr:grpSp>
    <xdr:clientData/>
  </xdr:twoCellAnchor>
  <xdr:twoCellAnchor>
    <xdr:from>
      <xdr:col>0</xdr:col>
      <xdr:colOff>123825</xdr:colOff>
      <xdr:row>3</xdr:row>
      <xdr:rowOff>102577</xdr:rowOff>
    </xdr:from>
    <xdr:to>
      <xdr:col>1</xdr:col>
      <xdr:colOff>258233</xdr:colOff>
      <xdr:row>8</xdr:row>
      <xdr:rowOff>29308</xdr:rowOff>
    </xdr:to>
    <xdr:sp macro="" textlink="">
      <xdr:nvSpPr>
        <xdr:cNvPr id="2" name="Rectángulo 1">
          <a:hlinkClick xmlns:r="http://schemas.openxmlformats.org/officeDocument/2006/relationships" r:id="rId5"/>
          <a:extLst>
            <a:ext uri="{FF2B5EF4-FFF2-40B4-BE49-F238E27FC236}">
              <a16:creationId xmlns="" xmlns:a16="http://schemas.microsoft.com/office/drawing/2014/main" id="{00000000-0008-0000-0400-000002000000}"/>
            </a:ext>
          </a:extLst>
        </xdr:cNvPr>
        <xdr:cNvSpPr/>
      </xdr:nvSpPr>
      <xdr:spPr>
        <a:xfrm>
          <a:off x="123825" y="674077"/>
          <a:ext cx="696383" cy="87923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266700</xdr:colOff>
      <xdr:row>5</xdr:row>
      <xdr:rowOff>183130</xdr:rowOff>
    </xdr:from>
    <xdr:to>
      <xdr:col>3</xdr:col>
      <xdr:colOff>262753</xdr:colOff>
      <xdr:row>8</xdr:row>
      <xdr:rowOff>18430</xdr:rowOff>
    </xdr:to>
    <xdr:sp macro="" textlink="">
      <xdr:nvSpPr>
        <xdr:cNvPr id="3" name="Rectángulo 2">
          <a:hlinkClick xmlns:r="http://schemas.openxmlformats.org/officeDocument/2006/relationships" r:id="rId7"/>
          <a:extLst>
            <a:ext uri="{FF2B5EF4-FFF2-40B4-BE49-F238E27FC236}">
              <a16:creationId xmlns="" xmlns:a16="http://schemas.microsoft.com/office/drawing/2014/main" id="{00000000-0008-0000-0400-000003000000}"/>
            </a:ext>
          </a:extLst>
        </xdr:cNvPr>
        <xdr:cNvSpPr/>
      </xdr:nvSpPr>
      <xdr:spPr>
        <a:xfrm>
          <a:off x="733425" y="1135630"/>
          <a:ext cx="1120003"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296162</xdr:colOff>
      <xdr:row>6</xdr:row>
      <xdr:rowOff>3647</xdr:rowOff>
    </xdr:from>
    <xdr:to>
      <xdr:col>5</xdr:col>
      <xdr:colOff>141652</xdr:colOff>
      <xdr:row>8</xdr:row>
      <xdr:rowOff>29447</xdr:rowOff>
    </xdr:to>
    <xdr:sp macro="" textlink="">
      <xdr:nvSpPr>
        <xdr:cNvPr id="4" name="Rectángulo 3">
          <a:hlinkClick xmlns:r="http://schemas.openxmlformats.org/officeDocument/2006/relationships" r:id="rId8"/>
          <a:extLst>
            <a:ext uri="{FF2B5EF4-FFF2-40B4-BE49-F238E27FC236}">
              <a16:creationId xmlns="" xmlns:a16="http://schemas.microsoft.com/office/drawing/2014/main" id="{00000000-0008-0000-0400-000004000000}"/>
            </a:ext>
          </a:extLst>
        </xdr:cNvPr>
        <xdr:cNvSpPr/>
      </xdr:nvSpPr>
      <xdr:spPr>
        <a:xfrm>
          <a:off x="1886837" y="1146647"/>
          <a:ext cx="96944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294919</xdr:colOff>
      <xdr:row>3</xdr:row>
      <xdr:rowOff>125800</xdr:rowOff>
    </xdr:from>
    <xdr:to>
      <xdr:col>5</xdr:col>
      <xdr:colOff>141111</xdr:colOff>
      <xdr:row>5</xdr:row>
      <xdr:rowOff>151600</xdr:rowOff>
    </xdr:to>
    <xdr:sp macro="" textlink="">
      <xdr:nvSpPr>
        <xdr:cNvPr id="5" name="Rectángulo 4">
          <a:hlinkClick xmlns:r="http://schemas.openxmlformats.org/officeDocument/2006/relationships" r:id="rId9"/>
          <a:extLst>
            <a:ext uri="{FF2B5EF4-FFF2-40B4-BE49-F238E27FC236}">
              <a16:creationId xmlns="" xmlns:a16="http://schemas.microsoft.com/office/drawing/2014/main" id="{00000000-0008-0000-0400-000005000000}"/>
            </a:ext>
          </a:extLst>
        </xdr:cNvPr>
        <xdr:cNvSpPr/>
      </xdr:nvSpPr>
      <xdr:spPr>
        <a:xfrm>
          <a:off x="1885594" y="697300"/>
          <a:ext cx="970142"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76507</xdr:colOff>
      <xdr:row>3</xdr:row>
      <xdr:rowOff>121887</xdr:rowOff>
    </xdr:from>
    <xdr:to>
      <xdr:col>8</xdr:col>
      <xdr:colOff>455479</xdr:colOff>
      <xdr:row>5</xdr:row>
      <xdr:rowOff>147687</xdr:rowOff>
    </xdr:to>
    <xdr:sp macro="" textlink="">
      <xdr:nvSpPr>
        <xdr:cNvPr id="6" name="Rectángulo 5">
          <a:hlinkClick xmlns:r="http://schemas.openxmlformats.org/officeDocument/2006/relationships" r:id="rId10"/>
          <a:extLst>
            <a:ext uri="{FF2B5EF4-FFF2-40B4-BE49-F238E27FC236}">
              <a16:creationId xmlns="" xmlns:a16="http://schemas.microsoft.com/office/drawing/2014/main" id="{00000000-0008-0000-0400-000006000000}"/>
            </a:ext>
          </a:extLst>
        </xdr:cNvPr>
        <xdr:cNvSpPr/>
      </xdr:nvSpPr>
      <xdr:spPr>
        <a:xfrm>
          <a:off x="3915082" y="693387"/>
          <a:ext cx="940947"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160606</xdr:colOff>
      <xdr:row>3</xdr:row>
      <xdr:rowOff>119589</xdr:rowOff>
    </xdr:from>
    <xdr:to>
      <xdr:col>7</xdr:col>
      <xdr:colOff>44893</xdr:colOff>
      <xdr:row>5</xdr:row>
      <xdr:rowOff>145389</xdr:rowOff>
    </xdr:to>
    <xdr:sp macro="" textlink="">
      <xdr:nvSpPr>
        <xdr:cNvPr id="7" name="Rectángulo 6">
          <a:hlinkClick xmlns:r="http://schemas.openxmlformats.org/officeDocument/2006/relationships" r:id="rId11"/>
          <a:extLst>
            <a:ext uri="{FF2B5EF4-FFF2-40B4-BE49-F238E27FC236}">
              <a16:creationId xmlns="" xmlns:a16="http://schemas.microsoft.com/office/drawing/2014/main" id="{00000000-0008-0000-0400-000007000000}"/>
            </a:ext>
          </a:extLst>
        </xdr:cNvPr>
        <xdr:cNvSpPr/>
      </xdr:nvSpPr>
      <xdr:spPr>
        <a:xfrm>
          <a:off x="2875231" y="691089"/>
          <a:ext cx="1008237"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276225</xdr:colOff>
      <xdr:row>3</xdr:row>
      <xdr:rowOff>119076</xdr:rowOff>
    </xdr:from>
    <xdr:to>
      <xdr:col>3</xdr:col>
      <xdr:colOff>264293</xdr:colOff>
      <xdr:row>5</xdr:row>
      <xdr:rowOff>144876</xdr:rowOff>
    </xdr:to>
    <xdr:sp macro="" textlink="">
      <xdr:nvSpPr>
        <xdr:cNvPr id="8" name="Rectángulo 7">
          <a:hlinkClick xmlns:r="http://schemas.openxmlformats.org/officeDocument/2006/relationships" r:id="rId12"/>
          <a:extLst>
            <a:ext uri="{FF2B5EF4-FFF2-40B4-BE49-F238E27FC236}">
              <a16:creationId xmlns="" xmlns:a16="http://schemas.microsoft.com/office/drawing/2014/main" id="{00000000-0008-0000-0400-000008000000}"/>
            </a:ext>
          </a:extLst>
        </xdr:cNvPr>
        <xdr:cNvSpPr/>
      </xdr:nvSpPr>
      <xdr:spPr>
        <a:xfrm>
          <a:off x="742950" y="690576"/>
          <a:ext cx="1112018"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176120</xdr:colOff>
      <xdr:row>6</xdr:row>
      <xdr:rowOff>1657</xdr:rowOff>
    </xdr:from>
    <xdr:to>
      <xdr:col>7</xdr:col>
      <xdr:colOff>51644</xdr:colOff>
      <xdr:row>8</xdr:row>
      <xdr:rowOff>27457</xdr:rowOff>
    </xdr:to>
    <xdr:sp macro="" textlink="">
      <xdr:nvSpPr>
        <xdr:cNvPr id="9" name="Rectángulo 8">
          <a:hlinkClick xmlns:r="http://schemas.openxmlformats.org/officeDocument/2006/relationships" r:id="rId13"/>
          <a:extLst>
            <a:ext uri="{FF2B5EF4-FFF2-40B4-BE49-F238E27FC236}">
              <a16:creationId xmlns="" xmlns:a16="http://schemas.microsoft.com/office/drawing/2014/main" id="{00000000-0008-0000-0400-000009000000}"/>
            </a:ext>
          </a:extLst>
        </xdr:cNvPr>
        <xdr:cNvSpPr/>
      </xdr:nvSpPr>
      <xdr:spPr>
        <a:xfrm>
          <a:off x="2890745" y="1144657"/>
          <a:ext cx="999474"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349866</xdr:colOff>
      <xdr:row>6</xdr:row>
      <xdr:rowOff>5500</xdr:rowOff>
    </xdr:from>
    <xdr:to>
      <xdr:col>12</xdr:col>
      <xdr:colOff>156666</xdr:colOff>
      <xdr:row>8</xdr:row>
      <xdr:rowOff>31300</xdr:rowOff>
    </xdr:to>
    <xdr:sp macro="" textlink="">
      <xdr:nvSpPr>
        <xdr:cNvPr id="10" name="Rectángulo 9">
          <a:hlinkClick xmlns:r="http://schemas.openxmlformats.org/officeDocument/2006/relationships" r:id="rId14"/>
          <a:extLst>
            <a:ext uri="{FF2B5EF4-FFF2-40B4-BE49-F238E27FC236}">
              <a16:creationId xmlns="" xmlns:a16="http://schemas.microsoft.com/office/drawing/2014/main" id="{00000000-0008-0000-0400-00000A000000}"/>
            </a:ext>
          </a:extLst>
        </xdr:cNvPr>
        <xdr:cNvSpPr/>
      </xdr:nvSpPr>
      <xdr:spPr>
        <a:xfrm>
          <a:off x="5874366" y="1148500"/>
          <a:ext cx="1026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12</xdr:col>
      <xdr:colOff>166967</xdr:colOff>
      <xdr:row>3</xdr:row>
      <xdr:rowOff>145376</xdr:rowOff>
    </xdr:from>
    <xdr:to>
      <xdr:col>14</xdr:col>
      <xdr:colOff>15017</xdr:colOff>
      <xdr:row>5</xdr:row>
      <xdr:rowOff>171176</xdr:rowOff>
    </xdr:to>
    <xdr:sp macro="" textlink="">
      <xdr:nvSpPr>
        <xdr:cNvPr id="11" name="Rectángulo 10">
          <a:hlinkClick xmlns:r="http://schemas.openxmlformats.org/officeDocument/2006/relationships" r:id="rId15"/>
          <a:extLst>
            <a:ext uri="{FF2B5EF4-FFF2-40B4-BE49-F238E27FC236}">
              <a16:creationId xmlns="" xmlns:a16="http://schemas.microsoft.com/office/drawing/2014/main" id="{00000000-0008-0000-0400-00000B000000}"/>
            </a:ext>
          </a:extLst>
        </xdr:cNvPr>
        <xdr:cNvSpPr/>
      </xdr:nvSpPr>
      <xdr:spPr>
        <a:xfrm>
          <a:off x="6910667" y="716876"/>
          <a:ext cx="972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171450</xdr:colOff>
      <xdr:row>0</xdr:row>
      <xdr:rowOff>123825</xdr:rowOff>
    </xdr:from>
    <xdr:to>
      <xdr:col>4</xdr:col>
      <xdr:colOff>532342</xdr:colOff>
      <xdr:row>2</xdr:row>
      <xdr:rowOff>133350</xdr:rowOff>
    </xdr:to>
    <xdr:sp macro="" textlink="">
      <xdr:nvSpPr>
        <xdr:cNvPr id="12" name="CuadroTexto 11">
          <a:extLst>
            <a:ext uri="{FF2B5EF4-FFF2-40B4-BE49-F238E27FC236}">
              <a16:creationId xmlns="" xmlns:a16="http://schemas.microsoft.com/office/drawing/2014/main" id="{00000000-0008-0000-0400-00000C000000}"/>
            </a:ext>
          </a:extLst>
        </xdr:cNvPr>
        <xdr:cNvSpPr txBox="1"/>
      </xdr:nvSpPr>
      <xdr:spPr>
        <a:xfrm>
          <a:off x="171450" y="123825"/>
          <a:ext cx="2513542" cy="390525"/>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2"/>
              </a:solidFill>
            </a:rPr>
            <a:t>4. INVOLUCRADOS</a:t>
          </a:r>
        </a:p>
      </xdr:txBody>
    </xdr:sp>
    <xdr:clientData/>
  </xdr:twoCellAnchor>
  <xdr:twoCellAnchor>
    <xdr:from>
      <xdr:col>11</xdr:col>
      <xdr:colOff>149225</xdr:colOff>
      <xdr:row>0</xdr:row>
      <xdr:rowOff>144993</xdr:rowOff>
    </xdr:from>
    <xdr:to>
      <xdr:col>15</xdr:col>
      <xdr:colOff>196850</xdr:colOff>
      <xdr:row>2</xdr:row>
      <xdr:rowOff>154517</xdr:rowOff>
    </xdr:to>
    <xdr:sp macro="[0]!Mostrar_Ayuda_Involucrados" textlink="">
      <xdr:nvSpPr>
        <xdr:cNvPr id="13" name="CuadroTexto 12">
          <a:extLst>
            <a:ext uri="{FF2B5EF4-FFF2-40B4-BE49-F238E27FC236}">
              <a16:creationId xmlns="" xmlns:a16="http://schemas.microsoft.com/office/drawing/2014/main" id="{00000000-0008-0000-0400-00000D000000}"/>
            </a:ext>
          </a:extLst>
        </xdr:cNvPr>
        <xdr:cNvSpPr txBox="1"/>
      </xdr:nvSpPr>
      <xdr:spPr>
        <a:xfrm>
          <a:off x="6235700" y="144993"/>
          <a:ext cx="2390775" cy="39052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2"/>
              </a:solidFill>
            </a:rPr>
            <a:t>INSTRUCTIVO</a:t>
          </a:r>
        </a:p>
      </xdr:txBody>
    </xdr:sp>
    <xdr:clientData/>
  </xdr:twoCellAnchor>
  <xdr:twoCellAnchor>
    <xdr:from>
      <xdr:col>7</xdr:col>
      <xdr:colOff>85889</xdr:colOff>
      <xdr:row>6</xdr:row>
      <xdr:rowOff>1228</xdr:rowOff>
    </xdr:from>
    <xdr:to>
      <xdr:col>8</xdr:col>
      <xdr:colOff>464860</xdr:colOff>
      <xdr:row>8</xdr:row>
      <xdr:rowOff>27028</xdr:rowOff>
    </xdr:to>
    <xdr:sp macro="" textlink="">
      <xdr:nvSpPr>
        <xdr:cNvPr id="14" name="Rectángulo 13">
          <a:hlinkClick xmlns:r="http://schemas.openxmlformats.org/officeDocument/2006/relationships" r:id="rId16"/>
          <a:extLst>
            <a:ext uri="{FF2B5EF4-FFF2-40B4-BE49-F238E27FC236}">
              <a16:creationId xmlns="" xmlns:a16="http://schemas.microsoft.com/office/drawing/2014/main" id="{00000000-0008-0000-0400-00000E000000}"/>
            </a:ext>
          </a:extLst>
        </xdr:cNvPr>
        <xdr:cNvSpPr/>
      </xdr:nvSpPr>
      <xdr:spPr>
        <a:xfrm>
          <a:off x="3924464" y="1144228"/>
          <a:ext cx="940946"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483152</xdr:colOff>
      <xdr:row>3</xdr:row>
      <xdr:rowOff>126693</xdr:rowOff>
    </xdr:from>
    <xdr:to>
      <xdr:col>10</xdr:col>
      <xdr:colOff>331202</xdr:colOff>
      <xdr:row>5</xdr:row>
      <xdr:rowOff>152493</xdr:rowOff>
    </xdr:to>
    <xdr:sp macro="" textlink="">
      <xdr:nvSpPr>
        <xdr:cNvPr id="15" name="Rectángulo 14">
          <a:hlinkClick xmlns:r="http://schemas.openxmlformats.org/officeDocument/2006/relationships" r:id="rId17"/>
          <a:extLst>
            <a:ext uri="{FF2B5EF4-FFF2-40B4-BE49-F238E27FC236}">
              <a16:creationId xmlns="" xmlns:a16="http://schemas.microsoft.com/office/drawing/2014/main" id="{00000000-0008-0000-0400-00000F000000}"/>
            </a:ext>
          </a:extLst>
        </xdr:cNvPr>
        <xdr:cNvSpPr/>
      </xdr:nvSpPr>
      <xdr:spPr>
        <a:xfrm>
          <a:off x="4883702" y="698193"/>
          <a:ext cx="972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10</xdr:col>
      <xdr:colOff>354405</xdr:colOff>
      <xdr:row>3</xdr:row>
      <xdr:rowOff>134578</xdr:rowOff>
    </xdr:from>
    <xdr:to>
      <xdr:col>12</xdr:col>
      <xdr:colOff>162392</xdr:colOff>
      <xdr:row>5</xdr:row>
      <xdr:rowOff>160378</xdr:rowOff>
    </xdr:to>
    <xdr:sp macro="" textlink="">
      <xdr:nvSpPr>
        <xdr:cNvPr id="16" name="Rectángulo 15">
          <a:hlinkClick xmlns:r="http://schemas.openxmlformats.org/officeDocument/2006/relationships" r:id="rId18"/>
          <a:extLst>
            <a:ext uri="{FF2B5EF4-FFF2-40B4-BE49-F238E27FC236}">
              <a16:creationId xmlns="" xmlns:a16="http://schemas.microsoft.com/office/drawing/2014/main" id="{00000000-0008-0000-0400-000010000000}"/>
            </a:ext>
          </a:extLst>
        </xdr:cNvPr>
        <xdr:cNvSpPr/>
      </xdr:nvSpPr>
      <xdr:spPr>
        <a:xfrm>
          <a:off x="5878905" y="706078"/>
          <a:ext cx="1027187"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479425</xdr:colOff>
      <xdr:row>6</xdr:row>
      <xdr:rowOff>11149</xdr:rowOff>
    </xdr:from>
    <xdr:to>
      <xdr:col>10</xdr:col>
      <xdr:colOff>326672</xdr:colOff>
      <xdr:row>8</xdr:row>
      <xdr:rowOff>36949</xdr:rowOff>
    </xdr:to>
    <xdr:sp macro="" textlink="">
      <xdr:nvSpPr>
        <xdr:cNvPr id="17" name="Rectángulo 16">
          <a:hlinkClick xmlns:r="http://schemas.openxmlformats.org/officeDocument/2006/relationships" r:id="rId19"/>
          <a:extLst>
            <a:ext uri="{FF2B5EF4-FFF2-40B4-BE49-F238E27FC236}">
              <a16:creationId xmlns="" xmlns:a16="http://schemas.microsoft.com/office/drawing/2014/main" id="{00000000-0008-0000-0400-000011000000}"/>
            </a:ext>
          </a:extLst>
        </xdr:cNvPr>
        <xdr:cNvSpPr/>
      </xdr:nvSpPr>
      <xdr:spPr>
        <a:xfrm>
          <a:off x="4879975" y="1154149"/>
          <a:ext cx="971197"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12</xdr:col>
      <xdr:colOff>171563</xdr:colOff>
      <xdr:row>6</xdr:row>
      <xdr:rowOff>9876</xdr:rowOff>
    </xdr:from>
    <xdr:to>
      <xdr:col>14</xdr:col>
      <xdr:colOff>18810</xdr:colOff>
      <xdr:row>8</xdr:row>
      <xdr:rowOff>35676</xdr:rowOff>
    </xdr:to>
    <xdr:sp macro="" textlink="">
      <xdr:nvSpPr>
        <xdr:cNvPr id="18" name="Rectángulo 17">
          <a:hlinkClick xmlns:r="http://schemas.openxmlformats.org/officeDocument/2006/relationships" r:id="rId20"/>
          <a:extLst>
            <a:ext uri="{FF2B5EF4-FFF2-40B4-BE49-F238E27FC236}">
              <a16:creationId xmlns="" xmlns:a16="http://schemas.microsoft.com/office/drawing/2014/main" id="{00000000-0008-0000-0400-000012000000}"/>
            </a:ext>
          </a:extLst>
        </xdr:cNvPr>
        <xdr:cNvSpPr/>
      </xdr:nvSpPr>
      <xdr:spPr>
        <a:xfrm>
          <a:off x="6915263" y="1152876"/>
          <a:ext cx="971197"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Conclusiones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14</xdr:col>
      <xdr:colOff>53777</xdr:colOff>
      <xdr:row>3</xdr:row>
      <xdr:rowOff>142031</xdr:rowOff>
    </xdr:from>
    <xdr:to>
      <xdr:col>15</xdr:col>
      <xdr:colOff>198262</xdr:colOff>
      <xdr:row>8</xdr:row>
      <xdr:rowOff>42640</xdr:rowOff>
    </xdr:to>
    <xdr:sp macro="" textlink="">
      <xdr:nvSpPr>
        <xdr:cNvPr id="19" name="Rectángulo 18">
          <a:hlinkClick xmlns:r="http://schemas.openxmlformats.org/officeDocument/2006/relationships" r:id="rId21"/>
          <a:extLst>
            <a:ext uri="{FF2B5EF4-FFF2-40B4-BE49-F238E27FC236}">
              <a16:creationId xmlns="" xmlns:a16="http://schemas.microsoft.com/office/drawing/2014/main" id="{00000000-0008-0000-0400-000013000000}"/>
            </a:ext>
          </a:extLst>
        </xdr:cNvPr>
        <xdr:cNvSpPr/>
      </xdr:nvSpPr>
      <xdr:spPr>
        <a:xfrm>
          <a:off x="7921427" y="713531"/>
          <a:ext cx="706460" cy="85310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7</xdr:col>
      <xdr:colOff>142875</xdr:colOff>
      <xdr:row>24</xdr:row>
      <xdr:rowOff>161925</xdr:rowOff>
    </xdr:from>
    <xdr:to>
      <xdr:col>9</xdr:col>
      <xdr:colOff>266951</xdr:colOff>
      <xdr:row>26</xdr:row>
      <xdr:rowOff>92652</xdr:rowOff>
    </xdr:to>
    <xdr:sp macro="[0]!Numero_involucrados" textlink="">
      <xdr:nvSpPr>
        <xdr:cNvPr id="21" name="Rectángulo 20">
          <a:extLst>
            <a:ext uri="{FF2B5EF4-FFF2-40B4-BE49-F238E27FC236}">
              <a16:creationId xmlns="" xmlns:a16="http://schemas.microsoft.com/office/drawing/2014/main" id="{00000000-0008-0000-0400-000015000000}"/>
            </a:ext>
          </a:extLst>
        </xdr:cNvPr>
        <xdr:cNvSpPr/>
      </xdr:nvSpPr>
      <xdr:spPr>
        <a:xfrm>
          <a:off x="3981450" y="9906000"/>
          <a:ext cx="1248026" cy="311727"/>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714374</xdr:colOff>
      <xdr:row>9</xdr:row>
      <xdr:rowOff>35278</xdr:rowOff>
    </xdr:to>
    <xdr:grpSp>
      <xdr:nvGrpSpPr>
        <xdr:cNvPr id="24" name="Grupo 21">
          <a:extLst>
            <a:ext uri="{FF2B5EF4-FFF2-40B4-BE49-F238E27FC236}">
              <a16:creationId xmlns="" xmlns:a16="http://schemas.microsoft.com/office/drawing/2014/main" id="{00000000-0008-0000-0500-000018000000}"/>
            </a:ext>
          </a:extLst>
        </xdr:cNvPr>
        <xdr:cNvGrpSpPr/>
      </xdr:nvGrpSpPr>
      <xdr:grpSpPr>
        <a:xfrm>
          <a:off x="0" y="0"/>
          <a:ext cx="12227718" cy="1749778"/>
          <a:chOff x="9592236" y="1916205"/>
          <a:chExt cx="9551614" cy="1724448"/>
        </a:xfrm>
      </xdr:grpSpPr>
      <xdr:pic>
        <xdr:nvPicPr>
          <xdr:cNvPr id="25" name="Imagen 22">
            <a:extLst>
              <a:ext uri="{FF2B5EF4-FFF2-40B4-BE49-F238E27FC236}">
                <a16:creationId xmlns="" xmlns:a16="http://schemas.microsoft.com/office/drawing/2014/main" id="{00000000-0008-0000-0500-00001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26" name="Imagen 23">
            <a:extLst>
              <a:ext uri="{FF2B5EF4-FFF2-40B4-BE49-F238E27FC236}">
                <a16:creationId xmlns="" xmlns:a16="http://schemas.microsoft.com/office/drawing/2014/main" id="{00000000-0008-0000-0500-00001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27" name="Imagen 24">
            <a:extLst>
              <a:ext uri="{FF2B5EF4-FFF2-40B4-BE49-F238E27FC236}">
                <a16:creationId xmlns="" xmlns:a16="http://schemas.microsoft.com/office/drawing/2014/main" id="{00000000-0008-0000-0500-00001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28" name="Imagen 25">
            <a:extLst>
              <a:ext uri="{FF2B5EF4-FFF2-40B4-BE49-F238E27FC236}">
                <a16:creationId xmlns="" xmlns:a16="http://schemas.microsoft.com/office/drawing/2014/main" id="{00000000-0008-0000-0500-00001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21987"/>
            <a:ext cx="2368646" cy="1703296"/>
          </a:xfrm>
          <a:prstGeom prst="rect">
            <a:avLst/>
          </a:prstGeom>
        </xdr:spPr>
      </xdr:pic>
    </xdr:grpSp>
    <xdr:clientData/>
  </xdr:twoCellAnchor>
  <xdr:twoCellAnchor>
    <xdr:from>
      <xdr:col>0</xdr:col>
      <xdr:colOff>301164</xdr:colOff>
      <xdr:row>3</xdr:row>
      <xdr:rowOff>102577</xdr:rowOff>
    </xdr:from>
    <xdr:to>
      <xdr:col>1</xdr:col>
      <xdr:colOff>224166</xdr:colOff>
      <xdr:row>8</xdr:row>
      <xdr:rowOff>3638</xdr:rowOff>
    </xdr:to>
    <xdr:sp macro="" textlink="">
      <xdr:nvSpPr>
        <xdr:cNvPr id="2" name="Rectángulo 1">
          <a:hlinkClick xmlns:r="http://schemas.openxmlformats.org/officeDocument/2006/relationships" r:id="rId5"/>
          <a:extLst>
            <a:ext uri="{FF2B5EF4-FFF2-40B4-BE49-F238E27FC236}">
              <a16:creationId xmlns="" xmlns:a16="http://schemas.microsoft.com/office/drawing/2014/main" id="{00000000-0008-0000-0500-000002000000}"/>
            </a:ext>
          </a:extLst>
        </xdr:cNvPr>
        <xdr:cNvSpPr/>
      </xdr:nvSpPr>
      <xdr:spPr>
        <a:xfrm>
          <a:off x="301164" y="684660"/>
          <a:ext cx="619738" cy="8712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258463</xdr:colOff>
      <xdr:row>5</xdr:row>
      <xdr:rowOff>177609</xdr:rowOff>
    </xdr:from>
    <xdr:to>
      <xdr:col>2</xdr:col>
      <xdr:colOff>706888</xdr:colOff>
      <xdr:row>8</xdr:row>
      <xdr:rowOff>5926</xdr:rowOff>
    </xdr:to>
    <xdr:sp macro="" textlink="">
      <xdr:nvSpPr>
        <xdr:cNvPr id="3" name="Rectángulo 2">
          <a:hlinkClick xmlns:r="http://schemas.openxmlformats.org/officeDocument/2006/relationships" r:id="rId7"/>
          <a:extLst>
            <a:ext uri="{FF2B5EF4-FFF2-40B4-BE49-F238E27FC236}">
              <a16:creationId xmlns="" xmlns:a16="http://schemas.microsoft.com/office/drawing/2014/main" id="{00000000-0008-0000-0500-000003000000}"/>
            </a:ext>
          </a:extLst>
        </xdr:cNvPr>
        <xdr:cNvSpPr/>
      </xdr:nvSpPr>
      <xdr:spPr>
        <a:xfrm>
          <a:off x="955199" y="1147748"/>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13939</xdr:colOff>
      <xdr:row>5</xdr:row>
      <xdr:rowOff>181570</xdr:rowOff>
    </xdr:from>
    <xdr:to>
      <xdr:col>4</xdr:col>
      <xdr:colOff>462364</xdr:colOff>
      <xdr:row>8</xdr:row>
      <xdr:rowOff>9887</xdr:rowOff>
    </xdr:to>
    <xdr:sp macro="" textlink="">
      <xdr:nvSpPr>
        <xdr:cNvPr id="4" name="Rectángulo 3">
          <a:hlinkClick xmlns:r="http://schemas.openxmlformats.org/officeDocument/2006/relationships" r:id="rId8"/>
          <a:extLst>
            <a:ext uri="{FF2B5EF4-FFF2-40B4-BE49-F238E27FC236}">
              <a16:creationId xmlns="" xmlns:a16="http://schemas.microsoft.com/office/drawing/2014/main" id="{00000000-0008-0000-0500-000004000000}"/>
            </a:ext>
          </a:extLst>
        </xdr:cNvPr>
        <xdr:cNvSpPr/>
      </xdr:nvSpPr>
      <xdr:spPr>
        <a:xfrm>
          <a:off x="2139425" y="1151709"/>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12696</xdr:colOff>
      <xdr:row>3</xdr:row>
      <xdr:rowOff>120279</xdr:rowOff>
    </xdr:from>
    <xdr:to>
      <xdr:col>4</xdr:col>
      <xdr:colOff>461121</xdr:colOff>
      <xdr:row>5</xdr:row>
      <xdr:rowOff>142623</xdr:rowOff>
    </xdr:to>
    <xdr:sp macro="" textlink="">
      <xdr:nvSpPr>
        <xdr:cNvPr id="5" name="Rectángulo 4">
          <a:hlinkClick xmlns:r="http://schemas.openxmlformats.org/officeDocument/2006/relationships" r:id="rId9"/>
          <a:extLst>
            <a:ext uri="{FF2B5EF4-FFF2-40B4-BE49-F238E27FC236}">
              <a16:creationId xmlns="" xmlns:a16="http://schemas.microsoft.com/office/drawing/2014/main" id="{00000000-0008-0000-0500-000005000000}"/>
            </a:ext>
          </a:extLst>
        </xdr:cNvPr>
        <xdr:cNvSpPr/>
      </xdr:nvSpPr>
      <xdr:spPr>
        <a:xfrm>
          <a:off x="2138182" y="702362"/>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263788</xdr:colOff>
      <xdr:row>3</xdr:row>
      <xdr:rowOff>134465</xdr:rowOff>
    </xdr:from>
    <xdr:to>
      <xdr:col>7</xdr:col>
      <xdr:colOff>712213</xdr:colOff>
      <xdr:row>5</xdr:row>
      <xdr:rowOff>156809</xdr:rowOff>
    </xdr:to>
    <xdr:sp macro="" textlink="">
      <xdr:nvSpPr>
        <xdr:cNvPr id="6" name="Rectángulo 5">
          <a:hlinkClick xmlns:r="http://schemas.openxmlformats.org/officeDocument/2006/relationships" r:id="rId10"/>
          <a:extLst>
            <a:ext uri="{FF2B5EF4-FFF2-40B4-BE49-F238E27FC236}">
              <a16:creationId xmlns="" xmlns:a16="http://schemas.microsoft.com/office/drawing/2014/main" id="{00000000-0008-0000-0500-000006000000}"/>
            </a:ext>
          </a:extLst>
        </xdr:cNvPr>
        <xdr:cNvSpPr/>
      </xdr:nvSpPr>
      <xdr:spPr>
        <a:xfrm>
          <a:off x="4532399" y="716548"/>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497432</xdr:colOff>
      <xdr:row>3</xdr:row>
      <xdr:rowOff>125110</xdr:rowOff>
    </xdr:from>
    <xdr:to>
      <xdr:col>6</xdr:col>
      <xdr:colOff>231482</xdr:colOff>
      <xdr:row>5</xdr:row>
      <xdr:rowOff>147454</xdr:rowOff>
    </xdr:to>
    <xdr:sp macro="" textlink="">
      <xdr:nvSpPr>
        <xdr:cNvPr id="7" name="Rectángulo 6">
          <a:hlinkClick xmlns:r="http://schemas.openxmlformats.org/officeDocument/2006/relationships" r:id="rId11"/>
          <a:extLst>
            <a:ext uri="{FF2B5EF4-FFF2-40B4-BE49-F238E27FC236}">
              <a16:creationId xmlns="" xmlns:a16="http://schemas.microsoft.com/office/drawing/2014/main" id="{00000000-0008-0000-0500-000007000000}"/>
            </a:ext>
          </a:extLst>
        </xdr:cNvPr>
        <xdr:cNvSpPr/>
      </xdr:nvSpPr>
      <xdr:spPr>
        <a:xfrm>
          <a:off x="3337293" y="707193"/>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261999</xdr:colOff>
      <xdr:row>3</xdr:row>
      <xdr:rowOff>113555</xdr:rowOff>
    </xdr:from>
    <xdr:to>
      <xdr:col>2</xdr:col>
      <xdr:colOff>710424</xdr:colOff>
      <xdr:row>5</xdr:row>
      <xdr:rowOff>135899</xdr:rowOff>
    </xdr:to>
    <xdr:sp macro="" textlink="">
      <xdr:nvSpPr>
        <xdr:cNvPr id="8" name="Rectángulo 7">
          <a:hlinkClick xmlns:r="http://schemas.openxmlformats.org/officeDocument/2006/relationships" r:id="rId12"/>
          <a:extLst>
            <a:ext uri="{FF2B5EF4-FFF2-40B4-BE49-F238E27FC236}">
              <a16:creationId xmlns="" xmlns:a16="http://schemas.microsoft.com/office/drawing/2014/main" id="{00000000-0008-0000-0500-000008000000}"/>
            </a:ext>
          </a:extLst>
        </xdr:cNvPr>
        <xdr:cNvSpPr/>
      </xdr:nvSpPr>
      <xdr:spPr>
        <a:xfrm>
          <a:off x="958735" y="695638"/>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486488</xdr:colOff>
      <xdr:row>5</xdr:row>
      <xdr:rowOff>192387</xdr:rowOff>
    </xdr:from>
    <xdr:to>
      <xdr:col>6</xdr:col>
      <xdr:colOff>220538</xdr:colOff>
      <xdr:row>8</xdr:row>
      <xdr:rowOff>20704</xdr:rowOff>
    </xdr:to>
    <xdr:sp macro="" textlink="">
      <xdr:nvSpPr>
        <xdr:cNvPr id="9" name="Rectángulo 8">
          <a:hlinkClick xmlns:r="http://schemas.openxmlformats.org/officeDocument/2006/relationships" r:id="rId13"/>
          <a:extLst>
            <a:ext uri="{FF2B5EF4-FFF2-40B4-BE49-F238E27FC236}">
              <a16:creationId xmlns="" xmlns:a16="http://schemas.microsoft.com/office/drawing/2014/main" id="{00000000-0008-0000-0500-000009000000}"/>
            </a:ext>
          </a:extLst>
        </xdr:cNvPr>
        <xdr:cNvSpPr/>
      </xdr:nvSpPr>
      <xdr:spPr>
        <a:xfrm>
          <a:off x="3326349" y="1162526"/>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9</xdr:col>
      <xdr:colOff>490438</xdr:colOff>
      <xdr:row>6</xdr:row>
      <xdr:rowOff>16439</xdr:rowOff>
    </xdr:from>
    <xdr:to>
      <xdr:col>11</xdr:col>
      <xdr:colOff>224488</xdr:colOff>
      <xdr:row>8</xdr:row>
      <xdr:rowOff>38784</xdr:rowOff>
    </xdr:to>
    <xdr:sp macro="" textlink="">
      <xdr:nvSpPr>
        <xdr:cNvPr id="10" name="Rectángulo 9">
          <a:hlinkClick xmlns:r="http://schemas.openxmlformats.org/officeDocument/2006/relationships" r:id="rId14"/>
          <a:extLst>
            <a:ext uri="{FF2B5EF4-FFF2-40B4-BE49-F238E27FC236}">
              <a16:creationId xmlns="" xmlns:a16="http://schemas.microsoft.com/office/drawing/2014/main" id="{00000000-0008-0000-0500-00000A000000}"/>
            </a:ext>
          </a:extLst>
        </xdr:cNvPr>
        <xdr:cNvSpPr/>
      </xdr:nvSpPr>
      <xdr:spPr>
        <a:xfrm>
          <a:off x="6902174" y="1180606"/>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11</xdr:col>
      <xdr:colOff>244622</xdr:colOff>
      <xdr:row>3</xdr:row>
      <xdr:rowOff>148428</xdr:rowOff>
    </xdr:from>
    <xdr:to>
      <xdr:col>12</xdr:col>
      <xdr:colOff>693047</xdr:colOff>
      <xdr:row>5</xdr:row>
      <xdr:rowOff>170772</xdr:rowOff>
    </xdr:to>
    <xdr:sp macro="" textlink="">
      <xdr:nvSpPr>
        <xdr:cNvPr id="11" name="Rectángulo 10">
          <a:hlinkClick xmlns:r="http://schemas.openxmlformats.org/officeDocument/2006/relationships" r:id="rId15"/>
          <a:extLst>
            <a:ext uri="{FF2B5EF4-FFF2-40B4-BE49-F238E27FC236}">
              <a16:creationId xmlns="" xmlns:a16="http://schemas.microsoft.com/office/drawing/2014/main" id="{00000000-0008-0000-0500-00000B000000}"/>
            </a:ext>
          </a:extLst>
        </xdr:cNvPr>
        <xdr:cNvSpPr/>
      </xdr:nvSpPr>
      <xdr:spPr>
        <a:xfrm>
          <a:off x="8085108" y="730511"/>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285750</xdr:colOff>
      <xdr:row>0</xdr:row>
      <xdr:rowOff>123825</xdr:rowOff>
    </xdr:from>
    <xdr:to>
      <xdr:col>3</xdr:col>
      <xdr:colOff>517072</xdr:colOff>
      <xdr:row>2</xdr:row>
      <xdr:rowOff>133350</xdr:rowOff>
    </xdr:to>
    <xdr:sp macro="" textlink="">
      <xdr:nvSpPr>
        <xdr:cNvPr id="12" name="CuadroTexto 11">
          <a:extLst>
            <a:ext uri="{FF2B5EF4-FFF2-40B4-BE49-F238E27FC236}">
              <a16:creationId xmlns="" xmlns:a16="http://schemas.microsoft.com/office/drawing/2014/main" id="{00000000-0008-0000-0500-00000C000000}"/>
            </a:ext>
          </a:extLst>
        </xdr:cNvPr>
        <xdr:cNvSpPr txBox="1"/>
      </xdr:nvSpPr>
      <xdr:spPr>
        <a:xfrm>
          <a:off x="285750" y="123825"/>
          <a:ext cx="2367643" cy="390525"/>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B7A897"/>
              </a:solidFill>
            </a:rPr>
            <a:t>5. PROBLEMA</a:t>
          </a:r>
          <a:r>
            <a:rPr lang="es-PE" sz="1400" b="1" baseline="0">
              <a:solidFill>
                <a:srgbClr val="B7A897"/>
              </a:solidFill>
            </a:rPr>
            <a:t> / OBJETIVO</a:t>
          </a:r>
        </a:p>
        <a:p>
          <a:endParaRPr lang="es-PE" sz="1400" b="1">
            <a:solidFill>
              <a:srgbClr val="B7A897"/>
            </a:solidFill>
          </a:endParaRPr>
        </a:p>
      </xdr:txBody>
    </xdr:sp>
    <xdr:clientData/>
  </xdr:twoCellAnchor>
  <xdr:twoCellAnchor>
    <xdr:from>
      <xdr:col>11</xdr:col>
      <xdr:colOff>413138</xdr:colOff>
      <xdr:row>0</xdr:row>
      <xdr:rowOff>113687</xdr:rowOff>
    </xdr:from>
    <xdr:to>
      <xdr:col>13</xdr:col>
      <xdr:colOff>681972</xdr:colOff>
      <xdr:row>2</xdr:row>
      <xdr:rowOff>123211</xdr:rowOff>
    </xdr:to>
    <xdr:sp macro="[0]!Mostrar_Ayuda_Problema_Objetivo" textlink="">
      <xdr:nvSpPr>
        <xdr:cNvPr id="13" name="CuadroTexto 12">
          <a:extLst>
            <a:ext uri="{FF2B5EF4-FFF2-40B4-BE49-F238E27FC236}">
              <a16:creationId xmlns="" xmlns:a16="http://schemas.microsoft.com/office/drawing/2014/main" id="{00000000-0008-0000-0500-00000D000000}"/>
            </a:ext>
          </a:extLst>
        </xdr:cNvPr>
        <xdr:cNvSpPr txBox="1"/>
      </xdr:nvSpPr>
      <xdr:spPr>
        <a:xfrm>
          <a:off x="8253624" y="113687"/>
          <a:ext cx="1697584" cy="397580"/>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B7A897"/>
              </a:solidFill>
            </a:rPr>
            <a:t>INSTRUCTIVO</a:t>
          </a:r>
        </a:p>
      </xdr:txBody>
    </xdr:sp>
    <xdr:clientData/>
  </xdr:twoCellAnchor>
  <xdr:twoCellAnchor>
    <xdr:from>
      <xdr:col>6</xdr:col>
      <xdr:colOff>255529</xdr:colOff>
      <xdr:row>6</xdr:row>
      <xdr:rowOff>4987</xdr:rowOff>
    </xdr:from>
    <xdr:to>
      <xdr:col>7</xdr:col>
      <xdr:colOff>703954</xdr:colOff>
      <xdr:row>8</xdr:row>
      <xdr:rowOff>27332</xdr:rowOff>
    </xdr:to>
    <xdr:sp macro="" textlink="">
      <xdr:nvSpPr>
        <xdr:cNvPr id="14" name="Rectángulo 13">
          <a:hlinkClick xmlns:r="http://schemas.openxmlformats.org/officeDocument/2006/relationships" r:id="rId16"/>
          <a:extLst>
            <a:ext uri="{FF2B5EF4-FFF2-40B4-BE49-F238E27FC236}">
              <a16:creationId xmlns="" xmlns:a16="http://schemas.microsoft.com/office/drawing/2014/main" id="{00000000-0008-0000-0500-00000E000000}"/>
            </a:ext>
          </a:extLst>
        </xdr:cNvPr>
        <xdr:cNvSpPr/>
      </xdr:nvSpPr>
      <xdr:spPr>
        <a:xfrm>
          <a:off x="4524140" y="1169154"/>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22244</xdr:colOff>
      <xdr:row>3</xdr:row>
      <xdr:rowOff>140804</xdr:rowOff>
    </xdr:from>
    <xdr:to>
      <xdr:col>9</xdr:col>
      <xdr:colOff>470669</xdr:colOff>
      <xdr:row>5</xdr:row>
      <xdr:rowOff>163148</xdr:rowOff>
    </xdr:to>
    <xdr:sp macro="" textlink="">
      <xdr:nvSpPr>
        <xdr:cNvPr id="15" name="Rectángulo 14">
          <a:hlinkClick xmlns:r="http://schemas.openxmlformats.org/officeDocument/2006/relationships" r:id="rId17"/>
          <a:extLst>
            <a:ext uri="{FF2B5EF4-FFF2-40B4-BE49-F238E27FC236}">
              <a16:creationId xmlns="" xmlns:a16="http://schemas.microsoft.com/office/drawing/2014/main" id="{00000000-0008-0000-0500-00000F000000}"/>
            </a:ext>
          </a:extLst>
        </xdr:cNvPr>
        <xdr:cNvSpPr/>
      </xdr:nvSpPr>
      <xdr:spPr>
        <a:xfrm>
          <a:off x="5719605" y="722887"/>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9</xdr:col>
      <xdr:colOff>489210</xdr:colOff>
      <xdr:row>3</xdr:row>
      <xdr:rowOff>146107</xdr:rowOff>
    </xdr:from>
    <xdr:to>
      <xdr:col>11</xdr:col>
      <xdr:colOff>223260</xdr:colOff>
      <xdr:row>5</xdr:row>
      <xdr:rowOff>168451</xdr:rowOff>
    </xdr:to>
    <xdr:sp macro="" textlink="">
      <xdr:nvSpPr>
        <xdr:cNvPr id="16" name="Rectángulo 15">
          <a:hlinkClick xmlns:r="http://schemas.openxmlformats.org/officeDocument/2006/relationships" r:id="rId18"/>
          <a:extLst>
            <a:ext uri="{FF2B5EF4-FFF2-40B4-BE49-F238E27FC236}">
              <a16:creationId xmlns="" xmlns:a16="http://schemas.microsoft.com/office/drawing/2014/main" id="{00000000-0008-0000-0500-000010000000}"/>
            </a:ext>
          </a:extLst>
        </xdr:cNvPr>
        <xdr:cNvSpPr/>
      </xdr:nvSpPr>
      <xdr:spPr>
        <a:xfrm>
          <a:off x="6900946" y="728190"/>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12879</xdr:colOff>
      <xdr:row>6</xdr:row>
      <xdr:rowOff>7975</xdr:rowOff>
    </xdr:from>
    <xdr:to>
      <xdr:col>9</xdr:col>
      <xdr:colOff>461304</xdr:colOff>
      <xdr:row>8</xdr:row>
      <xdr:rowOff>30320</xdr:rowOff>
    </xdr:to>
    <xdr:sp macro="" textlink="">
      <xdr:nvSpPr>
        <xdr:cNvPr id="17" name="Rectángulo 16">
          <a:hlinkClick xmlns:r="http://schemas.openxmlformats.org/officeDocument/2006/relationships" r:id="rId19"/>
          <a:extLst>
            <a:ext uri="{FF2B5EF4-FFF2-40B4-BE49-F238E27FC236}">
              <a16:creationId xmlns="" xmlns:a16="http://schemas.microsoft.com/office/drawing/2014/main" id="{00000000-0008-0000-0500-000011000000}"/>
            </a:ext>
          </a:extLst>
        </xdr:cNvPr>
        <xdr:cNvSpPr/>
      </xdr:nvSpPr>
      <xdr:spPr>
        <a:xfrm>
          <a:off x="5710240" y="1172142"/>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248647</xdr:colOff>
      <xdr:row>6</xdr:row>
      <xdr:rowOff>14463</xdr:rowOff>
    </xdr:from>
    <xdr:to>
      <xdr:col>12</xdr:col>
      <xdr:colOff>697072</xdr:colOff>
      <xdr:row>8</xdr:row>
      <xdr:rowOff>36808</xdr:rowOff>
    </xdr:to>
    <xdr:sp macro="" textlink="">
      <xdr:nvSpPr>
        <xdr:cNvPr id="18" name="Rectángulo 17">
          <a:hlinkClick xmlns:r="http://schemas.openxmlformats.org/officeDocument/2006/relationships" r:id="rId20"/>
          <a:extLst>
            <a:ext uri="{FF2B5EF4-FFF2-40B4-BE49-F238E27FC236}">
              <a16:creationId xmlns="" xmlns:a16="http://schemas.microsoft.com/office/drawing/2014/main" id="{00000000-0008-0000-0500-000012000000}"/>
            </a:ext>
          </a:extLst>
        </xdr:cNvPr>
        <xdr:cNvSpPr/>
      </xdr:nvSpPr>
      <xdr:spPr>
        <a:xfrm>
          <a:off x="8089133" y="1178630"/>
          <a:ext cx="1162800" cy="4104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Conclusiones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13</xdr:col>
      <xdr:colOff>20246</xdr:colOff>
      <xdr:row>3</xdr:row>
      <xdr:rowOff>145790</xdr:rowOff>
    </xdr:from>
    <xdr:to>
      <xdr:col>14</xdr:col>
      <xdr:colOff>3679</xdr:colOff>
      <xdr:row>8</xdr:row>
      <xdr:rowOff>46399</xdr:rowOff>
    </xdr:to>
    <xdr:sp macro="" textlink="">
      <xdr:nvSpPr>
        <xdr:cNvPr id="19" name="Rectángulo 18">
          <a:hlinkClick xmlns:r="http://schemas.openxmlformats.org/officeDocument/2006/relationships" r:id="rId21"/>
          <a:extLst>
            <a:ext uri="{FF2B5EF4-FFF2-40B4-BE49-F238E27FC236}">
              <a16:creationId xmlns="" xmlns:a16="http://schemas.microsoft.com/office/drawing/2014/main" id="{00000000-0008-0000-0500-000013000000}"/>
            </a:ext>
          </a:extLst>
        </xdr:cNvPr>
        <xdr:cNvSpPr/>
      </xdr:nvSpPr>
      <xdr:spPr>
        <a:xfrm>
          <a:off x="9289482" y="727873"/>
          <a:ext cx="697808" cy="870748"/>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7</xdr:col>
      <xdr:colOff>176390</xdr:colOff>
      <xdr:row>19</xdr:row>
      <xdr:rowOff>0</xdr:rowOff>
    </xdr:from>
    <xdr:to>
      <xdr:col>8</xdr:col>
      <xdr:colOff>710041</xdr:colOff>
      <xdr:row>20</xdr:row>
      <xdr:rowOff>20686</xdr:rowOff>
    </xdr:to>
    <xdr:sp macro="[0]!Numero_CD_analizar" textlink="">
      <xdr:nvSpPr>
        <xdr:cNvPr id="21" name="Rectángulo 20">
          <a:extLst>
            <a:ext uri="{FF2B5EF4-FFF2-40B4-BE49-F238E27FC236}">
              <a16:creationId xmlns="" xmlns:a16="http://schemas.microsoft.com/office/drawing/2014/main" id="{00000000-0008-0000-0500-000015000000}"/>
            </a:ext>
          </a:extLst>
        </xdr:cNvPr>
        <xdr:cNvSpPr/>
      </xdr:nvSpPr>
      <xdr:spPr>
        <a:xfrm>
          <a:off x="5159376" y="4118681"/>
          <a:ext cx="1248026" cy="311727"/>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xdr:twoCellAnchor>
    <xdr:from>
      <xdr:col>14</xdr:col>
      <xdr:colOff>8819</xdr:colOff>
      <xdr:row>53</xdr:row>
      <xdr:rowOff>0</xdr:rowOff>
    </xdr:from>
    <xdr:to>
      <xdr:col>15</xdr:col>
      <xdr:colOff>436637</xdr:colOff>
      <xdr:row>54</xdr:row>
      <xdr:rowOff>20685</xdr:rowOff>
    </xdr:to>
    <xdr:sp macro="[0]!Numero_acciones_analizar" textlink="">
      <xdr:nvSpPr>
        <xdr:cNvPr id="23" name="Rectángulo 22">
          <a:extLst>
            <a:ext uri="{FF2B5EF4-FFF2-40B4-BE49-F238E27FC236}">
              <a16:creationId xmlns="" xmlns:a16="http://schemas.microsoft.com/office/drawing/2014/main" id="{00000000-0008-0000-0500-000017000000}"/>
            </a:ext>
          </a:extLst>
        </xdr:cNvPr>
        <xdr:cNvSpPr/>
      </xdr:nvSpPr>
      <xdr:spPr>
        <a:xfrm>
          <a:off x="9992430" y="13061597"/>
          <a:ext cx="1248026" cy="311727"/>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1</xdr:rowOff>
    </xdr:from>
    <xdr:to>
      <xdr:col>14</xdr:col>
      <xdr:colOff>47625</xdr:colOff>
      <xdr:row>8</xdr:row>
      <xdr:rowOff>178197</xdr:rowOff>
    </xdr:to>
    <xdr:grpSp>
      <xdr:nvGrpSpPr>
        <xdr:cNvPr id="22" name="Grupo 21">
          <a:extLst>
            <a:ext uri="{FF2B5EF4-FFF2-40B4-BE49-F238E27FC236}">
              <a16:creationId xmlns="" xmlns:a16="http://schemas.microsoft.com/office/drawing/2014/main" id="{00000000-0008-0000-0600-000016000000}"/>
            </a:ext>
          </a:extLst>
        </xdr:cNvPr>
        <xdr:cNvGrpSpPr/>
      </xdr:nvGrpSpPr>
      <xdr:grpSpPr>
        <a:xfrm>
          <a:off x="0" y="1"/>
          <a:ext cx="9696450" cy="1702196"/>
          <a:chOff x="9592236" y="1916205"/>
          <a:chExt cx="9551614" cy="1724448"/>
        </a:xfrm>
      </xdr:grpSpPr>
      <xdr:pic>
        <xdr:nvPicPr>
          <xdr:cNvPr id="23" name="Imagen 22">
            <a:extLst>
              <a:ext uri="{FF2B5EF4-FFF2-40B4-BE49-F238E27FC236}">
                <a16:creationId xmlns="" xmlns:a16="http://schemas.microsoft.com/office/drawing/2014/main" id="{00000000-0008-0000-0600-00001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24" name="Imagen 23">
            <a:extLst>
              <a:ext uri="{FF2B5EF4-FFF2-40B4-BE49-F238E27FC236}">
                <a16:creationId xmlns="" xmlns:a16="http://schemas.microsoft.com/office/drawing/2014/main" id="{00000000-0008-0000-0600-00001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25" name="Imagen 24">
            <a:extLst>
              <a:ext uri="{FF2B5EF4-FFF2-40B4-BE49-F238E27FC236}">
                <a16:creationId xmlns="" xmlns:a16="http://schemas.microsoft.com/office/drawing/2014/main" id="{00000000-0008-0000-06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26" name="Imagen 25">
            <a:extLst>
              <a:ext uri="{FF2B5EF4-FFF2-40B4-BE49-F238E27FC236}">
                <a16:creationId xmlns="" xmlns:a16="http://schemas.microsoft.com/office/drawing/2014/main" id="{00000000-0008-0000-0600-00001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30523"/>
            <a:ext cx="2368646" cy="1703296"/>
          </a:xfrm>
          <a:prstGeom prst="rect">
            <a:avLst/>
          </a:prstGeom>
        </xdr:spPr>
      </xdr:pic>
    </xdr:grpSp>
    <xdr:clientData/>
  </xdr:twoCellAnchor>
  <xdr:twoCellAnchor>
    <xdr:from>
      <xdr:col>0</xdr:col>
      <xdr:colOff>54220</xdr:colOff>
      <xdr:row>3</xdr:row>
      <xdr:rowOff>121627</xdr:rowOff>
    </xdr:from>
    <xdr:to>
      <xdr:col>1</xdr:col>
      <xdr:colOff>9525</xdr:colOff>
      <xdr:row>8</xdr:row>
      <xdr:rowOff>22327</xdr:rowOff>
    </xdr:to>
    <xdr:sp macro="" textlink="">
      <xdr:nvSpPr>
        <xdr:cNvPr id="3" name="Rectángulo 2">
          <a:hlinkClick xmlns:r="http://schemas.openxmlformats.org/officeDocument/2006/relationships" r:id="rId5"/>
          <a:extLst>
            <a:ext uri="{FF2B5EF4-FFF2-40B4-BE49-F238E27FC236}">
              <a16:creationId xmlns="" xmlns:a16="http://schemas.microsoft.com/office/drawing/2014/main" id="{00000000-0008-0000-0600-000003000000}"/>
            </a:ext>
          </a:extLst>
        </xdr:cNvPr>
        <xdr:cNvSpPr/>
      </xdr:nvSpPr>
      <xdr:spPr>
        <a:xfrm>
          <a:off x="54220" y="693127"/>
          <a:ext cx="631580" cy="8532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34420</xdr:colOff>
      <xdr:row>6</xdr:row>
      <xdr:rowOff>5329</xdr:rowOff>
    </xdr:from>
    <xdr:to>
      <xdr:col>2</xdr:col>
      <xdr:colOff>499345</xdr:colOff>
      <xdr:row>8</xdr:row>
      <xdr:rowOff>31129</xdr:rowOff>
    </xdr:to>
    <xdr:sp macro="" textlink="">
      <xdr:nvSpPr>
        <xdr:cNvPr id="4" name="Rectángulo 3">
          <a:hlinkClick xmlns:r="http://schemas.openxmlformats.org/officeDocument/2006/relationships" r:id="rId7"/>
          <a:extLst>
            <a:ext uri="{FF2B5EF4-FFF2-40B4-BE49-F238E27FC236}">
              <a16:creationId xmlns="" xmlns:a16="http://schemas.microsoft.com/office/drawing/2014/main" id="{00000000-0008-0000-0600-000004000000}"/>
            </a:ext>
          </a:extLst>
        </xdr:cNvPr>
        <xdr:cNvSpPr/>
      </xdr:nvSpPr>
      <xdr:spPr>
        <a:xfrm>
          <a:off x="710695" y="1148329"/>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512415</xdr:colOff>
      <xdr:row>6</xdr:row>
      <xdr:rowOff>2941</xdr:rowOff>
    </xdr:from>
    <xdr:to>
      <xdr:col>4</xdr:col>
      <xdr:colOff>301065</xdr:colOff>
      <xdr:row>8</xdr:row>
      <xdr:rowOff>28741</xdr:rowOff>
    </xdr:to>
    <xdr:sp macro="" textlink="">
      <xdr:nvSpPr>
        <xdr:cNvPr id="5" name="Rectángulo 4">
          <a:hlinkClick xmlns:r="http://schemas.openxmlformats.org/officeDocument/2006/relationships" r:id="rId8"/>
          <a:extLst>
            <a:ext uri="{FF2B5EF4-FFF2-40B4-BE49-F238E27FC236}">
              <a16:creationId xmlns="" xmlns:a16="http://schemas.microsoft.com/office/drawing/2014/main" id="{00000000-0008-0000-0600-000005000000}"/>
            </a:ext>
          </a:extLst>
        </xdr:cNvPr>
        <xdr:cNvSpPr/>
      </xdr:nvSpPr>
      <xdr:spPr>
        <a:xfrm>
          <a:off x="1864965" y="1145941"/>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501647</xdr:colOff>
      <xdr:row>3</xdr:row>
      <xdr:rowOff>125800</xdr:rowOff>
    </xdr:from>
    <xdr:to>
      <xdr:col>4</xdr:col>
      <xdr:colOff>290297</xdr:colOff>
      <xdr:row>5</xdr:row>
      <xdr:rowOff>151600</xdr:rowOff>
    </xdr:to>
    <xdr:sp macro="" textlink="">
      <xdr:nvSpPr>
        <xdr:cNvPr id="6" name="Rectángulo 5">
          <a:hlinkClick xmlns:r="http://schemas.openxmlformats.org/officeDocument/2006/relationships" r:id="rId9"/>
          <a:extLst>
            <a:ext uri="{FF2B5EF4-FFF2-40B4-BE49-F238E27FC236}">
              <a16:creationId xmlns="" xmlns:a16="http://schemas.microsoft.com/office/drawing/2014/main" id="{00000000-0008-0000-0600-000006000000}"/>
            </a:ext>
          </a:extLst>
        </xdr:cNvPr>
        <xdr:cNvSpPr/>
      </xdr:nvSpPr>
      <xdr:spPr>
        <a:xfrm>
          <a:off x="1854197" y="697300"/>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125895</xdr:colOff>
      <xdr:row>3</xdr:row>
      <xdr:rowOff>125768</xdr:rowOff>
    </xdr:from>
    <xdr:to>
      <xdr:col>7</xdr:col>
      <xdr:colOff>590820</xdr:colOff>
      <xdr:row>5</xdr:row>
      <xdr:rowOff>151568</xdr:rowOff>
    </xdr:to>
    <xdr:sp macro="" textlink="">
      <xdr:nvSpPr>
        <xdr:cNvPr id="7" name="Rectángulo 6">
          <a:hlinkClick xmlns:r="http://schemas.openxmlformats.org/officeDocument/2006/relationships" r:id="rId10"/>
          <a:extLst>
            <a:ext uri="{FF2B5EF4-FFF2-40B4-BE49-F238E27FC236}">
              <a16:creationId xmlns="" xmlns:a16="http://schemas.microsoft.com/office/drawing/2014/main" id="{00000000-0008-0000-0600-000007000000}"/>
            </a:ext>
          </a:extLst>
        </xdr:cNvPr>
        <xdr:cNvSpPr/>
      </xdr:nvSpPr>
      <xdr:spPr>
        <a:xfrm>
          <a:off x="4183545" y="697268"/>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303480</xdr:colOff>
      <xdr:row>3</xdr:row>
      <xdr:rowOff>125939</xdr:rowOff>
    </xdr:from>
    <xdr:to>
      <xdr:col>6</xdr:col>
      <xdr:colOff>92130</xdr:colOff>
      <xdr:row>5</xdr:row>
      <xdr:rowOff>151739</xdr:rowOff>
    </xdr:to>
    <xdr:sp macro="" textlink="">
      <xdr:nvSpPr>
        <xdr:cNvPr id="8" name="Rectángulo 7">
          <a:hlinkClick xmlns:r="http://schemas.openxmlformats.org/officeDocument/2006/relationships" r:id="rId11"/>
          <a:extLst>
            <a:ext uri="{FF2B5EF4-FFF2-40B4-BE49-F238E27FC236}">
              <a16:creationId xmlns="" xmlns:a16="http://schemas.microsoft.com/office/drawing/2014/main" id="{00000000-0008-0000-0600-000008000000}"/>
            </a:ext>
          </a:extLst>
        </xdr:cNvPr>
        <xdr:cNvSpPr/>
      </xdr:nvSpPr>
      <xdr:spPr>
        <a:xfrm>
          <a:off x="3008580" y="697439"/>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37955</xdr:colOff>
      <xdr:row>3</xdr:row>
      <xdr:rowOff>125426</xdr:rowOff>
    </xdr:from>
    <xdr:to>
      <xdr:col>2</xdr:col>
      <xdr:colOff>502880</xdr:colOff>
      <xdr:row>5</xdr:row>
      <xdr:rowOff>151226</xdr:rowOff>
    </xdr:to>
    <xdr:sp macro="" textlink="">
      <xdr:nvSpPr>
        <xdr:cNvPr id="9" name="Rectángulo 8">
          <a:hlinkClick xmlns:r="http://schemas.openxmlformats.org/officeDocument/2006/relationships" r:id="rId12"/>
          <a:extLst>
            <a:ext uri="{FF2B5EF4-FFF2-40B4-BE49-F238E27FC236}">
              <a16:creationId xmlns="" xmlns:a16="http://schemas.microsoft.com/office/drawing/2014/main" id="{00000000-0008-0000-0600-000009000000}"/>
            </a:ext>
          </a:extLst>
        </xdr:cNvPr>
        <xdr:cNvSpPr/>
      </xdr:nvSpPr>
      <xdr:spPr>
        <a:xfrm>
          <a:off x="714230" y="696926"/>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318995</xdr:colOff>
      <xdr:row>6</xdr:row>
      <xdr:rowOff>8007</xdr:rowOff>
    </xdr:from>
    <xdr:to>
      <xdr:col>6</xdr:col>
      <xdr:colOff>107645</xdr:colOff>
      <xdr:row>8</xdr:row>
      <xdr:rowOff>33807</xdr:rowOff>
    </xdr:to>
    <xdr:sp macro="" textlink="">
      <xdr:nvSpPr>
        <xdr:cNvPr id="10" name="Rectángulo 9">
          <a:hlinkClick xmlns:r="http://schemas.openxmlformats.org/officeDocument/2006/relationships" r:id="rId13"/>
          <a:extLst>
            <a:ext uri="{FF2B5EF4-FFF2-40B4-BE49-F238E27FC236}">
              <a16:creationId xmlns="" xmlns:a16="http://schemas.microsoft.com/office/drawing/2014/main" id="{00000000-0008-0000-0600-00000A000000}"/>
            </a:ext>
          </a:extLst>
        </xdr:cNvPr>
        <xdr:cNvSpPr/>
      </xdr:nvSpPr>
      <xdr:spPr>
        <a:xfrm>
          <a:off x="3024095" y="1151007"/>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9</xdr:col>
      <xdr:colOff>420464</xdr:colOff>
      <xdr:row>6</xdr:row>
      <xdr:rowOff>5562</xdr:rowOff>
    </xdr:from>
    <xdr:to>
      <xdr:col>11</xdr:col>
      <xdr:colOff>28139</xdr:colOff>
      <xdr:row>8</xdr:row>
      <xdr:rowOff>31362</xdr:rowOff>
    </xdr:to>
    <xdr:sp macro="" textlink="">
      <xdr:nvSpPr>
        <xdr:cNvPr id="11" name="Rectángulo 10">
          <a:hlinkClick xmlns:r="http://schemas.openxmlformats.org/officeDocument/2006/relationships" r:id="rId14"/>
          <a:extLst>
            <a:ext uri="{FF2B5EF4-FFF2-40B4-BE49-F238E27FC236}">
              <a16:creationId xmlns="" xmlns:a16="http://schemas.microsoft.com/office/drawing/2014/main" id="{00000000-0008-0000-0600-00000B000000}"/>
            </a:ext>
          </a:extLst>
        </xdr:cNvPr>
        <xdr:cNvSpPr/>
      </xdr:nvSpPr>
      <xdr:spPr>
        <a:xfrm>
          <a:off x="6506939" y="1148562"/>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11</xdr:col>
      <xdr:colOff>37662</xdr:colOff>
      <xdr:row>3</xdr:row>
      <xdr:rowOff>131327</xdr:rowOff>
    </xdr:from>
    <xdr:to>
      <xdr:col>12</xdr:col>
      <xdr:colOff>502587</xdr:colOff>
      <xdr:row>5</xdr:row>
      <xdr:rowOff>157127</xdr:rowOff>
    </xdr:to>
    <xdr:sp macro="" textlink="">
      <xdr:nvSpPr>
        <xdr:cNvPr id="12" name="Rectángulo 11">
          <a:hlinkClick xmlns:r="http://schemas.openxmlformats.org/officeDocument/2006/relationships" r:id="rId15"/>
          <a:extLst>
            <a:ext uri="{FF2B5EF4-FFF2-40B4-BE49-F238E27FC236}">
              <a16:creationId xmlns="" xmlns:a16="http://schemas.microsoft.com/office/drawing/2014/main" id="{00000000-0008-0000-0600-00000C000000}"/>
            </a:ext>
          </a:extLst>
        </xdr:cNvPr>
        <xdr:cNvSpPr/>
      </xdr:nvSpPr>
      <xdr:spPr>
        <a:xfrm>
          <a:off x="7657662" y="702827"/>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85725</xdr:colOff>
      <xdr:row>0</xdr:row>
      <xdr:rowOff>123825</xdr:rowOff>
    </xdr:from>
    <xdr:to>
      <xdr:col>4</xdr:col>
      <xdr:colOff>28575</xdr:colOff>
      <xdr:row>2</xdr:row>
      <xdr:rowOff>133350</xdr:rowOff>
    </xdr:to>
    <xdr:sp macro="" textlink="">
      <xdr:nvSpPr>
        <xdr:cNvPr id="13" name="CuadroTexto 12">
          <a:extLst>
            <a:ext uri="{FF2B5EF4-FFF2-40B4-BE49-F238E27FC236}">
              <a16:creationId xmlns="" xmlns:a16="http://schemas.microsoft.com/office/drawing/2014/main" id="{00000000-0008-0000-0600-00000D000000}"/>
            </a:ext>
          </a:extLst>
        </xdr:cNvPr>
        <xdr:cNvSpPr txBox="1"/>
      </xdr:nvSpPr>
      <xdr:spPr>
        <a:xfrm>
          <a:off x="85725" y="123825"/>
          <a:ext cx="2647950" cy="390525"/>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B7A897"/>
              </a:solidFill>
            </a:rPr>
            <a:t>6. HORIZONTE DE EVALUACIÓN</a:t>
          </a:r>
        </a:p>
      </xdr:txBody>
    </xdr:sp>
    <xdr:clientData/>
  </xdr:twoCellAnchor>
  <xdr:twoCellAnchor>
    <xdr:from>
      <xdr:col>11</xdr:col>
      <xdr:colOff>536575</xdr:colOff>
      <xdr:row>0</xdr:row>
      <xdr:rowOff>138768</xdr:rowOff>
    </xdr:from>
    <xdr:to>
      <xdr:col>13</xdr:col>
      <xdr:colOff>539936</xdr:colOff>
      <xdr:row>2</xdr:row>
      <xdr:rowOff>148292</xdr:rowOff>
    </xdr:to>
    <xdr:sp macro="[0]!Mostrar_Ayuda_Horizonte_Evaluacion" textlink="">
      <xdr:nvSpPr>
        <xdr:cNvPr id="14" name="CuadroTexto 13">
          <a:extLst>
            <a:ext uri="{FF2B5EF4-FFF2-40B4-BE49-F238E27FC236}">
              <a16:creationId xmlns="" xmlns:a16="http://schemas.microsoft.com/office/drawing/2014/main" id="{00000000-0008-0000-0600-00000E000000}"/>
            </a:ext>
          </a:extLst>
        </xdr:cNvPr>
        <xdr:cNvSpPr txBox="1"/>
      </xdr:nvSpPr>
      <xdr:spPr>
        <a:xfrm>
          <a:off x="8156575" y="138768"/>
          <a:ext cx="1355911" cy="39052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CBBA99"/>
              </a:solidFill>
            </a:rPr>
            <a:t>INSTRUCTIVO</a:t>
          </a:r>
        </a:p>
      </xdr:txBody>
    </xdr:sp>
    <xdr:clientData/>
  </xdr:twoCellAnchor>
  <xdr:twoCellAnchor>
    <xdr:from>
      <xdr:col>6</xdr:col>
      <xdr:colOff>135277</xdr:colOff>
      <xdr:row>6</xdr:row>
      <xdr:rowOff>5109</xdr:rowOff>
    </xdr:from>
    <xdr:to>
      <xdr:col>7</xdr:col>
      <xdr:colOff>600202</xdr:colOff>
      <xdr:row>8</xdr:row>
      <xdr:rowOff>30909</xdr:rowOff>
    </xdr:to>
    <xdr:sp macro="" textlink="">
      <xdr:nvSpPr>
        <xdr:cNvPr id="15" name="Rectángulo 14">
          <a:hlinkClick xmlns:r="http://schemas.openxmlformats.org/officeDocument/2006/relationships" r:id="rId16"/>
          <a:extLst>
            <a:ext uri="{FF2B5EF4-FFF2-40B4-BE49-F238E27FC236}">
              <a16:creationId xmlns="" xmlns:a16="http://schemas.microsoft.com/office/drawing/2014/main" id="{00000000-0008-0000-0600-00000F000000}"/>
            </a:ext>
          </a:extLst>
        </xdr:cNvPr>
        <xdr:cNvSpPr/>
      </xdr:nvSpPr>
      <xdr:spPr>
        <a:xfrm>
          <a:off x="4192927" y="1148109"/>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620425</xdr:colOff>
      <xdr:row>3</xdr:row>
      <xdr:rowOff>129225</xdr:rowOff>
    </xdr:from>
    <xdr:to>
      <xdr:col>9</xdr:col>
      <xdr:colOff>409075</xdr:colOff>
      <xdr:row>5</xdr:row>
      <xdr:rowOff>155025</xdr:rowOff>
    </xdr:to>
    <xdr:sp macro="" textlink="">
      <xdr:nvSpPr>
        <xdr:cNvPr id="16" name="Rectángulo 15">
          <a:hlinkClick xmlns:r="http://schemas.openxmlformats.org/officeDocument/2006/relationships" r:id="rId17"/>
          <a:extLst>
            <a:ext uri="{FF2B5EF4-FFF2-40B4-BE49-F238E27FC236}">
              <a16:creationId xmlns="" xmlns:a16="http://schemas.microsoft.com/office/drawing/2014/main" id="{00000000-0008-0000-0600-000010000000}"/>
            </a:ext>
          </a:extLst>
        </xdr:cNvPr>
        <xdr:cNvSpPr/>
      </xdr:nvSpPr>
      <xdr:spPr>
        <a:xfrm>
          <a:off x="5354350" y="700725"/>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9</xdr:col>
      <xdr:colOff>415600</xdr:colOff>
      <xdr:row>3</xdr:row>
      <xdr:rowOff>130054</xdr:rowOff>
    </xdr:from>
    <xdr:to>
      <xdr:col>11</xdr:col>
      <xdr:colOff>23275</xdr:colOff>
      <xdr:row>5</xdr:row>
      <xdr:rowOff>155854</xdr:rowOff>
    </xdr:to>
    <xdr:sp macro="" textlink="">
      <xdr:nvSpPr>
        <xdr:cNvPr id="17" name="Rectángulo 16">
          <a:hlinkClick xmlns:r="http://schemas.openxmlformats.org/officeDocument/2006/relationships" r:id="rId18"/>
          <a:extLst>
            <a:ext uri="{FF2B5EF4-FFF2-40B4-BE49-F238E27FC236}">
              <a16:creationId xmlns="" xmlns:a16="http://schemas.microsoft.com/office/drawing/2014/main" id="{00000000-0008-0000-0600-000011000000}"/>
            </a:ext>
          </a:extLst>
        </xdr:cNvPr>
        <xdr:cNvSpPr/>
      </xdr:nvSpPr>
      <xdr:spPr>
        <a:xfrm>
          <a:off x="6502075" y="701554"/>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621925</xdr:colOff>
      <xdr:row>6</xdr:row>
      <xdr:rowOff>4157</xdr:rowOff>
    </xdr:from>
    <xdr:to>
      <xdr:col>9</xdr:col>
      <xdr:colOff>410575</xdr:colOff>
      <xdr:row>8</xdr:row>
      <xdr:rowOff>29957</xdr:rowOff>
    </xdr:to>
    <xdr:sp macro="" textlink="">
      <xdr:nvSpPr>
        <xdr:cNvPr id="18" name="Rectángulo 17">
          <a:hlinkClick xmlns:r="http://schemas.openxmlformats.org/officeDocument/2006/relationships" r:id="rId19"/>
          <a:extLst>
            <a:ext uri="{FF2B5EF4-FFF2-40B4-BE49-F238E27FC236}">
              <a16:creationId xmlns="" xmlns:a16="http://schemas.microsoft.com/office/drawing/2014/main" id="{00000000-0008-0000-0600-000012000000}"/>
            </a:ext>
          </a:extLst>
        </xdr:cNvPr>
        <xdr:cNvSpPr/>
      </xdr:nvSpPr>
      <xdr:spPr>
        <a:xfrm>
          <a:off x="5355850" y="1147157"/>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47363</xdr:colOff>
      <xdr:row>6</xdr:row>
      <xdr:rowOff>12409</xdr:rowOff>
    </xdr:from>
    <xdr:to>
      <xdr:col>12</xdr:col>
      <xdr:colOff>512288</xdr:colOff>
      <xdr:row>8</xdr:row>
      <xdr:rowOff>38209</xdr:rowOff>
    </xdr:to>
    <xdr:sp macro="" textlink="">
      <xdr:nvSpPr>
        <xdr:cNvPr id="19" name="Rectángulo 18">
          <a:hlinkClick xmlns:r="http://schemas.openxmlformats.org/officeDocument/2006/relationships" r:id="rId20"/>
          <a:extLst>
            <a:ext uri="{FF2B5EF4-FFF2-40B4-BE49-F238E27FC236}">
              <a16:creationId xmlns="" xmlns:a16="http://schemas.microsoft.com/office/drawing/2014/main" id="{00000000-0008-0000-0600-000013000000}"/>
            </a:ext>
          </a:extLst>
        </xdr:cNvPr>
        <xdr:cNvSpPr/>
      </xdr:nvSpPr>
      <xdr:spPr>
        <a:xfrm>
          <a:off x="7667363" y="1155409"/>
          <a:ext cx="11412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Concluiciones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12</xdr:col>
      <xdr:colOff>533968</xdr:colOff>
      <xdr:row>3</xdr:row>
      <xdr:rowOff>137507</xdr:rowOff>
    </xdr:from>
    <xdr:to>
      <xdr:col>13</xdr:col>
      <xdr:colOff>595032</xdr:colOff>
      <xdr:row>8</xdr:row>
      <xdr:rowOff>38116</xdr:rowOff>
    </xdr:to>
    <xdr:sp macro="" textlink="">
      <xdr:nvSpPr>
        <xdr:cNvPr id="20" name="Rectángulo 19">
          <a:hlinkClick xmlns:r="http://schemas.openxmlformats.org/officeDocument/2006/relationships" r:id="rId21"/>
          <a:extLst>
            <a:ext uri="{FF2B5EF4-FFF2-40B4-BE49-F238E27FC236}">
              <a16:creationId xmlns="" xmlns:a16="http://schemas.microsoft.com/office/drawing/2014/main" id="{00000000-0008-0000-0600-000014000000}"/>
            </a:ext>
          </a:extLst>
        </xdr:cNvPr>
        <xdr:cNvSpPr/>
      </xdr:nvSpPr>
      <xdr:spPr>
        <a:xfrm>
          <a:off x="8830243" y="709007"/>
          <a:ext cx="737339" cy="85310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9525</xdr:rowOff>
    </xdr:from>
    <xdr:to>
      <xdr:col>15</xdr:col>
      <xdr:colOff>9524</xdr:colOff>
      <xdr:row>9</xdr:row>
      <xdr:rowOff>9525</xdr:rowOff>
    </xdr:to>
    <xdr:grpSp>
      <xdr:nvGrpSpPr>
        <xdr:cNvPr id="22" name="Grupo 21">
          <a:extLst>
            <a:ext uri="{FF2B5EF4-FFF2-40B4-BE49-F238E27FC236}">
              <a16:creationId xmlns="" xmlns:a16="http://schemas.microsoft.com/office/drawing/2014/main" id="{00000000-0008-0000-0700-000016000000}"/>
            </a:ext>
          </a:extLst>
        </xdr:cNvPr>
        <xdr:cNvGrpSpPr/>
      </xdr:nvGrpSpPr>
      <xdr:grpSpPr>
        <a:xfrm>
          <a:off x="0" y="9525"/>
          <a:ext cx="10506074" cy="1714500"/>
          <a:chOff x="9592236" y="1916205"/>
          <a:chExt cx="9551614" cy="1736913"/>
        </a:xfrm>
      </xdr:grpSpPr>
      <xdr:pic>
        <xdr:nvPicPr>
          <xdr:cNvPr id="23" name="Imagen 22">
            <a:extLst>
              <a:ext uri="{FF2B5EF4-FFF2-40B4-BE49-F238E27FC236}">
                <a16:creationId xmlns=""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24" name="Imagen 23">
            <a:extLst>
              <a:ext uri="{FF2B5EF4-FFF2-40B4-BE49-F238E27FC236}">
                <a16:creationId xmlns="" xmlns:a16="http://schemas.microsoft.com/office/drawing/2014/main" id="{00000000-0008-0000-0700-00001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25" name="Imagen 24">
            <a:extLst>
              <a:ext uri="{FF2B5EF4-FFF2-40B4-BE49-F238E27FC236}">
                <a16:creationId xmlns="" xmlns:a16="http://schemas.microsoft.com/office/drawing/2014/main" id="{00000000-0008-0000-07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26" name="Imagen 25">
            <a:extLst>
              <a:ext uri="{FF2B5EF4-FFF2-40B4-BE49-F238E27FC236}">
                <a16:creationId xmlns="" xmlns:a16="http://schemas.microsoft.com/office/drawing/2014/main" id="{00000000-0008-0000-0700-00001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49822"/>
            <a:ext cx="2368646" cy="1703296"/>
          </a:xfrm>
          <a:prstGeom prst="rect">
            <a:avLst/>
          </a:prstGeom>
        </xdr:spPr>
      </xdr:pic>
    </xdr:grpSp>
    <xdr:clientData/>
  </xdr:twoCellAnchor>
  <xdr:twoCellAnchor>
    <xdr:from>
      <xdr:col>0</xdr:col>
      <xdr:colOff>225670</xdr:colOff>
      <xdr:row>3</xdr:row>
      <xdr:rowOff>131152</xdr:rowOff>
    </xdr:from>
    <xdr:to>
      <xdr:col>1</xdr:col>
      <xdr:colOff>180975</xdr:colOff>
      <xdr:row>8</xdr:row>
      <xdr:rowOff>31852</xdr:rowOff>
    </xdr:to>
    <xdr:sp macro="" textlink="">
      <xdr:nvSpPr>
        <xdr:cNvPr id="3" name="Rectángulo 2">
          <a:hlinkClick xmlns:r="http://schemas.openxmlformats.org/officeDocument/2006/relationships" r:id="rId5"/>
          <a:extLst>
            <a:ext uri="{FF2B5EF4-FFF2-40B4-BE49-F238E27FC236}">
              <a16:creationId xmlns="" xmlns:a16="http://schemas.microsoft.com/office/drawing/2014/main" id="{00000000-0008-0000-0700-000003000000}"/>
            </a:ext>
          </a:extLst>
        </xdr:cNvPr>
        <xdr:cNvSpPr/>
      </xdr:nvSpPr>
      <xdr:spPr>
        <a:xfrm>
          <a:off x="225670" y="702652"/>
          <a:ext cx="631580" cy="8532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205870</xdr:colOff>
      <xdr:row>5</xdr:row>
      <xdr:rowOff>186304</xdr:rowOff>
    </xdr:from>
    <xdr:to>
      <xdr:col>2</xdr:col>
      <xdr:colOff>669970</xdr:colOff>
      <xdr:row>8</xdr:row>
      <xdr:rowOff>21604</xdr:rowOff>
    </xdr:to>
    <xdr:sp macro="" textlink="">
      <xdr:nvSpPr>
        <xdr:cNvPr id="4" name="Rectángulo 3">
          <a:hlinkClick xmlns:r="http://schemas.openxmlformats.org/officeDocument/2006/relationships" r:id="rId7"/>
          <a:extLst>
            <a:ext uri="{FF2B5EF4-FFF2-40B4-BE49-F238E27FC236}">
              <a16:creationId xmlns="" xmlns:a16="http://schemas.microsoft.com/office/drawing/2014/main" id="{00000000-0008-0000-0700-000004000000}"/>
            </a:ext>
          </a:extLst>
        </xdr:cNvPr>
        <xdr:cNvSpPr/>
      </xdr:nvSpPr>
      <xdr:spPr>
        <a:xfrm>
          <a:off x="882145" y="1138804"/>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26640</xdr:colOff>
      <xdr:row>6</xdr:row>
      <xdr:rowOff>2941</xdr:rowOff>
    </xdr:from>
    <xdr:to>
      <xdr:col>4</xdr:col>
      <xdr:colOff>538365</xdr:colOff>
      <xdr:row>8</xdr:row>
      <xdr:rowOff>28741</xdr:rowOff>
    </xdr:to>
    <xdr:sp macro="" textlink="">
      <xdr:nvSpPr>
        <xdr:cNvPr id="5" name="Rectángulo 4">
          <a:hlinkClick xmlns:r="http://schemas.openxmlformats.org/officeDocument/2006/relationships" r:id="rId8"/>
          <a:extLst>
            <a:ext uri="{FF2B5EF4-FFF2-40B4-BE49-F238E27FC236}">
              <a16:creationId xmlns="" xmlns:a16="http://schemas.microsoft.com/office/drawing/2014/main" id="{00000000-0008-0000-0700-000005000000}"/>
            </a:ext>
          </a:extLst>
        </xdr:cNvPr>
        <xdr:cNvSpPr/>
      </xdr:nvSpPr>
      <xdr:spPr>
        <a:xfrm>
          <a:off x="2103090" y="1145941"/>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25397</xdr:colOff>
      <xdr:row>3</xdr:row>
      <xdr:rowOff>125800</xdr:rowOff>
    </xdr:from>
    <xdr:to>
      <xdr:col>4</xdr:col>
      <xdr:colOff>537122</xdr:colOff>
      <xdr:row>5</xdr:row>
      <xdr:rowOff>151600</xdr:rowOff>
    </xdr:to>
    <xdr:sp macro="" textlink="">
      <xdr:nvSpPr>
        <xdr:cNvPr id="6" name="Rectángulo 5">
          <a:hlinkClick xmlns:r="http://schemas.openxmlformats.org/officeDocument/2006/relationships" r:id="rId9"/>
          <a:extLst>
            <a:ext uri="{FF2B5EF4-FFF2-40B4-BE49-F238E27FC236}">
              <a16:creationId xmlns="" xmlns:a16="http://schemas.microsoft.com/office/drawing/2014/main" id="{00000000-0008-0000-0700-000006000000}"/>
            </a:ext>
          </a:extLst>
        </xdr:cNvPr>
        <xdr:cNvSpPr/>
      </xdr:nvSpPr>
      <xdr:spPr>
        <a:xfrm>
          <a:off x="2101847" y="697300"/>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411645</xdr:colOff>
      <xdr:row>3</xdr:row>
      <xdr:rowOff>125768</xdr:rowOff>
    </xdr:from>
    <xdr:to>
      <xdr:col>8</xdr:col>
      <xdr:colOff>247095</xdr:colOff>
      <xdr:row>5</xdr:row>
      <xdr:rowOff>151568</xdr:rowOff>
    </xdr:to>
    <xdr:sp macro="" textlink="">
      <xdr:nvSpPr>
        <xdr:cNvPr id="7" name="Rectángulo 6">
          <a:hlinkClick xmlns:r="http://schemas.openxmlformats.org/officeDocument/2006/relationships" r:id="rId10"/>
          <a:extLst>
            <a:ext uri="{FF2B5EF4-FFF2-40B4-BE49-F238E27FC236}">
              <a16:creationId xmlns="" xmlns:a16="http://schemas.microsoft.com/office/drawing/2014/main" id="{00000000-0008-0000-0700-000007000000}"/>
            </a:ext>
          </a:extLst>
        </xdr:cNvPr>
        <xdr:cNvSpPr/>
      </xdr:nvSpPr>
      <xdr:spPr>
        <a:xfrm>
          <a:off x="4516920" y="697268"/>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551130</xdr:colOff>
      <xdr:row>3</xdr:row>
      <xdr:rowOff>125939</xdr:rowOff>
    </xdr:from>
    <xdr:to>
      <xdr:col>6</xdr:col>
      <xdr:colOff>386580</xdr:colOff>
      <xdr:row>5</xdr:row>
      <xdr:rowOff>151739</xdr:rowOff>
    </xdr:to>
    <xdr:sp macro="" textlink="">
      <xdr:nvSpPr>
        <xdr:cNvPr id="8" name="Rectángulo 7">
          <a:hlinkClick xmlns:r="http://schemas.openxmlformats.org/officeDocument/2006/relationships" r:id="rId11"/>
          <a:extLst>
            <a:ext uri="{FF2B5EF4-FFF2-40B4-BE49-F238E27FC236}">
              <a16:creationId xmlns="" xmlns:a16="http://schemas.microsoft.com/office/drawing/2014/main" id="{00000000-0008-0000-0700-000008000000}"/>
            </a:ext>
          </a:extLst>
        </xdr:cNvPr>
        <xdr:cNvSpPr/>
      </xdr:nvSpPr>
      <xdr:spPr>
        <a:xfrm>
          <a:off x="3303855" y="697439"/>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209404</xdr:colOff>
      <xdr:row>3</xdr:row>
      <xdr:rowOff>125426</xdr:rowOff>
    </xdr:from>
    <xdr:to>
      <xdr:col>2</xdr:col>
      <xdr:colOff>673504</xdr:colOff>
      <xdr:row>5</xdr:row>
      <xdr:rowOff>151226</xdr:rowOff>
    </xdr:to>
    <xdr:sp macro="" textlink="">
      <xdr:nvSpPr>
        <xdr:cNvPr id="9" name="Rectángulo 8">
          <a:hlinkClick xmlns:r="http://schemas.openxmlformats.org/officeDocument/2006/relationships" r:id="rId12"/>
          <a:extLst>
            <a:ext uri="{FF2B5EF4-FFF2-40B4-BE49-F238E27FC236}">
              <a16:creationId xmlns="" xmlns:a16="http://schemas.microsoft.com/office/drawing/2014/main" id="{00000000-0008-0000-0700-000009000000}"/>
            </a:ext>
          </a:extLst>
        </xdr:cNvPr>
        <xdr:cNvSpPr/>
      </xdr:nvSpPr>
      <xdr:spPr>
        <a:xfrm>
          <a:off x="885679" y="696926"/>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566645</xdr:colOff>
      <xdr:row>5</xdr:row>
      <xdr:rowOff>188982</xdr:rowOff>
    </xdr:from>
    <xdr:to>
      <xdr:col>6</xdr:col>
      <xdr:colOff>402095</xdr:colOff>
      <xdr:row>8</xdr:row>
      <xdr:rowOff>24282</xdr:rowOff>
    </xdr:to>
    <xdr:sp macro="" textlink="">
      <xdr:nvSpPr>
        <xdr:cNvPr id="10" name="Rectángulo 9">
          <a:hlinkClick xmlns:r="http://schemas.openxmlformats.org/officeDocument/2006/relationships" r:id="rId13"/>
          <a:extLst>
            <a:ext uri="{FF2B5EF4-FFF2-40B4-BE49-F238E27FC236}">
              <a16:creationId xmlns="" xmlns:a16="http://schemas.microsoft.com/office/drawing/2014/main" id="{00000000-0008-0000-0700-00000A000000}"/>
            </a:ext>
          </a:extLst>
        </xdr:cNvPr>
        <xdr:cNvSpPr/>
      </xdr:nvSpPr>
      <xdr:spPr>
        <a:xfrm>
          <a:off x="3319370" y="1141482"/>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20414</xdr:colOff>
      <xdr:row>6</xdr:row>
      <xdr:rowOff>5562</xdr:rowOff>
    </xdr:from>
    <xdr:to>
      <xdr:col>11</xdr:col>
      <xdr:colOff>532139</xdr:colOff>
      <xdr:row>8</xdr:row>
      <xdr:rowOff>31362</xdr:rowOff>
    </xdr:to>
    <xdr:sp macro="" textlink="">
      <xdr:nvSpPr>
        <xdr:cNvPr id="11" name="Rectángulo 10">
          <a:hlinkClick xmlns:r="http://schemas.openxmlformats.org/officeDocument/2006/relationships" r:id="rId14"/>
          <a:extLst>
            <a:ext uri="{FF2B5EF4-FFF2-40B4-BE49-F238E27FC236}">
              <a16:creationId xmlns="" xmlns:a16="http://schemas.microsoft.com/office/drawing/2014/main" id="{00000000-0008-0000-0700-00000B000000}"/>
            </a:ext>
          </a:extLst>
        </xdr:cNvPr>
        <xdr:cNvSpPr/>
      </xdr:nvSpPr>
      <xdr:spPr>
        <a:xfrm>
          <a:off x="6945089" y="1148562"/>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11</xdr:col>
      <xdr:colOff>561537</xdr:colOff>
      <xdr:row>3</xdr:row>
      <xdr:rowOff>131327</xdr:rowOff>
    </xdr:from>
    <xdr:to>
      <xdr:col>13</xdr:col>
      <xdr:colOff>396987</xdr:colOff>
      <xdr:row>5</xdr:row>
      <xdr:rowOff>157127</xdr:rowOff>
    </xdr:to>
    <xdr:sp macro="" textlink="">
      <xdr:nvSpPr>
        <xdr:cNvPr id="12" name="Rectángulo 11">
          <a:hlinkClick xmlns:r="http://schemas.openxmlformats.org/officeDocument/2006/relationships" r:id="rId15"/>
          <a:extLst>
            <a:ext uri="{FF2B5EF4-FFF2-40B4-BE49-F238E27FC236}">
              <a16:creationId xmlns="" xmlns:a16="http://schemas.microsoft.com/office/drawing/2014/main" id="{00000000-0008-0000-0700-00000C000000}"/>
            </a:ext>
          </a:extLst>
        </xdr:cNvPr>
        <xdr:cNvSpPr/>
      </xdr:nvSpPr>
      <xdr:spPr>
        <a:xfrm>
          <a:off x="8162487" y="702827"/>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285750</xdr:colOff>
      <xdr:row>0</xdr:row>
      <xdr:rowOff>123825</xdr:rowOff>
    </xdr:from>
    <xdr:to>
      <xdr:col>3</xdr:col>
      <xdr:colOff>620059</xdr:colOff>
      <xdr:row>2</xdr:row>
      <xdr:rowOff>133350</xdr:rowOff>
    </xdr:to>
    <xdr:sp macro="" textlink="">
      <xdr:nvSpPr>
        <xdr:cNvPr id="13" name="CuadroTexto 12">
          <a:extLst>
            <a:ext uri="{FF2B5EF4-FFF2-40B4-BE49-F238E27FC236}">
              <a16:creationId xmlns="" xmlns:a16="http://schemas.microsoft.com/office/drawing/2014/main" id="{00000000-0008-0000-0700-00000D000000}"/>
            </a:ext>
          </a:extLst>
        </xdr:cNvPr>
        <xdr:cNvSpPr txBox="1"/>
      </xdr:nvSpPr>
      <xdr:spPr>
        <a:xfrm>
          <a:off x="285750" y="123825"/>
          <a:ext cx="2448859" cy="377825"/>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B7A897"/>
              </a:solidFill>
            </a:rPr>
            <a:t>7.</a:t>
          </a:r>
          <a:r>
            <a:rPr lang="es-PE" sz="1400" b="1" baseline="0">
              <a:solidFill>
                <a:srgbClr val="B7A897"/>
              </a:solidFill>
            </a:rPr>
            <a:t> </a:t>
          </a:r>
          <a:r>
            <a:rPr lang="es-PE" sz="1400" b="1">
              <a:solidFill>
                <a:srgbClr val="B7A897"/>
              </a:solidFill>
            </a:rPr>
            <a:t>BRECHA DE SERVICIO</a:t>
          </a:r>
        </a:p>
      </xdr:txBody>
    </xdr:sp>
    <xdr:clientData/>
  </xdr:twoCellAnchor>
  <xdr:twoCellAnchor>
    <xdr:from>
      <xdr:col>12</xdr:col>
      <xdr:colOff>336550</xdr:colOff>
      <xdr:row>0</xdr:row>
      <xdr:rowOff>129243</xdr:rowOff>
    </xdr:from>
    <xdr:to>
      <xdr:col>14</xdr:col>
      <xdr:colOff>339911</xdr:colOff>
      <xdr:row>2</xdr:row>
      <xdr:rowOff>138767</xdr:rowOff>
    </xdr:to>
    <xdr:sp macro="[0]!Mostrar_Ayuda_Brecha_Servicio" textlink="">
      <xdr:nvSpPr>
        <xdr:cNvPr id="14" name="CuadroTexto 13">
          <a:extLst>
            <a:ext uri="{FF2B5EF4-FFF2-40B4-BE49-F238E27FC236}">
              <a16:creationId xmlns="" xmlns:a16="http://schemas.microsoft.com/office/drawing/2014/main" id="{00000000-0008-0000-0700-00000E000000}"/>
            </a:ext>
          </a:extLst>
        </xdr:cNvPr>
        <xdr:cNvSpPr txBox="1"/>
      </xdr:nvSpPr>
      <xdr:spPr>
        <a:xfrm>
          <a:off x="8613775" y="129243"/>
          <a:ext cx="1355911" cy="39052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CBBA99"/>
              </a:solidFill>
            </a:rPr>
            <a:t>INSTRUCTIVO</a:t>
          </a:r>
        </a:p>
      </xdr:txBody>
    </xdr:sp>
    <xdr:clientData/>
  </xdr:twoCellAnchor>
  <xdr:twoCellAnchor>
    <xdr:from>
      <xdr:col>6</xdr:col>
      <xdr:colOff>421027</xdr:colOff>
      <xdr:row>6</xdr:row>
      <xdr:rowOff>5109</xdr:rowOff>
    </xdr:from>
    <xdr:to>
      <xdr:col>8</xdr:col>
      <xdr:colOff>256477</xdr:colOff>
      <xdr:row>8</xdr:row>
      <xdr:rowOff>30909</xdr:rowOff>
    </xdr:to>
    <xdr:sp macro="" textlink="">
      <xdr:nvSpPr>
        <xdr:cNvPr id="15" name="Rectángulo 14">
          <a:hlinkClick xmlns:r="http://schemas.openxmlformats.org/officeDocument/2006/relationships" r:id="rId16"/>
          <a:extLst>
            <a:ext uri="{FF2B5EF4-FFF2-40B4-BE49-F238E27FC236}">
              <a16:creationId xmlns="" xmlns:a16="http://schemas.microsoft.com/office/drawing/2014/main" id="{00000000-0008-0000-0700-00000F000000}"/>
            </a:ext>
          </a:extLst>
        </xdr:cNvPr>
        <xdr:cNvSpPr/>
      </xdr:nvSpPr>
      <xdr:spPr>
        <a:xfrm>
          <a:off x="4526302" y="1148109"/>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277525</xdr:colOff>
      <xdr:row>3</xdr:row>
      <xdr:rowOff>129225</xdr:rowOff>
    </xdr:from>
    <xdr:to>
      <xdr:col>9</xdr:col>
      <xdr:colOff>789250</xdr:colOff>
      <xdr:row>5</xdr:row>
      <xdr:rowOff>155025</xdr:rowOff>
    </xdr:to>
    <xdr:sp macro="" textlink="">
      <xdr:nvSpPr>
        <xdr:cNvPr id="16" name="Rectángulo 15">
          <a:hlinkClick xmlns:r="http://schemas.openxmlformats.org/officeDocument/2006/relationships" r:id="rId17"/>
          <a:extLst>
            <a:ext uri="{FF2B5EF4-FFF2-40B4-BE49-F238E27FC236}">
              <a16:creationId xmlns="" xmlns:a16="http://schemas.microsoft.com/office/drawing/2014/main" id="{00000000-0008-0000-0700-000010000000}"/>
            </a:ext>
          </a:extLst>
        </xdr:cNvPr>
        <xdr:cNvSpPr/>
      </xdr:nvSpPr>
      <xdr:spPr>
        <a:xfrm>
          <a:off x="5735350" y="700725"/>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10</xdr:col>
      <xdr:colOff>25075</xdr:colOff>
      <xdr:row>3</xdr:row>
      <xdr:rowOff>130054</xdr:rowOff>
    </xdr:from>
    <xdr:to>
      <xdr:col>11</xdr:col>
      <xdr:colOff>536800</xdr:colOff>
      <xdr:row>5</xdr:row>
      <xdr:rowOff>155854</xdr:rowOff>
    </xdr:to>
    <xdr:sp macro="" textlink="">
      <xdr:nvSpPr>
        <xdr:cNvPr id="17" name="Rectángulo 16">
          <a:hlinkClick xmlns:r="http://schemas.openxmlformats.org/officeDocument/2006/relationships" r:id="rId18"/>
          <a:extLst>
            <a:ext uri="{FF2B5EF4-FFF2-40B4-BE49-F238E27FC236}">
              <a16:creationId xmlns="" xmlns:a16="http://schemas.microsoft.com/office/drawing/2014/main" id="{00000000-0008-0000-0700-000011000000}"/>
            </a:ext>
          </a:extLst>
        </xdr:cNvPr>
        <xdr:cNvSpPr/>
      </xdr:nvSpPr>
      <xdr:spPr>
        <a:xfrm>
          <a:off x="6949750" y="701554"/>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269501</xdr:colOff>
      <xdr:row>6</xdr:row>
      <xdr:rowOff>13682</xdr:rowOff>
    </xdr:from>
    <xdr:to>
      <xdr:col>9</xdr:col>
      <xdr:colOff>781226</xdr:colOff>
      <xdr:row>8</xdr:row>
      <xdr:rowOff>39482</xdr:rowOff>
    </xdr:to>
    <xdr:sp macro="" textlink="">
      <xdr:nvSpPr>
        <xdr:cNvPr id="18" name="Rectángulo 17">
          <a:hlinkClick xmlns:r="http://schemas.openxmlformats.org/officeDocument/2006/relationships" r:id="rId19"/>
          <a:extLst>
            <a:ext uri="{FF2B5EF4-FFF2-40B4-BE49-F238E27FC236}">
              <a16:creationId xmlns="" xmlns:a16="http://schemas.microsoft.com/office/drawing/2014/main" id="{00000000-0008-0000-0700-000012000000}"/>
            </a:ext>
          </a:extLst>
        </xdr:cNvPr>
        <xdr:cNvSpPr/>
      </xdr:nvSpPr>
      <xdr:spPr>
        <a:xfrm>
          <a:off x="5727326" y="1156682"/>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571239</xdr:colOff>
      <xdr:row>6</xdr:row>
      <xdr:rowOff>2884</xdr:rowOff>
    </xdr:from>
    <xdr:to>
      <xdr:col>13</xdr:col>
      <xdr:colOff>406689</xdr:colOff>
      <xdr:row>8</xdr:row>
      <xdr:rowOff>28684</xdr:rowOff>
    </xdr:to>
    <xdr:sp macro="" textlink="">
      <xdr:nvSpPr>
        <xdr:cNvPr id="19" name="Rectángulo 18">
          <a:hlinkClick xmlns:r="http://schemas.openxmlformats.org/officeDocument/2006/relationships" r:id="rId20"/>
          <a:extLst>
            <a:ext uri="{FF2B5EF4-FFF2-40B4-BE49-F238E27FC236}">
              <a16:creationId xmlns="" xmlns:a16="http://schemas.microsoft.com/office/drawing/2014/main" id="{00000000-0008-0000-0700-000013000000}"/>
            </a:ext>
          </a:extLst>
        </xdr:cNvPr>
        <xdr:cNvSpPr/>
      </xdr:nvSpPr>
      <xdr:spPr>
        <a:xfrm>
          <a:off x="8172189" y="1145884"/>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Conclusiones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13</xdr:col>
      <xdr:colOff>429194</xdr:colOff>
      <xdr:row>3</xdr:row>
      <xdr:rowOff>127982</xdr:rowOff>
    </xdr:from>
    <xdr:to>
      <xdr:col>14</xdr:col>
      <xdr:colOff>381001</xdr:colOff>
      <xdr:row>8</xdr:row>
      <xdr:rowOff>28591</xdr:rowOff>
    </xdr:to>
    <xdr:sp macro="" textlink="">
      <xdr:nvSpPr>
        <xdr:cNvPr id="20" name="Rectángulo 19">
          <a:hlinkClick xmlns:r="http://schemas.openxmlformats.org/officeDocument/2006/relationships" r:id="rId21"/>
          <a:extLst>
            <a:ext uri="{FF2B5EF4-FFF2-40B4-BE49-F238E27FC236}">
              <a16:creationId xmlns="" xmlns:a16="http://schemas.microsoft.com/office/drawing/2014/main" id="{00000000-0008-0000-0700-000014000000}"/>
            </a:ext>
          </a:extLst>
        </xdr:cNvPr>
        <xdr:cNvSpPr/>
      </xdr:nvSpPr>
      <xdr:spPr>
        <a:xfrm>
          <a:off x="9382694" y="699482"/>
          <a:ext cx="628082" cy="85310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13</xdr:col>
          <xdr:colOff>57150</xdr:colOff>
          <xdr:row>19</xdr:row>
          <xdr:rowOff>180975</xdr:rowOff>
        </xdr:from>
        <xdr:to>
          <xdr:col>14</xdr:col>
          <xdr:colOff>657225</xdr:colOff>
          <xdr:row>22</xdr:row>
          <xdr:rowOff>9525</xdr:rowOff>
        </xdr:to>
        <xdr:sp macro="" textlink="">
          <xdr:nvSpPr>
            <xdr:cNvPr id="45060" name="Balance_Hidrico" hidden="1">
              <a:extLst>
                <a:ext uri="{63B3BB69-23CF-44E3-9099-C40C66FF867C}">
                  <a14:compatExt spid="_x0000_s45060"/>
                </a:ext>
                <a:ext uri="{FF2B5EF4-FFF2-40B4-BE49-F238E27FC236}">
                  <a16:creationId xmlns="" xmlns:a16="http://schemas.microsoft.com/office/drawing/2014/main" id="{00000000-0008-0000-0700-000004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22</xdr:row>
          <xdr:rowOff>19050</xdr:rowOff>
        </xdr:from>
        <xdr:to>
          <xdr:col>14</xdr:col>
          <xdr:colOff>666750</xdr:colOff>
          <xdr:row>23</xdr:row>
          <xdr:rowOff>247650</xdr:rowOff>
        </xdr:to>
        <xdr:sp macro="" textlink="">
          <xdr:nvSpPr>
            <xdr:cNvPr id="45061" name="Btn_Ir_a_BalanceHSP" hidden="1">
              <a:extLst>
                <a:ext uri="{63B3BB69-23CF-44E3-9099-C40C66FF867C}">
                  <a14:compatExt spid="_x0000_s45061"/>
                </a:ext>
                <a:ext uri="{FF2B5EF4-FFF2-40B4-BE49-F238E27FC236}">
                  <a16:creationId xmlns="" xmlns:a16="http://schemas.microsoft.com/office/drawing/2014/main" id="{00000000-0008-0000-0700-000005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23</xdr:row>
          <xdr:rowOff>266700</xdr:rowOff>
        </xdr:from>
        <xdr:to>
          <xdr:col>14</xdr:col>
          <xdr:colOff>657225</xdr:colOff>
          <xdr:row>29</xdr:row>
          <xdr:rowOff>9525</xdr:rowOff>
        </xdr:to>
        <xdr:sp macro="" textlink="">
          <xdr:nvSpPr>
            <xdr:cNvPr id="45062" name="Btn_Ir_a_BalanceHCP" hidden="1">
              <a:extLst>
                <a:ext uri="{63B3BB69-23CF-44E3-9099-C40C66FF867C}">
                  <a14:compatExt spid="_x0000_s45062"/>
                </a:ext>
                <a:ext uri="{FF2B5EF4-FFF2-40B4-BE49-F238E27FC236}">
                  <a16:creationId xmlns="" xmlns:a16="http://schemas.microsoft.com/office/drawing/2014/main" id="{00000000-0008-0000-0700-000006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709083</xdr:colOff>
      <xdr:row>8</xdr:row>
      <xdr:rowOff>179916</xdr:rowOff>
    </xdr:to>
    <xdr:grpSp>
      <xdr:nvGrpSpPr>
        <xdr:cNvPr id="23" name="Grupo 21">
          <a:extLst>
            <a:ext uri="{FF2B5EF4-FFF2-40B4-BE49-F238E27FC236}">
              <a16:creationId xmlns="" xmlns:a16="http://schemas.microsoft.com/office/drawing/2014/main" id="{00000000-0008-0000-0800-000017000000}"/>
            </a:ext>
          </a:extLst>
        </xdr:cNvPr>
        <xdr:cNvGrpSpPr/>
      </xdr:nvGrpSpPr>
      <xdr:grpSpPr>
        <a:xfrm>
          <a:off x="0" y="0"/>
          <a:ext cx="11133666" cy="1703916"/>
          <a:chOff x="9592236" y="1916205"/>
          <a:chExt cx="9551614" cy="1726191"/>
        </a:xfrm>
      </xdr:grpSpPr>
      <xdr:pic>
        <xdr:nvPicPr>
          <xdr:cNvPr id="24" name="Imagen 22">
            <a:extLst>
              <a:ext uri="{FF2B5EF4-FFF2-40B4-BE49-F238E27FC236}">
                <a16:creationId xmlns="" xmlns:a16="http://schemas.microsoft.com/office/drawing/2014/main" id="{00000000-0008-0000-0800-00001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25" name="Imagen 23">
            <a:extLst>
              <a:ext uri="{FF2B5EF4-FFF2-40B4-BE49-F238E27FC236}">
                <a16:creationId xmlns="" xmlns:a16="http://schemas.microsoft.com/office/drawing/2014/main" id="{00000000-0008-0000-0800-00001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26" name="Imagen 24">
            <a:extLst>
              <a:ext uri="{FF2B5EF4-FFF2-40B4-BE49-F238E27FC236}">
                <a16:creationId xmlns="" xmlns:a16="http://schemas.microsoft.com/office/drawing/2014/main" id="{00000000-0008-0000-0800-00001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27" name="Imagen 25">
            <a:extLst>
              <a:ext uri="{FF2B5EF4-FFF2-40B4-BE49-F238E27FC236}">
                <a16:creationId xmlns="" xmlns:a16="http://schemas.microsoft.com/office/drawing/2014/main" id="{00000000-0008-0000-0800-00001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39100"/>
            <a:ext cx="2368646" cy="1703296"/>
          </a:xfrm>
          <a:prstGeom prst="rect">
            <a:avLst/>
          </a:prstGeom>
        </xdr:spPr>
      </xdr:pic>
    </xdr:grpSp>
    <xdr:clientData/>
  </xdr:twoCellAnchor>
  <xdr:twoCellAnchor>
    <xdr:from>
      <xdr:col>0</xdr:col>
      <xdr:colOff>651930</xdr:colOff>
      <xdr:row>3</xdr:row>
      <xdr:rowOff>133350</xdr:rowOff>
    </xdr:from>
    <xdr:to>
      <xdr:col>1</xdr:col>
      <xdr:colOff>550330</xdr:colOff>
      <xdr:row>8</xdr:row>
      <xdr:rowOff>6350</xdr:rowOff>
    </xdr:to>
    <xdr:sp macro="" textlink="">
      <xdr:nvSpPr>
        <xdr:cNvPr id="251" name="Rectángulo 250">
          <a:hlinkClick xmlns:r="http://schemas.openxmlformats.org/officeDocument/2006/relationships" r:id="rId5"/>
          <a:extLst>
            <a:ext uri="{FF2B5EF4-FFF2-40B4-BE49-F238E27FC236}">
              <a16:creationId xmlns="" xmlns:a16="http://schemas.microsoft.com/office/drawing/2014/main" id="{00000000-0008-0000-0800-0000FB000000}"/>
            </a:ext>
          </a:extLst>
        </xdr:cNvPr>
        <xdr:cNvSpPr/>
      </xdr:nvSpPr>
      <xdr:spPr>
        <a:xfrm>
          <a:off x="651930" y="704850"/>
          <a:ext cx="607483" cy="8255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578399</xdr:colOff>
      <xdr:row>5</xdr:row>
      <xdr:rowOff>187363</xdr:rowOff>
    </xdr:from>
    <xdr:to>
      <xdr:col>3</xdr:col>
      <xdr:colOff>104815</xdr:colOff>
      <xdr:row>8</xdr:row>
      <xdr:rowOff>22663</xdr:rowOff>
    </xdr:to>
    <xdr:sp macro="" textlink="">
      <xdr:nvSpPr>
        <xdr:cNvPr id="252" name="Rectángulo 251">
          <a:hlinkClick xmlns:r="http://schemas.openxmlformats.org/officeDocument/2006/relationships" r:id="rId7"/>
          <a:extLst>
            <a:ext uri="{FF2B5EF4-FFF2-40B4-BE49-F238E27FC236}">
              <a16:creationId xmlns="" xmlns:a16="http://schemas.microsoft.com/office/drawing/2014/main" id="{00000000-0008-0000-0800-0000FC000000}"/>
            </a:ext>
          </a:extLst>
        </xdr:cNvPr>
        <xdr:cNvSpPr/>
      </xdr:nvSpPr>
      <xdr:spPr>
        <a:xfrm>
          <a:off x="1287482" y="1139863"/>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147298</xdr:colOff>
      <xdr:row>6</xdr:row>
      <xdr:rowOff>2941</xdr:rowOff>
    </xdr:from>
    <xdr:to>
      <xdr:col>4</xdr:col>
      <xdr:colOff>626215</xdr:colOff>
      <xdr:row>8</xdr:row>
      <xdr:rowOff>28741</xdr:rowOff>
    </xdr:to>
    <xdr:sp macro="" textlink="">
      <xdr:nvSpPr>
        <xdr:cNvPr id="253" name="Rectángulo 252">
          <a:hlinkClick xmlns:r="http://schemas.openxmlformats.org/officeDocument/2006/relationships" r:id="rId8"/>
          <a:extLst>
            <a:ext uri="{FF2B5EF4-FFF2-40B4-BE49-F238E27FC236}">
              <a16:creationId xmlns="" xmlns:a16="http://schemas.microsoft.com/office/drawing/2014/main" id="{00000000-0008-0000-0800-0000FD000000}"/>
            </a:ext>
          </a:extLst>
        </xdr:cNvPr>
        <xdr:cNvSpPr/>
      </xdr:nvSpPr>
      <xdr:spPr>
        <a:xfrm>
          <a:off x="2517965" y="1145941"/>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143943</xdr:colOff>
      <xdr:row>3</xdr:row>
      <xdr:rowOff>136383</xdr:rowOff>
    </xdr:from>
    <xdr:to>
      <xdr:col>4</xdr:col>
      <xdr:colOff>622860</xdr:colOff>
      <xdr:row>5</xdr:row>
      <xdr:rowOff>162183</xdr:rowOff>
    </xdr:to>
    <xdr:sp macro="" textlink="">
      <xdr:nvSpPr>
        <xdr:cNvPr id="254" name="Rectángulo 253">
          <a:hlinkClick xmlns:r="http://schemas.openxmlformats.org/officeDocument/2006/relationships" r:id="rId9"/>
          <a:extLst>
            <a:ext uri="{FF2B5EF4-FFF2-40B4-BE49-F238E27FC236}">
              <a16:creationId xmlns="" xmlns:a16="http://schemas.microsoft.com/office/drawing/2014/main" id="{00000000-0008-0000-0800-0000FE000000}"/>
            </a:ext>
          </a:extLst>
        </xdr:cNvPr>
        <xdr:cNvSpPr/>
      </xdr:nvSpPr>
      <xdr:spPr>
        <a:xfrm>
          <a:off x="2514610" y="707883"/>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449755</xdr:colOff>
      <xdr:row>3</xdr:row>
      <xdr:rowOff>139526</xdr:rowOff>
    </xdr:from>
    <xdr:to>
      <xdr:col>8</xdr:col>
      <xdr:colOff>219589</xdr:colOff>
      <xdr:row>5</xdr:row>
      <xdr:rowOff>165326</xdr:rowOff>
    </xdr:to>
    <xdr:sp macro="" textlink="">
      <xdr:nvSpPr>
        <xdr:cNvPr id="255" name="Rectángulo 254">
          <a:hlinkClick xmlns:r="http://schemas.openxmlformats.org/officeDocument/2006/relationships" r:id="rId10"/>
          <a:extLst>
            <a:ext uri="{FF2B5EF4-FFF2-40B4-BE49-F238E27FC236}">
              <a16:creationId xmlns="" xmlns:a16="http://schemas.microsoft.com/office/drawing/2014/main" id="{00000000-0008-0000-0800-0000FF000000}"/>
            </a:ext>
          </a:extLst>
        </xdr:cNvPr>
        <xdr:cNvSpPr/>
      </xdr:nvSpPr>
      <xdr:spPr>
        <a:xfrm>
          <a:off x="4947672" y="711026"/>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658028</xdr:colOff>
      <xdr:row>3</xdr:row>
      <xdr:rowOff>136522</xdr:rowOff>
    </xdr:from>
    <xdr:to>
      <xdr:col>6</xdr:col>
      <xdr:colOff>427861</xdr:colOff>
      <xdr:row>5</xdr:row>
      <xdr:rowOff>162322</xdr:rowOff>
    </xdr:to>
    <xdr:sp macro="" textlink="">
      <xdr:nvSpPr>
        <xdr:cNvPr id="256" name="Rectángulo 255">
          <a:hlinkClick xmlns:r="http://schemas.openxmlformats.org/officeDocument/2006/relationships" r:id="rId11"/>
          <a:extLst>
            <a:ext uri="{FF2B5EF4-FFF2-40B4-BE49-F238E27FC236}">
              <a16:creationId xmlns="" xmlns:a16="http://schemas.microsoft.com/office/drawing/2014/main" id="{00000000-0008-0000-0800-000000010000}"/>
            </a:ext>
          </a:extLst>
        </xdr:cNvPr>
        <xdr:cNvSpPr/>
      </xdr:nvSpPr>
      <xdr:spPr>
        <a:xfrm>
          <a:off x="3737778" y="708022"/>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582996</xdr:colOff>
      <xdr:row>3</xdr:row>
      <xdr:rowOff>131776</xdr:rowOff>
    </xdr:from>
    <xdr:to>
      <xdr:col>3</xdr:col>
      <xdr:colOff>109412</xdr:colOff>
      <xdr:row>5</xdr:row>
      <xdr:rowOff>157576</xdr:rowOff>
    </xdr:to>
    <xdr:sp macro="" textlink="">
      <xdr:nvSpPr>
        <xdr:cNvPr id="257" name="Rectángulo 256">
          <a:hlinkClick xmlns:r="http://schemas.openxmlformats.org/officeDocument/2006/relationships" r:id="rId12"/>
          <a:extLst>
            <a:ext uri="{FF2B5EF4-FFF2-40B4-BE49-F238E27FC236}">
              <a16:creationId xmlns="" xmlns:a16="http://schemas.microsoft.com/office/drawing/2014/main" id="{00000000-0008-0000-0800-000001010000}"/>
            </a:ext>
          </a:extLst>
        </xdr:cNvPr>
        <xdr:cNvSpPr/>
      </xdr:nvSpPr>
      <xdr:spPr>
        <a:xfrm>
          <a:off x="1292079" y="703276"/>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644966</xdr:colOff>
      <xdr:row>6</xdr:row>
      <xdr:rowOff>8007</xdr:rowOff>
    </xdr:from>
    <xdr:to>
      <xdr:col>6</xdr:col>
      <xdr:colOff>414799</xdr:colOff>
      <xdr:row>8</xdr:row>
      <xdr:rowOff>33807</xdr:rowOff>
    </xdr:to>
    <xdr:sp macro="" textlink="">
      <xdr:nvSpPr>
        <xdr:cNvPr id="258" name="Rectángulo 257">
          <a:hlinkClick xmlns:r="http://schemas.openxmlformats.org/officeDocument/2006/relationships" r:id="rId13"/>
          <a:extLst>
            <a:ext uri="{FF2B5EF4-FFF2-40B4-BE49-F238E27FC236}">
              <a16:creationId xmlns="" xmlns:a16="http://schemas.microsoft.com/office/drawing/2014/main" id="{00000000-0008-0000-0800-000002010000}"/>
            </a:ext>
          </a:extLst>
        </xdr:cNvPr>
        <xdr:cNvSpPr/>
      </xdr:nvSpPr>
      <xdr:spPr>
        <a:xfrm>
          <a:off x="3724716" y="1151007"/>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9</xdr:col>
      <xdr:colOff>638245</xdr:colOff>
      <xdr:row>6</xdr:row>
      <xdr:rowOff>9732</xdr:rowOff>
    </xdr:from>
    <xdr:to>
      <xdr:col>11</xdr:col>
      <xdr:colOff>408078</xdr:colOff>
      <xdr:row>8</xdr:row>
      <xdr:rowOff>35532</xdr:rowOff>
    </xdr:to>
    <xdr:sp macro="" textlink="">
      <xdr:nvSpPr>
        <xdr:cNvPr id="259" name="Rectángulo 258">
          <a:hlinkClick xmlns:r="http://schemas.openxmlformats.org/officeDocument/2006/relationships" r:id="rId14"/>
          <a:extLst>
            <a:ext uri="{FF2B5EF4-FFF2-40B4-BE49-F238E27FC236}">
              <a16:creationId xmlns="" xmlns:a16="http://schemas.microsoft.com/office/drawing/2014/main" id="{00000000-0008-0000-0800-000003010000}"/>
            </a:ext>
          </a:extLst>
        </xdr:cNvPr>
        <xdr:cNvSpPr/>
      </xdr:nvSpPr>
      <xdr:spPr>
        <a:xfrm>
          <a:off x="7379828" y="1152732"/>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11</xdr:col>
      <xdr:colOff>425880</xdr:colOff>
      <xdr:row>3</xdr:row>
      <xdr:rowOff>136556</xdr:rowOff>
    </xdr:from>
    <xdr:to>
      <xdr:col>13</xdr:col>
      <xdr:colOff>58130</xdr:colOff>
      <xdr:row>5</xdr:row>
      <xdr:rowOff>162356</xdr:rowOff>
    </xdr:to>
    <xdr:sp macro="" textlink="">
      <xdr:nvSpPr>
        <xdr:cNvPr id="260" name="Rectángulo 259">
          <a:hlinkClick xmlns:r="http://schemas.openxmlformats.org/officeDocument/2006/relationships" r:id="rId15"/>
          <a:extLst>
            <a:ext uri="{FF2B5EF4-FFF2-40B4-BE49-F238E27FC236}">
              <a16:creationId xmlns="" xmlns:a16="http://schemas.microsoft.com/office/drawing/2014/main" id="{00000000-0008-0000-0800-000004010000}"/>
            </a:ext>
          </a:extLst>
        </xdr:cNvPr>
        <xdr:cNvSpPr/>
      </xdr:nvSpPr>
      <xdr:spPr>
        <a:xfrm>
          <a:off x="8585630" y="708056"/>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687921</xdr:colOff>
      <xdr:row>0</xdr:row>
      <xdr:rowOff>123825</xdr:rowOff>
    </xdr:from>
    <xdr:to>
      <xdr:col>2</xdr:col>
      <xdr:colOff>929221</xdr:colOff>
      <xdr:row>2</xdr:row>
      <xdr:rowOff>133350</xdr:rowOff>
    </xdr:to>
    <xdr:sp macro="" textlink="">
      <xdr:nvSpPr>
        <xdr:cNvPr id="261" name="CuadroTexto 260">
          <a:extLst>
            <a:ext uri="{FF2B5EF4-FFF2-40B4-BE49-F238E27FC236}">
              <a16:creationId xmlns="" xmlns:a16="http://schemas.microsoft.com/office/drawing/2014/main" id="{00000000-0008-0000-0800-000005010000}"/>
            </a:ext>
          </a:extLst>
        </xdr:cNvPr>
        <xdr:cNvSpPr txBox="1"/>
      </xdr:nvSpPr>
      <xdr:spPr>
        <a:xfrm>
          <a:off x="687921" y="123825"/>
          <a:ext cx="1659467" cy="390525"/>
        </a:xfrm>
        <a:prstGeom prst="rect">
          <a:avLst/>
        </a:prstGeom>
        <a:solidFill>
          <a:schemeClr val="bg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6"/>
              </a:solidFill>
            </a:rPr>
            <a:t>ANÁLISIS</a:t>
          </a:r>
          <a:r>
            <a:rPr lang="es-PE" sz="1400" b="1" baseline="0">
              <a:solidFill>
                <a:schemeClr val="accent6"/>
              </a:solidFill>
            </a:rPr>
            <a:t> TÉCNICO</a:t>
          </a:r>
          <a:endParaRPr lang="es-PE" sz="1400" b="1">
            <a:solidFill>
              <a:schemeClr val="accent6"/>
            </a:solidFill>
          </a:endParaRPr>
        </a:p>
      </xdr:txBody>
    </xdr:sp>
    <xdr:clientData/>
  </xdr:twoCellAnchor>
  <xdr:twoCellAnchor>
    <xdr:from>
      <xdr:col>12</xdr:col>
      <xdr:colOff>106427</xdr:colOff>
      <xdr:row>0</xdr:row>
      <xdr:rowOff>97065</xdr:rowOff>
    </xdr:from>
    <xdr:to>
      <xdr:col>13</xdr:col>
      <xdr:colOff>700604</xdr:colOff>
      <xdr:row>2</xdr:row>
      <xdr:rowOff>106589</xdr:rowOff>
    </xdr:to>
    <xdr:sp macro="[0]!Mostrar_Ayuda_Analisis_Tecnico" textlink="">
      <xdr:nvSpPr>
        <xdr:cNvPr id="262" name="CuadroTexto 261">
          <a:extLst>
            <a:ext uri="{FF2B5EF4-FFF2-40B4-BE49-F238E27FC236}">
              <a16:creationId xmlns="" xmlns:a16="http://schemas.microsoft.com/office/drawing/2014/main" id="{00000000-0008-0000-0800-000006010000}"/>
            </a:ext>
          </a:extLst>
        </xdr:cNvPr>
        <xdr:cNvSpPr txBox="1"/>
      </xdr:nvSpPr>
      <xdr:spPr>
        <a:xfrm>
          <a:off x="8975260" y="97065"/>
          <a:ext cx="1440844" cy="390524"/>
        </a:xfrm>
        <a:prstGeom prst="rect">
          <a:avLst/>
        </a:prstGeom>
        <a:solidFill>
          <a:schemeClr val="bg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6"/>
              </a:solidFill>
            </a:rPr>
            <a:t>INSTRUCTIVO</a:t>
          </a:r>
        </a:p>
      </xdr:txBody>
    </xdr:sp>
    <xdr:clientData/>
  </xdr:twoCellAnchor>
  <xdr:twoCellAnchor>
    <xdr:from>
      <xdr:col>6</xdr:col>
      <xdr:colOff>437971</xdr:colOff>
      <xdr:row>6</xdr:row>
      <xdr:rowOff>8284</xdr:rowOff>
    </xdr:from>
    <xdr:to>
      <xdr:col>8</xdr:col>
      <xdr:colOff>207805</xdr:colOff>
      <xdr:row>8</xdr:row>
      <xdr:rowOff>34084</xdr:rowOff>
    </xdr:to>
    <xdr:sp macro="" textlink="">
      <xdr:nvSpPr>
        <xdr:cNvPr id="263" name="Rectángulo 262">
          <a:hlinkClick xmlns:r="http://schemas.openxmlformats.org/officeDocument/2006/relationships" r:id="rId16"/>
          <a:extLst>
            <a:ext uri="{FF2B5EF4-FFF2-40B4-BE49-F238E27FC236}">
              <a16:creationId xmlns="" xmlns:a16="http://schemas.microsoft.com/office/drawing/2014/main" id="{00000000-0008-0000-0800-000007010000}"/>
            </a:ext>
          </a:extLst>
        </xdr:cNvPr>
        <xdr:cNvSpPr/>
      </xdr:nvSpPr>
      <xdr:spPr>
        <a:xfrm>
          <a:off x="4935888" y="1151284"/>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237072</xdr:colOff>
      <xdr:row>3</xdr:row>
      <xdr:rowOff>138687</xdr:rowOff>
    </xdr:from>
    <xdr:to>
      <xdr:col>9</xdr:col>
      <xdr:colOff>599572</xdr:colOff>
      <xdr:row>5</xdr:row>
      <xdr:rowOff>164487</xdr:rowOff>
    </xdr:to>
    <xdr:sp macro="" textlink="">
      <xdr:nvSpPr>
        <xdr:cNvPr id="264" name="Rectángulo 263">
          <a:hlinkClick xmlns:r="http://schemas.openxmlformats.org/officeDocument/2006/relationships" r:id="rId17"/>
          <a:extLst>
            <a:ext uri="{FF2B5EF4-FFF2-40B4-BE49-F238E27FC236}">
              <a16:creationId xmlns="" xmlns:a16="http://schemas.microsoft.com/office/drawing/2014/main" id="{00000000-0008-0000-0800-000008010000}"/>
            </a:ext>
          </a:extLst>
        </xdr:cNvPr>
        <xdr:cNvSpPr/>
      </xdr:nvSpPr>
      <xdr:spPr>
        <a:xfrm>
          <a:off x="6153155" y="710187"/>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9</xdr:col>
      <xdr:colOff>627091</xdr:colOff>
      <xdr:row>3</xdr:row>
      <xdr:rowOff>139517</xdr:rowOff>
    </xdr:from>
    <xdr:to>
      <xdr:col>11</xdr:col>
      <xdr:colOff>396924</xdr:colOff>
      <xdr:row>5</xdr:row>
      <xdr:rowOff>165317</xdr:rowOff>
    </xdr:to>
    <xdr:sp macro="" textlink="">
      <xdr:nvSpPr>
        <xdr:cNvPr id="265" name="Rectángulo 264">
          <a:hlinkClick xmlns:r="http://schemas.openxmlformats.org/officeDocument/2006/relationships" r:id="rId18"/>
          <a:extLst>
            <a:ext uri="{FF2B5EF4-FFF2-40B4-BE49-F238E27FC236}">
              <a16:creationId xmlns="" xmlns:a16="http://schemas.microsoft.com/office/drawing/2014/main" id="{00000000-0008-0000-0800-000009010000}"/>
            </a:ext>
          </a:extLst>
        </xdr:cNvPr>
        <xdr:cNvSpPr/>
      </xdr:nvSpPr>
      <xdr:spPr>
        <a:xfrm>
          <a:off x="7368674" y="711017"/>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236569</xdr:colOff>
      <xdr:row>6</xdr:row>
      <xdr:rowOff>12493</xdr:rowOff>
    </xdr:from>
    <xdr:to>
      <xdr:col>9</xdr:col>
      <xdr:colOff>599069</xdr:colOff>
      <xdr:row>8</xdr:row>
      <xdr:rowOff>38293</xdr:rowOff>
    </xdr:to>
    <xdr:sp macro="" textlink="">
      <xdr:nvSpPr>
        <xdr:cNvPr id="266" name="Rectángulo 265">
          <a:hlinkClick xmlns:r="http://schemas.openxmlformats.org/officeDocument/2006/relationships" r:id="rId19"/>
          <a:extLst>
            <a:ext uri="{FF2B5EF4-FFF2-40B4-BE49-F238E27FC236}">
              <a16:creationId xmlns="" xmlns:a16="http://schemas.microsoft.com/office/drawing/2014/main" id="{00000000-0008-0000-0800-00000A010000}"/>
            </a:ext>
          </a:extLst>
        </xdr:cNvPr>
        <xdr:cNvSpPr/>
      </xdr:nvSpPr>
      <xdr:spPr>
        <a:xfrm>
          <a:off x="6152652" y="1155493"/>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436033</xdr:colOff>
      <xdr:row>5</xdr:row>
      <xdr:rowOff>189026</xdr:rowOff>
    </xdr:from>
    <xdr:to>
      <xdr:col>13</xdr:col>
      <xdr:colOff>68283</xdr:colOff>
      <xdr:row>8</xdr:row>
      <xdr:rowOff>24326</xdr:rowOff>
    </xdr:to>
    <xdr:sp macro="" textlink="">
      <xdr:nvSpPr>
        <xdr:cNvPr id="267" name="Rectángulo 266">
          <a:hlinkClick xmlns:r="http://schemas.openxmlformats.org/officeDocument/2006/relationships" r:id="rId20"/>
          <a:extLst>
            <a:ext uri="{FF2B5EF4-FFF2-40B4-BE49-F238E27FC236}">
              <a16:creationId xmlns="" xmlns:a16="http://schemas.microsoft.com/office/drawing/2014/main" id="{00000000-0008-0000-0800-00000B010000}"/>
            </a:ext>
          </a:extLst>
        </xdr:cNvPr>
        <xdr:cNvSpPr/>
      </xdr:nvSpPr>
      <xdr:spPr>
        <a:xfrm>
          <a:off x="8595783" y="1141526"/>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Conclusiones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13</xdr:col>
      <xdr:colOff>88949</xdr:colOff>
      <xdr:row>3</xdr:row>
      <xdr:rowOff>127315</xdr:rowOff>
    </xdr:from>
    <xdr:to>
      <xdr:col>14</xdr:col>
      <xdr:colOff>4230</xdr:colOff>
      <xdr:row>8</xdr:row>
      <xdr:rowOff>27924</xdr:rowOff>
    </xdr:to>
    <xdr:sp macro="" textlink="">
      <xdr:nvSpPr>
        <xdr:cNvPr id="268" name="Rectángulo 267">
          <a:hlinkClick xmlns:r="http://schemas.openxmlformats.org/officeDocument/2006/relationships" r:id="rId21"/>
          <a:extLst>
            <a:ext uri="{FF2B5EF4-FFF2-40B4-BE49-F238E27FC236}">
              <a16:creationId xmlns="" xmlns:a16="http://schemas.microsoft.com/office/drawing/2014/main" id="{00000000-0008-0000-0800-00000C010000}"/>
            </a:ext>
          </a:extLst>
        </xdr:cNvPr>
        <xdr:cNvSpPr/>
      </xdr:nvSpPr>
      <xdr:spPr>
        <a:xfrm>
          <a:off x="9804449" y="698815"/>
          <a:ext cx="624364" cy="85310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3</xdr:col>
      <xdr:colOff>613833</xdr:colOff>
      <xdr:row>46</xdr:row>
      <xdr:rowOff>148167</xdr:rowOff>
    </xdr:from>
    <xdr:to>
      <xdr:col>5</xdr:col>
      <xdr:colOff>443693</xdr:colOff>
      <xdr:row>48</xdr:row>
      <xdr:rowOff>15394</xdr:rowOff>
    </xdr:to>
    <xdr:sp macro="[0]!Identificación_riesgos_ejemplo" textlink="">
      <xdr:nvSpPr>
        <xdr:cNvPr id="22" name="Rectángulo 21">
          <a:extLst>
            <a:ext uri="{FF2B5EF4-FFF2-40B4-BE49-F238E27FC236}">
              <a16:creationId xmlns="" xmlns:a16="http://schemas.microsoft.com/office/drawing/2014/main" id="{00000000-0008-0000-0800-000016000000}"/>
            </a:ext>
          </a:extLst>
        </xdr:cNvPr>
        <xdr:cNvSpPr/>
      </xdr:nvSpPr>
      <xdr:spPr>
        <a:xfrm>
          <a:off x="2984500" y="13652500"/>
          <a:ext cx="1248026" cy="311727"/>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Ver Ejemplo</a:t>
          </a:r>
        </a:p>
      </xdr:txBody>
    </xdr:sp>
    <xdr:clientData/>
  </xdr:twoCellAnchor>
  <xdr:twoCellAnchor>
    <xdr:from>
      <xdr:col>1</xdr:col>
      <xdr:colOff>0</xdr:colOff>
      <xdr:row>277</xdr:row>
      <xdr:rowOff>0</xdr:rowOff>
    </xdr:from>
    <xdr:to>
      <xdr:col>3</xdr:col>
      <xdr:colOff>123263</xdr:colOff>
      <xdr:row>280</xdr:row>
      <xdr:rowOff>11207</xdr:rowOff>
    </xdr:to>
    <xdr:sp macro="[0]!Ir_a_Vulnerabilidad_AT" textlink="">
      <xdr:nvSpPr>
        <xdr:cNvPr id="29" name="Rectángulo 28">
          <a:extLst>
            <a:ext uri="{FF2B5EF4-FFF2-40B4-BE49-F238E27FC236}">
              <a16:creationId xmlns="" xmlns:a16="http://schemas.microsoft.com/office/drawing/2014/main" id="{00000000-0008-0000-0800-00001D000000}"/>
            </a:ext>
          </a:extLst>
        </xdr:cNvPr>
        <xdr:cNvSpPr/>
      </xdr:nvSpPr>
      <xdr:spPr>
        <a:xfrm>
          <a:off x="200025" y="57769125"/>
          <a:ext cx="2599763" cy="582707"/>
        </a:xfrm>
        <a:prstGeom prst="rect">
          <a:avLst/>
        </a:prstGeom>
        <a:solidFill>
          <a:schemeClr val="bg1">
            <a:lumMod val="75000"/>
          </a:schemeClr>
        </a:solidFill>
        <a:ln>
          <a:solidFill>
            <a:schemeClr val="accent5">
              <a:lumMod val="60000"/>
              <a:lumOff val="4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solidFill>
                <a:schemeClr val="tx1"/>
              </a:solidFill>
            </a:rPr>
            <a:t>Ir</a:t>
          </a:r>
          <a:r>
            <a:rPr lang="es-ES" sz="1200" b="1" baseline="0">
              <a:solidFill>
                <a:schemeClr val="tx1"/>
              </a:solidFill>
            </a:rPr>
            <a:t> al Análisis de la Vulnerabilidad</a:t>
          </a:r>
          <a:endParaRPr lang="es-ES" sz="1200" b="1">
            <a:solidFill>
              <a:schemeClr val="tx1"/>
            </a:solidFill>
          </a:endParaRPr>
        </a:p>
      </xdr:txBody>
    </xdr:sp>
    <xdr:clientData/>
  </xdr:twoCellAnchor>
  <xdr:twoCellAnchor>
    <xdr:from>
      <xdr:col>8</xdr:col>
      <xdr:colOff>349250</xdr:colOff>
      <xdr:row>119</xdr:row>
      <xdr:rowOff>148167</xdr:rowOff>
    </xdr:from>
    <xdr:to>
      <xdr:col>12</xdr:col>
      <xdr:colOff>2990</xdr:colOff>
      <xdr:row>234</xdr:row>
      <xdr:rowOff>94628</xdr:rowOff>
    </xdr:to>
    <xdr:sp macro="[0]!Mostrar_Ayuda_Formulacion_Riesgos" textlink="">
      <xdr:nvSpPr>
        <xdr:cNvPr id="28" name="Rectángulo redondeado 31">
          <a:extLst>
            <a:ext uri="{FF2B5EF4-FFF2-40B4-BE49-F238E27FC236}">
              <a16:creationId xmlns="" xmlns:a16="http://schemas.microsoft.com/office/drawing/2014/main" id="{00000000-0008-0000-0800-00001C000000}"/>
            </a:ext>
          </a:extLst>
        </xdr:cNvPr>
        <xdr:cNvSpPr/>
      </xdr:nvSpPr>
      <xdr:spPr>
        <a:xfrm>
          <a:off x="6265333" y="37115750"/>
          <a:ext cx="2606490" cy="750795"/>
        </a:xfrm>
        <a:prstGeom prst="roundRect">
          <a:avLst/>
        </a:prstGeom>
        <a:solidFill>
          <a:schemeClr val="bg1">
            <a:lumMod val="75000"/>
          </a:schemeClr>
        </a:solidFill>
        <a:ln>
          <a:solidFill>
            <a:schemeClr val="accent5">
              <a:lumMod val="60000"/>
              <a:lumOff val="40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200" b="1">
              <a:solidFill>
                <a:schemeClr val="tx1"/>
              </a:solidFill>
              <a:effectLst/>
              <a:latin typeface="Arial Narrow" panose="020B0606020202030204" pitchFamily="34" charset="0"/>
              <a:ea typeface="+mn-ea"/>
              <a:cs typeface="+mn-cs"/>
            </a:rPr>
            <a:t>Instructivo de Gestión de Riesgos correspondiente</a:t>
          </a:r>
          <a:r>
            <a:rPr lang="es-PE" sz="1200" b="1" baseline="0">
              <a:solidFill>
                <a:schemeClr val="tx1"/>
              </a:solidFill>
              <a:effectLst/>
              <a:latin typeface="Arial Narrow" panose="020B0606020202030204" pitchFamily="34" charset="0"/>
              <a:ea typeface="+mn-ea"/>
              <a:cs typeface="+mn-cs"/>
            </a:rPr>
            <a:t> al Análisis Técnico</a:t>
          </a:r>
          <a:endParaRPr lang="es-ES" sz="1000" b="1">
            <a:solidFill>
              <a:schemeClr val="tx1"/>
            </a:solidFill>
            <a:effectLst/>
            <a:latin typeface="Arial Narrow" panose="020B0606020202030204" pitchFamily="34" charset="0"/>
          </a:endParaRPr>
        </a:p>
      </xdr:txBody>
    </xdr:sp>
    <xdr:clientData/>
  </xdr:twoCellAnchor>
  <xdr:twoCellAnchor>
    <xdr:from>
      <xdr:col>11</xdr:col>
      <xdr:colOff>539750</xdr:colOff>
      <xdr:row>345</xdr:row>
      <xdr:rowOff>95250</xdr:rowOff>
    </xdr:from>
    <xdr:to>
      <xdr:col>15</xdr:col>
      <xdr:colOff>9339</xdr:colOff>
      <xdr:row>348</xdr:row>
      <xdr:rowOff>95250</xdr:rowOff>
    </xdr:to>
    <xdr:sp macro="[0]!Ir_a_Resumen_1" textlink="">
      <xdr:nvSpPr>
        <xdr:cNvPr id="31" name="Rectángulo redondeado 31">
          <a:extLst>
            <a:ext uri="{FF2B5EF4-FFF2-40B4-BE49-F238E27FC236}">
              <a16:creationId xmlns="" xmlns:a16="http://schemas.microsoft.com/office/drawing/2014/main" id="{00000000-0008-0000-0800-00001F000000}"/>
            </a:ext>
          </a:extLst>
        </xdr:cNvPr>
        <xdr:cNvSpPr/>
      </xdr:nvSpPr>
      <xdr:spPr>
        <a:xfrm>
          <a:off x="8699500" y="75861333"/>
          <a:ext cx="2443506" cy="571500"/>
        </a:xfrm>
        <a:prstGeom prst="roundRect">
          <a:avLst/>
        </a:prstGeom>
        <a:solidFill>
          <a:schemeClr val="bg1">
            <a:lumMod val="75000"/>
          </a:schemeClr>
        </a:solidFill>
        <a:ln>
          <a:solidFill>
            <a:schemeClr val="accent5">
              <a:lumMod val="60000"/>
              <a:lumOff val="40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200" b="1">
              <a:solidFill>
                <a:schemeClr val="tx1"/>
              </a:solidFill>
              <a:effectLst/>
              <a:latin typeface="Arial Narrow" panose="020B0606020202030204" pitchFamily="34" charset="0"/>
              <a:ea typeface="+mn-ea"/>
              <a:cs typeface="+mn-cs"/>
            </a:rPr>
            <a:t>Ver Hoja Resumen del</a:t>
          </a:r>
          <a:r>
            <a:rPr lang="es-PE" sz="1200" b="1" baseline="0">
              <a:solidFill>
                <a:schemeClr val="tx1"/>
              </a:solidFill>
              <a:effectLst/>
              <a:latin typeface="Arial Narrow" panose="020B0606020202030204" pitchFamily="34" charset="0"/>
              <a:ea typeface="+mn-ea"/>
              <a:cs typeface="+mn-cs"/>
            </a:rPr>
            <a:t> Análisis de Riesgos de Desastres</a:t>
          </a:r>
          <a:endParaRPr lang="es-ES" sz="1000" b="1">
            <a:solidFill>
              <a:schemeClr val="tx1"/>
            </a:solidFill>
            <a:effectLst/>
            <a:latin typeface="Arial Narrow" panose="020B060602020203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59531</xdr:colOff>
      <xdr:row>0</xdr:row>
      <xdr:rowOff>0</xdr:rowOff>
    </xdr:from>
    <xdr:to>
      <xdr:col>14</xdr:col>
      <xdr:colOff>11905</xdr:colOff>
      <xdr:row>8</xdr:row>
      <xdr:rowOff>178594</xdr:rowOff>
    </xdr:to>
    <xdr:grpSp>
      <xdr:nvGrpSpPr>
        <xdr:cNvPr id="249" name="Grupo 21">
          <a:extLst>
            <a:ext uri="{FF2B5EF4-FFF2-40B4-BE49-F238E27FC236}">
              <a16:creationId xmlns="" xmlns:a16="http://schemas.microsoft.com/office/drawing/2014/main" id="{00000000-0008-0000-0900-0000F9000000}"/>
            </a:ext>
          </a:extLst>
        </xdr:cNvPr>
        <xdr:cNvGrpSpPr/>
      </xdr:nvGrpSpPr>
      <xdr:grpSpPr>
        <a:xfrm>
          <a:off x="59531" y="0"/>
          <a:ext cx="10620374" cy="1702594"/>
          <a:chOff x="9592236" y="1916205"/>
          <a:chExt cx="9551614" cy="1724851"/>
        </a:xfrm>
      </xdr:grpSpPr>
      <xdr:pic>
        <xdr:nvPicPr>
          <xdr:cNvPr id="250" name="Imagen 22">
            <a:extLst>
              <a:ext uri="{FF2B5EF4-FFF2-40B4-BE49-F238E27FC236}">
                <a16:creationId xmlns="" xmlns:a16="http://schemas.microsoft.com/office/drawing/2014/main" id="{00000000-0008-0000-0900-0000F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251" name="Imagen 23">
            <a:extLst>
              <a:ext uri="{FF2B5EF4-FFF2-40B4-BE49-F238E27FC236}">
                <a16:creationId xmlns="" xmlns:a16="http://schemas.microsoft.com/office/drawing/2014/main" id="{00000000-0008-0000-0900-0000F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252" name="Imagen 24">
            <a:extLst>
              <a:ext uri="{FF2B5EF4-FFF2-40B4-BE49-F238E27FC236}">
                <a16:creationId xmlns="" xmlns:a16="http://schemas.microsoft.com/office/drawing/2014/main" id="{00000000-0008-0000-0900-0000F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253" name="Imagen 25">
            <a:extLst>
              <a:ext uri="{FF2B5EF4-FFF2-40B4-BE49-F238E27FC236}">
                <a16:creationId xmlns="" xmlns:a16="http://schemas.microsoft.com/office/drawing/2014/main" id="{00000000-0008-0000-0900-0000F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37760"/>
            <a:ext cx="2368646" cy="1703296"/>
          </a:xfrm>
          <a:prstGeom prst="rect">
            <a:avLst/>
          </a:prstGeom>
        </xdr:spPr>
      </xdr:pic>
    </xdr:grpSp>
    <xdr:clientData/>
  </xdr:twoCellAnchor>
  <xdr:twoCellAnchor>
    <xdr:from>
      <xdr:col>0</xdr:col>
      <xdr:colOff>454270</xdr:colOff>
      <xdr:row>3</xdr:row>
      <xdr:rowOff>121627</xdr:rowOff>
    </xdr:from>
    <xdr:to>
      <xdr:col>1</xdr:col>
      <xdr:colOff>438337</xdr:colOff>
      <xdr:row>8</xdr:row>
      <xdr:rowOff>22327</xdr:rowOff>
    </xdr:to>
    <xdr:sp macro="" textlink="">
      <xdr:nvSpPr>
        <xdr:cNvPr id="2" name="Rectángulo 1">
          <a:hlinkClick xmlns:r="http://schemas.openxmlformats.org/officeDocument/2006/relationships" r:id="rId5"/>
          <a:extLst>
            <a:ext uri="{FF2B5EF4-FFF2-40B4-BE49-F238E27FC236}">
              <a16:creationId xmlns="" xmlns:a16="http://schemas.microsoft.com/office/drawing/2014/main" id="{00000000-0008-0000-0900-000002000000}"/>
            </a:ext>
          </a:extLst>
        </xdr:cNvPr>
        <xdr:cNvSpPr/>
      </xdr:nvSpPr>
      <xdr:spPr>
        <a:xfrm>
          <a:off x="454270" y="693127"/>
          <a:ext cx="746067" cy="8532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458928</xdr:colOff>
      <xdr:row>6</xdr:row>
      <xdr:rowOff>3837</xdr:rowOff>
    </xdr:from>
    <xdr:to>
      <xdr:col>3</xdr:col>
      <xdr:colOff>122928</xdr:colOff>
      <xdr:row>8</xdr:row>
      <xdr:rowOff>30344</xdr:rowOff>
    </xdr:to>
    <xdr:sp macro="" textlink="">
      <xdr:nvSpPr>
        <xdr:cNvPr id="3" name="Rectángulo 2">
          <a:hlinkClick xmlns:r="http://schemas.openxmlformats.org/officeDocument/2006/relationships" r:id="rId7"/>
          <a:extLst>
            <a:ext uri="{FF2B5EF4-FFF2-40B4-BE49-F238E27FC236}">
              <a16:creationId xmlns="" xmlns:a16="http://schemas.microsoft.com/office/drawing/2014/main" id="{00000000-0008-0000-0900-000003000000}"/>
            </a:ext>
          </a:extLst>
        </xdr:cNvPr>
        <xdr:cNvSpPr/>
      </xdr:nvSpPr>
      <xdr:spPr>
        <a:xfrm>
          <a:off x="1220928" y="1146837"/>
          <a:ext cx="1188000" cy="40750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142613</xdr:colOff>
      <xdr:row>6</xdr:row>
      <xdr:rowOff>7798</xdr:rowOff>
    </xdr:from>
    <xdr:to>
      <xdr:col>4</xdr:col>
      <xdr:colOff>568613</xdr:colOff>
      <xdr:row>8</xdr:row>
      <xdr:rowOff>33598</xdr:rowOff>
    </xdr:to>
    <xdr:sp macro="" textlink="">
      <xdr:nvSpPr>
        <xdr:cNvPr id="4" name="Rectángulo 3">
          <a:hlinkClick xmlns:r="http://schemas.openxmlformats.org/officeDocument/2006/relationships" r:id="rId8"/>
          <a:extLst>
            <a:ext uri="{FF2B5EF4-FFF2-40B4-BE49-F238E27FC236}">
              <a16:creationId xmlns="" xmlns:a16="http://schemas.microsoft.com/office/drawing/2014/main" id="{00000000-0008-0000-0900-000004000000}"/>
            </a:ext>
          </a:extLst>
        </xdr:cNvPr>
        <xdr:cNvSpPr/>
      </xdr:nvSpPr>
      <xdr:spPr>
        <a:xfrm>
          <a:off x="2428613" y="1150798"/>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150895</xdr:colOff>
      <xdr:row>3</xdr:row>
      <xdr:rowOff>133271</xdr:rowOff>
    </xdr:from>
    <xdr:to>
      <xdr:col>4</xdr:col>
      <xdr:colOff>576895</xdr:colOff>
      <xdr:row>5</xdr:row>
      <xdr:rowOff>159071</xdr:rowOff>
    </xdr:to>
    <xdr:sp macro="" textlink="">
      <xdr:nvSpPr>
        <xdr:cNvPr id="5" name="Rectángulo 4">
          <a:hlinkClick xmlns:r="http://schemas.openxmlformats.org/officeDocument/2006/relationships" r:id="rId9"/>
          <a:extLst>
            <a:ext uri="{FF2B5EF4-FFF2-40B4-BE49-F238E27FC236}">
              <a16:creationId xmlns="" xmlns:a16="http://schemas.microsoft.com/office/drawing/2014/main" id="{00000000-0008-0000-0900-000005000000}"/>
            </a:ext>
          </a:extLst>
        </xdr:cNvPr>
        <xdr:cNvSpPr/>
      </xdr:nvSpPr>
      <xdr:spPr>
        <a:xfrm>
          <a:off x="2436895" y="704771"/>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291922</xdr:colOff>
      <xdr:row>3</xdr:row>
      <xdr:rowOff>138469</xdr:rowOff>
    </xdr:from>
    <xdr:to>
      <xdr:col>7</xdr:col>
      <xdr:colOff>717922</xdr:colOff>
      <xdr:row>5</xdr:row>
      <xdr:rowOff>164269</xdr:rowOff>
    </xdr:to>
    <xdr:sp macro="" textlink="">
      <xdr:nvSpPr>
        <xdr:cNvPr id="6" name="Rectángulo 5">
          <a:hlinkClick xmlns:r="http://schemas.openxmlformats.org/officeDocument/2006/relationships" r:id="rId10"/>
          <a:extLst>
            <a:ext uri="{FF2B5EF4-FFF2-40B4-BE49-F238E27FC236}">
              <a16:creationId xmlns="" xmlns:a16="http://schemas.microsoft.com/office/drawing/2014/main" id="{00000000-0008-0000-0900-000006000000}"/>
            </a:ext>
          </a:extLst>
        </xdr:cNvPr>
        <xdr:cNvSpPr/>
      </xdr:nvSpPr>
      <xdr:spPr>
        <a:xfrm>
          <a:off x="4863922" y="709969"/>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609395</xdr:colOff>
      <xdr:row>3</xdr:row>
      <xdr:rowOff>134531</xdr:rowOff>
    </xdr:from>
    <xdr:to>
      <xdr:col>6</xdr:col>
      <xdr:colOff>273395</xdr:colOff>
      <xdr:row>5</xdr:row>
      <xdr:rowOff>160331</xdr:rowOff>
    </xdr:to>
    <xdr:sp macro="" textlink="">
      <xdr:nvSpPr>
        <xdr:cNvPr id="7" name="Rectángulo 6">
          <a:hlinkClick xmlns:r="http://schemas.openxmlformats.org/officeDocument/2006/relationships" r:id="rId11"/>
          <a:extLst>
            <a:ext uri="{FF2B5EF4-FFF2-40B4-BE49-F238E27FC236}">
              <a16:creationId xmlns="" xmlns:a16="http://schemas.microsoft.com/office/drawing/2014/main" id="{00000000-0008-0000-0900-000007000000}"/>
            </a:ext>
          </a:extLst>
        </xdr:cNvPr>
        <xdr:cNvSpPr/>
      </xdr:nvSpPr>
      <xdr:spPr>
        <a:xfrm>
          <a:off x="3657395" y="706031"/>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462464</xdr:colOff>
      <xdr:row>3</xdr:row>
      <xdr:rowOff>136072</xdr:rowOff>
    </xdr:from>
    <xdr:to>
      <xdr:col>3</xdr:col>
      <xdr:colOff>126464</xdr:colOff>
      <xdr:row>5</xdr:row>
      <xdr:rowOff>161872</xdr:rowOff>
    </xdr:to>
    <xdr:sp macro="" textlink="">
      <xdr:nvSpPr>
        <xdr:cNvPr id="8" name="Rectángulo 7">
          <a:hlinkClick xmlns:r="http://schemas.openxmlformats.org/officeDocument/2006/relationships" r:id="rId12"/>
          <a:extLst>
            <a:ext uri="{FF2B5EF4-FFF2-40B4-BE49-F238E27FC236}">
              <a16:creationId xmlns="" xmlns:a16="http://schemas.microsoft.com/office/drawing/2014/main" id="{00000000-0008-0000-0900-000008000000}"/>
            </a:ext>
          </a:extLst>
        </xdr:cNvPr>
        <xdr:cNvSpPr/>
      </xdr:nvSpPr>
      <xdr:spPr>
        <a:xfrm>
          <a:off x="1224464" y="707572"/>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596332</xdr:colOff>
      <xdr:row>6</xdr:row>
      <xdr:rowOff>16599</xdr:rowOff>
    </xdr:from>
    <xdr:to>
      <xdr:col>6</xdr:col>
      <xdr:colOff>260332</xdr:colOff>
      <xdr:row>8</xdr:row>
      <xdr:rowOff>42399</xdr:rowOff>
    </xdr:to>
    <xdr:sp macro="" textlink="">
      <xdr:nvSpPr>
        <xdr:cNvPr id="9" name="Rectángulo 8">
          <a:hlinkClick xmlns:r="http://schemas.openxmlformats.org/officeDocument/2006/relationships" r:id="rId13"/>
          <a:extLst>
            <a:ext uri="{FF2B5EF4-FFF2-40B4-BE49-F238E27FC236}">
              <a16:creationId xmlns="" xmlns:a16="http://schemas.microsoft.com/office/drawing/2014/main" id="{00000000-0008-0000-0900-000009000000}"/>
            </a:ext>
          </a:extLst>
        </xdr:cNvPr>
        <xdr:cNvSpPr/>
      </xdr:nvSpPr>
      <xdr:spPr>
        <a:xfrm>
          <a:off x="3644332" y="1159599"/>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9</xdr:col>
      <xdr:colOff>406456</xdr:colOff>
      <xdr:row>6</xdr:row>
      <xdr:rowOff>17141</xdr:rowOff>
    </xdr:from>
    <xdr:to>
      <xdr:col>11</xdr:col>
      <xdr:colOff>70456</xdr:colOff>
      <xdr:row>8</xdr:row>
      <xdr:rowOff>42941</xdr:rowOff>
    </xdr:to>
    <xdr:sp macro="" textlink="">
      <xdr:nvSpPr>
        <xdr:cNvPr id="10" name="Rectángulo 9">
          <a:hlinkClick xmlns:r="http://schemas.openxmlformats.org/officeDocument/2006/relationships" r:id="rId14"/>
          <a:extLst>
            <a:ext uri="{FF2B5EF4-FFF2-40B4-BE49-F238E27FC236}">
              <a16:creationId xmlns="" xmlns:a16="http://schemas.microsoft.com/office/drawing/2014/main" id="{00000000-0008-0000-0900-00000A000000}"/>
            </a:ext>
          </a:extLst>
        </xdr:cNvPr>
        <xdr:cNvSpPr/>
      </xdr:nvSpPr>
      <xdr:spPr>
        <a:xfrm>
          <a:off x="7264456" y="1160141"/>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11</xdr:col>
      <xdr:colOff>73894</xdr:colOff>
      <xdr:row>3</xdr:row>
      <xdr:rowOff>150377</xdr:rowOff>
    </xdr:from>
    <xdr:to>
      <xdr:col>12</xdr:col>
      <xdr:colOff>499894</xdr:colOff>
      <xdr:row>5</xdr:row>
      <xdr:rowOff>176177</xdr:rowOff>
    </xdr:to>
    <xdr:sp macro="" textlink="">
      <xdr:nvSpPr>
        <xdr:cNvPr id="11" name="Rectángulo 10">
          <a:hlinkClick xmlns:r="http://schemas.openxmlformats.org/officeDocument/2006/relationships" r:id="rId15"/>
          <a:extLst>
            <a:ext uri="{FF2B5EF4-FFF2-40B4-BE49-F238E27FC236}">
              <a16:creationId xmlns="" xmlns:a16="http://schemas.microsoft.com/office/drawing/2014/main" id="{00000000-0008-0000-0900-00000B000000}"/>
            </a:ext>
          </a:extLst>
        </xdr:cNvPr>
        <xdr:cNvSpPr/>
      </xdr:nvSpPr>
      <xdr:spPr>
        <a:xfrm>
          <a:off x="8455894" y="721877"/>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476250</xdr:colOff>
      <xdr:row>0</xdr:row>
      <xdr:rowOff>123825</xdr:rowOff>
    </xdr:from>
    <xdr:to>
      <xdr:col>2</xdr:col>
      <xdr:colOff>609600</xdr:colOff>
      <xdr:row>2</xdr:row>
      <xdr:rowOff>133350</xdr:rowOff>
    </xdr:to>
    <xdr:sp macro="" textlink="">
      <xdr:nvSpPr>
        <xdr:cNvPr id="12" name="CuadroTexto 11">
          <a:extLst>
            <a:ext uri="{FF2B5EF4-FFF2-40B4-BE49-F238E27FC236}">
              <a16:creationId xmlns="" xmlns:a16="http://schemas.microsoft.com/office/drawing/2014/main" id="{00000000-0008-0000-0900-00000C000000}"/>
            </a:ext>
          </a:extLst>
        </xdr:cNvPr>
        <xdr:cNvSpPr txBox="1"/>
      </xdr:nvSpPr>
      <xdr:spPr>
        <a:xfrm>
          <a:off x="476250" y="123825"/>
          <a:ext cx="1657350" cy="390525"/>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GESTIÓN</a:t>
          </a:r>
        </a:p>
        <a:p>
          <a:pPr algn="ctr"/>
          <a:endParaRPr lang="es-PE" sz="1400" b="1">
            <a:solidFill>
              <a:srgbClr val="00B0F0"/>
            </a:solidFill>
          </a:endParaRPr>
        </a:p>
      </xdr:txBody>
    </xdr:sp>
    <xdr:clientData/>
  </xdr:twoCellAnchor>
  <xdr:twoCellAnchor>
    <xdr:from>
      <xdr:col>9</xdr:col>
      <xdr:colOff>471394</xdr:colOff>
      <xdr:row>0</xdr:row>
      <xdr:rowOff>130176</xdr:rowOff>
    </xdr:from>
    <xdr:to>
      <xdr:col>13</xdr:col>
      <xdr:colOff>519019</xdr:colOff>
      <xdr:row>2</xdr:row>
      <xdr:rowOff>139700</xdr:rowOff>
    </xdr:to>
    <xdr:sp macro="[0]!Mostrar_Ayuda_Gestion" textlink="">
      <xdr:nvSpPr>
        <xdr:cNvPr id="13" name="CuadroTexto 12">
          <a:extLst>
            <a:ext uri="{FF2B5EF4-FFF2-40B4-BE49-F238E27FC236}">
              <a16:creationId xmlns="" xmlns:a16="http://schemas.microsoft.com/office/drawing/2014/main" id="{00000000-0008-0000-0900-00000D000000}"/>
            </a:ext>
          </a:extLst>
        </xdr:cNvPr>
        <xdr:cNvSpPr txBox="1"/>
      </xdr:nvSpPr>
      <xdr:spPr>
        <a:xfrm>
          <a:off x="7329394" y="130176"/>
          <a:ext cx="3095625" cy="390524"/>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INSTRUCTIVO</a:t>
          </a:r>
        </a:p>
      </xdr:txBody>
    </xdr:sp>
    <xdr:clientData/>
  </xdr:twoCellAnchor>
  <xdr:twoCellAnchor>
    <xdr:from>
      <xdr:col>6</xdr:col>
      <xdr:colOff>282256</xdr:colOff>
      <xdr:row>6</xdr:row>
      <xdr:rowOff>17810</xdr:rowOff>
    </xdr:from>
    <xdr:to>
      <xdr:col>7</xdr:col>
      <xdr:colOff>708256</xdr:colOff>
      <xdr:row>8</xdr:row>
      <xdr:rowOff>43610</xdr:rowOff>
    </xdr:to>
    <xdr:sp macro="" textlink="">
      <xdr:nvSpPr>
        <xdr:cNvPr id="14" name="Rectángulo 13">
          <a:hlinkClick xmlns:r="http://schemas.openxmlformats.org/officeDocument/2006/relationships" r:id="rId16"/>
          <a:extLst>
            <a:ext uri="{FF2B5EF4-FFF2-40B4-BE49-F238E27FC236}">
              <a16:creationId xmlns="" xmlns:a16="http://schemas.microsoft.com/office/drawing/2014/main" id="{00000000-0008-0000-0900-00000E000000}"/>
            </a:ext>
          </a:extLst>
        </xdr:cNvPr>
        <xdr:cNvSpPr/>
      </xdr:nvSpPr>
      <xdr:spPr>
        <a:xfrm>
          <a:off x="4854256" y="1160810"/>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730242</xdr:colOff>
      <xdr:row>3</xdr:row>
      <xdr:rowOff>140804</xdr:rowOff>
    </xdr:from>
    <xdr:to>
      <xdr:col>9</xdr:col>
      <xdr:colOff>394242</xdr:colOff>
      <xdr:row>5</xdr:row>
      <xdr:rowOff>166604</xdr:rowOff>
    </xdr:to>
    <xdr:sp macro="" textlink="">
      <xdr:nvSpPr>
        <xdr:cNvPr id="15" name="Rectángulo 14">
          <a:hlinkClick xmlns:r="http://schemas.openxmlformats.org/officeDocument/2006/relationships" r:id="rId17"/>
          <a:extLst>
            <a:ext uri="{FF2B5EF4-FFF2-40B4-BE49-F238E27FC236}">
              <a16:creationId xmlns="" xmlns:a16="http://schemas.microsoft.com/office/drawing/2014/main" id="{00000000-0008-0000-0900-00000F000000}"/>
            </a:ext>
          </a:extLst>
        </xdr:cNvPr>
        <xdr:cNvSpPr/>
      </xdr:nvSpPr>
      <xdr:spPr>
        <a:xfrm>
          <a:off x="6064242" y="712304"/>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9</xdr:col>
      <xdr:colOff>413732</xdr:colOff>
      <xdr:row>3</xdr:row>
      <xdr:rowOff>149104</xdr:rowOff>
    </xdr:from>
    <xdr:to>
      <xdr:col>11</xdr:col>
      <xdr:colOff>77732</xdr:colOff>
      <xdr:row>5</xdr:row>
      <xdr:rowOff>174904</xdr:rowOff>
    </xdr:to>
    <xdr:sp macro="" textlink="">
      <xdr:nvSpPr>
        <xdr:cNvPr id="16" name="Rectángulo 15">
          <a:hlinkClick xmlns:r="http://schemas.openxmlformats.org/officeDocument/2006/relationships" r:id="rId18"/>
          <a:extLst>
            <a:ext uri="{FF2B5EF4-FFF2-40B4-BE49-F238E27FC236}">
              <a16:creationId xmlns="" xmlns:a16="http://schemas.microsoft.com/office/drawing/2014/main" id="{00000000-0008-0000-0900-000010000000}"/>
            </a:ext>
          </a:extLst>
        </xdr:cNvPr>
        <xdr:cNvSpPr/>
      </xdr:nvSpPr>
      <xdr:spPr>
        <a:xfrm>
          <a:off x="7271732" y="720604"/>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727448</xdr:colOff>
      <xdr:row>6</xdr:row>
      <xdr:rowOff>13682</xdr:rowOff>
    </xdr:from>
    <xdr:to>
      <xdr:col>9</xdr:col>
      <xdr:colOff>391448</xdr:colOff>
      <xdr:row>8</xdr:row>
      <xdr:rowOff>39482</xdr:rowOff>
    </xdr:to>
    <xdr:sp macro="" textlink="">
      <xdr:nvSpPr>
        <xdr:cNvPr id="17" name="Rectángulo 16">
          <a:hlinkClick xmlns:r="http://schemas.openxmlformats.org/officeDocument/2006/relationships" r:id="rId19"/>
          <a:extLst>
            <a:ext uri="{FF2B5EF4-FFF2-40B4-BE49-F238E27FC236}">
              <a16:creationId xmlns="" xmlns:a16="http://schemas.microsoft.com/office/drawing/2014/main" id="{00000000-0008-0000-0900-000011000000}"/>
            </a:ext>
          </a:extLst>
        </xdr:cNvPr>
        <xdr:cNvSpPr/>
      </xdr:nvSpPr>
      <xdr:spPr>
        <a:xfrm>
          <a:off x="6061448" y="1156682"/>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76686</xdr:colOff>
      <xdr:row>6</xdr:row>
      <xdr:rowOff>21934</xdr:rowOff>
    </xdr:from>
    <xdr:to>
      <xdr:col>12</xdr:col>
      <xdr:colOff>502686</xdr:colOff>
      <xdr:row>8</xdr:row>
      <xdr:rowOff>47734</xdr:rowOff>
    </xdr:to>
    <xdr:sp macro="[0]!codigo1" textlink="">
      <xdr:nvSpPr>
        <xdr:cNvPr id="18" name="Rectángulo 17">
          <a:hlinkClick xmlns:r="http://schemas.openxmlformats.org/officeDocument/2006/relationships" r:id="rId12"/>
          <a:extLst>
            <a:ext uri="{FF2B5EF4-FFF2-40B4-BE49-F238E27FC236}">
              <a16:creationId xmlns="" xmlns:a16="http://schemas.microsoft.com/office/drawing/2014/main" id="{00000000-0008-0000-0900-000012000000}"/>
            </a:ext>
          </a:extLst>
        </xdr:cNvPr>
        <xdr:cNvSpPr/>
      </xdr:nvSpPr>
      <xdr:spPr>
        <a:xfrm>
          <a:off x="8458686" y="1164934"/>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Conclusiones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12</xdr:col>
      <xdr:colOff>508195</xdr:colOff>
      <xdr:row>3</xdr:row>
      <xdr:rowOff>149088</xdr:rowOff>
    </xdr:from>
    <xdr:to>
      <xdr:col>13</xdr:col>
      <xdr:colOff>539376</xdr:colOff>
      <xdr:row>8</xdr:row>
      <xdr:rowOff>49697</xdr:rowOff>
    </xdr:to>
    <xdr:sp macro="" textlink="">
      <xdr:nvSpPr>
        <xdr:cNvPr id="19" name="Rectángulo 18">
          <a:hlinkClick xmlns:r="http://schemas.openxmlformats.org/officeDocument/2006/relationships" r:id="rId20"/>
          <a:extLst>
            <a:ext uri="{FF2B5EF4-FFF2-40B4-BE49-F238E27FC236}">
              <a16:creationId xmlns="" xmlns:a16="http://schemas.microsoft.com/office/drawing/2014/main" id="{00000000-0008-0000-0900-000013000000}"/>
            </a:ext>
          </a:extLst>
        </xdr:cNvPr>
        <xdr:cNvSpPr/>
      </xdr:nvSpPr>
      <xdr:spPr>
        <a:xfrm>
          <a:off x="9652195" y="720588"/>
          <a:ext cx="793181" cy="85310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276225</xdr:colOff>
          <xdr:row>51</xdr:row>
          <xdr:rowOff>28575</xdr:rowOff>
        </xdr:from>
        <xdr:to>
          <xdr:col>6</xdr:col>
          <xdr:colOff>438150</xdr:colOff>
          <xdr:row>51</xdr:row>
          <xdr:rowOff>171450</xdr:rowOff>
        </xdr:to>
        <xdr:sp macro="" textlink="">
          <xdr:nvSpPr>
            <xdr:cNvPr id="58369" name="Check Box 1" hidden="1">
              <a:extLst>
                <a:ext uri="{63B3BB69-23CF-44E3-9099-C40C66FF867C}">
                  <a14:compatExt spid="_x0000_s58369"/>
                </a:ext>
                <a:ext uri="{FF2B5EF4-FFF2-40B4-BE49-F238E27FC236}">
                  <a16:creationId xmlns="" xmlns:a16="http://schemas.microsoft.com/office/drawing/2014/main" id="{00000000-0008-0000-0900-000001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52</xdr:row>
          <xdr:rowOff>28575</xdr:rowOff>
        </xdr:from>
        <xdr:to>
          <xdr:col>6</xdr:col>
          <xdr:colOff>447675</xdr:colOff>
          <xdr:row>52</xdr:row>
          <xdr:rowOff>161925</xdr:rowOff>
        </xdr:to>
        <xdr:sp macro="" textlink="">
          <xdr:nvSpPr>
            <xdr:cNvPr id="58370" name="Check Box 2" hidden="1">
              <a:extLst>
                <a:ext uri="{63B3BB69-23CF-44E3-9099-C40C66FF867C}">
                  <a14:compatExt spid="_x0000_s58370"/>
                </a:ext>
                <a:ext uri="{FF2B5EF4-FFF2-40B4-BE49-F238E27FC236}">
                  <a16:creationId xmlns="" xmlns:a16="http://schemas.microsoft.com/office/drawing/2014/main" id="{00000000-0008-0000-0900-000002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53</xdr:row>
          <xdr:rowOff>38100</xdr:rowOff>
        </xdr:from>
        <xdr:to>
          <xdr:col>6</xdr:col>
          <xdr:colOff>447675</xdr:colOff>
          <xdr:row>53</xdr:row>
          <xdr:rowOff>171450</xdr:rowOff>
        </xdr:to>
        <xdr:sp macro="" textlink="">
          <xdr:nvSpPr>
            <xdr:cNvPr id="58371" name="Check Box 3" hidden="1">
              <a:extLst>
                <a:ext uri="{63B3BB69-23CF-44E3-9099-C40C66FF867C}">
                  <a14:compatExt spid="_x0000_s58371"/>
                </a:ext>
                <a:ext uri="{FF2B5EF4-FFF2-40B4-BE49-F238E27FC236}">
                  <a16:creationId xmlns="" xmlns:a16="http://schemas.microsoft.com/office/drawing/2014/main" id="{00000000-0008-0000-0900-000003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54</xdr:row>
          <xdr:rowOff>28575</xdr:rowOff>
        </xdr:from>
        <xdr:to>
          <xdr:col>6</xdr:col>
          <xdr:colOff>447675</xdr:colOff>
          <xdr:row>54</xdr:row>
          <xdr:rowOff>161925</xdr:rowOff>
        </xdr:to>
        <xdr:sp macro="" textlink="">
          <xdr:nvSpPr>
            <xdr:cNvPr id="58372" name="Check Box 4" hidden="1">
              <a:extLst>
                <a:ext uri="{63B3BB69-23CF-44E3-9099-C40C66FF867C}">
                  <a14:compatExt spid="_x0000_s58372"/>
                </a:ext>
                <a:ext uri="{FF2B5EF4-FFF2-40B4-BE49-F238E27FC236}">
                  <a16:creationId xmlns="" xmlns:a16="http://schemas.microsoft.com/office/drawing/2014/main" id="{00000000-0008-0000-0900-000004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55</xdr:row>
          <xdr:rowOff>28575</xdr:rowOff>
        </xdr:from>
        <xdr:to>
          <xdr:col>6</xdr:col>
          <xdr:colOff>457200</xdr:colOff>
          <xdr:row>55</xdr:row>
          <xdr:rowOff>161925</xdr:rowOff>
        </xdr:to>
        <xdr:sp macro="" textlink="">
          <xdr:nvSpPr>
            <xdr:cNvPr id="58373" name="Check Box 5" hidden="1">
              <a:extLst>
                <a:ext uri="{63B3BB69-23CF-44E3-9099-C40C66FF867C}">
                  <a14:compatExt spid="_x0000_s58373"/>
                </a:ext>
                <a:ext uri="{FF2B5EF4-FFF2-40B4-BE49-F238E27FC236}">
                  <a16:creationId xmlns="" xmlns:a16="http://schemas.microsoft.com/office/drawing/2014/main" id="{00000000-0008-0000-0900-000005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63</xdr:row>
          <xdr:rowOff>28575</xdr:rowOff>
        </xdr:from>
        <xdr:to>
          <xdr:col>6</xdr:col>
          <xdr:colOff>466725</xdr:colOff>
          <xdr:row>63</xdr:row>
          <xdr:rowOff>161925</xdr:rowOff>
        </xdr:to>
        <xdr:sp macro="" textlink="">
          <xdr:nvSpPr>
            <xdr:cNvPr id="58374" name="Check Box 6" hidden="1">
              <a:extLst>
                <a:ext uri="{63B3BB69-23CF-44E3-9099-C40C66FF867C}">
                  <a14:compatExt spid="_x0000_s58374"/>
                </a:ext>
                <a:ext uri="{FF2B5EF4-FFF2-40B4-BE49-F238E27FC236}">
                  <a16:creationId xmlns="" xmlns:a16="http://schemas.microsoft.com/office/drawing/2014/main" id="{00000000-0008-0000-0900-000006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64</xdr:row>
          <xdr:rowOff>19050</xdr:rowOff>
        </xdr:from>
        <xdr:to>
          <xdr:col>6</xdr:col>
          <xdr:colOff>466725</xdr:colOff>
          <xdr:row>64</xdr:row>
          <xdr:rowOff>152400</xdr:rowOff>
        </xdr:to>
        <xdr:sp macro="" textlink="">
          <xdr:nvSpPr>
            <xdr:cNvPr id="58375" name="Check Box 7" hidden="1">
              <a:extLst>
                <a:ext uri="{63B3BB69-23CF-44E3-9099-C40C66FF867C}">
                  <a14:compatExt spid="_x0000_s58375"/>
                </a:ext>
                <a:ext uri="{FF2B5EF4-FFF2-40B4-BE49-F238E27FC236}">
                  <a16:creationId xmlns="" xmlns:a16="http://schemas.microsoft.com/office/drawing/2014/main" id="{00000000-0008-0000-0900-000007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65</xdr:row>
          <xdr:rowOff>28575</xdr:rowOff>
        </xdr:from>
        <xdr:to>
          <xdr:col>6</xdr:col>
          <xdr:colOff>466725</xdr:colOff>
          <xdr:row>65</xdr:row>
          <xdr:rowOff>161925</xdr:rowOff>
        </xdr:to>
        <xdr:sp macro="" textlink="">
          <xdr:nvSpPr>
            <xdr:cNvPr id="58376" name="Check Box 8" hidden="1">
              <a:extLst>
                <a:ext uri="{63B3BB69-23CF-44E3-9099-C40C66FF867C}">
                  <a14:compatExt spid="_x0000_s58376"/>
                </a:ext>
                <a:ext uri="{FF2B5EF4-FFF2-40B4-BE49-F238E27FC236}">
                  <a16:creationId xmlns="" xmlns:a16="http://schemas.microsoft.com/office/drawing/2014/main" id="{00000000-0008-0000-0900-000008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66</xdr:row>
          <xdr:rowOff>28575</xdr:rowOff>
        </xdr:from>
        <xdr:to>
          <xdr:col>6</xdr:col>
          <xdr:colOff>466725</xdr:colOff>
          <xdr:row>66</xdr:row>
          <xdr:rowOff>161925</xdr:rowOff>
        </xdr:to>
        <xdr:sp macro="" textlink="">
          <xdr:nvSpPr>
            <xdr:cNvPr id="58377" name="Check Box 9" hidden="1">
              <a:extLst>
                <a:ext uri="{63B3BB69-23CF-44E3-9099-C40C66FF867C}">
                  <a14:compatExt spid="_x0000_s58377"/>
                </a:ext>
                <a:ext uri="{FF2B5EF4-FFF2-40B4-BE49-F238E27FC236}">
                  <a16:creationId xmlns="" xmlns:a16="http://schemas.microsoft.com/office/drawing/2014/main" id="{00000000-0008-0000-0900-000009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67</xdr:row>
          <xdr:rowOff>28575</xdr:rowOff>
        </xdr:from>
        <xdr:to>
          <xdr:col>6</xdr:col>
          <xdr:colOff>466725</xdr:colOff>
          <xdr:row>67</xdr:row>
          <xdr:rowOff>161925</xdr:rowOff>
        </xdr:to>
        <xdr:sp macro="" textlink="">
          <xdr:nvSpPr>
            <xdr:cNvPr id="58378" name="Check Box 10" hidden="1">
              <a:extLst>
                <a:ext uri="{63B3BB69-23CF-44E3-9099-C40C66FF867C}">
                  <a14:compatExt spid="_x0000_s58378"/>
                </a:ext>
                <a:ext uri="{FF2B5EF4-FFF2-40B4-BE49-F238E27FC236}">
                  <a16:creationId xmlns="" xmlns:a16="http://schemas.microsoft.com/office/drawing/2014/main" id="{00000000-0008-0000-0900-00000A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84</xdr:row>
          <xdr:rowOff>28575</xdr:rowOff>
        </xdr:from>
        <xdr:to>
          <xdr:col>6</xdr:col>
          <xdr:colOff>447675</xdr:colOff>
          <xdr:row>84</xdr:row>
          <xdr:rowOff>171450</xdr:rowOff>
        </xdr:to>
        <xdr:sp macro="" textlink="">
          <xdr:nvSpPr>
            <xdr:cNvPr id="58383" name="Check Box 15" hidden="1">
              <a:extLst>
                <a:ext uri="{63B3BB69-23CF-44E3-9099-C40C66FF867C}">
                  <a14:compatExt spid="_x0000_s58383"/>
                </a:ext>
                <a:ext uri="{FF2B5EF4-FFF2-40B4-BE49-F238E27FC236}">
                  <a16:creationId xmlns="" xmlns:a16="http://schemas.microsoft.com/office/drawing/2014/main" id="{00000000-0008-0000-0900-00000F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85</xdr:row>
          <xdr:rowOff>19050</xdr:rowOff>
        </xdr:from>
        <xdr:to>
          <xdr:col>6</xdr:col>
          <xdr:colOff>438150</xdr:colOff>
          <xdr:row>85</xdr:row>
          <xdr:rowOff>152400</xdr:rowOff>
        </xdr:to>
        <xdr:sp macro="" textlink="">
          <xdr:nvSpPr>
            <xdr:cNvPr id="58384" name="Check Box 16" hidden="1">
              <a:extLst>
                <a:ext uri="{63B3BB69-23CF-44E3-9099-C40C66FF867C}">
                  <a14:compatExt spid="_x0000_s58384"/>
                </a:ext>
                <a:ext uri="{FF2B5EF4-FFF2-40B4-BE49-F238E27FC236}">
                  <a16:creationId xmlns="" xmlns:a16="http://schemas.microsoft.com/office/drawing/2014/main" id="{00000000-0008-0000-0900-000010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86</xdr:row>
          <xdr:rowOff>28575</xdr:rowOff>
        </xdr:from>
        <xdr:to>
          <xdr:col>6</xdr:col>
          <xdr:colOff>447675</xdr:colOff>
          <xdr:row>86</xdr:row>
          <xdr:rowOff>161925</xdr:rowOff>
        </xdr:to>
        <xdr:sp macro="" textlink="">
          <xdr:nvSpPr>
            <xdr:cNvPr id="58385" name="Check Box 17" hidden="1">
              <a:extLst>
                <a:ext uri="{63B3BB69-23CF-44E3-9099-C40C66FF867C}">
                  <a14:compatExt spid="_x0000_s58385"/>
                </a:ext>
                <a:ext uri="{FF2B5EF4-FFF2-40B4-BE49-F238E27FC236}">
                  <a16:creationId xmlns="" xmlns:a16="http://schemas.microsoft.com/office/drawing/2014/main" id="{00000000-0008-0000-0900-000011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87</xdr:row>
          <xdr:rowOff>19050</xdr:rowOff>
        </xdr:from>
        <xdr:to>
          <xdr:col>6</xdr:col>
          <xdr:colOff>447675</xdr:colOff>
          <xdr:row>87</xdr:row>
          <xdr:rowOff>152400</xdr:rowOff>
        </xdr:to>
        <xdr:sp macro="" textlink="">
          <xdr:nvSpPr>
            <xdr:cNvPr id="58386" name="Check Box 18" hidden="1">
              <a:extLst>
                <a:ext uri="{63B3BB69-23CF-44E3-9099-C40C66FF867C}">
                  <a14:compatExt spid="_x0000_s58386"/>
                </a:ext>
                <a:ext uri="{FF2B5EF4-FFF2-40B4-BE49-F238E27FC236}">
                  <a16:creationId xmlns="" xmlns:a16="http://schemas.microsoft.com/office/drawing/2014/main" id="{00000000-0008-0000-0900-000012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88</xdr:row>
          <xdr:rowOff>28575</xdr:rowOff>
        </xdr:from>
        <xdr:to>
          <xdr:col>6</xdr:col>
          <xdr:colOff>447675</xdr:colOff>
          <xdr:row>88</xdr:row>
          <xdr:rowOff>161925</xdr:rowOff>
        </xdr:to>
        <xdr:sp macro="" textlink="">
          <xdr:nvSpPr>
            <xdr:cNvPr id="58387" name="Check Box 19" hidden="1">
              <a:extLst>
                <a:ext uri="{63B3BB69-23CF-44E3-9099-C40C66FF867C}">
                  <a14:compatExt spid="_x0000_s58387"/>
                </a:ext>
                <a:ext uri="{FF2B5EF4-FFF2-40B4-BE49-F238E27FC236}">
                  <a16:creationId xmlns="" xmlns:a16="http://schemas.microsoft.com/office/drawing/2014/main" id="{00000000-0008-0000-0900-000013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69</xdr:row>
          <xdr:rowOff>19050</xdr:rowOff>
        </xdr:from>
        <xdr:to>
          <xdr:col>6</xdr:col>
          <xdr:colOff>457200</xdr:colOff>
          <xdr:row>69</xdr:row>
          <xdr:rowOff>152400</xdr:rowOff>
        </xdr:to>
        <xdr:sp macro="" textlink="">
          <xdr:nvSpPr>
            <xdr:cNvPr id="58393" name="Check Box 25" hidden="1">
              <a:extLst>
                <a:ext uri="{63B3BB69-23CF-44E3-9099-C40C66FF867C}">
                  <a14:compatExt spid="_x0000_s58393"/>
                </a:ext>
                <a:ext uri="{FF2B5EF4-FFF2-40B4-BE49-F238E27FC236}">
                  <a16:creationId xmlns="" xmlns:a16="http://schemas.microsoft.com/office/drawing/2014/main" id="{00000000-0008-0000-0900-000019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70</xdr:row>
          <xdr:rowOff>28575</xdr:rowOff>
        </xdr:from>
        <xdr:to>
          <xdr:col>6</xdr:col>
          <xdr:colOff>447675</xdr:colOff>
          <xdr:row>70</xdr:row>
          <xdr:rowOff>161925</xdr:rowOff>
        </xdr:to>
        <xdr:sp macro="" textlink="">
          <xdr:nvSpPr>
            <xdr:cNvPr id="58394" name="Check Box 26" hidden="1">
              <a:extLst>
                <a:ext uri="{63B3BB69-23CF-44E3-9099-C40C66FF867C}">
                  <a14:compatExt spid="_x0000_s58394"/>
                </a:ext>
                <a:ext uri="{FF2B5EF4-FFF2-40B4-BE49-F238E27FC236}">
                  <a16:creationId xmlns="" xmlns:a16="http://schemas.microsoft.com/office/drawing/2014/main" id="{00000000-0008-0000-0900-00001A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71</xdr:row>
          <xdr:rowOff>47625</xdr:rowOff>
        </xdr:from>
        <xdr:to>
          <xdr:col>6</xdr:col>
          <xdr:colOff>447675</xdr:colOff>
          <xdr:row>71</xdr:row>
          <xdr:rowOff>180975</xdr:rowOff>
        </xdr:to>
        <xdr:sp macro="" textlink="">
          <xdr:nvSpPr>
            <xdr:cNvPr id="58395" name="Check Box 27" hidden="1">
              <a:extLst>
                <a:ext uri="{63B3BB69-23CF-44E3-9099-C40C66FF867C}">
                  <a14:compatExt spid="_x0000_s58395"/>
                </a:ext>
                <a:ext uri="{FF2B5EF4-FFF2-40B4-BE49-F238E27FC236}">
                  <a16:creationId xmlns="" xmlns:a16="http://schemas.microsoft.com/office/drawing/2014/main" id="{00000000-0008-0000-0900-00001B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72</xdr:row>
          <xdr:rowOff>28575</xdr:rowOff>
        </xdr:from>
        <xdr:to>
          <xdr:col>6</xdr:col>
          <xdr:colOff>447675</xdr:colOff>
          <xdr:row>72</xdr:row>
          <xdr:rowOff>161925</xdr:rowOff>
        </xdr:to>
        <xdr:sp macro="" textlink="">
          <xdr:nvSpPr>
            <xdr:cNvPr id="58396" name="Check Box 28" hidden="1">
              <a:extLst>
                <a:ext uri="{63B3BB69-23CF-44E3-9099-C40C66FF867C}">
                  <a14:compatExt spid="_x0000_s58396"/>
                </a:ext>
                <a:ext uri="{FF2B5EF4-FFF2-40B4-BE49-F238E27FC236}">
                  <a16:creationId xmlns="" xmlns:a16="http://schemas.microsoft.com/office/drawing/2014/main" id="{00000000-0008-0000-0900-00001C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73</xdr:row>
          <xdr:rowOff>28575</xdr:rowOff>
        </xdr:from>
        <xdr:to>
          <xdr:col>6</xdr:col>
          <xdr:colOff>457200</xdr:colOff>
          <xdr:row>73</xdr:row>
          <xdr:rowOff>161925</xdr:rowOff>
        </xdr:to>
        <xdr:sp macro="" textlink="">
          <xdr:nvSpPr>
            <xdr:cNvPr id="58397" name="Check Box 29" hidden="1">
              <a:extLst>
                <a:ext uri="{63B3BB69-23CF-44E3-9099-C40C66FF867C}">
                  <a14:compatExt spid="_x0000_s58397"/>
                </a:ext>
                <a:ext uri="{FF2B5EF4-FFF2-40B4-BE49-F238E27FC236}">
                  <a16:creationId xmlns="" xmlns:a16="http://schemas.microsoft.com/office/drawing/2014/main" id="{00000000-0008-0000-0900-00001D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142875</xdr:rowOff>
        </xdr:to>
        <xdr:sp macro="" textlink="">
          <xdr:nvSpPr>
            <xdr:cNvPr id="58399" name="Check Box 31" hidden="1">
              <a:extLst>
                <a:ext uri="{63B3BB69-23CF-44E3-9099-C40C66FF867C}">
                  <a14:compatExt spid="_x0000_s58399"/>
                </a:ext>
                <a:ext uri="{FF2B5EF4-FFF2-40B4-BE49-F238E27FC236}">
                  <a16:creationId xmlns="" xmlns:a16="http://schemas.microsoft.com/office/drawing/2014/main" id="{00000000-0008-0000-0900-00001F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00" name="Check Box 32" hidden="1">
              <a:extLst>
                <a:ext uri="{63B3BB69-23CF-44E3-9099-C40C66FF867C}">
                  <a14:compatExt spid="_x0000_s58400"/>
                </a:ext>
                <a:ext uri="{FF2B5EF4-FFF2-40B4-BE49-F238E27FC236}">
                  <a16:creationId xmlns="" xmlns:a16="http://schemas.microsoft.com/office/drawing/2014/main" id="{00000000-0008-0000-0900-000020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01" name="Check Box 33" hidden="1">
              <a:extLst>
                <a:ext uri="{63B3BB69-23CF-44E3-9099-C40C66FF867C}">
                  <a14:compatExt spid="_x0000_s58401"/>
                </a:ext>
                <a:ext uri="{FF2B5EF4-FFF2-40B4-BE49-F238E27FC236}">
                  <a16:creationId xmlns="" xmlns:a16="http://schemas.microsoft.com/office/drawing/2014/main" id="{00000000-0008-0000-0900-000021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02" name="Check Box 34" hidden="1">
              <a:extLst>
                <a:ext uri="{63B3BB69-23CF-44E3-9099-C40C66FF867C}">
                  <a14:compatExt spid="_x0000_s58402"/>
                </a:ext>
                <a:ext uri="{FF2B5EF4-FFF2-40B4-BE49-F238E27FC236}">
                  <a16:creationId xmlns="" xmlns:a16="http://schemas.microsoft.com/office/drawing/2014/main" id="{00000000-0008-0000-0900-000022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03" name="Check Box 35" hidden="1">
              <a:extLst>
                <a:ext uri="{63B3BB69-23CF-44E3-9099-C40C66FF867C}">
                  <a14:compatExt spid="_x0000_s58403"/>
                </a:ext>
                <a:ext uri="{FF2B5EF4-FFF2-40B4-BE49-F238E27FC236}">
                  <a16:creationId xmlns="" xmlns:a16="http://schemas.microsoft.com/office/drawing/2014/main" id="{00000000-0008-0000-0900-000023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142875</xdr:rowOff>
        </xdr:to>
        <xdr:sp macro="" textlink="">
          <xdr:nvSpPr>
            <xdr:cNvPr id="58404" name="Check Box 36" hidden="1">
              <a:extLst>
                <a:ext uri="{63B3BB69-23CF-44E3-9099-C40C66FF867C}">
                  <a14:compatExt spid="_x0000_s58404"/>
                </a:ext>
                <a:ext uri="{FF2B5EF4-FFF2-40B4-BE49-F238E27FC236}">
                  <a16:creationId xmlns="" xmlns:a16="http://schemas.microsoft.com/office/drawing/2014/main" id="{00000000-0008-0000-0900-000024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05" name="Check Box 37" hidden="1">
              <a:extLst>
                <a:ext uri="{63B3BB69-23CF-44E3-9099-C40C66FF867C}">
                  <a14:compatExt spid="_x0000_s58405"/>
                </a:ext>
                <a:ext uri="{FF2B5EF4-FFF2-40B4-BE49-F238E27FC236}">
                  <a16:creationId xmlns="" xmlns:a16="http://schemas.microsoft.com/office/drawing/2014/main" id="{00000000-0008-0000-0900-000025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06" name="Check Box 38" hidden="1">
              <a:extLst>
                <a:ext uri="{63B3BB69-23CF-44E3-9099-C40C66FF867C}">
                  <a14:compatExt spid="_x0000_s58406"/>
                </a:ext>
                <a:ext uri="{FF2B5EF4-FFF2-40B4-BE49-F238E27FC236}">
                  <a16:creationId xmlns="" xmlns:a16="http://schemas.microsoft.com/office/drawing/2014/main" id="{00000000-0008-0000-0900-000026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07" name="Check Box 39" hidden="1">
              <a:extLst>
                <a:ext uri="{63B3BB69-23CF-44E3-9099-C40C66FF867C}">
                  <a14:compatExt spid="_x0000_s58407"/>
                </a:ext>
                <a:ext uri="{FF2B5EF4-FFF2-40B4-BE49-F238E27FC236}">
                  <a16:creationId xmlns="" xmlns:a16="http://schemas.microsoft.com/office/drawing/2014/main" id="{00000000-0008-0000-0900-000027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08" name="Check Box 40" hidden="1">
              <a:extLst>
                <a:ext uri="{63B3BB69-23CF-44E3-9099-C40C66FF867C}">
                  <a14:compatExt spid="_x0000_s58408"/>
                </a:ext>
                <a:ext uri="{FF2B5EF4-FFF2-40B4-BE49-F238E27FC236}">
                  <a16:creationId xmlns="" xmlns:a16="http://schemas.microsoft.com/office/drawing/2014/main" id="{00000000-0008-0000-0900-000028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142875</xdr:rowOff>
        </xdr:to>
        <xdr:sp macro="" textlink="">
          <xdr:nvSpPr>
            <xdr:cNvPr id="58409" name="Check Box 41" hidden="1">
              <a:extLst>
                <a:ext uri="{63B3BB69-23CF-44E3-9099-C40C66FF867C}">
                  <a14:compatExt spid="_x0000_s58409"/>
                </a:ext>
                <a:ext uri="{FF2B5EF4-FFF2-40B4-BE49-F238E27FC236}">
                  <a16:creationId xmlns="" xmlns:a16="http://schemas.microsoft.com/office/drawing/2014/main" id="{00000000-0008-0000-0900-000029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10" name="Check Box 42" hidden="1">
              <a:extLst>
                <a:ext uri="{63B3BB69-23CF-44E3-9099-C40C66FF867C}">
                  <a14:compatExt spid="_x0000_s58410"/>
                </a:ext>
                <a:ext uri="{FF2B5EF4-FFF2-40B4-BE49-F238E27FC236}">
                  <a16:creationId xmlns="" xmlns:a16="http://schemas.microsoft.com/office/drawing/2014/main" id="{00000000-0008-0000-0900-00002A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11" name="Check Box 43" hidden="1">
              <a:extLst>
                <a:ext uri="{63B3BB69-23CF-44E3-9099-C40C66FF867C}">
                  <a14:compatExt spid="_x0000_s58411"/>
                </a:ext>
                <a:ext uri="{FF2B5EF4-FFF2-40B4-BE49-F238E27FC236}">
                  <a16:creationId xmlns="" xmlns:a16="http://schemas.microsoft.com/office/drawing/2014/main" id="{00000000-0008-0000-0900-00002B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12" name="Check Box 44" hidden="1">
              <a:extLst>
                <a:ext uri="{63B3BB69-23CF-44E3-9099-C40C66FF867C}">
                  <a14:compatExt spid="_x0000_s58412"/>
                </a:ext>
                <a:ext uri="{FF2B5EF4-FFF2-40B4-BE49-F238E27FC236}">
                  <a16:creationId xmlns="" xmlns:a16="http://schemas.microsoft.com/office/drawing/2014/main" id="{00000000-0008-0000-0900-00002C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13" name="Check Box 45" hidden="1">
              <a:extLst>
                <a:ext uri="{63B3BB69-23CF-44E3-9099-C40C66FF867C}">
                  <a14:compatExt spid="_x0000_s58413"/>
                </a:ext>
                <a:ext uri="{FF2B5EF4-FFF2-40B4-BE49-F238E27FC236}">
                  <a16:creationId xmlns="" xmlns:a16="http://schemas.microsoft.com/office/drawing/2014/main" id="{00000000-0008-0000-0900-00002D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13</xdr:row>
          <xdr:rowOff>0</xdr:rowOff>
        </xdr:from>
        <xdr:to>
          <xdr:col>3</xdr:col>
          <xdr:colOff>695325</xdr:colOff>
          <xdr:row>13</xdr:row>
          <xdr:rowOff>142875</xdr:rowOff>
        </xdr:to>
        <xdr:sp macro="" textlink="">
          <xdr:nvSpPr>
            <xdr:cNvPr id="58414" name="Check Box 46" hidden="1">
              <a:extLst>
                <a:ext uri="{63B3BB69-23CF-44E3-9099-C40C66FF867C}">
                  <a14:compatExt spid="_x0000_s58414"/>
                </a:ext>
                <a:ext uri="{FF2B5EF4-FFF2-40B4-BE49-F238E27FC236}">
                  <a16:creationId xmlns="" xmlns:a16="http://schemas.microsoft.com/office/drawing/2014/main" id="{00000000-0008-0000-0900-00002E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15" name="Check Box 47" hidden="1">
              <a:extLst>
                <a:ext uri="{63B3BB69-23CF-44E3-9099-C40C66FF867C}">
                  <a14:compatExt spid="_x0000_s58415"/>
                </a:ext>
                <a:ext uri="{FF2B5EF4-FFF2-40B4-BE49-F238E27FC236}">
                  <a16:creationId xmlns="" xmlns:a16="http://schemas.microsoft.com/office/drawing/2014/main" id="{00000000-0008-0000-0900-00002F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16" name="Check Box 48" hidden="1">
              <a:extLst>
                <a:ext uri="{63B3BB69-23CF-44E3-9099-C40C66FF867C}">
                  <a14:compatExt spid="_x0000_s58416"/>
                </a:ext>
                <a:ext uri="{FF2B5EF4-FFF2-40B4-BE49-F238E27FC236}">
                  <a16:creationId xmlns="" xmlns:a16="http://schemas.microsoft.com/office/drawing/2014/main" id="{00000000-0008-0000-0900-000030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17" name="Check Box 49" hidden="1">
              <a:extLst>
                <a:ext uri="{63B3BB69-23CF-44E3-9099-C40C66FF867C}">
                  <a14:compatExt spid="_x0000_s58417"/>
                </a:ext>
                <a:ext uri="{FF2B5EF4-FFF2-40B4-BE49-F238E27FC236}">
                  <a16:creationId xmlns="" xmlns:a16="http://schemas.microsoft.com/office/drawing/2014/main" id="{00000000-0008-0000-0900-000031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18" name="Check Box 50" hidden="1">
              <a:extLst>
                <a:ext uri="{63B3BB69-23CF-44E3-9099-C40C66FF867C}">
                  <a14:compatExt spid="_x0000_s58418"/>
                </a:ext>
                <a:ext uri="{FF2B5EF4-FFF2-40B4-BE49-F238E27FC236}">
                  <a16:creationId xmlns="" xmlns:a16="http://schemas.microsoft.com/office/drawing/2014/main" id="{00000000-0008-0000-0900-000032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13</xdr:row>
          <xdr:rowOff>0</xdr:rowOff>
        </xdr:from>
        <xdr:to>
          <xdr:col>3</xdr:col>
          <xdr:colOff>695325</xdr:colOff>
          <xdr:row>13</xdr:row>
          <xdr:rowOff>142875</xdr:rowOff>
        </xdr:to>
        <xdr:sp macro="" textlink="">
          <xdr:nvSpPr>
            <xdr:cNvPr id="58419" name="Check Box 51" hidden="1">
              <a:extLst>
                <a:ext uri="{63B3BB69-23CF-44E3-9099-C40C66FF867C}">
                  <a14:compatExt spid="_x0000_s58419"/>
                </a:ext>
                <a:ext uri="{FF2B5EF4-FFF2-40B4-BE49-F238E27FC236}">
                  <a16:creationId xmlns="" xmlns:a16="http://schemas.microsoft.com/office/drawing/2014/main" id="{00000000-0008-0000-0900-000033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20" name="Check Box 52" hidden="1">
              <a:extLst>
                <a:ext uri="{63B3BB69-23CF-44E3-9099-C40C66FF867C}">
                  <a14:compatExt spid="_x0000_s58420"/>
                </a:ext>
                <a:ext uri="{FF2B5EF4-FFF2-40B4-BE49-F238E27FC236}">
                  <a16:creationId xmlns="" xmlns:a16="http://schemas.microsoft.com/office/drawing/2014/main" id="{00000000-0008-0000-0900-000034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21" name="Check Box 53" hidden="1">
              <a:extLst>
                <a:ext uri="{63B3BB69-23CF-44E3-9099-C40C66FF867C}">
                  <a14:compatExt spid="_x0000_s58421"/>
                </a:ext>
                <a:ext uri="{FF2B5EF4-FFF2-40B4-BE49-F238E27FC236}">
                  <a16:creationId xmlns="" xmlns:a16="http://schemas.microsoft.com/office/drawing/2014/main" id="{00000000-0008-0000-0900-000035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22" name="Check Box 54" hidden="1">
              <a:extLst>
                <a:ext uri="{63B3BB69-23CF-44E3-9099-C40C66FF867C}">
                  <a14:compatExt spid="_x0000_s58422"/>
                </a:ext>
                <a:ext uri="{FF2B5EF4-FFF2-40B4-BE49-F238E27FC236}">
                  <a16:creationId xmlns="" xmlns:a16="http://schemas.microsoft.com/office/drawing/2014/main" id="{00000000-0008-0000-0900-000036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23" name="Check Box 55" hidden="1">
              <a:extLst>
                <a:ext uri="{63B3BB69-23CF-44E3-9099-C40C66FF867C}">
                  <a14:compatExt spid="_x0000_s58423"/>
                </a:ext>
                <a:ext uri="{FF2B5EF4-FFF2-40B4-BE49-F238E27FC236}">
                  <a16:creationId xmlns="" xmlns:a16="http://schemas.microsoft.com/office/drawing/2014/main" id="{00000000-0008-0000-0900-000037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142875</xdr:rowOff>
        </xdr:to>
        <xdr:sp macro="" textlink="">
          <xdr:nvSpPr>
            <xdr:cNvPr id="58424" name="Check Box 56" hidden="1">
              <a:extLst>
                <a:ext uri="{63B3BB69-23CF-44E3-9099-C40C66FF867C}">
                  <a14:compatExt spid="_x0000_s58424"/>
                </a:ext>
                <a:ext uri="{FF2B5EF4-FFF2-40B4-BE49-F238E27FC236}">
                  <a16:creationId xmlns="" xmlns:a16="http://schemas.microsoft.com/office/drawing/2014/main" id="{00000000-0008-0000-0900-000038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25" name="Check Box 57" hidden="1">
              <a:extLst>
                <a:ext uri="{63B3BB69-23CF-44E3-9099-C40C66FF867C}">
                  <a14:compatExt spid="_x0000_s58425"/>
                </a:ext>
                <a:ext uri="{FF2B5EF4-FFF2-40B4-BE49-F238E27FC236}">
                  <a16:creationId xmlns="" xmlns:a16="http://schemas.microsoft.com/office/drawing/2014/main" id="{00000000-0008-0000-0900-000039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26" name="Check Box 58" hidden="1">
              <a:extLst>
                <a:ext uri="{63B3BB69-23CF-44E3-9099-C40C66FF867C}">
                  <a14:compatExt spid="_x0000_s58426"/>
                </a:ext>
                <a:ext uri="{FF2B5EF4-FFF2-40B4-BE49-F238E27FC236}">
                  <a16:creationId xmlns="" xmlns:a16="http://schemas.microsoft.com/office/drawing/2014/main" id="{00000000-0008-0000-0900-00003A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27" name="Check Box 59" hidden="1">
              <a:extLst>
                <a:ext uri="{63B3BB69-23CF-44E3-9099-C40C66FF867C}">
                  <a14:compatExt spid="_x0000_s58427"/>
                </a:ext>
                <a:ext uri="{FF2B5EF4-FFF2-40B4-BE49-F238E27FC236}">
                  <a16:creationId xmlns="" xmlns:a16="http://schemas.microsoft.com/office/drawing/2014/main" id="{00000000-0008-0000-0900-00003B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13</xdr:row>
          <xdr:rowOff>0</xdr:rowOff>
        </xdr:from>
        <xdr:to>
          <xdr:col>3</xdr:col>
          <xdr:colOff>704850</xdr:colOff>
          <xdr:row>13</xdr:row>
          <xdr:rowOff>133350</xdr:rowOff>
        </xdr:to>
        <xdr:sp macro="" textlink="">
          <xdr:nvSpPr>
            <xdr:cNvPr id="58428" name="Check Box 60" hidden="1">
              <a:extLst>
                <a:ext uri="{63B3BB69-23CF-44E3-9099-C40C66FF867C}">
                  <a14:compatExt spid="_x0000_s58428"/>
                </a:ext>
                <a:ext uri="{FF2B5EF4-FFF2-40B4-BE49-F238E27FC236}">
                  <a16:creationId xmlns="" xmlns:a16="http://schemas.microsoft.com/office/drawing/2014/main" id="{00000000-0008-0000-0900-00003C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609600</xdr:colOff>
      <xdr:row>19</xdr:row>
      <xdr:rowOff>28575</xdr:rowOff>
    </xdr:from>
    <xdr:to>
      <xdr:col>14</xdr:col>
      <xdr:colOff>57150</xdr:colOff>
      <xdr:row>24</xdr:row>
      <xdr:rowOff>4764</xdr:rowOff>
    </xdr:to>
    <xdr:graphicFrame macro="">
      <xdr:nvGraphicFramePr>
        <xdr:cNvPr id="157" name="156 Gráfico">
          <a:extLst>
            <a:ext uri="{FF2B5EF4-FFF2-40B4-BE49-F238E27FC236}">
              <a16:creationId xmlns="" xmlns:a16="http://schemas.microsoft.com/office/drawing/2014/main" id="{00000000-0008-0000-0900-00009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8</xdr:col>
      <xdr:colOff>609600</xdr:colOff>
      <xdr:row>20</xdr:row>
      <xdr:rowOff>23814</xdr:rowOff>
    </xdr:from>
    <xdr:to>
      <xdr:col>14</xdr:col>
      <xdr:colOff>57150</xdr:colOff>
      <xdr:row>25</xdr:row>
      <xdr:rowOff>3</xdr:rowOff>
    </xdr:to>
    <xdr:graphicFrame macro="">
      <xdr:nvGraphicFramePr>
        <xdr:cNvPr id="158" name="157 Gráfico">
          <a:extLst>
            <a:ext uri="{FF2B5EF4-FFF2-40B4-BE49-F238E27FC236}">
              <a16:creationId xmlns="" xmlns:a16="http://schemas.microsoft.com/office/drawing/2014/main" id="{00000000-0008-0000-0900-00009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8</xdr:col>
      <xdr:colOff>609600</xdr:colOff>
      <xdr:row>21</xdr:row>
      <xdr:rowOff>14289</xdr:rowOff>
    </xdr:from>
    <xdr:to>
      <xdr:col>14</xdr:col>
      <xdr:colOff>57150</xdr:colOff>
      <xdr:row>25</xdr:row>
      <xdr:rowOff>180978</xdr:rowOff>
    </xdr:to>
    <xdr:graphicFrame macro="">
      <xdr:nvGraphicFramePr>
        <xdr:cNvPr id="159" name="158 Gráfico">
          <a:extLst>
            <a:ext uri="{FF2B5EF4-FFF2-40B4-BE49-F238E27FC236}">
              <a16:creationId xmlns="" xmlns:a16="http://schemas.microsoft.com/office/drawing/2014/main" id="{00000000-0008-0000-0900-00009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8</xdr:col>
      <xdr:colOff>609600</xdr:colOff>
      <xdr:row>22</xdr:row>
      <xdr:rowOff>3103</xdr:rowOff>
    </xdr:from>
    <xdr:to>
      <xdr:col>14</xdr:col>
      <xdr:colOff>57150</xdr:colOff>
      <xdr:row>26</xdr:row>
      <xdr:rowOff>169792</xdr:rowOff>
    </xdr:to>
    <xdr:graphicFrame macro="">
      <xdr:nvGraphicFramePr>
        <xdr:cNvPr id="160" name="159 Gráfico">
          <a:extLst>
            <a:ext uri="{FF2B5EF4-FFF2-40B4-BE49-F238E27FC236}">
              <a16:creationId xmlns="" xmlns:a16="http://schemas.microsoft.com/office/drawing/2014/main" id="{00000000-0008-0000-0900-0000A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8</xdr:col>
      <xdr:colOff>609600</xdr:colOff>
      <xdr:row>24</xdr:row>
      <xdr:rowOff>15689</xdr:rowOff>
    </xdr:from>
    <xdr:to>
      <xdr:col>14</xdr:col>
      <xdr:colOff>57150</xdr:colOff>
      <xdr:row>28</xdr:row>
      <xdr:rowOff>182378</xdr:rowOff>
    </xdr:to>
    <xdr:graphicFrame macro="">
      <xdr:nvGraphicFramePr>
        <xdr:cNvPr id="161" name="160 Gráfico">
          <a:extLst>
            <a:ext uri="{FF2B5EF4-FFF2-40B4-BE49-F238E27FC236}">
              <a16:creationId xmlns="" xmlns:a16="http://schemas.microsoft.com/office/drawing/2014/main" id="{00000000-0008-0000-0900-0000A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xdr:col>
      <xdr:colOff>609600</xdr:colOff>
      <xdr:row>23</xdr:row>
      <xdr:rowOff>28575</xdr:rowOff>
    </xdr:from>
    <xdr:to>
      <xdr:col>14</xdr:col>
      <xdr:colOff>57150</xdr:colOff>
      <xdr:row>28</xdr:row>
      <xdr:rowOff>4764</xdr:rowOff>
    </xdr:to>
    <xdr:graphicFrame macro="">
      <xdr:nvGraphicFramePr>
        <xdr:cNvPr id="162" name="161 Gráfico">
          <a:extLst>
            <a:ext uri="{FF2B5EF4-FFF2-40B4-BE49-F238E27FC236}">
              <a16:creationId xmlns="" xmlns:a16="http://schemas.microsoft.com/office/drawing/2014/main" id="{00000000-0008-0000-0900-0000A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xdr:col>
      <xdr:colOff>609600</xdr:colOff>
      <xdr:row>26</xdr:row>
      <xdr:rowOff>8970</xdr:rowOff>
    </xdr:from>
    <xdr:to>
      <xdr:col>14</xdr:col>
      <xdr:colOff>57150</xdr:colOff>
      <xdr:row>30</xdr:row>
      <xdr:rowOff>175659</xdr:rowOff>
    </xdr:to>
    <xdr:graphicFrame macro="">
      <xdr:nvGraphicFramePr>
        <xdr:cNvPr id="163" name="162 Gráfico">
          <a:extLst>
            <a:ext uri="{FF2B5EF4-FFF2-40B4-BE49-F238E27FC236}">
              <a16:creationId xmlns="" xmlns:a16="http://schemas.microsoft.com/office/drawing/2014/main" id="{00000000-0008-0000-09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xdr:col>
      <xdr:colOff>609600</xdr:colOff>
      <xdr:row>27</xdr:row>
      <xdr:rowOff>29106</xdr:rowOff>
    </xdr:from>
    <xdr:to>
      <xdr:col>14</xdr:col>
      <xdr:colOff>57150</xdr:colOff>
      <xdr:row>32</xdr:row>
      <xdr:rowOff>5295</xdr:rowOff>
    </xdr:to>
    <xdr:graphicFrame macro="">
      <xdr:nvGraphicFramePr>
        <xdr:cNvPr id="164" name="163 Gráfico">
          <a:extLst>
            <a:ext uri="{FF2B5EF4-FFF2-40B4-BE49-F238E27FC236}">
              <a16:creationId xmlns="" xmlns:a16="http://schemas.microsoft.com/office/drawing/2014/main" id="{00000000-0008-0000-09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8</xdr:col>
      <xdr:colOff>609600</xdr:colOff>
      <xdr:row>28</xdr:row>
      <xdr:rowOff>14290</xdr:rowOff>
    </xdr:from>
    <xdr:to>
      <xdr:col>14</xdr:col>
      <xdr:colOff>57150</xdr:colOff>
      <xdr:row>32</xdr:row>
      <xdr:rowOff>180979</xdr:rowOff>
    </xdr:to>
    <xdr:graphicFrame macro="">
      <xdr:nvGraphicFramePr>
        <xdr:cNvPr id="165" name="164 Gráfico">
          <a:extLst>
            <a:ext uri="{FF2B5EF4-FFF2-40B4-BE49-F238E27FC236}">
              <a16:creationId xmlns="" xmlns:a16="http://schemas.microsoft.com/office/drawing/2014/main" id="{00000000-0008-0000-0900-0000A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xdr:col>
      <xdr:colOff>609600</xdr:colOff>
      <xdr:row>29</xdr:row>
      <xdr:rowOff>22756</xdr:rowOff>
    </xdr:from>
    <xdr:to>
      <xdr:col>14</xdr:col>
      <xdr:colOff>57150</xdr:colOff>
      <xdr:row>33</xdr:row>
      <xdr:rowOff>189445</xdr:rowOff>
    </xdr:to>
    <xdr:graphicFrame macro="">
      <xdr:nvGraphicFramePr>
        <xdr:cNvPr id="166" name="165 Gráfico">
          <a:extLst>
            <a:ext uri="{FF2B5EF4-FFF2-40B4-BE49-F238E27FC236}">
              <a16:creationId xmlns="" xmlns:a16="http://schemas.microsoft.com/office/drawing/2014/main" id="{00000000-0008-0000-0900-0000A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xdr:col>
      <xdr:colOff>609600</xdr:colOff>
      <xdr:row>31</xdr:row>
      <xdr:rowOff>15690</xdr:rowOff>
    </xdr:from>
    <xdr:to>
      <xdr:col>14</xdr:col>
      <xdr:colOff>57150</xdr:colOff>
      <xdr:row>35</xdr:row>
      <xdr:rowOff>182379</xdr:rowOff>
    </xdr:to>
    <xdr:graphicFrame macro="">
      <xdr:nvGraphicFramePr>
        <xdr:cNvPr id="167" name="166 Gráfico">
          <a:extLst>
            <a:ext uri="{FF2B5EF4-FFF2-40B4-BE49-F238E27FC236}">
              <a16:creationId xmlns="" xmlns:a16="http://schemas.microsoft.com/office/drawing/2014/main" id="{00000000-0008-0000-0900-0000A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xdr:col>
      <xdr:colOff>609600</xdr:colOff>
      <xdr:row>30</xdr:row>
      <xdr:rowOff>23283</xdr:rowOff>
    </xdr:from>
    <xdr:to>
      <xdr:col>14</xdr:col>
      <xdr:colOff>57150</xdr:colOff>
      <xdr:row>34</xdr:row>
      <xdr:rowOff>189972</xdr:rowOff>
    </xdr:to>
    <xdr:graphicFrame macro="">
      <xdr:nvGraphicFramePr>
        <xdr:cNvPr id="168" name="167 Gráfico">
          <a:extLst>
            <a:ext uri="{FF2B5EF4-FFF2-40B4-BE49-F238E27FC236}">
              <a16:creationId xmlns="" xmlns:a16="http://schemas.microsoft.com/office/drawing/2014/main" id="{00000000-0008-0000-0900-0000A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8</xdr:col>
      <xdr:colOff>609600</xdr:colOff>
      <xdr:row>33</xdr:row>
      <xdr:rowOff>19050</xdr:rowOff>
    </xdr:from>
    <xdr:to>
      <xdr:col>14</xdr:col>
      <xdr:colOff>57150</xdr:colOff>
      <xdr:row>37</xdr:row>
      <xdr:rowOff>185739</xdr:rowOff>
    </xdr:to>
    <xdr:graphicFrame macro="">
      <xdr:nvGraphicFramePr>
        <xdr:cNvPr id="169" name="168 Gráfico">
          <a:extLst>
            <a:ext uri="{FF2B5EF4-FFF2-40B4-BE49-F238E27FC236}">
              <a16:creationId xmlns="" xmlns:a16="http://schemas.microsoft.com/office/drawing/2014/main" id="{00000000-0008-0000-0900-0000A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8</xdr:col>
      <xdr:colOff>609600</xdr:colOff>
      <xdr:row>34</xdr:row>
      <xdr:rowOff>20136</xdr:rowOff>
    </xdr:from>
    <xdr:to>
      <xdr:col>14</xdr:col>
      <xdr:colOff>57150</xdr:colOff>
      <xdr:row>38</xdr:row>
      <xdr:rowOff>186825</xdr:rowOff>
    </xdr:to>
    <xdr:graphicFrame macro="">
      <xdr:nvGraphicFramePr>
        <xdr:cNvPr id="170" name="169 Gráfico">
          <a:extLst>
            <a:ext uri="{FF2B5EF4-FFF2-40B4-BE49-F238E27FC236}">
              <a16:creationId xmlns="" xmlns:a16="http://schemas.microsoft.com/office/drawing/2014/main" id="{00000000-0008-0000-0900-0000A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8</xdr:col>
      <xdr:colOff>609600</xdr:colOff>
      <xdr:row>35</xdr:row>
      <xdr:rowOff>14845</xdr:rowOff>
    </xdr:from>
    <xdr:to>
      <xdr:col>14</xdr:col>
      <xdr:colOff>57150</xdr:colOff>
      <xdr:row>39</xdr:row>
      <xdr:rowOff>181534</xdr:rowOff>
    </xdr:to>
    <xdr:graphicFrame macro="">
      <xdr:nvGraphicFramePr>
        <xdr:cNvPr id="171" name="170 Gráfico">
          <a:extLst>
            <a:ext uri="{FF2B5EF4-FFF2-40B4-BE49-F238E27FC236}">
              <a16:creationId xmlns="" xmlns:a16="http://schemas.microsoft.com/office/drawing/2014/main" id="{00000000-0008-0000-0900-0000A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8</xdr:col>
      <xdr:colOff>609600</xdr:colOff>
      <xdr:row>36</xdr:row>
      <xdr:rowOff>13786</xdr:rowOff>
    </xdr:from>
    <xdr:to>
      <xdr:col>14</xdr:col>
      <xdr:colOff>57150</xdr:colOff>
      <xdr:row>40</xdr:row>
      <xdr:rowOff>180475</xdr:rowOff>
    </xdr:to>
    <xdr:graphicFrame macro="">
      <xdr:nvGraphicFramePr>
        <xdr:cNvPr id="172" name="171 Gráfico">
          <a:extLst>
            <a:ext uri="{FF2B5EF4-FFF2-40B4-BE49-F238E27FC236}">
              <a16:creationId xmlns="" xmlns:a16="http://schemas.microsoft.com/office/drawing/2014/main" id="{00000000-0008-0000-0900-0000A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8</xdr:col>
      <xdr:colOff>609600</xdr:colOff>
      <xdr:row>38</xdr:row>
      <xdr:rowOff>25770</xdr:rowOff>
    </xdr:from>
    <xdr:to>
      <xdr:col>14</xdr:col>
      <xdr:colOff>57150</xdr:colOff>
      <xdr:row>43</xdr:row>
      <xdr:rowOff>1959</xdr:rowOff>
    </xdr:to>
    <xdr:graphicFrame macro="">
      <xdr:nvGraphicFramePr>
        <xdr:cNvPr id="173" name="172 Gráfico">
          <a:extLst>
            <a:ext uri="{FF2B5EF4-FFF2-40B4-BE49-F238E27FC236}">
              <a16:creationId xmlns="" xmlns:a16="http://schemas.microsoft.com/office/drawing/2014/main" id="{00000000-0008-0000-0900-0000A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8</xdr:col>
      <xdr:colOff>609600</xdr:colOff>
      <xdr:row>37</xdr:row>
      <xdr:rowOff>14313</xdr:rowOff>
    </xdr:from>
    <xdr:to>
      <xdr:col>14</xdr:col>
      <xdr:colOff>57150</xdr:colOff>
      <xdr:row>41</xdr:row>
      <xdr:rowOff>181002</xdr:rowOff>
    </xdr:to>
    <xdr:graphicFrame macro="">
      <xdr:nvGraphicFramePr>
        <xdr:cNvPr id="174" name="173 Gráfico">
          <a:extLst>
            <a:ext uri="{FF2B5EF4-FFF2-40B4-BE49-F238E27FC236}">
              <a16:creationId xmlns="" xmlns:a16="http://schemas.microsoft.com/office/drawing/2014/main" id="{00000000-0008-0000-0900-0000A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8</xdr:col>
      <xdr:colOff>609600</xdr:colOff>
      <xdr:row>39</xdr:row>
      <xdr:rowOff>19050</xdr:rowOff>
    </xdr:from>
    <xdr:to>
      <xdr:col>14</xdr:col>
      <xdr:colOff>57150</xdr:colOff>
      <xdr:row>43</xdr:row>
      <xdr:rowOff>185739</xdr:rowOff>
    </xdr:to>
    <xdr:graphicFrame macro="">
      <xdr:nvGraphicFramePr>
        <xdr:cNvPr id="175" name="174 Gráfico">
          <a:extLst>
            <a:ext uri="{FF2B5EF4-FFF2-40B4-BE49-F238E27FC236}">
              <a16:creationId xmlns="" xmlns:a16="http://schemas.microsoft.com/office/drawing/2014/main" id="{00000000-0008-0000-0900-0000A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8</xdr:col>
      <xdr:colOff>609600</xdr:colOff>
      <xdr:row>40</xdr:row>
      <xdr:rowOff>20136</xdr:rowOff>
    </xdr:from>
    <xdr:to>
      <xdr:col>14</xdr:col>
      <xdr:colOff>57150</xdr:colOff>
      <xdr:row>44</xdr:row>
      <xdr:rowOff>186825</xdr:rowOff>
    </xdr:to>
    <xdr:graphicFrame macro="">
      <xdr:nvGraphicFramePr>
        <xdr:cNvPr id="176" name="175 Gráfico">
          <a:extLst>
            <a:ext uri="{FF2B5EF4-FFF2-40B4-BE49-F238E27FC236}">
              <a16:creationId xmlns="" xmlns:a16="http://schemas.microsoft.com/office/drawing/2014/main" id="{00000000-0008-0000-0900-0000B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8</xdr:col>
      <xdr:colOff>609600</xdr:colOff>
      <xdr:row>41</xdr:row>
      <xdr:rowOff>14845</xdr:rowOff>
    </xdr:from>
    <xdr:to>
      <xdr:col>14</xdr:col>
      <xdr:colOff>57150</xdr:colOff>
      <xdr:row>45</xdr:row>
      <xdr:rowOff>181534</xdr:rowOff>
    </xdr:to>
    <xdr:graphicFrame macro="">
      <xdr:nvGraphicFramePr>
        <xdr:cNvPr id="177" name="176 Gráfico">
          <a:extLst>
            <a:ext uri="{FF2B5EF4-FFF2-40B4-BE49-F238E27FC236}">
              <a16:creationId xmlns="" xmlns:a16="http://schemas.microsoft.com/office/drawing/2014/main" id="{00000000-0008-0000-0900-0000B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oneCell">
    <xdr:from>
      <xdr:col>8</xdr:col>
      <xdr:colOff>609600</xdr:colOff>
      <xdr:row>42</xdr:row>
      <xdr:rowOff>13786</xdr:rowOff>
    </xdr:from>
    <xdr:to>
      <xdr:col>14</xdr:col>
      <xdr:colOff>57150</xdr:colOff>
      <xdr:row>46</xdr:row>
      <xdr:rowOff>180475</xdr:rowOff>
    </xdr:to>
    <xdr:graphicFrame macro="">
      <xdr:nvGraphicFramePr>
        <xdr:cNvPr id="178" name="177 Gráfico">
          <a:extLst>
            <a:ext uri="{FF2B5EF4-FFF2-40B4-BE49-F238E27FC236}">
              <a16:creationId xmlns="" xmlns:a16="http://schemas.microsoft.com/office/drawing/2014/main" id="{00000000-0008-0000-0900-0000B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oneCell">
    <xdr:from>
      <xdr:col>8</xdr:col>
      <xdr:colOff>609600</xdr:colOff>
      <xdr:row>43</xdr:row>
      <xdr:rowOff>14313</xdr:rowOff>
    </xdr:from>
    <xdr:to>
      <xdr:col>14</xdr:col>
      <xdr:colOff>57150</xdr:colOff>
      <xdr:row>47</xdr:row>
      <xdr:rowOff>181002</xdr:rowOff>
    </xdr:to>
    <xdr:graphicFrame macro="">
      <xdr:nvGraphicFramePr>
        <xdr:cNvPr id="179" name="178 Gráfico">
          <a:extLst>
            <a:ext uri="{FF2B5EF4-FFF2-40B4-BE49-F238E27FC236}">
              <a16:creationId xmlns="" xmlns:a16="http://schemas.microsoft.com/office/drawing/2014/main" id="{00000000-0008-0000-0900-0000B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oneCellAnchor>
    <xdr:from>
      <xdr:col>8</xdr:col>
      <xdr:colOff>609600</xdr:colOff>
      <xdr:row>46</xdr:row>
      <xdr:rowOff>0</xdr:rowOff>
    </xdr:from>
    <xdr:ext cx="4019550" cy="928689"/>
    <xdr:graphicFrame macro="">
      <xdr:nvGraphicFramePr>
        <xdr:cNvPr id="201" name="200 Gráfico" hidden="1">
          <a:extLst>
            <a:ext uri="{FF2B5EF4-FFF2-40B4-BE49-F238E27FC236}">
              <a16:creationId xmlns="" xmlns:a16="http://schemas.microsoft.com/office/drawing/2014/main" id="{00000000-0008-0000-0900-0000C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oneCellAnchor>
  <xdr:oneCellAnchor>
    <xdr:from>
      <xdr:col>8</xdr:col>
      <xdr:colOff>609600</xdr:colOff>
      <xdr:row>46</xdr:row>
      <xdr:rowOff>0</xdr:rowOff>
    </xdr:from>
    <xdr:ext cx="4019550" cy="928689"/>
    <xdr:graphicFrame macro="">
      <xdr:nvGraphicFramePr>
        <xdr:cNvPr id="202" name="201 Gráfico" hidden="1">
          <a:extLst>
            <a:ext uri="{FF2B5EF4-FFF2-40B4-BE49-F238E27FC236}">
              <a16:creationId xmlns="" xmlns:a16="http://schemas.microsoft.com/office/drawing/2014/main" id="{00000000-0008-0000-0900-0000C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oneCellAnchor>
  <xdr:oneCellAnchor>
    <xdr:from>
      <xdr:col>8</xdr:col>
      <xdr:colOff>609600</xdr:colOff>
      <xdr:row>46</xdr:row>
      <xdr:rowOff>0</xdr:rowOff>
    </xdr:from>
    <xdr:ext cx="4019550" cy="928689"/>
    <xdr:graphicFrame macro="">
      <xdr:nvGraphicFramePr>
        <xdr:cNvPr id="224" name="223 Gráfico" hidden="1">
          <a:extLst>
            <a:ext uri="{FF2B5EF4-FFF2-40B4-BE49-F238E27FC236}">
              <a16:creationId xmlns="" xmlns:a16="http://schemas.microsoft.com/office/drawing/2014/main" id="{00000000-0008-0000-0900-0000E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oneCellAnchor>
  <xdr:oneCellAnchor>
    <xdr:from>
      <xdr:col>8</xdr:col>
      <xdr:colOff>609600</xdr:colOff>
      <xdr:row>46</xdr:row>
      <xdr:rowOff>0</xdr:rowOff>
    </xdr:from>
    <xdr:ext cx="4019550" cy="928689"/>
    <xdr:graphicFrame macro="">
      <xdr:nvGraphicFramePr>
        <xdr:cNvPr id="225" name="224 Gráfico" hidden="1">
          <a:extLst>
            <a:ext uri="{FF2B5EF4-FFF2-40B4-BE49-F238E27FC236}">
              <a16:creationId xmlns="" xmlns:a16="http://schemas.microsoft.com/office/drawing/2014/main" id="{00000000-0008-0000-0900-0000E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oneCellAnchor>
  <xdr:oneCellAnchor>
    <xdr:from>
      <xdr:col>8</xdr:col>
      <xdr:colOff>609600</xdr:colOff>
      <xdr:row>46</xdr:row>
      <xdr:rowOff>0</xdr:rowOff>
    </xdr:from>
    <xdr:ext cx="4019550" cy="928689"/>
    <xdr:graphicFrame macro="">
      <xdr:nvGraphicFramePr>
        <xdr:cNvPr id="247" name="246 Gráfico" hidden="1">
          <a:extLst>
            <a:ext uri="{FF2B5EF4-FFF2-40B4-BE49-F238E27FC236}">
              <a16:creationId xmlns="" xmlns:a16="http://schemas.microsoft.com/office/drawing/2014/main" id="{00000000-0008-0000-0900-0000F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oneCellAnchor>
  <xdr:oneCellAnchor>
    <xdr:from>
      <xdr:col>8</xdr:col>
      <xdr:colOff>609600</xdr:colOff>
      <xdr:row>46</xdr:row>
      <xdr:rowOff>0</xdr:rowOff>
    </xdr:from>
    <xdr:ext cx="4019550" cy="928689"/>
    <xdr:graphicFrame macro="">
      <xdr:nvGraphicFramePr>
        <xdr:cNvPr id="248" name="247 Gráfico" hidden="1">
          <a:extLst>
            <a:ext uri="{FF2B5EF4-FFF2-40B4-BE49-F238E27FC236}">
              <a16:creationId xmlns="" xmlns:a16="http://schemas.microsoft.com/office/drawing/2014/main" id="{00000000-0008-0000-0900-0000F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one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1</xdr:rowOff>
    </xdr:from>
    <xdr:to>
      <xdr:col>15</xdr:col>
      <xdr:colOff>19050</xdr:colOff>
      <xdr:row>8</xdr:row>
      <xdr:rowOff>180976</xdr:rowOff>
    </xdr:to>
    <xdr:grpSp>
      <xdr:nvGrpSpPr>
        <xdr:cNvPr id="22" name="Grupo 21">
          <a:extLst>
            <a:ext uri="{FF2B5EF4-FFF2-40B4-BE49-F238E27FC236}">
              <a16:creationId xmlns="" xmlns:a16="http://schemas.microsoft.com/office/drawing/2014/main" id="{00000000-0008-0000-0A00-000016000000}"/>
            </a:ext>
          </a:extLst>
        </xdr:cNvPr>
        <xdr:cNvGrpSpPr/>
      </xdr:nvGrpSpPr>
      <xdr:grpSpPr>
        <a:xfrm>
          <a:off x="0" y="1"/>
          <a:ext cx="10877550" cy="1704975"/>
          <a:chOff x="9592236" y="1916205"/>
          <a:chExt cx="9551614" cy="1727263"/>
        </a:xfrm>
      </xdr:grpSpPr>
      <xdr:pic>
        <xdr:nvPicPr>
          <xdr:cNvPr id="23" name="Imagen 22">
            <a:extLst>
              <a:ext uri="{FF2B5EF4-FFF2-40B4-BE49-F238E27FC236}">
                <a16:creationId xmlns="" xmlns:a16="http://schemas.microsoft.com/office/drawing/2014/main" id="{00000000-0008-0000-0A00-00001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26" name="Imagen 23">
            <a:extLst>
              <a:ext uri="{FF2B5EF4-FFF2-40B4-BE49-F238E27FC236}">
                <a16:creationId xmlns="" xmlns:a16="http://schemas.microsoft.com/office/drawing/2014/main" id="{00000000-0008-0000-0A00-00001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27" name="Imagen 24">
            <a:extLst>
              <a:ext uri="{FF2B5EF4-FFF2-40B4-BE49-F238E27FC236}">
                <a16:creationId xmlns="" xmlns:a16="http://schemas.microsoft.com/office/drawing/2014/main" id="{00000000-0008-0000-0A00-00001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28" name="Imagen 25">
            <a:extLst>
              <a:ext uri="{FF2B5EF4-FFF2-40B4-BE49-F238E27FC236}">
                <a16:creationId xmlns="" xmlns:a16="http://schemas.microsoft.com/office/drawing/2014/main" id="{00000000-0008-0000-0A00-00001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40172"/>
            <a:ext cx="2368646" cy="1703296"/>
          </a:xfrm>
          <a:prstGeom prst="rect">
            <a:avLst/>
          </a:prstGeom>
        </xdr:spPr>
      </xdr:pic>
    </xdr:grpSp>
    <xdr:clientData/>
  </xdr:twoCellAnchor>
  <xdr:twoCellAnchor>
    <xdr:from>
      <xdr:col>0</xdr:col>
      <xdr:colOff>216145</xdr:colOff>
      <xdr:row>3</xdr:row>
      <xdr:rowOff>121627</xdr:rowOff>
    </xdr:from>
    <xdr:to>
      <xdr:col>1</xdr:col>
      <xdr:colOff>200212</xdr:colOff>
      <xdr:row>8</xdr:row>
      <xdr:rowOff>22327</xdr:rowOff>
    </xdr:to>
    <xdr:sp macro="" textlink="">
      <xdr:nvSpPr>
        <xdr:cNvPr id="2" name="Rectángulo 1">
          <a:hlinkClick xmlns:r="http://schemas.openxmlformats.org/officeDocument/2006/relationships" r:id="rId5"/>
          <a:extLst>
            <a:ext uri="{FF2B5EF4-FFF2-40B4-BE49-F238E27FC236}">
              <a16:creationId xmlns="" xmlns:a16="http://schemas.microsoft.com/office/drawing/2014/main" id="{00000000-0008-0000-0A00-000002000000}"/>
            </a:ext>
          </a:extLst>
        </xdr:cNvPr>
        <xdr:cNvSpPr/>
      </xdr:nvSpPr>
      <xdr:spPr>
        <a:xfrm>
          <a:off x="216145" y="693127"/>
          <a:ext cx="707967" cy="8532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211279</xdr:colOff>
      <xdr:row>6</xdr:row>
      <xdr:rowOff>3837</xdr:rowOff>
    </xdr:from>
    <xdr:to>
      <xdr:col>2</xdr:col>
      <xdr:colOff>675379</xdr:colOff>
      <xdr:row>8</xdr:row>
      <xdr:rowOff>29637</xdr:rowOff>
    </xdr:to>
    <xdr:sp macro="" textlink="">
      <xdr:nvSpPr>
        <xdr:cNvPr id="3" name="Rectángulo 2">
          <a:hlinkClick xmlns:r="http://schemas.openxmlformats.org/officeDocument/2006/relationships" r:id="rId7"/>
          <a:extLst>
            <a:ext uri="{FF2B5EF4-FFF2-40B4-BE49-F238E27FC236}">
              <a16:creationId xmlns="" xmlns:a16="http://schemas.microsoft.com/office/drawing/2014/main" id="{00000000-0008-0000-0A00-000003000000}"/>
            </a:ext>
          </a:extLst>
        </xdr:cNvPr>
        <xdr:cNvSpPr/>
      </xdr:nvSpPr>
      <xdr:spPr>
        <a:xfrm>
          <a:off x="935179" y="1146837"/>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714113</xdr:colOff>
      <xdr:row>6</xdr:row>
      <xdr:rowOff>7798</xdr:rowOff>
    </xdr:from>
    <xdr:to>
      <xdr:col>4</xdr:col>
      <xdr:colOff>454313</xdr:colOff>
      <xdr:row>8</xdr:row>
      <xdr:rowOff>33598</xdr:rowOff>
    </xdr:to>
    <xdr:sp macro="" textlink="">
      <xdr:nvSpPr>
        <xdr:cNvPr id="4" name="Rectángulo 3">
          <a:hlinkClick xmlns:r="http://schemas.openxmlformats.org/officeDocument/2006/relationships" r:id="rId8"/>
          <a:extLst>
            <a:ext uri="{FF2B5EF4-FFF2-40B4-BE49-F238E27FC236}">
              <a16:creationId xmlns="" xmlns:a16="http://schemas.microsoft.com/office/drawing/2014/main" id="{00000000-0008-0000-0A00-000004000000}"/>
            </a:ext>
          </a:extLst>
        </xdr:cNvPr>
        <xdr:cNvSpPr/>
      </xdr:nvSpPr>
      <xdr:spPr>
        <a:xfrm>
          <a:off x="2161913" y="1150798"/>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712870</xdr:colOff>
      <xdr:row>3</xdr:row>
      <xdr:rowOff>142796</xdr:rowOff>
    </xdr:from>
    <xdr:to>
      <xdr:col>4</xdr:col>
      <xdr:colOff>453070</xdr:colOff>
      <xdr:row>5</xdr:row>
      <xdr:rowOff>168596</xdr:rowOff>
    </xdr:to>
    <xdr:sp macro="" textlink="">
      <xdr:nvSpPr>
        <xdr:cNvPr id="5" name="Rectángulo 4">
          <a:hlinkClick xmlns:r="http://schemas.openxmlformats.org/officeDocument/2006/relationships" r:id="rId9"/>
          <a:extLst>
            <a:ext uri="{FF2B5EF4-FFF2-40B4-BE49-F238E27FC236}">
              <a16:creationId xmlns="" xmlns:a16="http://schemas.microsoft.com/office/drawing/2014/main" id="{00000000-0008-0000-0A00-000005000000}"/>
            </a:ext>
          </a:extLst>
        </xdr:cNvPr>
        <xdr:cNvSpPr/>
      </xdr:nvSpPr>
      <xdr:spPr>
        <a:xfrm>
          <a:off x="2160670" y="714296"/>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225247</xdr:colOff>
      <xdr:row>3</xdr:row>
      <xdr:rowOff>147994</xdr:rowOff>
    </xdr:from>
    <xdr:to>
      <xdr:col>7</xdr:col>
      <xdr:colOff>689347</xdr:colOff>
      <xdr:row>5</xdr:row>
      <xdr:rowOff>173794</xdr:rowOff>
    </xdr:to>
    <xdr:sp macro="" textlink="">
      <xdr:nvSpPr>
        <xdr:cNvPr id="6" name="Rectángulo 5">
          <a:hlinkClick xmlns:r="http://schemas.openxmlformats.org/officeDocument/2006/relationships" r:id="rId10"/>
          <a:extLst>
            <a:ext uri="{FF2B5EF4-FFF2-40B4-BE49-F238E27FC236}">
              <a16:creationId xmlns="" xmlns:a16="http://schemas.microsoft.com/office/drawing/2014/main" id="{00000000-0008-0000-0A00-000006000000}"/>
            </a:ext>
          </a:extLst>
        </xdr:cNvPr>
        <xdr:cNvSpPr/>
      </xdr:nvSpPr>
      <xdr:spPr>
        <a:xfrm>
          <a:off x="4568647" y="719494"/>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466520</xdr:colOff>
      <xdr:row>3</xdr:row>
      <xdr:rowOff>144056</xdr:rowOff>
    </xdr:from>
    <xdr:to>
      <xdr:col>6</xdr:col>
      <xdr:colOff>206720</xdr:colOff>
      <xdr:row>5</xdr:row>
      <xdr:rowOff>169856</xdr:rowOff>
    </xdr:to>
    <xdr:sp macro="" textlink="">
      <xdr:nvSpPr>
        <xdr:cNvPr id="7" name="Rectángulo 6">
          <a:hlinkClick xmlns:r="http://schemas.openxmlformats.org/officeDocument/2006/relationships" r:id="rId11"/>
          <a:extLst>
            <a:ext uri="{FF2B5EF4-FFF2-40B4-BE49-F238E27FC236}">
              <a16:creationId xmlns="" xmlns:a16="http://schemas.microsoft.com/office/drawing/2014/main" id="{00000000-0008-0000-0A00-000007000000}"/>
            </a:ext>
          </a:extLst>
        </xdr:cNvPr>
        <xdr:cNvSpPr/>
      </xdr:nvSpPr>
      <xdr:spPr>
        <a:xfrm>
          <a:off x="3362120" y="715556"/>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214814</xdr:colOff>
      <xdr:row>3</xdr:row>
      <xdr:rowOff>136072</xdr:rowOff>
    </xdr:from>
    <xdr:to>
      <xdr:col>2</xdr:col>
      <xdr:colOff>678914</xdr:colOff>
      <xdr:row>5</xdr:row>
      <xdr:rowOff>161872</xdr:rowOff>
    </xdr:to>
    <xdr:sp macro="" textlink="">
      <xdr:nvSpPr>
        <xdr:cNvPr id="8" name="Rectángulo 7">
          <a:hlinkClick xmlns:r="http://schemas.openxmlformats.org/officeDocument/2006/relationships" r:id="rId12"/>
          <a:extLst>
            <a:ext uri="{FF2B5EF4-FFF2-40B4-BE49-F238E27FC236}">
              <a16:creationId xmlns="" xmlns:a16="http://schemas.microsoft.com/office/drawing/2014/main" id="{00000000-0008-0000-0A00-000008000000}"/>
            </a:ext>
          </a:extLst>
        </xdr:cNvPr>
        <xdr:cNvSpPr/>
      </xdr:nvSpPr>
      <xdr:spPr>
        <a:xfrm>
          <a:off x="938714" y="707572"/>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482032</xdr:colOff>
      <xdr:row>6</xdr:row>
      <xdr:rowOff>7074</xdr:rowOff>
    </xdr:from>
    <xdr:to>
      <xdr:col>6</xdr:col>
      <xdr:colOff>222232</xdr:colOff>
      <xdr:row>8</xdr:row>
      <xdr:rowOff>32874</xdr:rowOff>
    </xdr:to>
    <xdr:sp macro="" textlink="">
      <xdr:nvSpPr>
        <xdr:cNvPr id="9" name="Rectángulo 8">
          <a:hlinkClick xmlns:r="http://schemas.openxmlformats.org/officeDocument/2006/relationships" r:id="rId13"/>
          <a:extLst>
            <a:ext uri="{FF2B5EF4-FFF2-40B4-BE49-F238E27FC236}">
              <a16:creationId xmlns="" xmlns:a16="http://schemas.microsoft.com/office/drawing/2014/main" id="{00000000-0008-0000-0A00-000009000000}"/>
            </a:ext>
          </a:extLst>
        </xdr:cNvPr>
        <xdr:cNvSpPr/>
      </xdr:nvSpPr>
      <xdr:spPr>
        <a:xfrm>
          <a:off x="3377632" y="1150074"/>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9</xdr:col>
      <xdr:colOff>454081</xdr:colOff>
      <xdr:row>6</xdr:row>
      <xdr:rowOff>17141</xdr:rowOff>
    </xdr:from>
    <xdr:to>
      <xdr:col>11</xdr:col>
      <xdr:colOff>194281</xdr:colOff>
      <xdr:row>8</xdr:row>
      <xdr:rowOff>42941</xdr:rowOff>
    </xdr:to>
    <xdr:sp macro="" textlink="">
      <xdr:nvSpPr>
        <xdr:cNvPr id="10" name="Rectángulo 9">
          <a:hlinkClick xmlns:r="http://schemas.openxmlformats.org/officeDocument/2006/relationships" r:id="rId14"/>
          <a:extLst>
            <a:ext uri="{FF2B5EF4-FFF2-40B4-BE49-F238E27FC236}">
              <a16:creationId xmlns="" xmlns:a16="http://schemas.microsoft.com/office/drawing/2014/main" id="{00000000-0008-0000-0A00-00000A000000}"/>
            </a:ext>
          </a:extLst>
        </xdr:cNvPr>
        <xdr:cNvSpPr/>
      </xdr:nvSpPr>
      <xdr:spPr>
        <a:xfrm>
          <a:off x="6969181" y="1160141"/>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11</xdr:col>
      <xdr:colOff>197719</xdr:colOff>
      <xdr:row>3</xdr:row>
      <xdr:rowOff>150377</xdr:rowOff>
    </xdr:from>
    <xdr:to>
      <xdr:col>12</xdr:col>
      <xdr:colOff>661819</xdr:colOff>
      <xdr:row>5</xdr:row>
      <xdr:rowOff>176177</xdr:rowOff>
    </xdr:to>
    <xdr:sp macro="" textlink="">
      <xdr:nvSpPr>
        <xdr:cNvPr id="11" name="Rectángulo 10">
          <a:hlinkClick xmlns:r="http://schemas.openxmlformats.org/officeDocument/2006/relationships" r:id="rId15"/>
          <a:extLst>
            <a:ext uri="{FF2B5EF4-FFF2-40B4-BE49-F238E27FC236}">
              <a16:creationId xmlns="" xmlns:a16="http://schemas.microsoft.com/office/drawing/2014/main" id="{00000000-0008-0000-0A00-00000B000000}"/>
            </a:ext>
          </a:extLst>
        </xdr:cNvPr>
        <xdr:cNvSpPr/>
      </xdr:nvSpPr>
      <xdr:spPr>
        <a:xfrm>
          <a:off x="8160619" y="721877"/>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238125</xdr:colOff>
      <xdr:row>0</xdr:row>
      <xdr:rowOff>123825</xdr:rowOff>
    </xdr:from>
    <xdr:to>
      <xdr:col>3</xdr:col>
      <xdr:colOff>43089</xdr:colOff>
      <xdr:row>2</xdr:row>
      <xdr:rowOff>133350</xdr:rowOff>
    </xdr:to>
    <xdr:sp macro="" textlink="">
      <xdr:nvSpPr>
        <xdr:cNvPr id="12" name="CuadroTexto 11">
          <a:extLst>
            <a:ext uri="{FF2B5EF4-FFF2-40B4-BE49-F238E27FC236}">
              <a16:creationId xmlns="" xmlns:a16="http://schemas.microsoft.com/office/drawing/2014/main" id="{00000000-0008-0000-0A00-00000C000000}"/>
            </a:ext>
          </a:extLst>
        </xdr:cNvPr>
        <xdr:cNvSpPr txBox="1"/>
      </xdr:nvSpPr>
      <xdr:spPr>
        <a:xfrm>
          <a:off x="238125" y="123825"/>
          <a:ext cx="1976664" cy="390525"/>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SOSTENIBILIDAD</a:t>
          </a:r>
        </a:p>
      </xdr:txBody>
    </xdr:sp>
    <xdr:clientData/>
  </xdr:twoCellAnchor>
  <xdr:twoCellAnchor>
    <xdr:from>
      <xdr:col>9</xdr:col>
      <xdr:colOff>611201</xdr:colOff>
      <xdr:row>0</xdr:row>
      <xdr:rowOff>107284</xdr:rowOff>
    </xdr:from>
    <xdr:to>
      <xdr:col>13</xdr:col>
      <xdr:colOff>658826</xdr:colOff>
      <xdr:row>2</xdr:row>
      <xdr:rowOff>116808</xdr:rowOff>
    </xdr:to>
    <xdr:sp macro="[0]!Mostrar_Ayuda_Sostenibilidad" textlink="">
      <xdr:nvSpPr>
        <xdr:cNvPr id="13" name="CuadroTexto 12">
          <a:extLst>
            <a:ext uri="{FF2B5EF4-FFF2-40B4-BE49-F238E27FC236}">
              <a16:creationId xmlns="" xmlns:a16="http://schemas.microsoft.com/office/drawing/2014/main" id="{00000000-0008-0000-0A00-00000D000000}"/>
            </a:ext>
          </a:extLst>
        </xdr:cNvPr>
        <xdr:cNvSpPr txBox="1"/>
      </xdr:nvSpPr>
      <xdr:spPr>
        <a:xfrm>
          <a:off x="7126301" y="107284"/>
          <a:ext cx="2943225" cy="390524"/>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INSTRUCTIVO</a:t>
          </a:r>
        </a:p>
      </xdr:txBody>
    </xdr:sp>
    <xdr:clientData/>
  </xdr:twoCellAnchor>
  <xdr:twoCellAnchor>
    <xdr:from>
      <xdr:col>6</xdr:col>
      <xdr:colOff>234631</xdr:colOff>
      <xdr:row>6</xdr:row>
      <xdr:rowOff>8285</xdr:rowOff>
    </xdr:from>
    <xdr:to>
      <xdr:col>7</xdr:col>
      <xdr:colOff>698731</xdr:colOff>
      <xdr:row>8</xdr:row>
      <xdr:rowOff>34085</xdr:rowOff>
    </xdr:to>
    <xdr:sp macro="" textlink="">
      <xdr:nvSpPr>
        <xdr:cNvPr id="14" name="Rectángulo 13">
          <a:hlinkClick xmlns:r="http://schemas.openxmlformats.org/officeDocument/2006/relationships" r:id="rId16"/>
          <a:extLst>
            <a:ext uri="{FF2B5EF4-FFF2-40B4-BE49-F238E27FC236}">
              <a16:creationId xmlns="" xmlns:a16="http://schemas.microsoft.com/office/drawing/2014/main" id="{00000000-0008-0000-0A00-00000E000000}"/>
            </a:ext>
          </a:extLst>
        </xdr:cNvPr>
        <xdr:cNvSpPr/>
      </xdr:nvSpPr>
      <xdr:spPr>
        <a:xfrm>
          <a:off x="4578031" y="1151285"/>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701667</xdr:colOff>
      <xdr:row>3</xdr:row>
      <xdr:rowOff>150329</xdr:rowOff>
    </xdr:from>
    <xdr:to>
      <xdr:col>9</xdr:col>
      <xdr:colOff>441867</xdr:colOff>
      <xdr:row>5</xdr:row>
      <xdr:rowOff>176129</xdr:rowOff>
    </xdr:to>
    <xdr:sp macro="" textlink="">
      <xdr:nvSpPr>
        <xdr:cNvPr id="15" name="Rectángulo 14">
          <a:hlinkClick xmlns:r="http://schemas.openxmlformats.org/officeDocument/2006/relationships" r:id="rId17"/>
          <a:extLst>
            <a:ext uri="{FF2B5EF4-FFF2-40B4-BE49-F238E27FC236}">
              <a16:creationId xmlns="" xmlns:a16="http://schemas.microsoft.com/office/drawing/2014/main" id="{00000000-0008-0000-0A00-00000F000000}"/>
            </a:ext>
          </a:extLst>
        </xdr:cNvPr>
        <xdr:cNvSpPr/>
      </xdr:nvSpPr>
      <xdr:spPr>
        <a:xfrm>
          <a:off x="5768967" y="721829"/>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9</xdr:col>
      <xdr:colOff>461357</xdr:colOff>
      <xdr:row>3</xdr:row>
      <xdr:rowOff>149104</xdr:rowOff>
    </xdr:from>
    <xdr:to>
      <xdr:col>11</xdr:col>
      <xdr:colOff>201557</xdr:colOff>
      <xdr:row>5</xdr:row>
      <xdr:rowOff>174904</xdr:rowOff>
    </xdr:to>
    <xdr:sp macro="" textlink="">
      <xdr:nvSpPr>
        <xdr:cNvPr id="16" name="Rectángulo 15">
          <a:hlinkClick xmlns:r="http://schemas.openxmlformats.org/officeDocument/2006/relationships" r:id="rId18"/>
          <a:extLst>
            <a:ext uri="{FF2B5EF4-FFF2-40B4-BE49-F238E27FC236}">
              <a16:creationId xmlns="" xmlns:a16="http://schemas.microsoft.com/office/drawing/2014/main" id="{00000000-0008-0000-0A00-000010000000}"/>
            </a:ext>
          </a:extLst>
        </xdr:cNvPr>
        <xdr:cNvSpPr/>
      </xdr:nvSpPr>
      <xdr:spPr>
        <a:xfrm>
          <a:off x="6976457" y="720604"/>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698874</xdr:colOff>
      <xdr:row>6</xdr:row>
      <xdr:rowOff>13682</xdr:rowOff>
    </xdr:from>
    <xdr:to>
      <xdr:col>9</xdr:col>
      <xdr:colOff>439074</xdr:colOff>
      <xdr:row>8</xdr:row>
      <xdr:rowOff>39482</xdr:rowOff>
    </xdr:to>
    <xdr:sp macro="" textlink="">
      <xdr:nvSpPr>
        <xdr:cNvPr id="17" name="Rectángulo 16">
          <a:hlinkClick xmlns:r="http://schemas.openxmlformats.org/officeDocument/2006/relationships" r:id="rId19"/>
          <a:extLst>
            <a:ext uri="{FF2B5EF4-FFF2-40B4-BE49-F238E27FC236}">
              <a16:creationId xmlns="" xmlns:a16="http://schemas.microsoft.com/office/drawing/2014/main" id="{00000000-0008-0000-0A00-000011000000}"/>
            </a:ext>
          </a:extLst>
        </xdr:cNvPr>
        <xdr:cNvSpPr/>
      </xdr:nvSpPr>
      <xdr:spPr>
        <a:xfrm>
          <a:off x="5766174" y="1156682"/>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200512</xdr:colOff>
      <xdr:row>6</xdr:row>
      <xdr:rowOff>12409</xdr:rowOff>
    </xdr:from>
    <xdr:to>
      <xdr:col>12</xdr:col>
      <xdr:colOff>664612</xdr:colOff>
      <xdr:row>8</xdr:row>
      <xdr:rowOff>38209</xdr:rowOff>
    </xdr:to>
    <xdr:sp macro="" textlink="">
      <xdr:nvSpPr>
        <xdr:cNvPr id="18" name="Rectángulo 17">
          <a:hlinkClick xmlns:r="http://schemas.openxmlformats.org/officeDocument/2006/relationships" r:id="rId20"/>
          <a:extLst>
            <a:ext uri="{FF2B5EF4-FFF2-40B4-BE49-F238E27FC236}">
              <a16:creationId xmlns="" xmlns:a16="http://schemas.microsoft.com/office/drawing/2014/main" id="{00000000-0008-0000-0A00-000012000000}"/>
            </a:ext>
          </a:extLst>
        </xdr:cNvPr>
        <xdr:cNvSpPr/>
      </xdr:nvSpPr>
      <xdr:spPr>
        <a:xfrm>
          <a:off x="8163412" y="1155409"/>
          <a:ext cx="1188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Conclusiones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12</xdr:col>
      <xdr:colOff>670120</xdr:colOff>
      <xdr:row>3</xdr:row>
      <xdr:rowOff>139563</xdr:rowOff>
    </xdr:from>
    <xdr:to>
      <xdr:col>13</xdr:col>
      <xdr:colOff>701301</xdr:colOff>
      <xdr:row>8</xdr:row>
      <xdr:rowOff>40172</xdr:rowOff>
    </xdr:to>
    <xdr:sp macro="" textlink="">
      <xdr:nvSpPr>
        <xdr:cNvPr id="19" name="Rectángulo 18">
          <a:hlinkClick xmlns:r="http://schemas.openxmlformats.org/officeDocument/2006/relationships" r:id="rId21"/>
          <a:extLst>
            <a:ext uri="{FF2B5EF4-FFF2-40B4-BE49-F238E27FC236}">
              <a16:creationId xmlns="" xmlns:a16="http://schemas.microsoft.com/office/drawing/2014/main" id="{00000000-0008-0000-0A00-000013000000}"/>
            </a:ext>
          </a:extLst>
        </xdr:cNvPr>
        <xdr:cNvSpPr/>
      </xdr:nvSpPr>
      <xdr:spPr>
        <a:xfrm>
          <a:off x="9356920" y="711063"/>
          <a:ext cx="755081" cy="85310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13</xdr:col>
      <xdr:colOff>723899</xdr:colOff>
      <xdr:row>44</xdr:row>
      <xdr:rowOff>200024</xdr:rowOff>
    </xdr:from>
    <xdr:to>
      <xdr:col>14</xdr:col>
      <xdr:colOff>714374</xdr:colOff>
      <xdr:row>46</xdr:row>
      <xdr:rowOff>9525</xdr:rowOff>
    </xdr:to>
    <xdr:sp macro="[0]!Numero_riesgos_analizar_sostenibilidad" textlink="">
      <xdr:nvSpPr>
        <xdr:cNvPr id="25" name="Rectángulo 24">
          <a:extLst>
            <a:ext uri="{FF2B5EF4-FFF2-40B4-BE49-F238E27FC236}">
              <a16:creationId xmlns="" xmlns:a16="http://schemas.microsoft.com/office/drawing/2014/main" id="{00000000-0008-0000-0A00-000019000000}"/>
            </a:ext>
          </a:extLst>
        </xdr:cNvPr>
        <xdr:cNvSpPr/>
      </xdr:nvSpPr>
      <xdr:spPr>
        <a:xfrm>
          <a:off x="10134599" y="7877174"/>
          <a:ext cx="714375" cy="304801"/>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mc:AlternateContent xmlns:mc="http://schemas.openxmlformats.org/markup-compatibility/2006">
    <mc:Choice xmlns:a14="http://schemas.microsoft.com/office/drawing/2010/main" Requires="a14">
      <xdr:twoCellAnchor editAs="oneCell">
        <xdr:from>
          <xdr:col>9</xdr:col>
          <xdr:colOff>285750</xdr:colOff>
          <xdr:row>11</xdr:row>
          <xdr:rowOff>66675</xdr:rowOff>
        </xdr:from>
        <xdr:to>
          <xdr:col>9</xdr:col>
          <xdr:colOff>485775</xdr:colOff>
          <xdr:row>11</xdr:row>
          <xdr:rowOff>190500</xdr:rowOff>
        </xdr:to>
        <xdr:sp macro="" textlink="">
          <xdr:nvSpPr>
            <xdr:cNvPr id="59394" name="Check Box 2" hidden="1">
              <a:extLst>
                <a:ext uri="{63B3BB69-23CF-44E3-9099-C40C66FF867C}">
                  <a14:compatExt spid="_x0000_s59394"/>
                </a:ext>
                <a:ext uri="{FF2B5EF4-FFF2-40B4-BE49-F238E27FC236}">
                  <a16:creationId xmlns="" xmlns:a16="http://schemas.microsoft.com/office/drawing/2014/main" id="{00000000-0008-0000-0A00-000002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11</xdr:row>
          <xdr:rowOff>66675</xdr:rowOff>
        </xdr:from>
        <xdr:to>
          <xdr:col>10</xdr:col>
          <xdr:colOff>561975</xdr:colOff>
          <xdr:row>11</xdr:row>
          <xdr:rowOff>209550</xdr:rowOff>
        </xdr:to>
        <xdr:sp macro="" textlink="">
          <xdr:nvSpPr>
            <xdr:cNvPr id="59395" name="Check Box 3" hidden="1">
              <a:extLst>
                <a:ext uri="{63B3BB69-23CF-44E3-9099-C40C66FF867C}">
                  <a14:compatExt spid="_x0000_s59395"/>
                </a:ext>
                <a:ext uri="{FF2B5EF4-FFF2-40B4-BE49-F238E27FC236}">
                  <a16:creationId xmlns="" xmlns:a16="http://schemas.microsoft.com/office/drawing/2014/main" id="{00000000-0008-0000-0A00-00000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-1</xdr:rowOff>
    </xdr:from>
    <xdr:to>
      <xdr:col>12</xdr:col>
      <xdr:colOff>230280</xdr:colOff>
      <xdr:row>8</xdr:row>
      <xdr:rowOff>179292</xdr:rowOff>
    </xdr:to>
    <xdr:grpSp>
      <xdr:nvGrpSpPr>
        <xdr:cNvPr id="41" name="Grupo 21">
          <a:extLst>
            <a:ext uri="{FF2B5EF4-FFF2-40B4-BE49-F238E27FC236}">
              <a16:creationId xmlns="" xmlns:a16="http://schemas.microsoft.com/office/drawing/2014/main" id="{00000000-0008-0000-0B00-000029000000}"/>
            </a:ext>
          </a:extLst>
        </xdr:cNvPr>
        <xdr:cNvGrpSpPr/>
      </xdr:nvGrpSpPr>
      <xdr:grpSpPr>
        <a:xfrm>
          <a:off x="0" y="-1"/>
          <a:ext cx="10506074" cy="1703293"/>
          <a:chOff x="9592236" y="1916205"/>
          <a:chExt cx="9551614" cy="1725560"/>
        </a:xfrm>
      </xdr:grpSpPr>
      <xdr:pic>
        <xdr:nvPicPr>
          <xdr:cNvPr id="42" name="Imagen 22">
            <a:extLst>
              <a:ext uri="{FF2B5EF4-FFF2-40B4-BE49-F238E27FC236}">
                <a16:creationId xmlns="" xmlns:a16="http://schemas.microsoft.com/office/drawing/2014/main" id="{00000000-0008-0000-0B00-00002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43" name="Imagen 23">
            <a:extLst>
              <a:ext uri="{FF2B5EF4-FFF2-40B4-BE49-F238E27FC236}">
                <a16:creationId xmlns="" xmlns:a16="http://schemas.microsoft.com/office/drawing/2014/main" id="{00000000-0008-0000-0B00-00002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44" name="Imagen 24">
            <a:extLst>
              <a:ext uri="{FF2B5EF4-FFF2-40B4-BE49-F238E27FC236}">
                <a16:creationId xmlns="" xmlns:a16="http://schemas.microsoft.com/office/drawing/2014/main" id="{00000000-0008-0000-0B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45" name="Imagen 25">
            <a:extLst>
              <a:ext uri="{FF2B5EF4-FFF2-40B4-BE49-F238E27FC236}">
                <a16:creationId xmlns="" xmlns:a16="http://schemas.microsoft.com/office/drawing/2014/main" id="{00000000-0008-0000-0B00-00002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38469"/>
            <a:ext cx="2368646" cy="1703296"/>
          </a:xfrm>
          <a:prstGeom prst="rect">
            <a:avLst/>
          </a:prstGeom>
        </xdr:spPr>
      </xdr:pic>
    </xdr:grpSp>
    <xdr:clientData/>
  </xdr:twoCellAnchor>
  <xdr:twoCellAnchor>
    <xdr:from>
      <xdr:col>12</xdr:col>
      <xdr:colOff>235325</xdr:colOff>
      <xdr:row>0</xdr:row>
      <xdr:rowOff>22412</xdr:rowOff>
    </xdr:from>
    <xdr:to>
      <xdr:col>18</xdr:col>
      <xdr:colOff>0</xdr:colOff>
      <xdr:row>9</xdr:row>
      <xdr:rowOff>10107</xdr:rowOff>
    </xdr:to>
    <xdr:grpSp>
      <xdr:nvGrpSpPr>
        <xdr:cNvPr id="46" name="Grupo 21">
          <a:extLst>
            <a:ext uri="{FF2B5EF4-FFF2-40B4-BE49-F238E27FC236}">
              <a16:creationId xmlns="" xmlns:a16="http://schemas.microsoft.com/office/drawing/2014/main" id="{00000000-0008-0000-0B00-00002E000000}"/>
            </a:ext>
          </a:extLst>
        </xdr:cNvPr>
        <xdr:cNvGrpSpPr/>
      </xdr:nvGrpSpPr>
      <xdr:grpSpPr>
        <a:xfrm>
          <a:off x="10511119" y="22412"/>
          <a:ext cx="4784910" cy="1702195"/>
          <a:chOff x="9592236" y="1916206"/>
          <a:chExt cx="4784911" cy="1724447"/>
        </a:xfrm>
      </xdr:grpSpPr>
      <xdr:pic>
        <xdr:nvPicPr>
          <xdr:cNvPr id="47" name="Imagen 22">
            <a:extLst>
              <a:ext uri="{FF2B5EF4-FFF2-40B4-BE49-F238E27FC236}">
                <a16:creationId xmlns="" xmlns:a16="http://schemas.microsoft.com/office/drawing/2014/main" id="{00000000-0008-0000-0B00-00002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48" name="Imagen 23">
            <a:extLst>
              <a:ext uri="{FF2B5EF4-FFF2-40B4-BE49-F238E27FC236}">
                <a16:creationId xmlns="" xmlns:a16="http://schemas.microsoft.com/office/drawing/2014/main" id="{00000000-0008-0000-0B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grpSp>
    <xdr:clientData/>
  </xdr:twoCellAnchor>
  <xdr:twoCellAnchor>
    <xdr:from>
      <xdr:col>0</xdr:col>
      <xdr:colOff>404405</xdr:colOff>
      <xdr:row>3</xdr:row>
      <xdr:rowOff>136195</xdr:rowOff>
    </xdr:from>
    <xdr:to>
      <xdr:col>1</xdr:col>
      <xdr:colOff>313766</xdr:colOff>
      <xdr:row>8</xdr:row>
      <xdr:rowOff>36895</xdr:rowOff>
    </xdr:to>
    <xdr:sp macro="" textlink="">
      <xdr:nvSpPr>
        <xdr:cNvPr id="2" name="Rectángulo 1">
          <a:hlinkClick xmlns:r="http://schemas.openxmlformats.org/officeDocument/2006/relationships" r:id="rId5"/>
          <a:extLst>
            <a:ext uri="{FF2B5EF4-FFF2-40B4-BE49-F238E27FC236}">
              <a16:creationId xmlns="" xmlns:a16="http://schemas.microsoft.com/office/drawing/2014/main" id="{00000000-0008-0000-0B00-000002000000}"/>
            </a:ext>
          </a:extLst>
        </xdr:cNvPr>
        <xdr:cNvSpPr/>
      </xdr:nvSpPr>
      <xdr:spPr>
        <a:xfrm>
          <a:off x="404405" y="707695"/>
          <a:ext cx="592920" cy="8532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328949</xdr:colOff>
      <xdr:row>6</xdr:row>
      <xdr:rowOff>15043</xdr:rowOff>
    </xdr:from>
    <xdr:to>
      <xdr:col>3</xdr:col>
      <xdr:colOff>401832</xdr:colOff>
      <xdr:row>8</xdr:row>
      <xdr:rowOff>40843</xdr:rowOff>
    </xdr:to>
    <xdr:sp macro="" textlink="">
      <xdr:nvSpPr>
        <xdr:cNvPr id="3" name="Rectángulo 2">
          <a:hlinkClick xmlns:r="http://schemas.openxmlformats.org/officeDocument/2006/relationships" r:id="rId7"/>
          <a:extLst>
            <a:ext uri="{FF2B5EF4-FFF2-40B4-BE49-F238E27FC236}">
              <a16:creationId xmlns="" xmlns:a16="http://schemas.microsoft.com/office/drawing/2014/main" id="{00000000-0008-0000-0B00-000003000000}"/>
            </a:ext>
          </a:extLst>
        </xdr:cNvPr>
        <xdr:cNvSpPr/>
      </xdr:nvSpPr>
      <xdr:spPr>
        <a:xfrm>
          <a:off x="1012508" y="1158043"/>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409886</xdr:colOff>
      <xdr:row>6</xdr:row>
      <xdr:rowOff>19004</xdr:rowOff>
    </xdr:from>
    <xdr:to>
      <xdr:col>4</xdr:col>
      <xdr:colOff>796533</xdr:colOff>
      <xdr:row>8</xdr:row>
      <xdr:rowOff>44804</xdr:rowOff>
    </xdr:to>
    <xdr:sp macro="" textlink="">
      <xdr:nvSpPr>
        <xdr:cNvPr id="4" name="Rectángulo 3">
          <a:hlinkClick xmlns:r="http://schemas.openxmlformats.org/officeDocument/2006/relationships" r:id="rId8"/>
          <a:extLst>
            <a:ext uri="{FF2B5EF4-FFF2-40B4-BE49-F238E27FC236}">
              <a16:creationId xmlns="" xmlns:a16="http://schemas.microsoft.com/office/drawing/2014/main" id="{00000000-0008-0000-0B00-000004000000}"/>
            </a:ext>
          </a:extLst>
        </xdr:cNvPr>
        <xdr:cNvSpPr/>
      </xdr:nvSpPr>
      <xdr:spPr>
        <a:xfrm>
          <a:off x="2460562" y="1162004"/>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408643</xdr:colOff>
      <xdr:row>3</xdr:row>
      <xdr:rowOff>155683</xdr:rowOff>
    </xdr:from>
    <xdr:to>
      <xdr:col>4</xdr:col>
      <xdr:colOff>795290</xdr:colOff>
      <xdr:row>5</xdr:row>
      <xdr:rowOff>181483</xdr:rowOff>
    </xdr:to>
    <xdr:sp macro="" textlink="">
      <xdr:nvSpPr>
        <xdr:cNvPr id="5" name="Rectángulo 4">
          <a:hlinkClick xmlns:r="http://schemas.openxmlformats.org/officeDocument/2006/relationships" r:id="rId9"/>
          <a:extLst>
            <a:ext uri="{FF2B5EF4-FFF2-40B4-BE49-F238E27FC236}">
              <a16:creationId xmlns="" xmlns:a16="http://schemas.microsoft.com/office/drawing/2014/main" id="{00000000-0008-0000-0B00-000005000000}"/>
            </a:ext>
          </a:extLst>
        </xdr:cNvPr>
        <xdr:cNvSpPr/>
      </xdr:nvSpPr>
      <xdr:spPr>
        <a:xfrm>
          <a:off x="2459319" y="727183"/>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428456</xdr:colOff>
      <xdr:row>3</xdr:row>
      <xdr:rowOff>158825</xdr:rowOff>
    </xdr:from>
    <xdr:to>
      <xdr:col>8</xdr:col>
      <xdr:colOff>120338</xdr:colOff>
      <xdr:row>5</xdr:row>
      <xdr:rowOff>184625</xdr:rowOff>
    </xdr:to>
    <xdr:sp macro="" textlink="">
      <xdr:nvSpPr>
        <xdr:cNvPr id="6" name="Rectángulo 5">
          <a:hlinkClick xmlns:r="http://schemas.openxmlformats.org/officeDocument/2006/relationships" r:id="rId10"/>
          <a:extLst>
            <a:ext uri="{FF2B5EF4-FFF2-40B4-BE49-F238E27FC236}">
              <a16:creationId xmlns="" xmlns:a16="http://schemas.microsoft.com/office/drawing/2014/main" id="{00000000-0008-0000-0B00-000006000000}"/>
            </a:ext>
          </a:extLst>
        </xdr:cNvPr>
        <xdr:cNvSpPr/>
      </xdr:nvSpPr>
      <xdr:spPr>
        <a:xfrm>
          <a:off x="5359044" y="730325"/>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7463</xdr:colOff>
      <xdr:row>3</xdr:row>
      <xdr:rowOff>156942</xdr:rowOff>
    </xdr:from>
    <xdr:to>
      <xdr:col>6</xdr:col>
      <xdr:colOff>427728</xdr:colOff>
      <xdr:row>5</xdr:row>
      <xdr:rowOff>182742</xdr:rowOff>
    </xdr:to>
    <xdr:sp macro="" textlink="">
      <xdr:nvSpPr>
        <xdr:cNvPr id="7" name="Rectángulo 6">
          <a:hlinkClick xmlns:r="http://schemas.openxmlformats.org/officeDocument/2006/relationships" r:id="rId11"/>
          <a:extLst>
            <a:ext uri="{FF2B5EF4-FFF2-40B4-BE49-F238E27FC236}">
              <a16:creationId xmlns="" xmlns:a16="http://schemas.microsoft.com/office/drawing/2014/main" id="{00000000-0008-0000-0B00-000007000000}"/>
            </a:ext>
          </a:extLst>
        </xdr:cNvPr>
        <xdr:cNvSpPr/>
      </xdr:nvSpPr>
      <xdr:spPr>
        <a:xfrm>
          <a:off x="3918316" y="728442"/>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332484</xdr:colOff>
      <xdr:row>3</xdr:row>
      <xdr:rowOff>148959</xdr:rowOff>
    </xdr:from>
    <xdr:to>
      <xdr:col>3</xdr:col>
      <xdr:colOff>405367</xdr:colOff>
      <xdr:row>5</xdr:row>
      <xdr:rowOff>174759</xdr:rowOff>
    </xdr:to>
    <xdr:sp macro="" textlink="">
      <xdr:nvSpPr>
        <xdr:cNvPr id="8" name="Rectángulo 7">
          <a:hlinkClick xmlns:r="http://schemas.openxmlformats.org/officeDocument/2006/relationships" r:id="rId12"/>
          <a:extLst>
            <a:ext uri="{FF2B5EF4-FFF2-40B4-BE49-F238E27FC236}">
              <a16:creationId xmlns="" xmlns:a16="http://schemas.microsoft.com/office/drawing/2014/main" id="{00000000-0008-0000-0B00-000008000000}"/>
            </a:ext>
          </a:extLst>
        </xdr:cNvPr>
        <xdr:cNvSpPr/>
      </xdr:nvSpPr>
      <xdr:spPr>
        <a:xfrm>
          <a:off x="1016043" y="720459"/>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11769</xdr:colOff>
      <xdr:row>6</xdr:row>
      <xdr:rowOff>16598</xdr:rowOff>
    </xdr:from>
    <xdr:to>
      <xdr:col>6</xdr:col>
      <xdr:colOff>432034</xdr:colOff>
      <xdr:row>8</xdr:row>
      <xdr:rowOff>42398</xdr:rowOff>
    </xdr:to>
    <xdr:sp macro="" textlink="">
      <xdr:nvSpPr>
        <xdr:cNvPr id="9" name="Rectángulo 8">
          <a:hlinkClick xmlns:r="http://schemas.openxmlformats.org/officeDocument/2006/relationships" r:id="rId13"/>
          <a:extLst>
            <a:ext uri="{FF2B5EF4-FFF2-40B4-BE49-F238E27FC236}">
              <a16:creationId xmlns="" xmlns:a16="http://schemas.microsoft.com/office/drawing/2014/main" id="{00000000-0008-0000-0B00-000009000000}"/>
            </a:ext>
          </a:extLst>
        </xdr:cNvPr>
        <xdr:cNvSpPr/>
      </xdr:nvSpPr>
      <xdr:spPr>
        <a:xfrm>
          <a:off x="3922622" y="1159598"/>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9</xdr:col>
      <xdr:colOff>630954</xdr:colOff>
      <xdr:row>6</xdr:row>
      <xdr:rowOff>7616</xdr:rowOff>
    </xdr:from>
    <xdr:to>
      <xdr:col>11</xdr:col>
      <xdr:colOff>334042</xdr:colOff>
      <xdr:row>8</xdr:row>
      <xdr:rowOff>33416</xdr:rowOff>
    </xdr:to>
    <xdr:sp macro="" textlink="">
      <xdr:nvSpPr>
        <xdr:cNvPr id="10" name="Rectángulo 9">
          <a:hlinkClick xmlns:r="http://schemas.openxmlformats.org/officeDocument/2006/relationships" r:id="rId14"/>
          <a:extLst>
            <a:ext uri="{FF2B5EF4-FFF2-40B4-BE49-F238E27FC236}">
              <a16:creationId xmlns="" xmlns:a16="http://schemas.microsoft.com/office/drawing/2014/main" id="{00000000-0008-0000-0B00-00000A000000}"/>
            </a:ext>
          </a:extLst>
        </xdr:cNvPr>
        <xdr:cNvSpPr/>
      </xdr:nvSpPr>
      <xdr:spPr>
        <a:xfrm>
          <a:off x="8250954" y="1150616"/>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11</xdr:col>
      <xdr:colOff>318188</xdr:colOff>
      <xdr:row>3</xdr:row>
      <xdr:rowOff>154112</xdr:rowOff>
    </xdr:from>
    <xdr:to>
      <xdr:col>12</xdr:col>
      <xdr:colOff>839306</xdr:colOff>
      <xdr:row>5</xdr:row>
      <xdr:rowOff>179912</xdr:rowOff>
    </xdr:to>
    <xdr:sp macro="" textlink="">
      <xdr:nvSpPr>
        <xdr:cNvPr id="11" name="Rectángulo 10">
          <a:hlinkClick xmlns:r="http://schemas.openxmlformats.org/officeDocument/2006/relationships" r:id="rId15"/>
          <a:extLst>
            <a:ext uri="{FF2B5EF4-FFF2-40B4-BE49-F238E27FC236}">
              <a16:creationId xmlns="" xmlns:a16="http://schemas.microsoft.com/office/drawing/2014/main" id="{00000000-0008-0000-0B00-00000B000000}"/>
            </a:ext>
          </a:extLst>
        </xdr:cNvPr>
        <xdr:cNvSpPr/>
      </xdr:nvSpPr>
      <xdr:spPr>
        <a:xfrm>
          <a:off x="9675100" y="725612"/>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453840</xdr:colOff>
      <xdr:row>0</xdr:row>
      <xdr:rowOff>123825</xdr:rowOff>
    </xdr:from>
    <xdr:to>
      <xdr:col>2</xdr:col>
      <xdr:colOff>616325</xdr:colOff>
      <xdr:row>2</xdr:row>
      <xdr:rowOff>133350</xdr:rowOff>
    </xdr:to>
    <xdr:sp macro="" textlink="">
      <xdr:nvSpPr>
        <xdr:cNvPr id="12" name="CuadroTexto 11">
          <a:extLst>
            <a:ext uri="{FF2B5EF4-FFF2-40B4-BE49-F238E27FC236}">
              <a16:creationId xmlns="" xmlns:a16="http://schemas.microsoft.com/office/drawing/2014/main" id="{00000000-0008-0000-0B00-00000C000000}"/>
            </a:ext>
          </a:extLst>
        </xdr:cNvPr>
        <xdr:cNvSpPr txBox="1"/>
      </xdr:nvSpPr>
      <xdr:spPr>
        <a:xfrm>
          <a:off x="453840" y="123825"/>
          <a:ext cx="1529603" cy="390525"/>
        </a:xfrm>
        <a:prstGeom prst="rect">
          <a:avLst/>
        </a:prstGeom>
        <a:solidFill>
          <a:schemeClr val="bg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6"/>
              </a:solidFill>
            </a:rPr>
            <a:t>COSTOS</a:t>
          </a:r>
        </a:p>
      </xdr:txBody>
    </xdr:sp>
    <xdr:clientData/>
  </xdr:twoCellAnchor>
  <xdr:twoCellAnchor>
    <xdr:from>
      <xdr:col>11</xdr:col>
      <xdr:colOff>859497</xdr:colOff>
      <xdr:row>0</xdr:row>
      <xdr:rowOff>131297</xdr:rowOff>
    </xdr:from>
    <xdr:to>
      <xdr:col>13</xdr:col>
      <xdr:colOff>877800</xdr:colOff>
      <xdr:row>2</xdr:row>
      <xdr:rowOff>140821</xdr:rowOff>
    </xdr:to>
    <xdr:sp macro="[0]!Mostrar_Ayuda_Costo_Total" textlink="">
      <xdr:nvSpPr>
        <xdr:cNvPr id="13" name="CuadroTexto 12">
          <a:extLst>
            <a:ext uri="{FF2B5EF4-FFF2-40B4-BE49-F238E27FC236}">
              <a16:creationId xmlns="" xmlns:a16="http://schemas.microsoft.com/office/drawing/2014/main" id="{00000000-0008-0000-0B00-00000D000000}"/>
            </a:ext>
          </a:extLst>
        </xdr:cNvPr>
        <xdr:cNvSpPr txBox="1"/>
      </xdr:nvSpPr>
      <xdr:spPr>
        <a:xfrm>
          <a:off x="10216409" y="131297"/>
          <a:ext cx="1777626" cy="390524"/>
        </a:xfrm>
        <a:prstGeom prst="rect">
          <a:avLst/>
        </a:prstGeom>
        <a:solidFill>
          <a:schemeClr val="bg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6"/>
              </a:solidFill>
            </a:rPr>
            <a:t>INSTRUCTIVO</a:t>
          </a:r>
        </a:p>
      </xdr:txBody>
    </xdr:sp>
    <xdr:clientData/>
  </xdr:twoCellAnchor>
  <xdr:twoCellAnchor>
    <xdr:from>
      <xdr:col>6</xdr:col>
      <xdr:colOff>437839</xdr:colOff>
      <xdr:row>6</xdr:row>
      <xdr:rowOff>15754</xdr:rowOff>
    </xdr:from>
    <xdr:to>
      <xdr:col>8</xdr:col>
      <xdr:colOff>129721</xdr:colOff>
      <xdr:row>8</xdr:row>
      <xdr:rowOff>41554</xdr:rowOff>
    </xdr:to>
    <xdr:sp macro="" textlink="">
      <xdr:nvSpPr>
        <xdr:cNvPr id="14" name="Rectángulo 13">
          <a:hlinkClick xmlns:r="http://schemas.openxmlformats.org/officeDocument/2006/relationships" r:id="rId16"/>
          <a:extLst>
            <a:ext uri="{FF2B5EF4-FFF2-40B4-BE49-F238E27FC236}">
              <a16:creationId xmlns="" xmlns:a16="http://schemas.microsoft.com/office/drawing/2014/main" id="{00000000-0008-0000-0B00-00000E000000}"/>
            </a:ext>
          </a:extLst>
        </xdr:cNvPr>
        <xdr:cNvSpPr/>
      </xdr:nvSpPr>
      <xdr:spPr>
        <a:xfrm>
          <a:off x="5368427" y="1158754"/>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128303</xdr:colOff>
      <xdr:row>3</xdr:row>
      <xdr:rowOff>152010</xdr:rowOff>
    </xdr:from>
    <xdr:to>
      <xdr:col>9</xdr:col>
      <xdr:colOff>627009</xdr:colOff>
      <xdr:row>5</xdr:row>
      <xdr:rowOff>177810</xdr:rowOff>
    </xdr:to>
    <xdr:sp macro="" textlink="">
      <xdr:nvSpPr>
        <xdr:cNvPr id="15" name="Rectángulo 14">
          <a:hlinkClick xmlns:r="http://schemas.openxmlformats.org/officeDocument/2006/relationships" r:id="rId17"/>
          <a:extLst>
            <a:ext uri="{FF2B5EF4-FFF2-40B4-BE49-F238E27FC236}">
              <a16:creationId xmlns="" xmlns:a16="http://schemas.microsoft.com/office/drawing/2014/main" id="{00000000-0008-0000-0B00-00000F000000}"/>
            </a:ext>
          </a:extLst>
        </xdr:cNvPr>
        <xdr:cNvSpPr/>
      </xdr:nvSpPr>
      <xdr:spPr>
        <a:xfrm>
          <a:off x="6807009" y="723510"/>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9</xdr:col>
      <xdr:colOff>627205</xdr:colOff>
      <xdr:row>3</xdr:row>
      <xdr:rowOff>153955</xdr:rowOff>
    </xdr:from>
    <xdr:to>
      <xdr:col>11</xdr:col>
      <xdr:colOff>330293</xdr:colOff>
      <xdr:row>5</xdr:row>
      <xdr:rowOff>179755</xdr:rowOff>
    </xdr:to>
    <xdr:sp macro="" textlink="">
      <xdr:nvSpPr>
        <xdr:cNvPr id="16" name="Rectángulo 15">
          <a:hlinkClick xmlns:r="http://schemas.openxmlformats.org/officeDocument/2006/relationships" r:id="rId18"/>
          <a:extLst>
            <a:ext uri="{FF2B5EF4-FFF2-40B4-BE49-F238E27FC236}">
              <a16:creationId xmlns="" xmlns:a16="http://schemas.microsoft.com/office/drawing/2014/main" id="{00000000-0008-0000-0B00-000010000000}"/>
            </a:ext>
          </a:extLst>
        </xdr:cNvPr>
        <xdr:cNvSpPr/>
      </xdr:nvSpPr>
      <xdr:spPr>
        <a:xfrm>
          <a:off x="8247205" y="725455"/>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126999</xdr:colOff>
      <xdr:row>6</xdr:row>
      <xdr:rowOff>14621</xdr:rowOff>
    </xdr:from>
    <xdr:to>
      <xdr:col>9</xdr:col>
      <xdr:colOff>625705</xdr:colOff>
      <xdr:row>8</xdr:row>
      <xdr:rowOff>40421</xdr:rowOff>
    </xdr:to>
    <xdr:sp macro="" textlink="">
      <xdr:nvSpPr>
        <xdr:cNvPr id="17" name="Rectángulo 16">
          <a:hlinkClick xmlns:r="http://schemas.openxmlformats.org/officeDocument/2006/relationships" r:id="rId19"/>
          <a:extLst>
            <a:ext uri="{FF2B5EF4-FFF2-40B4-BE49-F238E27FC236}">
              <a16:creationId xmlns="" xmlns:a16="http://schemas.microsoft.com/office/drawing/2014/main" id="{00000000-0008-0000-0B00-000011000000}"/>
            </a:ext>
          </a:extLst>
        </xdr:cNvPr>
        <xdr:cNvSpPr/>
      </xdr:nvSpPr>
      <xdr:spPr>
        <a:xfrm>
          <a:off x="6805705" y="1157621"/>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323967</xdr:colOff>
      <xdr:row>6</xdr:row>
      <xdr:rowOff>14463</xdr:rowOff>
    </xdr:from>
    <xdr:to>
      <xdr:col>13</xdr:col>
      <xdr:colOff>4644</xdr:colOff>
      <xdr:row>8</xdr:row>
      <xdr:rowOff>40263</xdr:rowOff>
    </xdr:to>
    <xdr:sp macro="" textlink="">
      <xdr:nvSpPr>
        <xdr:cNvPr id="18" name="Rectángulo 17">
          <a:hlinkClick xmlns:r="http://schemas.openxmlformats.org/officeDocument/2006/relationships" r:id="rId20"/>
          <a:extLst>
            <a:ext uri="{FF2B5EF4-FFF2-40B4-BE49-F238E27FC236}">
              <a16:creationId xmlns="" xmlns:a16="http://schemas.microsoft.com/office/drawing/2014/main" id="{00000000-0008-0000-0B00-000012000000}"/>
            </a:ext>
          </a:extLst>
        </xdr:cNvPr>
        <xdr:cNvSpPr/>
      </xdr:nvSpPr>
      <xdr:spPr>
        <a:xfrm>
          <a:off x="9680879" y="1157463"/>
          <a:ext cx="144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Conclusiones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13</xdr:col>
      <xdr:colOff>21118</xdr:colOff>
      <xdr:row>3</xdr:row>
      <xdr:rowOff>149087</xdr:rowOff>
    </xdr:from>
    <xdr:to>
      <xdr:col>13</xdr:col>
      <xdr:colOff>911145</xdr:colOff>
      <xdr:row>8</xdr:row>
      <xdr:rowOff>49696</xdr:rowOff>
    </xdr:to>
    <xdr:sp macro="" textlink="">
      <xdr:nvSpPr>
        <xdr:cNvPr id="19" name="Rectángulo 18">
          <a:hlinkClick xmlns:r="http://schemas.openxmlformats.org/officeDocument/2006/relationships" r:id="rId21"/>
          <a:extLst>
            <a:ext uri="{FF2B5EF4-FFF2-40B4-BE49-F238E27FC236}">
              <a16:creationId xmlns="" xmlns:a16="http://schemas.microsoft.com/office/drawing/2014/main" id="{00000000-0008-0000-0B00-000013000000}"/>
            </a:ext>
          </a:extLst>
        </xdr:cNvPr>
        <xdr:cNvSpPr/>
      </xdr:nvSpPr>
      <xdr:spPr>
        <a:xfrm>
          <a:off x="11137353" y="720587"/>
          <a:ext cx="890027" cy="85310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180975</xdr:colOff>
          <xdr:row>580</xdr:row>
          <xdr:rowOff>47625</xdr:rowOff>
        </xdr:from>
        <xdr:to>
          <xdr:col>5</xdr:col>
          <xdr:colOff>552450</xdr:colOff>
          <xdr:row>581</xdr:row>
          <xdr:rowOff>123825</xdr:rowOff>
        </xdr:to>
        <xdr:sp macro="" textlink="">
          <xdr:nvSpPr>
            <xdr:cNvPr id="47115" name="OptionButton1" hidden="1">
              <a:extLst>
                <a:ext uri="{63B3BB69-23CF-44E3-9099-C40C66FF867C}">
                  <a14:compatExt spid="_x0000_s47115"/>
                </a:ext>
                <a:ext uri="{FF2B5EF4-FFF2-40B4-BE49-F238E27FC236}">
                  <a16:creationId xmlns="" xmlns:a16="http://schemas.microsoft.com/office/drawing/2014/main" id="{00000000-0008-0000-0B00-00000B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580</xdr:row>
          <xdr:rowOff>47625</xdr:rowOff>
        </xdr:from>
        <xdr:to>
          <xdr:col>6</xdr:col>
          <xdr:colOff>504825</xdr:colOff>
          <xdr:row>581</xdr:row>
          <xdr:rowOff>123825</xdr:rowOff>
        </xdr:to>
        <xdr:sp macro="" textlink="">
          <xdr:nvSpPr>
            <xdr:cNvPr id="47116" name="OptionButton2" hidden="1">
              <a:extLst>
                <a:ext uri="{63B3BB69-23CF-44E3-9099-C40C66FF867C}">
                  <a14:compatExt spid="_x0000_s47116"/>
                </a:ext>
                <a:ext uri="{FF2B5EF4-FFF2-40B4-BE49-F238E27FC236}">
                  <a16:creationId xmlns="" xmlns:a16="http://schemas.microsoft.com/office/drawing/2014/main" id="{00000000-0008-0000-0B00-00000C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1044</xdr:row>
          <xdr:rowOff>85725</xdr:rowOff>
        </xdr:from>
        <xdr:to>
          <xdr:col>0</xdr:col>
          <xdr:colOff>352425</xdr:colOff>
          <xdr:row>1044</xdr:row>
          <xdr:rowOff>180975</xdr:rowOff>
        </xdr:to>
        <xdr:sp macro="" textlink="">
          <xdr:nvSpPr>
            <xdr:cNvPr id="47117" name="OptionButton3" hidden="1">
              <a:extLst>
                <a:ext uri="{63B3BB69-23CF-44E3-9099-C40C66FF867C}">
                  <a14:compatExt spid="_x0000_s47117"/>
                </a:ext>
                <a:ext uri="{FF2B5EF4-FFF2-40B4-BE49-F238E27FC236}">
                  <a16:creationId xmlns="" xmlns:a16="http://schemas.microsoft.com/office/drawing/2014/main" id="{00000000-0008-0000-0B00-00000D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1044</xdr:row>
          <xdr:rowOff>114300</xdr:rowOff>
        </xdr:from>
        <xdr:to>
          <xdr:col>0</xdr:col>
          <xdr:colOff>371475</xdr:colOff>
          <xdr:row>1045</xdr:row>
          <xdr:rowOff>28575</xdr:rowOff>
        </xdr:to>
        <xdr:sp macro="" textlink="">
          <xdr:nvSpPr>
            <xdr:cNvPr id="47118" name="OptionButton4" hidden="1">
              <a:extLst>
                <a:ext uri="{63B3BB69-23CF-44E3-9099-C40C66FF867C}">
                  <a14:compatExt spid="_x0000_s47118"/>
                </a:ext>
                <a:ext uri="{FF2B5EF4-FFF2-40B4-BE49-F238E27FC236}">
                  <a16:creationId xmlns="" xmlns:a16="http://schemas.microsoft.com/office/drawing/2014/main" id="{00000000-0008-0000-0B00-00000E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1044</xdr:row>
          <xdr:rowOff>19050</xdr:rowOff>
        </xdr:from>
        <xdr:to>
          <xdr:col>0</xdr:col>
          <xdr:colOff>342900</xdr:colOff>
          <xdr:row>1045</xdr:row>
          <xdr:rowOff>76200</xdr:rowOff>
        </xdr:to>
        <xdr:sp macro="" textlink="">
          <xdr:nvSpPr>
            <xdr:cNvPr id="47119" name="OptionButton5" hidden="1">
              <a:extLst>
                <a:ext uri="{63B3BB69-23CF-44E3-9099-C40C66FF867C}">
                  <a14:compatExt spid="_x0000_s47119"/>
                </a:ext>
                <a:ext uri="{FF2B5EF4-FFF2-40B4-BE49-F238E27FC236}">
                  <a16:creationId xmlns="" xmlns:a16="http://schemas.microsoft.com/office/drawing/2014/main" id="{00000000-0008-0000-0B00-00000F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1044</xdr:row>
          <xdr:rowOff>38100</xdr:rowOff>
        </xdr:from>
        <xdr:to>
          <xdr:col>0</xdr:col>
          <xdr:colOff>419100</xdr:colOff>
          <xdr:row>1045</xdr:row>
          <xdr:rowOff>85725</xdr:rowOff>
        </xdr:to>
        <xdr:sp macro="" textlink="">
          <xdr:nvSpPr>
            <xdr:cNvPr id="47120" name="OptionButton6" hidden="1">
              <a:extLst>
                <a:ext uri="{63B3BB69-23CF-44E3-9099-C40C66FF867C}">
                  <a14:compatExt spid="_x0000_s47120"/>
                </a:ext>
                <a:ext uri="{FF2B5EF4-FFF2-40B4-BE49-F238E27FC236}">
                  <a16:creationId xmlns="" xmlns:a16="http://schemas.microsoft.com/office/drawing/2014/main" id="{00000000-0008-0000-0B00-000010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247650</xdr:colOff>
          <xdr:row>1044</xdr:row>
          <xdr:rowOff>38100</xdr:rowOff>
        </xdr:from>
        <xdr:to>
          <xdr:col>0</xdr:col>
          <xdr:colOff>371475</xdr:colOff>
          <xdr:row>1045</xdr:row>
          <xdr:rowOff>38100</xdr:rowOff>
        </xdr:to>
        <xdr:sp macro="" textlink="">
          <xdr:nvSpPr>
            <xdr:cNvPr id="47121" name="OptionButton7" hidden="1">
              <a:extLst>
                <a:ext uri="{63B3BB69-23CF-44E3-9099-C40C66FF867C}">
                  <a14:compatExt spid="_x0000_s47121"/>
                </a:ext>
                <a:ext uri="{FF2B5EF4-FFF2-40B4-BE49-F238E27FC236}">
                  <a16:creationId xmlns="" xmlns:a16="http://schemas.microsoft.com/office/drawing/2014/main" id="{00000000-0008-0000-0B00-00001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1044</xdr:row>
          <xdr:rowOff>47625</xdr:rowOff>
        </xdr:from>
        <xdr:to>
          <xdr:col>0</xdr:col>
          <xdr:colOff>390525</xdr:colOff>
          <xdr:row>1045</xdr:row>
          <xdr:rowOff>57150</xdr:rowOff>
        </xdr:to>
        <xdr:sp macro="" textlink="">
          <xdr:nvSpPr>
            <xdr:cNvPr id="47122" name="OptionButton8" hidden="1">
              <a:extLst>
                <a:ext uri="{63B3BB69-23CF-44E3-9099-C40C66FF867C}">
                  <a14:compatExt spid="_x0000_s47122"/>
                </a:ext>
                <a:ext uri="{FF2B5EF4-FFF2-40B4-BE49-F238E27FC236}">
                  <a16:creationId xmlns="" xmlns:a16="http://schemas.microsoft.com/office/drawing/2014/main" id="{00000000-0008-0000-0B00-00001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0</xdr:colOff>
      <xdr:row>29</xdr:row>
      <xdr:rowOff>22412</xdr:rowOff>
    </xdr:from>
    <xdr:to>
      <xdr:col>14</xdr:col>
      <xdr:colOff>22411</xdr:colOff>
      <xdr:row>30</xdr:row>
      <xdr:rowOff>20374</xdr:rowOff>
    </xdr:to>
    <xdr:sp macro="[0]!Costos_Num_Med_riesgos_inf_Alt_1" textlink="">
      <xdr:nvSpPr>
        <xdr:cNvPr id="30" name="Rectángulo 29">
          <a:extLst>
            <a:ext uri="{FF2B5EF4-FFF2-40B4-BE49-F238E27FC236}">
              <a16:creationId xmlns="" xmlns:a16="http://schemas.microsoft.com/office/drawing/2014/main" id="{00000000-0008-0000-0B00-00001E000000}"/>
            </a:ext>
          </a:extLst>
        </xdr:cNvPr>
        <xdr:cNvSpPr/>
      </xdr:nvSpPr>
      <xdr:spPr>
        <a:xfrm>
          <a:off x="11116235" y="5221941"/>
          <a:ext cx="952500" cy="311727"/>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xdr:twoCellAnchor>
    <xdr:from>
      <xdr:col>13</xdr:col>
      <xdr:colOff>0</xdr:colOff>
      <xdr:row>74</xdr:row>
      <xdr:rowOff>33617</xdr:rowOff>
    </xdr:from>
    <xdr:to>
      <xdr:col>14</xdr:col>
      <xdr:colOff>22411</xdr:colOff>
      <xdr:row>75</xdr:row>
      <xdr:rowOff>0</xdr:rowOff>
    </xdr:to>
    <xdr:sp macro="[0]!Costos_Num_Med_riesgos_int_Alt_1" textlink="">
      <xdr:nvSpPr>
        <xdr:cNvPr id="31" name="Rectángulo 30">
          <a:extLst>
            <a:ext uri="{FF2B5EF4-FFF2-40B4-BE49-F238E27FC236}">
              <a16:creationId xmlns="" xmlns:a16="http://schemas.microsoft.com/office/drawing/2014/main" id="{00000000-0008-0000-0B00-00001F000000}"/>
            </a:ext>
          </a:extLst>
        </xdr:cNvPr>
        <xdr:cNvSpPr/>
      </xdr:nvSpPr>
      <xdr:spPr>
        <a:xfrm>
          <a:off x="11116235" y="15363264"/>
          <a:ext cx="952500" cy="280148"/>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xdr:twoCellAnchor>
    <xdr:from>
      <xdr:col>13</xdr:col>
      <xdr:colOff>11205</xdr:colOff>
      <xdr:row>119</xdr:row>
      <xdr:rowOff>33618</xdr:rowOff>
    </xdr:from>
    <xdr:to>
      <xdr:col>14</xdr:col>
      <xdr:colOff>33616</xdr:colOff>
      <xdr:row>120</xdr:row>
      <xdr:rowOff>2</xdr:rowOff>
    </xdr:to>
    <xdr:sp macro="[0]!Costos_Num_Med_riesgos_inf_Alt_2" textlink="">
      <xdr:nvSpPr>
        <xdr:cNvPr id="33" name="Rectángulo 32">
          <a:extLst>
            <a:ext uri="{FF2B5EF4-FFF2-40B4-BE49-F238E27FC236}">
              <a16:creationId xmlns="" xmlns:a16="http://schemas.microsoft.com/office/drawing/2014/main" id="{00000000-0008-0000-0B00-000021000000}"/>
            </a:ext>
          </a:extLst>
        </xdr:cNvPr>
        <xdr:cNvSpPr/>
      </xdr:nvSpPr>
      <xdr:spPr>
        <a:xfrm>
          <a:off x="11127440" y="25302883"/>
          <a:ext cx="952500" cy="280148"/>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xdr:twoCellAnchor>
    <xdr:from>
      <xdr:col>13</xdr:col>
      <xdr:colOff>11203</xdr:colOff>
      <xdr:row>164</xdr:row>
      <xdr:rowOff>33618</xdr:rowOff>
    </xdr:from>
    <xdr:to>
      <xdr:col>14</xdr:col>
      <xdr:colOff>33614</xdr:colOff>
      <xdr:row>165</xdr:row>
      <xdr:rowOff>1</xdr:rowOff>
    </xdr:to>
    <xdr:sp macro="[0]!Costos_Num_Med_riesgos_int_Alt_2" textlink="">
      <xdr:nvSpPr>
        <xdr:cNvPr id="36" name="Rectángulo 35">
          <a:extLst>
            <a:ext uri="{FF2B5EF4-FFF2-40B4-BE49-F238E27FC236}">
              <a16:creationId xmlns="" xmlns:a16="http://schemas.microsoft.com/office/drawing/2014/main" id="{00000000-0008-0000-0B00-000024000000}"/>
            </a:ext>
          </a:extLst>
        </xdr:cNvPr>
        <xdr:cNvSpPr/>
      </xdr:nvSpPr>
      <xdr:spPr>
        <a:xfrm>
          <a:off x="11127438" y="40049824"/>
          <a:ext cx="952500" cy="280148"/>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xdr:twoCellAnchor>
    <xdr:from>
      <xdr:col>13</xdr:col>
      <xdr:colOff>1</xdr:colOff>
      <xdr:row>209</xdr:row>
      <xdr:rowOff>33617</xdr:rowOff>
    </xdr:from>
    <xdr:to>
      <xdr:col>14</xdr:col>
      <xdr:colOff>22412</xdr:colOff>
      <xdr:row>209</xdr:row>
      <xdr:rowOff>313764</xdr:rowOff>
    </xdr:to>
    <xdr:sp macro="[0]!Costos_Num_Med_riesgos_inf_Alt_3" textlink="">
      <xdr:nvSpPr>
        <xdr:cNvPr id="37" name="Rectángulo 36">
          <a:extLst>
            <a:ext uri="{FF2B5EF4-FFF2-40B4-BE49-F238E27FC236}">
              <a16:creationId xmlns="" xmlns:a16="http://schemas.microsoft.com/office/drawing/2014/main" id="{00000000-0008-0000-0B00-000025000000}"/>
            </a:ext>
          </a:extLst>
        </xdr:cNvPr>
        <xdr:cNvSpPr/>
      </xdr:nvSpPr>
      <xdr:spPr>
        <a:xfrm>
          <a:off x="11116236" y="45249352"/>
          <a:ext cx="952500" cy="280147"/>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xdr:twoCellAnchor>
    <xdr:from>
      <xdr:col>13</xdr:col>
      <xdr:colOff>11205</xdr:colOff>
      <xdr:row>254</xdr:row>
      <xdr:rowOff>33618</xdr:rowOff>
    </xdr:from>
    <xdr:to>
      <xdr:col>14</xdr:col>
      <xdr:colOff>33616</xdr:colOff>
      <xdr:row>255</xdr:row>
      <xdr:rowOff>0</xdr:rowOff>
    </xdr:to>
    <xdr:sp macro="[0]!Costos_Num_Med_riesgos_int_Alt_3" textlink="">
      <xdr:nvSpPr>
        <xdr:cNvPr id="38" name="Rectángulo 37">
          <a:extLst>
            <a:ext uri="{FF2B5EF4-FFF2-40B4-BE49-F238E27FC236}">
              <a16:creationId xmlns="" xmlns:a16="http://schemas.microsoft.com/office/drawing/2014/main" id="{00000000-0008-0000-0B00-000026000000}"/>
            </a:ext>
          </a:extLst>
        </xdr:cNvPr>
        <xdr:cNvSpPr/>
      </xdr:nvSpPr>
      <xdr:spPr>
        <a:xfrm>
          <a:off x="11127440" y="56186294"/>
          <a:ext cx="952500" cy="280147"/>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xdr:twoCellAnchor>
    <xdr:from>
      <xdr:col>13</xdr:col>
      <xdr:colOff>11206</xdr:colOff>
      <xdr:row>299</xdr:row>
      <xdr:rowOff>33618</xdr:rowOff>
    </xdr:from>
    <xdr:to>
      <xdr:col>14</xdr:col>
      <xdr:colOff>33617</xdr:colOff>
      <xdr:row>300</xdr:row>
      <xdr:rowOff>0</xdr:rowOff>
    </xdr:to>
    <xdr:sp macro="[0]!Costos_Num_Med_riesgos_inf_Alt_4" textlink="">
      <xdr:nvSpPr>
        <xdr:cNvPr id="39" name="Rectángulo 38">
          <a:extLst>
            <a:ext uri="{FF2B5EF4-FFF2-40B4-BE49-F238E27FC236}">
              <a16:creationId xmlns="" xmlns:a16="http://schemas.microsoft.com/office/drawing/2014/main" id="{00000000-0008-0000-0B00-000027000000}"/>
            </a:ext>
          </a:extLst>
        </xdr:cNvPr>
        <xdr:cNvSpPr/>
      </xdr:nvSpPr>
      <xdr:spPr>
        <a:xfrm>
          <a:off x="11127441" y="66899118"/>
          <a:ext cx="952500" cy="280147"/>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xdr:twoCellAnchor>
    <xdr:from>
      <xdr:col>13</xdr:col>
      <xdr:colOff>11205</xdr:colOff>
      <xdr:row>344</xdr:row>
      <xdr:rowOff>33618</xdr:rowOff>
    </xdr:from>
    <xdr:to>
      <xdr:col>14</xdr:col>
      <xdr:colOff>33616</xdr:colOff>
      <xdr:row>345</xdr:row>
      <xdr:rowOff>0</xdr:rowOff>
    </xdr:to>
    <xdr:sp macro="[0]!Costos_Num_Med_riesgos_int_Alt_4" textlink="">
      <xdr:nvSpPr>
        <xdr:cNvPr id="40" name="Rectángulo 39">
          <a:extLst>
            <a:ext uri="{FF2B5EF4-FFF2-40B4-BE49-F238E27FC236}">
              <a16:creationId xmlns="" xmlns:a16="http://schemas.microsoft.com/office/drawing/2014/main" id="{00000000-0008-0000-0B00-000028000000}"/>
            </a:ext>
          </a:extLst>
        </xdr:cNvPr>
        <xdr:cNvSpPr/>
      </xdr:nvSpPr>
      <xdr:spPr>
        <a:xfrm>
          <a:off x="11127440" y="78598059"/>
          <a:ext cx="952500" cy="280147"/>
        </a:xfrm>
        <a:prstGeom prst="rect">
          <a:avLst/>
        </a:prstGeom>
        <a:solidFill>
          <a:schemeClr val="bg2"/>
        </a:solidFill>
        <a:ln>
          <a:noFill/>
        </a:ln>
        <a:scene3d>
          <a:camera prst="orthographicFront"/>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ysClr val="windowText" lastClr="000000"/>
              </a:solidFill>
              <a:latin typeface="Agency FB" panose="020B0503020202020204" pitchFamily="34" charset="0"/>
            </a:rPr>
            <a:t>Continuar</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54429</xdr:colOff>
      <xdr:row>9</xdr:row>
      <xdr:rowOff>21771</xdr:rowOff>
    </xdr:to>
    <xdr:grpSp>
      <xdr:nvGrpSpPr>
        <xdr:cNvPr id="28" name="Grupo 21">
          <a:extLst>
            <a:ext uri="{FF2B5EF4-FFF2-40B4-BE49-F238E27FC236}">
              <a16:creationId xmlns="" xmlns:a16="http://schemas.microsoft.com/office/drawing/2014/main" id="{00000000-0008-0000-0C00-00001C000000}"/>
            </a:ext>
          </a:extLst>
        </xdr:cNvPr>
        <xdr:cNvGrpSpPr/>
      </xdr:nvGrpSpPr>
      <xdr:grpSpPr>
        <a:xfrm>
          <a:off x="0" y="0"/>
          <a:ext cx="14853271" cy="1736271"/>
          <a:chOff x="9592236" y="1916205"/>
          <a:chExt cx="9551614" cy="1736913"/>
        </a:xfrm>
      </xdr:grpSpPr>
      <xdr:pic>
        <xdr:nvPicPr>
          <xdr:cNvPr id="29" name="Imagen 22">
            <a:extLst>
              <a:ext uri="{FF2B5EF4-FFF2-40B4-BE49-F238E27FC236}">
                <a16:creationId xmlns="" xmlns:a16="http://schemas.microsoft.com/office/drawing/2014/main" id="{00000000-0008-0000-0C00-00001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30" name="Imagen 23">
            <a:extLst>
              <a:ext uri="{FF2B5EF4-FFF2-40B4-BE49-F238E27FC236}">
                <a16:creationId xmlns="" xmlns:a16="http://schemas.microsoft.com/office/drawing/2014/main" id="{00000000-0008-0000-0C00-00001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31" name="Imagen 24">
            <a:extLst>
              <a:ext uri="{FF2B5EF4-FFF2-40B4-BE49-F238E27FC236}">
                <a16:creationId xmlns="" xmlns:a16="http://schemas.microsoft.com/office/drawing/2014/main" id="{00000000-0008-0000-0C00-00001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32" name="Imagen 25">
            <a:extLst>
              <a:ext uri="{FF2B5EF4-FFF2-40B4-BE49-F238E27FC236}">
                <a16:creationId xmlns="" xmlns:a16="http://schemas.microsoft.com/office/drawing/2014/main" id="{00000000-0008-0000-0C00-00002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49822"/>
            <a:ext cx="2368646" cy="1703296"/>
          </a:xfrm>
          <a:prstGeom prst="rect">
            <a:avLst/>
          </a:prstGeom>
        </xdr:spPr>
      </xdr:pic>
    </xdr:grpSp>
    <xdr:clientData/>
  </xdr:twoCellAnchor>
  <xdr:twoCellAnchor>
    <xdr:from>
      <xdr:col>0</xdr:col>
      <xdr:colOff>732880</xdr:colOff>
      <xdr:row>3</xdr:row>
      <xdr:rowOff>114483</xdr:rowOff>
    </xdr:from>
    <xdr:to>
      <xdr:col>1</xdr:col>
      <xdr:colOff>627300</xdr:colOff>
      <xdr:row>8</xdr:row>
      <xdr:rowOff>15183</xdr:rowOff>
    </xdr:to>
    <xdr:sp macro="" textlink="">
      <xdr:nvSpPr>
        <xdr:cNvPr id="3" name="Rectángulo 2">
          <a:hlinkClick xmlns:r="http://schemas.openxmlformats.org/officeDocument/2006/relationships" r:id="rId5"/>
          <a:extLst>
            <a:ext uri="{FF2B5EF4-FFF2-40B4-BE49-F238E27FC236}">
              <a16:creationId xmlns="" xmlns:a16="http://schemas.microsoft.com/office/drawing/2014/main" id="{00000000-0008-0000-0C00-000003000000}"/>
            </a:ext>
          </a:extLst>
        </xdr:cNvPr>
        <xdr:cNvSpPr/>
      </xdr:nvSpPr>
      <xdr:spPr>
        <a:xfrm>
          <a:off x="732880" y="685983"/>
          <a:ext cx="656420" cy="8532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664896</xdr:colOff>
      <xdr:row>6</xdr:row>
      <xdr:rowOff>3836</xdr:rowOff>
    </xdr:from>
    <xdr:to>
      <xdr:col>1</xdr:col>
      <xdr:colOff>2284896</xdr:colOff>
      <xdr:row>8</xdr:row>
      <xdr:rowOff>29636</xdr:rowOff>
    </xdr:to>
    <xdr:sp macro="" textlink="">
      <xdr:nvSpPr>
        <xdr:cNvPr id="4" name="Rectángulo 3">
          <a:hlinkClick xmlns:r="http://schemas.openxmlformats.org/officeDocument/2006/relationships" r:id="rId7"/>
          <a:extLst>
            <a:ext uri="{FF2B5EF4-FFF2-40B4-BE49-F238E27FC236}">
              <a16:creationId xmlns="" xmlns:a16="http://schemas.microsoft.com/office/drawing/2014/main" id="{00000000-0008-0000-0C00-000004000000}"/>
            </a:ext>
          </a:extLst>
        </xdr:cNvPr>
        <xdr:cNvSpPr/>
      </xdr:nvSpPr>
      <xdr:spPr>
        <a:xfrm>
          <a:off x="1426896" y="1146836"/>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xdr:col>
      <xdr:colOff>2309976</xdr:colOff>
      <xdr:row>6</xdr:row>
      <xdr:rowOff>7798</xdr:rowOff>
    </xdr:from>
    <xdr:to>
      <xdr:col>3</xdr:col>
      <xdr:colOff>429538</xdr:colOff>
      <xdr:row>8</xdr:row>
      <xdr:rowOff>33598</xdr:rowOff>
    </xdr:to>
    <xdr:sp macro="" textlink="">
      <xdr:nvSpPr>
        <xdr:cNvPr id="5" name="Rectángulo 4">
          <a:hlinkClick xmlns:r="http://schemas.openxmlformats.org/officeDocument/2006/relationships" r:id="rId8"/>
          <a:extLst>
            <a:ext uri="{FF2B5EF4-FFF2-40B4-BE49-F238E27FC236}">
              <a16:creationId xmlns="" xmlns:a16="http://schemas.microsoft.com/office/drawing/2014/main" id="{00000000-0008-0000-0C00-000005000000}"/>
            </a:ext>
          </a:extLst>
        </xdr:cNvPr>
        <xdr:cNvSpPr/>
      </xdr:nvSpPr>
      <xdr:spPr>
        <a:xfrm>
          <a:off x="3071976" y="1150798"/>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xdr:col>
      <xdr:colOff>2308735</xdr:colOff>
      <xdr:row>3</xdr:row>
      <xdr:rowOff>157083</xdr:rowOff>
    </xdr:from>
    <xdr:to>
      <xdr:col>3</xdr:col>
      <xdr:colOff>428297</xdr:colOff>
      <xdr:row>5</xdr:row>
      <xdr:rowOff>182883</xdr:rowOff>
    </xdr:to>
    <xdr:sp macro="" textlink="">
      <xdr:nvSpPr>
        <xdr:cNvPr id="6" name="Rectángulo 5">
          <a:hlinkClick xmlns:r="http://schemas.openxmlformats.org/officeDocument/2006/relationships" r:id="rId9"/>
          <a:extLst>
            <a:ext uri="{FF2B5EF4-FFF2-40B4-BE49-F238E27FC236}">
              <a16:creationId xmlns="" xmlns:a16="http://schemas.microsoft.com/office/drawing/2014/main" id="{00000000-0008-0000-0C00-000006000000}"/>
            </a:ext>
          </a:extLst>
        </xdr:cNvPr>
        <xdr:cNvSpPr/>
      </xdr:nvSpPr>
      <xdr:spPr>
        <a:xfrm>
          <a:off x="3070735" y="728583"/>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1018624</xdr:colOff>
      <xdr:row>3</xdr:row>
      <xdr:rowOff>176567</xdr:rowOff>
    </xdr:from>
    <xdr:to>
      <xdr:col>6</xdr:col>
      <xdr:colOff>543124</xdr:colOff>
      <xdr:row>6</xdr:row>
      <xdr:rowOff>11867</xdr:rowOff>
    </xdr:to>
    <xdr:sp macro="" textlink="">
      <xdr:nvSpPr>
        <xdr:cNvPr id="7" name="Rectángulo 6">
          <a:hlinkClick xmlns:r="http://schemas.openxmlformats.org/officeDocument/2006/relationships" r:id="rId10"/>
          <a:extLst>
            <a:ext uri="{FF2B5EF4-FFF2-40B4-BE49-F238E27FC236}">
              <a16:creationId xmlns="" xmlns:a16="http://schemas.microsoft.com/office/drawing/2014/main" id="{00000000-0008-0000-0C00-000007000000}"/>
            </a:ext>
          </a:extLst>
        </xdr:cNvPr>
        <xdr:cNvSpPr/>
      </xdr:nvSpPr>
      <xdr:spPr>
        <a:xfrm>
          <a:off x="6328812" y="748067"/>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456155</xdr:colOff>
      <xdr:row>3</xdr:row>
      <xdr:rowOff>162778</xdr:rowOff>
    </xdr:from>
    <xdr:to>
      <xdr:col>4</xdr:col>
      <xdr:colOff>1028405</xdr:colOff>
      <xdr:row>5</xdr:row>
      <xdr:rowOff>188578</xdr:rowOff>
    </xdr:to>
    <xdr:sp macro="" textlink="">
      <xdr:nvSpPr>
        <xdr:cNvPr id="8" name="Rectángulo 7">
          <a:hlinkClick xmlns:r="http://schemas.openxmlformats.org/officeDocument/2006/relationships" r:id="rId11"/>
          <a:extLst>
            <a:ext uri="{FF2B5EF4-FFF2-40B4-BE49-F238E27FC236}">
              <a16:creationId xmlns="" xmlns:a16="http://schemas.microsoft.com/office/drawing/2014/main" id="{00000000-0008-0000-0C00-000008000000}"/>
            </a:ext>
          </a:extLst>
        </xdr:cNvPr>
        <xdr:cNvSpPr/>
      </xdr:nvSpPr>
      <xdr:spPr>
        <a:xfrm>
          <a:off x="4718593" y="734278"/>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668426</xdr:colOff>
      <xdr:row>3</xdr:row>
      <xdr:rowOff>150358</xdr:rowOff>
    </xdr:from>
    <xdr:to>
      <xdr:col>1</xdr:col>
      <xdr:colOff>2288426</xdr:colOff>
      <xdr:row>5</xdr:row>
      <xdr:rowOff>176158</xdr:rowOff>
    </xdr:to>
    <xdr:sp macro="" textlink="">
      <xdr:nvSpPr>
        <xdr:cNvPr id="9" name="Rectángulo 8">
          <a:hlinkClick xmlns:r="http://schemas.openxmlformats.org/officeDocument/2006/relationships" r:id="rId12"/>
          <a:extLst>
            <a:ext uri="{FF2B5EF4-FFF2-40B4-BE49-F238E27FC236}">
              <a16:creationId xmlns="" xmlns:a16="http://schemas.microsoft.com/office/drawing/2014/main" id="{00000000-0008-0000-0C00-000009000000}"/>
            </a:ext>
          </a:extLst>
        </xdr:cNvPr>
        <xdr:cNvSpPr/>
      </xdr:nvSpPr>
      <xdr:spPr>
        <a:xfrm>
          <a:off x="1430426" y="721858"/>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447856</xdr:colOff>
      <xdr:row>6</xdr:row>
      <xdr:rowOff>9128</xdr:rowOff>
    </xdr:from>
    <xdr:to>
      <xdr:col>4</xdr:col>
      <xdr:colOff>1020106</xdr:colOff>
      <xdr:row>8</xdr:row>
      <xdr:rowOff>34928</xdr:rowOff>
    </xdr:to>
    <xdr:sp macro="" textlink="">
      <xdr:nvSpPr>
        <xdr:cNvPr id="10" name="Rectángulo 9">
          <a:hlinkClick xmlns:r="http://schemas.openxmlformats.org/officeDocument/2006/relationships" r:id="rId13"/>
          <a:extLst>
            <a:ext uri="{FF2B5EF4-FFF2-40B4-BE49-F238E27FC236}">
              <a16:creationId xmlns="" xmlns:a16="http://schemas.microsoft.com/office/drawing/2014/main" id="{00000000-0008-0000-0C00-00000A000000}"/>
            </a:ext>
          </a:extLst>
        </xdr:cNvPr>
        <xdr:cNvSpPr/>
      </xdr:nvSpPr>
      <xdr:spPr>
        <a:xfrm>
          <a:off x="4710294" y="1152128"/>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117332</xdr:colOff>
      <xdr:row>6</xdr:row>
      <xdr:rowOff>23958</xdr:rowOff>
    </xdr:from>
    <xdr:to>
      <xdr:col>9</xdr:col>
      <xdr:colOff>689582</xdr:colOff>
      <xdr:row>8</xdr:row>
      <xdr:rowOff>49758</xdr:rowOff>
    </xdr:to>
    <xdr:sp macro="" textlink="">
      <xdr:nvSpPr>
        <xdr:cNvPr id="11" name="Rectángulo 10">
          <a:hlinkClick xmlns:r="http://schemas.openxmlformats.org/officeDocument/2006/relationships" r:id="rId14"/>
          <a:extLst>
            <a:ext uri="{FF2B5EF4-FFF2-40B4-BE49-F238E27FC236}">
              <a16:creationId xmlns="" xmlns:a16="http://schemas.microsoft.com/office/drawing/2014/main" id="{00000000-0008-0000-0C00-00000B000000}"/>
            </a:ext>
          </a:extLst>
        </xdr:cNvPr>
        <xdr:cNvSpPr/>
      </xdr:nvSpPr>
      <xdr:spPr>
        <a:xfrm>
          <a:off x="9618520" y="1166958"/>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9</xdr:col>
      <xdr:colOff>705232</xdr:colOff>
      <xdr:row>3</xdr:row>
      <xdr:rowOff>159248</xdr:rowOff>
    </xdr:from>
    <xdr:to>
      <xdr:col>11</xdr:col>
      <xdr:colOff>229732</xdr:colOff>
      <xdr:row>5</xdr:row>
      <xdr:rowOff>185048</xdr:rowOff>
    </xdr:to>
    <xdr:sp macro="" textlink="">
      <xdr:nvSpPr>
        <xdr:cNvPr id="12" name="Rectángulo 11">
          <a:hlinkClick xmlns:r="http://schemas.openxmlformats.org/officeDocument/2006/relationships" r:id="rId15"/>
          <a:extLst>
            <a:ext uri="{FF2B5EF4-FFF2-40B4-BE49-F238E27FC236}">
              <a16:creationId xmlns="" xmlns:a16="http://schemas.microsoft.com/office/drawing/2014/main" id="{00000000-0008-0000-0C00-00000C000000}"/>
            </a:ext>
          </a:extLst>
        </xdr:cNvPr>
        <xdr:cNvSpPr/>
      </xdr:nvSpPr>
      <xdr:spPr>
        <a:xfrm>
          <a:off x="11254170" y="730748"/>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xdr:col>
      <xdr:colOff>23814</xdr:colOff>
      <xdr:row>0</xdr:row>
      <xdr:rowOff>123825</xdr:rowOff>
    </xdr:from>
    <xdr:to>
      <xdr:col>1</xdr:col>
      <xdr:colOff>1979240</xdr:colOff>
      <xdr:row>2</xdr:row>
      <xdr:rowOff>133350</xdr:rowOff>
    </xdr:to>
    <xdr:sp macro="" textlink="">
      <xdr:nvSpPr>
        <xdr:cNvPr id="13" name="CuadroTexto 12">
          <a:extLst>
            <a:ext uri="{FF2B5EF4-FFF2-40B4-BE49-F238E27FC236}">
              <a16:creationId xmlns="" xmlns:a16="http://schemas.microsoft.com/office/drawing/2014/main" id="{00000000-0008-0000-0C00-00000D000000}"/>
            </a:ext>
          </a:extLst>
        </xdr:cNvPr>
        <xdr:cNvSpPr txBox="1"/>
      </xdr:nvSpPr>
      <xdr:spPr>
        <a:xfrm>
          <a:off x="785814" y="123825"/>
          <a:ext cx="1955426" cy="390525"/>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EVALUACIÓN</a:t>
          </a:r>
          <a:r>
            <a:rPr lang="es-PE" sz="1400" b="1" baseline="0">
              <a:solidFill>
                <a:srgbClr val="00B0F0"/>
              </a:solidFill>
            </a:rPr>
            <a:t> SOCIAL</a:t>
          </a:r>
          <a:endParaRPr lang="es-PE" sz="1400" b="1">
            <a:solidFill>
              <a:srgbClr val="00B0F0"/>
            </a:solidFill>
          </a:endParaRPr>
        </a:p>
      </xdr:txBody>
    </xdr:sp>
    <xdr:clientData/>
  </xdr:twoCellAnchor>
  <xdr:twoCellAnchor>
    <xdr:from>
      <xdr:col>9</xdr:col>
      <xdr:colOff>359994</xdr:colOff>
      <xdr:row>0</xdr:row>
      <xdr:rowOff>135371</xdr:rowOff>
    </xdr:from>
    <xdr:to>
      <xdr:col>12</xdr:col>
      <xdr:colOff>213944</xdr:colOff>
      <xdr:row>2</xdr:row>
      <xdr:rowOff>138545</xdr:rowOff>
    </xdr:to>
    <xdr:sp macro="[0]!Mostrar_Ayuda_Evaluacion_Economica" textlink="">
      <xdr:nvSpPr>
        <xdr:cNvPr id="14" name="CuadroTexto 13">
          <a:extLst>
            <a:ext uri="{FF2B5EF4-FFF2-40B4-BE49-F238E27FC236}">
              <a16:creationId xmlns="" xmlns:a16="http://schemas.microsoft.com/office/drawing/2014/main" id="{00000000-0008-0000-0C00-00000E000000}"/>
            </a:ext>
          </a:extLst>
        </xdr:cNvPr>
        <xdr:cNvSpPr txBox="1"/>
      </xdr:nvSpPr>
      <xdr:spPr>
        <a:xfrm>
          <a:off x="10908932" y="135371"/>
          <a:ext cx="2997200" cy="384174"/>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INSTRUCTIVO</a:t>
          </a:r>
        </a:p>
      </xdr:txBody>
    </xdr:sp>
    <xdr:clientData/>
  </xdr:twoCellAnchor>
  <xdr:twoCellAnchor>
    <xdr:from>
      <xdr:col>4</xdr:col>
      <xdr:colOff>1028006</xdr:colOff>
      <xdr:row>6</xdr:row>
      <xdr:rowOff>32096</xdr:rowOff>
    </xdr:from>
    <xdr:to>
      <xdr:col>6</xdr:col>
      <xdr:colOff>552506</xdr:colOff>
      <xdr:row>8</xdr:row>
      <xdr:rowOff>57896</xdr:rowOff>
    </xdr:to>
    <xdr:sp macro="" textlink="">
      <xdr:nvSpPr>
        <xdr:cNvPr id="15" name="Rectángulo 14">
          <a:hlinkClick xmlns:r="http://schemas.openxmlformats.org/officeDocument/2006/relationships" r:id="rId16"/>
          <a:extLst>
            <a:ext uri="{FF2B5EF4-FFF2-40B4-BE49-F238E27FC236}">
              <a16:creationId xmlns="" xmlns:a16="http://schemas.microsoft.com/office/drawing/2014/main" id="{00000000-0008-0000-0C00-00000F000000}"/>
            </a:ext>
          </a:extLst>
        </xdr:cNvPr>
        <xdr:cNvSpPr/>
      </xdr:nvSpPr>
      <xdr:spPr>
        <a:xfrm>
          <a:off x="6338194" y="1175096"/>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572089</xdr:colOff>
      <xdr:row>3</xdr:row>
      <xdr:rowOff>180958</xdr:rowOff>
    </xdr:from>
    <xdr:to>
      <xdr:col>8</xdr:col>
      <xdr:colOff>96589</xdr:colOff>
      <xdr:row>6</xdr:row>
      <xdr:rowOff>16258</xdr:rowOff>
    </xdr:to>
    <xdr:sp macro="" textlink="">
      <xdr:nvSpPr>
        <xdr:cNvPr id="16" name="Rectángulo 15">
          <a:hlinkClick xmlns:r="http://schemas.openxmlformats.org/officeDocument/2006/relationships" r:id="rId17"/>
          <a:extLst>
            <a:ext uri="{FF2B5EF4-FFF2-40B4-BE49-F238E27FC236}">
              <a16:creationId xmlns="" xmlns:a16="http://schemas.microsoft.com/office/drawing/2014/main" id="{00000000-0008-0000-0C00-000010000000}"/>
            </a:ext>
          </a:extLst>
        </xdr:cNvPr>
        <xdr:cNvSpPr/>
      </xdr:nvSpPr>
      <xdr:spPr>
        <a:xfrm>
          <a:off x="7977777" y="752458"/>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8</xdr:col>
      <xdr:colOff>104493</xdr:colOff>
      <xdr:row>3</xdr:row>
      <xdr:rowOff>167500</xdr:rowOff>
    </xdr:from>
    <xdr:to>
      <xdr:col>9</xdr:col>
      <xdr:colOff>676743</xdr:colOff>
      <xdr:row>6</xdr:row>
      <xdr:rowOff>2800</xdr:rowOff>
    </xdr:to>
    <xdr:sp macro="" textlink="">
      <xdr:nvSpPr>
        <xdr:cNvPr id="17" name="Rectángulo 16">
          <a:hlinkClick xmlns:r="http://schemas.openxmlformats.org/officeDocument/2006/relationships" r:id="rId18"/>
          <a:extLst>
            <a:ext uri="{FF2B5EF4-FFF2-40B4-BE49-F238E27FC236}">
              <a16:creationId xmlns="" xmlns:a16="http://schemas.microsoft.com/office/drawing/2014/main" id="{00000000-0008-0000-0C00-000011000000}"/>
            </a:ext>
          </a:extLst>
        </xdr:cNvPr>
        <xdr:cNvSpPr/>
      </xdr:nvSpPr>
      <xdr:spPr>
        <a:xfrm>
          <a:off x="9605681" y="739000"/>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566818</xdr:colOff>
      <xdr:row>6</xdr:row>
      <xdr:rowOff>30020</xdr:rowOff>
    </xdr:from>
    <xdr:to>
      <xdr:col>8</xdr:col>
      <xdr:colOff>91318</xdr:colOff>
      <xdr:row>8</xdr:row>
      <xdr:rowOff>55820</xdr:rowOff>
    </xdr:to>
    <xdr:sp macro="" textlink="">
      <xdr:nvSpPr>
        <xdr:cNvPr id="18" name="Rectángulo 17">
          <a:hlinkClick xmlns:r="http://schemas.openxmlformats.org/officeDocument/2006/relationships" r:id="rId19"/>
          <a:extLst>
            <a:ext uri="{FF2B5EF4-FFF2-40B4-BE49-F238E27FC236}">
              <a16:creationId xmlns="" xmlns:a16="http://schemas.microsoft.com/office/drawing/2014/main" id="{00000000-0008-0000-0C00-000012000000}"/>
            </a:ext>
          </a:extLst>
        </xdr:cNvPr>
        <xdr:cNvSpPr/>
      </xdr:nvSpPr>
      <xdr:spPr>
        <a:xfrm>
          <a:off x="7972506" y="1173020"/>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9</xdr:col>
      <xdr:colOff>704247</xdr:colOff>
      <xdr:row>6</xdr:row>
      <xdr:rowOff>26370</xdr:rowOff>
    </xdr:from>
    <xdr:to>
      <xdr:col>11</xdr:col>
      <xdr:colOff>228747</xdr:colOff>
      <xdr:row>8</xdr:row>
      <xdr:rowOff>52170</xdr:rowOff>
    </xdr:to>
    <xdr:sp macro="" textlink="">
      <xdr:nvSpPr>
        <xdr:cNvPr id="19" name="Rectángulo 18">
          <a:hlinkClick xmlns:r="http://schemas.openxmlformats.org/officeDocument/2006/relationships" r:id="rId20"/>
          <a:extLst>
            <a:ext uri="{FF2B5EF4-FFF2-40B4-BE49-F238E27FC236}">
              <a16:creationId xmlns="" xmlns:a16="http://schemas.microsoft.com/office/drawing/2014/main" id="{00000000-0008-0000-0C00-000013000000}"/>
            </a:ext>
          </a:extLst>
        </xdr:cNvPr>
        <xdr:cNvSpPr/>
      </xdr:nvSpPr>
      <xdr:spPr>
        <a:xfrm>
          <a:off x="11253185" y="1169370"/>
          <a:ext cx="1620000" cy="4068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Conclusiones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258061</xdr:colOff>
      <xdr:row>3</xdr:row>
      <xdr:rowOff>149088</xdr:rowOff>
    </xdr:from>
    <xdr:to>
      <xdr:col>12</xdr:col>
      <xdr:colOff>227403</xdr:colOff>
      <xdr:row>8</xdr:row>
      <xdr:rowOff>49697</xdr:rowOff>
    </xdr:to>
    <xdr:sp macro="" textlink="">
      <xdr:nvSpPr>
        <xdr:cNvPr id="20" name="Rectángulo 19">
          <a:hlinkClick xmlns:r="http://schemas.openxmlformats.org/officeDocument/2006/relationships" r:id="rId21"/>
          <a:extLst>
            <a:ext uri="{FF2B5EF4-FFF2-40B4-BE49-F238E27FC236}">
              <a16:creationId xmlns="" xmlns:a16="http://schemas.microsoft.com/office/drawing/2014/main" id="{00000000-0008-0000-0C00-000014000000}"/>
            </a:ext>
          </a:extLst>
        </xdr:cNvPr>
        <xdr:cNvSpPr/>
      </xdr:nvSpPr>
      <xdr:spPr>
        <a:xfrm>
          <a:off x="12902499" y="720588"/>
          <a:ext cx="1017092" cy="85310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10</xdr:col>
          <xdr:colOff>104775</xdr:colOff>
          <xdr:row>339</xdr:row>
          <xdr:rowOff>9525</xdr:rowOff>
        </xdr:from>
        <xdr:to>
          <xdr:col>12</xdr:col>
          <xdr:colOff>962025</xdr:colOff>
          <xdr:row>340</xdr:row>
          <xdr:rowOff>228600</xdr:rowOff>
        </xdr:to>
        <xdr:sp macro="" textlink="">
          <xdr:nvSpPr>
            <xdr:cNvPr id="48137" name="Button 9" hidden="1">
              <a:extLst>
                <a:ext uri="{63B3BB69-23CF-44E3-9099-C40C66FF867C}">
                  <a14:compatExt spid="_x0000_s48137"/>
                </a:ext>
                <a:ext uri="{FF2B5EF4-FFF2-40B4-BE49-F238E27FC236}">
                  <a16:creationId xmlns="" xmlns:a16="http://schemas.microsoft.com/office/drawing/2014/main" id="{00000000-0008-0000-0C00-000009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80"/>
                  </a:solidFill>
                  <a:latin typeface="Arial"/>
                  <a:cs typeface="Arial"/>
                </a:rPr>
                <a:t>Análisis de Sensibilidad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876300</xdr:colOff>
          <xdr:row>19</xdr:row>
          <xdr:rowOff>0</xdr:rowOff>
        </xdr:from>
        <xdr:to>
          <xdr:col>10</xdr:col>
          <xdr:colOff>914400</xdr:colOff>
          <xdr:row>20</xdr:row>
          <xdr:rowOff>66675</xdr:rowOff>
        </xdr:to>
        <xdr:sp macro="" textlink="">
          <xdr:nvSpPr>
            <xdr:cNvPr id="48138" name="Determinar_Beneficios" hidden="1">
              <a:extLst>
                <a:ext uri="{63B3BB69-23CF-44E3-9099-C40C66FF867C}">
                  <a14:compatExt spid="_x0000_s48138"/>
                </a:ext>
                <a:ext uri="{FF2B5EF4-FFF2-40B4-BE49-F238E27FC236}">
                  <a16:creationId xmlns="" xmlns:a16="http://schemas.microsoft.com/office/drawing/2014/main" id="{00000000-0008-0000-0C00-00000A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1038225</xdr:colOff>
          <xdr:row>19</xdr:row>
          <xdr:rowOff>0</xdr:rowOff>
        </xdr:from>
        <xdr:to>
          <xdr:col>13</xdr:col>
          <xdr:colOff>19050</xdr:colOff>
          <xdr:row>20</xdr:row>
          <xdr:rowOff>66675</xdr:rowOff>
        </xdr:to>
        <xdr:sp macro="" textlink="">
          <xdr:nvSpPr>
            <xdr:cNvPr id="48139" name="Ir_Anexo_Evaluacion" hidden="1">
              <a:extLst>
                <a:ext uri="{63B3BB69-23CF-44E3-9099-C40C66FF867C}">
                  <a14:compatExt spid="_x0000_s48139"/>
                </a:ext>
                <a:ext uri="{FF2B5EF4-FFF2-40B4-BE49-F238E27FC236}">
                  <a16:creationId xmlns="" xmlns:a16="http://schemas.microsoft.com/office/drawing/2014/main" id="{00000000-0008-0000-0C00-00000B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1</xdr:colOff>
      <xdr:row>0</xdr:row>
      <xdr:rowOff>8984</xdr:rowOff>
    </xdr:from>
    <xdr:to>
      <xdr:col>15</xdr:col>
      <xdr:colOff>0</xdr:colOff>
      <xdr:row>9</xdr:row>
      <xdr:rowOff>12854</xdr:rowOff>
    </xdr:to>
    <xdr:grpSp>
      <xdr:nvGrpSpPr>
        <xdr:cNvPr id="21" name="Grupo 21">
          <a:extLst>
            <a:ext uri="{FF2B5EF4-FFF2-40B4-BE49-F238E27FC236}">
              <a16:creationId xmlns="" xmlns:a16="http://schemas.microsoft.com/office/drawing/2014/main" id="{00000000-0008-0000-0D00-000015000000}"/>
            </a:ext>
          </a:extLst>
        </xdr:cNvPr>
        <xdr:cNvGrpSpPr/>
      </xdr:nvGrpSpPr>
      <xdr:grpSpPr>
        <a:xfrm>
          <a:off x="1" y="8984"/>
          <a:ext cx="8895990" cy="1702195"/>
          <a:chOff x="9592236" y="1916205"/>
          <a:chExt cx="9551614" cy="1724448"/>
        </a:xfrm>
      </xdr:grpSpPr>
      <xdr:pic>
        <xdr:nvPicPr>
          <xdr:cNvPr id="22" name="Imagen 22">
            <a:extLst>
              <a:ext uri="{FF2B5EF4-FFF2-40B4-BE49-F238E27FC236}">
                <a16:creationId xmlns="" xmlns:a16="http://schemas.microsoft.com/office/drawing/2014/main" id="{00000000-0008-0000-0D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23" name="Imagen 23">
            <a:extLst>
              <a:ext uri="{FF2B5EF4-FFF2-40B4-BE49-F238E27FC236}">
                <a16:creationId xmlns="" xmlns:a16="http://schemas.microsoft.com/office/drawing/2014/main" id="{00000000-0008-0000-0D00-00001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24" name="Imagen 24">
            <a:extLst>
              <a:ext uri="{FF2B5EF4-FFF2-40B4-BE49-F238E27FC236}">
                <a16:creationId xmlns="" xmlns:a16="http://schemas.microsoft.com/office/drawing/2014/main" id="{00000000-0008-0000-0D00-00001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25" name="Imagen 25">
            <a:extLst>
              <a:ext uri="{FF2B5EF4-FFF2-40B4-BE49-F238E27FC236}">
                <a16:creationId xmlns="" xmlns:a16="http://schemas.microsoft.com/office/drawing/2014/main" id="{00000000-0008-0000-0D00-00001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22511"/>
            <a:ext cx="2368646" cy="1703296"/>
          </a:xfrm>
          <a:prstGeom prst="rect">
            <a:avLst/>
          </a:prstGeom>
        </xdr:spPr>
      </xdr:pic>
    </xdr:grpSp>
    <xdr:clientData/>
  </xdr:twoCellAnchor>
  <xdr:twoCellAnchor>
    <xdr:from>
      <xdr:col>0</xdr:col>
      <xdr:colOff>292345</xdr:colOff>
      <xdr:row>3</xdr:row>
      <xdr:rowOff>102577</xdr:rowOff>
    </xdr:from>
    <xdr:to>
      <xdr:col>1</xdr:col>
      <xdr:colOff>371928</xdr:colOff>
      <xdr:row>8</xdr:row>
      <xdr:rowOff>29308</xdr:rowOff>
    </xdr:to>
    <xdr:sp macro="" textlink="">
      <xdr:nvSpPr>
        <xdr:cNvPr id="2" name="Rectángulo 1">
          <a:hlinkClick xmlns:r="http://schemas.openxmlformats.org/officeDocument/2006/relationships" r:id="rId5"/>
          <a:extLst>
            <a:ext uri="{FF2B5EF4-FFF2-40B4-BE49-F238E27FC236}">
              <a16:creationId xmlns="" xmlns:a16="http://schemas.microsoft.com/office/drawing/2014/main" id="{00000000-0008-0000-0D00-000002000000}"/>
            </a:ext>
          </a:extLst>
        </xdr:cNvPr>
        <xdr:cNvSpPr/>
      </xdr:nvSpPr>
      <xdr:spPr>
        <a:xfrm>
          <a:off x="292345" y="646863"/>
          <a:ext cx="705512" cy="83387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409523</xdr:colOff>
      <xdr:row>6</xdr:row>
      <xdr:rowOff>1702</xdr:rowOff>
    </xdr:from>
    <xdr:to>
      <xdr:col>3</xdr:col>
      <xdr:colOff>353786</xdr:colOff>
      <xdr:row>8</xdr:row>
      <xdr:rowOff>22873</xdr:rowOff>
    </xdr:to>
    <xdr:sp macro="" textlink="">
      <xdr:nvSpPr>
        <xdr:cNvPr id="3" name="Rectángulo 2">
          <a:hlinkClick xmlns:r="http://schemas.openxmlformats.org/officeDocument/2006/relationships" r:id="rId7"/>
          <a:extLst>
            <a:ext uri="{FF2B5EF4-FFF2-40B4-BE49-F238E27FC236}">
              <a16:creationId xmlns="" xmlns:a16="http://schemas.microsoft.com/office/drawing/2014/main" id="{00000000-0008-0000-0D00-000003000000}"/>
            </a:ext>
          </a:extLst>
        </xdr:cNvPr>
        <xdr:cNvSpPr/>
      </xdr:nvSpPr>
      <xdr:spPr>
        <a:xfrm>
          <a:off x="1035452" y="1090273"/>
          <a:ext cx="1196120" cy="38402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382240</xdr:colOff>
      <xdr:row>5</xdr:row>
      <xdr:rowOff>183464</xdr:rowOff>
    </xdr:from>
    <xdr:to>
      <xdr:col>5</xdr:col>
      <xdr:colOff>147112</xdr:colOff>
      <xdr:row>8</xdr:row>
      <xdr:rowOff>15091</xdr:rowOff>
    </xdr:to>
    <xdr:sp macro="" textlink="">
      <xdr:nvSpPr>
        <xdr:cNvPr id="4" name="Rectángulo 3">
          <a:hlinkClick xmlns:r="http://schemas.openxmlformats.org/officeDocument/2006/relationships" r:id="rId8"/>
          <a:extLst>
            <a:ext uri="{FF2B5EF4-FFF2-40B4-BE49-F238E27FC236}">
              <a16:creationId xmlns="" xmlns:a16="http://schemas.microsoft.com/office/drawing/2014/main" id="{00000000-0008-0000-0D00-000004000000}"/>
            </a:ext>
          </a:extLst>
        </xdr:cNvPr>
        <xdr:cNvSpPr/>
      </xdr:nvSpPr>
      <xdr:spPr>
        <a:xfrm>
          <a:off x="2249140" y="1104214"/>
          <a:ext cx="1009472" cy="38407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380997</xdr:colOff>
      <xdr:row>3</xdr:row>
      <xdr:rowOff>119451</xdr:rowOff>
    </xdr:from>
    <xdr:to>
      <xdr:col>5</xdr:col>
      <xdr:colOff>146526</xdr:colOff>
      <xdr:row>5</xdr:row>
      <xdr:rowOff>143344</xdr:rowOff>
    </xdr:to>
    <xdr:sp macro="" textlink="">
      <xdr:nvSpPr>
        <xdr:cNvPr id="5" name="Rectángulo 4">
          <a:hlinkClick xmlns:r="http://schemas.openxmlformats.org/officeDocument/2006/relationships" r:id="rId9"/>
          <a:extLst>
            <a:ext uri="{FF2B5EF4-FFF2-40B4-BE49-F238E27FC236}">
              <a16:creationId xmlns="" xmlns:a16="http://schemas.microsoft.com/office/drawing/2014/main" id="{00000000-0008-0000-0D00-000005000000}"/>
            </a:ext>
          </a:extLst>
        </xdr:cNvPr>
        <xdr:cNvSpPr/>
      </xdr:nvSpPr>
      <xdr:spPr>
        <a:xfrm>
          <a:off x="2247897" y="671901"/>
          <a:ext cx="1010129"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b="0" i="1" kern="1200">
              <a:solidFill>
                <a:srgbClr val="000000"/>
              </a:solidFill>
              <a:effectLst/>
              <a:latin typeface="Agency FB" panose="020B0503020202020204" pitchFamily="34" charset="0"/>
              <a:ea typeface="Times New Roman" panose="02020603050405020304" pitchFamily="18" charset="0"/>
            </a:rPr>
            <a:t> </a:t>
          </a:r>
          <a:r>
            <a:rPr lang="es-MX" sz="1100" b="0" i="0" kern="1200">
              <a:solidFill>
                <a:srgbClr val="000000"/>
              </a:solidFill>
              <a:effectLst/>
              <a:latin typeface="Agency FB" panose="020B0503020202020204" pitchFamily="34" charset="0"/>
              <a:ea typeface="Times New Roman" panose="02020603050405020304" pitchFamily="18" charset="0"/>
            </a:rPr>
            <a:t>Unidad Productora</a:t>
          </a:r>
          <a:endParaRPr lang="es-PE" sz="1100" b="0" i="0">
            <a:effectLst/>
            <a:latin typeface="Agency FB" panose="020B0503020202020204" pitchFamily="34" charset="0"/>
            <a:ea typeface="Times New Roman" panose="02020603050405020304" pitchFamily="18" charset="0"/>
          </a:endParaRPr>
        </a:p>
      </xdr:txBody>
    </xdr:sp>
    <xdr:clientData/>
  </xdr:twoCellAnchor>
  <xdr:twoCellAnchor>
    <xdr:from>
      <xdr:col>7</xdr:col>
      <xdr:colOff>1656</xdr:colOff>
      <xdr:row>3</xdr:row>
      <xdr:rowOff>123421</xdr:rowOff>
    </xdr:from>
    <xdr:to>
      <xdr:col>8</xdr:col>
      <xdr:colOff>337108</xdr:colOff>
      <xdr:row>5</xdr:row>
      <xdr:rowOff>143565</xdr:rowOff>
    </xdr:to>
    <xdr:sp macro="" textlink="">
      <xdr:nvSpPr>
        <xdr:cNvPr id="6" name="Rectángulo 5">
          <a:hlinkClick xmlns:r="http://schemas.openxmlformats.org/officeDocument/2006/relationships" r:id="rId10"/>
          <a:extLst>
            <a:ext uri="{FF2B5EF4-FFF2-40B4-BE49-F238E27FC236}">
              <a16:creationId xmlns="" xmlns:a16="http://schemas.microsoft.com/office/drawing/2014/main" id="{00000000-0008-0000-0D00-000006000000}"/>
            </a:ext>
          </a:extLst>
        </xdr:cNvPr>
        <xdr:cNvSpPr/>
      </xdr:nvSpPr>
      <xdr:spPr>
        <a:xfrm>
          <a:off x="4369352" y="670073"/>
          <a:ext cx="959408" cy="38457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166957</xdr:colOff>
      <xdr:row>3</xdr:row>
      <xdr:rowOff>119589</xdr:rowOff>
    </xdr:from>
    <xdr:to>
      <xdr:col>6</xdr:col>
      <xdr:colOff>594043</xdr:colOff>
      <xdr:row>5</xdr:row>
      <xdr:rowOff>145681</xdr:rowOff>
    </xdr:to>
    <xdr:sp macro="" textlink="">
      <xdr:nvSpPr>
        <xdr:cNvPr id="7" name="Rectángulo 6">
          <a:hlinkClick xmlns:r="http://schemas.openxmlformats.org/officeDocument/2006/relationships" r:id="rId11"/>
          <a:extLst>
            <a:ext uri="{FF2B5EF4-FFF2-40B4-BE49-F238E27FC236}">
              <a16:creationId xmlns="" xmlns:a16="http://schemas.microsoft.com/office/drawing/2014/main" id="{00000000-0008-0000-0D00-000007000000}"/>
            </a:ext>
          </a:extLst>
        </xdr:cNvPr>
        <xdr:cNvSpPr/>
      </xdr:nvSpPr>
      <xdr:spPr>
        <a:xfrm>
          <a:off x="3278457" y="672039"/>
          <a:ext cx="1049386"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413060</xdr:colOff>
      <xdr:row>3</xdr:row>
      <xdr:rowOff>119076</xdr:rowOff>
    </xdr:from>
    <xdr:to>
      <xdr:col>3</xdr:col>
      <xdr:colOff>355283</xdr:colOff>
      <xdr:row>5</xdr:row>
      <xdr:rowOff>142970</xdr:rowOff>
    </xdr:to>
    <xdr:sp macro="" textlink="">
      <xdr:nvSpPr>
        <xdr:cNvPr id="8" name="Rectángulo 7">
          <a:hlinkClick xmlns:r="http://schemas.openxmlformats.org/officeDocument/2006/relationships" r:id="rId12"/>
          <a:extLst>
            <a:ext uri="{FF2B5EF4-FFF2-40B4-BE49-F238E27FC236}">
              <a16:creationId xmlns="" xmlns:a16="http://schemas.microsoft.com/office/drawing/2014/main" id="{00000000-0008-0000-0D00-000008000000}"/>
            </a:ext>
          </a:extLst>
        </xdr:cNvPr>
        <xdr:cNvSpPr/>
      </xdr:nvSpPr>
      <xdr:spPr>
        <a:xfrm>
          <a:off x="1038989" y="663362"/>
          <a:ext cx="1194080" cy="38675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182469</xdr:colOff>
      <xdr:row>6</xdr:row>
      <xdr:rowOff>1657</xdr:rowOff>
    </xdr:from>
    <xdr:to>
      <xdr:col>6</xdr:col>
      <xdr:colOff>601359</xdr:colOff>
      <xdr:row>8</xdr:row>
      <xdr:rowOff>27749</xdr:rowOff>
    </xdr:to>
    <xdr:sp macro="" textlink="">
      <xdr:nvSpPr>
        <xdr:cNvPr id="9" name="Rectángulo 8">
          <a:hlinkClick xmlns:r="http://schemas.openxmlformats.org/officeDocument/2006/relationships" r:id="rId13"/>
          <a:extLst>
            <a:ext uri="{FF2B5EF4-FFF2-40B4-BE49-F238E27FC236}">
              <a16:creationId xmlns="" xmlns:a16="http://schemas.microsoft.com/office/drawing/2014/main" id="{00000000-0008-0000-0D00-000009000000}"/>
            </a:ext>
          </a:extLst>
        </xdr:cNvPr>
        <xdr:cNvSpPr/>
      </xdr:nvSpPr>
      <xdr:spPr>
        <a:xfrm>
          <a:off x="3293969" y="1106557"/>
          <a:ext cx="1041190"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98923</xdr:colOff>
      <xdr:row>6</xdr:row>
      <xdr:rowOff>2095</xdr:rowOff>
    </xdr:from>
    <xdr:to>
      <xdr:col>11</xdr:col>
      <xdr:colOff>470657</xdr:colOff>
      <xdr:row>8</xdr:row>
      <xdr:rowOff>35892</xdr:rowOff>
    </xdr:to>
    <xdr:sp macro="" textlink="">
      <xdr:nvSpPr>
        <xdr:cNvPr id="10" name="Rectángulo 9">
          <a:hlinkClick xmlns:r="http://schemas.openxmlformats.org/officeDocument/2006/relationships" r:id="rId14"/>
          <a:extLst>
            <a:ext uri="{FF2B5EF4-FFF2-40B4-BE49-F238E27FC236}">
              <a16:creationId xmlns="" xmlns:a16="http://schemas.microsoft.com/office/drawing/2014/main" id="{00000000-0008-0000-0D00-00000A000000}"/>
            </a:ext>
          </a:extLst>
        </xdr:cNvPr>
        <xdr:cNvSpPr/>
      </xdr:nvSpPr>
      <xdr:spPr>
        <a:xfrm>
          <a:off x="6029583" y="1134312"/>
          <a:ext cx="964800" cy="41120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11</xdr:col>
      <xdr:colOff>493831</xdr:colOff>
      <xdr:row>3</xdr:row>
      <xdr:rowOff>137386</xdr:rowOff>
    </xdr:from>
    <xdr:to>
      <xdr:col>13</xdr:col>
      <xdr:colOff>222099</xdr:colOff>
      <xdr:row>5</xdr:row>
      <xdr:rowOff>151849</xdr:rowOff>
    </xdr:to>
    <xdr:sp macro="" textlink="">
      <xdr:nvSpPr>
        <xdr:cNvPr id="11" name="Rectángulo 10">
          <a:hlinkClick xmlns:r="http://schemas.openxmlformats.org/officeDocument/2006/relationships" r:id="rId15"/>
          <a:extLst>
            <a:ext uri="{FF2B5EF4-FFF2-40B4-BE49-F238E27FC236}">
              <a16:creationId xmlns="" xmlns:a16="http://schemas.microsoft.com/office/drawing/2014/main" id="{00000000-0008-0000-0D00-00000B000000}"/>
            </a:ext>
          </a:extLst>
        </xdr:cNvPr>
        <xdr:cNvSpPr/>
      </xdr:nvSpPr>
      <xdr:spPr>
        <a:xfrm>
          <a:off x="7017557" y="703494"/>
          <a:ext cx="914400" cy="39186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285751</xdr:colOff>
      <xdr:row>0</xdr:row>
      <xdr:rowOff>123825</xdr:rowOff>
    </xdr:from>
    <xdr:to>
      <xdr:col>2</xdr:col>
      <xdr:colOff>515470</xdr:colOff>
      <xdr:row>2</xdr:row>
      <xdr:rowOff>133350</xdr:rowOff>
    </xdr:to>
    <xdr:sp macro="" textlink="">
      <xdr:nvSpPr>
        <xdr:cNvPr id="12" name="CuadroTexto 11">
          <a:extLst>
            <a:ext uri="{FF2B5EF4-FFF2-40B4-BE49-F238E27FC236}">
              <a16:creationId xmlns="" xmlns:a16="http://schemas.microsoft.com/office/drawing/2014/main" id="{00000000-0008-0000-0D00-00000C000000}"/>
            </a:ext>
          </a:extLst>
        </xdr:cNvPr>
        <xdr:cNvSpPr txBox="1"/>
      </xdr:nvSpPr>
      <xdr:spPr>
        <a:xfrm>
          <a:off x="285751" y="123825"/>
          <a:ext cx="1469837" cy="38305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B7A897"/>
              </a:solidFill>
            </a:rPr>
            <a:t>MARCO LÓGICO</a:t>
          </a:r>
        </a:p>
      </xdr:txBody>
    </xdr:sp>
    <xdr:clientData/>
  </xdr:twoCellAnchor>
  <xdr:twoCellAnchor>
    <xdr:from>
      <xdr:col>12</xdr:col>
      <xdr:colOff>138579</xdr:colOff>
      <xdr:row>0</xdr:row>
      <xdr:rowOff>86473</xdr:rowOff>
    </xdr:from>
    <xdr:to>
      <xdr:col>14</xdr:col>
      <xdr:colOff>291352</xdr:colOff>
      <xdr:row>2</xdr:row>
      <xdr:rowOff>95997</xdr:rowOff>
    </xdr:to>
    <xdr:sp macro="[0]!Mostrar_Ayuda_Marco_Logico" textlink="">
      <xdr:nvSpPr>
        <xdr:cNvPr id="13" name="CuadroTexto 12">
          <a:extLst>
            <a:ext uri="{FF2B5EF4-FFF2-40B4-BE49-F238E27FC236}">
              <a16:creationId xmlns="" xmlns:a16="http://schemas.microsoft.com/office/drawing/2014/main" id="{00000000-0008-0000-0D00-00000D000000}"/>
            </a:ext>
          </a:extLst>
        </xdr:cNvPr>
        <xdr:cNvSpPr txBox="1"/>
      </xdr:nvSpPr>
      <xdr:spPr>
        <a:xfrm>
          <a:off x="7579285" y="86473"/>
          <a:ext cx="1392891" cy="383053"/>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B7A897"/>
              </a:solidFill>
            </a:rPr>
            <a:t>INSTRUCTIVO</a:t>
          </a:r>
        </a:p>
      </xdr:txBody>
    </xdr:sp>
    <xdr:clientData/>
  </xdr:twoCellAnchor>
  <xdr:twoCellAnchor>
    <xdr:from>
      <xdr:col>7</xdr:col>
      <xdr:colOff>11039</xdr:colOff>
      <xdr:row>6</xdr:row>
      <xdr:rowOff>2762</xdr:rowOff>
    </xdr:from>
    <xdr:to>
      <xdr:col>8</xdr:col>
      <xdr:colOff>346491</xdr:colOff>
      <xdr:row>8</xdr:row>
      <xdr:rowOff>28854</xdr:rowOff>
    </xdr:to>
    <xdr:sp macro="" textlink="">
      <xdr:nvSpPr>
        <xdr:cNvPr id="14" name="Rectángulo 13">
          <a:hlinkClick xmlns:r="http://schemas.openxmlformats.org/officeDocument/2006/relationships" r:id="rId16"/>
          <a:extLst>
            <a:ext uri="{FF2B5EF4-FFF2-40B4-BE49-F238E27FC236}">
              <a16:creationId xmlns="" xmlns:a16="http://schemas.microsoft.com/office/drawing/2014/main" id="{00000000-0008-0000-0D00-00000E000000}"/>
            </a:ext>
          </a:extLst>
        </xdr:cNvPr>
        <xdr:cNvSpPr/>
      </xdr:nvSpPr>
      <xdr:spPr>
        <a:xfrm>
          <a:off x="4378735" y="1096066"/>
          <a:ext cx="959408" cy="39052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358912</xdr:colOff>
      <xdr:row>3</xdr:row>
      <xdr:rowOff>135283</xdr:rowOff>
    </xdr:from>
    <xdr:to>
      <xdr:col>10</xdr:col>
      <xdr:colOff>70408</xdr:colOff>
      <xdr:row>5</xdr:row>
      <xdr:rowOff>144233</xdr:rowOff>
    </xdr:to>
    <xdr:sp macro="" textlink="">
      <xdr:nvSpPr>
        <xdr:cNvPr id="15" name="Rectángulo 14">
          <a:hlinkClick xmlns:r="http://schemas.openxmlformats.org/officeDocument/2006/relationships" r:id="rId17"/>
          <a:extLst>
            <a:ext uri="{FF2B5EF4-FFF2-40B4-BE49-F238E27FC236}">
              <a16:creationId xmlns="" xmlns:a16="http://schemas.microsoft.com/office/drawing/2014/main" id="{00000000-0008-0000-0D00-00000F000000}"/>
            </a:ext>
          </a:extLst>
        </xdr:cNvPr>
        <xdr:cNvSpPr/>
      </xdr:nvSpPr>
      <xdr:spPr>
        <a:xfrm>
          <a:off x="5103440" y="701391"/>
          <a:ext cx="897628" cy="386356"/>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10</xdr:col>
      <xdr:colOff>104914</xdr:colOff>
      <xdr:row>3</xdr:row>
      <xdr:rowOff>128561</xdr:rowOff>
    </xdr:from>
    <xdr:to>
      <xdr:col>11</xdr:col>
      <xdr:colOff>475371</xdr:colOff>
      <xdr:row>5</xdr:row>
      <xdr:rowOff>161691</xdr:rowOff>
    </xdr:to>
    <xdr:sp macro="" textlink="">
      <xdr:nvSpPr>
        <xdr:cNvPr id="16" name="Rectángulo 15">
          <a:hlinkClick xmlns:r="http://schemas.openxmlformats.org/officeDocument/2006/relationships" r:id="rId18"/>
          <a:extLst>
            <a:ext uri="{FF2B5EF4-FFF2-40B4-BE49-F238E27FC236}">
              <a16:creationId xmlns="" xmlns:a16="http://schemas.microsoft.com/office/drawing/2014/main" id="{00000000-0008-0000-0D00-000010000000}"/>
            </a:ext>
          </a:extLst>
        </xdr:cNvPr>
        <xdr:cNvSpPr/>
      </xdr:nvSpPr>
      <xdr:spPr>
        <a:xfrm>
          <a:off x="6035574" y="694669"/>
          <a:ext cx="963523" cy="410536"/>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353888</xdr:colOff>
      <xdr:row>6</xdr:row>
      <xdr:rowOff>12241</xdr:rowOff>
    </xdr:from>
    <xdr:to>
      <xdr:col>10</xdr:col>
      <xdr:colOff>82886</xdr:colOff>
      <xdr:row>8</xdr:row>
      <xdr:rowOff>26704</xdr:rowOff>
    </xdr:to>
    <xdr:sp macro="" textlink="">
      <xdr:nvSpPr>
        <xdr:cNvPr id="17" name="Rectángulo 16">
          <a:hlinkClick xmlns:r="http://schemas.openxmlformats.org/officeDocument/2006/relationships" r:id="rId19"/>
          <a:extLst>
            <a:ext uri="{FF2B5EF4-FFF2-40B4-BE49-F238E27FC236}">
              <a16:creationId xmlns="" xmlns:a16="http://schemas.microsoft.com/office/drawing/2014/main" id="{00000000-0008-0000-0D00-000011000000}"/>
            </a:ext>
          </a:extLst>
        </xdr:cNvPr>
        <xdr:cNvSpPr/>
      </xdr:nvSpPr>
      <xdr:spPr>
        <a:xfrm>
          <a:off x="5098416" y="1144458"/>
          <a:ext cx="915130" cy="39186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495137</xdr:colOff>
      <xdr:row>6</xdr:row>
      <xdr:rowOff>3420</xdr:rowOff>
    </xdr:from>
    <xdr:to>
      <xdr:col>13</xdr:col>
      <xdr:colOff>224135</xdr:colOff>
      <xdr:row>8</xdr:row>
      <xdr:rowOff>36550</xdr:rowOff>
    </xdr:to>
    <xdr:sp macro="" textlink="">
      <xdr:nvSpPr>
        <xdr:cNvPr id="18" name="Rectángulo 17">
          <a:hlinkClick xmlns:r="http://schemas.openxmlformats.org/officeDocument/2006/relationships" r:id="rId20"/>
          <a:extLst>
            <a:ext uri="{FF2B5EF4-FFF2-40B4-BE49-F238E27FC236}">
              <a16:creationId xmlns="" xmlns:a16="http://schemas.microsoft.com/office/drawing/2014/main" id="{00000000-0008-0000-0D00-000012000000}"/>
            </a:ext>
          </a:extLst>
        </xdr:cNvPr>
        <xdr:cNvSpPr/>
      </xdr:nvSpPr>
      <xdr:spPr>
        <a:xfrm>
          <a:off x="7358659" y="1096724"/>
          <a:ext cx="976911" cy="397565"/>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6"/>
            </a:buBlip>
          </a:pPr>
          <a:r>
            <a:rPr lang="es-MX" sz="1050" i="0" kern="1200">
              <a:solidFill>
                <a:srgbClr val="000000"/>
              </a:solidFill>
              <a:effectLst/>
              <a:latin typeface="Agency FB" panose="020B0503020202020204" pitchFamily="34" charset="0"/>
              <a:ea typeface="Times New Roman" panose="02020603050405020304" pitchFamily="18" charset="0"/>
            </a:rPr>
            <a:t>Conclusiones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13</xdr:col>
      <xdr:colOff>254000</xdr:colOff>
      <xdr:row>3</xdr:row>
      <xdr:rowOff>134580</xdr:rowOff>
    </xdr:from>
    <xdr:to>
      <xdr:col>14</xdr:col>
      <xdr:colOff>297540</xdr:colOff>
      <xdr:row>8</xdr:row>
      <xdr:rowOff>35189</xdr:rowOff>
    </xdr:to>
    <xdr:sp macro="" textlink="">
      <xdr:nvSpPr>
        <xdr:cNvPr id="19" name="Rectángulo 18">
          <a:hlinkClick xmlns:r="http://schemas.openxmlformats.org/officeDocument/2006/relationships" r:id="rId21"/>
          <a:extLst>
            <a:ext uri="{FF2B5EF4-FFF2-40B4-BE49-F238E27FC236}">
              <a16:creationId xmlns="" xmlns:a16="http://schemas.microsoft.com/office/drawing/2014/main" id="{00000000-0008-0000-0D00-000013000000}"/>
            </a:ext>
          </a:extLst>
        </xdr:cNvPr>
        <xdr:cNvSpPr/>
      </xdr:nvSpPr>
      <xdr:spPr>
        <a:xfrm>
          <a:off x="7963858" y="700688"/>
          <a:ext cx="636607" cy="84412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6"/>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13</xdr:col>
      <xdr:colOff>104775</xdr:colOff>
      <xdr:row>0</xdr:row>
      <xdr:rowOff>76200</xdr:rowOff>
    </xdr:from>
    <xdr:to>
      <xdr:col>14</xdr:col>
      <xdr:colOff>161925</xdr:colOff>
      <xdr:row>2</xdr:row>
      <xdr:rowOff>104775</xdr:rowOff>
    </xdr:to>
    <xdr:sp macro="" textlink="">
      <xdr:nvSpPr>
        <xdr:cNvPr id="3" name="Rectángulo 2">
          <a:hlinkClick xmlns:r="http://schemas.openxmlformats.org/officeDocument/2006/relationships" r:id="rId1"/>
          <a:extLst>
            <a:ext uri="{FF2B5EF4-FFF2-40B4-BE49-F238E27FC236}">
              <a16:creationId xmlns="" xmlns:a16="http://schemas.microsoft.com/office/drawing/2014/main" id="{00000000-0008-0000-0E00-000003000000}"/>
            </a:ext>
          </a:extLst>
        </xdr:cNvPr>
        <xdr:cNvSpPr/>
      </xdr:nvSpPr>
      <xdr:spPr>
        <a:xfrm>
          <a:off x="7286625" y="76200"/>
          <a:ext cx="609600" cy="4572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12</xdr:col>
      <xdr:colOff>38100</xdr:colOff>
      <xdr:row>0</xdr:row>
      <xdr:rowOff>57150</xdr:rowOff>
    </xdr:from>
    <xdr:to>
      <xdr:col>13</xdr:col>
      <xdr:colOff>19050</xdr:colOff>
      <xdr:row>2</xdr:row>
      <xdr:rowOff>66675</xdr:rowOff>
    </xdr:to>
    <xdr:sp macro="" textlink="">
      <xdr:nvSpPr>
        <xdr:cNvPr id="2" name="Rectángulo 1">
          <a:hlinkClick xmlns:r="http://schemas.openxmlformats.org/officeDocument/2006/relationships" r:id="rId1"/>
          <a:extLst>
            <a:ext uri="{FF2B5EF4-FFF2-40B4-BE49-F238E27FC236}">
              <a16:creationId xmlns="" xmlns:a16="http://schemas.microsoft.com/office/drawing/2014/main" id="{00000000-0008-0000-0F00-000002000000}"/>
            </a:ext>
          </a:extLst>
        </xdr:cNvPr>
        <xdr:cNvSpPr/>
      </xdr:nvSpPr>
      <xdr:spPr>
        <a:xfrm>
          <a:off x="8001000" y="57150"/>
          <a:ext cx="609600" cy="4572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561976</xdr:colOff>
      <xdr:row>0</xdr:row>
      <xdr:rowOff>47626</xdr:rowOff>
    </xdr:from>
    <xdr:to>
      <xdr:col>15</xdr:col>
      <xdr:colOff>600076</xdr:colOff>
      <xdr:row>1</xdr:row>
      <xdr:rowOff>247651</xdr:rowOff>
    </xdr:to>
    <xdr:sp macro="" textlink="">
      <xdr:nvSpPr>
        <xdr:cNvPr id="2" name="Rectángulo 1">
          <a:hlinkClick xmlns:r="http://schemas.openxmlformats.org/officeDocument/2006/relationships" r:id="rId1"/>
          <a:extLst>
            <a:ext uri="{FF2B5EF4-FFF2-40B4-BE49-F238E27FC236}">
              <a16:creationId xmlns="" xmlns:a16="http://schemas.microsoft.com/office/drawing/2014/main" id="{00000000-0008-0000-1000-000002000000}"/>
            </a:ext>
          </a:extLst>
        </xdr:cNvPr>
        <xdr:cNvSpPr/>
      </xdr:nvSpPr>
      <xdr:spPr>
        <a:xfrm>
          <a:off x="8562976" y="47626"/>
          <a:ext cx="609600" cy="4572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7</xdr:row>
          <xdr:rowOff>114300</xdr:rowOff>
        </xdr:from>
        <xdr:to>
          <xdr:col>9</xdr:col>
          <xdr:colOff>466725</xdr:colOff>
          <xdr:row>7</xdr:row>
          <xdr:rowOff>247650</xdr:rowOff>
        </xdr:to>
        <xdr:sp macro="" textlink="">
          <xdr:nvSpPr>
            <xdr:cNvPr id="25667" name="Check Box 67" hidden="1">
              <a:extLst>
                <a:ext uri="{63B3BB69-23CF-44E3-9099-C40C66FF867C}">
                  <a14:compatExt spid="_x0000_s25667"/>
                </a:ext>
                <a:ext uri="{FF2B5EF4-FFF2-40B4-BE49-F238E27FC236}">
                  <a16:creationId xmlns="" xmlns:a16="http://schemas.microsoft.com/office/drawing/2014/main" id="{00000000-0008-0000-1100-00004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9</xdr:row>
          <xdr:rowOff>114300</xdr:rowOff>
        </xdr:from>
        <xdr:to>
          <xdr:col>9</xdr:col>
          <xdr:colOff>466725</xdr:colOff>
          <xdr:row>9</xdr:row>
          <xdr:rowOff>247650</xdr:rowOff>
        </xdr:to>
        <xdr:sp macro="" textlink="">
          <xdr:nvSpPr>
            <xdr:cNvPr id="25701" name="Check Box 101" hidden="1">
              <a:extLst>
                <a:ext uri="{63B3BB69-23CF-44E3-9099-C40C66FF867C}">
                  <a14:compatExt spid="_x0000_s25701"/>
                </a:ext>
                <a:ext uri="{FF2B5EF4-FFF2-40B4-BE49-F238E27FC236}">
                  <a16:creationId xmlns="" xmlns:a16="http://schemas.microsoft.com/office/drawing/2014/main" id="{00000000-0008-0000-1100-00006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10</xdr:row>
          <xdr:rowOff>114300</xdr:rowOff>
        </xdr:from>
        <xdr:to>
          <xdr:col>9</xdr:col>
          <xdr:colOff>466725</xdr:colOff>
          <xdr:row>10</xdr:row>
          <xdr:rowOff>247650</xdr:rowOff>
        </xdr:to>
        <xdr:sp macro="" textlink="">
          <xdr:nvSpPr>
            <xdr:cNvPr id="25702" name="Check Box 102" hidden="1">
              <a:extLst>
                <a:ext uri="{63B3BB69-23CF-44E3-9099-C40C66FF867C}">
                  <a14:compatExt spid="_x0000_s25702"/>
                </a:ext>
                <a:ext uri="{FF2B5EF4-FFF2-40B4-BE49-F238E27FC236}">
                  <a16:creationId xmlns="" xmlns:a16="http://schemas.microsoft.com/office/drawing/2014/main" id="{00000000-0008-0000-1100-00006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11</xdr:row>
          <xdr:rowOff>114300</xdr:rowOff>
        </xdr:from>
        <xdr:to>
          <xdr:col>9</xdr:col>
          <xdr:colOff>466725</xdr:colOff>
          <xdr:row>11</xdr:row>
          <xdr:rowOff>247650</xdr:rowOff>
        </xdr:to>
        <xdr:sp macro="" textlink="">
          <xdr:nvSpPr>
            <xdr:cNvPr id="25703" name="Check Box 103" hidden="1">
              <a:extLst>
                <a:ext uri="{63B3BB69-23CF-44E3-9099-C40C66FF867C}">
                  <a14:compatExt spid="_x0000_s25703"/>
                </a:ext>
                <a:ext uri="{FF2B5EF4-FFF2-40B4-BE49-F238E27FC236}">
                  <a16:creationId xmlns="" xmlns:a16="http://schemas.microsoft.com/office/drawing/2014/main" id="{00000000-0008-0000-1100-00006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12</xdr:row>
          <xdr:rowOff>114300</xdr:rowOff>
        </xdr:from>
        <xdr:to>
          <xdr:col>9</xdr:col>
          <xdr:colOff>466725</xdr:colOff>
          <xdr:row>12</xdr:row>
          <xdr:rowOff>247650</xdr:rowOff>
        </xdr:to>
        <xdr:sp macro="" textlink="">
          <xdr:nvSpPr>
            <xdr:cNvPr id="25704" name="Check Box 104" hidden="1">
              <a:extLst>
                <a:ext uri="{63B3BB69-23CF-44E3-9099-C40C66FF867C}">
                  <a14:compatExt spid="_x0000_s25704"/>
                </a:ext>
                <a:ext uri="{FF2B5EF4-FFF2-40B4-BE49-F238E27FC236}">
                  <a16:creationId xmlns="" xmlns:a16="http://schemas.microsoft.com/office/drawing/2014/main" id="{00000000-0008-0000-1100-00006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13</xdr:row>
          <xdr:rowOff>114300</xdr:rowOff>
        </xdr:from>
        <xdr:to>
          <xdr:col>9</xdr:col>
          <xdr:colOff>466725</xdr:colOff>
          <xdr:row>13</xdr:row>
          <xdr:rowOff>247650</xdr:rowOff>
        </xdr:to>
        <xdr:sp macro="" textlink="">
          <xdr:nvSpPr>
            <xdr:cNvPr id="25705" name="Check Box 105" hidden="1">
              <a:extLst>
                <a:ext uri="{63B3BB69-23CF-44E3-9099-C40C66FF867C}">
                  <a14:compatExt spid="_x0000_s25705"/>
                </a:ext>
                <a:ext uri="{FF2B5EF4-FFF2-40B4-BE49-F238E27FC236}">
                  <a16:creationId xmlns="" xmlns:a16="http://schemas.microsoft.com/office/drawing/2014/main" id="{00000000-0008-0000-1100-00006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14</xdr:row>
          <xdr:rowOff>114300</xdr:rowOff>
        </xdr:from>
        <xdr:to>
          <xdr:col>9</xdr:col>
          <xdr:colOff>466725</xdr:colOff>
          <xdr:row>14</xdr:row>
          <xdr:rowOff>247650</xdr:rowOff>
        </xdr:to>
        <xdr:sp macro="" textlink="">
          <xdr:nvSpPr>
            <xdr:cNvPr id="25706" name="Check Box 106" hidden="1">
              <a:extLst>
                <a:ext uri="{63B3BB69-23CF-44E3-9099-C40C66FF867C}">
                  <a14:compatExt spid="_x0000_s25706"/>
                </a:ext>
                <a:ext uri="{FF2B5EF4-FFF2-40B4-BE49-F238E27FC236}">
                  <a16:creationId xmlns="" xmlns:a16="http://schemas.microsoft.com/office/drawing/2014/main" id="{00000000-0008-0000-1100-00006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15</xdr:row>
          <xdr:rowOff>114300</xdr:rowOff>
        </xdr:from>
        <xdr:to>
          <xdr:col>9</xdr:col>
          <xdr:colOff>466725</xdr:colOff>
          <xdr:row>15</xdr:row>
          <xdr:rowOff>247650</xdr:rowOff>
        </xdr:to>
        <xdr:sp macro="" textlink="">
          <xdr:nvSpPr>
            <xdr:cNvPr id="25707" name="Check Box 107" hidden="1">
              <a:extLst>
                <a:ext uri="{63B3BB69-23CF-44E3-9099-C40C66FF867C}">
                  <a14:compatExt spid="_x0000_s25707"/>
                </a:ext>
                <a:ext uri="{FF2B5EF4-FFF2-40B4-BE49-F238E27FC236}">
                  <a16:creationId xmlns="" xmlns:a16="http://schemas.microsoft.com/office/drawing/2014/main" id="{00000000-0008-0000-1100-00006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16</xdr:row>
          <xdr:rowOff>114300</xdr:rowOff>
        </xdr:from>
        <xdr:to>
          <xdr:col>9</xdr:col>
          <xdr:colOff>466725</xdr:colOff>
          <xdr:row>16</xdr:row>
          <xdr:rowOff>247650</xdr:rowOff>
        </xdr:to>
        <xdr:sp macro="" textlink="">
          <xdr:nvSpPr>
            <xdr:cNvPr id="25708" name="Check Box 108" hidden="1">
              <a:extLst>
                <a:ext uri="{63B3BB69-23CF-44E3-9099-C40C66FF867C}">
                  <a14:compatExt spid="_x0000_s25708"/>
                </a:ext>
                <a:ext uri="{FF2B5EF4-FFF2-40B4-BE49-F238E27FC236}">
                  <a16:creationId xmlns="" xmlns:a16="http://schemas.microsoft.com/office/drawing/2014/main" id="{00000000-0008-0000-1100-00006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17</xdr:row>
          <xdr:rowOff>114300</xdr:rowOff>
        </xdr:from>
        <xdr:to>
          <xdr:col>9</xdr:col>
          <xdr:colOff>466725</xdr:colOff>
          <xdr:row>17</xdr:row>
          <xdr:rowOff>247650</xdr:rowOff>
        </xdr:to>
        <xdr:sp macro="" textlink="">
          <xdr:nvSpPr>
            <xdr:cNvPr id="25709" name="Check Box 109" hidden="1">
              <a:extLst>
                <a:ext uri="{63B3BB69-23CF-44E3-9099-C40C66FF867C}">
                  <a14:compatExt spid="_x0000_s25709"/>
                </a:ext>
                <a:ext uri="{FF2B5EF4-FFF2-40B4-BE49-F238E27FC236}">
                  <a16:creationId xmlns="" xmlns:a16="http://schemas.microsoft.com/office/drawing/2014/main" id="{00000000-0008-0000-1100-00006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19</xdr:row>
          <xdr:rowOff>114300</xdr:rowOff>
        </xdr:from>
        <xdr:to>
          <xdr:col>9</xdr:col>
          <xdr:colOff>466725</xdr:colOff>
          <xdr:row>19</xdr:row>
          <xdr:rowOff>247650</xdr:rowOff>
        </xdr:to>
        <xdr:sp macro="" textlink="">
          <xdr:nvSpPr>
            <xdr:cNvPr id="25710" name="Check Box 110" hidden="1">
              <a:extLst>
                <a:ext uri="{63B3BB69-23CF-44E3-9099-C40C66FF867C}">
                  <a14:compatExt spid="_x0000_s25710"/>
                </a:ext>
                <a:ext uri="{FF2B5EF4-FFF2-40B4-BE49-F238E27FC236}">
                  <a16:creationId xmlns="" xmlns:a16="http://schemas.microsoft.com/office/drawing/2014/main" id="{00000000-0008-0000-1100-00006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20</xdr:row>
          <xdr:rowOff>114300</xdr:rowOff>
        </xdr:from>
        <xdr:to>
          <xdr:col>9</xdr:col>
          <xdr:colOff>466725</xdr:colOff>
          <xdr:row>20</xdr:row>
          <xdr:rowOff>247650</xdr:rowOff>
        </xdr:to>
        <xdr:sp macro="" textlink="">
          <xdr:nvSpPr>
            <xdr:cNvPr id="25711" name="Check Box 111" hidden="1">
              <a:extLst>
                <a:ext uri="{63B3BB69-23CF-44E3-9099-C40C66FF867C}">
                  <a14:compatExt spid="_x0000_s25711"/>
                </a:ext>
                <a:ext uri="{FF2B5EF4-FFF2-40B4-BE49-F238E27FC236}">
                  <a16:creationId xmlns="" xmlns:a16="http://schemas.microsoft.com/office/drawing/2014/main" id="{00000000-0008-0000-1100-00006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21</xdr:row>
          <xdr:rowOff>114300</xdr:rowOff>
        </xdr:from>
        <xdr:to>
          <xdr:col>9</xdr:col>
          <xdr:colOff>466725</xdr:colOff>
          <xdr:row>21</xdr:row>
          <xdr:rowOff>247650</xdr:rowOff>
        </xdr:to>
        <xdr:sp macro="" textlink="">
          <xdr:nvSpPr>
            <xdr:cNvPr id="25712" name="Check Box 112" hidden="1">
              <a:extLst>
                <a:ext uri="{63B3BB69-23CF-44E3-9099-C40C66FF867C}">
                  <a14:compatExt spid="_x0000_s25712"/>
                </a:ext>
                <a:ext uri="{FF2B5EF4-FFF2-40B4-BE49-F238E27FC236}">
                  <a16:creationId xmlns="" xmlns:a16="http://schemas.microsoft.com/office/drawing/2014/main" id="{00000000-0008-0000-1100-00007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22</xdr:row>
          <xdr:rowOff>114300</xdr:rowOff>
        </xdr:from>
        <xdr:to>
          <xdr:col>9</xdr:col>
          <xdr:colOff>466725</xdr:colOff>
          <xdr:row>22</xdr:row>
          <xdr:rowOff>247650</xdr:rowOff>
        </xdr:to>
        <xdr:sp macro="" textlink="">
          <xdr:nvSpPr>
            <xdr:cNvPr id="25713" name="Check Box 113" hidden="1">
              <a:extLst>
                <a:ext uri="{63B3BB69-23CF-44E3-9099-C40C66FF867C}">
                  <a14:compatExt spid="_x0000_s25713"/>
                </a:ext>
                <a:ext uri="{FF2B5EF4-FFF2-40B4-BE49-F238E27FC236}">
                  <a16:creationId xmlns="" xmlns:a16="http://schemas.microsoft.com/office/drawing/2014/main" id="{00000000-0008-0000-1100-00007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23</xdr:row>
          <xdr:rowOff>114300</xdr:rowOff>
        </xdr:from>
        <xdr:to>
          <xdr:col>9</xdr:col>
          <xdr:colOff>466725</xdr:colOff>
          <xdr:row>23</xdr:row>
          <xdr:rowOff>247650</xdr:rowOff>
        </xdr:to>
        <xdr:sp macro="" textlink="">
          <xdr:nvSpPr>
            <xdr:cNvPr id="25714" name="Check Box 114" hidden="1">
              <a:extLst>
                <a:ext uri="{63B3BB69-23CF-44E3-9099-C40C66FF867C}">
                  <a14:compatExt spid="_x0000_s25714"/>
                </a:ext>
                <a:ext uri="{FF2B5EF4-FFF2-40B4-BE49-F238E27FC236}">
                  <a16:creationId xmlns="" xmlns:a16="http://schemas.microsoft.com/office/drawing/2014/main" id="{00000000-0008-0000-1100-00007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24</xdr:row>
          <xdr:rowOff>114300</xdr:rowOff>
        </xdr:from>
        <xdr:to>
          <xdr:col>9</xdr:col>
          <xdr:colOff>466725</xdr:colOff>
          <xdr:row>24</xdr:row>
          <xdr:rowOff>247650</xdr:rowOff>
        </xdr:to>
        <xdr:sp macro="" textlink="">
          <xdr:nvSpPr>
            <xdr:cNvPr id="25715" name="Check Box 115" hidden="1">
              <a:extLst>
                <a:ext uri="{63B3BB69-23CF-44E3-9099-C40C66FF867C}">
                  <a14:compatExt spid="_x0000_s25715"/>
                </a:ext>
                <a:ext uri="{FF2B5EF4-FFF2-40B4-BE49-F238E27FC236}">
                  <a16:creationId xmlns="" xmlns:a16="http://schemas.microsoft.com/office/drawing/2014/main" id="{00000000-0008-0000-1100-00007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25</xdr:row>
          <xdr:rowOff>114300</xdr:rowOff>
        </xdr:from>
        <xdr:to>
          <xdr:col>9</xdr:col>
          <xdr:colOff>466725</xdr:colOff>
          <xdr:row>25</xdr:row>
          <xdr:rowOff>247650</xdr:rowOff>
        </xdr:to>
        <xdr:sp macro="" textlink="">
          <xdr:nvSpPr>
            <xdr:cNvPr id="25716" name="Check Box 116" hidden="1">
              <a:extLst>
                <a:ext uri="{63B3BB69-23CF-44E3-9099-C40C66FF867C}">
                  <a14:compatExt spid="_x0000_s25716"/>
                </a:ext>
                <a:ext uri="{FF2B5EF4-FFF2-40B4-BE49-F238E27FC236}">
                  <a16:creationId xmlns="" xmlns:a16="http://schemas.microsoft.com/office/drawing/2014/main" id="{00000000-0008-0000-1100-00007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26</xdr:row>
          <xdr:rowOff>114300</xdr:rowOff>
        </xdr:from>
        <xdr:to>
          <xdr:col>9</xdr:col>
          <xdr:colOff>466725</xdr:colOff>
          <xdr:row>26</xdr:row>
          <xdr:rowOff>247650</xdr:rowOff>
        </xdr:to>
        <xdr:sp macro="" textlink="">
          <xdr:nvSpPr>
            <xdr:cNvPr id="25717" name="Check Box 117" hidden="1">
              <a:extLst>
                <a:ext uri="{63B3BB69-23CF-44E3-9099-C40C66FF867C}">
                  <a14:compatExt spid="_x0000_s25717"/>
                </a:ext>
                <a:ext uri="{FF2B5EF4-FFF2-40B4-BE49-F238E27FC236}">
                  <a16:creationId xmlns="" xmlns:a16="http://schemas.microsoft.com/office/drawing/2014/main" id="{00000000-0008-0000-1100-00007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27</xdr:row>
          <xdr:rowOff>114300</xdr:rowOff>
        </xdr:from>
        <xdr:to>
          <xdr:col>9</xdr:col>
          <xdr:colOff>466725</xdr:colOff>
          <xdr:row>27</xdr:row>
          <xdr:rowOff>247650</xdr:rowOff>
        </xdr:to>
        <xdr:sp macro="" textlink="">
          <xdr:nvSpPr>
            <xdr:cNvPr id="25718" name="Check Box 118" hidden="1">
              <a:extLst>
                <a:ext uri="{63B3BB69-23CF-44E3-9099-C40C66FF867C}">
                  <a14:compatExt spid="_x0000_s25718"/>
                </a:ext>
                <a:ext uri="{FF2B5EF4-FFF2-40B4-BE49-F238E27FC236}">
                  <a16:creationId xmlns="" xmlns:a16="http://schemas.microsoft.com/office/drawing/2014/main" id="{00000000-0008-0000-1100-00007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28</xdr:row>
          <xdr:rowOff>114300</xdr:rowOff>
        </xdr:from>
        <xdr:to>
          <xdr:col>9</xdr:col>
          <xdr:colOff>466725</xdr:colOff>
          <xdr:row>28</xdr:row>
          <xdr:rowOff>247650</xdr:rowOff>
        </xdr:to>
        <xdr:sp macro="" textlink="">
          <xdr:nvSpPr>
            <xdr:cNvPr id="25719" name="Check Box 119" hidden="1">
              <a:extLst>
                <a:ext uri="{63B3BB69-23CF-44E3-9099-C40C66FF867C}">
                  <a14:compatExt spid="_x0000_s25719"/>
                </a:ext>
                <a:ext uri="{FF2B5EF4-FFF2-40B4-BE49-F238E27FC236}">
                  <a16:creationId xmlns="" xmlns:a16="http://schemas.microsoft.com/office/drawing/2014/main" id="{00000000-0008-0000-1100-00007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29</xdr:row>
          <xdr:rowOff>114300</xdr:rowOff>
        </xdr:from>
        <xdr:to>
          <xdr:col>9</xdr:col>
          <xdr:colOff>466725</xdr:colOff>
          <xdr:row>29</xdr:row>
          <xdr:rowOff>247650</xdr:rowOff>
        </xdr:to>
        <xdr:sp macro="" textlink="">
          <xdr:nvSpPr>
            <xdr:cNvPr id="25720" name="Check Box 120" hidden="1">
              <a:extLst>
                <a:ext uri="{63B3BB69-23CF-44E3-9099-C40C66FF867C}">
                  <a14:compatExt spid="_x0000_s25720"/>
                </a:ext>
                <a:ext uri="{FF2B5EF4-FFF2-40B4-BE49-F238E27FC236}">
                  <a16:creationId xmlns="" xmlns:a16="http://schemas.microsoft.com/office/drawing/2014/main" id="{00000000-0008-0000-1100-00007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30</xdr:row>
          <xdr:rowOff>114300</xdr:rowOff>
        </xdr:from>
        <xdr:to>
          <xdr:col>9</xdr:col>
          <xdr:colOff>466725</xdr:colOff>
          <xdr:row>30</xdr:row>
          <xdr:rowOff>247650</xdr:rowOff>
        </xdr:to>
        <xdr:sp macro="" textlink="">
          <xdr:nvSpPr>
            <xdr:cNvPr id="25721" name="Check Box 121" hidden="1">
              <a:extLst>
                <a:ext uri="{63B3BB69-23CF-44E3-9099-C40C66FF867C}">
                  <a14:compatExt spid="_x0000_s25721"/>
                </a:ext>
                <a:ext uri="{FF2B5EF4-FFF2-40B4-BE49-F238E27FC236}">
                  <a16:creationId xmlns="" xmlns:a16="http://schemas.microsoft.com/office/drawing/2014/main" id="{00000000-0008-0000-1100-00007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31</xdr:row>
          <xdr:rowOff>114300</xdr:rowOff>
        </xdr:from>
        <xdr:to>
          <xdr:col>9</xdr:col>
          <xdr:colOff>466725</xdr:colOff>
          <xdr:row>31</xdr:row>
          <xdr:rowOff>247650</xdr:rowOff>
        </xdr:to>
        <xdr:sp macro="" textlink="">
          <xdr:nvSpPr>
            <xdr:cNvPr id="25722" name="Check Box 122" hidden="1">
              <a:extLst>
                <a:ext uri="{63B3BB69-23CF-44E3-9099-C40C66FF867C}">
                  <a14:compatExt spid="_x0000_s25722"/>
                </a:ext>
                <a:ext uri="{FF2B5EF4-FFF2-40B4-BE49-F238E27FC236}">
                  <a16:creationId xmlns="" xmlns:a16="http://schemas.microsoft.com/office/drawing/2014/main" id="{00000000-0008-0000-1100-00007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32</xdr:row>
          <xdr:rowOff>114300</xdr:rowOff>
        </xdr:from>
        <xdr:to>
          <xdr:col>9</xdr:col>
          <xdr:colOff>466725</xdr:colOff>
          <xdr:row>32</xdr:row>
          <xdr:rowOff>247650</xdr:rowOff>
        </xdr:to>
        <xdr:sp macro="" textlink="">
          <xdr:nvSpPr>
            <xdr:cNvPr id="25723" name="Check Box 123" hidden="1">
              <a:extLst>
                <a:ext uri="{63B3BB69-23CF-44E3-9099-C40C66FF867C}">
                  <a14:compatExt spid="_x0000_s25723"/>
                </a:ext>
                <a:ext uri="{FF2B5EF4-FFF2-40B4-BE49-F238E27FC236}">
                  <a16:creationId xmlns="" xmlns:a16="http://schemas.microsoft.com/office/drawing/2014/main" id="{00000000-0008-0000-1100-00007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34</xdr:row>
          <xdr:rowOff>114300</xdr:rowOff>
        </xdr:from>
        <xdr:to>
          <xdr:col>9</xdr:col>
          <xdr:colOff>466725</xdr:colOff>
          <xdr:row>34</xdr:row>
          <xdr:rowOff>247650</xdr:rowOff>
        </xdr:to>
        <xdr:sp macro="" textlink="">
          <xdr:nvSpPr>
            <xdr:cNvPr id="25724" name="Check Box 124" hidden="1">
              <a:extLst>
                <a:ext uri="{63B3BB69-23CF-44E3-9099-C40C66FF867C}">
                  <a14:compatExt spid="_x0000_s25724"/>
                </a:ext>
                <a:ext uri="{FF2B5EF4-FFF2-40B4-BE49-F238E27FC236}">
                  <a16:creationId xmlns="" xmlns:a16="http://schemas.microsoft.com/office/drawing/2014/main" id="{00000000-0008-0000-1100-00007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35</xdr:row>
          <xdr:rowOff>114300</xdr:rowOff>
        </xdr:from>
        <xdr:to>
          <xdr:col>9</xdr:col>
          <xdr:colOff>466725</xdr:colOff>
          <xdr:row>35</xdr:row>
          <xdr:rowOff>247650</xdr:rowOff>
        </xdr:to>
        <xdr:sp macro="" textlink="">
          <xdr:nvSpPr>
            <xdr:cNvPr id="25725" name="Check Box 125" hidden="1">
              <a:extLst>
                <a:ext uri="{63B3BB69-23CF-44E3-9099-C40C66FF867C}">
                  <a14:compatExt spid="_x0000_s25725"/>
                </a:ext>
                <a:ext uri="{FF2B5EF4-FFF2-40B4-BE49-F238E27FC236}">
                  <a16:creationId xmlns="" xmlns:a16="http://schemas.microsoft.com/office/drawing/2014/main" id="{00000000-0008-0000-1100-00007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36</xdr:row>
          <xdr:rowOff>114300</xdr:rowOff>
        </xdr:from>
        <xdr:to>
          <xdr:col>9</xdr:col>
          <xdr:colOff>466725</xdr:colOff>
          <xdr:row>36</xdr:row>
          <xdr:rowOff>247650</xdr:rowOff>
        </xdr:to>
        <xdr:sp macro="" textlink="">
          <xdr:nvSpPr>
            <xdr:cNvPr id="25726" name="Check Box 126" hidden="1">
              <a:extLst>
                <a:ext uri="{63B3BB69-23CF-44E3-9099-C40C66FF867C}">
                  <a14:compatExt spid="_x0000_s25726"/>
                </a:ext>
                <a:ext uri="{FF2B5EF4-FFF2-40B4-BE49-F238E27FC236}">
                  <a16:creationId xmlns="" xmlns:a16="http://schemas.microsoft.com/office/drawing/2014/main" id="{00000000-0008-0000-1100-00007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37</xdr:row>
          <xdr:rowOff>114300</xdr:rowOff>
        </xdr:from>
        <xdr:to>
          <xdr:col>9</xdr:col>
          <xdr:colOff>466725</xdr:colOff>
          <xdr:row>37</xdr:row>
          <xdr:rowOff>247650</xdr:rowOff>
        </xdr:to>
        <xdr:sp macro="" textlink="">
          <xdr:nvSpPr>
            <xdr:cNvPr id="25727" name="Check Box 127" hidden="1">
              <a:extLst>
                <a:ext uri="{63B3BB69-23CF-44E3-9099-C40C66FF867C}">
                  <a14:compatExt spid="_x0000_s25727"/>
                </a:ext>
                <a:ext uri="{FF2B5EF4-FFF2-40B4-BE49-F238E27FC236}">
                  <a16:creationId xmlns="" xmlns:a16="http://schemas.microsoft.com/office/drawing/2014/main" id="{00000000-0008-0000-1100-00007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38</xdr:row>
          <xdr:rowOff>114300</xdr:rowOff>
        </xdr:from>
        <xdr:to>
          <xdr:col>9</xdr:col>
          <xdr:colOff>466725</xdr:colOff>
          <xdr:row>38</xdr:row>
          <xdr:rowOff>247650</xdr:rowOff>
        </xdr:to>
        <xdr:sp macro="" textlink="">
          <xdr:nvSpPr>
            <xdr:cNvPr id="25728" name="Check Box 128" hidden="1">
              <a:extLst>
                <a:ext uri="{63B3BB69-23CF-44E3-9099-C40C66FF867C}">
                  <a14:compatExt spid="_x0000_s25728"/>
                </a:ext>
                <a:ext uri="{FF2B5EF4-FFF2-40B4-BE49-F238E27FC236}">
                  <a16:creationId xmlns="" xmlns:a16="http://schemas.microsoft.com/office/drawing/2014/main" id="{00000000-0008-0000-1100-00008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39</xdr:row>
          <xdr:rowOff>114300</xdr:rowOff>
        </xdr:from>
        <xdr:to>
          <xdr:col>9</xdr:col>
          <xdr:colOff>466725</xdr:colOff>
          <xdr:row>39</xdr:row>
          <xdr:rowOff>247650</xdr:rowOff>
        </xdr:to>
        <xdr:sp macro="" textlink="">
          <xdr:nvSpPr>
            <xdr:cNvPr id="25729" name="Check Box 129" hidden="1">
              <a:extLst>
                <a:ext uri="{63B3BB69-23CF-44E3-9099-C40C66FF867C}">
                  <a14:compatExt spid="_x0000_s25729"/>
                </a:ext>
                <a:ext uri="{FF2B5EF4-FFF2-40B4-BE49-F238E27FC236}">
                  <a16:creationId xmlns="" xmlns:a16="http://schemas.microsoft.com/office/drawing/2014/main" id="{00000000-0008-0000-1100-00008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40</xdr:row>
          <xdr:rowOff>114300</xdr:rowOff>
        </xdr:from>
        <xdr:to>
          <xdr:col>9</xdr:col>
          <xdr:colOff>466725</xdr:colOff>
          <xdr:row>40</xdr:row>
          <xdr:rowOff>247650</xdr:rowOff>
        </xdr:to>
        <xdr:sp macro="" textlink="">
          <xdr:nvSpPr>
            <xdr:cNvPr id="25730" name="Check Box 130" hidden="1">
              <a:extLst>
                <a:ext uri="{63B3BB69-23CF-44E3-9099-C40C66FF867C}">
                  <a14:compatExt spid="_x0000_s25730"/>
                </a:ext>
                <a:ext uri="{FF2B5EF4-FFF2-40B4-BE49-F238E27FC236}">
                  <a16:creationId xmlns="" xmlns:a16="http://schemas.microsoft.com/office/drawing/2014/main" id="{00000000-0008-0000-1100-00008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41</xdr:row>
          <xdr:rowOff>114300</xdr:rowOff>
        </xdr:from>
        <xdr:to>
          <xdr:col>9</xdr:col>
          <xdr:colOff>466725</xdr:colOff>
          <xdr:row>41</xdr:row>
          <xdr:rowOff>247650</xdr:rowOff>
        </xdr:to>
        <xdr:sp macro="" textlink="">
          <xdr:nvSpPr>
            <xdr:cNvPr id="25731" name="Check Box 131" hidden="1">
              <a:extLst>
                <a:ext uri="{63B3BB69-23CF-44E3-9099-C40C66FF867C}">
                  <a14:compatExt spid="_x0000_s25731"/>
                </a:ext>
                <a:ext uri="{FF2B5EF4-FFF2-40B4-BE49-F238E27FC236}">
                  <a16:creationId xmlns="" xmlns:a16="http://schemas.microsoft.com/office/drawing/2014/main" id="{00000000-0008-0000-1100-00008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247650</xdr:colOff>
          <xdr:row>42</xdr:row>
          <xdr:rowOff>114300</xdr:rowOff>
        </xdr:from>
        <xdr:to>
          <xdr:col>9</xdr:col>
          <xdr:colOff>466725</xdr:colOff>
          <xdr:row>42</xdr:row>
          <xdr:rowOff>247650</xdr:rowOff>
        </xdr:to>
        <xdr:sp macro="" textlink="">
          <xdr:nvSpPr>
            <xdr:cNvPr id="25732" name="Check Box 132" hidden="1">
              <a:extLst>
                <a:ext uri="{63B3BB69-23CF-44E3-9099-C40C66FF867C}">
                  <a14:compatExt spid="_x0000_s25732"/>
                </a:ext>
                <a:ext uri="{FF2B5EF4-FFF2-40B4-BE49-F238E27FC236}">
                  <a16:creationId xmlns="" xmlns:a16="http://schemas.microsoft.com/office/drawing/2014/main" id="{00000000-0008-0000-1100-00008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12</xdr:col>
      <xdr:colOff>638735</xdr:colOff>
      <xdr:row>0</xdr:row>
      <xdr:rowOff>67237</xdr:rowOff>
    </xdr:from>
    <xdr:to>
      <xdr:col>13</xdr:col>
      <xdr:colOff>638735</xdr:colOff>
      <xdr:row>2</xdr:row>
      <xdr:rowOff>56032</xdr:rowOff>
    </xdr:to>
    <xdr:sp macro="" textlink="">
      <xdr:nvSpPr>
        <xdr:cNvPr id="35" name="Rectángulo 34">
          <a:hlinkClick xmlns:r="http://schemas.openxmlformats.org/officeDocument/2006/relationships" r:id="rId1"/>
          <a:extLst>
            <a:ext uri="{FF2B5EF4-FFF2-40B4-BE49-F238E27FC236}">
              <a16:creationId xmlns="" xmlns:a16="http://schemas.microsoft.com/office/drawing/2014/main" id="{00000000-0008-0000-1100-000023000000}"/>
            </a:ext>
          </a:extLst>
        </xdr:cNvPr>
        <xdr:cNvSpPr/>
      </xdr:nvSpPr>
      <xdr:spPr>
        <a:xfrm>
          <a:off x="8841441" y="67237"/>
          <a:ext cx="683559" cy="4370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561976</xdr:colOff>
      <xdr:row>0</xdr:row>
      <xdr:rowOff>47626</xdr:rowOff>
    </xdr:from>
    <xdr:to>
      <xdr:col>15</xdr:col>
      <xdr:colOff>600076</xdr:colOff>
      <xdr:row>1</xdr:row>
      <xdr:rowOff>247651</xdr:rowOff>
    </xdr:to>
    <xdr:sp macro="" textlink="">
      <xdr:nvSpPr>
        <xdr:cNvPr id="2" name="Rectángulo 1">
          <a:hlinkClick xmlns:r="http://schemas.openxmlformats.org/officeDocument/2006/relationships" r:id="rId1"/>
          <a:extLst>
            <a:ext uri="{FF2B5EF4-FFF2-40B4-BE49-F238E27FC236}">
              <a16:creationId xmlns="" xmlns:a16="http://schemas.microsoft.com/office/drawing/2014/main" id="{00000000-0008-0000-1200-000002000000}"/>
            </a:ext>
          </a:extLst>
        </xdr:cNvPr>
        <xdr:cNvSpPr/>
      </xdr:nvSpPr>
      <xdr:spPr>
        <a:xfrm>
          <a:off x="8562976" y="47626"/>
          <a:ext cx="609600" cy="4572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4</xdr:col>
      <xdr:colOff>28575</xdr:colOff>
      <xdr:row>18</xdr:row>
      <xdr:rowOff>28575</xdr:rowOff>
    </xdr:from>
    <xdr:to>
      <xdr:col>10</xdr:col>
      <xdr:colOff>742950</xdr:colOff>
      <xdr:row>45</xdr:row>
      <xdr:rowOff>171449</xdr:rowOff>
    </xdr:to>
    <xdr:pic>
      <xdr:nvPicPr>
        <xdr:cNvPr id="2" name="Imagen 2">
          <a:extLst>
            <a:ext uri="{FF2B5EF4-FFF2-40B4-BE49-F238E27FC236}">
              <a16:creationId xmlns="" xmlns:a16="http://schemas.microsoft.com/office/drawing/2014/main" id="{00000000-0008-0000-1400-000002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3486150"/>
          <a:ext cx="5334000" cy="5448299"/>
        </a:xfrm>
        <a:prstGeom prst="rect">
          <a:avLst/>
        </a:prstGeom>
      </xdr:spPr>
    </xdr:pic>
    <xdr:clientData fLocksWithSheet="0"/>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19049</xdr:colOff>
      <xdr:row>5</xdr:row>
      <xdr:rowOff>19049</xdr:rowOff>
    </xdr:to>
    <xdr:grpSp>
      <xdr:nvGrpSpPr>
        <xdr:cNvPr id="8" name="Grupo 21">
          <a:extLst>
            <a:ext uri="{FF2B5EF4-FFF2-40B4-BE49-F238E27FC236}">
              <a16:creationId xmlns="" xmlns:a16="http://schemas.microsoft.com/office/drawing/2014/main" id="{00000000-0008-0000-1500-000008000000}"/>
            </a:ext>
          </a:extLst>
        </xdr:cNvPr>
        <xdr:cNvGrpSpPr/>
      </xdr:nvGrpSpPr>
      <xdr:grpSpPr>
        <a:xfrm>
          <a:off x="0" y="0"/>
          <a:ext cx="10182224" cy="971549"/>
          <a:chOff x="9592236" y="1916205"/>
          <a:chExt cx="9551614" cy="1736913"/>
        </a:xfrm>
      </xdr:grpSpPr>
      <xdr:pic>
        <xdr:nvPicPr>
          <xdr:cNvPr id="9" name="Imagen 22">
            <a:extLst>
              <a:ext uri="{FF2B5EF4-FFF2-40B4-BE49-F238E27FC236}">
                <a16:creationId xmlns=""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10" name="Imagen 23">
            <a:extLst>
              <a:ext uri="{FF2B5EF4-FFF2-40B4-BE49-F238E27FC236}">
                <a16:creationId xmlns="" xmlns:a16="http://schemas.microsoft.com/office/drawing/2014/main" id="{00000000-0008-0000-15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11" name="Imagen 24">
            <a:extLst>
              <a:ext uri="{FF2B5EF4-FFF2-40B4-BE49-F238E27FC236}">
                <a16:creationId xmlns="" xmlns:a16="http://schemas.microsoft.com/office/drawing/2014/main" id="{00000000-0008-0000-15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12" name="Imagen 25">
            <a:extLst>
              <a:ext uri="{FF2B5EF4-FFF2-40B4-BE49-F238E27FC236}">
                <a16:creationId xmlns="" xmlns:a16="http://schemas.microsoft.com/office/drawing/2014/main" id="{00000000-0008-0000-15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775204" y="1949822"/>
            <a:ext cx="2368646" cy="1703296"/>
          </a:xfrm>
          <a:prstGeom prst="rect">
            <a:avLst/>
          </a:prstGeom>
        </xdr:spPr>
      </xdr:pic>
    </xdr:grpSp>
    <xdr:clientData/>
  </xdr:twoCellAnchor>
  <xdr:twoCellAnchor>
    <xdr:from>
      <xdr:col>0</xdr:col>
      <xdr:colOff>1019174</xdr:colOff>
      <xdr:row>23</xdr:row>
      <xdr:rowOff>19049</xdr:rowOff>
    </xdr:from>
    <xdr:to>
      <xdr:col>11</xdr:col>
      <xdr:colOff>304800</xdr:colOff>
      <xdr:row>47</xdr:row>
      <xdr:rowOff>152400</xdr:rowOff>
    </xdr:to>
    <xdr:graphicFrame macro="">
      <xdr:nvGraphicFramePr>
        <xdr:cNvPr id="2" name="Chart 1">
          <a:extLst>
            <a:ext uri="{FF2B5EF4-FFF2-40B4-BE49-F238E27FC236}">
              <a16:creationId xmlns=""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952500</xdr:colOff>
      <xdr:row>59</xdr:row>
      <xdr:rowOff>9525</xdr:rowOff>
    </xdr:from>
    <xdr:to>
      <xdr:col>11</xdr:col>
      <xdr:colOff>228600</xdr:colOff>
      <xdr:row>83</xdr:row>
      <xdr:rowOff>38100</xdr:rowOff>
    </xdr:to>
    <xdr:graphicFrame macro="">
      <xdr:nvGraphicFramePr>
        <xdr:cNvPr id="3" name="Chart 2">
          <a:extLst>
            <a:ext uri="{FF2B5EF4-FFF2-40B4-BE49-F238E27FC236}">
              <a16:creationId xmlns=""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1047750</xdr:colOff>
      <xdr:row>93</xdr:row>
      <xdr:rowOff>180975</xdr:rowOff>
    </xdr:from>
    <xdr:to>
      <xdr:col>11</xdr:col>
      <xdr:colOff>342900</xdr:colOff>
      <xdr:row>117</xdr:row>
      <xdr:rowOff>152400</xdr:rowOff>
    </xdr:to>
    <xdr:graphicFrame macro="">
      <xdr:nvGraphicFramePr>
        <xdr:cNvPr id="4" name="Chart 3">
          <a:extLst>
            <a:ext uri="{FF2B5EF4-FFF2-40B4-BE49-F238E27FC236}">
              <a16:creationId xmlns=""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1647825</xdr:colOff>
      <xdr:row>0</xdr:row>
      <xdr:rowOff>104775</xdr:rowOff>
    </xdr:from>
    <xdr:to>
      <xdr:col>11</xdr:col>
      <xdr:colOff>361950</xdr:colOff>
      <xdr:row>4</xdr:row>
      <xdr:rowOff>136706</xdr:rowOff>
    </xdr:to>
    <xdr:sp macro="" textlink="">
      <xdr:nvSpPr>
        <xdr:cNvPr id="13" name="CuadroTexto 4">
          <a:extLst>
            <a:ext uri="{FF2B5EF4-FFF2-40B4-BE49-F238E27FC236}">
              <a16:creationId xmlns="" xmlns:a16="http://schemas.microsoft.com/office/drawing/2014/main" id="{00000000-0008-0000-1500-00000D000000}"/>
            </a:ext>
          </a:extLst>
        </xdr:cNvPr>
        <xdr:cNvSpPr txBox="1"/>
      </xdr:nvSpPr>
      <xdr:spPr>
        <a:xfrm>
          <a:off x="1647825" y="104775"/>
          <a:ext cx="6448425" cy="793931"/>
        </a:xfrm>
        <a:prstGeom prst="rect">
          <a:avLst/>
        </a:prstGeom>
        <a:solidFill>
          <a:schemeClr val="accent5">
            <a:lumMod val="20000"/>
            <a:lumOff val="80000"/>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PE" sz="2400" b="1">
              <a:solidFill>
                <a:schemeClr val="accent5">
                  <a:lumMod val="75000"/>
                </a:schemeClr>
              </a:solidFill>
              <a:latin typeface="Arial" panose="020B0604020202020204" pitchFamily="34" charset="0"/>
              <a:cs typeface="Arial" panose="020B0604020202020204" pitchFamily="34" charset="0"/>
            </a:rPr>
            <a:t>BALANCE HIDRICO EN LA SITUACIÓN ACTUAL</a:t>
          </a:r>
        </a:p>
      </xdr:txBody>
    </xdr:sp>
    <xdr:clientData/>
  </xdr:twoCellAnchor>
  <mc:AlternateContent xmlns:mc="http://schemas.openxmlformats.org/markup-compatibility/2006">
    <mc:Choice xmlns:a14="http://schemas.microsoft.com/office/drawing/2010/main" Requires="a14">
      <xdr:twoCellAnchor editAs="oneCell">
        <xdr:from>
          <xdr:col>12</xdr:col>
          <xdr:colOff>171450</xdr:colOff>
          <xdr:row>3</xdr:row>
          <xdr:rowOff>95250</xdr:rowOff>
        </xdr:from>
        <xdr:to>
          <xdr:col>15</xdr:col>
          <xdr:colOff>28575</xdr:colOff>
          <xdr:row>5</xdr:row>
          <xdr:rowOff>38100</xdr:rowOff>
        </xdr:to>
        <xdr:sp macro="" textlink="">
          <xdr:nvSpPr>
            <xdr:cNvPr id="83970" name="Btn_Regresar_BrechaServicio" hidden="1">
              <a:extLst>
                <a:ext uri="{63B3BB69-23CF-44E3-9099-C40C66FF867C}">
                  <a14:compatExt spid="_x0000_s83970"/>
                </a:ext>
                <a:ext uri="{FF2B5EF4-FFF2-40B4-BE49-F238E27FC236}">
                  <a16:creationId xmlns="" xmlns:a16="http://schemas.microsoft.com/office/drawing/2014/main" id="{00000000-0008-0000-1500-000002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0</xdr:row>
          <xdr:rowOff>9525</xdr:rowOff>
        </xdr:from>
        <xdr:to>
          <xdr:col>15</xdr:col>
          <xdr:colOff>19050</xdr:colOff>
          <xdr:row>1</xdr:row>
          <xdr:rowOff>142875</xdr:rowOff>
        </xdr:to>
        <xdr:sp macro="" textlink="">
          <xdr:nvSpPr>
            <xdr:cNvPr id="83971" name="Btn_Ir_a_BalanceHCP" hidden="1">
              <a:extLst>
                <a:ext uri="{63B3BB69-23CF-44E3-9099-C40C66FF867C}">
                  <a14:compatExt spid="_x0000_s83971"/>
                </a:ext>
                <a:ext uri="{FF2B5EF4-FFF2-40B4-BE49-F238E27FC236}">
                  <a16:creationId xmlns="" xmlns:a16="http://schemas.microsoft.com/office/drawing/2014/main" id="{00000000-0008-0000-1500-000003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1</xdr:row>
          <xdr:rowOff>152400</xdr:rowOff>
        </xdr:from>
        <xdr:to>
          <xdr:col>15</xdr:col>
          <xdr:colOff>28575</xdr:colOff>
          <xdr:row>3</xdr:row>
          <xdr:rowOff>95250</xdr:rowOff>
        </xdr:to>
        <xdr:sp macro="" textlink="">
          <xdr:nvSpPr>
            <xdr:cNvPr id="83972" name="Btn_Formulario_Balance" hidden="1">
              <a:extLst>
                <a:ext uri="{63B3BB69-23CF-44E3-9099-C40C66FF867C}">
                  <a14:compatExt spid="_x0000_s83972"/>
                </a:ext>
                <a:ext uri="{FF2B5EF4-FFF2-40B4-BE49-F238E27FC236}">
                  <a16:creationId xmlns="" xmlns:a16="http://schemas.microsoft.com/office/drawing/2014/main" id="{00000000-0008-0000-1500-0000044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0</xdr:col>
      <xdr:colOff>1019174</xdr:colOff>
      <xdr:row>23</xdr:row>
      <xdr:rowOff>19049</xdr:rowOff>
    </xdr:from>
    <xdr:to>
      <xdr:col>11</xdr:col>
      <xdr:colOff>304800</xdr:colOff>
      <xdr:row>47</xdr:row>
      <xdr:rowOff>152400</xdr:rowOff>
    </xdr:to>
    <xdr:graphicFrame macro="">
      <xdr:nvGraphicFramePr>
        <xdr:cNvPr id="2" name="Chart 1">
          <a:extLst>
            <a:ext uri="{FF2B5EF4-FFF2-40B4-BE49-F238E27FC236}">
              <a16:creationId xmlns=""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952500</xdr:colOff>
      <xdr:row>59</xdr:row>
      <xdr:rowOff>9525</xdr:rowOff>
    </xdr:from>
    <xdr:to>
      <xdr:col>11</xdr:col>
      <xdr:colOff>228600</xdr:colOff>
      <xdr:row>83</xdr:row>
      <xdr:rowOff>38100</xdr:rowOff>
    </xdr:to>
    <xdr:graphicFrame macro="">
      <xdr:nvGraphicFramePr>
        <xdr:cNvPr id="3" name="Chart 2">
          <a:extLst>
            <a:ext uri="{FF2B5EF4-FFF2-40B4-BE49-F238E27FC236}">
              <a16:creationId xmlns=""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1047750</xdr:colOff>
      <xdr:row>93</xdr:row>
      <xdr:rowOff>180975</xdr:rowOff>
    </xdr:from>
    <xdr:to>
      <xdr:col>11</xdr:col>
      <xdr:colOff>342900</xdr:colOff>
      <xdr:row>117</xdr:row>
      <xdr:rowOff>152400</xdr:rowOff>
    </xdr:to>
    <xdr:graphicFrame macro="">
      <xdr:nvGraphicFramePr>
        <xdr:cNvPr id="4" name="Chart 3">
          <a:extLst>
            <a:ext uri="{FF2B5EF4-FFF2-40B4-BE49-F238E27FC236}">
              <a16:creationId xmlns=""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0</xdr:rowOff>
    </xdr:from>
    <xdr:to>
      <xdr:col>15</xdr:col>
      <xdr:colOff>19049</xdr:colOff>
      <xdr:row>5</xdr:row>
      <xdr:rowOff>19049</xdr:rowOff>
    </xdr:to>
    <xdr:grpSp>
      <xdr:nvGrpSpPr>
        <xdr:cNvPr id="5" name="Grupo 21">
          <a:extLst>
            <a:ext uri="{FF2B5EF4-FFF2-40B4-BE49-F238E27FC236}">
              <a16:creationId xmlns="" xmlns:a16="http://schemas.microsoft.com/office/drawing/2014/main" id="{00000000-0008-0000-1600-000005000000}"/>
            </a:ext>
          </a:extLst>
        </xdr:cNvPr>
        <xdr:cNvGrpSpPr/>
      </xdr:nvGrpSpPr>
      <xdr:grpSpPr>
        <a:xfrm>
          <a:off x="0" y="0"/>
          <a:ext cx="10182224" cy="971549"/>
          <a:chOff x="9592236" y="1916205"/>
          <a:chExt cx="9551614" cy="1736913"/>
        </a:xfrm>
      </xdr:grpSpPr>
      <xdr:pic>
        <xdr:nvPicPr>
          <xdr:cNvPr id="6" name="Imagen 22">
            <a:extLst>
              <a:ext uri="{FF2B5EF4-FFF2-40B4-BE49-F238E27FC236}">
                <a16:creationId xmlns="" xmlns:a16="http://schemas.microsoft.com/office/drawing/2014/main" id="{00000000-0008-0000-16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592236" y="1916206"/>
            <a:ext cx="2398060" cy="1724447"/>
          </a:xfrm>
          <a:prstGeom prst="rect">
            <a:avLst/>
          </a:prstGeom>
        </xdr:spPr>
      </xdr:pic>
      <xdr:pic>
        <xdr:nvPicPr>
          <xdr:cNvPr id="7" name="Imagen 23">
            <a:extLst>
              <a:ext uri="{FF2B5EF4-FFF2-40B4-BE49-F238E27FC236}">
                <a16:creationId xmlns="" xmlns:a16="http://schemas.microsoft.com/office/drawing/2014/main" id="{00000000-0008-0000-16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90293" y="1916206"/>
            <a:ext cx="2386854" cy="1716389"/>
          </a:xfrm>
          <a:prstGeom prst="rect">
            <a:avLst/>
          </a:prstGeom>
        </xdr:spPr>
      </xdr:pic>
      <xdr:pic>
        <xdr:nvPicPr>
          <xdr:cNvPr id="8" name="Imagen 24">
            <a:extLst>
              <a:ext uri="{FF2B5EF4-FFF2-40B4-BE49-F238E27FC236}">
                <a16:creationId xmlns="" xmlns:a16="http://schemas.microsoft.com/office/drawing/2014/main" id="{00000000-0008-0000-1600-000008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4377147" y="1916205"/>
            <a:ext cx="2398059" cy="1724447"/>
          </a:xfrm>
          <a:prstGeom prst="rect">
            <a:avLst/>
          </a:prstGeom>
        </xdr:spPr>
      </xdr:pic>
      <xdr:pic>
        <xdr:nvPicPr>
          <xdr:cNvPr id="9" name="Imagen 25">
            <a:extLst>
              <a:ext uri="{FF2B5EF4-FFF2-40B4-BE49-F238E27FC236}">
                <a16:creationId xmlns="" xmlns:a16="http://schemas.microsoft.com/office/drawing/2014/main" id="{00000000-0008-0000-1600-00000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6775204" y="1949822"/>
            <a:ext cx="2368646" cy="1703296"/>
          </a:xfrm>
          <a:prstGeom prst="rect">
            <a:avLst/>
          </a:prstGeom>
        </xdr:spPr>
      </xdr:pic>
    </xdr:grpSp>
    <xdr:clientData/>
  </xdr:twoCellAnchor>
  <xdr:twoCellAnchor>
    <xdr:from>
      <xdr:col>0</xdr:col>
      <xdr:colOff>1562100</xdr:colOff>
      <xdr:row>0</xdr:row>
      <xdr:rowOff>114300</xdr:rowOff>
    </xdr:from>
    <xdr:to>
      <xdr:col>11</xdr:col>
      <xdr:colOff>276225</xdr:colOff>
      <xdr:row>4</xdr:row>
      <xdr:rowOff>146231</xdr:rowOff>
    </xdr:to>
    <xdr:sp macro="" textlink="">
      <xdr:nvSpPr>
        <xdr:cNvPr id="10" name="CuadroTexto 4">
          <a:extLst>
            <a:ext uri="{FF2B5EF4-FFF2-40B4-BE49-F238E27FC236}">
              <a16:creationId xmlns="" xmlns:a16="http://schemas.microsoft.com/office/drawing/2014/main" id="{00000000-0008-0000-1600-00000A000000}"/>
            </a:ext>
          </a:extLst>
        </xdr:cNvPr>
        <xdr:cNvSpPr txBox="1"/>
      </xdr:nvSpPr>
      <xdr:spPr>
        <a:xfrm>
          <a:off x="1562100" y="114300"/>
          <a:ext cx="6448425" cy="793931"/>
        </a:xfrm>
        <a:prstGeom prst="rect">
          <a:avLst/>
        </a:prstGeom>
        <a:solidFill>
          <a:schemeClr val="accent5">
            <a:lumMod val="20000"/>
            <a:lumOff val="80000"/>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PE" sz="2400" b="1">
              <a:solidFill>
                <a:schemeClr val="accent5">
                  <a:lumMod val="75000"/>
                </a:schemeClr>
              </a:solidFill>
              <a:latin typeface="Arial" panose="020B0604020202020204" pitchFamily="34" charset="0"/>
              <a:cs typeface="Arial" panose="020B0604020202020204" pitchFamily="34" charset="0"/>
            </a:rPr>
            <a:t>BALANCE HIDRICO EN LA SITUACIÓN FUTURA</a:t>
          </a:r>
        </a:p>
      </xdr:txBody>
    </xdr:sp>
    <xdr:clientData/>
  </xdr:twoCellAnchor>
  <mc:AlternateContent xmlns:mc="http://schemas.openxmlformats.org/markup-compatibility/2006">
    <mc:Choice xmlns:a14="http://schemas.microsoft.com/office/drawing/2010/main" Requires="a14">
      <xdr:twoCellAnchor editAs="oneCell">
        <xdr:from>
          <xdr:col>12</xdr:col>
          <xdr:colOff>161925</xdr:colOff>
          <xdr:row>3</xdr:row>
          <xdr:rowOff>76200</xdr:rowOff>
        </xdr:from>
        <xdr:to>
          <xdr:col>15</xdr:col>
          <xdr:colOff>19050</xdr:colOff>
          <xdr:row>5</xdr:row>
          <xdr:rowOff>19050</xdr:rowOff>
        </xdr:to>
        <xdr:sp macro="" textlink="">
          <xdr:nvSpPr>
            <xdr:cNvPr id="84993" name="Btn_Ir_a_BrechaServicio" hidden="1">
              <a:extLst>
                <a:ext uri="{63B3BB69-23CF-44E3-9099-C40C66FF867C}">
                  <a14:compatExt spid="_x0000_s84993"/>
                </a:ext>
                <a:ext uri="{FF2B5EF4-FFF2-40B4-BE49-F238E27FC236}">
                  <a16:creationId xmlns="" xmlns:a16="http://schemas.microsoft.com/office/drawing/2014/main" id="{00000000-0008-0000-1600-000001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0</xdr:row>
          <xdr:rowOff>0</xdr:rowOff>
        </xdr:from>
        <xdr:to>
          <xdr:col>15</xdr:col>
          <xdr:colOff>19050</xdr:colOff>
          <xdr:row>1</xdr:row>
          <xdr:rowOff>133350</xdr:rowOff>
        </xdr:to>
        <xdr:sp macro="" textlink="">
          <xdr:nvSpPr>
            <xdr:cNvPr id="84994" name="Btn_Ir_a_BalanceHSP" hidden="1">
              <a:extLst>
                <a:ext uri="{63B3BB69-23CF-44E3-9099-C40C66FF867C}">
                  <a14:compatExt spid="_x0000_s84994"/>
                </a:ext>
                <a:ext uri="{FF2B5EF4-FFF2-40B4-BE49-F238E27FC236}">
                  <a16:creationId xmlns="" xmlns:a16="http://schemas.microsoft.com/office/drawing/2014/main" id="{00000000-0008-0000-1600-000002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1</xdr:row>
          <xdr:rowOff>133350</xdr:rowOff>
        </xdr:from>
        <xdr:to>
          <xdr:col>15</xdr:col>
          <xdr:colOff>19050</xdr:colOff>
          <xdr:row>3</xdr:row>
          <xdr:rowOff>76200</xdr:rowOff>
        </xdr:to>
        <xdr:sp macro="" textlink="">
          <xdr:nvSpPr>
            <xdr:cNvPr id="84996" name="Btn_Formulario_Balance" hidden="1">
              <a:extLst>
                <a:ext uri="{63B3BB69-23CF-44E3-9099-C40C66FF867C}">
                  <a14:compatExt spid="_x0000_s84996"/>
                </a:ext>
                <a:ext uri="{FF2B5EF4-FFF2-40B4-BE49-F238E27FC236}">
                  <a16:creationId xmlns="" xmlns:a16="http://schemas.microsoft.com/office/drawing/2014/main" id="{00000000-0008-0000-1600-000004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457200</xdr:colOff>
          <xdr:row>0</xdr:row>
          <xdr:rowOff>38100</xdr:rowOff>
        </xdr:from>
        <xdr:to>
          <xdr:col>16</xdr:col>
          <xdr:colOff>95250</xdr:colOff>
          <xdr:row>1</xdr:row>
          <xdr:rowOff>171450</xdr:rowOff>
        </xdr:to>
        <xdr:sp macro="" textlink="">
          <xdr:nvSpPr>
            <xdr:cNvPr id="88065" name="Regresar_Evaluacion_Social" hidden="1">
              <a:extLst>
                <a:ext uri="{63B3BB69-23CF-44E3-9099-C40C66FF867C}">
                  <a14:compatExt spid="_x0000_s88065"/>
                </a:ext>
                <a:ext uri="{FF2B5EF4-FFF2-40B4-BE49-F238E27FC236}">
                  <a16:creationId xmlns="" xmlns:a16="http://schemas.microsoft.com/office/drawing/2014/main" id="{00000000-0008-0000-17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24</xdr:col>
      <xdr:colOff>428625</xdr:colOff>
      <xdr:row>42</xdr:row>
      <xdr:rowOff>47625</xdr:rowOff>
    </xdr:from>
    <xdr:to>
      <xdr:col>31</xdr:col>
      <xdr:colOff>371475</xdr:colOff>
      <xdr:row>59</xdr:row>
      <xdr:rowOff>23812</xdr:rowOff>
    </xdr:to>
    <xdr:graphicFrame macro="">
      <xdr:nvGraphicFramePr>
        <xdr:cNvPr id="2" name="Gráfico 1">
          <a:extLst>
            <a:ext uri="{FF2B5EF4-FFF2-40B4-BE49-F238E27FC236}">
              <a16:creationId xmlns=""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0</xdr:colOff>
      <xdr:row>61</xdr:row>
      <xdr:rowOff>0</xdr:rowOff>
    </xdr:from>
    <xdr:to>
      <xdr:col>31</xdr:col>
      <xdr:colOff>704850</xdr:colOff>
      <xdr:row>77</xdr:row>
      <xdr:rowOff>166687</xdr:rowOff>
    </xdr:to>
    <xdr:graphicFrame macro="">
      <xdr:nvGraphicFramePr>
        <xdr:cNvPr id="3" name="Gráfico 1">
          <a:extLst>
            <a:ext uri="{FF2B5EF4-FFF2-40B4-BE49-F238E27FC236}">
              <a16:creationId xmlns=""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80</xdr:row>
      <xdr:rowOff>0</xdr:rowOff>
    </xdr:from>
    <xdr:to>
      <xdr:col>31</xdr:col>
      <xdr:colOff>704850</xdr:colOff>
      <xdr:row>96</xdr:row>
      <xdr:rowOff>166687</xdr:rowOff>
    </xdr:to>
    <xdr:graphicFrame macro="">
      <xdr:nvGraphicFramePr>
        <xdr:cNvPr id="4" name="Gráfico 1">
          <a:extLst>
            <a:ext uri="{FF2B5EF4-FFF2-40B4-BE49-F238E27FC236}">
              <a16:creationId xmlns=""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22411</xdr:colOff>
      <xdr:row>116</xdr:row>
      <xdr:rowOff>22412</xdr:rowOff>
    </xdr:from>
    <xdr:to>
      <xdr:col>4</xdr:col>
      <xdr:colOff>317686</xdr:colOff>
      <xdr:row>117</xdr:row>
      <xdr:rowOff>4482</xdr:rowOff>
    </xdr:to>
    <xdr:pic>
      <xdr:nvPicPr>
        <xdr:cNvPr id="6" name="Imagen 11">
          <a:extLst>
            <a:ext uri="{FF2B5EF4-FFF2-40B4-BE49-F238E27FC236}">
              <a16:creationId xmlns="" xmlns:a16="http://schemas.microsoft.com/office/drawing/2014/main" id="{00000000-0008-0000-1900-000006000000}"/>
            </a:ext>
          </a:extLst>
        </xdr:cNvPr>
        <xdr:cNvPicPr>
          <a:picLocks noChangeAspect="1"/>
        </xdr:cNvPicPr>
      </xdr:nvPicPr>
      <xdr:blipFill rotWithShape="1">
        <a:blip xmlns:r="http://schemas.openxmlformats.org/officeDocument/2006/relationships" r:embed="rId1"/>
        <a:srcRect r="4060"/>
        <a:stretch/>
      </xdr:blipFill>
      <xdr:spPr>
        <a:xfrm>
          <a:off x="403411" y="23187212"/>
          <a:ext cx="1771650" cy="515470"/>
        </a:xfrm>
        <a:prstGeom prst="rect">
          <a:avLst/>
        </a:prstGeom>
      </xdr:spPr>
    </xdr:pic>
    <xdr:clientData/>
  </xdr:twoCellAnchor>
  <xdr:twoCellAnchor editAs="oneCell">
    <xdr:from>
      <xdr:col>1</xdr:col>
      <xdr:colOff>33618</xdr:colOff>
      <xdr:row>142</xdr:row>
      <xdr:rowOff>33618</xdr:rowOff>
    </xdr:from>
    <xdr:to>
      <xdr:col>4</xdr:col>
      <xdr:colOff>284070</xdr:colOff>
      <xdr:row>142</xdr:row>
      <xdr:rowOff>185960</xdr:rowOff>
    </xdr:to>
    <xdr:pic>
      <xdr:nvPicPr>
        <xdr:cNvPr id="7" name="Imagen 16">
          <a:extLst>
            <a:ext uri="{FF2B5EF4-FFF2-40B4-BE49-F238E27FC236}">
              <a16:creationId xmlns="" xmlns:a16="http://schemas.microsoft.com/office/drawing/2014/main" id="{00000000-0008-0000-1900-000007000000}"/>
            </a:ext>
          </a:extLst>
        </xdr:cNvPr>
        <xdr:cNvPicPr>
          <a:picLocks noChangeAspect="1"/>
        </xdr:cNvPicPr>
      </xdr:nvPicPr>
      <xdr:blipFill rotWithShape="1">
        <a:blip xmlns:r="http://schemas.openxmlformats.org/officeDocument/2006/relationships" r:embed="rId2"/>
        <a:srcRect r="4013"/>
        <a:stretch/>
      </xdr:blipFill>
      <xdr:spPr>
        <a:xfrm>
          <a:off x="414618" y="28703868"/>
          <a:ext cx="1726827" cy="466667"/>
        </a:xfrm>
        <a:prstGeom prst="rect">
          <a:avLst/>
        </a:prstGeom>
      </xdr:spPr>
    </xdr:pic>
    <xdr:clientData/>
  </xdr:twoCellAnchor>
  <xdr:twoCellAnchor editAs="oneCell">
    <xdr:from>
      <xdr:col>1</xdr:col>
      <xdr:colOff>22412</xdr:colOff>
      <xdr:row>168</xdr:row>
      <xdr:rowOff>22412</xdr:rowOff>
    </xdr:from>
    <xdr:to>
      <xdr:col>4</xdr:col>
      <xdr:colOff>292474</xdr:colOff>
      <xdr:row>169</xdr:row>
      <xdr:rowOff>1121</xdr:rowOff>
    </xdr:to>
    <xdr:pic>
      <xdr:nvPicPr>
        <xdr:cNvPr id="8" name="Imagen 19">
          <a:extLst>
            <a:ext uri="{FF2B5EF4-FFF2-40B4-BE49-F238E27FC236}">
              <a16:creationId xmlns="" xmlns:a16="http://schemas.microsoft.com/office/drawing/2014/main" id="{00000000-0008-0000-1900-000008000000}"/>
            </a:ext>
          </a:extLst>
        </xdr:cNvPr>
        <xdr:cNvPicPr>
          <a:picLocks noChangeAspect="1"/>
        </xdr:cNvPicPr>
      </xdr:nvPicPr>
      <xdr:blipFill>
        <a:blip xmlns:r="http://schemas.openxmlformats.org/officeDocument/2006/relationships" r:embed="rId3"/>
        <a:stretch>
          <a:fillRect/>
        </a:stretch>
      </xdr:blipFill>
      <xdr:spPr>
        <a:xfrm>
          <a:off x="403412" y="34102862"/>
          <a:ext cx="1746437" cy="493059"/>
        </a:xfrm>
        <a:prstGeom prst="rect">
          <a:avLst/>
        </a:prstGeom>
      </xdr:spPr>
    </xdr:pic>
    <xdr:clientData/>
  </xdr:twoCellAnchor>
  <xdr:twoCellAnchor editAs="oneCell">
    <xdr:from>
      <xdr:col>1</xdr:col>
      <xdr:colOff>33616</xdr:colOff>
      <xdr:row>108</xdr:row>
      <xdr:rowOff>33621</xdr:rowOff>
    </xdr:from>
    <xdr:to>
      <xdr:col>15</xdr:col>
      <xdr:colOff>555811</xdr:colOff>
      <xdr:row>109</xdr:row>
      <xdr:rowOff>187390</xdr:rowOff>
    </xdr:to>
    <xdr:pic>
      <xdr:nvPicPr>
        <xdr:cNvPr id="9" name="Imagen 22">
          <a:extLst>
            <a:ext uri="{FF2B5EF4-FFF2-40B4-BE49-F238E27FC236}">
              <a16:creationId xmlns="" xmlns:a16="http://schemas.microsoft.com/office/drawing/2014/main" id="{00000000-0008-0000-1900-000009000000}"/>
            </a:ext>
          </a:extLst>
        </xdr:cNvPr>
        <xdr:cNvPicPr>
          <a:picLocks noChangeAspect="1"/>
        </xdr:cNvPicPr>
      </xdr:nvPicPr>
      <xdr:blipFill>
        <a:blip xmlns:r="http://schemas.openxmlformats.org/officeDocument/2006/relationships" r:embed="rId4"/>
        <a:stretch>
          <a:fillRect/>
        </a:stretch>
      </xdr:blipFill>
      <xdr:spPr>
        <a:xfrm>
          <a:off x="414616" y="21474396"/>
          <a:ext cx="7161120" cy="420469"/>
        </a:xfrm>
        <a:prstGeom prst="rect">
          <a:avLst/>
        </a:prstGeom>
      </xdr:spPr>
    </xdr:pic>
    <xdr:clientData/>
  </xdr:twoCellAnchor>
  <xdr:twoCellAnchor editAs="oneCell">
    <xdr:from>
      <xdr:col>1</xdr:col>
      <xdr:colOff>22411</xdr:colOff>
      <xdr:row>194</xdr:row>
      <xdr:rowOff>22411</xdr:rowOff>
    </xdr:from>
    <xdr:to>
      <xdr:col>4</xdr:col>
      <xdr:colOff>306480</xdr:colOff>
      <xdr:row>195</xdr:row>
      <xdr:rowOff>1121</xdr:rowOff>
    </xdr:to>
    <xdr:pic>
      <xdr:nvPicPr>
        <xdr:cNvPr id="10" name="Imagen 31">
          <a:extLst>
            <a:ext uri="{FF2B5EF4-FFF2-40B4-BE49-F238E27FC236}">
              <a16:creationId xmlns="" xmlns:a16="http://schemas.microsoft.com/office/drawing/2014/main" id="{00000000-0008-0000-1900-00000A000000}"/>
            </a:ext>
          </a:extLst>
        </xdr:cNvPr>
        <xdr:cNvPicPr>
          <a:picLocks noChangeAspect="1"/>
        </xdr:cNvPicPr>
      </xdr:nvPicPr>
      <xdr:blipFill>
        <a:blip xmlns:r="http://schemas.openxmlformats.org/officeDocument/2006/relationships" r:embed="rId5"/>
        <a:stretch>
          <a:fillRect/>
        </a:stretch>
      </xdr:blipFill>
      <xdr:spPr>
        <a:xfrm>
          <a:off x="403411" y="39513061"/>
          <a:ext cx="1760444" cy="493060"/>
        </a:xfrm>
        <a:prstGeom prst="rect">
          <a:avLst/>
        </a:prstGeom>
      </xdr:spPr>
    </xdr:pic>
    <xdr:clientData/>
  </xdr:twoCellAnchor>
  <xdr:twoCellAnchor>
    <xdr:from>
      <xdr:col>17</xdr:col>
      <xdr:colOff>324970</xdr:colOff>
      <xdr:row>38</xdr:row>
      <xdr:rowOff>118223</xdr:rowOff>
    </xdr:from>
    <xdr:to>
      <xdr:col>19</xdr:col>
      <xdr:colOff>495860</xdr:colOff>
      <xdr:row>42</xdr:row>
      <xdr:rowOff>393887</xdr:rowOff>
    </xdr:to>
    <xdr:sp macro="[0]!Ir_a_Area_Estudio" textlink="">
      <xdr:nvSpPr>
        <xdr:cNvPr id="11" name="Rectángulo 39">
          <a:extLst>
            <a:ext uri="{FF2B5EF4-FFF2-40B4-BE49-F238E27FC236}">
              <a16:creationId xmlns="" xmlns:a16="http://schemas.microsoft.com/office/drawing/2014/main" id="{00000000-0008-0000-1900-00000B000000}"/>
            </a:ext>
          </a:extLst>
        </xdr:cNvPr>
        <xdr:cNvSpPr/>
      </xdr:nvSpPr>
      <xdr:spPr>
        <a:xfrm>
          <a:off x="10650070" y="7671548"/>
          <a:ext cx="1694890" cy="790014"/>
        </a:xfrm>
        <a:prstGeom prst="rect">
          <a:avLst/>
        </a:prstGeom>
        <a:solidFill>
          <a:schemeClr val="accent2"/>
        </a:solidFill>
        <a:ln>
          <a:solidFill>
            <a:schemeClr val="accent2">
              <a:lumMod val="75000"/>
            </a:schemeClr>
          </a:solidFill>
        </a:ln>
        <a:scene3d>
          <a:camera prst="orthographicFront"/>
          <a:lightRig rig="threePt" dir="t"/>
        </a:scene3d>
        <a:sp3d>
          <a:bevelT/>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s-ES" sz="1400" b="1"/>
            <a:t>Regresar</a:t>
          </a:r>
          <a:r>
            <a:rPr lang="es-ES" sz="1400" b="1" baseline="0"/>
            <a:t> a hoja de Area de Estudio</a:t>
          </a:r>
          <a:endParaRPr lang="es-ES" sz="1400" b="1"/>
        </a:p>
      </xdr:txBody>
    </xdr:sp>
    <xdr:clientData/>
  </xdr:twoCellAnchor>
  <xdr:twoCellAnchor>
    <xdr:from>
      <xdr:col>13</xdr:col>
      <xdr:colOff>56029</xdr:colOff>
      <xdr:row>55</xdr:row>
      <xdr:rowOff>0</xdr:rowOff>
    </xdr:from>
    <xdr:to>
      <xdr:col>15</xdr:col>
      <xdr:colOff>100853</xdr:colOff>
      <xdr:row>56</xdr:row>
      <xdr:rowOff>56029</xdr:rowOff>
    </xdr:to>
    <xdr:sp macro="[0]!Cargar_imagenes" textlink="">
      <xdr:nvSpPr>
        <xdr:cNvPr id="12" name="Rectángulo 40">
          <a:extLst>
            <a:ext uri="{FF2B5EF4-FFF2-40B4-BE49-F238E27FC236}">
              <a16:creationId xmlns="" xmlns:a16="http://schemas.microsoft.com/office/drawing/2014/main" id="{00000000-0008-0000-1900-00000C000000}"/>
            </a:ext>
          </a:extLst>
        </xdr:cNvPr>
        <xdr:cNvSpPr/>
      </xdr:nvSpPr>
      <xdr:spPr>
        <a:xfrm>
          <a:off x="7637929" y="10763250"/>
          <a:ext cx="1264024" cy="456079"/>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 mapa generado</a:t>
          </a:r>
        </a:p>
      </xdr:txBody>
    </xdr:sp>
    <xdr:clientData/>
  </xdr:twoCellAnchor>
  <xdr:twoCellAnchor>
    <xdr:from>
      <xdr:col>13</xdr:col>
      <xdr:colOff>56029</xdr:colOff>
      <xdr:row>86</xdr:row>
      <xdr:rowOff>22412</xdr:rowOff>
    </xdr:from>
    <xdr:to>
      <xdr:col>15</xdr:col>
      <xdr:colOff>100853</xdr:colOff>
      <xdr:row>87</xdr:row>
      <xdr:rowOff>67235</xdr:rowOff>
    </xdr:to>
    <xdr:sp macro="[0]!Cargar_imagenes" textlink="">
      <xdr:nvSpPr>
        <xdr:cNvPr id="23" name="Rectángulo 54">
          <a:extLst>
            <a:ext uri="{FF2B5EF4-FFF2-40B4-BE49-F238E27FC236}">
              <a16:creationId xmlns="" xmlns:a16="http://schemas.microsoft.com/office/drawing/2014/main" id="{00000000-0008-0000-1900-000017000000}"/>
            </a:ext>
          </a:extLst>
        </xdr:cNvPr>
        <xdr:cNvSpPr/>
      </xdr:nvSpPr>
      <xdr:spPr>
        <a:xfrm>
          <a:off x="7637929" y="16900712"/>
          <a:ext cx="1264024" cy="454398"/>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 mapa generado</a:t>
          </a:r>
        </a:p>
      </xdr:txBody>
    </xdr:sp>
    <xdr:clientData/>
  </xdr:twoCellAnchor>
  <xdr:twoCellAnchor>
    <xdr:from>
      <xdr:col>13</xdr:col>
      <xdr:colOff>89646</xdr:colOff>
      <xdr:row>116</xdr:row>
      <xdr:rowOff>526676</xdr:rowOff>
    </xdr:from>
    <xdr:to>
      <xdr:col>15</xdr:col>
      <xdr:colOff>134470</xdr:colOff>
      <xdr:row>118</xdr:row>
      <xdr:rowOff>44823</xdr:rowOff>
    </xdr:to>
    <xdr:sp macro="[0]!Cargar_imagenes" textlink="">
      <xdr:nvSpPr>
        <xdr:cNvPr id="24" name="Rectángulo 55">
          <a:extLst>
            <a:ext uri="{FF2B5EF4-FFF2-40B4-BE49-F238E27FC236}">
              <a16:creationId xmlns="" xmlns:a16="http://schemas.microsoft.com/office/drawing/2014/main" id="{00000000-0008-0000-1900-000018000000}"/>
            </a:ext>
          </a:extLst>
        </xdr:cNvPr>
        <xdr:cNvSpPr/>
      </xdr:nvSpPr>
      <xdr:spPr>
        <a:xfrm>
          <a:off x="7671546" y="23691476"/>
          <a:ext cx="1264024" cy="451597"/>
        </a:xfrm>
        <a:prstGeom prst="rect">
          <a:avLst/>
        </a:prstGeom>
        <a:solidFill>
          <a:schemeClr val="accent2">
            <a:lumMod val="50000"/>
          </a:schemeClr>
        </a:solidFill>
        <a:ln>
          <a:solidFill>
            <a:schemeClr val="accent2">
              <a:lumMod val="75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a:t>
          </a:r>
          <a:r>
            <a:rPr lang="es-ES" sz="1000" b="1" baseline="0">
              <a:latin typeface="Arial" panose="020B0604020202020204" pitchFamily="34" charset="0"/>
              <a:cs typeface="Arial" panose="020B0604020202020204" pitchFamily="34" charset="0"/>
            </a:rPr>
            <a:t> mapa </a:t>
          </a:r>
          <a:r>
            <a:rPr lang="es-ES" sz="1000" b="1">
              <a:latin typeface="Arial" panose="020B0604020202020204" pitchFamily="34" charset="0"/>
              <a:cs typeface="Arial" panose="020B0604020202020204" pitchFamily="34" charset="0"/>
            </a:rPr>
            <a:t>generado</a:t>
          </a:r>
        </a:p>
      </xdr:txBody>
    </xdr:sp>
    <xdr:clientData/>
  </xdr:twoCellAnchor>
  <xdr:twoCellAnchor>
    <xdr:from>
      <xdr:col>13</xdr:col>
      <xdr:colOff>73958</xdr:colOff>
      <xdr:row>142</xdr:row>
      <xdr:rowOff>533400</xdr:rowOff>
    </xdr:from>
    <xdr:to>
      <xdr:col>15</xdr:col>
      <xdr:colOff>118782</xdr:colOff>
      <xdr:row>144</xdr:row>
      <xdr:rowOff>51547</xdr:rowOff>
    </xdr:to>
    <xdr:sp macro="[0]!Cargar_imagenes" textlink="">
      <xdr:nvSpPr>
        <xdr:cNvPr id="25" name="Rectángulo 56">
          <a:extLst>
            <a:ext uri="{FF2B5EF4-FFF2-40B4-BE49-F238E27FC236}">
              <a16:creationId xmlns="" xmlns:a16="http://schemas.microsoft.com/office/drawing/2014/main" id="{00000000-0008-0000-1900-000019000000}"/>
            </a:ext>
          </a:extLst>
        </xdr:cNvPr>
        <xdr:cNvSpPr/>
      </xdr:nvSpPr>
      <xdr:spPr>
        <a:xfrm>
          <a:off x="7655858" y="29203650"/>
          <a:ext cx="1264024" cy="451597"/>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a:t>
          </a:r>
          <a:r>
            <a:rPr lang="es-ES" sz="1000" b="1" baseline="0">
              <a:latin typeface="Arial" panose="020B0604020202020204" pitchFamily="34" charset="0"/>
              <a:cs typeface="Arial" panose="020B0604020202020204" pitchFamily="34" charset="0"/>
            </a:rPr>
            <a:t> gráfico </a:t>
          </a:r>
          <a:r>
            <a:rPr lang="es-ES" sz="1000" b="1">
              <a:latin typeface="Arial" panose="020B0604020202020204" pitchFamily="34" charset="0"/>
              <a:cs typeface="Arial" panose="020B0604020202020204" pitchFamily="34" charset="0"/>
            </a:rPr>
            <a:t>generado</a:t>
          </a:r>
        </a:p>
      </xdr:txBody>
    </xdr:sp>
    <xdr:clientData/>
  </xdr:twoCellAnchor>
  <xdr:twoCellAnchor>
    <xdr:from>
      <xdr:col>13</xdr:col>
      <xdr:colOff>56029</xdr:colOff>
      <xdr:row>168</xdr:row>
      <xdr:rowOff>504265</xdr:rowOff>
    </xdr:from>
    <xdr:to>
      <xdr:col>15</xdr:col>
      <xdr:colOff>100853</xdr:colOff>
      <xdr:row>170</xdr:row>
      <xdr:rowOff>22412</xdr:rowOff>
    </xdr:to>
    <xdr:sp macro="[0]!Cargar_imagenes" textlink="">
      <xdr:nvSpPr>
        <xdr:cNvPr id="26" name="Rectángulo 57">
          <a:extLst>
            <a:ext uri="{FF2B5EF4-FFF2-40B4-BE49-F238E27FC236}">
              <a16:creationId xmlns="" xmlns:a16="http://schemas.microsoft.com/office/drawing/2014/main" id="{00000000-0008-0000-1900-00001A000000}"/>
            </a:ext>
          </a:extLst>
        </xdr:cNvPr>
        <xdr:cNvSpPr/>
      </xdr:nvSpPr>
      <xdr:spPr>
        <a:xfrm>
          <a:off x="7637929" y="34584715"/>
          <a:ext cx="1264024" cy="451597"/>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a:t>
          </a:r>
          <a:r>
            <a:rPr lang="es-ES" sz="1000" b="1" baseline="0">
              <a:latin typeface="Arial" panose="020B0604020202020204" pitchFamily="34" charset="0"/>
              <a:cs typeface="Arial" panose="020B0604020202020204" pitchFamily="34" charset="0"/>
            </a:rPr>
            <a:t> gráfico </a:t>
          </a:r>
          <a:r>
            <a:rPr lang="es-ES" sz="1000" b="1">
              <a:latin typeface="Arial" panose="020B0604020202020204" pitchFamily="34" charset="0"/>
              <a:cs typeface="Arial" panose="020B0604020202020204" pitchFamily="34" charset="0"/>
            </a:rPr>
            <a:t>generado</a:t>
          </a:r>
        </a:p>
      </xdr:txBody>
    </xdr:sp>
    <xdr:clientData/>
  </xdr:twoCellAnchor>
  <xdr:twoCellAnchor>
    <xdr:from>
      <xdr:col>13</xdr:col>
      <xdr:colOff>89648</xdr:colOff>
      <xdr:row>194</xdr:row>
      <xdr:rowOff>537882</xdr:rowOff>
    </xdr:from>
    <xdr:to>
      <xdr:col>15</xdr:col>
      <xdr:colOff>134472</xdr:colOff>
      <xdr:row>196</xdr:row>
      <xdr:rowOff>56029</xdr:rowOff>
    </xdr:to>
    <xdr:sp macro="[0]!Cargar_imagenes" textlink="">
      <xdr:nvSpPr>
        <xdr:cNvPr id="27" name="Rectángulo 58">
          <a:extLst>
            <a:ext uri="{FF2B5EF4-FFF2-40B4-BE49-F238E27FC236}">
              <a16:creationId xmlns="" xmlns:a16="http://schemas.microsoft.com/office/drawing/2014/main" id="{00000000-0008-0000-1900-00001B000000}"/>
            </a:ext>
          </a:extLst>
        </xdr:cNvPr>
        <xdr:cNvSpPr/>
      </xdr:nvSpPr>
      <xdr:spPr>
        <a:xfrm>
          <a:off x="7671548" y="40028532"/>
          <a:ext cx="1264024" cy="451597"/>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a:t>
          </a:r>
          <a:r>
            <a:rPr lang="es-ES" sz="1000" b="1" baseline="0">
              <a:latin typeface="Arial" panose="020B0604020202020204" pitchFamily="34" charset="0"/>
              <a:cs typeface="Arial" panose="020B0604020202020204" pitchFamily="34" charset="0"/>
            </a:rPr>
            <a:t> gráfico </a:t>
          </a:r>
          <a:r>
            <a:rPr lang="es-ES" sz="1000" b="1">
              <a:latin typeface="Arial" panose="020B0604020202020204" pitchFamily="34" charset="0"/>
              <a:cs typeface="Arial" panose="020B0604020202020204" pitchFamily="34" charset="0"/>
            </a:rPr>
            <a:t>generado</a:t>
          </a:r>
        </a:p>
      </xdr:txBody>
    </xdr:sp>
    <xdr:clientData/>
  </xdr:twoCellAnchor>
  <xdr:twoCellAnchor>
    <xdr:from>
      <xdr:col>10</xdr:col>
      <xdr:colOff>549089</xdr:colOff>
      <xdr:row>225</xdr:row>
      <xdr:rowOff>100853</xdr:rowOff>
    </xdr:from>
    <xdr:to>
      <xdr:col>12</xdr:col>
      <xdr:colOff>593913</xdr:colOff>
      <xdr:row>226</xdr:row>
      <xdr:rowOff>369794</xdr:rowOff>
    </xdr:to>
    <xdr:sp macro="[0]!Cargar_imagenes" textlink="">
      <xdr:nvSpPr>
        <xdr:cNvPr id="28" name="Rectángulo 59">
          <a:extLst>
            <a:ext uri="{FF2B5EF4-FFF2-40B4-BE49-F238E27FC236}">
              <a16:creationId xmlns="" xmlns:a16="http://schemas.microsoft.com/office/drawing/2014/main" id="{00000000-0008-0000-1900-00001C000000}"/>
            </a:ext>
          </a:extLst>
        </xdr:cNvPr>
        <xdr:cNvSpPr/>
      </xdr:nvSpPr>
      <xdr:spPr>
        <a:xfrm>
          <a:off x="6330764" y="46287578"/>
          <a:ext cx="1244974" cy="459441"/>
        </a:xfrm>
        <a:prstGeom prst="rect">
          <a:avLst/>
        </a:prstGeom>
        <a:solidFill>
          <a:schemeClr val="accent2">
            <a:lumMod val="50000"/>
          </a:schemeClr>
        </a:solidFill>
        <a:ln>
          <a:solidFill>
            <a:schemeClr val="accent2">
              <a:lumMod val="75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a:t>
          </a:r>
          <a:r>
            <a:rPr lang="es-ES" sz="1000" b="1" baseline="0">
              <a:latin typeface="Arial" panose="020B0604020202020204" pitchFamily="34" charset="0"/>
              <a:cs typeface="Arial" panose="020B0604020202020204" pitchFamily="34" charset="0"/>
            </a:rPr>
            <a:t> mapa </a:t>
          </a:r>
          <a:r>
            <a:rPr lang="es-ES" sz="1000" b="1">
              <a:latin typeface="Arial" panose="020B0604020202020204" pitchFamily="34" charset="0"/>
              <a:cs typeface="Arial" panose="020B0604020202020204" pitchFamily="34" charset="0"/>
            </a:rPr>
            <a:t>generado</a:t>
          </a:r>
        </a:p>
      </xdr:txBody>
    </xdr:sp>
    <xdr:clientData/>
  </xdr:twoCellAnchor>
  <xdr:twoCellAnchor>
    <xdr:from>
      <xdr:col>10</xdr:col>
      <xdr:colOff>549088</xdr:colOff>
      <xdr:row>260</xdr:row>
      <xdr:rowOff>100853</xdr:rowOff>
    </xdr:from>
    <xdr:to>
      <xdr:col>12</xdr:col>
      <xdr:colOff>593912</xdr:colOff>
      <xdr:row>261</xdr:row>
      <xdr:rowOff>369794</xdr:rowOff>
    </xdr:to>
    <xdr:sp macro="[0]!Cargar_imagenes" textlink="">
      <xdr:nvSpPr>
        <xdr:cNvPr id="29" name="Rectángulo 60">
          <a:extLst>
            <a:ext uri="{FF2B5EF4-FFF2-40B4-BE49-F238E27FC236}">
              <a16:creationId xmlns="" xmlns:a16="http://schemas.microsoft.com/office/drawing/2014/main" id="{00000000-0008-0000-1900-00001D000000}"/>
            </a:ext>
          </a:extLst>
        </xdr:cNvPr>
        <xdr:cNvSpPr/>
      </xdr:nvSpPr>
      <xdr:spPr>
        <a:xfrm>
          <a:off x="6330763" y="53145578"/>
          <a:ext cx="1244974" cy="459441"/>
        </a:xfrm>
        <a:prstGeom prst="rect">
          <a:avLst/>
        </a:prstGeom>
        <a:solidFill>
          <a:schemeClr val="accent2">
            <a:lumMod val="50000"/>
          </a:schemeClr>
        </a:solidFill>
        <a:ln>
          <a:solidFill>
            <a:schemeClr val="accent2">
              <a:lumMod val="75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a:t>
          </a:r>
          <a:r>
            <a:rPr lang="es-ES" sz="1000" b="1" baseline="0">
              <a:latin typeface="Arial" panose="020B0604020202020204" pitchFamily="34" charset="0"/>
              <a:cs typeface="Arial" panose="020B0604020202020204" pitchFamily="34" charset="0"/>
            </a:rPr>
            <a:t> mapa </a:t>
          </a:r>
          <a:r>
            <a:rPr lang="es-ES" sz="1000" b="1">
              <a:latin typeface="Arial" panose="020B0604020202020204" pitchFamily="34" charset="0"/>
              <a:cs typeface="Arial" panose="020B0604020202020204" pitchFamily="34" charset="0"/>
            </a:rPr>
            <a:t>generado</a:t>
          </a:r>
        </a:p>
      </xdr:txBody>
    </xdr:sp>
    <xdr:clientData/>
  </xdr:twoCellAnchor>
  <xdr:twoCellAnchor>
    <xdr:from>
      <xdr:col>15</xdr:col>
      <xdr:colOff>268942</xdr:colOff>
      <xdr:row>225</xdr:row>
      <xdr:rowOff>89647</xdr:rowOff>
    </xdr:from>
    <xdr:to>
      <xdr:col>17</xdr:col>
      <xdr:colOff>1</xdr:colOff>
      <xdr:row>226</xdr:row>
      <xdr:rowOff>358588</xdr:rowOff>
    </xdr:to>
    <xdr:sp macro="[0]!Cargar_imagenes" textlink="">
      <xdr:nvSpPr>
        <xdr:cNvPr id="30" name="Rectángulo 61">
          <a:extLst>
            <a:ext uri="{FF2B5EF4-FFF2-40B4-BE49-F238E27FC236}">
              <a16:creationId xmlns="" xmlns:a16="http://schemas.microsoft.com/office/drawing/2014/main" id="{00000000-0008-0000-1900-00001E000000}"/>
            </a:ext>
          </a:extLst>
        </xdr:cNvPr>
        <xdr:cNvSpPr/>
      </xdr:nvSpPr>
      <xdr:spPr>
        <a:xfrm>
          <a:off x="9070042" y="46276372"/>
          <a:ext cx="1255059" cy="459441"/>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a:t>
          </a:r>
          <a:r>
            <a:rPr lang="es-ES" sz="1000" b="1" baseline="0">
              <a:latin typeface="Arial" panose="020B0604020202020204" pitchFamily="34" charset="0"/>
              <a:cs typeface="Arial" panose="020B0604020202020204" pitchFamily="34" charset="0"/>
            </a:rPr>
            <a:t> leyenda de mapa</a:t>
          </a:r>
          <a:endParaRPr lang="es-ES" sz="1000" b="1">
            <a:latin typeface="Arial" panose="020B0604020202020204" pitchFamily="34" charset="0"/>
            <a:cs typeface="Arial" panose="020B0604020202020204" pitchFamily="34" charset="0"/>
          </a:endParaRPr>
        </a:p>
      </xdr:txBody>
    </xdr:sp>
    <xdr:clientData/>
  </xdr:twoCellAnchor>
  <xdr:twoCellAnchor>
    <xdr:from>
      <xdr:col>15</xdr:col>
      <xdr:colOff>268941</xdr:colOff>
      <xdr:row>260</xdr:row>
      <xdr:rowOff>89648</xdr:rowOff>
    </xdr:from>
    <xdr:to>
      <xdr:col>17</xdr:col>
      <xdr:colOff>0</xdr:colOff>
      <xdr:row>261</xdr:row>
      <xdr:rowOff>358589</xdr:rowOff>
    </xdr:to>
    <xdr:sp macro="[0]!Cargar_imagenes" textlink="">
      <xdr:nvSpPr>
        <xdr:cNvPr id="31" name="Rectángulo 62">
          <a:extLst>
            <a:ext uri="{FF2B5EF4-FFF2-40B4-BE49-F238E27FC236}">
              <a16:creationId xmlns="" xmlns:a16="http://schemas.microsoft.com/office/drawing/2014/main" id="{00000000-0008-0000-1900-00001F000000}"/>
            </a:ext>
          </a:extLst>
        </xdr:cNvPr>
        <xdr:cNvSpPr/>
      </xdr:nvSpPr>
      <xdr:spPr>
        <a:xfrm>
          <a:off x="9070041" y="53134373"/>
          <a:ext cx="1255059" cy="459441"/>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a:t>
          </a:r>
          <a:r>
            <a:rPr lang="es-ES" sz="1000" b="1" baseline="0">
              <a:latin typeface="Arial" panose="020B0604020202020204" pitchFamily="34" charset="0"/>
              <a:cs typeface="Arial" panose="020B0604020202020204" pitchFamily="34" charset="0"/>
            </a:rPr>
            <a:t> leyenda de mapa</a:t>
          </a:r>
          <a:endParaRPr lang="es-ES" sz="1000" b="1">
            <a:latin typeface="Arial" panose="020B0604020202020204" pitchFamily="34" charset="0"/>
            <a:cs typeface="Arial" panose="020B0604020202020204" pitchFamily="34" charset="0"/>
          </a:endParaRPr>
        </a:p>
      </xdr:txBody>
    </xdr:sp>
    <xdr:clientData/>
  </xdr:twoCellAnchor>
  <xdr:twoCellAnchor>
    <xdr:from>
      <xdr:col>8</xdr:col>
      <xdr:colOff>523875</xdr:colOff>
      <xdr:row>79</xdr:row>
      <xdr:rowOff>152400</xdr:rowOff>
    </xdr:from>
    <xdr:to>
      <xdr:col>13</xdr:col>
      <xdr:colOff>0</xdr:colOff>
      <xdr:row>81</xdr:row>
      <xdr:rowOff>66675</xdr:rowOff>
    </xdr:to>
    <xdr:sp macro="" textlink="">
      <xdr:nvSpPr>
        <xdr:cNvPr id="32" name="Rectángulo 63">
          <a:extLst>
            <a:ext uri="{FF2B5EF4-FFF2-40B4-BE49-F238E27FC236}">
              <a16:creationId xmlns="" xmlns:a16="http://schemas.microsoft.com/office/drawing/2014/main" id="{00000000-0008-0000-1900-000020000000}"/>
            </a:ext>
          </a:extLst>
        </xdr:cNvPr>
        <xdr:cNvSpPr/>
      </xdr:nvSpPr>
      <xdr:spPr>
        <a:xfrm>
          <a:off x="5105400" y="15697200"/>
          <a:ext cx="2476500" cy="295275"/>
        </a:xfrm>
        <a:prstGeom prst="rect">
          <a:avLst/>
        </a:prstGeom>
        <a:solidFill>
          <a:schemeClr val="accent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latin typeface="Arial" panose="020B0604020202020204" pitchFamily="34" charset="0"/>
              <a:cs typeface="Arial" panose="020B0604020202020204" pitchFamily="34" charset="0"/>
            </a:rPr>
            <a:t>Link (SENAMHI)</a:t>
          </a:r>
        </a:p>
      </xdr:txBody>
    </xdr:sp>
    <xdr:clientData/>
  </xdr:twoCellAnchor>
  <xdr:twoCellAnchor>
    <xdr:from>
      <xdr:col>8</xdr:col>
      <xdr:colOff>19050</xdr:colOff>
      <xdr:row>35</xdr:row>
      <xdr:rowOff>28575</xdr:rowOff>
    </xdr:from>
    <xdr:to>
      <xdr:col>13</xdr:col>
      <xdr:colOff>0</xdr:colOff>
      <xdr:row>35</xdr:row>
      <xdr:rowOff>257175</xdr:rowOff>
    </xdr:to>
    <xdr:sp macro="" textlink="">
      <xdr:nvSpPr>
        <xdr:cNvPr id="33" name="Rectángulo 64">
          <a:extLst>
            <a:ext uri="{FF2B5EF4-FFF2-40B4-BE49-F238E27FC236}">
              <a16:creationId xmlns="" xmlns:a16="http://schemas.microsoft.com/office/drawing/2014/main" id="{00000000-0008-0000-1900-000021000000}"/>
            </a:ext>
          </a:extLst>
        </xdr:cNvPr>
        <xdr:cNvSpPr/>
      </xdr:nvSpPr>
      <xdr:spPr>
        <a:xfrm>
          <a:off x="4600575" y="7019925"/>
          <a:ext cx="2981325" cy="228600"/>
        </a:xfrm>
        <a:prstGeom prst="rect">
          <a:avLst/>
        </a:prstGeom>
        <a:solidFill>
          <a:schemeClr val="accent2">
            <a:lumMod val="5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Link (IGP)</a:t>
          </a:r>
        </a:p>
      </xdr:txBody>
    </xdr:sp>
    <xdr:clientData/>
  </xdr:twoCellAnchor>
  <xdr:twoCellAnchor>
    <xdr:from>
      <xdr:col>10</xdr:col>
      <xdr:colOff>152961</xdr:colOff>
      <xdr:row>375</xdr:row>
      <xdr:rowOff>112619</xdr:rowOff>
    </xdr:from>
    <xdr:to>
      <xdr:col>13</xdr:col>
      <xdr:colOff>23533</xdr:colOff>
      <xdr:row>379</xdr:row>
      <xdr:rowOff>128307</xdr:rowOff>
    </xdr:to>
    <xdr:sp macro="[0]!Ir_a_Area_Estudio" textlink="">
      <xdr:nvSpPr>
        <xdr:cNvPr id="34" name="Rectángulo 33">
          <a:extLst>
            <a:ext uri="{FF2B5EF4-FFF2-40B4-BE49-F238E27FC236}">
              <a16:creationId xmlns="" xmlns:a16="http://schemas.microsoft.com/office/drawing/2014/main" id="{00000000-0008-0000-1900-000022000000}"/>
            </a:ext>
          </a:extLst>
        </xdr:cNvPr>
        <xdr:cNvSpPr/>
      </xdr:nvSpPr>
      <xdr:spPr>
        <a:xfrm>
          <a:off x="5934636" y="76931744"/>
          <a:ext cx="1670797" cy="777688"/>
        </a:xfrm>
        <a:prstGeom prst="rect">
          <a:avLst/>
        </a:prstGeom>
        <a:solidFill>
          <a:schemeClr val="accent2"/>
        </a:solidFill>
        <a:ln>
          <a:solidFill>
            <a:schemeClr val="accent2">
              <a:lumMod val="75000"/>
            </a:schemeClr>
          </a:solidFill>
        </a:ln>
        <a:scene3d>
          <a:camera prst="orthographicFront"/>
          <a:lightRig rig="threePt" dir="t"/>
        </a:scene3d>
        <a:sp3d>
          <a:bevelT/>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s-ES" sz="1400" b="1"/>
            <a:t>Regresar</a:t>
          </a:r>
          <a:r>
            <a:rPr lang="es-ES" sz="1400" b="1" baseline="0"/>
            <a:t> a hoja de Area de Estudio</a:t>
          </a:r>
          <a:endParaRPr lang="es-ES" sz="1400" b="1"/>
        </a:p>
      </xdr:txBody>
    </xdr:sp>
    <xdr:clientData/>
  </xdr:twoCellAnchor>
  <xdr:twoCellAnchor>
    <xdr:from>
      <xdr:col>13</xdr:col>
      <xdr:colOff>470647</xdr:colOff>
      <xdr:row>40</xdr:row>
      <xdr:rowOff>118783</xdr:rowOff>
    </xdr:from>
    <xdr:to>
      <xdr:col>17</xdr:col>
      <xdr:colOff>58269</xdr:colOff>
      <xdr:row>43</xdr:row>
      <xdr:rowOff>76199</xdr:rowOff>
    </xdr:to>
    <xdr:sp macro="[0]!Mostrar_Ayuda_Informacion_Peligros" textlink="">
      <xdr:nvSpPr>
        <xdr:cNvPr id="35" name="Rectángulo redondeado 31">
          <a:extLst>
            <a:ext uri="{FF2B5EF4-FFF2-40B4-BE49-F238E27FC236}">
              <a16:creationId xmlns="" xmlns:a16="http://schemas.microsoft.com/office/drawing/2014/main" id="{00000000-0008-0000-1900-000023000000}"/>
            </a:ext>
          </a:extLst>
        </xdr:cNvPr>
        <xdr:cNvSpPr/>
      </xdr:nvSpPr>
      <xdr:spPr>
        <a:xfrm>
          <a:off x="8052547" y="7919758"/>
          <a:ext cx="2330822" cy="633691"/>
        </a:xfrm>
        <a:prstGeom prst="roundRect">
          <a:avLst/>
        </a:prstGeom>
        <a:solidFill>
          <a:schemeClr val="accent2">
            <a:lumMod val="5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b="1">
              <a:solidFill>
                <a:schemeClr val="bg1"/>
              </a:solidFill>
              <a:effectLst/>
              <a:latin typeface="Arial Narrow" panose="020B0606020202030204" pitchFamily="34" charset="0"/>
              <a:ea typeface="+mn-ea"/>
              <a:cs typeface="+mn-cs"/>
            </a:rPr>
            <a:t>Instructivo de Gestión de Riesgos correspondiente</a:t>
          </a:r>
          <a:r>
            <a:rPr lang="es-PE" sz="1100" b="1" baseline="0">
              <a:solidFill>
                <a:schemeClr val="bg1"/>
              </a:solidFill>
              <a:effectLst/>
              <a:latin typeface="Arial Narrow" panose="020B0606020202030204" pitchFamily="34" charset="0"/>
              <a:ea typeface="+mn-ea"/>
              <a:cs typeface="+mn-cs"/>
            </a:rPr>
            <a:t> a Area de Estudio</a:t>
          </a:r>
          <a:endParaRPr lang="es-ES" sz="900" b="1">
            <a:solidFill>
              <a:schemeClr val="bg1"/>
            </a:solidFill>
            <a:effectLst/>
            <a:latin typeface="Arial Narrow" panose="020B0606020202030204" pitchFamily="34" charset="0"/>
          </a:endParaRPr>
        </a:p>
      </xdr:txBody>
    </xdr:sp>
    <xdr:clientData/>
  </xdr:twoCellAnchor>
  <xdr:twoCellAnchor>
    <xdr:from>
      <xdr:col>13</xdr:col>
      <xdr:colOff>156323</xdr:colOff>
      <xdr:row>296</xdr:row>
      <xdr:rowOff>33057</xdr:rowOff>
    </xdr:from>
    <xdr:to>
      <xdr:col>15</xdr:col>
      <xdr:colOff>201147</xdr:colOff>
      <xdr:row>296</xdr:row>
      <xdr:rowOff>484654</xdr:rowOff>
    </xdr:to>
    <xdr:sp macro="[0]!Cargar_imagenes" textlink="">
      <xdr:nvSpPr>
        <xdr:cNvPr id="36" name="Rectángulo 37">
          <a:extLst>
            <a:ext uri="{FF2B5EF4-FFF2-40B4-BE49-F238E27FC236}">
              <a16:creationId xmlns="" xmlns:a16="http://schemas.microsoft.com/office/drawing/2014/main" id="{00000000-0008-0000-1900-000024000000}"/>
            </a:ext>
          </a:extLst>
        </xdr:cNvPr>
        <xdr:cNvSpPr/>
      </xdr:nvSpPr>
      <xdr:spPr>
        <a:xfrm>
          <a:off x="7738223" y="59954832"/>
          <a:ext cx="1264024" cy="451597"/>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a:t>
          </a:r>
          <a:r>
            <a:rPr lang="es-ES" sz="1000" b="1" baseline="0">
              <a:latin typeface="Arial" panose="020B0604020202020204" pitchFamily="34" charset="0"/>
              <a:cs typeface="Arial" panose="020B0604020202020204" pitchFamily="34" charset="0"/>
            </a:rPr>
            <a:t> gráfico </a:t>
          </a:r>
          <a:r>
            <a:rPr lang="es-ES" sz="1000" b="1">
              <a:latin typeface="Arial" panose="020B0604020202020204" pitchFamily="34" charset="0"/>
              <a:cs typeface="Arial" panose="020B0604020202020204" pitchFamily="34" charset="0"/>
            </a:rPr>
            <a:t>generado</a:t>
          </a:r>
        </a:p>
      </xdr:txBody>
    </xdr:sp>
    <xdr:clientData/>
  </xdr:twoCellAnchor>
  <xdr:twoCellAnchor>
    <xdr:from>
      <xdr:col>13</xdr:col>
      <xdr:colOff>156323</xdr:colOff>
      <xdr:row>323</xdr:row>
      <xdr:rowOff>33057</xdr:rowOff>
    </xdr:from>
    <xdr:to>
      <xdr:col>15</xdr:col>
      <xdr:colOff>201147</xdr:colOff>
      <xdr:row>323</xdr:row>
      <xdr:rowOff>484654</xdr:rowOff>
    </xdr:to>
    <xdr:sp macro="[0]!Cargar_imagenes" textlink="">
      <xdr:nvSpPr>
        <xdr:cNvPr id="37" name="Rectángulo 38">
          <a:extLst>
            <a:ext uri="{FF2B5EF4-FFF2-40B4-BE49-F238E27FC236}">
              <a16:creationId xmlns="" xmlns:a16="http://schemas.microsoft.com/office/drawing/2014/main" id="{00000000-0008-0000-1900-000025000000}"/>
            </a:ext>
          </a:extLst>
        </xdr:cNvPr>
        <xdr:cNvSpPr/>
      </xdr:nvSpPr>
      <xdr:spPr>
        <a:xfrm>
          <a:off x="7738223" y="65746032"/>
          <a:ext cx="1264024" cy="451597"/>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a:t>
          </a:r>
          <a:r>
            <a:rPr lang="es-ES" sz="1000" b="1" baseline="0">
              <a:latin typeface="Arial" panose="020B0604020202020204" pitchFamily="34" charset="0"/>
              <a:cs typeface="Arial" panose="020B0604020202020204" pitchFamily="34" charset="0"/>
            </a:rPr>
            <a:t> gráfico </a:t>
          </a:r>
          <a:r>
            <a:rPr lang="es-ES" sz="1000" b="1">
              <a:latin typeface="Arial" panose="020B0604020202020204" pitchFamily="34" charset="0"/>
              <a:cs typeface="Arial" panose="020B0604020202020204" pitchFamily="34" charset="0"/>
            </a:rPr>
            <a:t>generado</a:t>
          </a:r>
        </a:p>
      </xdr:txBody>
    </xdr:sp>
    <xdr:clientData/>
  </xdr:twoCellAnchor>
  <xdr:twoCellAnchor>
    <xdr:from>
      <xdr:col>13</xdr:col>
      <xdr:colOff>156323</xdr:colOff>
      <xdr:row>350</xdr:row>
      <xdr:rowOff>33057</xdr:rowOff>
    </xdr:from>
    <xdr:to>
      <xdr:col>15</xdr:col>
      <xdr:colOff>201147</xdr:colOff>
      <xdr:row>350</xdr:row>
      <xdr:rowOff>484654</xdr:rowOff>
    </xdr:to>
    <xdr:sp macro="[0]!Cargar_imagenes" textlink="">
      <xdr:nvSpPr>
        <xdr:cNvPr id="38" name="Rectángulo 41">
          <a:extLst>
            <a:ext uri="{FF2B5EF4-FFF2-40B4-BE49-F238E27FC236}">
              <a16:creationId xmlns="" xmlns:a16="http://schemas.microsoft.com/office/drawing/2014/main" id="{00000000-0008-0000-1900-000026000000}"/>
            </a:ext>
          </a:extLst>
        </xdr:cNvPr>
        <xdr:cNvSpPr/>
      </xdr:nvSpPr>
      <xdr:spPr>
        <a:xfrm>
          <a:off x="7738223" y="71537232"/>
          <a:ext cx="1264024" cy="451597"/>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a:t>
          </a:r>
          <a:r>
            <a:rPr lang="es-ES" sz="1000" b="1" baseline="0">
              <a:latin typeface="Arial" panose="020B0604020202020204" pitchFamily="34" charset="0"/>
              <a:cs typeface="Arial" panose="020B0604020202020204" pitchFamily="34" charset="0"/>
            </a:rPr>
            <a:t> gráfico </a:t>
          </a:r>
          <a:r>
            <a:rPr lang="es-ES" sz="1000" b="1">
              <a:latin typeface="Arial" panose="020B0604020202020204" pitchFamily="34" charset="0"/>
              <a:cs typeface="Arial" panose="020B0604020202020204" pitchFamily="34" charset="0"/>
            </a:rPr>
            <a:t>generado</a:t>
          </a:r>
        </a:p>
      </xdr:txBody>
    </xdr:sp>
    <xdr:clientData/>
  </xdr:twoCellAnchor>
  <xdr:twoCellAnchor>
    <xdr:from>
      <xdr:col>17</xdr:col>
      <xdr:colOff>56029</xdr:colOff>
      <xdr:row>0</xdr:row>
      <xdr:rowOff>185459</xdr:rowOff>
    </xdr:from>
    <xdr:to>
      <xdr:col>19</xdr:col>
      <xdr:colOff>226919</xdr:colOff>
      <xdr:row>5</xdr:row>
      <xdr:rowOff>360270</xdr:rowOff>
    </xdr:to>
    <xdr:sp macro="[0]!Ir_a_Area_Estudio" textlink="">
      <xdr:nvSpPr>
        <xdr:cNvPr id="39" name="Rectángulo 76">
          <a:extLst>
            <a:ext uri="{FF2B5EF4-FFF2-40B4-BE49-F238E27FC236}">
              <a16:creationId xmlns="" xmlns:a16="http://schemas.microsoft.com/office/drawing/2014/main" id="{00000000-0008-0000-1900-000027000000}"/>
            </a:ext>
          </a:extLst>
        </xdr:cNvPr>
        <xdr:cNvSpPr/>
      </xdr:nvSpPr>
      <xdr:spPr>
        <a:xfrm>
          <a:off x="10381129" y="185459"/>
          <a:ext cx="1694890" cy="1013011"/>
        </a:xfrm>
        <a:prstGeom prst="rect">
          <a:avLst/>
        </a:prstGeom>
        <a:solidFill>
          <a:schemeClr val="accent2"/>
        </a:solidFill>
        <a:ln>
          <a:solidFill>
            <a:schemeClr val="accent2">
              <a:lumMod val="75000"/>
            </a:schemeClr>
          </a:solidFill>
        </a:ln>
        <a:scene3d>
          <a:camera prst="orthographicFront"/>
          <a:lightRig rig="threePt" dir="t"/>
        </a:scene3d>
        <a:sp3d>
          <a:bevelT/>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s-ES" sz="1400" b="1"/>
            <a:t>Regresar</a:t>
          </a:r>
          <a:r>
            <a:rPr lang="es-ES" sz="1400" b="1" baseline="0"/>
            <a:t> a hoja de Area de Estudio</a:t>
          </a:r>
          <a:endParaRPr lang="es-ES" sz="1400" b="1"/>
        </a:p>
      </xdr:txBody>
    </xdr:sp>
    <xdr:clientData/>
  </xdr:twoCellAnchor>
  <xdr:twoCellAnchor>
    <xdr:from>
      <xdr:col>13</xdr:col>
      <xdr:colOff>56029</xdr:colOff>
      <xdr:row>10</xdr:row>
      <xdr:rowOff>0</xdr:rowOff>
    </xdr:from>
    <xdr:to>
      <xdr:col>15</xdr:col>
      <xdr:colOff>100853</xdr:colOff>
      <xdr:row>11</xdr:row>
      <xdr:rowOff>56029</xdr:rowOff>
    </xdr:to>
    <xdr:sp macro="[0]!Cargar_imagenes" textlink="">
      <xdr:nvSpPr>
        <xdr:cNvPr id="40" name="Rectángulo 77">
          <a:extLst>
            <a:ext uri="{FF2B5EF4-FFF2-40B4-BE49-F238E27FC236}">
              <a16:creationId xmlns="" xmlns:a16="http://schemas.microsoft.com/office/drawing/2014/main" id="{00000000-0008-0000-1900-000028000000}"/>
            </a:ext>
          </a:extLst>
        </xdr:cNvPr>
        <xdr:cNvSpPr/>
      </xdr:nvSpPr>
      <xdr:spPr>
        <a:xfrm>
          <a:off x="7637929" y="2019300"/>
          <a:ext cx="1264024" cy="456079"/>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 mapa generado</a:t>
          </a:r>
        </a:p>
      </xdr:txBody>
    </xdr:sp>
    <xdr:clientData/>
  </xdr:twoCellAnchor>
  <xdr:twoCellAnchor>
    <xdr:from>
      <xdr:col>9</xdr:col>
      <xdr:colOff>347383</xdr:colOff>
      <xdr:row>2</xdr:row>
      <xdr:rowOff>78440</xdr:rowOff>
    </xdr:from>
    <xdr:to>
      <xdr:col>13</xdr:col>
      <xdr:colOff>0</xdr:colOff>
      <xdr:row>4</xdr:row>
      <xdr:rowOff>33618</xdr:rowOff>
    </xdr:to>
    <xdr:sp macro="" textlink="">
      <xdr:nvSpPr>
        <xdr:cNvPr id="42" name="Rectángulo 79">
          <a:extLst>
            <a:ext uri="{FF2B5EF4-FFF2-40B4-BE49-F238E27FC236}">
              <a16:creationId xmlns="" xmlns:a16="http://schemas.microsoft.com/office/drawing/2014/main" id="{00000000-0008-0000-1900-00002A000000}"/>
            </a:ext>
          </a:extLst>
        </xdr:cNvPr>
        <xdr:cNvSpPr/>
      </xdr:nvSpPr>
      <xdr:spPr>
        <a:xfrm>
          <a:off x="5528983" y="459440"/>
          <a:ext cx="2052917" cy="317128"/>
        </a:xfrm>
        <a:prstGeom prst="rect">
          <a:avLst/>
        </a:prstGeom>
        <a:solidFill>
          <a:schemeClr val="accent2">
            <a:lumMod val="5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Link (SIGRID)</a:t>
          </a:r>
        </a:p>
      </xdr:txBody>
    </xdr:sp>
    <xdr:clientData/>
  </xdr:twoCellAnchor>
  <xdr:twoCellAnchor>
    <xdr:from>
      <xdr:col>13</xdr:col>
      <xdr:colOff>246530</xdr:colOff>
      <xdr:row>1</xdr:row>
      <xdr:rowOff>141196</xdr:rowOff>
    </xdr:from>
    <xdr:to>
      <xdr:col>16</xdr:col>
      <xdr:colOff>596152</xdr:colOff>
      <xdr:row>5</xdr:row>
      <xdr:rowOff>121023</xdr:rowOff>
    </xdr:to>
    <xdr:sp macro="[0]!Mostrar_Ayuda_Informacion_Peligros" textlink="">
      <xdr:nvSpPr>
        <xdr:cNvPr id="43" name="Rectángulo redondeado 31">
          <a:extLst>
            <a:ext uri="{FF2B5EF4-FFF2-40B4-BE49-F238E27FC236}">
              <a16:creationId xmlns="" xmlns:a16="http://schemas.microsoft.com/office/drawing/2014/main" id="{00000000-0008-0000-1900-00002B000000}"/>
            </a:ext>
          </a:extLst>
        </xdr:cNvPr>
        <xdr:cNvSpPr/>
      </xdr:nvSpPr>
      <xdr:spPr>
        <a:xfrm>
          <a:off x="7828430" y="331696"/>
          <a:ext cx="2330822" cy="627527"/>
        </a:xfrm>
        <a:prstGeom prst="roundRect">
          <a:avLst/>
        </a:prstGeom>
        <a:solidFill>
          <a:schemeClr val="accent2">
            <a:lumMod val="5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b="1">
              <a:solidFill>
                <a:schemeClr val="bg1"/>
              </a:solidFill>
              <a:effectLst/>
              <a:latin typeface="Arial Narrow" panose="020B0606020202030204" pitchFamily="34" charset="0"/>
              <a:ea typeface="+mn-ea"/>
              <a:cs typeface="+mn-cs"/>
            </a:rPr>
            <a:t>Instructivo de Gestión de Riesgos correspondiente</a:t>
          </a:r>
          <a:r>
            <a:rPr lang="es-PE" sz="1100" b="1" baseline="0">
              <a:solidFill>
                <a:schemeClr val="bg1"/>
              </a:solidFill>
              <a:effectLst/>
              <a:latin typeface="Arial Narrow" panose="020B0606020202030204" pitchFamily="34" charset="0"/>
              <a:ea typeface="+mn-ea"/>
              <a:cs typeface="+mn-cs"/>
            </a:rPr>
            <a:t> a Area de Estudio</a:t>
          </a:r>
          <a:endParaRPr lang="es-ES" sz="900" b="1">
            <a:solidFill>
              <a:schemeClr val="bg1"/>
            </a:solidFill>
            <a:effectLst/>
            <a:latin typeface="Arial Narrow" panose="020B0606020202030204" pitchFamily="34" charset="0"/>
          </a:endParaRPr>
        </a:p>
      </xdr:txBody>
    </xdr:sp>
    <xdr:clientData/>
  </xdr:twoCellAnchor>
  <xdr:twoCellAnchor>
    <xdr:from>
      <xdr:col>1</xdr:col>
      <xdr:colOff>28575</xdr:colOff>
      <xdr:row>298</xdr:row>
      <xdr:rowOff>28575</xdr:rowOff>
    </xdr:from>
    <xdr:to>
      <xdr:col>12</xdr:col>
      <xdr:colOff>571500</xdr:colOff>
      <xdr:row>316</xdr:row>
      <xdr:rowOff>161925</xdr:rowOff>
    </xdr:to>
    <xdr:sp macro="" textlink="">
      <xdr:nvSpPr>
        <xdr:cNvPr id="44" name="Rectángulo 43">
          <a:extLst>
            <a:ext uri="{FF2B5EF4-FFF2-40B4-BE49-F238E27FC236}">
              <a16:creationId xmlns="" xmlns:a16="http://schemas.microsoft.com/office/drawing/2014/main" id="{00000000-0008-0000-1900-00002C000000}"/>
            </a:ext>
          </a:extLst>
        </xdr:cNvPr>
        <xdr:cNvSpPr/>
      </xdr:nvSpPr>
      <xdr:spPr>
        <a:xfrm>
          <a:off x="409575" y="60883800"/>
          <a:ext cx="7143750" cy="356235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xdr:col>
      <xdr:colOff>28575</xdr:colOff>
      <xdr:row>325</xdr:row>
      <xdr:rowOff>38100</xdr:rowOff>
    </xdr:from>
    <xdr:to>
      <xdr:col>12</xdr:col>
      <xdr:colOff>571500</xdr:colOff>
      <xdr:row>343</xdr:row>
      <xdr:rowOff>171450</xdr:rowOff>
    </xdr:to>
    <xdr:sp macro="" textlink="">
      <xdr:nvSpPr>
        <xdr:cNvPr id="45" name="Rectángulo 44">
          <a:extLst>
            <a:ext uri="{FF2B5EF4-FFF2-40B4-BE49-F238E27FC236}">
              <a16:creationId xmlns="" xmlns:a16="http://schemas.microsoft.com/office/drawing/2014/main" id="{00000000-0008-0000-1900-00002D000000}"/>
            </a:ext>
          </a:extLst>
        </xdr:cNvPr>
        <xdr:cNvSpPr/>
      </xdr:nvSpPr>
      <xdr:spPr>
        <a:xfrm>
          <a:off x="409575" y="66684525"/>
          <a:ext cx="7143750" cy="356235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xdr:col>
      <xdr:colOff>28575</xdr:colOff>
      <xdr:row>352</xdr:row>
      <xdr:rowOff>38100</xdr:rowOff>
    </xdr:from>
    <xdr:to>
      <xdr:col>12</xdr:col>
      <xdr:colOff>571500</xdr:colOff>
      <xdr:row>370</xdr:row>
      <xdr:rowOff>171450</xdr:rowOff>
    </xdr:to>
    <xdr:sp macro="" textlink="">
      <xdr:nvSpPr>
        <xdr:cNvPr id="46" name="Rectángulo 45">
          <a:extLst>
            <a:ext uri="{FF2B5EF4-FFF2-40B4-BE49-F238E27FC236}">
              <a16:creationId xmlns="" xmlns:a16="http://schemas.microsoft.com/office/drawing/2014/main" id="{00000000-0008-0000-1900-00002E000000}"/>
            </a:ext>
          </a:extLst>
        </xdr:cNvPr>
        <xdr:cNvSpPr/>
      </xdr:nvSpPr>
      <xdr:spPr>
        <a:xfrm>
          <a:off x="409575" y="72475725"/>
          <a:ext cx="7143750" cy="356235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xdr:col>
      <xdr:colOff>38100</xdr:colOff>
      <xdr:row>11</xdr:row>
      <xdr:rowOff>28575</xdr:rowOff>
    </xdr:from>
    <xdr:to>
      <xdr:col>12</xdr:col>
      <xdr:colOff>581025</xdr:colOff>
      <xdr:row>29</xdr:row>
      <xdr:rowOff>161925</xdr:rowOff>
    </xdr:to>
    <xdr:sp macro="" textlink="">
      <xdr:nvSpPr>
        <xdr:cNvPr id="47" name="Rectángulo 46">
          <a:extLst>
            <a:ext uri="{FF2B5EF4-FFF2-40B4-BE49-F238E27FC236}">
              <a16:creationId xmlns="" xmlns:a16="http://schemas.microsoft.com/office/drawing/2014/main" id="{00000000-0008-0000-1900-00002F000000}"/>
            </a:ext>
          </a:extLst>
        </xdr:cNvPr>
        <xdr:cNvSpPr/>
      </xdr:nvSpPr>
      <xdr:spPr>
        <a:xfrm>
          <a:off x="419100" y="2447925"/>
          <a:ext cx="7143750" cy="356235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xdr:col>
      <xdr:colOff>28575</xdr:colOff>
      <xdr:row>56</xdr:row>
      <xdr:rowOff>38100</xdr:rowOff>
    </xdr:from>
    <xdr:to>
      <xdr:col>12</xdr:col>
      <xdr:colOff>571500</xdr:colOff>
      <xdr:row>74</xdr:row>
      <xdr:rowOff>171450</xdr:rowOff>
    </xdr:to>
    <xdr:sp macro="" textlink="">
      <xdr:nvSpPr>
        <xdr:cNvPr id="48" name="Rectángulo 47">
          <a:extLst>
            <a:ext uri="{FF2B5EF4-FFF2-40B4-BE49-F238E27FC236}">
              <a16:creationId xmlns="" xmlns:a16="http://schemas.microsoft.com/office/drawing/2014/main" id="{00000000-0008-0000-1900-000030000000}"/>
            </a:ext>
          </a:extLst>
        </xdr:cNvPr>
        <xdr:cNvSpPr/>
      </xdr:nvSpPr>
      <xdr:spPr>
        <a:xfrm>
          <a:off x="409575" y="11201400"/>
          <a:ext cx="7143750" cy="356235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xdr:col>
      <xdr:colOff>28575</xdr:colOff>
      <xdr:row>89</xdr:row>
      <xdr:rowOff>28575</xdr:rowOff>
    </xdr:from>
    <xdr:to>
      <xdr:col>12</xdr:col>
      <xdr:colOff>571500</xdr:colOff>
      <xdr:row>107</xdr:row>
      <xdr:rowOff>161925</xdr:rowOff>
    </xdr:to>
    <xdr:sp macro="" textlink="">
      <xdr:nvSpPr>
        <xdr:cNvPr id="49" name="Rectángulo 48">
          <a:extLst>
            <a:ext uri="{FF2B5EF4-FFF2-40B4-BE49-F238E27FC236}">
              <a16:creationId xmlns="" xmlns:a16="http://schemas.microsoft.com/office/drawing/2014/main" id="{00000000-0008-0000-1900-000031000000}"/>
            </a:ext>
          </a:extLst>
        </xdr:cNvPr>
        <xdr:cNvSpPr/>
      </xdr:nvSpPr>
      <xdr:spPr>
        <a:xfrm>
          <a:off x="409575" y="17849850"/>
          <a:ext cx="7143750" cy="356235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xdr:col>
      <xdr:colOff>38100</xdr:colOff>
      <xdr:row>118</xdr:row>
      <xdr:rowOff>38100</xdr:rowOff>
    </xdr:from>
    <xdr:to>
      <xdr:col>12</xdr:col>
      <xdr:colOff>581025</xdr:colOff>
      <xdr:row>136</xdr:row>
      <xdr:rowOff>171450</xdr:rowOff>
    </xdr:to>
    <xdr:sp macro="" textlink="">
      <xdr:nvSpPr>
        <xdr:cNvPr id="50" name="Rectángulo 49">
          <a:extLst>
            <a:ext uri="{FF2B5EF4-FFF2-40B4-BE49-F238E27FC236}">
              <a16:creationId xmlns="" xmlns:a16="http://schemas.microsoft.com/office/drawing/2014/main" id="{00000000-0008-0000-1900-000032000000}"/>
            </a:ext>
          </a:extLst>
        </xdr:cNvPr>
        <xdr:cNvSpPr/>
      </xdr:nvSpPr>
      <xdr:spPr>
        <a:xfrm>
          <a:off x="419100" y="24136350"/>
          <a:ext cx="7143750" cy="356235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xdr:col>
      <xdr:colOff>38100</xdr:colOff>
      <xdr:row>144</xdr:row>
      <xdr:rowOff>38100</xdr:rowOff>
    </xdr:from>
    <xdr:to>
      <xdr:col>12</xdr:col>
      <xdr:colOff>581025</xdr:colOff>
      <xdr:row>162</xdr:row>
      <xdr:rowOff>171450</xdr:rowOff>
    </xdr:to>
    <xdr:sp macro="" textlink="">
      <xdr:nvSpPr>
        <xdr:cNvPr id="51" name="Rectángulo 50">
          <a:extLst>
            <a:ext uri="{FF2B5EF4-FFF2-40B4-BE49-F238E27FC236}">
              <a16:creationId xmlns="" xmlns:a16="http://schemas.microsoft.com/office/drawing/2014/main" id="{00000000-0008-0000-1900-000033000000}"/>
            </a:ext>
          </a:extLst>
        </xdr:cNvPr>
        <xdr:cNvSpPr/>
      </xdr:nvSpPr>
      <xdr:spPr>
        <a:xfrm>
          <a:off x="419100" y="29641800"/>
          <a:ext cx="7143750" cy="356235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xdr:col>
      <xdr:colOff>28575</xdr:colOff>
      <xdr:row>170</xdr:row>
      <xdr:rowOff>38100</xdr:rowOff>
    </xdr:from>
    <xdr:to>
      <xdr:col>12</xdr:col>
      <xdr:colOff>571500</xdr:colOff>
      <xdr:row>188</xdr:row>
      <xdr:rowOff>171450</xdr:rowOff>
    </xdr:to>
    <xdr:sp macro="" textlink="">
      <xdr:nvSpPr>
        <xdr:cNvPr id="52" name="Rectángulo 51">
          <a:extLst>
            <a:ext uri="{FF2B5EF4-FFF2-40B4-BE49-F238E27FC236}">
              <a16:creationId xmlns="" xmlns:a16="http://schemas.microsoft.com/office/drawing/2014/main" id="{00000000-0008-0000-1900-000034000000}"/>
            </a:ext>
          </a:extLst>
        </xdr:cNvPr>
        <xdr:cNvSpPr/>
      </xdr:nvSpPr>
      <xdr:spPr>
        <a:xfrm>
          <a:off x="409575" y="35052000"/>
          <a:ext cx="7143750" cy="356235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xdr:col>
      <xdr:colOff>28575</xdr:colOff>
      <xdr:row>196</xdr:row>
      <xdr:rowOff>28575</xdr:rowOff>
    </xdr:from>
    <xdr:to>
      <xdr:col>12</xdr:col>
      <xdr:colOff>571500</xdr:colOff>
      <xdr:row>214</xdr:row>
      <xdr:rowOff>161925</xdr:rowOff>
    </xdr:to>
    <xdr:sp macro="" textlink="">
      <xdr:nvSpPr>
        <xdr:cNvPr id="53" name="Rectángulo 52">
          <a:extLst>
            <a:ext uri="{FF2B5EF4-FFF2-40B4-BE49-F238E27FC236}">
              <a16:creationId xmlns="" xmlns:a16="http://schemas.microsoft.com/office/drawing/2014/main" id="{00000000-0008-0000-1900-000035000000}"/>
            </a:ext>
          </a:extLst>
        </xdr:cNvPr>
        <xdr:cNvSpPr/>
      </xdr:nvSpPr>
      <xdr:spPr>
        <a:xfrm>
          <a:off x="409575" y="40452675"/>
          <a:ext cx="7143750" cy="356235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xdr:col>
      <xdr:colOff>38100</xdr:colOff>
      <xdr:row>227</xdr:row>
      <xdr:rowOff>28575</xdr:rowOff>
    </xdr:from>
    <xdr:to>
      <xdr:col>12</xdr:col>
      <xdr:colOff>581025</xdr:colOff>
      <xdr:row>248</xdr:row>
      <xdr:rowOff>171451</xdr:rowOff>
    </xdr:to>
    <xdr:sp macro="" textlink="">
      <xdr:nvSpPr>
        <xdr:cNvPr id="54" name="Rectángulo 53">
          <a:extLst>
            <a:ext uri="{FF2B5EF4-FFF2-40B4-BE49-F238E27FC236}">
              <a16:creationId xmlns="" xmlns:a16="http://schemas.microsoft.com/office/drawing/2014/main" id="{00000000-0008-0000-1900-000036000000}"/>
            </a:ext>
          </a:extLst>
        </xdr:cNvPr>
        <xdr:cNvSpPr/>
      </xdr:nvSpPr>
      <xdr:spPr>
        <a:xfrm>
          <a:off x="419100" y="46786800"/>
          <a:ext cx="7143750" cy="4143376"/>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13</xdr:col>
      <xdr:colOff>19050</xdr:colOff>
      <xdr:row>227</xdr:row>
      <xdr:rowOff>0</xdr:rowOff>
    </xdr:from>
    <xdr:to>
      <xdr:col>16</xdr:col>
      <xdr:colOff>733425</xdr:colOff>
      <xdr:row>248</xdr:row>
      <xdr:rowOff>171450</xdr:rowOff>
    </xdr:to>
    <xdr:sp macro="" textlink="">
      <xdr:nvSpPr>
        <xdr:cNvPr id="55" name="Rectángulo 54">
          <a:extLst>
            <a:ext uri="{FF2B5EF4-FFF2-40B4-BE49-F238E27FC236}">
              <a16:creationId xmlns="" xmlns:a16="http://schemas.microsoft.com/office/drawing/2014/main" id="{00000000-0008-0000-1900-000037000000}"/>
            </a:ext>
          </a:extLst>
        </xdr:cNvPr>
        <xdr:cNvSpPr/>
      </xdr:nvSpPr>
      <xdr:spPr>
        <a:xfrm>
          <a:off x="7600950" y="46758225"/>
          <a:ext cx="2695575" cy="417195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xdr:col>
      <xdr:colOff>38100</xdr:colOff>
      <xdr:row>262</xdr:row>
      <xdr:rowOff>28575</xdr:rowOff>
    </xdr:from>
    <xdr:to>
      <xdr:col>12</xdr:col>
      <xdr:colOff>581025</xdr:colOff>
      <xdr:row>283</xdr:row>
      <xdr:rowOff>161925</xdr:rowOff>
    </xdr:to>
    <xdr:sp macro="" textlink="">
      <xdr:nvSpPr>
        <xdr:cNvPr id="56" name="Rectángulo 55">
          <a:extLst>
            <a:ext uri="{FF2B5EF4-FFF2-40B4-BE49-F238E27FC236}">
              <a16:creationId xmlns="" xmlns:a16="http://schemas.microsoft.com/office/drawing/2014/main" id="{00000000-0008-0000-1900-000038000000}"/>
            </a:ext>
          </a:extLst>
        </xdr:cNvPr>
        <xdr:cNvSpPr/>
      </xdr:nvSpPr>
      <xdr:spPr>
        <a:xfrm>
          <a:off x="419100" y="53644800"/>
          <a:ext cx="7143750" cy="413385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13</xdr:col>
      <xdr:colOff>38100</xdr:colOff>
      <xdr:row>262</xdr:row>
      <xdr:rowOff>28575</xdr:rowOff>
    </xdr:from>
    <xdr:to>
      <xdr:col>16</xdr:col>
      <xdr:colOff>733425</xdr:colOff>
      <xdr:row>283</xdr:row>
      <xdr:rowOff>161925</xdr:rowOff>
    </xdr:to>
    <xdr:sp macro="" textlink="">
      <xdr:nvSpPr>
        <xdr:cNvPr id="57" name="Rectángulo 56">
          <a:extLst>
            <a:ext uri="{FF2B5EF4-FFF2-40B4-BE49-F238E27FC236}">
              <a16:creationId xmlns="" xmlns:a16="http://schemas.microsoft.com/office/drawing/2014/main" id="{00000000-0008-0000-1900-000039000000}"/>
            </a:ext>
          </a:extLst>
        </xdr:cNvPr>
        <xdr:cNvSpPr/>
      </xdr:nvSpPr>
      <xdr:spPr>
        <a:xfrm>
          <a:off x="7620000" y="53644800"/>
          <a:ext cx="2676525" cy="413385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xdr:col>
      <xdr:colOff>19050</xdr:colOff>
      <xdr:row>43</xdr:row>
      <xdr:rowOff>9525</xdr:rowOff>
    </xdr:from>
    <xdr:to>
      <xdr:col>3</xdr:col>
      <xdr:colOff>590550</xdr:colOff>
      <xdr:row>54</xdr:row>
      <xdr:rowOff>161925</xdr:rowOff>
    </xdr:to>
    <xdr:sp macro="" textlink="">
      <xdr:nvSpPr>
        <xdr:cNvPr id="58" name="Rectángulo 57">
          <a:extLst>
            <a:ext uri="{FF2B5EF4-FFF2-40B4-BE49-F238E27FC236}">
              <a16:creationId xmlns="" xmlns:a16="http://schemas.microsoft.com/office/drawing/2014/main" id="{00000000-0008-0000-1900-00003A000000}"/>
            </a:ext>
          </a:extLst>
        </xdr:cNvPr>
        <xdr:cNvSpPr/>
      </xdr:nvSpPr>
      <xdr:spPr>
        <a:xfrm>
          <a:off x="400050" y="8486775"/>
          <a:ext cx="1771650" cy="224790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4</xdr:col>
      <xdr:colOff>9525</xdr:colOff>
      <xdr:row>43</xdr:row>
      <xdr:rowOff>0</xdr:rowOff>
    </xdr:from>
    <xdr:to>
      <xdr:col>6</xdr:col>
      <xdr:colOff>581025</xdr:colOff>
      <xdr:row>54</xdr:row>
      <xdr:rowOff>152400</xdr:rowOff>
    </xdr:to>
    <xdr:sp macro="" textlink="">
      <xdr:nvSpPr>
        <xdr:cNvPr id="59" name="Rectángulo 58">
          <a:extLst>
            <a:ext uri="{FF2B5EF4-FFF2-40B4-BE49-F238E27FC236}">
              <a16:creationId xmlns="" xmlns:a16="http://schemas.microsoft.com/office/drawing/2014/main" id="{00000000-0008-0000-1900-00003B000000}"/>
            </a:ext>
          </a:extLst>
        </xdr:cNvPr>
        <xdr:cNvSpPr/>
      </xdr:nvSpPr>
      <xdr:spPr>
        <a:xfrm>
          <a:off x="2190750" y="8477250"/>
          <a:ext cx="1771650" cy="224790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7</xdr:col>
      <xdr:colOff>9525</xdr:colOff>
      <xdr:row>43</xdr:row>
      <xdr:rowOff>0</xdr:rowOff>
    </xdr:from>
    <xdr:to>
      <xdr:col>9</xdr:col>
      <xdr:colOff>581025</xdr:colOff>
      <xdr:row>54</xdr:row>
      <xdr:rowOff>152400</xdr:rowOff>
    </xdr:to>
    <xdr:sp macro="" textlink="">
      <xdr:nvSpPr>
        <xdr:cNvPr id="60" name="Rectángulo 59">
          <a:extLst>
            <a:ext uri="{FF2B5EF4-FFF2-40B4-BE49-F238E27FC236}">
              <a16:creationId xmlns="" xmlns:a16="http://schemas.microsoft.com/office/drawing/2014/main" id="{00000000-0008-0000-1900-00003C000000}"/>
            </a:ext>
          </a:extLst>
        </xdr:cNvPr>
        <xdr:cNvSpPr/>
      </xdr:nvSpPr>
      <xdr:spPr>
        <a:xfrm>
          <a:off x="3990975" y="8477250"/>
          <a:ext cx="1771650" cy="224790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twoCellAnchor>
    <xdr:from>
      <xdr:col>10</xdr:col>
      <xdr:colOff>9525</xdr:colOff>
      <xdr:row>43</xdr:row>
      <xdr:rowOff>0</xdr:rowOff>
    </xdr:from>
    <xdr:to>
      <xdr:col>12</xdr:col>
      <xdr:colOff>581025</xdr:colOff>
      <xdr:row>54</xdr:row>
      <xdr:rowOff>152400</xdr:rowOff>
    </xdr:to>
    <xdr:sp macro="" textlink="">
      <xdr:nvSpPr>
        <xdr:cNvPr id="61" name="Rectángulo 60">
          <a:extLst>
            <a:ext uri="{FF2B5EF4-FFF2-40B4-BE49-F238E27FC236}">
              <a16:creationId xmlns="" xmlns:a16="http://schemas.microsoft.com/office/drawing/2014/main" id="{00000000-0008-0000-1900-00003D000000}"/>
            </a:ext>
          </a:extLst>
        </xdr:cNvPr>
        <xdr:cNvSpPr/>
      </xdr:nvSpPr>
      <xdr:spPr>
        <a:xfrm>
          <a:off x="5791200" y="8477250"/>
          <a:ext cx="1771650" cy="2247900"/>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fLocksWithSheet="0"/>
  </xdr:twoCellAnchor>
</xdr:wsDr>
</file>

<file path=xl/drawings/drawing26.xml><?xml version="1.0" encoding="utf-8"?>
<xdr:wsDr xmlns:xdr="http://schemas.openxmlformats.org/drawingml/2006/spreadsheetDrawing" xmlns:a="http://schemas.openxmlformats.org/drawingml/2006/main">
  <xdr:twoCellAnchor>
    <xdr:from>
      <xdr:col>10</xdr:col>
      <xdr:colOff>57710</xdr:colOff>
      <xdr:row>1</xdr:row>
      <xdr:rowOff>85725</xdr:rowOff>
    </xdr:from>
    <xdr:to>
      <xdr:col>12</xdr:col>
      <xdr:colOff>552450</xdr:colOff>
      <xdr:row>5</xdr:row>
      <xdr:rowOff>38100</xdr:rowOff>
    </xdr:to>
    <xdr:sp macro="[0]!Ir_a_Area_Estudio_1" textlink="">
      <xdr:nvSpPr>
        <xdr:cNvPr id="2" name="Rectángulo 10">
          <a:extLst>
            <a:ext uri="{FF2B5EF4-FFF2-40B4-BE49-F238E27FC236}">
              <a16:creationId xmlns="" xmlns:a16="http://schemas.microsoft.com/office/drawing/2014/main" id="{00000000-0008-0000-1A00-000002000000}"/>
            </a:ext>
          </a:extLst>
        </xdr:cNvPr>
        <xdr:cNvSpPr/>
      </xdr:nvSpPr>
      <xdr:spPr>
        <a:xfrm>
          <a:off x="5839385" y="285750"/>
          <a:ext cx="1694890" cy="600075"/>
        </a:xfrm>
        <a:prstGeom prst="rect">
          <a:avLst/>
        </a:prstGeom>
        <a:solidFill>
          <a:schemeClr val="accent2"/>
        </a:solidFill>
        <a:ln>
          <a:solidFill>
            <a:schemeClr val="accent2">
              <a:lumMod val="75000"/>
            </a:schemeClr>
          </a:solidFill>
        </a:ln>
        <a:scene3d>
          <a:camera prst="orthographicFront"/>
          <a:lightRig rig="threePt" dir="t"/>
        </a:scene3d>
        <a:sp3d>
          <a:bevelT/>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s-ES" sz="1400" b="1"/>
            <a:t>Regresar</a:t>
          </a:r>
          <a:r>
            <a:rPr lang="es-ES" sz="1400" b="1" baseline="0"/>
            <a:t> a hoja de Area de Estudio</a:t>
          </a:r>
          <a:endParaRPr lang="es-ES" sz="1400" b="1"/>
        </a:p>
      </xdr:txBody>
    </xdr:sp>
    <xdr:clientData/>
  </xdr:twoCellAnchor>
  <xdr:twoCellAnchor>
    <xdr:from>
      <xdr:col>13</xdr:col>
      <xdr:colOff>56029</xdr:colOff>
      <xdr:row>7</xdr:row>
      <xdr:rowOff>0</xdr:rowOff>
    </xdr:from>
    <xdr:to>
      <xdr:col>15</xdr:col>
      <xdr:colOff>100853</xdr:colOff>
      <xdr:row>8</xdr:row>
      <xdr:rowOff>56029</xdr:rowOff>
    </xdr:to>
    <xdr:sp macro="[0]!Cargar_imagenes" textlink="">
      <xdr:nvSpPr>
        <xdr:cNvPr id="3" name="Rectángulo 11">
          <a:extLst>
            <a:ext uri="{FF2B5EF4-FFF2-40B4-BE49-F238E27FC236}">
              <a16:creationId xmlns="" xmlns:a16="http://schemas.microsoft.com/office/drawing/2014/main" id="{00000000-0008-0000-1A00-000003000000}"/>
            </a:ext>
          </a:extLst>
        </xdr:cNvPr>
        <xdr:cNvSpPr/>
      </xdr:nvSpPr>
      <xdr:spPr>
        <a:xfrm>
          <a:off x="7637929" y="1038225"/>
          <a:ext cx="1264024" cy="456079"/>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 mapa generado</a:t>
          </a:r>
        </a:p>
      </xdr:txBody>
    </xdr:sp>
    <xdr:clientData/>
  </xdr:twoCellAnchor>
  <xdr:twoCellAnchor>
    <xdr:from>
      <xdr:col>1</xdr:col>
      <xdr:colOff>44824</xdr:colOff>
      <xdr:row>8</xdr:row>
      <xdr:rowOff>33618</xdr:rowOff>
    </xdr:from>
    <xdr:to>
      <xdr:col>12</xdr:col>
      <xdr:colOff>571500</xdr:colOff>
      <xdr:row>26</xdr:row>
      <xdr:rowOff>156882</xdr:rowOff>
    </xdr:to>
    <xdr:sp macro="" textlink="">
      <xdr:nvSpPr>
        <xdr:cNvPr id="4" name="Rectángulo 12">
          <a:extLst>
            <a:ext uri="{FF2B5EF4-FFF2-40B4-BE49-F238E27FC236}">
              <a16:creationId xmlns="" xmlns:a16="http://schemas.microsoft.com/office/drawing/2014/main" id="{00000000-0008-0000-1A00-000004000000}"/>
            </a:ext>
          </a:extLst>
        </xdr:cNvPr>
        <xdr:cNvSpPr/>
      </xdr:nvSpPr>
      <xdr:spPr>
        <a:xfrm>
          <a:off x="425824" y="1471893"/>
          <a:ext cx="7127501" cy="4238064"/>
        </a:xfrm>
        <a:prstGeom prst="rect">
          <a:avLst/>
        </a:prstGeom>
        <a:blipFill dpi="0" rotWithShape="1">
          <a:blip xmlns:r="http://schemas.openxmlformats.org/officeDocument/2006/relationships" r:embed="rId1"/>
          <a:srcRect/>
          <a:stretch>
            <a:fillRect/>
          </a:stretch>
        </a:blip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fLocksWithSheet="0"/>
  </xdr:twoCellAnchor>
  <xdr:twoCellAnchor>
    <xdr:from>
      <xdr:col>13</xdr:col>
      <xdr:colOff>56029</xdr:colOff>
      <xdr:row>35</xdr:row>
      <xdr:rowOff>0</xdr:rowOff>
    </xdr:from>
    <xdr:to>
      <xdr:col>15</xdr:col>
      <xdr:colOff>100853</xdr:colOff>
      <xdr:row>36</xdr:row>
      <xdr:rowOff>56029</xdr:rowOff>
    </xdr:to>
    <xdr:sp macro="[0]!Cargar_imagenes" textlink="">
      <xdr:nvSpPr>
        <xdr:cNvPr id="5" name="Rectángulo 33">
          <a:extLst>
            <a:ext uri="{FF2B5EF4-FFF2-40B4-BE49-F238E27FC236}">
              <a16:creationId xmlns="" xmlns:a16="http://schemas.microsoft.com/office/drawing/2014/main" id="{00000000-0008-0000-1A00-000005000000}"/>
            </a:ext>
          </a:extLst>
        </xdr:cNvPr>
        <xdr:cNvSpPr/>
      </xdr:nvSpPr>
      <xdr:spPr>
        <a:xfrm>
          <a:off x="7637929" y="7181850"/>
          <a:ext cx="1264024" cy="456079"/>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 mapa generado</a:t>
          </a:r>
        </a:p>
      </xdr:txBody>
    </xdr:sp>
    <xdr:clientData/>
  </xdr:twoCellAnchor>
  <xdr:twoCellAnchor>
    <xdr:from>
      <xdr:col>1</xdr:col>
      <xdr:colOff>44824</xdr:colOff>
      <xdr:row>36</xdr:row>
      <xdr:rowOff>33618</xdr:rowOff>
    </xdr:from>
    <xdr:to>
      <xdr:col>12</xdr:col>
      <xdr:colOff>571500</xdr:colOff>
      <xdr:row>54</xdr:row>
      <xdr:rowOff>156882</xdr:rowOff>
    </xdr:to>
    <xdr:sp macro="" textlink="">
      <xdr:nvSpPr>
        <xdr:cNvPr id="6" name="Rectángulo 34">
          <a:extLst>
            <a:ext uri="{FF2B5EF4-FFF2-40B4-BE49-F238E27FC236}">
              <a16:creationId xmlns="" xmlns:a16="http://schemas.microsoft.com/office/drawing/2014/main" id="{00000000-0008-0000-1A00-000006000000}"/>
            </a:ext>
          </a:extLst>
        </xdr:cNvPr>
        <xdr:cNvSpPr/>
      </xdr:nvSpPr>
      <xdr:spPr>
        <a:xfrm>
          <a:off x="425824" y="7615518"/>
          <a:ext cx="7127501" cy="4238064"/>
        </a:xfrm>
        <a:prstGeom prst="rect">
          <a:avLst/>
        </a:prstGeom>
        <a:blipFill dpi="0" rotWithShape="1">
          <a:blip xmlns:r="http://schemas.openxmlformats.org/officeDocument/2006/relationships" r:embed="rId2"/>
          <a:srcRect/>
          <a:stretch>
            <a:fillRect/>
          </a:stretch>
        </a:blip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fLocksWithSheet="0"/>
  </xdr:twoCellAnchor>
  <xdr:twoCellAnchor>
    <xdr:from>
      <xdr:col>13</xdr:col>
      <xdr:colOff>56029</xdr:colOff>
      <xdr:row>63</xdr:row>
      <xdr:rowOff>0</xdr:rowOff>
    </xdr:from>
    <xdr:to>
      <xdr:col>15</xdr:col>
      <xdr:colOff>100853</xdr:colOff>
      <xdr:row>64</xdr:row>
      <xdr:rowOff>56029</xdr:rowOff>
    </xdr:to>
    <xdr:sp macro="[0]!Cargar_imagenes" textlink="">
      <xdr:nvSpPr>
        <xdr:cNvPr id="7" name="Rectángulo 35">
          <a:extLst>
            <a:ext uri="{FF2B5EF4-FFF2-40B4-BE49-F238E27FC236}">
              <a16:creationId xmlns="" xmlns:a16="http://schemas.microsoft.com/office/drawing/2014/main" id="{00000000-0008-0000-1A00-000007000000}"/>
            </a:ext>
          </a:extLst>
        </xdr:cNvPr>
        <xdr:cNvSpPr/>
      </xdr:nvSpPr>
      <xdr:spPr>
        <a:xfrm>
          <a:off x="7637929" y="13325475"/>
          <a:ext cx="1264024" cy="456079"/>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 mapa generado</a:t>
          </a:r>
        </a:p>
      </xdr:txBody>
    </xdr:sp>
    <xdr:clientData/>
  </xdr:twoCellAnchor>
  <xdr:twoCellAnchor>
    <xdr:from>
      <xdr:col>1</xdr:col>
      <xdr:colOff>44824</xdr:colOff>
      <xdr:row>64</xdr:row>
      <xdr:rowOff>33618</xdr:rowOff>
    </xdr:from>
    <xdr:to>
      <xdr:col>12</xdr:col>
      <xdr:colOff>571500</xdr:colOff>
      <xdr:row>82</xdr:row>
      <xdr:rowOff>156882</xdr:rowOff>
    </xdr:to>
    <xdr:sp macro="" textlink="">
      <xdr:nvSpPr>
        <xdr:cNvPr id="8" name="Rectángulo 36">
          <a:extLst>
            <a:ext uri="{FF2B5EF4-FFF2-40B4-BE49-F238E27FC236}">
              <a16:creationId xmlns="" xmlns:a16="http://schemas.microsoft.com/office/drawing/2014/main" id="{00000000-0008-0000-1A00-000008000000}"/>
            </a:ext>
          </a:extLst>
        </xdr:cNvPr>
        <xdr:cNvSpPr/>
      </xdr:nvSpPr>
      <xdr:spPr>
        <a:xfrm>
          <a:off x="425824" y="13759143"/>
          <a:ext cx="7127501" cy="4238064"/>
        </a:xfrm>
        <a:prstGeom prst="rect">
          <a:avLst/>
        </a:prstGeom>
        <a:blipFill dpi="0" rotWithShape="1">
          <a:blip xmlns:r="http://schemas.openxmlformats.org/officeDocument/2006/relationships" r:embed="rId3"/>
          <a:srcRect/>
          <a:stretch>
            <a:fillRect/>
          </a:stretch>
        </a:blip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fLocksWithSheet="0"/>
  </xdr:twoCellAnchor>
  <xdr:twoCellAnchor>
    <xdr:from>
      <xdr:col>13</xdr:col>
      <xdr:colOff>56029</xdr:colOff>
      <xdr:row>91</xdr:row>
      <xdr:rowOff>0</xdr:rowOff>
    </xdr:from>
    <xdr:to>
      <xdr:col>15</xdr:col>
      <xdr:colOff>100853</xdr:colOff>
      <xdr:row>92</xdr:row>
      <xdr:rowOff>56029</xdr:rowOff>
    </xdr:to>
    <xdr:sp macro="[0]!Cargar_imagenes" textlink="">
      <xdr:nvSpPr>
        <xdr:cNvPr id="9" name="Rectángulo 37">
          <a:extLst>
            <a:ext uri="{FF2B5EF4-FFF2-40B4-BE49-F238E27FC236}">
              <a16:creationId xmlns="" xmlns:a16="http://schemas.microsoft.com/office/drawing/2014/main" id="{00000000-0008-0000-1A00-000009000000}"/>
            </a:ext>
          </a:extLst>
        </xdr:cNvPr>
        <xdr:cNvSpPr/>
      </xdr:nvSpPr>
      <xdr:spPr>
        <a:xfrm>
          <a:off x="7637929" y="19469100"/>
          <a:ext cx="1264024" cy="456079"/>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 mapa generado</a:t>
          </a:r>
        </a:p>
      </xdr:txBody>
    </xdr:sp>
    <xdr:clientData/>
  </xdr:twoCellAnchor>
  <xdr:twoCellAnchor>
    <xdr:from>
      <xdr:col>13</xdr:col>
      <xdr:colOff>56029</xdr:colOff>
      <xdr:row>119</xdr:row>
      <xdr:rowOff>0</xdr:rowOff>
    </xdr:from>
    <xdr:to>
      <xdr:col>15</xdr:col>
      <xdr:colOff>100853</xdr:colOff>
      <xdr:row>120</xdr:row>
      <xdr:rowOff>56029</xdr:rowOff>
    </xdr:to>
    <xdr:sp macro="[0]!Cargar_imagenes" textlink="">
      <xdr:nvSpPr>
        <xdr:cNvPr id="10" name="Rectángulo 39">
          <a:extLst>
            <a:ext uri="{FF2B5EF4-FFF2-40B4-BE49-F238E27FC236}">
              <a16:creationId xmlns="" xmlns:a16="http://schemas.microsoft.com/office/drawing/2014/main" id="{00000000-0008-0000-1A00-00000A000000}"/>
            </a:ext>
          </a:extLst>
        </xdr:cNvPr>
        <xdr:cNvSpPr/>
      </xdr:nvSpPr>
      <xdr:spPr>
        <a:xfrm>
          <a:off x="7637929" y="25612725"/>
          <a:ext cx="1264024" cy="456079"/>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 mapa generado</a:t>
          </a:r>
        </a:p>
      </xdr:txBody>
    </xdr:sp>
    <xdr:clientData/>
  </xdr:twoCellAnchor>
  <xdr:twoCellAnchor>
    <xdr:from>
      <xdr:col>13</xdr:col>
      <xdr:colOff>56029</xdr:colOff>
      <xdr:row>147</xdr:row>
      <xdr:rowOff>0</xdr:rowOff>
    </xdr:from>
    <xdr:to>
      <xdr:col>15</xdr:col>
      <xdr:colOff>100853</xdr:colOff>
      <xdr:row>148</xdr:row>
      <xdr:rowOff>56029</xdr:rowOff>
    </xdr:to>
    <xdr:sp macro="[0]!Cargar_imagenes" textlink="">
      <xdr:nvSpPr>
        <xdr:cNvPr id="11" name="Rectángulo 41">
          <a:extLst>
            <a:ext uri="{FF2B5EF4-FFF2-40B4-BE49-F238E27FC236}">
              <a16:creationId xmlns="" xmlns:a16="http://schemas.microsoft.com/office/drawing/2014/main" id="{00000000-0008-0000-1A00-00000B000000}"/>
            </a:ext>
          </a:extLst>
        </xdr:cNvPr>
        <xdr:cNvSpPr/>
      </xdr:nvSpPr>
      <xdr:spPr>
        <a:xfrm>
          <a:off x="7637929" y="31756350"/>
          <a:ext cx="1264024" cy="456079"/>
        </a:xfrm>
        <a:prstGeom prst="rect">
          <a:avLst/>
        </a:prstGeom>
        <a:solidFill>
          <a:schemeClr val="accent2">
            <a:lumMod val="75000"/>
          </a:schemeClr>
        </a:solidFill>
        <a:ln>
          <a:solidFill>
            <a:schemeClr val="accent2">
              <a:lumMod val="50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000" b="1">
              <a:latin typeface="Arial" panose="020B0604020202020204" pitchFamily="34" charset="0"/>
              <a:cs typeface="Arial" panose="020B0604020202020204" pitchFamily="34" charset="0"/>
            </a:rPr>
            <a:t>Subir mapa generado</a:t>
          </a:r>
        </a:p>
      </xdr:txBody>
    </xdr:sp>
    <xdr:clientData/>
  </xdr:twoCellAnchor>
  <xdr:twoCellAnchor>
    <xdr:from>
      <xdr:col>1</xdr:col>
      <xdr:colOff>38100</xdr:colOff>
      <xdr:row>120</xdr:row>
      <xdr:rowOff>28575</xdr:rowOff>
    </xdr:from>
    <xdr:to>
      <xdr:col>12</xdr:col>
      <xdr:colOff>561975</xdr:colOff>
      <xdr:row>138</xdr:row>
      <xdr:rowOff>190500</xdr:rowOff>
    </xdr:to>
    <xdr:sp macro="" textlink="">
      <xdr:nvSpPr>
        <xdr:cNvPr id="12" name="Rectángulo 43">
          <a:extLst>
            <a:ext uri="{FF2B5EF4-FFF2-40B4-BE49-F238E27FC236}">
              <a16:creationId xmlns="" xmlns:a16="http://schemas.microsoft.com/office/drawing/2014/main" id="{00000000-0008-0000-1A00-00000C000000}"/>
            </a:ext>
          </a:extLst>
        </xdr:cNvPr>
        <xdr:cNvSpPr/>
      </xdr:nvSpPr>
      <xdr:spPr>
        <a:xfrm>
          <a:off x="419100" y="26041350"/>
          <a:ext cx="7124700" cy="4276725"/>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fLocksWithSheet="0"/>
  </xdr:twoCellAnchor>
  <xdr:twoCellAnchor>
    <xdr:from>
      <xdr:col>1</xdr:col>
      <xdr:colOff>47625</xdr:colOff>
      <xdr:row>148</xdr:row>
      <xdr:rowOff>38100</xdr:rowOff>
    </xdr:from>
    <xdr:to>
      <xdr:col>12</xdr:col>
      <xdr:colOff>571500</xdr:colOff>
      <xdr:row>166</xdr:row>
      <xdr:rowOff>200025</xdr:rowOff>
    </xdr:to>
    <xdr:sp macro="" textlink="">
      <xdr:nvSpPr>
        <xdr:cNvPr id="13" name="Rectángulo 45">
          <a:extLst>
            <a:ext uri="{FF2B5EF4-FFF2-40B4-BE49-F238E27FC236}">
              <a16:creationId xmlns="" xmlns:a16="http://schemas.microsoft.com/office/drawing/2014/main" id="{00000000-0008-0000-1A00-00000D000000}"/>
            </a:ext>
          </a:extLst>
        </xdr:cNvPr>
        <xdr:cNvSpPr/>
      </xdr:nvSpPr>
      <xdr:spPr>
        <a:xfrm>
          <a:off x="428625" y="32194500"/>
          <a:ext cx="7124700" cy="4276725"/>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fLocksWithSheet="0"/>
  </xdr:twoCellAnchor>
  <xdr:twoCellAnchor>
    <xdr:from>
      <xdr:col>1</xdr:col>
      <xdr:colOff>38100</xdr:colOff>
      <xdr:row>92</xdr:row>
      <xdr:rowOff>28575</xdr:rowOff>
    </xdr:from>
    <xdr:to>
      <xdr:col>12</xdr:col>
      <xdr:colOff>561975</xdr:colOff>
      <xdr:row>110</xdr:row>
      <xdr:rowOff>190500</xdr:rowOff>
    </xdr:to>
    <xdr:sp macro="" textlink="">
      <xdr:nvSpPr>
        <xdr:cNvPr id="14" name="Rectángulo 46">
          <a:extLst>
            <a:ext uri="{FF2B5EF4-FFF2-40B4-BE49-F238E27FC236}">
              <a16:creationId xmlns="" xmlns:a16="http://schemas.microsoft.com/office/drawing/2014/main" id="{00000000-0008-0000-1A00-00000E000000}"/>
            </a:ext>
          </a:extLst>
        </xdr:cNvPr>
        <xdr:cNvSpPr/>
      </xdr:nvSpPr>
      <xdr:spPr>
        <a:xfrm>
          <a:off x="419100" y="19897725"/>
          <a:ext cx="7124700" cy="4276725"/>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fLocksWithSheet="0"/>
  </xdr:twoCellAnchor>
  <xdr:twoCellAnchor>
    <xdr:from>
      <xdr:col>13</xdr:col>
      <xdr:colOff>109257</xdr:colOff>
      <xdr:row>174</xdr:row>
      <xdr:rowOff>148478</xdr:rowOff>
    </xdr:from>
    <xdr:to>
      <xdr:col>15</xdr:col>
      <xdr:colOff>584947</xdr:colOff>
      <xdr:row>177</xdr:row>
      <xdr:rowOff>168088</xdr:rowOff>
    </xdr:to>
    <xdr:sp macro="[0]!Ir_a_Area_Estudio_1" textlink="">
      <xdr:nvSpPr>
        <xdr:cNvPr id="15" name="Rectángulo 47">
          <a:extLst>
            <a:ext uri="{FF2B5EF4-FFF2-40B4-BE49-F238E27FC236}">
              <a16:creationId xmlns="" xmlns:a16="http://schemas.microsoft.com/office/drawing/2014/main" id="{00000000-0008-0000-1A00-00000F000000}"/>
            </a:ext>
          </a:extLst>
        </xdr:cNvPr>
        <xdr:cNvSpPr/>
      </xdr:nvSpPr>
      <xdr:spPr>
        <a:xfrm>
          <a:off x="7691157" y="37857953"/>
          <a:ext cx="1694890" cy="591110"/>
        </a:xfrm>
        <a:prstGeom prst="rect">
          <a:avLst/>
        </a:prstGeom>
        <a:solidFill>
          <a:schemeClr val="accent2"/>
        </a:solidFill>
        <a:ln>
          <a:solidFill>
            <a:schemeClr val="accent2">
              <a:lumMod val="75000"/>
            </a:schemeClr>
          </a:solidFill>
        </a:ln>
        <a:scene3d>
          <a:camera prst="orthographicFront"/>
          <a:lightRig rig="threePt" dir="t"/>
        </a:scene3d>
        <a:sp3d>
          <a:bevelT/>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s-ES" sz="1400" b="1"/>
            <a:t>Regresar</a:t>
          </a:r>
          <a:r>
            <a:rPr lang="es-ES" sz="1400" b="1" baseline="0"/>
            <a:t> a hoja de Area de Estudio</a:t>
          </a:r>
          <a:endParaRPr lang="es-ES" sz="1400" b="1"/>
        </a:p>
      </xdr:txBody>
    </xdr:sp>
    <xdr:clientData/>
  </xdr:twoCellAnchor>
  <xdr:twoCellAnchor>
    <xdr:from>
      <xdr:col>15</xdr:col>
      <xdr:colOff>302558</xdr:colOff>
      <xdr:row>4</xdr:row>
      <xdr:rowOff>67236</xdr:rowOff>
    </xdr:from>
    <xdr:to>
      <xdr:col>18</xdr:col>
      <xdr:colOff>381000</xdr:colOff>
      <xdr:row>8</xdr:row>
      <xdr:rowOff>179294</xdr:rowOff>
    </xdr:to>
    <xdr:sp macro="[0]!Mostrar_Ayuda_Caracterizacion" textlink="">
      <xdr:nvSpPr>
        <xdr:cNvPr id="16" name="Rectángulo redondeado 31">
          <a:extLst>
            <a:ext uri="{FF2B5EF4-FFF2-40B4-BE49-F238E27FC236}">
              <a16:creationId xmlns="" xmlns:a16="http://schemas.microsoft.com/office/drawing/2014/main" id="{00000000-0008-0000-1A00-000010000000}"/>
            </a:ext>
          </a:extLst>
        </xdr:cNvPr>
        <xdr:cNvSpPr/>
      </xdr:nvSpPr>
      <xdr:spPr>
        <a:xfrm>
          <a:off x="9103658" y="819711"/>
          <a:ext cx="2364442" cy="797858"/>
        </a:xfrm>
        <a:prstGeom prst="roundRect">
          <a:avLst/>
        </a:prstGeom>
        <a:solidFill>
          <a:schemeClr val="accent2">
            <a:lumMod val="5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200" b="1">
              <a:solidFill>
                <a:schemeClr val="bg1"/>
              </a:solidFill>
              <a:effectLst/>
              <a:latin typeface="Arial Narrow" panose="020B0606020202030204" pitchFamily="34" charset="0"/>
              <a:ea typeface="+mn-ea"/>
              <a:cs typeface="+mn-cs"/>
            </a:rPr>
            <a:t>Instructivo de Gestión de Riesgos correspondiente</a:t>
          </a:r>
          <a:r>
            <a:rPr lang="es-PE" sz="1200" b="1" baseline="0">
              <a:solidFill>
                <a:schemeClr val="bg1"/>
              </a:solidFill>
              <a:effectLst/>
              <a:latin typeface="Arial Narrow" panose="020B0606020202030204" pitchFamily="34" charset="0"/>
              <a:ea typeface="+mn-ea"/>
              <a:cs typeface="+mn-cs"/>
            </a:rPr>
            <a:t> a Area de Estudio, Area de impacto</a:t>
          </a:r>
          <a:endParaRPr lang="es-ES" sz="1000" b="1">
            <a:solidFill>
              <a:schemeClr val="bg1"/>
            </a:solidFill>
            <a:effectLst/>
            <a:latin typeface="Arial Narrow" panose="020B0606020202030204" pitchFamily="34" charset="0"/>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352426</xdr:colOff>
      <xdr:row>43</xdr:row>
      <xdr:rowOff>11204</xdr:rowOff>
    </xdr:from>
    <xdr:to>
      <xdr:col>1</xdr:col>
      <xdr:colOff>657226</xdr:colOff>
      <xdr:row>49</xdr:row>
      <xdr:rowOff>28575</xdr:rowOff>
    </xdr:to>
    <xdr:sp macro="" textlink="">
      <xdr:nvSpPr>
        <xdr:cNvPr id="2" name="Rectángulo 2">
          <a:extLst>
            <a:ext uri="{FF2B5EF4-FFF2-40B4-BE49-F238E27FC236}">
              <a16:creationId xmlns="" xmlns:a16="http://schemas.microsoft.com/office/drawing/2014/main" id="{00000000-0008-0000-1B00-000002000000}"/>
            </a:ext>
          </a:extLst>
        </xdr:cNvPr>
        <xdr:cNvSpPr/>
      </xdr:nvSpPr>
      <xdr:spPr>
        <a:xfrm rot="16200000">
          <a:off x="277065" y="9954465"/>
          <a:ext cx="988921" cy="3048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100"/>
            <a:t>Frecuencia</a:t>
          </a:r>
        </a:p>
      </xdr:txBody>
    </xdr:sp>
    <xdr:clientData/>
  </xdr:twoCellAnchor>
  <xdr:twoCellAnchor>
    <xdr:from>
      <xdr:col>3</xdr:col>
      <xdr:colOff>1</xdr:colOff>
      <xdr:row>49</xdr:row>
      <xdr:rowOff>80963</xdr:rowOff>
    </xdr:from>
    <xdr:to>
      <xdr:col>7</xdr:col>
      <xdr:colOff>1</xdr:colOff>
      <xdr:row>51</xdr:row>
      <xdr:rowOff>42863</xdr:rowOff>
    </xdr:to>
    <xdr:sp macro="" textlink="">
      <xdr:nvSpPr>
        <xdr:cNvPr id="3" name="Rectángulo 3">
          <a:extLst>
            <a:ext uri="{FF2B5EF4-FFF2-40B4-BE49-F238E27FC236}">
              <a16:creationId xmlns="" xmlns:a16="http://schemas.microsoft.com/office/drawing/2014/main" id="{00000000-0008-0000-1B00-000003000000}"/>
            </a:ext>
          </a:extLst>
        </xdr:cNvPr>
        <xdr:cNvSpPr/>
      </xdr:nvSpPr>
      <xdr:spPr>
        <a:xfrm>
          <a:off x="1790701" y="10653713"/>
          <a:ext cx="3038475" cy="3048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100"/>
            <a:t>Intensidad</a:t>
          </a:r>
        </a:p>
      </xdr:txBody>
    </xdr:sp>
    <xdr:clientData/>
  </xdr:twoCellAnchor>
  <xdr:twoCellAnchor>
    <xdr:from>
      <xdr:col>10</xdr:col>
      <xdr:colOff>295275</xdr:colOff>
      <xdr:row>0</xdr:row>
      <xdr:rowOff>142875</xdr:rowOff>
    </xdr:from>
    <xdr:to>
      <xdr:col>11</xdr:col>
      <xdr:colOff>676275</xdr:colOff>
      <xdr:row>4</xdr:row>
      <xdr:rowOff>78442</xdr:rowOff>
    </xdr:to>
    <xdr:sp macro="[0]!Ir_a_Area_Estudio_1" textlink="">
      <xdr:nvSpPr>
        <xdr:cNvPr id="4" name="Rectángulo 4">
          <a:extLst>
            <a:ext uri="{FF2B5EF4-FFF2-40B4-BE49-F238E27FC236}">
              <a16:creationId xmlns="" xmlns:a16="http://schemas.microsoft.com/office/drawing/2014/main" id="{00000000-0008-0000-1B00-000004000000}"/>
            </a:ext>
          </a:extLst>
        </xdr:cNvPr>
        <xdr:cNvSpPr/>
      </xdr:nvSpPr>
      <xdr:spPr>
        <a:xfrm>
          <a:off x="7572375" y="142875"/>
          <a:ext cx="2324100" cy="659467"/>
        </a:xfrm>
        <a:prstGeom prst="rect">
          <a:avLst/>
        </a:prstGeom>
        <a:solidFill>
          <a:schemeClr val="accent2"/>
        </a:solidFill>
        <a:ln>
          <a:solidFill>
            <a:schemeClr val="accent2">
              <a:lumMod val="75000"/>
            </a:schemeClr>
          </a:solidFill>
        </a:ln>
        <a:scene3d>
          <a:camera prst="orthographicFront"/>
          <a:lightRig rig="threePt" dir="t"/>
        </a:scene3d>
        <a:sp3d>
          <a:bevelT/>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s-ES" sz="1400" b="1"/>
            <a:t>Regresar</a:t>
          </a:r>
          <a:r>
            <a:rPr lang="es-ES" sz="1400" b="1" baseline="0"/>
            <a:t> a hoja de Area de Estudio</a:t>
          </a:r>
          <a:endParaRPr lang="es-ES" sz="1400" b="1"/>
        </a:p>
      </xdr:txBody>
    </xdr:sp>
    <xdr:clientData/>
  </xdr:twoCellAnchor>
  <xdr:twoCellAnchor>
    <xdr:from>
      <xdr:col>7</xdr:col>
      <xdr:colOff>609600</xdr:colOff>
      <xdr:row>61</xdr:row>
      <xdr:rowOff>114300</xdr:rowOff>
    </xdr:from>
    <xdr:to>
      <xdr:col>10</xdr:col>
      <xdr:colOff>18490</xdr:colOff>
      <xdr:row>65</xdr:row>
      <xdr:rowOff>168088</xdr:rowOff>
    </xdr:to>
    <xdr:sp macro="[0]!Ir_a_Area_Estudio_1" textlink="">
      <xdr:nvSpPr>
        <xdr:cNvPr id="5" name="Rectángulo 5">
          <a:extLst>
            <a:ext uri="{FF2B5EF4-FFF2-40B4-BE49-F238E27FC236}">
              <a16:creationId xmlns="" xmlns:a16="http://schemas.microsoft.com/office/drawing/2014/main" id="{00000000-0008-0000-1B00-000005000000}"/>
            </a:ext>
          </a:extLst>
        </xdr:cNvPr>
        <xdr:cNvSpPr/>
      </xdr:nvSpPr>
      <xdr:spPr>
        <a:xfrm>
          <a:off x="5438775" y="12506325"/>
          <a:ext cx="1856815" cy="777688"/>
        </a:xfrm>
        <a:prstGeom prst="rect">
          <a:avLst/>
        </a:prstGeom>
        <a:solidFill>
          <a:schemeClr val="accent2"/>
        </a:solidFill>
        <a:ln>
          <a:solidFill>
            <a:schemeClr val="accent2">
              <a:lumMod val="75000"/>
            </a:schemeClr>
          </a:solidFill>
        </a:ln>
        <a:scene3d>
          <a:camera prst="orthographicFront"/>
          <a:lightRig rig="threePt" dir="t"/>
        </a:scene3d>
        <a:sp3d>
          <a:bevelT/>
        </a:sp3d>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s-ES" sz="1400" b="1"/>
            <a:t>Regresar</a:t>
          </a:r>
          <a:r>
            <a:rPr lang="es-ES" sz="1400" b="1" baseline="0"/>
            <a:t> a hoja de Area de Estudio</a:t>
          </a:r>
          <a:endParaRPr lang="es-ES" sz="1400" b="1"/>
        </a:p>
      </xdr:txBody>
    </xdr:sp>
    <xdr:clientData/>
  </xdr:twoCellAnchor>
  <xdr:twoCellAnchor>
    <xdr:from>
      <xdr:col>12</xdr:col>
      <xdr:colOff>89645</xdr:colOff>
      <xdr:row>0</xdr:row>
      <xdr:rowOff>123265</xdr:rowOff>
    </xdr:from>
    <xdr:to>
      <xdr:col>15</xdr:col>
      <xdr:colOff>201704</xdr:colOff>
      <xdr:row>5</xdr:row>
      <xdr:rowOff>179294</xdr:rowOff>
    </xdr:to>
    <xdr:sp macro="[0]!Mostrar_Ayuda_Vulnerabilidad" textlink="">
      <xdr:nvSpPr>
        <xdr:cNvPr id="6" name="Rectángulo redondeado 31">
          <a:extLst>
            <a:ext uri="{FF2B5EF4-FFF2-40B4-BE49-F238E27FC236}">
              <a16:creationId xmlns="" xmlns:a16="http://schemas.microsoft.com/office/drawing/2014/main" id="{00000000-0008-0000-1B00-000006000000}"/>
            </a:ext>
          </a:extLst>
        </xdr:cNvPr>
        <xdr:cNvSpPr/>
      </xdr:nvSpPr>
      <xdr:spPr>
        <a:xfrm>
          <a:off x="10071845" y="123265"/>
          <a:ext cx="2398059" cy="960904"/>
        </a:xfrm>
        <a:prstGeom prst="roundRect">
          <a:avLst/>
        </a:prstGeom>
        <a:solidFill>
          <a:schemeClr val="accent2">
            <a:lumMod val="5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200" b="1">
              <a:solidFill>
                <a:schemeClr val="bg1"/>
              </a:solidFill>
              <a:effectLst/>
              <a:latin typeface="Arial Narrow" panose="020B0606020202030204" pitchFamily="34" charset="0"/>
              <a:ea typeface="+mn-ea"/>
              <a:cs typeface="+mn-cs"/>
            </a:rPr>
            <a:t>Instructivo de Gestión de Riesgos correspondiente</a:t>
          </a:r>
          <a:r>
            <a:rPr lang="es-PE" sz="1200" b="1" baseline="0">
              <a:solidFill>
                <a:schemeClr val="bg1"/>
              </a:solidFill>
              <a:effectLst/>
              <a:latin typeface="Arial Narrow" panose="020B0606020202030204" pitchFamily="34" charset="0"/>
              <a:ea typeface="+mn-ea"/>
              <a:cs typeface="+mn-cs"/>
            </a:rPr>
            <a:t> a Area de Estudio, Caracterización de peligros</a:t>
          </a:r>
          <a:endParaRPr lang="es-ES" sz="1000" b="1">
            <a:solidFill>
              <a:schemeClr val="bg1"/>
            </a:solidFill>
            <a:effectLst/>
            <a:latin typeface="Arial Narrow" panose="020B0606020202030204" pitchFamily="34" charset="0"/>
          </a:endParaRP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291355</xdr:colOff>
      <xdr:row>82</xdr:row>
      <xdr:rowOff>67236</xdr:rowOff>
    </xdr:from>
    <xdr:to>
      <xdr:col>1</xdr:col>
      <xdr:colOff>549091</xdr:colOff>
      <xdr:row>88</xdr:row>
      <xdr:rowOff>11207</xdr:rowOff>
    </xdr:to>
    <xdr:sp macro="" textlink="">
      <xdr:nvSpPr>
        <xdr:cNvPr id="2" name="Rectángulo 1">
          <a:extLst>
            <a:ext uri="{FF2B5EF4-FFF2-40B4-BE49-F238E27FC236}">
              <a16:creationId xmlns="" xmlns:a16="http://schemas.microsoft.com/office/drawing/2014/main" id="{00000000-0008-0000-1C00-000002000000}"/>
            </a:ext>
          </a:extLst>
        </xdr:cNvPr>
        <xdr:cNvSpPr/>
      </xdr:nvSpPr>
      <xdr:spPr>
        <a:xfrm rot="16200000">
          <a:off x="76762" y="19598529"/>
          <a:ext cx="972671" cy="257736"/>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Fragilidad</a:t>
          </a:r>
        </a:p>
      </xdr:txBody>
    </xdr:sp>
    <xdr:clientData/>
  </xdr:twoCellAnchor>
  <xdr:twoCellAnchor>
    <xdr:from>
      <xdr:col>2</xdr:col>
      <xdr:colOff>750794</xdr:colOff>
      <xdr:row>88</xdr:row>
      <xdr:rowOff>44822</xdr:rowOff>
    </xdr:from>
    <xdr:to>
      <xdr:col>7</xdr:col>
      <xdr:colOff>11206</xdr:colOff>
      <xdr:row>89</xdr:row>
      <xdr:rowOff>78441</xdr:rowOff>
    </xdr:to>
    <xdr:sp macro="" textlink="">
      <xdr:nvSpPr>
        <xdr:cNvPr id="3" name="Rectángulo 2">
          <a:extLst>
            <a:ext uri="{FF2B5EF4-FFF2-40B4-BE49-F238E27FC236}">
              <a16:creationId xmlns="" xmlns:a16="http://schemas.microsoft.com/office/drawing/2014/main" id="{00000000-0008-0000-1C00-000003000000}"/>
            </a:ext>
          </a:extLst>
        </xdr:cNvPr>
        <xdr:cNvSpPr/>
      </xdr:nvSpPr>
      <xdr:spPr>
        <a:xfrm>
          <a:off x="1655669" y="20247347"/>
          <a:ext cx="3832412" cy="19554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Resiliencia</a:t>
          </a:r>
        </a:p>
      </xdr:txBody>
    </xdr:sp>
    <xdr:clientData/>
  </xdr:twoCellAnchor>
  <xdr:twoCellAnchor>
    <xdr:from>
      <xdr:col>6</xdr:col>
      <xdr:colOff>481854</xdr:colOff>
      <xdr:row>129</xdr:row>
      <xdr:rowOff>145677</xdr:rowOff>
    </xdr:from>
    <xdr:to>
      <xdr:col>9</xdr:col>
      <xdr:colOff>11205</xdr:colOff>
      <xdr:row>132</xdr:row>
      <xdr:rowOff>156884</xdr:rowOff>
    </xdr:to>
    <xdr:sp macro="[0]!Ir_a_Unidad_Productora" textlink="">
      <xdr:nvSpPr>
        <xdr:cNvPr id="4" name="Rectángulo 3">
          <a:extLst>
            <a:ext uri="{FF2B5EF4-FFF2-40B4-BE49-F238E27FC236}">
              <a16:creationId xmlns="" xmlns:a16="http://schemas.microsoft.com/office/drawing/2014/main" id="{00000000-0008-0000-1C00-000004000000}"/>
            </a:ext>
          </a:extLst>
        </xdr:cNvPr>
        <xdr:cNvSpPr/>
      </xdr:nvSpPr>
      <xdr:spPr>
        <a:xfrm>
          <a:off x="4815729" y="28168227"/>
          <a:ext cx="2596401" cy="582707"/>
        </a:xfrm>
        <a:prstGeom prst="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t>Volver a la hoj</a:t>
          </a:r>
          <a:r>
            <a:rPr lang="es-ES" sz="1200" b="1" baseline="0"/>
            <a:t>a Unidad Productora</a:t>
          </a:r>
          <a:endParaRPr lang="es-ES" sz="1200" b="1"/>
        </a:p>
      </xdr:txBody>
    </xdr:sp>
    <xdr:clientData/>
  </xdr:twoCellAnchor>
  <xdr:twoCellAnchor>
    <xdr:from>
      <xdr:col>1</xdr:col>
      <xdr:colOff>369795</xdr:colOff>
      <xdr:row>111</xdr:row>
      <xdr:rowOff>100853</xdr:rowOff>
    </xdr:from>
    <xdr:to>
      <xdr:col>1</xdr:col>
      <xdr:colOff>616327</xdr:colOff>
      <xdr:row>117</xdr:row>
      <xdr:rowOff>11205</xdr:rowOff>
    </xdr:to>
    <xdr:sp macro="" textlink="">
      <xdr:nvSpPr>
        <xdr:cNvPr id="5" name="Rectángulo 4">
          <a:extLst>
            <a:ext uri="{FF2B5EF4-FFF2-40B4-BE49-F238E27FC236}">
              <a16:creationId xmlns="" xmlns:a16="http://schemas.microsoft.com/office/drawing/2014/main" id="{00000000-0008-0000-1C00-000005000000}"/>
            </a:ext>
          </a:extLst>
        </xdr:cNvPr>
        <xdr:cNvSpPr/>
      </xdr:nvSpPr>
      <xdr:spPr>
        <a:xfrm rot="16200000">
          <a:off x="80685" y="25069238"/>
          <a:ext cx="1110502" cy="246532"/>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Nivel de peligro</a:t>
          </a:r>
        </a:p>
      </xdr:txBody>
    </xdr:sp>
    <xdr:clientData/>
  </xdr:twoCellAnchor>
  <xdr:twoCellAnchor>
    <xdr:from>
      <xdr:col>2</xdr:col>
      <xdr:colOff>739588</xdr:colOff>
      <xdr:row>117</xdr:row>
      <xdr:rowOff>44823</xdr:rowOff>
    </xdr:from>
    <xdr:to>
      <xdr:col>7</xdr:col>
      <xdr:colOff>0</xdr:colOff>
      <xdr:row>118</xdr:row>
      <xdr:rowOff>44824</xdr:rowOff>
    </xdr:to>
    <xdr:sp macro="" textlink="">
      <xdr:nvSpPr>
        <xdr:cNvPr id="6" name="Rectángulo 5">
          <a:extLst>
            <a:ext uri="{FF2B5EF4-FFF2-40B4-BE49-F238E27FC236}">
              <a16:creationId xmlns="" xmlns:a16="http://schemas.microsoft.com/office/drawing/2014/main" id="{00000000-0008-0000-1C00-000006000000}"/>
            </a:ext>
          </a:extLst>
        </xdr:cNvPr>
        <xdr:cNvSpPr/>
      </xdr:nvSpPr>
      <xdr:spPr>
        <a:xfrm>
          <a:off x="1644463" y="25781373"/>
          <a:ext cx="3832412" cy="190501"/>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Vulnerabilidad</a:t>
          </a:r>
        </a:p>
      </xdr:txBody>
    </xdr:sp>
    <xdr:clientData/>
  </xdr:twoCellAnchor>
  <xdr:twoCellAnchor>
    <xdr:from>
      <xdr:col>14</xdr:col>
      <xdr:colOff>652763</xdr:colOff>
      <xdr:row>0</xdr:row>
      <xdr:rowOff>78441</xdr:rowOff>
    </xdr:from>
    <xdr:to>
      <xdr:col>18</xdr:col>
      <xdr:colOff>14029</xdr:colOff>
      <xdr:row>4</xdr:row>
      <xdr:rowOff>0</xdr:rowOff>
    </xdr:to>
    <xdr:sp macro="[0]!Mostrar_Ayuda_Vulnerabilidad_UP" textlink="">
      <xdr:nvSpPr>
        <xdr:cNvPr id="7" name="Rectángulo redondeado 31">
          <a:extLst>
            <a:ext uri="{FF2B5EF4-FFF2-40B4-BE49-F238E27FC236}">
              <a16:creationId xmlns="" xmlns:a16="http://schemas.microsoft.com/office/drawing/2014/main" id="{00000000-0008-0000-1C00-000007000000}"/>
            </a:ext>
          </a:extLst>
        </xdr:cNvPr>
        <xdr:cNvSpPr/>
      </xdr:nvSpPr>
      <xdr:spPr>
        <a:xfrm>
          <a:off x="11958938" y="78441"/>
          <a:ext cx="2618816" cy="721659"/>
        </a:xfrm>
        <a:prstGeom prst="roundRect">
          <a:avLst/>
        </a:prstGeom>
        <a:solidFill>
          <a:schemeClr val="accent2">
            <a:lumMod val="5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200" b="1">
              <a:solidFill>
                <a:schemeClr val="bg1"/>
              </a:solidFill>
              <a:effectLst/>
              <a:latin typeface="Arial Narrow" panose="020B0606020202030204" pitchFamily="34" charset="0"/>
              <a:ea typeface="+mn-ea"/>
              <a:cs typeface="+mn-cs"/>
            </a:rPr>
            <a:t>Instructivo de Gestión de Riesgos correspondiente</a:t>
          </a:r>
          <a:r>
            <a:rPr lang="es-PE" sz="1200" b="1" baseline="0">
              <a:solidFill>
                <a:schemeClr val="bg1"/>
              </a:solidFill>
              <a:effectLst/>
              <a:latin typeface="Arial Narrow" panose="020B0606020202030204" pitchFamily="34" charset="0"/>
              <a:ea typeface="+mn-ea"/>
              <a:cs typeface="+mn-cs"/>
            </a:rPr>
            <a:t> a Unidad Productora, Análisis de vulnerabilidad</a:t>
          </a:r>
          <a:endParaRPr lang="es-ES" sz="1000" b="1">
            <a:solidFill>
              <a:schemeClr val="bg1"/>
            </a:solidFill>
            <a:effectLst/>
            <a:latin typeface="Arial Narrow" panose="020B0606020202030204" pitchFamily="34" charset="0"/>
          </a:endParaRP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291355</xdr:colOff>
      <xdr:row>84</xdr:row>
      <xdr:rowOff>67236</xdr:rowOff>
    </xdr:from>
    <xdr:to>
      <xdr:col>1</xdr:col>
      <xdr:colOff>549091</xdr:colOff>
      <xdr:row>90</xdr:row>
      <xdr:rowOff>11207</xdr:rowOff>
    </xdr:to>
    <xdr:sp macro="" textlink="">
      <xdr:nvSpPr>
        <xdr:cNvPr id="2" name="Rectángulo 1">
          <a:extLst>
            <a:ext uri="{FF2B5EF4-FFF2-40B4-BE49-F238E27FC236}">
              <a16:creationId xmlns="" xmlns:a16="http://schemas.microsoft.com/office/drawing/2014/main" id="{00000000-0008-0000-1D00-000002000000}"/>
            </a:ext>
          </a:extLst>
        </xdr:cNvPr>
        <xdr:cNvSpPr/>
      </xdr:nvSpPr>
      <xdr:spPr>
        <a:xfrm rot="16200000">
          <a:off x="76762" y="18388854"/>
          <a:ext cx="972671" cy="257736"/>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Fragilidad</a:t>
          </a:r>
        </a:p>
      </xdr:txBody>
    </xdr:sp>
    <xdr:clientData/>
  </xdr:twoCellAnchor>
  <xdr:twoCellAnchor>
    <xdr:from>
      <xdr:col>2</xdr:col>
      <xdr:colOff>750794</xdr:colOff>
      <xdr:row>90</xdr:row>
      <xdr:rowOff>44822</xdr:rowOff>
    </xdr:from>
    <xdr:to>
      <xdr:col>7</xdr:col>
      <xdr:colOff>11206</xdr:colOff>
      <xdr:row>91</xdr:row>
      <xdr:rowOff>78441</xdr:rowOff>
    </xdr:to>
    <xdr:sp macro="" textlink="">
      <xdr:nvSpPr>
        <xdr:cNvPr id="3" name="Rectángulo 2">
          <a:extLst>
            <a:ext uri="{FF2B5EF4-FFF2-40B4-BE49-F238E27FC236}">
              <a16:creationId xmlns="" xmlns:a16="http://schemas.microsoft.com/office/drawing/2014/main" id="{00000000-0008-0000-1D00-000003000000}"/>
            </a:ext>
          </a:extLst>
        </xdr:cNvPr>
        <xdr:cNvSpPr/>
      </xdr:nvSpPr>
      <xdr:spPr>
        <a:xfrm>
          <a:off x="1341344" y="19037672"/>
          <a:ext cx="4470587" cy="19554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Resiliencia</a:t>
          </a:r>
        </a:p>
      </xdr:txBody>
    </xdr:sp>
    <xdr:clientData/>
  </xdr:twoCellAnchor>
  <xdr:twoCellAnchor>
    <xdr:from>
      <xdr:col>6</xdr:col>
      <xdr:colOff>504533</xdr:colOff>
      <xdr:row>392</xdr:row>
      <xdr:rowOff>66302</xdr:rowOff>
    </xdr:from>
    <xdr:to>
      <xdr:col>9</xdr:col>
      <xdr:colOff>33884</xdr:colOff>
      <xdr:row>395</xdr:row>
      <xdr:rowOff>77510</xdr:rowOff>
    </xdr:to>
    <xdr:sp macro="[0]!Regresar_a_AT" textlink="">
      <xdr:nvSpPr>
        <xdr:cNvPr id="4" name="Rectángulo 3">
          <a:extLst>
            <a:ext uri="{FF2B5EF4-FFF2-40B4-BE49-F238E27FC236}">
              <a16:creationId xmlns="" xmlns:a16="http://schemas.microsoft.com/office/drawing/2014/main" id="{00000000-0008-0000-1D00-000004000000}"/>
            </a:ext>
          </a:extLst>
        </xdr:cNvPr>
        <xdr:cNvSpPr/>
      </xdr:nvSpPr>
      <xdr:spPr>
        <a:xfrm>
          <a:off x="5162258" y="80314427"/>
          <a:ext cx="2596401" cy="582708"/>
        </a:xfrm>
        <a:prstGeom prst="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t>Volver a la hoj</a:t>
          </a:r>
          <a:r>
            <a:rPr lang="es-ES" sz="1200" b="1" baseline="0"/>
            <a:t>a Análisis Técnico</a:t>
          </a:r>
          <a:endParaRPr lang="es-ES" sz="1200" b="1"/>
        </a:p>
      </xdr:txBody>
    </xdr:sp>
    <xdr:clientData/>
  </xdr:twoCellAnchor>
  <xdr:twoCellAnchor>
    <xdr:from>
      <xdr:col>1</xdr:col>
      <xdr:colOff>369795</xdr:colOff>
      <xdr:row>113</xdr:row>
      <xdr:rowOff>100853</xdr:rowOff>
    </xdr:from>
    <xdr:to>
      <xdr:col>1</xdr:col>
      <xdr:colOff>616327</xdr:colOff>
      <xdr:row>119</xdr:row>
      <xdr:rowOff>11205</xdr:rowOff>
    </xdr:to>
    <xdr:sp macro="" textlink="">
      <xdr:nvSpPr>
        <xdr:cNvPr id="5" name="Rectángulo 4">
          <a:extLst>
            <a:ext uri="{FF2B5EF4-FFF2-40B4-BE49-F238E27FC236}">
              <a16:creationId xmlns="" xmlns:a16="http://schemas.microsoft.com/office/drawing/2014/main" id="{00000000-0008-0000-1D00-000005000000}"/>
            </a:ext>
          </a:extLst>
        </xdr:cNvPr>
        <xdr:cNvSpPr/>
      </xdr:nvSpPr>
      <xdr:spPr>
        <a:xfrm rot="16200000">
          <a:off x="71160" y="23869088"/>
          <a:ext cx="1110502" cy="227482"/>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Nivel de peligro</a:t>
          </a:r>
        </a:p>
      </xdr:txBody>
    </xdr:sp>
    <xdr:clientData/>
  </xdr:twoCellAnchor>
  <xdr:twoCellAnchor>
    <xdr:from>
      <xdr:col>2</xdr:col>
      <xdr:colOff>739588</xdr:colOff>
      <xdr:row>119</xdr:row>
      <xdr:rowOff>44823</xdr:rowOff>
    </xdr:from>
    <xdr:to>
      <xdr:col>7</xdr:col>
      <xdr:colOff>0</xdr:colOff>
      <xdr:row>120</xdr:row>
      <xdr:rowOff>44824</xdr:rowOff>
    </xdr:to>
    <xdr:sp macro="" textlink="">
      <xdr:nvSpPr>
        <xdr:cNvPr id="6" name="Rectángulo 5">
          <a:extLst>
            <a:ext uri="{FF2B5EF4-FFF2-40B4-BE49-F238E27FC236}">
              <a16:creationId xmlns="" xmlns:a16="http://schemas.microsoft.com/office/drawing/2014/main" id="{00000000-0008-0000-1D00-000006000000}"/>
            </a:ext>
          </a:extLst>
        </xdr:cNvPr>
        <xdr:cNvSpPr/>
      </xdr:nvSpPr>
      <xdr:spPr>
        <a:xfrm>
          <a:off x="1339663" y="24571698"/>
          <a:ext cx="4461062" cy="190501"/>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Vulnerabilidad</a:t>
          </a:r>
        </a:p>
      </xdr:txBody>
    </xdr:sp>
    <xdr:clientData/>
  </xdr:twoCellAnchor>
  <xdr:twoCellAnchor>
    <xdr:from>
      <xdr:col>1</xdr:col>
      <xdr:colOff>291355</xdr:colOff>
      <xdr:row>215</xdr:row>
      <xdr:rowOff>67236</xdr:rowOff>
    </xdr:from>
    <xdr:to>
      <xdr:col>1</xdr:col>
      <xdr:colOff>549091</xdr:colOff>
      <xdr:row>221</xdr:row>
      <xdr:rowOff>11207</xdr:rowOff>
    </xdr:to>
    <xdr:sp macro="" textlink="">
      <xdr:nvSpPr>
        <xdr:cNvPr id="7" name="Rectángulo 6">
          <a:extLst>
            <a:ext uri="{FF2B5EF4-FFF2-40B4-BE49-F238E27FC236}">
              <a16:creationId xmlns="" xmlns:a16="http://schemas.microsoft.com/office/drawing/2014/main" id="{00000000-0008-0000-1D00-000007000000}"/>
            </a:ext>
          </a:extLst>
        </xdr:cNvPr>
        <xdr:cNvSpPr/>
      </xdr:nvSpPr>
      <xdr:spPr>
        <a:xfrm rot="16200000">
          <a:off x="76762" y="45201729"/>
          <a:ext cx="972671" cy="257736"/>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Fragilidad</a:t>
          </a:r>
        </a:p>
      </xdr:txBody>
    </xdr:sp>
    <xdr:clientData/>
  </xdr:twoCellAnchor>
  <xdr:twoCellAnchor>
    <xdr:from>
      <xdr:col>2</xdr:col>
      <xdr:colOff>750794</xdr:colOff>
      <xdr:row>221</xdr:row>
      <xdr:rowOff>44822</xdr:rowOff>
    </xdr:from>
    <xdr:to>
      <xdr:col>7</xdr:col>
      <xdr:colOff>11206</xdr:colOff>
      <xdr:row>222</xdr:row>
      <xdr:rowOff>78441</xdr:rowOff>
    </xdr:to>
    <xdr:sp macro="" textlink="">
      <xdr:nvSpPr>
        <xdr:cNvPr id="8" name="Rectángulo 7">
          <a:extLst>
            <a:ext uri="{FF2B5EF4-FFF2-40B4-BE49-F238E27FC236}">
              <a16:creationId xmlns="" xmlns:a16="http://schemas.microsoft.com/office/drawing/2014/main" id="{00000000-0008-0000-1D00-000008000000}"/>
            </a:ext>
          </a:extLst>
        </xdr:cNvPr>
        <xdr:cNvSpPr/>
      </xdr:nvSpPr>
      <xdr:spPr>
        <a:xfrm>
          <a:off x="1341344" y="45850547"/>
          <a:ext cx="4470587" cy="19554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Resiliencia</a:t>
          </a:r>
        </a:p>
      </xdr:txBody>
    </xdr:sp>
    <xdr:clientData/>
  </xdr:twoCellAnchor>
  <xdr:twoCellAnchor>
    <xdr:from>
      <xdr:col>1</xdr:col>
      <xdr:colOff>369795</xdr:colOff>
      <xdr:row>244</xdr:row>
      <xdr:rowOff>100853</xdr:rowOff>
    </xdr:from>
    <xdr:to>
      <xdr:col>1</xdr:col>
      <xdr:colOff>616327</xdr:colOff>
      <xdr:row>250</xdr:row>
      <xdr:rowOff>11205</xdr:rowOff>
    </xdr:to>
    <xdr:sp macro="" textlink="">
      <xdr:nvSpPr>
        <xdr:cNvPr id="9" name="Rectángulo 8">
          <a:extLst>
            <a:ext uri="{FF2B5EF4-FFF2-40B4-BE49-F238E27FC236}">
              <a16:creationId xmlns="" xmlns:a16="http://schemas.microsoft.com/office/drawing/2014/main" id="{00000000-0008-0000-1D00-000009000000}"/>
            </a:ext>
          </a:extLst>
        </xdr:cNvPr>
        <xdr:cNvSpPr/>
      </xdr:nvSpPr>
      <xdr:spPr>
        <a:xfrm rot="16200000">
          <a:off x="71160" y="50681963"/>
          <a:ext cx="1110502" cy="227482"/>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Nivel de peligro</a:t>
          </a:r>
        </a:p>
      </xdr:txBody>
    </xdr:sp>
    <xdr:clientData/>
  </xdr:twoCellAnchor>
  <xdr:twoCellAnchor>
    <xdr:from>
      <xdr:col>2</xdr:col>
      <xdr:colOff>739588</xdr:colOff>
      <xdr:row>250</xdr:row>
      <xdr:rowOff>44823</xdr:rowOff>
    </xdr:from>
    <xdr:to>
      <xdr:col>7</xdr:col>
      <xdr:colOff>0</xdr:colOff>
      <xdr:row>251</xdr:row>
      <xdr:rowOff>44824</xdr:rowOff>
    </xdr:to>
    <xdr:sp macro="" textlink="">
      <xdr:nvSpPr>
        <xdr:cNvPr id="10" name="Rectángulo 9">
          <a:extLst>
            <a:ext uri="{FF2B5EF4-FFF2-40B4-BE49-F238E27FC236}">
              <a16:creationId xmlns="" xmlns:a16="http://schemas.microsoft.com/office/drawing/2014/main" id="{00000000-0008-0000-1D00-00000A000000}"/>
            </a:ext>
          </a:extLst>
        </xdr:cNvPr>
        <xdr:cNvSpPr/>
      </xdr:nvSpPr>
      <xdr:spPr>
        <a:xfrm>
          <a:off x="1339663" y="51384573"/>
          <a:ext cx="4461062" cy="190501"/>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Vulnerabilidad</a:t>
          </a:r>
        </a:p>
      </xdr:txBody>
    </xdr:sp>
    <xdr:clientData/>
  </xdr:twoCellAnchor>
  <xdr:twoCellAnchor>
    <xdr:from>
      <xdr:col>1</xdr:col>
      <xdr:colOff>291355</xdr:colOff>
      <xdr:row>345</xdr:row>
      <xdr:rowOff>67236</xdr:rowOff>
    </xdr:from>
    <xdr:to>
      <xdr:col>1</xdr:col>
      <xdr:colOff>549091</xdr:colOff>
      <xdr:row>351</xdr:row>
      <xdr:rowOff>11207</xdr:rowOff>
    </xdr:to>
    <xdr:sp macro="" textlink="">
      <xdr:nvSpPr>
        <xdr:cNvPr id="11" name="Rectángulo 10">
          <a:extLst>
            <a:ext uri="{FF2B5EF4-FFF2-40B4-BE49-F238E27FC236}">
              <a16:creationId xmlns="" xmlns:a16="http://schemas.microsoft.com/office/drawing/2014/main" id="{00000000-0008-0000-1D00-00000B000000}"/>
            </a:ext>
          </a:extLst>
        </xdr:cNvPr>
        <xdr:cNvSpPr/>
      </xdr:nvSpPr>
      <xdr:spPr>
        <a:xfrm rot="16200000">
          <a:off x="76762" y="71824104"/>
          <a:ext cx="972671" cy="257736"/>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Fragilidad</a:t>
          </a:r>
        </a:p>
      </xdr:txBody>
    </xdr:sp>
    <xdr:clientData/>
  </xdr:twoCellAnchor>
  <xdr:twoCellAnchor>
    <xdr:from>
      <xdr:col>2</xdr:col>
      <xdr:colOff>750794</xdr:colOff>
      <xdr:row>351</xdr:row>
      <xdr:rowOff>44822</xdr:rowOff>
    </xdr:from>
    <xdr:to>
      <xdr:col>7</xdr:col>
      <xdr:colOff>11206</xdr:colOff>
      <xdr:row>352</xdr:row>
      <xdr:rowOff>78441</xdr:rowOff>
    </xdr:to>
    <xdr:sp macro="" textlink="">
      <xdr:nvSpPr>
        <xdr:cNvPr id="12" name="Rectángulo 11">
          <a:extLst>
            <a:ext uri="{FF2B5EF4-FFF2-40B4-BE49-F238E27FC236}">
              <a16:creationId xmlns="" xmlns:a16="http://schemas.microsoft.com/office/drawing/2014/main" id="{00000000-0008-0000-1D00-00000C000000}"/>
            </a:ext>
          </a:extLst>
        </xdr:cNvPr>
        <xdr:cNvSpPr/>
      </xdr:nvSpPr>
      <xdr:spPr>
        <a:xfrm>
          <a:off x="1341344" y="72472922"/>
          <a:ext cx="4470587" cy="19554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Resiliencia</a:t>
          </a:r>
        </a:p>
      </xdr:txBody>
    </xdr:sp>
    <xdr:clientData/>
  </xdr:twoCellAnchor>
  <xdr:twoCellAnchor>
    <xdr:from>
      <xdr:col>1</xdr:col>
      <xdr:colOff>369795</xdr:colOff>
      <xdr:row>374</xdr:row>
      <xdr:rowOff>100853</xdr:rowOff>
    </xdr:from>
    <xdr:to>
      <xdr:col>1</xdr:col>
      <xdr:colOff>616327</xdr:colOff>
      <xdr:row>380</xdr:row>
      <xdr:rowOff>11205</xdr:rowOff>
    </xdr:to>
    <xdr:sp macro="" textlink="">
      <xdr:nvSpPr>
        <xdr:cNvPr id="13" name="Rectángulo 12">
          <a:extLst>
            <a:ext uri="{FF2B5EF4-FFF2-40B4-BE49-F238E27FC236}">
              <a16:creationId xmlns="" xmlns:a16="http://schemas.microsoft.com/office/drawing/2014/main" id="{00000000-0008-0000-1D00-00000D000000}"/>
            </a:ext>
          </a:extLst>
        </xdr:cNvPr>
        <xdr:cNvSpPr/>
      </xdr:nvSpPr>
      <xdr:spPr>
        <a:xfrm rot="16200000">
          <a:off x="71160" y="77304338"/>
          <a:ext cx="1110502" cy="227482"/>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Nivel de peligro</a:t>
          </a:r>
        </a:p>
      </xdr:txBody>
    </xdr:sp>
    <xdr:clientData/>
  </xdr:twoCellAnchor>
  <xdr:twoCellAnchor>
    <xdr:from>
      <xdr:col>2</xdr:col>
      <xdr:colOff>739588</xdr:colOff>
      <xdr:row>380</xdr:row>
      <xdr:rowOff>44823</xdr:rowOff>
    </xdr:from>
    <xdr:to>
      <xdr:col>7</xdr:col>
      <xdr:colOff>0</xdr:colOff>
      <xdr:row>381</xdr:row>
      <xdr:rowOff>44824</xdr:rowOff>
    </xdr:to>
    <xdr:sp macro="" textlink="">
      <xdr:nvSpPr>
        <xdr:cNvPr id="14" name="Rectángulo 13">
          <a:extLst>
            <a:ext uri="{FF2B5EF4-FFF2-40B4-BE49-F238E27FC236}">
              <a16:creationId xmlns="" xmlns:a16="http://schemas.microsoft.com/office/drawing/2014/main" id="{00000000-0008-0000-1D00-00000E000000}"/>
            </a:ext>
          </a:extLst>
        </xdr:cNvPr>
        <xdr:cNvSpPr/>
      </xdr:nvSpPr>
      <xdr:spPr>
        <a:xfrm>
          <a:off x="1339663" y="78006948"/>
          <a:ext cx="4461062" cy="190501"/>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a:latin typeface="Arial" panose="020B0604020202020204" pitchFamily="34" charset="0"/>
              <a:cs typeface="Arial" panose="020B0604020202020204" pitchFamily="34" charset="0"/>
            </a:rPr>
            <a:t>Vulnerabilidad</a:t>
          </a:r>
        </a:p>
      </xdr:txBody>
    </xdr:sp>
    <xdr:clientData/>
  </xdr:twoCellAnchor>
  <xdr:twoCellAnchor>
    <xdr:from>
      <xdr:col>16</xdr:col>
      <xdr:colOff>578304</xdr:colOff>
      <xdr:row>0</xdr:row>
      <xdr:rowOff>45357</xdr:rowOff>
    </xdr:from>
    <xdr:to>
      <xdr:col>20</xdr:col>
      <xdr:colOff>50958</xdr:colOff>
      <xdr:row>3</xdr:row>
      <xdr:rowOff>158618</xdr:rowOff>
    </xdr:to>
    <xdr:sp macro="[0]!Regresar_a_AT" textlink="">
      <xdr:nvSpPr>
        <xdr:cNvPr id="15" name="Rectángulo 14">
          <a:extLst>
            <a:ext uri="{FF2B5EF4-FFF2-40B4-BE49-F238E27FC236}">
              <a16:creationId xmlns="" xmlns:a16="http://schemas.microsoft.com/office/drawing/2014/main" id="{00000000-0008-0000-1D00-00000F000000}"/>
            </a:ext>
          </a:extLst>
        </xdr:cNvPr>
        <xdr:cNvSpPr/>
      </xdr:nvSpPr>
      <xdr:spPr>
        <a:xfrm>
          <a:off x="13637079" y="45357"/>
          <a:ext cx="2596854" cy="589511"/>
        </a:xfrm>
        <a:prstGeom prst="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t>Volver a la hoj</a:t>
          </a:r>
          <a:r>
            <a:rPr lang="es-ES" sz="1200" b="1" baseline="0"/>
            <a:t>a Análisis Técnico</a:t>
          </a:r>
          <a:endParaRPr lang="es-ES" sz="1200" b="1"/>
        </a:p>
      </xdr:txBody>
    </xdr:sp>
    <xdr:clientData/>
  </xdr:twoCellAnchor>
  <xdr:twoCellAnchor>
    <xdr:from>
      <xdr:col>12</xdr:col>
      <xdr:colOff>419100</xdr:colOff>
      <xdr:row>0</xdr:row>
      <xdr:rowOff>76200</xdr:rowOff>
    </xdr:from>
    <xdr:to>
      <xdr:col>15</xdr:col>
      <xdr:colOff>751916</xdr:colOff>
      <xdr:row>4</xdr:row>
      <xdr:rowOff>131109</xdr:rowOff>
    </xdr:to>
    <xdr:sp macro="[0]!Mostrar_Ayuda_Vulnerabilidad_AT" textlink="">
      <xdr:nvSpPr>
        <xdr:cNvPr id="17" name="Rectángulo redondeado 31">
          <a:extLst>
            <a:ext uri="{FF2B5EF4-FFF2-40B4-BE49-F238E27FC236}">
              <a16:creationId xmlns="" xmlns:a16="http://schemas.microsoft.com/office/drawing/2014/main" id="{00000000-0008-0000-1D00-000011000000}"/>
            </a:ext>
          </a:extLst>
        </xdr:cNvPr>
        <xdr:cNvSpPr/>
      </xdr:nvSpPr>
      <xdr:spPr>
        <a:xfrm>
          <a:off x="10429875" y="76200"/>
          <a:ext cx="2618816" cy="721659"/>
        </a:xfrm>
        <a:prstGeom prst="roundRect">
          <a:avLst/>
        </a:prstGeom>
        <a:solidFill>
          <a:schemeClr val="accent2">
            <a:lumMod val="50000"/>
          </a:schemeClr>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200" b="1">
              <a:solidFill>
                <a:schemeClr val="bg1"/>
              </a:solidFill>
              <a:effectLst/>
              <a:latin typeface="Arial Narrow" panose="020B0606020202030204" pitchFamily="34" charset="0"/>
              <a:ea typeface="+mn-ea"/>
              <a:cs typeface="+mn-cs"/>
            </a:rPr>
            <a:t>Instructivo de Gestión de Riesgos correspondiente</a:t>
          </a:r>
          <a:r>
            <a:rPr lang="es-PE" sz="1200" b="1" baseline="0">
              <a:solidFill>
                <a:schemeClr val="bg1"/>
              </a:solidFill>
              <a:effectLst/>
              <a:latin typeface="Arial Narrow" panose="020B0606020202030204" pitchFamily="34" charset="0"/>
              <a:ea typeface="+mn-ea"/>
              <a:cs typeface="+mn-cs"/>
            </a:rPr>
            <a:t> a Alternativa Técnica, Análisis de vulnerabilidad</a:t>
          </a:r>
          <a:endParaRPr lang="es-ES" sz="1000" b="1">
            <a:solidFill>
              <a:schemeClr val="bg1"/>
            </a:solidFill>
            <a:effectLst/>
            <a:latin typeface="Arial Narrow" panose="020B0606020202030204" pitchFamily="34" charset="0"/>
          </a:endParaRP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18</xdr:col>
      <xdr:colOff>0</xdr:colOff>
      <xdr:row>0</xdr:row>
      <xdr:rowOff>0</xdr:rowOff>
    </xdr:from>
    <xdr:to>
      <xdr:col>21</xdr:col>
      <xdr:colOff>551621</xdr:colOff>
      <xdr:row>3</xdr:row>
      <xdr:rowOff>62835</xdr:rowOff>
    </xdr:to>
    <xdr:sp macro="[0]!Regresar_a_Costos" textlink="">
      <xdr:nvSpPr>
        <xdr:cNvPr id="2" name="Rectángulo 19">
          <a:extLst>
            <a:ext uri="{FF2B5EF4-FFF2-40B4-BE49-F238E27FC236}">
              <a16:creationId xmlns="" xmlns:a16="http://schemas.microsoft.com/office/drawing/2014/main" id="{00000000-0008-0000-1E00-000002000000}"/>
            </a:ext>
          </a:extLst>
        </xdr:cNvPr>
        <xdr:cNvSpPr/>
      </xdr:nvSpPr>
      <xdr:spPr>
        <a:xfrm>
          <a:off x="13763625" y="0"/>
          <a:ext cx="2609021" cy="586710"/>
        </a:xfrm>
        <a:prstGeom prst="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t>Volver a la hoj</a:t>
          </a:r>
          <a:r>
            <a:rPr lang="es-ES" sz="1200" b="1" baseline="0"/>
            <a:t>a Costos</a:t>
          </a:r>
          <a:endParaRPr lang="es-ES" sz="1200" b="1"/>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145676</xdr:colOff>
      <xdr:row>1</xdr:row>
      <xdr:rowOff>25774</xdr:rowOff>
    </xdr:from>
    <xdr:to>
      <xdr:col>15</xdr:col>
      <xdr:colOff>461973</xdr:colOff>
      <xdr:row>2</xdr:row>
      <xdr:rowOff>113179</xdr:rowOff>
    </xdr:to>
    <xdr:sp macro="[0]!Ir_a_Unidad_Productora" textlink="">
      <xdr:nvSpPr>
        <xdr:cNvPr id="2" name="Rectángulo 1">
          <a:extLst>
            <a:ext uri="{FF2B5EF4-FFF2-40B4-BE49-F238E27FC236}">
              <a16:creationId xmlns="" xmlns:a16="http://schemas.microsoft.com/office/drawing/2014/main" id="{00000000-0008-0000-1F00-000002000000}"/>
            </a:ext>
          </a:extLst>
        </xdr:cNvPr>
        <xdr:cNvSpPr/>
      </xdr:nvSpPr>
      <xdr:spPr>
        <a:xfrm>
          <a:off x="11566151" y="216274"/>
          <a:ext cx="2602297" cy="392205"/>
        </a:xfrm>
        <a:prstGeom prst="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t>Volver a la hoj</a:t>
          </a:r>
          <a:r>
            <a:rPr lang="es-ES" sz="1200" b="1" baseline="0"/>
            <a:t>a Unidad Productora</a:t>
          </a:r>
          <a:endParaRPr lang="es-ES" sz="1200" b="1"/>
        </a:p>
      </xdr:txBody>
    </xdr:sp>
    <xdr:clientData/>
  </xdr:twoCellAnchor>
  <xdr:twoCellAnchor>
    <xdr:from>
      <xdr:col>12</xdr:col>
      <xdr:colOff>95250</xdr:colOff>
      <xdr:row>243</xdr:row>
      <xdr:rowOff>0</xdr:rowOff>
    </xdr:from>
    <xdr:to>
      <xdr:col>15</xdr:col>
      <xdr:colOff>411547</xdr:colOff>
      <xdr:row>243</xdr:row>
      <xdr:rowOff>392205</xdr:rowOff>
    </xdr:to>
    <xdr:sp macro="[0]!Regresar_a_AT" textlink="">
      <xdr:nvSpPr>
        <xdr:cNvPr id="4" name="Rectángulo 3">
          <a:extLst>
            <a:ext uri="{FF2B5EF4-FFF2-40B4-BE49-F238E27FC236}">
              <a16:creationId xmlns="" xmlns:a16="http://schemas.microsoft.com/office/drawing/2014/main" id="{00000000-0008-0000-1F00-000004000000}"/>
            </a:ext>
          </a:extLst>
        </xdr:cNvPr>
        <xdr:cNvSpPr/>
      </xdr:nvSpPr>
      <xdr:spPr>
        <a:xfrm>
          <a:off x="11515725" y="68694300"/>
          <a:ext cx="2602297" cy="392205"/>
        </a:xfrm>
        <a:prstGeom prst="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t>Volver a la hoj</a:t>
          </a:r>
          <a:r>
            <a:rPr lang="es-ES" sz="1200" b="1" baseline="0"/>
            <a:t>a Análisis Técnico</a:t>
          </a:r>
          <a:endParaRPr lang="es-ES" sz="12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oarias/Documents/OPMI%20computer/OPMI%202021/Informes/FTE%20Infraestructura%20de%20Riego%20-%20Naturaleza%20Mejoramiento%20V1_01%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plegables"/>
      <sheetName val="AREA DE ESTUDIO"/>
      <sheetName val="Base de datos"/>
    </sheetNames>
    <sheetDataSet>
      <sheetData sheetId="0" refreshError="1"/>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10.emf"/><Relationship Id="rId12" Type="http://schemas.openxmlformats.org/officeDocument/2006/relationships/ctrlProp" Target="../ctrlProps/ctrlProp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1.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11.xml"/><Relationship Id="rId18" Type="http://schemas.openxmlformats.org/officeDocument/2006/relationships/control" Target="../activeX/activeX16.xml"/><Relationship Id="rId26" Type="http://schemas.openxmlformats.org/officeDocument/2006/relationships/image" Target="../media/image17.emf"/><Relationship Id="rId39" Type="http://schemas.openxmlformats.org/officeDocument/2006/relationships/control" Target="../activeX/activeX35.xml"/><Relationship Id="rId21" Type="http://schemas.openxmlformats.org/officeDocument/2006/relationships/control" Target="../activeX/activeX19.xml"/><Relationship Id="rId34" Type="http://schemas.openxmlformats.org/officeDocument/2006/relationships/control" Target="../activeX/activeX30.xml"/><Relationship Id="rId42" Type="http://schemas.openxmlformats.org/officeDocument/2006/relationships/control" Target="../activeX/activeX38.xml"/><Relationship Id="rId47" Type="http://schemas.openxmlformats.org/officeDocument/2006/relationships/image" Target="../media/image19.emf"/><Relationship Id="rId50" Type="http://schemas.openxmlformats.org/officeDocument/2006/relationships/image" Target="../media/image20.emf"/><Relationship Id="rId55" Type="http://schemas.openxmlformats.org/officeDocument/2006/relationships/image" Target="../media/image21.emf"/><Relationship Id="rId7" Type="http://schemas.openxmlformats.org/officeDocument/2006/relationships/image" Target="../media/image14.emf"/><Relationship Id="rId2" Type="http://schemas.openxmlformats.org/officeDocument/2006/relationships/drawing" Target="../drawings/drawing4.xml"/><Relationship Id="rId16" Type="http://schemas.openxmlformats.org/officeDocument/2006/relationships/control" Target="../activeX/activeX14.xml"/><Relationship Id="rId29" Type="http://schemas.openxmlformats.org/officeDocument/2006/relationships/control" Target="../activeX/activeX25.xml"/><Relationship Id="rId11" Type="http://schemas.openxmlformats.org/officeDocument/2006/relationships/control" Target="../activeX/activeX9.xml"/><Relationship Id="rId24" Type="http://schemas.openxmlformats.org/officeDocument/2006/relationships/control" Target="../activeX/activeX21.xml"/><Relationship Id="rId32" Type="http://schemas.openxmlformats.org/officeDocument/2006/relationships/control" Target="../activeX/activeX28.xml"/><Relationship Id="rId37" Type="http://schemas.openxmlformats.org/officeDocument/2006/relationships/control" Target="../activeX/activeX33.xml"/><Relationship Id="rId40" Type="http://schemas.openxmlformats.org/officeDocument/2006/relationships/control" Target="../activeX/activeX36.xml"/><Relationship Id="rId45" Type="http://schemas.openxmlformats.org/officeDocument/2006/relationships/control" Target="../activeX/activeX40.xml"/><Relationship Id="rId53" Type="http://schemas.openxmlformats.org/officeDocument/2006/relationships/control" Target="../activeX/activeX46.xml"/><Relationship Id="rId5" Type="http://schemas.openxmlformats.org/officeDocument/2006/relationships/image" Target="../media/image13.emf"/><Relationship Id="rId10" Type="http://schemas.openxmlformats.org/officeDocument/2006/relationships/control" Target="../activeX/activeX8.xml"/><Relationship Id="rId19" Type="http://schemas.openxmlformats.org/officeDocument/2006/relationships/control" Target="../activeX/activeX17.xml"/><Relationship Id="rId31" Type="http://schemas.openxmlformats.org/officeDocument/2006/relationships/control" Target="../activeX/activeX27.xml"/><Relationship Id="rId44" Type="http://schemas.openxmlformats.org/officeDocument/2006/relationships/control" Target="../activeX/activeX39.xml"/><Relationship Id="rId52" Type="http://schemas.openxmlformats.org/officeDocument/2006/relationships/control" Target="../activeX/activeX45.xml"/><Relationship Id="rId4" Type="http://schemas.openxmlformats.org/officeDocument/2006/relationships/control" Target="../activeX/activeX5.xml"/><Relationship Id="rId9" Type="http://schemas.openxmlformats.org/officeDocument/2006/relationships/image" Target="../media/image15.emf"/><Relationship Id="rId14" Type="http://schemas.openxmlformats.org/officeDocument/2006/relationships/control" Target="../activeX/activeX12.xml"/><Relationship Id="rId22" Type="http://schemas.openxmlformats.org/officeDocument/2006/relationships/image" Target="../media/image16.emf"/><Relationship Id="rId27" Type="http://schemas.openxmlformats.org/officeDocument/2006/relationships/control" Target="../activeX/activeX23.xml"/><Relationship Id="rId30" Type="http://schemas.openxmlformats.org/officeDocument/2006/relationships/control" Target="../activeX/activeX26.xml"/><Relationship Id="rId35" Type="http://schemas.openxmlformats.org/officeDocument/2006/relationships/control" Target="../activeX/activeX31.xml"/><Relationship Id="rId43" Type="http://schemas.openxmlformats.org/officeDocument/2006/relationships/image" Target="../media/image18.emf"/><Relationship Id="rId48" Type="http://schemas.openxmlformats.org/officeDocument/2006/relationships/control" Target="../activeX/activeX42.xml"/><Relationship Id="rId56" Type="http://schemas.openxmlformats.org/officeDocument/2006/relationships/ctrlProp" Target="../ctrlProps/ctrlProp2.xml"/><Relationship Id="rId8" Type="http://schemas.openxmlformats.org/officeDocument/2006/relationships/control" Target="../activeX/activeX7.xml"/><Relationship Id="rId51" Type="http://schemas.openxmlformats.org/officeDocument/2006/relationships/control" Target="../activeX/activeX44.xml"/><Relationship Id="rId3" Type="http://schemas.openxmlformats.org/officeDocument/2006/relationships/vmlDrawing" Target="../drawings/vmlDrawing2.vml"/><Relationship Id="rId12" Type="http://schemas.openxmlformats.org/officeDocument/2006/relationships/control" Target="../activeX/activeX10.xml"/><Relationship Id="rId17" Type="http://schemas.openxmlformats.org/officeDocument/2006/relationships/control" Target="../activeX/activeX15.xml"/><Relationship Id="rId25" Type="http://schemas.openxmlformats.org/officeDocument/2006/relationships/control" Target="../activeX/activeX22.xml"/><Relationship Id="rId33" Type="http://schemas.openxmlformats.org/officeDocument/2006/relationships/control" Target="../activeX/activeX29.xml"/><Relationship Id="rId38" Type="http://schemas.openxmlformats.org/officeDocument/2006/relationships/control" Target="../activeX/activeX34.xml"/><Relationship Id="rId46" Type="http://schemas.openxmlformats.org/officeDocument/2006/relationships/control" Target="../activeX/activeX41.xml"/><Relationship Id="rId20" Type="http://schemas.openxmlformats.org/officeDocument/2006/relationships/control" Target="../activeX/activeX18.xml"/><Relationship Id="rId41" Type="http://schemas.openxmlformats.org/officeDocument/2006/relationships/control" Target="../activeX/activeX37.xml"/><Relationship Id="rId54" Type="http://schemas.openxmlformats.org/officeDocument/2006/relationships/control" Target="../activeX/activeX47.xml"/><Relationship Id="rId1" Type="http://schemas.openxmlformats.org/officeDocument/2006/relationships/printerSettings" Target="../printerSettings/printerSettings4.bin"/><Relationship Id="rId6" Type="http://schemas.openxmlformats.org/officeDocument/2006/relationships/control" Target="../activeX/activeX6.xml"/><Relationship Id="rId15" Type="http://schemas.openxmlformats.org/officeDocument/2006/relationships/control" Target="../activeX/activeX13.xml"/><Relationship Id="rId23" Type="http://schemas.openxmlformats.org/officeDocument/2006/relationships/control" Target="../activeX/activeX20.xml"/><Relationship Id="rId28" Type="http://schemas.openxmlformats.org/officeDocument/2006/relationships/control" Target="../activeX/activeX24.xml"/><Relationship Id="rId36" Type="http://schemas.openxmlformats.org/officeDocument/2006/relationships/control" Target="../activeX/activeX32.xml"/><Relationship Id="rId49" Type="http://schemas.openxmlformats.org/officeDocument/2006/relationships/control" Target="../activeX/activeX4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50.xml"/><Relationship Id="rId3" Type="http://schemas.openxmlformats.org/officeDocument/2006/relationships/vmlDrawing" Target="../drawings/vmlDrawing3.vml"/><Relationship Id="rId7" Type="http://schemas.openxmlformats.org/officeDocument/2006/relationships/image" Target="../media/image23.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49.xml"/><Relationship Id="rId5" Type="http://schemas.openxmlformats.org/officeDocument/2006/relationships/image" Target="../media/image22.emf"/><Relationship Id="rId4" Type="http://schemas.openxmlformats.org/officeDocument/2006/relationships/control" Target="../activeX/activeX48.xml"/><Relationship Id="rId9" Type="http://schemas.openxmlformats.org/officeDocument/2006/relationships/image" Target="../media/image24.emf"/></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47" Type="http://schemas.openxmlformats.org/officeDocument/2006/relationships/ctrlProp" Target="../ctrlProps/ctrlProp46.xml"/><Relationship Id="rId50" Type="http://schemas.openxmlformats.org/officeDocument/2006/relationships/ctrlProp" Target="../ctrlProps/ctrlProp49.xml"/><Relationship Id="rId7" Type="http://schemas.openxmlformats.org/officeDocument/2006/relationships/ctrlProp" Target="../ctrlProps/ctrlProp6.xml"/><Relationship Id="rId2" Type="http://schemas.openxmlformats.org/officeDocument/2006/relationships/drawing" Target="../drawings/drawing10.xml"/><Relationship Id="rId16" Type="http://schemas.openxmlformats.org/officeDocument/2006/relationships/ctrlProp" Target="../ctrlProps/ctrlProp15.xml"/><Relationship Id="rId29" Type="http://schemas.openxmlformats.org/officeDocument/2006/relationships/ctrlProp" Target="../ctrlProps/ctrlProp28.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3" Type="http://schemas.openxmlformats.org/officeDocument/2006/relationships/ctrlProp" Target="../ctrlProps/ctrlProp52.xml"/><Relationship Id="rId5" Type="http://schemas.openxmlformats.org/officeDocument/2006/relationships/ctrlProp" Target="../ctrlProps/ctrlProp4.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4" Type="http://schemas.openxmlformats.org/officeDocument/2006/relationships/ctrlProp" Target="../ctrlProps/ctrlProp43.xml"/><Relationship Id="rId52" Type="http://schemas.openxmlformats.org/officeDocument/2006/relationships/ctrlProp" Target="../ctrlProps/ctrlProp51.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 Id="rId48" Type="http://schemas.openxmlformats.org/officeDocument/2006/relationships/ctrlProp" Target="../ctrlProps/ctrlProp47.xml"/><Relationship Id="rId8" Type="http://schemas.openxmlformats.org/officeDocument/2006/relationships/ctrlProp" Target="../ctrlProps/ctrlProp7.xml"/><Relationship Id="rId51" Type="http://schemas.openxmlformats.org/officeDocument/2006/relationships/ctrlProp" Target="../ctrlProps/ctrlProp50.xml"/><Relationship Id="rId3" Type="http://schemas.openxmlformats.org/officeDocument/2006/relationships/vmlDrawing" Target="../drawings/vmlDrawing4.v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20" Type="http://schemas.openxmlformats.org/officeDocument/2006/relationships/ctrlProp" Target="../ctrlProps/ctrlProp19.xml"/><Relationship Id="rId41" Type="http://schemas.openxmlformats.org/officeDocument/2006/relationships/ctrlProp" Target="../ctrlProps/ctrlProp40.xml"/><Relationship Id="rId1" Type="http://schemas.openxmlformats.org/officeDocument/2006/relationships/printerSettings" Target="../printerSettings/printerSettings10.bin"/><Relationship Id="rId6" Type="http://schemas.openxmlformats.org/officeDocument/2006/relationships/ctrlProp" Target="../ctrlProps/ctrlProp5.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49"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29.emf"/><Relationship Id="rId18" Type="http://schemas.openxmlformats.org/officeDocument/2006/relationships/control" Target="../activeX/activeX58.xml"/><Relationship Id="rId3" Type="http://schemas.openxmlformats.org/officeDocument/2006/relationships/vmlDrawing" Target="../drawings/vmlDrawing6.vml"/><Relationship Id="rId7" Type="http://schemas.openxmlformats.org/officeDocument/2006/relationships/image" Target="../media/image26.emf"/><Relationship Id="rId12" Type="http://schemas.openxmlformats.org/officeDocument/2006/relationships/control" Target="../activeX/activeX55.xml"/><Relationship Id="rId17" Type="http://schemas.openxmlformats.org/officeDocument/2006/relationships/image" Target="../media/image31.emf"/><Relationship Id="rId2" Type="http://schemas.openxmlformats.org/officeDocument/2006/relationships/drawing" Target="../drawings/drawing12.xml"/><Relationship Id="rId16" Type="http://schemas.openxmlformats.org/officeDocument/2006/relationships/control" Target="../activeX/activeX57.xml"/><Relationship Id="rId1" Type="http://schemas.openxmlformats.org/officeDocument/2006/relationships/printerSettings" Target="../printerSettings/printerSettings12.bin"/><Relationship Id="rId6" Type="http://schemas.openxmlformats.org/officeDocument/2006/relationships/control" Target="../activeX/activeX52.xml"/><Relationship Id="rId11" Type="http://schemas.openxmlformats.org/officeDocument/2006/relationships/image" Target="../media/image28.emf"/><Relationship Id="rId5" Type="http://schemas.openxmlformats.org/officeDocument/2006/relationships/image" Target="../media/image25.emf"/><Relationship Id="rId15" Type="http://schemas.openxmlformats.org/officeDocument/2006/relationships/image" Target="../media/image30.emf"/><Relationship Id="rId10" Type="http://schemas.openxmlformats.org/officeDocument/2006/relationships/control" Target="../activeX/activeX54.xml"/><Relationship Id="rId19" Type="http://schemas.openxmlformats.org/officeDocument/2006/relationships/image" Target="../media/image32.emf"/><Relationship Id="rId4" Type="http://schemas.openxmlformats.org/officeDocument/2006/relationships/control" Target="../activeX/activeX51.xml"/><Relationship Id="rId9" Type="http://schemas.openxmlformats.org/officeDocument/2006/relationships/image" Target="../media/image27.emf"/><Relationship Id="rId14" Type="http://schemas.openxmlformats.org/officeDocument/2006/relationships/control" Target="../activeX/activeX5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7.vml"/><Relationship Id="rId7" Type="http://schemas.openxmlformats.org/officeDocument/2006/relationships/image" Target="../media/image34.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60.xml"/><Relationship Id="rId5" Type="http://schemas.openxmlformats.org/officeDocument/2006/relationships/image" Target="../media/image33.emf"/><Relationship Id="rId4" Type="http://schemas.openxmlformats.org/officeDocument/2006/relationships/control" Target="../activeX/activeX5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65.xml"/><Relationship Id="rId18" Type="http://schemas.openxmlformats.org/officeDocument/2006/relationships/ctrlProp" Target="../ctrlProps/ctrlProp70.xml"/><Relationship Id="rId26" Type="http://schemas.openxmlformats.org/officeDocument/2006/relationships/ctrlProp" Target="../ctrlProps/ctrlProp78.xml"/><Relationship Id="rId3" Type="http://schemas.openxmlformats.org/officeDocument/2006/relationships/vmlDrawing" Target="../drawings/vmlDrawing8.vml"/><Relationship Id="rId21" Type="http://schemas.openxmlformats.org/officeDocument/2006/relationships/ctrlProp" Target="../ctrlProps/ctrlProp73.xml"/><Relationship Id="rId34" Type="http://schemas.openxmlformats.org/officeDocument/2006/relationships/ctrlProp" Target="../ctrlProps/ctrlProp86.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5" Type="http://schemas.openxmlformats.org/officeDocument/2006/relationships/ctrlProp" Target="../ctrlProps/ctrlProp77.xml"/><Relationship Id="rId33" Type="http://schemas.openxmlformats.org/officeDocument/2006/relationships/ctrlProp" Target="../ctrlProps/ctrlProp85.xml"/><Relationship Id="rId2" Type="http://schemas.openxmlformats.org/officeDocument/2006/relationships/drawing" Target="../drawings/drawing18.xml"/><Relationship Id="rId16" Type="http://schemas.openxmlformats.org/officeDocument/2006/relationships/ctrlProp" Target="../ctrlProps/ctrlProp68.xml"/><Relationship Id="rId20" Type="http://schemas.openxmlformats.org/officeDocument/2006/relationships/ctrlProp" Target="../ctrlProps/ctrlProp72.xml"/><Relationship Id="rId29" Type="http://schemas.openxmlformats.org/officeDocument/2006/relationships/ctrlProp" Target="../ctrlProps/ctrlProp81.xml"/><Relationship Id="rId1" Type="http://schemas.openxmlformats.org/officeDocument/2006/relationships/printerSettings" Target="../printerSettings/printerSettings18.bin"/><Relationship Id="rId6" Type="http://schemas.openxmlformats.org/officeDocument/2006/relationships/ctrlProp" Target="../ctrlProps/ctrlProp58.xml"/><Relationship Id="rId11" Type="http://schemas.openxmlformats.org/officeDocument/2006/relationships/ctrlProp" Target="../ctrlProps/ctrlProp63.xml"/><Relationship Id="rId24" Type="http://schemas.openxmlformats.org/officeDocument/2006/relationships/ctrlProp" Target="../ctrlProps/ctrlProp76.xml"/><Relationship Id="rId32" Type="http://schemas.openxmlformats.org/officeDocument/2006/relationships/ctrlProp" Target="../ctrlProps/ctrlProp84.xml"/><Relationship Id="rId5" Type="http://schemas.openxmlformats.org/officeDocument/2006/relationships/ctrlProp" Target="../ctrlProps/ctrlProp57.xml"/><Relationship Id="rId15" Type="http://schemas.openxmlformats.org/officeDocument/2006/relationships/ctrlProp" Target="../ctrlProps/ctrlProp67.xml"/><Relationship Id="rId23" Type="http://schemas.openxmlformats.org/officeDocument/2006/relationships/ctrlProp" Target="../ctrlProps/ctrlProp75.xml"/><Relationship Id="rId28" Type="http://schemas.openxmlformats.org/officeDocument/2006/relationships/ctrlProp" Target="../ctrlProps/ctrlProp80.xml"/><Relationship Id="rId36" Type="http://schemas.openxmlformats.org/officeDocument/2006/relationships/ctrlProp" Target="../ctrlProps/ctrlProp88.xml"/><Relationship Id="rId10" Type="http://schemas.openxmlformats.org/officeDocument/2006/relationships/ctrlProp" Target="../ctrlProps/ctrlProp62.xml"/><Relationship Id="rId19" Type="http://schemas.openxmlformats.org/officeDocument/2006/relationships/ctrlProp" Target="../ctrlProps/ctrlProp71.xml"/><Relationship Id="rId31" Type="http://schemas.openxmlformats.org/officeDocument/2006/relationships/ctrlProp" Target="../ctrlProps/ctrlProp83.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 Id="rId22" Type="http://schemas.openxmlformats.org/officeDocument/2006/relationships/ctrlProp" Target="../ctrlProps/ctrlProp74.xml"/><Relationship Id="rId27" Type="http://schemas.openxmlformats.org/officeDocument/2006/relationships/ctrlProp" Target="../ctrlProps/ctrlProp79.xml"/><Relationship Id="rId30" Type="http://schemas.openxmlformats.org/officeDocument/2006/relationships/ctrlProp" Target="../ctrlProps/ctrlProp82.xml"/><Relationship Id="rId35" Type="http://schemas.openxmlformats.org/officeDocument/2006/relationships/ctrlProp" Target="../ctrlProps/ctrlProp87.xml"/><Relationship Id="rId8" Type="http://schemas.openxmlformats.org/officeDocument/2006/relationships/ctrlProp" Target="../ctrlProps/ctrlProp60.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9.vml"/><Relationship Id="rId7" Type="http://schemas.openxmlformats.org/officeDocument/2006/relationships/image" Target="../media/image37.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62.xml"/><Relationship Id="rId5" Type="http://schemas.openxmlformats.org/officeDocument/2006/relationships/image" Target="../media/image36.emf"/><Relationship Id="rId4" Type="http://schemas.openxmlformats.org/officeDocument/2006/relationships/control" Target="../activeX/activeX61.xml"/><Relationship Id="rId9" Type="http://schemas.openxmlformats.org/officeDocument/2006/relationships/image" Target="../media/image38.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10.vml"/><Relationship Id="rId7" Type="http://schemas.openxmlformats.org/officeDocument/2006/relationships/image" Target="../media/image40.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5.xml"/><Relationship Id="rId5" Type="http://schemas.openxmlformats.org/officeDocument/2006/relationships/image" Target="../media/image39.emf"/><Relationship Id="rId4" Type="http://schemas.openxmlformats.org/officeDocument/2006/relationships/control" Target="../activeX/activeX64.xml"/><Relationship Id="rId9" Type="http://schemas.openxmlformats.org/officeDocument/2006/relationships/image" Target="../media/image41.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image" Target="../media/image42.emf"/><Relationship Id="rId4" Type="http://schemas.openxmlformats.org/officeDocument/2006/relationships/control" Target="../activeX/activeX67.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3" Type="http://schemas.openxmlformats.org/officeDocument/2006/relationships/hyperlink" Target="http://sigrid.cenepred.gob.pe/sigridv3/mapa" TargetMode="External"/><Relationship Id="rId2" Type="http://schemas.openxmlformats.org/officeDocument/2006/relationships/hyperlink" Target="https://bndg.igp.gob.pe/portal/acelerometrica" TargetMode="External"/><Relationship Id="rId1" Type="http://schemas.openxmlformats.org/officeDocument/2006/relationships/hyperlink" Target="https://www.senamhi.gob.pe/?&amp;p=estaciones" TargetMode="External"/><Relationship Id="rId5" Type="http://schemas.openxmlformats.org/officeDocument/2006/relationships/drawing" Target="../drawings/drawing25.xml"/><Relationship Id="rId4"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30:H30"/>
  <sheetViews>
    <sheetView showGridLines="0" tabSelected="1" zoomScale="90" zoomScaleNormal="90" zoomScaleSheetLayoutView="85" workbookViewId="0">
      <selection activeCell="AT13" sqref="AT13"/>
    </sheetView>
  </sheetViews>
  <sheetFormatPr baseColWidth="10" defaultColWidth="4.5703125" defaultRowHeight="15.75" customHeight="1" x14ac:dyDescent="0.25"/>
  <cols>
    <col min="1" max="16384" width="4.5703125" style="1"/>
  </cols>
  <sheetData>
    <row r="30" spans="2:8" ht="15.75" customHeight="1" x14ac:dyDescent="0.25">
      <c r="B30" s="31"/>
      <c r="H30" s="31"/>
    </row>
  </sheetData>
  <sheetProtection password="9AA6" sheet="1" objects="1" scenarios="1"/>
  <pageMargins left="0.7" right="0.7" top="0.75" bottom="0.75" header="0.3" footer="0.3"/>
  <pageSetup paperSize="9" scale="76"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AC63"/>
  <sheetViews>
    <sheetView showGridLines="0" zoomScale="80" zoomScaleNormal="80" zoomScaleSheetLayoutView="100" workbookViewId="0">
      <pane ySplit="9" topLeftCell="A10" activePane="bottomLeft" state="frozen"/>
      <selection activeCell="N223" sqref="N223"/>
      <selection pane="bottomLeft" activeCell="R17" sqref="R17:AA17"/>
    </sheetView>
  </sheetViews>
  <sheetFormatPr baseColWidth="10" defaultColWidth="4.7109375" defaultRowHeight="15" x14ac:dyDescent="0.25"/>
  <cols>
    <col min="1" max="16384" width="4.7109375" style="50"/>
  </cols>
  <sheetData>
    <row r="1" spans="1:29" x14ac:dyDescent="0.25">
      <c r="A1" s="49"/>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row>
    <row r="2" spans="1:29" x14ac:dyDescent="0.25">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row>
    <row r="3" spans="1:29" x14ac:dyDescent="0.25">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row>
    <row r="4" spans="1:29" x14ac:dyDescent="0.25">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row>
    <row r="5" spans="1:29" x14ac:dyDescent="0.25">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row>
    <row r="6" spans="1:29" x14ac:dyDescent="0.25">
      <c r="A6" s="49"/>
      <c r="B6" s="49"/>
      <c r="C6" s="49"/>
      <c r="D6" s="49"/>
      <c r="E6" s="49"/>
      <c r="F6" s="49"/>
      <c r="G6" s="49"/>
      <c r="H6" s="49"/>
      <c r="I6" s="49"/>
      <c r="J6" s="49"/>
      <c r="K6" s="49"/>
      <c r="L6" s="49"/>
      <c r="M6" s="49"/>
      <c r="N6" s="49"/>
      <c r="O6" s="49"/>
      <c r="P6" s="49"/>
      <c r="Q6" s="49"/>
      <c r="R6" s="49"/>
      <c r="S6" s="49"/>
      <c r="T6" s="49"/>
      <c r="U6" s="49"/>
      <c r="V6" s="49"/>
      <c r="W6" s="49"/>
      <c r="X6" s="49"/>
      <c r="Y6" s="49"/>
      <c r="Z6" s="49"/>
      <c r="AA6" s="49"/>
      <c r="AB6" s="49"/>
      <c r="AC6" s="49"/>
    </row>
    <row r="7" spans="1:29" x14ac:dyDescent="0.25">
      <c r="A7" s="49"/>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row>
    <row r="8" spans="1:29" x14ac:dyDescent="0.25">
      <c r="A8" s="49"/>
      <c r="B8" s="49"/>
      <c r="C8" s="49"/>
      <c r="D8" s="49"/>
      <c r="E8" s="49"/>
      <c r="F8" s="49"/>
      <c r="G8" s="49"/>
      <c r="H8" s="49"/>
      <c r="I8" s="49"/>
      <c r="J8" s="49"/>
      <c r="K8" s="49"/>
      <c r="L8" s="49"/>
      <c r="M8" s="49"/>
      <c r="N8" s="49"/>
      <c r="O8" s="49"/>
      <c r="P8" s="49"/>
      <c r="Q8" s="49"/>
      <c r="R8" s="49"/>
      <c r="S8" s="49"/>
      <c r="T8" s="49"/>
      <c r="U8" s="49"/>
      <c r="V8" s="49"/>
      <c r="W8" s="49"/>
      <c r="X8" s="49"/>
      <c r="Y8" s="49"/>
      <c r="Z8" s="49"/>
      <c r="AA8" s="49"/>
      <c r="AB8" s="49"/>
      <c r="AC8" s="49"/>
    </row>
    <row r="9" spans="1:29" x14ac:dyDescent="0.25">
      <c r="A9" s="49"/>
      <c r="B9" s="49"/>
      <c r="C9" s="49"/>
      <c r="D9" s="49"/>
      <c r="E9" s="49"/>
      <c r="F9" s="49"/>
      <c r="G9" s="49"/>
      <c r="H9" s="49"/>
      <c r="I9" s="49"/>
      <c r="J9" s="49"/>
      <c r="K9" s="49"/>
      <c r="L9" s="49"/>
      <c r="M9" s="49"/>
      <c r="N9" s="49"/>
      <c r="O9" s="49"/>
      <c r="P9" s="49"/>
      <c r="Q9" s="49"/>
      <c r="R9" s="49"/>
      <c r="S9" s="49"/>
      <c r="T9" s="49"/>
      <c r="U9" s="49"/>
      <c r="V9" s="49"/>
      <c r="W9" s="49"/>
      <c r="X9" s="49"/>
      <c r="Y9" s="49"/>
      <c r="Z9" s="49"/>
      <c r="AA9" s="49"/>
      <c r="AB9" s="49"/>
      <c r="AC9" s="49"/>
    </row>
    <row r="10" spans="1:29" s="51" customFormat="1" ht="18.75" x14ac:dyDescent="0.3">
      <c r="B10" s="51" t="s">
        <v>339</v>
      </c>
      <c r="U10" s="52"/>
    </row>
    <row r="11" spans="1:29" x14ac:dyDescent="0.25">
      <c r="A11" s="41"/>
      <c r="B11" s="41"/>
      <c r="C11" s="41"/>
      <c r="D11" s="41"/>
      <c r="E11" s="41"/>
      <c r="F11" s="41"/>
      <c r="G11" s="41"/>
      <c r="H11" s="41"/>
      <c r="I11" s="41"/>
      <c r="J11" s="41"/>
      <c r="K11" s="41"/>
      <c r="L11" s="41"/>
      <c r="M11" s="41"/>
      <c r="N11" s="41"/>
      <c r="O11" s="41"/>
      <c r="P11" s="41"/>
      <c r="Q11" s="41"/>
      <c r="R11" s="41"/>
      <c r="S11" s="41"/>
      <c r="T11" s="41"/>
      <c r="U11" s="41"/>
      <c r="V11" s="41"/>
    </row>
    <row r="12" spans="1:29" s="217" customFormat="1" ht="12.75" x14ac:dyDescent="0.2">
      <c r="B12" s="53"/>
      <c r="C12" s="53"/>
      <c r="D12" s="54"/>
      <c r="E12" s="54"/>
      <c r="F12" s="54"/>
      <c r="G12" s="54"/>
      <c r="H12" s="54"/>
      <c r="I12" s="54"/>
      <c r="J12" s="54"/>
      <c r="K12" s="54"/>
    </row>
    <row r="13" spans="1:29" s="217" customFormat="1" ht="12.75" x14ac:dyDescent="0.2">
      <c r="B13" s="53"/>
      <c r="C13" s="53"/>
      <c r="D13" s="54"/>
      <c r="E13" s="54"/>
      <c r="F13" s="54"/>
      <c r="G13" s="54"/>
      <c r="H13" s="54"/>
      <c r="I13" s="54"/>
      <c r="J13" s="54"/>
      <c r="K13" s="54"/>
    </row>
    <row r="14" spans="1:29" s="217" customFormat="1" ht="12.75" x14ac:dyDescent="0.2">
      <c r="B14" s="53"/>
      <c r="C14" s="53"/>
      <c r="D14" s="54"/>
      <c r="E14" s="54"/>
      <c r="F14" s="54"/>
      <c r="G14" s="54"/>
      <c r="H14" s="54"/>
      <c r="I14" s="54"/>
      <c r="J14" s="54"/>
      <c r="K14" s="54"/>
    </row>
    <row r="15" spans="1:29" s="217" customFormat="1" ht="12.75" x14ac:dyDescent="0.2">
      <c r="B15" s="55" t="s">
        <v>328</v>
      </c>
      <c r="C15" s="56"/>
      <c r="D15" s="56"/>
      <c r="E15" s="56"/>
      <c r="F15" s="56"/>
    </row>
    <row r="16" spans="1:29" s="217" customFormat="1" ht="6" customHeight="1" x14ac:dyDescent="0.2">
      <c r="B16" s="55"/>
      <c r="C16" s="56"/>
      <c r="D16" s="56"/>
      <c r="E16" s="56"/>
      <c r="F16" s="56"/>
    </row>
    <row r="17" spans="2:27" s="57" customFormat="1" ht="15.75" customHeight="1" x14ac:dyDescent="0.2">
      <c r="B17" s="1034" t="s">
        <v>3</v>
      </c>
      <c r="C17" s="1035"/>
      <c r="D17" s="1035"/>
      <c r="E17" s="1035"/>
      <c r="F17" s="1035"/>
      <c r="G17" s="1035"/>
      <c r="H17" s="1035"/>
      <c r="I17" s="1035"/>
      <c r="J17" s="1035"/>
      <c r="K17" s="1035"/>
      <c r="L17" s="1035"/>
      <c r="M17" s="1035"/>
      <c r="N17" s="1035"/>
      <c r="O17" s="1035"/>
      <c r="P17" s="1035"/>
      <c r="R17" s="1036"/>
      <c r="S17" s="1037"/>
      <c r="T17" s="1037"/>
      <c r="U17" s="1037"/>
      <c r="V17" s="1037"/>
      <c r="W17" s="1037"/>
      <c r="X17" s="1037"/>
      <c r="Y17" s="1037"/>
      <c r="Z17" s="1037"/>
      <c r="AA17" s="1038"/>
    </row>
    <row r="18" spans="2:27" s="217" customFormat="1" ht="3.75" customHeight="1" x14ac:dyDescent="0.2">
      <c r="B18" s="58"/>
      <c r="C18" s="58"/>
      <c r="D18" s="58"/>
      <c r="E18" s="58"/>
      <c r="F18" s="59"/>
      <c r="G18" s="59"/>
      <c r="H18" s="59"/>
      <c r="I18" s="60"/>
      <c r="J18" s="60"/>
      <c r="K18" s="60"/>
      <c r="L18" s="61"/>
      <c r="M18" s="61"/>
      <c r="N18" s="61"/>
      <c r="O18" s="61"/>
    </row>
    <row r="19" spans="2:27" s="57" customFormat="1" ht="15.75" customHeight="1" x14ac:dyDescent="0.2">
      <c r="B19" s="1034" t="s">
        <v>4</v>
      </c>
      <c r="C19" s="1035"/>
      <c r="D19" s="1035"/>
      <c r="E19" s="1035"/>
      <c r="F19" s="1035"/>
      <c r="G19" s="1035"/>
      <c r="H19" s="1035"/>
      <c r="I19" s="1035"/>
      <c r="J19" s="1035"/>
      <c r="K19" s="1035"/>
      <c r="L19" s="1035"/>
      <c r="M19" s="1035"/>
      <c r="N19" s="1035"/>
      <c r="O19" s="1035"/>
      <c r="P19" s="1035"/>
      <c r="R19" s="1040"/>
      <c r="S19" s="1041"/>
      <c r="T19" s="1041"/>
      <c r="U19" s="1041"/>
      <c r="V19" s="1041"/>
      <c r="W19" s="1041"/>
      <c r="X19" s="1041"/>
      <c r="Y19" s="1041"/>
      <c r="Z19" s="1041"/>
      <c r="AA19" s="1042"/>
    </row>
    <row r="20" spans="2:27" s="217" customFormat="1" ht="3.75" customHeight="1" x14ac:dyDescent="0.2">
      <c r="B20" s="58"/>
      <c r="C20" s="58"/>
      <c r="D20" s="58"/>
      <c r="E20" s="58"/>
      <c r="F20" s="59"/>
      <c r="G20" s="59"/>
      <c r="H20" s="59"/>
      <c r="I20" s="60"/>
      <c r="J20" s="60"/>
      <c r="K20" s="60"/>
      <c r="L20" s="61"/>
      <c r="M20" s="61"/>
      <c r="N20" s="61"/>
      <c r="O20" s="61"/>
    </row>
    <row r="21" spans="2:27" s="62" customFormat="1" ht="15.75" customHeight="1" x14ac:dyDescent="0.2">
      <c r="B21" s="1034" t="s">
        <v>5</v>
      </c>
      <c r="C21" s="1035"/>
      <c r="D21" s="1035"/>
      <c r="E21" s="1035"/>
      <c r="F21" s="1035"/>
      <c r="G21" s="1035"/>
      <c r="H21" s="1035"/>
      <c r="I21" s="1035"/>
      <c r="J21" s="1035"/>
      <c r="K21" s="1035"/>
      <c r="L21" s="1035"/>
      <c r="M21" s="1035"/>
      <c r="N21" s="1035"/>
      <c r="O21" s="1035"/>
      <c r="P21" s="1035"/>
      <c r="R21" s="1040"/>
      <c r="S21" s="1041"/>
      <c r="T21" s="1041"/>
      <c r="U21" s="1041"/>
      <c r="V21" s="1041"/>
      <c r="W21" s="1041"/>
      <c r="X21" s="1041"/>
      <c r="Y21" s="1041"/>
      <c r="Z21" s="1041"/>
      <c r="AA21" s="1042"/>
    </row>
    <row r="22" spans="2:27" s="217" customFormat="1" ht="3.75" customHeight="1" x14ac:dyDescent="0.2">
      <c r="B22" s="58"/>
      <c r="C22" s="58"/>
      <c r="D22" s="58"/>
      <c r="E22" s="58"/>
      <c r="F22" s="59"/>
      <c r="G22" s="59"/>
      <c r="H22" s="59"/>
      <c r="I22" s="60"/>
      <c r="J22" s="60"/>
      <c r="K22" s="60"/>
      <c r="L22" s="61"/>
      <c r="M22" s="61"/>
      <c r="N22" s="61"/>
      <c r="O22" s="61"/>
    </row>
    <row r="23" spans="2:27" s="57" customFormat="1" ht="15.75" customHeight="1" x14ac:dyDescent="0.2">
      <c r="B23" s="1034" t="s">
        <v>17</v>
      </c>
      <c r="C23" s="1035"/>
      <c r="D23" s="1035"/>
      <c r="E23" s="1035"/>
      <c r="F23" s="1035"/>
      <c r="G23" s="1035"/>
      <c r="H23" s="1035"/>
      <c r="I23" s="1035"/>
      <c r="J23" s="1035"/>
      <c r="K23" s="1035"/>
      <c r="L23" s="1035"/>
      <c r="M23" s="1035"/>
      <c r="N23" s="1035"/>
      <c r="O23" s="1035"/>
      <c r="P23" s="1035"/>
      <c r="R23" s="1040"/>
      <c r="S23" s="1041"/>
      <c r="T23" s="1041"/>
      <c r="U23" s="1041"/>
      <c r="V23" s="1041"/>
      <c r="W23" s="1041"/>
      <c r="X23" s="1041"/>
      <c r="Y23" s="1041"/>
      <c r="Z23" s="1041"/>
      <c r="AA23" s="1042"/>
    </row>
    <row r="24" spans="2:27" s="217" customFormat="1" ht="12.75" x14ac:dyDescent="0.2">
      <c r="B24" s="63"/>
      <c r="C24" s="56"/>
      <c r="D24" s="56"/>
      <c r="E24" s="56"/>
      <c r="F24" s="56"/>
    </row>
    <row r="25" spans="2:27" s="57" customFormat="1" ht="18.75" customHeight="1" x14ac:dyDescent="0.2">
      <c r="B25" s="64"/>
      <c r="C25" s="65" t="s">
        <v>16</v>
      </c>
      <c r="D25" s="64"/>
      <c r="E25" s="64"/>
      <c r="F25" s="64"/>
      <c r="G25" s="64"/>
      <c r="H25" s="64"/>
      <c r="I25" s="64"/>
      <c r="J25" s="64"/>
      <c r="K25" s="64"/>
      <c r="L25" s="64"/>
      <c r="M25" s="64"/>
      <c r="N25" s="64"/>
      <c r="O25" s="64"/>
      <c r="P25" s="64"/>
      <c r="Q25" s="63"/>
      <c r="R25" s="66"/>
      <c r="S25" s="66"/>
      <c r="T25" s="66"/>
      <c r="U25" s="66"/>
      <c r="V25" s="66"/>
      <c r="W25" s="66"/>
      <c r="X25" s="66"/>
      <c r="Y25" s="66"/>
      <c r="Z25" s="66"/>
      <c r="AA25" s="66"/>
    </row>
    <row r="26" spans="2:27" s="217" customFormat="1" ht="12.75" x14ac:dyDescent="0.2">
      <c r="B26" s="67"/>
      <c r="C26" s="67"/>
      <c r="D26" s="67"/>
      <c r="E26" s="67"/>
      <c r="F26" s="67"/>
      <c r="G26" s="67"/>
      <c r="H26" s="67"/>
      <c r="I26" s="67"/>
      <c r="J26" s="67"/>
      <c r="K26" s="67"/>
    </row>
    <row r="27" spans="2:27" s="217" customFormat="1" ht="12.75" x14ac:dyDescent="0.2">
      <c r="B27" s="67"/>
      <c r="C27" s="67"/>
      <c r="D27" s="67"/>
      <c r="E27" s="67"/>
      <c r="F27" s="67"/>
      <c r="G27" s="67"/>
      <c r="H27" s="67"/>
      <c r="I27" s="67"/>
      <c r="J27" s="67"/>
      <c r="K27" s="67"/>
    </row>
    <row r="28" spans="2:27" s="217" customFormat="1" ht="12.75" x14ac:dyDescent="0.2">
      <c r="G28" s="68"/>
      <c r="H28" s="68"/>
      <c r="I28" s="68"/>
      <c r="J28" s="68"/>
    </row>
    <row r="29" spans="2:27" s="69" customFormat="1" ht="24" customHeight="1" x14ac:dyDescent="0.25">
      <c r="B29" s="1043" t="s">
        <v>9</v>
      </c>
      <c r="C29" s="1043"/>
      <c r="D29" s="1043"/>
      <c r="E29" s="1043"/>
      <c r="G29" s="1027" t="s">
        <v>5611</v>
      </c>
      <c r="H29" s="1028"/>
      <c r="I29" s="1028"/>
      <c r="J29" s="1028"/>
      <c r="K29" s="1028"/>
      <c r="L29" s="1028"/>
      <c r="M29" s="1028"/>
      <c r="N29" s="1028"/>
      <c r="O29" s="1028"/>
      <c r="P29" s="1028"/>
      <c r="Q29" s="1028"/>
      <c r="R29" s="1028"/>
      <c r="S29" s="1028"/>
      <c r="T29" s="1028"/>
      <c r="U29" s="1029"/>
    </row>
    <row r="30" spans="2:27" s="217" customFormat="1" ht="3.75" customHeight="1" x14ac:dyDescent="0.2">
      <c r="B30" s="70"/>
      <c r="C30" s="70"/>
      <c r="D30" s="70"/>
      <c r="E30" s="70"/>
    </row>
    <row r="31" spans="2:27" s="69" customFormat="1" ht="24" customHeight="1" x14ac:dyDescent="0.25">
      <c r="B31" s="1043" t="s">
        <v>10</v>
      </c>
      <c r="C31" s="1043"/>
      <c r="D31" s="1043"/>
      <c r="E31" s="1043"/>
      <c r="G31" s="1027" t="s">
        <v>5612</v>
      </c>
      <c r="H31" s="1028"/>
      <c r="I31" s="1028"/>
      <c r="J31" s="1028"/>
      <c r="K31" s="1028"/>
      <c r="L31" s="1028"/>
      <c r="M31" s="1028"/>
      <c r="N31" s="1028"/>
      <c r="O31" s="1028"/>
      <c r="P31" s="1028"/>
      <c r="Q31" s="1028"/>
      <c r="R31" s="1028"/>
      <c r="S31" s="1028"/>
      <c r="T31" s="1028"/>
      <c r="U31" s="1029"/>
    </row>
    <row r="32" spans="2:27" s="217" customFormat="1" ht="3.75" customHeight="1" x14ac:dyDescent="0.2">
      <c r="B32" s="70"/>
      <c r="C32" s="70"/>
      <c r="D32" s="70"/>
      <c r="E32" s="70"/>
    </row>
    <row r="33" spans="1:28" s="69" customFormat="1" ht="24" customHeight="1" x14ac:dyDescent="0.25">
      <c r="B33" s="1043" t="s">
        <v>11</v>
      </c>
      <c r="C33" s="1043"/>
      <c r="D33" s="1043"/>
      <c r="E33" s="1043"/>
      <c r="G33" s="1027" t="s">
        <v>5613</v>
      </c>
      <c r="H33" s="1028"/>
      <c r="I33" s="1028"/>
      <c r="J33" s="1028"/>
      <c r="K33" s="1028"/>
      <c r="L33" s="1028"/>
      <c r="M33" s="1028"/>
      <c r="N33" s="1028"/>
      <c r="O33" s="1028"/>
      <c r="P33" s="1028"/>
      <c r="Q33" s="1028"/>
      <c r="R33" s="1028"/>
      <c r="S33" s="1028"/>
      <c r="T33" s="1028"/>
      <c r="U33" s="1029"/>
    </row>
    <row r="34" spans="1:28" s="217" customFormat="1" ht="3.75" customHeight="1" x14ac:dyDescent="0.2">
      <c r="B34" s="70"/>
      <c r="C34" s="70"/>
      <c r="D34" s="70"/>
      <c r="E34" s="70"/>
    </row>
    <row r="35" spans="1:28" s="69" customFormat="1" ht="24" customHeight="1" x14ac:dyDescent="0.25">
      <c r="B35" s="1043" t="s">
        <v>327</v>
      </c>
      <c r="C35" s="1043"/>
      <c r="D35" s="1043"/>
      <c r="E35" s="1043"/>
      <c r="G35" s="1027" t="s">
        <v>436</v>
      </c>
      <c r="H35" s="1028"/>
      <c r="I35" s="1028"/>
      <c r="J35" s="1028"/>
      <c r="K35" s="1028"/>
      <c r="L35" s="1028"/>
      <c r="M35" s="1028"/>
      <c r="N35" s="1028"/>
      <c r="O35" s="1028"/>
      <c r="P35" s="1028"/>
      <c r="Q35" s="1028"/>
      <c r="R35" s="1028"/>
      <c r="S35" s="1028"/>
      <c r="T35" s="1028"/>
      <c r="U35" s="1029"/>
    </row>
    <row r="36" spans="1:28" s="217" customFormat="1" ht="3.75" customHeight="1" x14ac:dyDescent="0.2">
      <c r="B36" s="70"/>
      <c r="C36" s="70"/>
      <c r="D36" s="70"/>
      <c r="E36" s="70"/>
    </row>
    <row r="37" spans="1:28" s="217" customFormat="1" ht="27" customHeight="1" x14ac:dyDescent="0.2">
      <c r="B37" s="1035" t="s">
        <v>14</v>
      </c>
      <c r="C37" s="1035"/>
      <c r="D37" s="1035"/>
      <c r="E37" s="1035"/>
      <c r="F37" s="69"/>
      <c r="G37" s="1027" t="s">
        <v>5614</v>
      </c>
      <c r="H37" s="1028"/>
      <c r="I37" s="1028"/>
      <c r="J37" s="1028"/>
      <c r="K37" s="1028"/>
      <c r="L37" s="1028"/>
      <c r="M37" s="1028"/>
      <c r="N37" s="1028"/>
      <c r="O37" s="1028"/>
      <c r="P37" s="1028"/>
      <c r="Q37" s="1028"/>
      <c r="R37" s="1028"/>
      <c r="S37" s="1028"/>
      <c r="T37" s="1028"/>
      <c r="U37" s="1029"/>
      <c r="V37" s="69"/>
      <c r="W37" s="69"/>
      <c r="X37" s="69"/>
      <c r="Y37" s="69"/>
      <c r="Z37" s="69"/>
      <c r="AA37" s="69"/>
    </row>
    <row r="38" spans="1:28" s="217" customFormat="1" ht="12.75" x14ac:dyDescent="0.2"/>
    <row r="39" spans="1:28" s="217" customFormat="1" ht="12.75" x14ac:dyDescent="0.2"/>
    <row r="40" spans="1:28" s="217" customFormat="1" ht="18.75" customHeight="1" x14ac:dyDescent="0.2">
      <c r="A40" s="56"/>
      <c r="B40" s="71"/>
      <c r="C40" s="71"/>
      <c r="D40" s="71"/>
      <c r="E40" s="71"/>
      <c r="F40" s="71"/>
      <c r="G40" s="71"/>
      <c r="H40" s="71"/>
      <c r="I40" s="71"/>
      <c r="J40" s="71"/>
      <c r="K40" s="71"/>
      <c r="L40" s="71"/>
      <c r="M40" s="71"/>
      <c r="N40" s="71"/>
      <c r="O40" s="71"/>
      <c r="P40" s="71"/>
      <c r="Q40" s="71"/>
      <c r="R40" s="71"/>
      <c r="S40" s="71"/>
      <c r="T40" s="71"/>
      <c r="U40" s="71"/>
      <c r="V40" s="71"/>
      <c r="W40" s="71"/>
      <c r="X40" s="71"/>
      <c r="Y40" s="71"/>
      <c r="Z40" s="71"/>
      <c r="AA40" s="71"/>
      <c r="AB40" s="71"/>
    </row>
    <row r="41" spans="1:28" s="217" customFormat="1" ht="12.75" x14ac:dyDescent="0.2">
      <c r="A41" s="56"/>
      <c r="B41" s="72"/>
      <c r="C41" s="54"/>
      <c r="D41" s="54"/>
      <c r="E41" s="54"/>
      <c r="F41" s="54"/>
      <c r="G41" s="54"/>
      <c r="H41" s="54"/>
      <c r="I41" s="54"/>
      <c r="J41" s="54"/>
      <c r="K41" s="56"/>
      <c r="L41" s="56"/>
      <c r="M41" s="56"/>
      <c r="N41" s="56"/>
      <c r="O41" s="56"/>
      <c r="P41" s="56"/>
      <c r="Q41" s="56"/>
      <c r="R41" s="56"/>
      <c r="S41" s="56"/>
      <c r="T41" s="56"/>
      <c r="U41" s="56"/>
      <c r="V41" s="56"/>
    </row>
    <row r="42" spans="1:28" s="217" customFormat="1" ht="15.75" customHeight="1" x14ac:dyDescent="0.2">
      <c r="B42" s="1030" t="s">
        <v>6</v>
      </c>
      <c r="C42" s="1030"/>
      <c r="D42" s="1030"/>
      <c r="E42" s="1030"/>
      <c r="F42" s="1030"/>
      <c r="G42" s="1030"/>
      <c r="H42" s="1030"/>
      <c r="J42" s="1030" t="s">
        <v>7</v>
      </c>
      <c r="K42" s="1030"/>
      <c r="L42" s="1030"/>
      <c r="M42" s="1030"/>
      <c r="N42" s="1030"/>
      <c r="O42" s="1030"/>
      <c r="P42" s="1030"/>
      <c r="Q42" s="1030"/>
      <c r="R42" s="1030"/>
      <c r="S42" s="1030"/>
      <c r="U42" s="1030" t="s">
        <v>8</v>
      </c>
      <c r="V42" s="1030"/>
      <c r="W42" s="1030"/>
      <c r="X42" s="1030"/>
      <c r="Y42" s="1030"/>
      <c r="Z42" s="1030"/>
      <c r="AA42" s="1030"/>
    </row>
    <row r="43" spans="1:28" s="217" customFormat="1" ht="3.75" customHeight="1" x14ac:dyDescent="0.2"/>
    <row r="44" spans="1:28" s="217" customFormat="1" ht="65.25" customHeight="1" x14ac:dyDescent="0.2">
      <c r="B44" s="1027" t="s">
        <v>5241</v>
      </c>
      <c r="C44" s="1028"/>
      <c r="D44" s="1028"/>
      <c r="E44" s="1028"/>
      <c r="F44" s="1028"/>
      <c r="G44" s="1028"/>
      <c r="H44" s="1029"/>
      <c r="J44" s="1031" t="s">
        <v>5242</v>
      </c>
      <c r="K44" s="1032"/>
      <c r="L44" s="1032"/>
      <c r="M44" s="1032"/>
      <c r="N44" s="1032"/>
      <c r="O44" s="1032"/>
      <c r="P44" s="1032"/>
      <c r="Q44" s="1032"/>
      <c r="R44" s="1032"/>
      <c r="S44" s="1033"/>
      <c r="U44" s="1031" t="str">
        <f>"en la localidad de "&amp;'AREA DE ESTUDIO'!O27&amp;", distrito de "&amp;'AREA DE ESTUDIO'!K27&amp;", provincia de "&amp;'AREA DE ESTUDIO'!G27&amp;", departamento de "&amp;'AREA DE ESTUDIO'!C27</f>
        <v xml:space="preserve">en la localidad de , distrito de , provincia de , departamento de </v>
      </c>
      <c r="V44" s="1032"/>
      <c r="W44" s="1032"/>
      <c r="X44" s="1032"/>
      <c r="Y44" s="1032"/>
      <c r="Z44" s="1032"/>
      <c r="AA44" s="1033"/>
    </row>
    <row r="45" spans="1:28" s="217" customFormat="1" ht="12.75" x14ac:dyDescent="0.2">
      <c r="B45" s="73"/>
      <c r="C45" s="73"/>
      <c r="D45" s="73"/>
      <c r="E45" s="73"/>
      <c r="F45" s="73"/>
      <c r="G45" s="73"/>
      <c r="H45" s="73"/>
      <c r="I45" s="73"/>
      <c r="J45" s="73"/>
    </row>
    <row r="46" spans="1:28" s="217" customFormat="1" ht="12.75" x14ac:dyDescent="0.2">
      <c r="B46" s="74"/>
      <c r="C46" s="56"/>
      <c r="D46" s="75"/>
    </row>
    <row r="47" spans="1:28" s="217" customFormat="1" ht="12.75" x14ac:dyDescent="0.2"/>
    <row r="48" spans="1:28" s="217" customFormat="1" ht="12.75" x14ac:dyDescent="0.2"/>
    <row r="49" spans="2:27" s="217" customFormat="1" ht="12.75" x14ac:dyDescent="0.2"/>
    <row r="50" spans="2:27" s="217" customFormat="1" ht="12.75" x14ac:dyDescent="0.2"/>
    <row r="51" spans="2:27" s="76" customFormat="1" ht="28.5" customHeight="1" x14ac:dyDescent="0.2">
      <c r="B51" s="1039" t="s">
        <v>4898</v>
      </c>
      <c r="C51" s="1039"/>
      <c r="D51" s="1039"/>
      <c r="E51" s="1039"/>
      <c r="F51" s="1039"/>
      <c r="G51" s="1039"/>
      <c r="H51" s="1039"/>
      <c r="I51" s="1039"/>
      <c r="J51" s="1039"/>
      <c r="K51" s="1039"/>
      <c r="M51" s="1031" t="s">
        <v>5243</v>
      </c>
      <c r="N51" s="1032"/>
      <c r="O51" s="1032"/>
      <c r="P51" s="1032"/>
      <c r="Q51" s="1032"/>
      <c r="R51" s="1032"/>
      <c r="S51" s="1032"/>
      <c r="T51" s="1032"/>
      <c r="U51" s="1032"/>
      <c r="V51" s="1032"/>
      <c r="W51" s="1032"/>
      <c r="X51" s="1032"/>
      <c r="Y51" s="1032"/>
      <c r="Z51" s="1032"/>
      <c r="AA51" s="1033"/>
    </row>
    <row r="52" spans="2:27" s="217" customFormat="1" ht="6.75" customHeight="1" x14ac:dyDescent="0.2">
      <c r="B52" s="77"/>
      <c r="C52" s="54"/>
      <c r="D52" s="54"/>
      <c r="E52" s="54"/>
      <c r="F52" s="54"/>
      <c r="G52" s="54"/>
      <c r="H52" s="54"/>
      <c r="I52" s="54"/>
      <c r="J52" s="54"/>
      <c r="K52" s="78"/>
    </row>
    <row r="53" spans="2:27" s="76" customFormat="1" ht="28.5" customHeight="1" x14ac:dyDescent="0.2">
      <c r="B53" s="1039" t="s">
        <v>4899</v>
      </c>
      <c r="C53" s="1039"/>
      <c r="D53" s="1039"/>
      <c r="E53" s="1039"/>
      <c r="F53" s="1039"/>
      <c r="G53" s="1039"/>
      <c r="H53" s="1039"/>
      <c r="I53" s="1039"/>
      <c r="J53" s="1039"/>
      <c r="K53" s="1039"/>
      <c r="M53" s="1045" t="s">
        <v>308</v>
      </c>
      <c r="N53" s="1045"/>
      <c r="O53" s="1045"/>
      <c r="Q53" s="1045" t="s">
        <v>1</v>
      </c>
      <c r="R53" s="1045"/>
      <c r="S53" s="1045"/>
      <c r="U53" s="1045" t="s">
        <v>15</v>
      </c>
      <c r="V53" s="1045"/>
      <c r="W53" s="1045"/>
      <c r="Y53" s="1045" t="s">
        <v>12</v>
      </c>
      <c r="Z53" s="1045"/>
      <c r="AA53" s="1045"/>
    </row>
    <row r="54" spans="2:27" s="76" customFormat="1" ht="5.25" customHeight="1" x14ac:dyDescent="0.2"/>
    <row r="55" spans="2:27" s="76" customFormat="1" ht="23.25" customHeight="1" x14ac:dyDescent="0.2">
      <c r="B55" s="1031" t="s">
        <v>5244</v>
      </c>
      <c r="C55" s="1032"/>
      <c r="D55" s="1032"/>
      <c r="E55" s="1032"/>
      <c r="F55" s="1032"/>
      <c r="G55" s="1032"/>
      <c r="H55" s="1032"/>
      <c r="I55" s="1032"/>
      <c r="J55" s="1032"/>
      <c r="K55" s="1033"/>
      <c r="M55" s="1031" t="s">
        <v>5245</v>
      </c>
      <c r="N55" s="1032"/>
      <c r="O55" s="1033"/>
      <c r="Q55" s="1031" t="s">
        <v>4647</v>
      </c>
      <c r="R55" s="1032"/>
      <c r="S55" s="1033"/>
      <c r="U55" s="1031">
        <f ca="1">YEAR(TODAY())</f>
        <v>2021</v>
      </c>
      <c r="V55" s="1032"/>
      <c r="W55" s="1033"/>
      <c r="Y55" s="1031"/>
      <c r="Z55" s="1032"/>
      <c r="AA55" s="1033"/>
    </row>
    <row r="56" spans="2:27" s="217" customFormat="1" ht="3" customHeight="1" x14ac:dyDescent="0.2">
      <c r="B56" s="79"/>
      <c r="C56" s="54"/>
      <c r="D56" s="54"/>
      <c r="E56" s="54"/>
      <c r="F56" s="54"/>
      <c r="G56" s="54"/>
      <c r="H56" s="54"/>
      <c r="I56" s="54"/>
      <c r="J56" s="54"/>
      <c r="K56" s="54"/>
      <c r="L56" s="76"/>
      <c r="M56" s="54"/>
    </row>
    <row r="57" spans="2:27" s="217" customFormat="1" ht="27.75" customHeight="1" x14ac:dyDescent="0.2">
      <c r="B57" s="468" t="s">
        <v>0</v>
      </c>
      <c r="C57" s="54"/>
      <c r="D57" s="54"/>
      <c r="E57" s="54"/>
    </row>
    <row r="58" spans="2:27" s="217" customFormat="1" ht="27.75" customHeight="1" x14ac:dyDescent="0.2">
      <c r="B58" s="1039" t="s">
        <v>13</v>
      </c>
      <c r="C58" s="1039"/>
      <c r="D58" s="1039"/>
      <c r="E58" s="1039"/>
      <c r="F58" s="1039" t="s">
        <v>2</v>
      </c>
      <c r="G58" s="1039"/>
      <c r="H58" s="1039"/>
      <c r="I58" s="1039"/>
      <c r="J58" s="1039"/>
      <c r="K58" s="1039"/>
      <c r="L58" s="80"/>
      <c r="M58" s="1040"/>
      <c r="N58" s="1041"/>
      <c r="O58" s="1041"/>
      <c r="P58" s="1041"/>
      <c r="Q58" s="1041"/>
      <c r="R58" s="1041"/>
      <c r="S58" s="1041"/>
      <c r="T58" s="1041"/>
      <c r="U58" s="1041"/>
      <c r="V58" s="1041"/>
      <c r="W58" s="1041"/>
      <c r="X58" s="1041"/>
      <c r="Y58" s="1041"/>
      <c r="Z58" s="1041"/>
      <c r="AA58" s="1042"/>
    </row>
    <row r="59" spans="2:27" s="217" customFormat="1" ht="27.75" customHeight="1" x14ac:dyDescent="0.2">
      <c r="B59" s="1044" t="s">
        <v>293</v>
      </c>
      <c r="C59" s="1044"/>
      <c r="D59" s="1044"/>
      <c r="E59" s="1044"/>
      <c r="F59" s="1044"/>
      <c r="G59" s="1044"/>
      <c r="H59" s="1044"/>
      <c r="I59" s="1044"/>
      <c r="J59" s="1044"/>
      <c r="K59" s="1044"/>
      <c r="L59" s="1044"/>
      <c r="M59" s="1044"/>
      <c r="N59" s="1044"/>
      <c r="O59" s="1044"/>
      <c r="P59" s="1044"/>
      <c r="Q59" s="1044"/>
      <c r="R59" s="1044"/>
      <c r="S59" s="1044"/>
      <c r="T59" s="1044"/>
      <c r="U59" s="1044"/>
      <c r="V59" s="1044"/>
      <c r="W59" s="1044"/>
      <c r="X59" s="1044"/>
      <c r="Y59" s="1044"/>
      <c r="Z59" s="1044"/>
      <c r="AA59" s="1044"/>
    </row>
    <row r="60" spans="2:27" s="217" customFormat="1" ht="12.75" x14ac:dyDescent="0.2">
      <c r="B60" s="53"/>
      <c r="C60" s="53"/>
      <c r="D60" s="54"/>
      <c r="E60" s="54"/>
      <c r="F60" s="54"/>
      <c r="G60" s="54"/>
      <c r="H60" s="54"/>
      <c r="I60" s="54"/>
      <c r="J60" s="54"/>
      <c r="K60" s="54"/>
    </row>
    <row r="61" spans="2:27" s="217" customFormat="1" ht="12.75" x14ac:dyDescent="0.2">
      <c r="B61" s="53"/>
      <c r="C61" s="53"/>
      <c r="D61" s="54"/>
      <c r="E61" s="54"/>
      <c r="F61" s="54"/>
      <c r="G61" s="54"/>
      <c r="H61" s="54"/>
      <c r="I61" s="54"/>
      <c r="J61" s="54"/>
      <c r="K61" s="54"/>
    </row>
    <row r="62" spans="2:27" s="57" customFormat="1" ht="18.75" customHeight="1" x14ac:dyDescent="0.2"/>
    <row r="63" spans="2:27" s="217" customFormat="1" ht="12.75" x14ac:dyDescent="0.2">
      <c r="B63" s="73"/>
      <c r="C63" s="73"/>
      <c r="D63" s="73"/>
      <c r="E63" s="73"/>
      <c r="F63" s="73"/>
      <c r="G63" s="73"/>
      <c r="H63" s="73"/>
      <c r="I63" s="73"/>
      <c r="J63" s="73"/>
    </row>
  </sheetData>
  <sheetProtection password="9AA6" sheet="1" objects="1" scenarios="1"/>
  <dataConsolidate/>
  <mergeCells count="39">
    <mergeCell ref="B59:AA59"/>
    <mergeCell ref="B19:P19"/>
    <mergeCell ref="R19:AA19"/>
    <mergeCell ref="B21:P21"/>
    <mergeCell ref="R21:AA21"/>
    <mergeCell ref="B23:P23"/>
    <mergeCell ref="R23:AA23"/>
    <mergeCell ref="M53:O53"/>
    <mergeCell ref="Q53:S53"/>
    <mergeCell ref="U53:W53"/>
    <mergeCell ref="Y53:AA53"/>
    <mergeCell ref="B29:E29"/>
    <mergeCell ref="G29:U29"/>
    <mergeCell ref="B31:E31"/>
    <mergeCell ref="G31:U31"/>
    <mergeCell ref="B33:E33"/>
    <mergeCell ref="B17:P17"/>
    <mergeCell ref="R17:AA17"/>
    <mergeCell ref="B37:E37"/>
    <mergeCell ref="G37:U37"/>
    <mergeCell ref="B58:K58"/>
    <mergeCell ref="M58:AA58"/>
    <mergeCell ref="B55:K55"/>
    <mergeCell ref="M55:O55"/>
    <mergeCell ref="Q55:S55"/>
    <mergeCell ref="U55:W55"/>
    <mergeCell ref="Y55:AA55"/>
    <mergeCell ref="B35:E35"/>
    <mergeCell ref="G35:U35"/>
    <mergeCell ref="B51:K51"/>
    <mergeCell ref="M51:AA51"/>
    <mergeCell ref="B53:K53"/>
    <mergeCell ref="G33:U33"/>
    <mergeCell ref="B42:H42"/>
    <mergeCell ref="B44:H44"/>
    <mergeCell ref="J44:S44"/>
    <mergeCell ref="J42:S42"/>
    <mergeCell ref="U42:AA42"/>
    <mergeCell ref="U44:AA44"/>
  </mergeCells>
  <dataValidations count="5">
    <dataValidation type="list" allowBlank="1" showInputMessage="1" showErrorMessage="1" promptTitle="Nivel de Gobierno" prompt="Seleccione el Nivel de Gobierno de la Unidad Formuladora de la Inversión." sqref="R17:AA17">
      <formula1>"GOBIERNO NACIONAL,GOBIERNO REGIONAL,GOBIERNO LOCAL"</formula1>
    </dataValidation>
    <dataValidation allowBlank="1" showInputMessage="1" showErrorMessage="1" promptTitle="Entidad" prompt="Ingrese el nombre de la Entidad responsable de la Formulación y Evaluación de la Inversión._x000a_Revisar el Directorio de las Unidades Formuladoras del Ministerio de Economía y Finanzas." sqref="R19:AA19"/>
    <dataValidation allowBlank="1" showInputMessage="1" showErrorMessage="1" promptTitle="Nombre de la UF" prompt="Ingrese el nombre de la Unidad Orgánica a la que pertenece la Unidad Formuladora repsonsable de la Formulación y Evaluación de la Inversión._x000a_Revisar el Directorio de las Unidades Formuladoras del Ministerio de Economía y Finanzas." sqref="R21:AA21"/>
    <dataValidation allowBlank="1" showInputMessage="1" showErrorMessage="1" promptTitle="Responsable" prompt="Ingrese el nombre del responsable de la Unidad Formuladora responsable de la Formulación y Evaluación de la Inversión._x000a_Revisar el Directorio de las Unidades Formuladoras del Ministerio de Economía y Finanzas." sqref="R23:AA23"/>
    <dataValidation allowBlank="1" showInputMessage="1" showErrorMessage="1" promptTitle="Contribución" prompt="Ingrese el valor de los sistemas de riego atendidos que contribuyen al cierre de brecha._x000a_La Unidad es el sistema de riego en mal estado." sqref="M58:AA58"/>
  </dataValidations>
  <pageMargins left="0.70866141732283472" right="0.70866141732283472" top="0.74803149606299213" bottom="0.74803149606299213" header="0.31496062992125984" footer="0.31496062992125984"/>
  <pageSetup paperSize="9" scale="63"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AG138"/>
  <sheetViews>
    <sheetView showGridLines="0" zoomScale="80" zoomScaleNormal="80" zoomScaleSheetLayoutView="130" workbookViewId="0">
      <pane ySplit="9" topLeftCell="A10" activePane="bottomLeft" state="frozen"/>
      <selection sqref="A1:XFD1048576"/>
      <selection pane="bottomLeft" activeCell="C19" sqref="C19:F19"/>
    </sheetView>
  </sheetViews>
  <sheetFormatPr baseColWidth="10" defaultColWidth="4.7109375" defaultRowHeight="15" x14ac:dyDescent="0.25"/>
  <cols>
    <col min="1" max="1" width="4.7109375" style="50"/>
    <col min="2" max="2" width="6.28515625" style="50" customWidth="1"/>
    <col min="3" max="16384" width="4.7109375" style="50"/>
  </cols>
  <sheetData>
    <row r="1" spans="1:28" ht="8.25" customHeight="1" x14ac:dyDescent="0.25">
      <c r="A1" s="81"/>
      <c r="B1" s="81"/>
      <c r="C1" s="81"/>
      <c r="D1" s="81"/>
      <c r="E1" s="81"/>
      <c r="F1" s="81"/>
      <c r="G1" s="81"/>
      <c r="H1" s="81"/>
      <c r="I1" s="81"/>
      <c r="J1" s="81"/>
      <c r="K1" s="81"/>
      <c r="L1" s="81"/>
      <c r="M1" s="81"/>
      <c r="N1" s="81"/>
      <c r="O1" s="81"/>
      <c r="P1" s="81"/>
      <c r="Q1" s="81"/>
      <c r="R1" s="81"/>
      <c r="S1" s="81"/>
      <c r="T1" s="81"/>
      <c r="U1" s="81"/>
      <c r="V1" s="81"/>
      <c r="W1" s="81"/>
      <c r="X1" s="81"/>
      <c r="Y1" s="81"/>
      <c r="Z1" s="81"/>
      <c r="AA1" s="81"/>
      <c r="AB1" s="81"/>
    </row>
    <row r="2" spans="1:28" ht="8.25" customHeight="1" x14ac:dyDescent="0.25">
      <c r="A2" s="81"/>
      <c r="B2" s="81"/>
      <c r="C2" s="81"/>
      <c r="D2" s="81"/>
      <c r="E2" s="81"/>
      <c r="F2" s="81"/>
      <c r="G2" s="81"/>
      <c r="H2" s="81"/>
      <c r="I2" s="81"/>
      <c r="J2" s="81"/>
      <c r="K2" s="81"/>
      <c r="L2" s="81"/>
      <c r="M2" s="81"/>
      <c r="N2" s="81"/>
      <c r="O2" s="81"/>
      <c r="P2" s="81"/>
      <c r="Q2" s="81"/>
      <c r="R2" s="81"/>
      <c r="S2" s="81"/>
      <c r="T2" s="81"/>
      <c r="U2" s="81"/>
      <c r="V2" s="81"/>
      <c r="W2" s="81"/>
      <c r="X2" s="81"/>
      <c r="Y2" s="81"/>
      <c r="Z2" s="81"/>
      <c r="AA2" s="81"/>
      <c r="AB2" s="81"/>
    </row>
    <row r="3" spans="1:28" ht="8.25" customHeight="1" x14ac:dyDescent="0.25">
      <c r="A3" s="81"/>
      <c r="B3" s="81"/>
      <c r="C3" s="81"/>
      <c r="D3" s="81"/>
      <c r="E3" s="81"/>
      <c r="F3" s="81"/>
      <c r="G3" s="81"/>
      <c r="H3" s="81"/>
      <c r="I3" s="81"/>
      <c r="J3" s="81"/>
      <c r="K3" s="81"/>
      <c r="L3" s="81"/>
      <c r="M3" s="81"/>
      <c r="N3" s="81"/>
      <c r="O3" s="81"/>
      <c r="P3" s="81"/>
      <c r="Q3" s="81"/>
      <c r="R3" s="81"/>
      <c r="S3" s="81"/>
      <c r="T3" s="81"/>
      <c r="U3" s="81"/>
      <c r="V3" s="81"/>
      <c r="W3" s="81"/>
      <c r="X3" s="81"/>
      <c r="Y3" s="81"/>
      <c r="Z3" s="81"/>
      <c r="AA3" s="81"/>
      <c r="AB3" s="81"/>
    </row>
    <row r="4" spans="1:28" ht="15.75" customHeight="1" x14ac:dyDescent="0.25">
      <c r="A4" s="81"/>
      <c r="B4" s="81"/>
      <c r="C4" s="81"/>
      <c r="D4" s="81"/>
      <c r="E4" s="81"/>
      <c r="F4" s="81"/>
      <c r="G4" s="81"/>
      <c r="H4" s="81"/>
      <c r="I4" s="81"/>
      <c r="J4" s="81"/>
      <c r="K4" s="81"/>
      <c r="L4" s="81"/>
      <c r="M4" s="81"/>
      <c r="N4" s="81"/>
      <c r="O4" s="81"/>
      <c r="P4" s="81"/>
      <c r="Q4" s="81"/>
      <c r="R4" s="81"/>
      <c r="S4" s="81"/>
      <c r="T4" s="81"/>
      <c r="U4" s="81"/>
      <c r="V4" s="81"/>
      <c r="W4" s="81"/>
      <c r="X4" s="81"/>
      <c r="Y4" s="81"/>
      <c r="Z4" s="81"/>
      <c r="AA4" s="81"/>
      <c r="AB4" s="81"/>
    </row>
    <row r="5" spans="1:28" x14ac:dyDescent="0.25">
      <c r="A5" s="81"/>
      <c r="B5" s="81"/>
      <c r="C5" s="81"/>
      <c r="D5" s="81"/>
      <c r="E5" s="81"/>
      <c r="F5" s="81"/>
      <c r="G5" s="81"/>
      <c r="H5" s="81"/>
      <c r="I5" s="81"/>
      <c r="J5" s="81"/>
      <c r="K5" s="81"/>
      <c r="L5" s="81"/>
      <c r="M5" s="81"/>
      <c r="N5" s="81"/>
      <c r="O5" s="81"/>
      <c r="P5" s="81"/>
      <c r="Q5" s="81"/>
      <c r="R5" s="81"/>
      <c r="S5" s="81"/>
      <c r="T5" s="81"/>
      <c r="U5" s="81"/>
      <c r="V5" s="81"/>
      <c r="W5" s="81"/>
      <c r="X5" s="81"/>
      <c r="Y5" s="81"/>
      <c r="Z5" s="81"/>
      <c r="AA5" s="81"/>
      <c r="AB5" s="81"/>
    </row>
    <row r="6" spans="1:28" x14ac:dyDescent="0.25">
      <c r="A6" s="81"/>
      <c r="B6" s="81"/>
      <c r="C6" s="81"/>
      <c r="D6" s="81"/>
      <c r="E6" s="81"/>
      <c r="F6" s="81"/>
      <c r="G6" s="81"/>
      <c r="H6" s="81"/>
      <c r="I6" s="81"/>
      <c r="J6" s="81"/>
      <c r="K6" s="81"/>
      <c r="L6" s="81"/>
      <c r="M6" s="81"/>
      <c r="N6" s="81"/>
      <c r="O6" s="81"/>
      <c r="P6" s="81"/>
      <c r="Q6" s="81"/>
      <c r="R6" s="81"/>
      <c r="S6" s="81"/>
      <c r="T6" s="81"/>
      <c r="U6" s="81"/>
      <c r="V6" s="81"/>
      <c r="W6" s="81"/>
      <c r="X6" s="81"/>
      <c r="Y6" s="81"/>
      <c r="Z6" s="81"/>
      <c r="AA6" s="81"/>
      <c r="AB6" s="81"/>
    </row>
    <row r="7" spans="1:28" x14ac:dyDescent="0.25">
      <c r="A7" s="81"/>
      <c r="B7" s="81"/>
      <c r="C7" s="81"/>
      <c r="D7" s="81"/>
      <c r="E7" s="81"/>
      <c r="F7" s="81"/>
      <c r="G7" s="81"/>
      <c r="H7" s="81"/>
      <c r="I7" s="81"/>
      <c r="J7" s="81"/>
      <c r="K7" s="81"/>
      <c r="L7" s="81"/>
      <c r="M7" s="81"/>
      <c r="N7" s="81"/>
      <c r="O7" s="81"/>
      <c r="P7" s="81"/>
      <c r="Q7" s="81"/>
      <c r="R7" s="81"/>
      <c r="S7" s="81"/>
      <c r="T7" s="81"/>
      <c r="U7" s="81"/>
      <c r="V7" s="81"/>
      <c r="W7" s="81"/>
      <c r="X7" s="81"/>
      <c r="Y7" s="81"/>
      <c r="Z7" s="81"/>
      <c r="AA7" s="81"/>
      <c r="AB7" s="81"/>
    </row>
    <row r="8" spans="1:28" x14ac:dyDescent="0.25">
      <c r="A8" s="81"/>
      <c r="B8" s="81"/>
      <c r="C8" s="81"/>
      <c r="D8" s="81"/>
      <c r="E8" s="81"/>
      <c r="F8" s="81"/>
      <c r="G8" s="81"/>
      <c r="H8" s="81"/>
      <c r="I8" s="81"/>
      <c r="J8" s="81"/>
      <c r="K8" s="81"/>
      <c r="L8" s="81"/>
      <c r="M8" s="81"/>
      <c r="N8" s="81"/>
      <c r="O8" s="81"/>
      <c r="P8" s="81"/>
      <c r="Q8" s="81"/>
      <c r="R8" s="81"/>
      <c r="S8" s="81"/>
      <c r="T8" s="81"/>
      <c r="U8" s="81"/>
      <c r="V8" s="81"/>
      <c r="W8" s="81"/>
      <c r="X8" s="81"/>
      <c r="Y8" s="81"/>
      <c r="Z8" s="81"/>
      <c r="AA8" s="81"/>
      <c r="AB8" s="81"/>
    </row>
    <row r="9" spans="1:28" ht="10.5" customHeight="1" x14ac:dyDescent="0.25">
      <c r="A9" s="81"/>
      <c r="B9" s="81"/>
      <c r="C9" s="81"/>
      <c r="D9" s="81"/>
      <c r="E9" s="81"/>
      <c r="F9" s="81"/>
      <c r="G9" s="81"/>
      <c r="H9" s="81"/>
      <c r="I9" s="81"/>
      <c r="J9" s="81"/>
      <c r="K9" s="81"/>
      <c r="L9" s="81"/>
      <c r="M9" s="81"/>
      <c r="N9" s="81"/>
      <c r="O9" s="81"/>
      <c r="P9" s="81"/>
      <c r="Q9" s="81"/>
      <c r="R9" s="81"/>
      <c r="S9" s="81"/>
      <c r="T9" s="81"/>
      <c r="U9" s="81"/>
      <c r="V9" s="81"/>
      <c r="W9" s="81"/>
      <c r="X9" s="81"/>
      <c r="Y9" s="81"/>
      <c r="Z9" s="81"/>
      <c r="AA9" s="81"/>
      <c r="AB9" s="81"/>
    </row>
    <row r="10" spans="1:28" s="82" customFormat="1" ht="18.75" x14ac:dyDescent="0.3">
      <c r="B10" s="82" t="s">
        <v>340</v>
      </c>
      <c r="U10" s="83"/>
    </row>
    <row r="12" spans="1:28" s="217" customFormat="1" ht="18.75" customHeight="1" x14ac:dyDescent="0.2">
      <c r="B12" s="1089" t="s">
        <v>361</v>
      </c>
      <c r="C12" s="1089"/>
      <c r="D12" s="1089"/>
      <c r="E12" s="1089"/>
      <c r="F12" s="1089"/>
      <c r="G12" s="1089"/>
      <c r="H12" s="1089"/>
      <c r="I12" s="1089"/>
      <c r="J12" s="1089"/>
      <c r="K12" s="1089"/>
      <c r="L12" s="1089"/>
      <c r="M12" s="1089"/>
      <c r="N12" s="1089"/>
      <c r="O12" s="1089"/>
      <c r="P12" s="1089"/>
      <c r="Q12" s="1089"/>
      <c r="R12" s="1089"/>
      <c r="S12" s="1089"/>
      <c r="T12" s="1089"/>
      <c r="U12" s="1089"/>
      <c r="V12" s="1089"/>
      <c r="W12" s="1089"/>
      <c r="X12" s="1089"/>
      <c r="Y12" s="1089"/>
      <c r="Z12" s="1089"/>
      <c r="AA12" s="1089"/>
      <c r="AB12" s="1089"/>
    </row>
    <row r="13" spans="1:28" s="217" customFormat="1" ht="12.75" x14ac:dyDescent="0.2">
      <c r="E13" s="68"/>
    </row>
    <row r="14" spans="1:28" s="84" customFormat="1" ht="15.75" customHeight="1" x14ac:dyDescent="0.2">
      <c r="B14" s="1088" t="s">
        <v>431</v>
      </c>
      <c r="C14" s="1088"/>
      <c r="D14" s="1088"/>
      <c r="E14" s="1088"/>
      <c r="F14" s="1088"/>
      <c r="G14" s="1088"/>
      <c r="H14" s="1088"/>
      <c r="I14" s="1088"/>
      <c r="J14" s="1088"/>
      <c r="K14" s="1088"/>
      <c r="L14" s="1088"/>
      <c r="M14" s="1088"/>
      <c r="N14" s="1088"/>
      <c r="O14" s="1088"/>
      <c r="P14" s="1088"/>
      <c r="Q14" s="1088"/>
      <c r="R14" s="1088"/>
      <c r="S14" s="1088"/>
      <c r="T14" s="1088"/>
      <c r="U14" s="1088"/>
      <c r="V14" s="1088"/>
      <c r="W14" s="1088"/>
      <c r="X14" s="1088"/>
      <c r="Y14" s="1088"/>
      <c r="Z14" s="1088"/>
      <c r="AA14" s="1088"/>
      <c r="AB14" s="1088"/>
    </row>
    <row r="15" spans="1:28" s="217" customFormat="1" ht="12.75" x14ac:dyDescent="0.2">
      <c r="B15" s="85"/>
      <c r="C15" s="216"/>
      <c r="D15" s="216"/>
      <c r="E15" s="216"/>
      <c r="F15" s="216"/>
      <c r="G15" s="216"/>
      <c r="H15" s="216"/>
      <c r="I15" s="216"/>
      <c r="J15" s="216"/>
    </row>
    <row r="16" spans="1:28" s="217" customFormat="1" ht="12.75" x14ac:dyDescent="0.2">
      <c r="B16" s="1090" t="s">
        <v>362</v>
      </c>
      <c r="C16" s="1090"/>
      <c r="D16" s="1090"/>
      <c r="E16" s="1090"/>
      <c r="F16" s="1090"/>
      <c r="G16" s="1090"/>
      <c r="H16" s="1090"/>
      <c r="I16" s="1090"/>
      <c r="J16" s="1090"/>
      <c r="K16" s="1090"/>
      <c r="L16" s="1090"/>
      <c r="M16" s="1090"/>
      <c r="N16" s="1090"/>
      <c r="O16" s="1090"/>
    </row>
    <row r="17" spans="2:28" s="217" customFormat="1" ht="6" customHeight="1" x14ac:dyDescent="0.2"/>
    <row r="18" spans="2:28" s="217" customFormat="1" ht="30.75" customHeight="1" x14ac:dyDescent="0.2">
      <c r="B18" s="213" t="s">
        <v>101</v>
      </c>
      <c r="C18" s="1074" t="s">
        <v>18</v>
      </c>
      <c r="D18" s="1074"/>
      <c r="E18" s="1074"/>
      <c r="F18" s="1074"/>
      <c r="G18" s="1074" t="s">
        <v>19</v>
      </c>
      <c r="H18" s="1074" t="s">
        <v>19</v>
      </c>
      <c r="I18" s="1074"/>
      <c r="J18" s="1074"/>
      <c r="K18" s="1074" t="s">
        <v>20</v>
      </c>
      <c r="L18" s="1074"/>
      <c r="M18" s="1074"/>
      <c r="N18" s="1074"/>
      <c r="O18" s="1070" t="s">
        <v>310</v>
      </c>
      <c r="P18" s="1070"/>
      <c r="Q18" s="1070"/>
      <c r="R18" s="1070"/>
      <c r="S18" s="1070" t="s">
        <v>336</v>
      </c>
      <c r="T18" s="1070"/>
      <c r="U18" s="1070"/>
      <c r="V18" s="1070"/>
      <c r="W18" s="1070" t="s">
        <v>4623</v>
      </c>
      <c r="X18" s="1070"/>
      <c r="Y18" s="1070"/>
      <c r="Z18" s="1070"/>
    </row>
    <row r="19" spans="2:28" s="217" customFormat="1" ht="26.25" customHeight="1" x14ac:dyDescent="0.2">
      <c r="B19" s="86">
        <v>1</v>
      </c>
      <c r="C19" s="1071"/>
      <c r="D19" s="1072"/>
      <c r="E19" s="1072"/>
      <c r="F19" s="1073"/>
      <c r="G19" s="1071"/>
      <c r="H19" s="1072"/>
      <c r="I19" s="1072"/>
      <c r="J19" s="1073"/>
      <c r="K19" s="1071"/>
      <c r="L19" s="1072"/>
      <c r="M19" s="1072"/>
      <c r="N19" s="1073"/>
      <c r="O19" s="1071"/>
      <c r="P19" s="1072"/>
      <c r="Q19" s="1072"/>
      <c r="R19" s="1073"/>
      <c r="S19" s="1067" t="str">
        <f>IFERROR(INDEX('Base de datos'!$G$2:$J$2095,MATCH(K19,'Base de datos'!$G$2:$G$2095,0),2),"")</f>
        <v/>
      </c>
      <c r="T19" s="1068"/>
      <c r="U19" s="1068"/>
      <c r="V19" s="1069"/>
      <c r="W19" s="1067" t="str">
        <f>IFERROR(INDEX('Base de datos'!$G$2:$J$2095,MATCH(K19,'Base de datos'!$G$2:$G$2095,0),4),"")</f>
        <v/>
      </c>
      <c r="X19" s="1068"/>
      <c r="Y19" s="1068"/>
      <c r="Z19" s="1069"/>
    </row>
    <row r="20" spans="2:28" s="217" customFormat="1" ht="26.25" customHeight="1" x14ac:dyDescent="0.2">
      <c r="B20" s="86">
        <v>2</v>
      </c>
      <c r="C20" s="1071"/>
      <c r="D20" s="1072"/>
      <c r="E20" s="1072"/>
      <c r="F20" s="1073"/>
      <c r="G20" s="1071"/>
      <c r="H20" s="1072"/>
      <c r="I20" s="1072"/>
      <c r="J20" s="1073"/>
      <c r="K20" s="1071"/>
      <c r="L20" s="1072"/>
      <c r="M20" s="1072"/>
      <c r="N20" s="1073"/>
      <c r="O20" s="1071"/>
      <c r="P20" s="1072"/>
      <c r="Q20" s="1072"/>
      <c r="R20" s="1073"/>
      <c r="S20" s="1067" t="str">
        <f>IFERROR(INDEX('Base de datos'!$G$2:$J$2095,MATCH(K20,'Base de datos'!$G$2:$G$2095,0),2),"")</f>
        <v/>
      </c>
      <c r="T20" s="1068"/>
      <c r="U20" s="1068"/>
      <c r="V20" s="1069"/>
      <c r="W20" s="1067" t="str">
        <f>IFERROR(INDEX('Base de datos'!$G$2:$J$2095,MATCH(K20,'Base de datos'!$G$2:$G$2095,0),4),"")</f>
        <v/>
      </c>
      <c r="X20" s="1068"/>
      <c r="Y20" s="1068"/>
      <c r="Z20" s="1069"/>
    </row>
    <row r="21" spans="2:28" s="217" customFormat="1" ht="26.25" customHeight="1" x14ac:dyDescent="0.2">
      <c r="B21" s="86">
        <v>3</v>
      </c>
      <c r="C21" s="1071"/>
      <c r="D21" s="1072"/>
      <c r="E21" s="1072"/>
      <c r="F21" s="1073"/>
      <c r="G21" s="1071"/>
      <c r="H21" s="1072"/>
      <c r="I21" s="1072"/>
      <c r="J21" s="1073"/>
      <c r="K21" s="1071"/>
      <c r="L21" s="1072"/>
      <c r="M21" s="1072"/>
      <c r="N21" s="1073"/>
      <c r="O21" s="1071"/>
      <c r="P21" s="1072"/>
      <c r="Q21" s="1072"/>
      <c r="R21" s="1073"/>
      <c r="S21" s="1067" t="str">
        <f>IFERROR(INDEX('Base de datos'!$G$2:$J$2095,MATCH(K21,'Base de datos'!$G$2:$G$2095,0),2),"")</f>
        <v/>
      </c>
      <c r="T21" s="1068"/>
      <c r="U21" s="1068"/>
      <c r="V21" s="1069"/>
      <c r="W21" s="1067" t="str">
        <f>IFERROR(INDEX('Base de datos'!$G$2:$J$2095,MATCH(K21,'Base de datos'!$G$2:$G$2095,0),4),"")</f>
        <v/>
      </c>
      <c r="X21" s="1068"/>
      <c r="Y21" s="1068"/>
      <c r="Z21" s="1069"/>
    </row>
    <row r="22" spans="2:28" s="217" customFormat="1" ht="14.25" x14ac:dyDescent="0.25">
      <c r="B22" s="87" t="s">
        <v>410</v>
      </c>
    </row>
    <row r="23" spans="2:28" s="217" customFormat="1" ht="6" customHeight="1" x14ac:dyDescent="0.2"/>
    <row r="24" spans="2:28" s="217" customFormat="1" ht="12.75" x14ac:dyDescent="0.2">
      <c r="B24" s="88" t="s">
        <v>363</v>
      </c>
      <c r="C24" s="88"/>
      <c r="D24" s="88"/>
      <c r="E24" s="88"/>
      <c r="F24" s="88"/>
      <c r="G24" s="88"/>
      <c r="H24" s="88"/>
      <c r="I24" s="88"/>
      <c r="J24" s="88"/>
    </row>
    <row r="25" spans="2:28" s="217" customFormat="1" ht="6" customHeight="1" x14ac:dyDescent="0.2"/>
    <row r="26" spans="2:28" s="217" customFormat="1" ht="30.75" customHeight="1" x14ac:dyDescent="0.2">
      <c r="B26" s="213" t="s">
        <v>101</v>
      </c>
      <c r="C26" s="1074" t="s">
        <v>18</v>
      </c>
      <c r="D26" s="1074"/>
      <c r="E26" s="1074"/>
      <c r="F26" s="1074"/>
      <c r="G26" s="1074" t="s">
        <v>19</v>
      </c>
      <c r="H26" s="1074" t="s">
        <v>19</v>
      </c>
      <c r="I26" s="1074"/>
      <c r="J26" s="1074"/>
      <c r="K26" s="1074" t="s">
        <v>20</v>
      </c>
      <c r="L26" s="1074"/>
      <c r="M26" s="1074"/>
      <c r="N26" s="1074"/>
      <c r="O26" s="1070" t="s">
        <v>310</v>
      </c>
      <c r="P26" s="1070"/>
      <c r="Q26" s="1070"/>
      <c r="R26" s="1070"/>
      <c r="S26" s="1070" t="s">
        <v>336</v>
      </c>
      <c r="T26" s="1070"/>
      <c r="U26" s="1070"/>
      <c r="V26" s="1070"/>
      <c r="W26" s="1070" t="s">
        <v>4623</v>
      </c>
      <c r="X26" s="1070"/>
      <c r="Y26" s="1070"/>
      <c r="Z26" s="1070"/>
    </row>
    <row r="27" spans="2:28" s="217" customFormat="1" ht="26.25" customHeight="1" x14ac:dyDescent="0.2">
      <c r="B27" s="86">
        <v>1</v>
      </c>
      <c r="C27" s="1071"/>
      <c r="D27" s="1072"/>
      <c r="E27" s="1072"/>
      <c r="F27" s="1073"/>
      <c r="G27" s="1071"/>
      <c r="H27" s="1072"/>
      <c r="I27" s="1072"/>
      <c r="J27" s="1073"/>
      <c r="K27" s="1071"/>
      <c r="L27" s="1072"/>
      <c r="M27" s="1072"/>
      <c r="N27" s="1073"/>
      <c r="O27" s="1071"/>
      <c r="P27" s="1072"/>
      <c r="Q27" s="1072"/>
      <c r="R27" s="1073"/>
      <c r="S27" s="1067" t="str">
        <f>IFERROR(INDEX('Base de datos'!$G$2:$J$2095,MATCH(K27,'Base de datos'!$G$2:$G$2095,0),2),"")</f>
        <v/>
      </c>
      <c r="T27" s="1068"/>
      <c r="U27" s="1068"/>
      <c r="V27" s="1069"/>
      <c r="W27" s="1067" t="str">
        <f>IFERROR(INDEX('Base de datos'!$G$2:$J$2095,MATCH(K27,'Base de datos'!$G$2:$G$2095,0),4),"")</f>
        <v/>
      </c>
      <c r="X27" s="1068"/>
      <c r="Y27" s="1068"/>
      <c r="Z27" s="1069"/>
    </row>
    <row r="28" spans="2:28" s="217" customFormat="1" ht="26.25" customHeight="1" x14ac:dyDescent="0.2">
      <c r="B28" s="86">
        <v>2</v>
      </c>
      <c r="C28" s="1071"/>
      <c r="D28" s="1072"/>
      <c r="E28" s="1072"/>
      <c r="F28" s="1073"/>
      <c r="G28" s="1071"/>
      <c r="H28" s="1072"/>
      <c r="I28" s="1072"/>
      <c r="J28" s="1073"/>
      <c r="K28" s="1071"/>
      <c r="L28" s="1072"/>
      <c r="M28" s="1072"/>
      <c r="N28" s="1073"/>
      <c r="O28" s="1071"/>
      <c r="P28" s="1072"/>
      <c r="Q28" s="1072"/>
      <c r="R28" s="1073"/>
      <c r="S28" s="1067" t="str">
        <f>IFERROR(INDEX('Base de datos'!$G$2:$J$2095,MATCH(K28,'Base de datos'!$G$2:$G$2095,0),2),"")</f>
        <v/>
      </c>
      <c r="T28" s="1068"/>
      <c r="U28" s="1068"/>
      <c r="V28" s="1069"/>
      <c r="W28" s="1067" t="str">
        <f>IFERROR(INDEX('Base de datos'!$G$2:$J$2095,MATCH(K28,'Base de datos'!$G$2:$G$2095,0),4),"")</f>
        <v/>
      </c>
      <c r="X28" s="1068"/>
      <c r="Y28" s="1068"/>
      <c r="Z28" s="1069"/>
    </row>
    <row r="29" spans="2:28" s="217" customFormat="1" ht="26.25" customHeight="1" x14ac:dyDescent="0.2">
      <c r="B29" s="86">
        <v>3</v>
      </c>
      <c r="C29" s="1071"/>
      <c r="D29" s="1072"/>
      <c r="E29" s="1072"/>
      <c r="F29" s="1073"/>
      <c r="G29" s="1071"/>
      <c r="H29" s="1072"/>
      <c r="I29" s="1072"/>
      <c r="J29" s="1073"/>
      <c r="K29" s="1071"/>
      <c r="L29" s="1072"/>
      <c r="M29" s="1072"/>
      <c r="N29" s="1073"/>
      <c r="O29" s="1071"/>
      <c r="P29" s="1072"/>
      <c r="Q29" s="1072"/>
      <c r="R29" s="1073"/>
      <c r="S29" s="1067" t="str">
        <f>IFERROR(INDEX('Base de datos'!$G$2:$J$2095,MATCH(K29,'Base de datos'!$G$2:$G$2095,0),2),"")</f>
        <v/>
      </c>
      <c r="T29" s="1068"/>
      <c r="U29" s="1068"/>
      <c r="V29" s="1069"/>
      <c r="W29" s="1067" t="str">
        <f>IFERROR(INDEX('Base de datos'!$G$2:$J$2095,MATCH(K29,'Base de datos'!$G$2:$G$2095,0),4),"")</f>
        <v/>
      </c>
      <c r="X29" s="1068"/>
      <c r="Y29" s="1068"/>
      <c r="Z29" s="1069"/>
    </row>
    <row r="30" spans="2:28" s="217" customFormat="1" ht="14.25" x14ac:dyDescent="0.25">
      <c r="B30" s="87" t="s">
        <v>411</v>
      </c>
      <c r="C30" s="89"/>
      <c r="D30" s="56"/>
      <c r="E30" s="56"/>
      <c r="F30" s="56"/>
      <c r="G30" s="56"/>
    </row>
    <row r="31" spans="2:28" s="217" customFormat="1" ht="16.5" customHeight="1" x14ac:dyDescent="0.25">
      <c r="B31" s="87"/>
      <c r="C31" s="89"/>
      <c r="D31" s="56"/>
      <c r="E31" s="56"/>
      <c r="F31" s="56"/>
      <c r="G31" s="56"/>
    </row>
    <row r="32" spans="2:28" s="217" customFormat="1" ht="15" customHeight="1" x14ac:dyDescent="0.2">
      <c r="B32" s="1095" t="s">
        <v>364</v>
      </c>
      <c r="C32" s="1095"/>
      <c r="D32" s="1095"/>
      <c r="E32" s="1095"/>
      <c r="F32" s="1095"/>
      <c r="G32" s="1095"/>
      <c r="H32" s="1095"/>
      <c r="I32" s="1095"/>
      <c r="J32" s="1095"/>
      <c r="K32" s="1095"/>
      <c r="L32" s="1095"/>
      <c r="M32" s="1095"/>
      <c r="N32" s="1095"/>
      <c r="O32" s="1095"/>
      <c r="P32" s="1095"/>
      <c r="Q32" s="1095"/>
      <c r="R32" s="1095"/>
      <c r="S32" s="1095"/>
      <c r="T32" s="1095"/>
      <c r="U32" s="1095"/>
      <c r="V32" s="1095"/>
      <c r="W32" s="1095"/>
      <c r="X32" s="1095"/>
      <c r="Y32" s="1095"/>
      <c r="Z32" s="1095"/>
      <c r="AA32" s="1095"/>
      <c r="AB32" s="1095"/>
    </row>
    <row r="33" spans="2:29" s="217" customFormat="1" ht="16.5" customHeight="1" x14ac:dyDescent="0.2">
      <c r="B33" s="1095"/>
      <c r="C33" s="1095"/>
      <c r="D33" s="1095"/>
      <c r="E33" s="1095"/>
      <c r="F33" s="1095"/>
      <c r="G33" s="1095"/>
      <c r="H33" s="1095"/>
      <c r="I33" s="1095"/>
      <c r="J33" s="1095"/>
      <c r="K33" s="1095"/>
      <c r="L33" s="1095"/>
      <c r="M33" s="1095"/>
      <c r="N33" s="1095"/>
      <c r="O33" s="1095"/>
      <c r="P33" s="1095"/>
      <c r="Q33" s="1095"/>
      <c r="R33" s="1095"/>
      <c r="S33" s="1095"/>
      <c r="T33" s="1095"/>
      <c r="U33" s="1095"/>
      <c r="V33" s="1095"/>
      <c r="W33" s="1095"/>
      <c r="X33" s="1095"/>
      <c r="Y33" s="1095"/>
      <c r="Z33" s="1095"/>
      <c r="AA33" s="1095"/>
      <c r="AB33" s="1095"/>
    </row>
    <row r="34" spans="2:29" s="217" customFormat="1" ht="13.5" thickBot="1" x14ac:dyDescent="0.25">
      <c r="B34" s="90"/>
      <c r="C34" s="89"/>
      <c r="D34" s="56"/>
      <c r="E34" s="56"/>
      <c r="F34" s="56"/>
      <c r="G34" s="56"/>
    </row>
    <row r="35" spans="2:29" s="69" customFormat="1" ht="16.5" customHeight="1" x14ac:dyDescent="0.25">
      <c r="B35" s="1096"/>
      <c r="C35" s="1097"/>
      <c r="D35" s="1097"/>
      <c r="E35" s="1097"/>
      <c r="F35" s="1097"/>
      <c r="G35" s="1097"/>
      <c r="H35" s="1097"/>
      <c r="I35" s="1097"/>
      <c r="J35" s="1097"/>
      <c r="K35" s="1097"/>
      <c r="L35" s="1097"/>
      <c r="M35" s="1097"/>
      <c r="N35" s="1097"/>
      <c r="O35" s="1097"/>
      <c r="P35" s="1097"/>
      <c r="Q35" s="1097"/>
      <c r="R35" s="1097"/>
      <c r="S35" s="1098"/>
      <c r="T35" s="1102" t="s">
        <v>22</v>
      </c>
      <c r="U35" s="1103"/>
      <c r="V35" s="1103"/>
      <c r="W35" s="1103"/>
      <c r="X35" s="1104"/>
    </row>
    <row r="36" spans="2:29" s="69" customFormat="1" ht="240" customHeight="1" thickBot="1" x14ac:dyDescent="0.3">
      <c r="B36" s="1099"/>
      <c r="C36" s="1100"/>
      <c r="D36" s="1100"/>
      <c r="E36" s="1100"/>
      <c r="F36" s="1100"/>
      <c r="G36" s="1100"/>
      <c r="H36" s="1100"/>
      <c r="I36" s="1100"/>
      <c r="J36" s="1100"/>
      <c r="K36" s="1100"/>
      <c r="L36" s="1100"/>
      <c r="M36" s="1100"/>
      <c r="N36" s="1100"/>
      <c r="O36" s="1100"/>
      <c r="P36" s="1100"/>
      <c r="Q36" s="1100"/>
      <c r="R36" s="1100"/>
      <c r="S36" s="1101"/>
      <c r="T36" s="1105"/>
      <c r="U36" s="1106"/>
      <c r="V36" s="1106"/>
      <c r="W36" s="1106"/>
      <c r="X36" s="1107"/>
      <c r="Y36" s="1117" t="s">
        <v>4674</v>
      </c>
      <c r="Z36" s="1118"/>
      <c r="AA36" s="1118"/>
      <c r="AB36" s="1118"/>
    </row>
    <row r="37" spans="2:29" s="217" customFormat="1" ht="15.75" customHeight="1" thickBot="1" x14ac:dyDescent="0.25">
      <c r="B37" s="1111" t="s">
        <v>23</v>
      </c>
      <c r="C37" s="1112"/>
      <c r="D37" s="1112"/>
      <c r="E37" s="1112"/>
      <c r="F37" s="1112"/>
      <c r="G37" s="1115"/>
      <c r="H37" s="1115"/>
      <c r="I37" s="1115"/>
      <c r="J37" s="1115"/>
      <c r="K37" s="1115"/>
      <c r="L37" s="1115"/>
      <c r="M37" s="1115"/>
      <c r="N37" s="1115"/>
      <c r="O37" s="1115"/>
      <c r="P37" s="1115"/>
      <c r="Q37" s="1115"/>
      <c r="R37" s="1115"/>
      <c r="S37" s="1116"/>
      <c r="T37" s="1108"/>
      <c r="U37" s="1109"/>
      <c r="V37" s="1109"/>
      <c r="W37" s="1109"/>
      <c r="X37" s="1110"/>
    </row>
    <row r="38" spans="2:29" s="217" customFormat="1" ht="12.75" x14ac:dyDescent="0.2">
      <c r="B38" s="90"/>
      <c r="C38" s="89"/>
      <c r="D38" s="56"/>
      <c r="E38" s="56"/>
      <c r="F38" s="56"/>
      <c r="G38" s="56"/>
    </row>
    <row r="39" spans="2:29" s="217" customFormat="1" ht="32.25" customHeight="1" x14ac:dyDescent="0.2">
      <c r="B39" s="1095" t="s">
        <v>409</v>
      </c>
      <c r="C39" s="1113"/>
      <c r="D39" s="1113"/>
      <c r="E39" s="1113"/>
      <c r="F39" s="1113"/>
      <c r="G39" s="1113"/>
      <c r="H39" s="1113"/>
      <c r="I39" s="1113"/>
      <c r="J39" s="1113"/>
      <c r="K39" s="1114"/>
      <c r="L39" s="1114"/>
      <c r="M39" s="1114"/>
      <c r="N39" s="1114"/>
      <c r="O39" s="1114"/>
      <c r="P39" s="1114"/>
      <c r="Q39" s="1114"/>
      <c r="R39" s="1114"/>
      <c r="S39" s="1114"/>
      <c r="T39" s="1114"/>
      <c r="U39" s="1114"/>
      <c r="V39" s="1114"/>
      <c r="W39" s="1114"/>
      <c r="X39" s="1114"/>
      <c r="Y39" s="1114"/>
      <c r="Z39" s="1114"/>
      <c r="AA39" s="1114"/>
      <c r="AB39" s="1114"/>
    </row>
    <row r="40" spans="2:29" s="217" customFormat="1" ht="12.75" x14ac:dyDescent="0.2">
      <c r="B40" s="91"/>
      <c r="C40" s="216"/>
      <c r="D40" s="216"/>
      <c r="E40" s="216"/>
      <c r="F40" s="216"/>
      <c r="G40" s="216"/>
      <c r="H40" s="216"/>
      <c r="I40" s="216"/>
      <c r="J40" s="216"/>
    </row>
    <row r="41" spans="2:29" s="217" customFormat="1" ht="13.5" customHeight="1" x14ac:dyDescent="0.2">
      <c r="B41" s="1087" t="s">
        <v>24</v>
      </c>
      <c r="C41" s="1087"/>
      <c r="D41" s="1087"/>
      <c r="E41" s="1087"/>
      <c r="F41" s="1087"/>
      <c r="G41" s="1087"/>
      <c r="H41" s="1087"/>
      <c r="I41" s="1087"/>
      <c r="J41" s="1087"/>
      <c r="K41" s="1087"/>
      <c r="L41" s="1087"/>
      <c r="M41" s="1087"/>
      <c r="N41" s="1087"/>
      <c r="O41" s="1087"/>
      <c r="P41" s="1087"/>
      <c r="Q41" s="1087"/>
      <c r="R41" s="1087"/>
      <c r="S41" s="1087"/>
      <c r="T41" s="1087"/>
      <c r="U41" s="1087"/>
      <c r="V41" s="1087"/>
      <c r="W41" s="1087"/>
      <c r="X41" s="1087"/>
      <c r="Y41" s="1087"/>
      <c r="Z41" s="1087"/>
      <c r="AA41" s="1087"/>
      <c r="AB41" s="1087"/>
    </row>
    <row r="42" spans="2:29" s="217" customFormat="1" ht="12.75" x14ac:dyDescent="0.2"/>
    <row r="43" spans="2:29" s="217" customFormat="1" ht="31.5" customHeight="1" x14ac:dyDescent="0.2">
      <c r="B43" s="1084" t="s">
        <v>329</v>
      </c>
      <c r="C43" s="1085"/>
      <c r="D43" s="1085"/>
      <c r="E43" s="1085"/>
      <c r="F43" s="1085"/>
      <c r="G43" s="1085"/>
      <c r="H43" s="1085"/>
      <c r="I43" s="1085"/>
      <c r="J43" s="1085"/>
      <c r="K43" s="1085"/>
      <c r="L43" s="1085"/>
      <c r="M43" s="1085"/>
      <c r="N43" s="1085"/>
      <c r="O43" s="1085"/>
      <c r="P43" s="1085"/>
      <c r="Q43" s="1085"/>
      <c r="R43" s="1086"/>
      <c r="S43" s="1009"/>
      <c r="T43" s="1009"/>
      <c r="U43" s="1009"/>
      <c r="V43" s="1009"/>
      <c r="W43" s="1011" t="s">
        <v>5615</v>
      </c>
      <c r="X43" s="553">
        <v>1</v>
      </c>
      <c r="Y43" s="1009"/>
      <c r="Z43" s="1009"/>
      <c r="AA43" s="1009"/>
      <c r="AB43" s="1010"/>
      <c r="AC43" s="434"/>
    </row>
    <row r="44" spans="2:29" s="217" customFormat="1" ht="35.25" customHeight="1" x14ac:dyDescent="0.2">
      <c r="B44" s="1091" t="s">
        <v>294</v>
      </c>
      <c r="C44" s="1091"/>
      <c r="D44" s="1091"/>
      <c r="E44" s="1092" t="s">
        <v>4675</v>
      </c>
      <c r="F44" s="1093"/>
      <c r="G44" s="1094"/>
      <c r="H44" s="1119" t="s">
        <v>25</v>
      </c>
      <c r="I44" s="1120"/>
      <c r="J44" s="1120"/>
      <c r="K44" s="1120"/>
      <c r="L44" s="1120"/>
      <c r="M44" s="1120"/>
      <c r="N44" s="1120"/>
      <c r="O44" s="1120"/>
      <c r="P44" s="1120"/>
      <c r="Q44" s="1120"/>
      <c r="R44" s="1121"/>
      <c r="S44" s="1084" t="s">
        <v>26</v>
      </c>
      <c r="T44" s="1085"/>
      <c r="U44" s="1085"/>
      <c r="V44" s="1085"/>
      <c r="W44" s="1085"/>
      <c r="X44" s="1085"/>
      <c r="Y44" s="1085"/>
      <c r="Z44" s="1085"/>
      <c r="AA44" s="1085"/>
      <c r="AB44" s="1086"/>
    </row>
    <row r="45" spans="2:29" s="217" customFormat="1" ht="120" customHeight="1" x14ac:dyDescent="0.2">
      <c r="B45" s="1080"/>
      <c r="C45" s="1080"/>
      <c r="D45" s="1080"/>
      <c r="E45" s="1066"/>
      <c r="F45" s="1056"/>
      <c r="G45" s="1057"/>
      <c r="H45" s="1060"/>
      <c r="I45" s="1061"/>
      <c r="J45" s="1061"/>
      <c r="K45" s="1061"/>
      <c r="L45" s="1061"/>
      <c r="M45" s="1061"/>
      <c r="N45" s="1061"/>
      <c r="O45" s="1061"/>
      <c r="P45" s="1061"/>
      <c r="Q45" s="1061"/>
      <c r="R45" s="1062"/>
      <c r="S45" s="1060"/>
      <c r="T45" s="1061"/>
      <c r="U45" s="1061"/>
      <c r="V45" s="1061"/>
      <c r="W45" s="1061"/>
      <c r="X45" s="1061"/>
      <c r="Y45" s="1061"/>
      <c r="Z45" s="1061"/>
      <c r="AA45" s="1061"/>
      <c r="AB45" s="1062"/>
    </row>
    <row r="46" spans="2:29" s="217" customFormat="1" ht="120" hidden="1" customHeight="1" x14ac:dyDescent="0.2">
      <c r="B46" s="1055"/>
      <c r="C46" s="1056"/>
      <c r="D46" s="1057"/>
      <c r="E46" s="1066"/>
      <c r="F46" s="1056"/>
      <c r="G46" s="1057"/>
      <c r="H46" s="1060"/>
      <c r="I46" s="1061"/>
      <c r="J46" s="1061"/>
      <c r="K46" s="1061"/>
      <c r="L46" s="1061"/>
      <c r="M46" s="1061"/>
      <c r="N46" s="1061"/>
      <c r="O46" s="1061"/>
      <c r="P46" s="1061"/>
      <c r="Q46" s="1061"/>
      <c r="R46" s="1062"/>
      <c r="S46" s="1060"/>
      <c r="T46" s="1061"/>
      <c r="U46" s="1061"/>
      <c r="V46" s="1061"/>
      <c r="W46" s="1061"/>
      <c r="X46" s="1061"/>
      <c r="Y46" s="1061"/>
      <c r="Z46" s="1061"/>
      <c r="AA46" s="1061"/>
      <c r="AB46" s="1062"/>
    </row>
    <row r="47" spans="2:29" s="217" customFormat="1" ht="120" hidden="1" customHeight="1" x14ac:dyDescent="0.2">
      <c r="B47" s="1055"/>
      <c r="C47" s="1056"/>
      <c r="D47" s="1057"/>
      <c r="E47" s="1055"/>
      <c r="F47" s="1056"/>
      <c r="G47" s="1057"/>
      <c r="H47" s="1060"/>
      <c r="I47" s="1061"/>
      <c r="J47" s="1061"/>
      <c r="K47" s="1061"/>
      <c r="L47" s="1061"/>
      <c r="M47" s="1061"/>
      <c r="N47" s="1061"/>
      <c r="O47" s="1061"/>
      <c r="P47" s="1061"/>
      <c r="Q47" s="1061"/>
      <c r="R47" s="1062"/>
      <c r="S47" s="1060"/>
      <c r="T47" s="1061"/>
      <c r="U47" s="1061"/>
      <c r="V47" s="1061"/>
      <c r="W47" s="1061"/>
      <c r="X47" s="1061"/>
      <c r="Y47" s="1061"/>
      <c r="Z47" s="1061"/>
      <c r="AA47" s="1061"/>
      <c r="AB47" s="1062"/>
    </row>
    <row r="48" spans="2:29" s="217" customFormat="1" ht="120" hidden="1" customHeight="1" x14ac:dyDescent="0.2">
      <c r="B48" s="1080"/>
      <c r="C48" s="1080"/>
      <c r="D48" s="1080"/>
      <c r="E48" s="1055"/>
      <c r="F48" s="1056"/>
      <c r="G48" s="1057"/>
      <c r="H48" s="1060"/>
      <c r="I48" s="1061"/>
      <c r="J48" s="1061"/>
      <c r="K48" s="1061"/>
      <c r="L48" s="1061"/>
      <c r="M48" s="1061"/>
      <c r="N48" s="1061"/>
      <c r="O48" s="1061"/>
      <c r="P48" s="1061"/>
      <c r="Q48" s="1061"/>
      <c r="R48" s="1062"/>
      <c r="S48" s="1060"/>
      <c r="T48" s="1061"/>
      <c r="U48" s="1061"/>
      <c r="V48" s="1061"/>
      <c r="W48" s="1061"/>
      <c r="X48" s="1061"/>
      <c r="Y48" s="1061"/>
      <c r="Z48" s="1061"/>
      <c r="AA48" s="1061"/>
      <c r="AB48" s="1062"/>
    </row>
    <row r="49" spans="2:31" s="217" customFormat="1" ht="18.75" customHeight="1" x14ac:dyDescent="0.2"/>
    <row r="50" spans="2:31" s="217" customFormat="1" ht="33.75" customHeight="1" x14ac:dyDescent="0.2">
      <c r="B50" s="1058" t="s">
        <v>4670</v>
      </c>
      <c r="C50" s="1058"/>
      <c r="D50" s="1058"/>
      <c r="E50" s="1058" t="s">
        <v>4671</v>
      </c>
      <c r="F50" s="1058"/>
      <c r="G50" s="1058"/>
      <c r="H50" s="1058"/>
      <c r="I50" s="1058" t="s">
        <v>4672</v>
      </c>
      <c r="J50" s="1058"/>
      <c r="K50" s="1058"/>
      <c r="L50" s="1058" t="s">
        <v>4673</v>
      </c>
      <c r="M50" s="1058"/>
      <c r="N50" s="1058"/>
      <c r="O50" s="1058"/>
      <c r="P50" s="1058" t="s">
        <v>26</v>
      </c>
      <c r="Q50" s="1058"/>
      <c r="R50" s="1058"/>
      <c r="S50" s="1058"/>
      <c r="T50" s="1058"/>
    </row>
    <row r="51" spans="2:31" s="217" customFormat="1" ht="18.75" customHeight="1" x14ac:dyDescent="0.2">
      <c r="B51" s="1080"/>
      <c r="C51" s="1080"/>
      <c r="D51" s="1080"/>
      <c r="E51" s="1080"/>
      <c r="F51" s="1080"/>
      <c r="G51" s="1080"/>
      <c r="H51" s="1080"/>
      <c r="I51" s="1080"/>
      <c r="J51" s="1080"/>
      <c r="K51" s="1080"/>
      <c r="L51" s="1080"/>
      <c r="M51" s="1080"/>
      <c r="N51" s="1080"/>
      <c r="O51" s="1080"/>
      <c r="P51" s="1055"/>
      <c r="Q51" s="1056"/>
      <c r="R51" s="1056"/>
      <c r="S51" s="1056"/>
      <c r="T51" s="1057"/>
    </row>
    <row r="52" spans="2:31" s="217" customFormat="1" ht="18.75" customHeight="1" x14ac:dyDescent="0.2"/>
    <row r="53" spans="2:31" s="217" customFormat="1" ht="18.75" customHeight="1" x14ac:dyDescent="0.2">
      <c r="B53" s="1084" t="s">
        <v>337</v>
      </c>
      <c r="C53" s="1085"/>
      <c r="D53" s="1085"/>
      <c r="E53" s="1085"/>
      <c r="F53" s="1085"/>
      <c r="G53" s="1085"/>
      <c r="H53" s="1085"/>
      <c r="I53" s="1085"/>
      <c r="J53" s="1085"/>
      <c r="K53" s="1085"/>
      <c r="L53" s="1085"/>
      <c r="M53" s="1085"/>
      <c r="N53" s="1085"/>
      <c r="O53" s="1085"/>
      <c r="P53" s="1085"/>
      <c r="Q53" s="1085"/>
      <c r="R53" s="1085"/>
      <c r="S53" s="1085"/>
      <c r="T53" s="1085"/>
      <c r="U53" s="1085"/>
      <c r="V53" s="1085"/>
      <c r="W53" s="1085"/>
      <c r="X53" s="1085"/>
      <c r="Y53" s="1085"/>
      <c r="Z53" s="1085"/>
      <c r="AA53" s="1085"/>
      <c r="AB53" s="1086"/>
    </row>
    <row r="54" spans="2:31" s="217" customFormat="1" ht="80.099999999999994" customHeight="1" x14ac:dyDescent="0.2">
      <c r="B54" s="1081"/>
      <c r="C54" s="1082"/>
      <c r="D54" s="1082"/>
      <c r="E54" s="1082"/>
      <c r="F54" s="1082"/>
      <c r="G54" s="1082"/>
      <c r="H54" s="1082"/>
      <c r="I54" s="1082"/>
      <c r="J54" s="1082"/>
      <c r="K54" s="1082"/>
      <c r="L54" s="1082"/>
      <c r="M54" s="1082"/>
      <c r="N54" s="1082"/>
      <c r="O54" s="1082"/>
      <c r="P54" s="1082"/>
      <c r="Q54" s="1082"/>
      <c r="R54" s="1082"/>
      <c r="S54" s="1082"/>
      <c r="T54" s="1082"/>
      <c r="U54" s="1082"/>
      <c r="V54" s="1082"/>
      <c r="W54" s="1082"/>
      <c r="X54" s="1082"/>
      <c r="Y54" s="1082"/>
      <c r="Z54" s="1082"/>
      <c r="AA54" s="1082"/>
      <c r="AB54" s="1083"/>
    </row>
    <row r="55" spans="2:31" s="217" customFormat="1" ht="18.75" customHeight="1" x14ac:dyDescent="0.2"/>
    <row r="56" spans="2:31" s="217" customFormat="1" ht="19.5" customHeight="1" x14ac:dyDescent="0.2">
      <c r="B56" s="1046" t="s">
        <v>224</v>
      </c>
      <c r="C56" s="1047"/>
      <c r="D56" s="1047"/>
      <c r="E56" s="1047"/>
      <c r="F56" s="1047"/>
      <c r="G56" s="1047"/>
      <c r="H56" s="1047"/>
      <c r="I56" s="1047"/>
      <c r="J56" s="1047"/>
      <c r="K56" s="1047"/>
      <c r="L56" s="1047"/>
      <c r="M56" s="1047"/>
      <c r="N56" s="1048"/>
      <c r="P56" s="1046" t="s">
        <v>279</v>
      </c>
      <c r="Q56" s="1047"/>
      <c r="R56" s="1047"/>
      <c r="S56" s="1047"/>
      <c r="T56" s="1047"/>
      <c r="U56" s="1047"/>
      <c r="V56" s="1047"/>
      <c r="W56" s="1047"/>
      <c r="X56" s="1047"/>
      <c r="Y56" s="1047"/>
      <c r="Z56" s="1047"/>
      <c r="AA56" s="1047"/>
      <c r="AB56" s="1048"/>
    </row>
    <row r="57" spans="2:31" s="217" customFormat="1" ht="8.25" customHeight="1" x14ac:dyDescent="0.2">
      <c r="B57" s="1049"/>
      <c r="C57" s="1050"/>
      <c r="D57" s="1050"/>
      <c r="E57" s="1050"/>
      <c r="F57" s="1050"/>
      <c r="G57" s="1050"/>
      <c r="H57" s="1050"/>
      <c r="I57" s="1050"/>
      <c r="J57" s="1050"/>
      <c r="K57" s="1050"/>
      <c r="L57" s="1050"/>
      <c r="M57" s="1050"/>
      <c r="N57" s="1051"/>
      <c r="P57" s="1049"/>
      <c r="Q57" s="1050"/>
      <c r="R57" s="1050"/>
      <c r="S57" s="1050"/>
      <c r="T57" s="1050"/>
      <c r="U57" s="1050"/>
      <c r="V57" s="1050"/>
      <c r="W57" s="1050"/>
      <c r="X57" s="1050"/>
      <c r="Y57" s="1050"/>
      <c r="Z57" s="1050"/>
      <c r="AA57" s="1050"/>
      <c r="AB57" s="1051"/>
    </row>
    <row r="58" spans="2:31" s="217" customFormat="1" ht="18.75" customHeight="1" x14ac:dyDescent="0.2">
      <c r="B58" s="438"/>
      <c r="C58" s="440"/>
      <c r="D58" s="440"/>
      <c r="E58" s="1052" t="s">
        <v>4855</v>
      </c>
      <c r="F58" s="1052"/>
      <c r="G58" s="1052"/>
      <c r="H58" s="1052"/>
      <c r="I58" s="1052"/>
      <c r="J58" s="1053"/>
      <c r="K58" s="553"/>
      <c r="L58" s="440"/>
      <c r="M58" s="440"/>
      <c r="N58" s="439"/>
      <c r="P58" s="435"/>
      <c r="Q58" s="436"/>
      <c r="R58" s="1052" t="s">
        <v>4856</v>
      </c>
      <c r="S58" s="1052"/>
      <c r="T58" s="1052"/>
      <c r="U58" s="1052"/>
      <c r="V58" s="1052"/>
      <c r="W58" s="1052"/>
      <c r="X58" s="1053"/>
      <c r="Y58" s="553"/>
      <c r="Z58" s="436"/>
      <c r="AA58" s="436"/>
      <c r="AB58" s="437"/>
      <c r="AE58" s="432"/>
    </row>
    <row r="59" spans="2:31" s="217" customFormat="1" ht="12.75" customHeight="1" x14ac:dyDescent="0.2">
      <c r="B59" s="1058" t="s">
        <v>296</v>
      </c>
      <c r="C59" s="1058"/>
      <c r="D59" s="1058"/>
      <c r="E59" s="1058"/>
      <c r="F59" s="1058"/>
      <c r="G59" s="1058"/>
      <c r="H59" s="1059" t="s">
        <v>25</v>
      </c>
      <c r="I59" s="1059"/>
      <c r="J59" s="1059"/>
      <c r="K59" s="1059"/>
      <c r="L59" s="1059"/>
      <c r="M59" s="1059"/>
      <c r="N59" s="1059"/>
      <c r="P59" s="1058" t="s">
        <v>295</v>
      </c>
      <c r="Q59" s="1058"/>
      <c r="R59" s="1058"/>
      <c r="S59" s="1058"/>
      <c r="T59" s="1058"/>
      <c r="U59" s="1058"/>
      <c r="V59" s="1059" t="s">
        <v>25</v>
      </c>
      <c r="W59" s="1059"/>
      <c r="X59" s="1059"/>
      <c r="Y59" s="1059"/>
      <c r="Z59" s="1059" t="s">
        <v>25</v>
      </c>
      <c r="AA59" s="1059"/>
      <c r="AB59" s="1059"/>
    </row>
    <row r="60" spans="2:31" s="217" customFormat="1" ht="120" hidden="1" customHeight="1" x14ac:dyDescent="0.2">
      <c r="B60" s="1054"/>
      <c r="C60" s="1054"/>
      <c r="D60" s="1054"/>
      <c r="E60" s="1054"/>
      <c r="F60" s="1054"/>
      <c r="G60" s="1054"/>
      <c r="H60" s="1063"/>
      <c r="I60" s="1063"/>
      <c r="J60" s="1063"/>
      <c r="K60" s="1063"/>
      <c r="L60" s="1063"/>
      <c r="M60" s="1063"/>
      <c r="N60" s="1063"/>
      <c r="P60" s="1064"/>
      <c r="Q60" s="1064"/>
      <c r="R60" s="1064"/>
      <c r="S60" s="1064"/>
      <c r="T60" s="1064"/>
      <c r="U60" s="1064"/>
      <c r="V60" s="1065"/>
      <c r="W60" s="1065"/>
      <c r="X60" s="1065"/>
      <c r="Y60" s="1065"/>
      <c r="Z60" s="1065"/>
      <c r="AA60" s="1065"/>
      <c r="AB60" s="1065"/>
    </row>
    <row r="61" spans="2:31" s="217" customFormat="1" ht="120" hidden="1" customHeight="1" x14ac:dyDescent="0.2">
      <c r="B61" s="1054"/>
      <c r="C61" s="1054"/>
      <c r="D61" s="1054"/>
      <c r="E61" s="1054"/>
      <c r="F61" s="1054"/>
      <c r="G61" s="1054"/>
      <c r="H61" s="1063"/>
      <c r="I61" s="1063"/>
      <c r="J61" s="1063"/>
      <c r="K61" s="1063"/>
      <c r="L61" s="1063"/>
      <c r="M61" s="1063"/>
      <c r="N61" s="1063"/>
      <c r="P61" s="1064"/>
      <c r="Q61" s="1064"/>
      <c r="R61" s="1064"/>
      <c r="S61" s="1064"/>
      <c r="T61" s="1064"/>
      <c r="U61" s="1064"/>
      <c r="V61" s="1065"/>
      <c r="W61" s="1065"/>
      <c r="X61" s="1065"/>
      <c r="Y61" s="1065"/>
      <c r="Z61" s="1065"/>
      <c r="AA61" s="1065"/>
      <c r="AB61" s="1065"/>
    </row>
    <row r="62" spans="2:31" s="217" customFormat="1" ht="120" hidden="1" customHeight="1" x14ac:dyDescent="0.2">
      <c r="B62" s="1054"/>
      <c r="C62" s="1054"/>
      <c r="D62" s="1054"/>
      <c r="E62" s="1054"/>
      <c r="F62" s="1054"/>
      <c r="G62" s="1054"/>
      <c r="H62" s="1063"/>
      <c r="I62" s="1063"/>
      <c r="J62" s="1063"/>
      <c r="K62" s="1063"/>
      <c r="L62" s="1063"/>
      <c r="M62" s="1063"/>
      <c r="N62" s="1063"/>
      <c r="P62" s="1064"/>
      <c r="Q62" s="1064"/>
      <c r="R62" s="1064"/>
      <c r="S62" s="1064"/>
      <c r="T62" s="1064"/>
      <c r="U62" s="1064"/>
      <c r="V62" s="1065"/>
      <c r="W62" s="1065"/>
      <c r="X62" s="1065"/>
      <c r="Y62" s="1065"/>
      <c r="Z62" s="1065"/>
      <c r="AA62" s="1065"/>
      <c r="AB62" s="1065"/>
    </row>
    <row r="63" spans="2:31" s="217" customFormat="1" ht="120" hidden="1" customHeight="1" x14ac:dyDescent="0.2">
      <c r="B63" s="1054"/>
      <c r="C63" s="1054"/>
      <c r="D63" s="1054"/>
      <c r="E63" s="1054"/>
      <c r="F63" s="1054"/>
      <c r="G63" s="1054"/>
      <c r="H63" s="1063"/>
      <c r="I63" s="1063"/>
      <c r="J63" s="1063"/>
      <c r="K63" s="1063"/>
      <c r="L63" s="1063"/>
      <c r="M63" s="1063"/>
      <c r="N63" s="1063"/>
      <c r="P63" s="1064"/>
      <c r="Q63" s="1064"/>
      <c r="R63" s="1064"/>
      <c r="S63" s="1064"/>
      <c r="T63" s="1064"/>
      <c r="U63" s="1064"/>
      <c r="V63" s="1065"/>
      <c r="W63" s="1065"/>
      <c r="X63" s="1065"/>
      <c r="Y63" s="1065"/>
      <c r="Z63" s="1065"/>
      <c r="AA63" s="1065"/>
      <c r="AB63" s="1065"/>
    </row>
    <row r="64" spans="2:31" s="217" customFormat="1" ht="120" hidden="1" customHeight="1" x14ac:dyDescent="0.2">
      <c r="B64" s="1054"/>
      <c r="C64" s="1054"/>
      <c r="D64" s="1054"/>
      <c r="E64" s="1054"/>
      <c r="F64" s="1054"/>
      <c r="G64" s="1054"/>
      <c r="H64" s="1063"/>
      <c r="I64" s="1063"/>
      <c r="J64" s="1063"/>
      <c r="K64" s="1063"/>
      <c r="L64" s="1063"/>
      <c r="M64" s="1063"/>
      <c r="N64" s="1063"/>
      <c r="P64" s="1064"/>
      <c r="Q64" s="1064"/>
      <c r="R64" s="1064"/>
      <c r="S64" s="1064"/>
      <c r="T64" s="1064"/>
      <c r="U64" s="1064"/>
      <c r="V64" s="1065"/>
      <c r="W64" s="1065"/>
      <c r="X64" s="1065"/>
      <c r="Y64" s="1065"/>
      <c r="Z64" s="1065"/>
      <c r="AA64" s="1065"/>
      <c r="AB64" s="1065"/>
    </row>
    <row r="65" spans="2:28" s="217" customFormat="1" ht="120" hidden="1" customHeight="1" x14ac:dyDescent="0.2">
      <c r="B65" s="1054"/>
      <c r="C65" s="1054"/>
      <c r="D65" s="1054"/>
      <c r="E65" s="1054"/>
      <c r="F65" s="1054"/>
      <c r="G65" s="1054"/>
      <c r="H65" s="1063"/>
      <c r="I65" s="1063"/>
      <c r="J65" s="1063"/>
      <c r="K65" s="1063"/>
      <c r="L65" s="1063"/>
      <c r="M65" s="1063"/>
      <c r="N65" s="1063"/>
      <c r="P65" s="1064"/>
      <c r="Q65" s="1064"/>
      <c r="R65" s="1064"/>
      <c r="S65" s="1064"/>
      <c r="T65" s="1064"/>
      <c r="U65" s="1064"/>
      <c r="V65" s="1065"/>
      <c r="W65" s="1065"/>
      <c r="X65" s="1065"/>
      <c r="Y65" s="1065"/>
      <c r="Z65" s="1065"/>
      <c r="AA65" s="1065"/>
      <c r="AB65" s="1065"/>
    </row>
    <row r="66" spans="2:28" s="217" customFormat="1" ht="120" hidden="1" customHeight="1" x14ac:dyDescent="0.2">
      <c r="B66" s="1054"/>
      <c r="C66" s="1054"/>
      <c r="D66" s="1054"/>
      <c r="E66" s="1054"/>
      <c r="F66" s="1054"/>
      <c r="G66" s="1054"/>
      <c r="H66" s="1063"/>
      <c r="I66" s="1063"/>
      <c r="J66" s="1063"/>
      <c r="K66" s="1063"/>
      <c r="L66" s="1063"/>
      <c r="M66" s="1063"/>
      <c r="N66" s="1063"/>
      <c r="P66" s="1064"/>
      <c r="Q66" s="1064"/>
      <c r="R66" s="1064"/>
      <c r="S66" s="1064"/>
      <c r="T66" s="1064"/>
      <c r="U66" s="1064"/>
      <c r="V66" s="1065"/>
      <c r="W66" s="1065"/>
      <c r="X66" s="1065"/>
      <c r="Y66" s="1065"/>
      <c r="Z66" s="1065"/>
      <c r="AA66" s="1065"/>
      <c r="AB66" s="1065"/>
    </row>
    <row r="67" spans="2:28" s="217" customFormat="1" ht="120" hidden="1" customHeight="1" x14ac:dyDescent="0.2">
      <c r="B67" s="1054"/>
      <c r="C67" s="1054"/>
      <c r="D67" s="1054"/>
      <c r="E67" s="1054"/>
      <c r="F67" s="1054"/>
      <c r="G67" s="1054"/>
      <c r="H67" s="1063"/>
      <c r="I67" s="1063"/>
      <c r="J67" s="1063"/>
      <c r="K67" s="1063"/>
      <c r="L67" s="1063"/>
      <c r="M67" s="1063"/>
      <c r="N67" s="1063"/>
      <c r="P67" s="1064"/>
      <c r="Q67" s="1064"/>
      <c r="R67" s="1064"/>
      <c r="S67" s="1064"/>
      <c r="T67" s="1064"/>
      <c r="U67" s="1064"/>
      <c r="V67" s="1065"/>
      <c r="W67" s="1065"/>
      <c r="X67" s="1065"/>
      <c r="Y67" s="1065"/>
      <c r="Z67" s="1065"/>
      <c r="AA67" s="1065"/>
      <c r="AB67" s="1065"/>
    </row>
    <row r="68" spans="2:28" s="217" customFormat="1" ht="120" hidden="1" customHeight="1" x14ac:dyDescent="0.2">
      <c r="B68" s="1054"/>
      <c r="C68" s="1054"/>
      <c r="D68" s="1054"/>
      <c r="E68" s="1054"/>
      <c r="F68" s="1054"/>
      <c r="G68" s="1054"/>
      <c r="H68" s="1063"/>
      <c r="I68" s="1063"/>
      <c r="J68" s="1063"/>
      <c r="K68" s="1063"/>
      <c r="L68" s="1063"/>
      <c r="M68" s="1063"/>
      <c r="N68" s="1063"/>
      <c r="P68" s="1064"/>
      <c r="Q68" s="1064"/>
      <c r="R68" s="1064"/>
      <c r="S68" s="1064"/>
      <c r="T68" s="1064"/>
      <c r="U68" s="1064"/>
      <c r="V68" s="1065"/>
      <c r="W68" s="1065"/>
      <c r="X68" s="1065"/>
      <c r="Y68" s="1065"/>
      <c r="Z68" s="1065"/>
      <c r="AA68" s="1065"/>
      <c r="AB68" s="1065"/>
    </row>
    <row r="69" spans="2:28" s="217" customFormat="1" ht="120" hidden="1" customHeight="1" x14ac:dyDescent="0.2">
      <c r="B69" s="1054"/>
      <c r="C69" s="1054"/>
      <c r="D69" s="1054"/>
      <c r="E69" s="1054"/>
      <c r="F69" s="1054"/>
      <c r="G69" s="1054"/>
      <c r="H69" s="1063"/>
      <c r="I69" s="1063"/>
      <c r="J69" s="1063"/>
      <c r="K69" s="1063"/>
      <c r="L69" s="1063"/>
      <c r="M69" s="1063"/>
      <c r="N69" s="1063"/>
      <c r="P69" s="1064"/>
      <c r="Q69" s="1064"/>
      <c r="R69" s="1064"/>
      <c r="S69" s="1064"/>
      <c r="T69" s="1064"/>
      <c r="U69" s="1064"/>
      <c r="V69" s="1065"/>
      <c r="W69" s="1065"/>
      <c r="X69" s="1065"/>
      <c r="Y69" s="1065"/>
      <c r="Z69" s="1065"/>
      <c r="AA69" s="1065"/>
      <c r="AB69" s="1065"/>
    </row>
    <row r="70" spans="2:28" s="217" customFormat="1" ht="120" hidden="1" customHeight="1" x14ac:dyDescent="0.2">
      <c r="B70" s="1055"/>
      <c r="C70" s="1056"/>
      <c r="D70" s="1056"/>
      <c r="E70" s="1056"/>
      <c r="F70" s="1056"/>
      <c r="G70" s="1057"/>
      <c r="H70" s="1060"/>
      <c r="I70" s="1061"/>
      <c r="J70" s="1061"/>
      <c r="K70" s="1061"/>
      <c r="L70" s="1061"/>
      <c r="M70" s="1061"/>
      <c r="N70" s="1062"/>
      <c r="P70" s="93"/>
      <c r="Q70" s="93"/>
      <c r="R70" s="93"/>
      <c r="S70" s="93"/>
      <c r="T70" s="93"/>
      <c r="U70" s="93"/>
      <c r="V70" s="94"/>
      <c r="W70" s="94"/>
      <c r="X70" s="94"/>
      <c r="Y70" s="94"/>
      <c r="Z70" s="94"/>
      <c r="AA70" s="94"/>
      <c r="AB70" s="94"/>
    </row>
    <row r="71" spans="2:28" s="217" customFormat="1" ht="120" hidden="1" customHeight="1" x14ac:dyDescent="0.2">
      <c r="B71" s="1055"/>
      <c r="C71" s="1056"/>
      <c r="D71" s="1056"/>
      <c r="E71" s="1056"/>
      <c r="F71" s="1056"/>
      <c r="G71" s="1057"/>
      <c r="H71" s="1060"/>
      <c r="I71" s="1061"/>
      <c r="J71" s="1061"/>
      <c r="K71" s="1061"/>
      <c r="L71" s="1061"/>
      <c r="M71" s="1061"/>
      <c r="N71" s="1062"/>
      <c r="P71" s="218"/>
      <c r="Q71" s="218"/>
      <c r="R71" s="218"/>
      <c r="S71" s="218"/>
      <c r="T71" s="218"/>
      <c r="U71" s="218"/>
      <c r="V71" s="215"/>
      <c r="W71" s="215"/>
      <c r="X71" s="215"/>
      <c r="Y71" s="215"/>
      <c r="Z71" s="215"/>
      <c r="AA71" s="215"/>
      <c r="AB71" s="215"/>
    </row>
    <row r="72" spans="2:28" s="217" customFormat="1" ht="120" hidden="1" customHeight="1" x14ac:dyDescent="0.2">
      <c r="B72" s="1055"/>
      <c r="C72" s="1056"/>
      <c r="D72" s="1056"/>
      <c r="E72" s="1056"/>
      <c r="F72" s="1056"/>
      <c r="G72" s="1057"/>
      <c r="H72" s="1060"/>
      <c r="I72" s="1061"/>
      <c r="J72" s="1061"/>
      <c r="K72" s="1061"/>
      <c r="L72" s="1061"/>
      <c r="M72" s="1061"/>
      <c r="N72" s="1062"/>
      <c r="P72" s="218"/>
      <c r="Q72" s="218"/>
      <c r="R72" s="218"/>
      <c r="S72" s="218"/>
      <c r="T72" s="218"/>
      <c r="U72" s="218"/>
      <c r="V72" s="215"/>
      <c r="W72" s="215"/>
      <c r="X72" s="215"/>
      <c r="Y72" s="215"/>
      <c r="Z72" s="215"/>
      <c r="AA72" s="215"/>
      <c r="AB72" s="215"/>
    </row>
    <row r="73" spans="2:28" s="217" customFormat="1" ht="120" hidden="1" customHeight="1" x14ac:dyDescent="0.2">
      <c r="B73" s="1055"/>
      <c r="C73" s="1056"/>
      <c r="D73" s="1056"/>
      <c r="E73" s="1056"/>
      <c r="F73" s="1056"/>
      <c r="G73" s="1057"/>
      <c r="H73" s="1060"/>
      <c r="I73" s="1061"/>
      <c r="J73" s="1061"/>
      <c r="K73" s="1061"/>
      <c r="L73" s="1061"/>
      <c r="M73" s="1061"/>
      <c r="N73" s="1062"/>
      <c r="P73" s="218"/>
      <c r="Q73" s="218"/>
      <c r="R73" s="218"/>
      <c r="S73" s="218"/>
      <c r="T73" s="218"/>
      <c r="U73" s="218"/>
      <c r="V73" s="215"/>
      <c r="W73" s="215"/>
      <c r="X73" s="215"/>
      <c r="Y73" s="215"/>
      <c r="Z73" s="215"/>
      <c r="AA73" s="215"/>
      <c r="AB73" s="215"/>
    </row>
    <row r="74" spans="2:28" s="217" customFormat="1" ht="120" hidden="1" customHeight="1" x14ac:dyDescent="0.2">
      <c r="B74" s="1080"/>
      <c r="C74" s="1080"/>
      <c r="D74" s="1080"/>
      <c r="E74" s="1080"/>
      <c r="F74" s="1080"/>
      <c r="G74" s="1080"/>
      <c r="H74" s="1122"/>
      <c r="I74" s="1122"/>
      <c r="J74" s="1122"/>
      <c r="K74" s="1122"/>
      <c r="L74" s="1122"/>
      <c r="M74" s="1122"/>
      <c r="N74" s="1122"/>
      <c r="P74" s="1123"/>
      <c r="Q74" s="1123"/>
      <c r="R74" s="1123"/>
      <c r="S74" s="1123"/>
      <c r="T74" s="1123"/>
      <c r="U74" s="1123"/>
      <c r="V74" s="1095"/>
      <c r="W74" s="1095"/>
      <c r="X74" s="1095"/>
      <c r="Y74" s="1095"/>
      <c r="Z74" s="1095"/>
      <c r="AA74" s="1095"/>
      <c r="AB74" s="1095"/>
    </row>
    <row r="75" spans="2:28" s="217" customFormat="1" ht="12.75" x14ac:dyDescent="0.2">
      <c r="C75" s="216"/>
      <c r="D75" s="216"/>
      <c r="E75" s="216"/>
      <c r="F75" s="216"/>
      <c r="G75" s="216"/>
      <c r="H75" s="216"/>
      <c r="I75" s="216"/>
      <c r="J75" s="216"/>
    </row>
    <row r="76" spans="2:28" s="217" customFormat="1" ht="12.75" x14ac:dyDescent="0.2">
      <c r="C76" s="216"/>
      <c r="D76" s="216"/>
      <c r="E76" s="216"/>
      <c r="F76" s="216"/>
      <c r="G76" s="216"/>
      <c r="H76" s="216"/>
      <c r="I76" s="216"/>
      <c r="J76" s="216"/>
    </row>
    <row r="77" spans="2:28" s="217" customFormat="1" ht="12.75" x14ac:dyDescent="0.2">
      <c r="B77" s="85" t="s">
        <v>365</v>
      </c>
      <c r="C77" s="216"/>
      <c r="D77" s="216"/>
      <c r="E77" s="216"/>
      <c r="F77" s="216"/>
      <c r="G77" s="216"/>
      <c r="H77" s="216"/>
      <c r="I77" s="216"/>
      <c r="J77" s="216"/>
    </row>
    <row r="78" spans="2:28" s="677" customFormat="1" ht="12.75" x14ac:dyDescent="0.2">
      <c r="B78" s="85"/>
      <c r="C78" s="676"/>
      <c r="D78" s="676"/>
      <c r="E78" s="676"/>
      <c r="F78" s="676"/>
      <c r="G78" s="676"/>
      <c r="H78" s="676"/>
      <c r="I78" s="676"/>
      <c r="J78" s="676"/>
    </row>
    <row r="79" spans="2:28" s="677" customFormat="1" ht="12.75" x14ac:dyDescent="0.2">
      <c r="B79" s="85" t="s">
        <v>5561</v>
      </c>
      <c r="C79" s="676"/>
      <c r="D79" s="676"/>
      <c r="E79" s="676"/>
      <c r="F79" s="676"/>
      <c r="G79" s="676"/>
      <c r="H79" s="676"/>
      <c r="I79" s="676"/>
      <c r="J79" s="676"/>
    </row>
    <row r="80" spans="2:28" s="677" customFormat="1" ht="12.75" x14ac:dyDescent="0.2">
      <c r="B80" s="85"/>
      <c r="C80" s="676"/>
      <c r="D80" s="676"/>
      <c r="E80" s="676"/>
      <c r="F80" s="676"/>
      <c r="G80" s="676"/>
      <c r="H80" s="676"/>
      <c r="I80" s="676"/>
      <c r="J80" s="676"/>
    </row>
    <row r="81" spans="2:31" s="677" customFormat="1" ht="12.75" x14ac:dyDescent="0.2">
      <c r="B81" s="85"/>
      <c r="C81" s="676"/>
      <c r="D81" s="676"/>
      <c r="E81" s="676"/>
      <c r="F81" s="676"/>
      <c r="G81" s="676"/>
      <c r="H81" s="676"/>
      <c r="I81" s="676"/>
      <c r="J81" s="676"/>
    </row>
    <row r="82" spans="2:31" s="677" customFormat="1" ht="12.75" x14ac:dyDescent="0.2">
      <c r="B82" s="85"/>
      <c r="C82" s="676"/>
      <c r="D82" s="676"/>
      <c r="E82" s="676"/>
      <c r="F82" s="676"/>
      <c r="G82" s="676"/>
      <c r="H82" s="676"/>
      <c r="I82" s="676"/>
      <c r="J82" s="676"/>
    </row>
    <row r="83" spans="2:31" s="677" customFormat="1" ht="12.75" x14ac:dyDescent="0.2">
      <c r="B83" s="85"/>
      <c r="C83" s="676"/>
      <c r="D83" s="676"/>
      <c r="E83" s="676"/>
      <c r="F83" s="676"/>
      <c r="G83" s="676"/>
      <c r="H83" s="676"/>
      <c r="I83" s="676"/>
      <c r="J83" s="676"/>
    </row>
    <row r="84" spans="2:31" s="677" customFormat="1" ht="12.75" x14ac:dyDescent="0.2">
      <c r="B84" s="85"/>
      <c r="C84" s="676"/>
      <c r="D84" s="676"/>
      <c r="E84" s="676"/>
      <c r="F84" s="676"/>
      <c r="G84" s="676"/>
      <c r="H84" s="676"/>
      <c r="I84" s="676"/>
      <c r="J84" s="676"/>
    </row>
    <row r="85" spans="2:31" s="677" customFormat="1" ht="12.75" x14ac:dyDescent="0.2">
      <c r="B85" s="85" t="s">
        <v>5562</v>
      </c>
      <c r="C85" s="676"/>
      <c r="D85" s="676"/>
      <c r="E85" s="676"/>
      <c r="F85" s="676"/>
      <c r="G85" s="676"/>
      <c r="H85" s="676"/>
      <c r="I85" s="676"/>
      <c r="J85" s="676"/>
    </row>
    <row r="86" spans="2:31" s="217" customFormat="1" ht="8.1" customHeight="1" x14ac:dyDescent="0.2">
      <c r="B86" s="91"/>
      <c r="C86" s="216"/>
      <c r="D86" s="216"/>
      <c r="E86" s="216"/>
      <c r="F86" s="216"/>
      <c r="G86" s="216"/>
      <c r="H86" s="216"/>
      <c r="I86" s="216"/>
      <c r="J86" s="216"/>
    </row>
    <row r="87" spans="2:31" s="217" customFormat="1" ht="33" customHeight="1" x14ac:dyDescent="0.2">
      <c r="B87" s="1124" t="s">
        <v>27</v>
      </c>
      <c r="C87" s="1124"/>
      <c r="D87" s="1124"/>
      <c r="E87" s="1124"/>
      <c r="F87" s="1124"/>
      <c r="G87" s="1126" t="s">
        <v>5567</v>
      </c>
      <c r="H87" s="1052"/>
      <c r="I87" s="1052"/>
      <c r="J87" s="1052"/>
      <c r="K87" s="1052"/>
      <c r="L87" s="1052"/>
      <c r="M87" s="1052"/>
      <c r="N87" s="1052"/>
      <c r="O87" s="1052"/>
      <c r="P87" s="1052"/>
      <c r="Q87" s="1052"/>
      <c r="R87" s="1052"/>
      <c r="S87" s="1052"/>
      <c r="T87" s="1052"/>
      <c r="U87" s="1052"/>
      <c r="V87" s="1052"/>
      <c r="W87" s="1052"/>
      <c r="X87" s="1052"/>
      <c r="Y87" s="1052"/>
      <c r="Z87" s="1053"/>
    </row>
    <row r="88" spans="2:31" s="217" customFormat="1" ht="32.25" customHeight="1" x14ac:dyDescent="0.2">
      <c r="B88" s="1124"/>
      <c r="C88" s="1124"/>
      <c r="D88" s="1124"/>
      <c r="E88" s="1124"/>
      <c r="F88" s="1124"/>
      <c r="G88" s="1125" t="s">
        <v>225</v>
      </c>
      <c r="H88" s="1125"/>
      <c r="I88" s="1125" t="s">
        <v>5569</v>
      </c>
      <c r="J88" s="1125"/>
      <c r="K88" s="1125"/>
      <c r="L88" s="1125"/>
      <c r="M88" s="1125"/>
      <c r="N88" s="1125"/>
      <c r="O88" s="1125"/>
      <c r="P88" s="1125"/>
      <c r="Q88" s="1126" t="s">
        <v>5568</v>
      </c>
      <c r="R88" s="1052"/>
      <c r="S88" s="1052"/>
      <c r="T88" s="1052"/>
      <c r="U88" s="1052"/>
      <c r="V88" s="1052"/>
      <c r="W88" s="1052"/>
      <c r="X88" s="1052"/>
      <c r="Y88" s="1052"/>
      <c r="Z88" s="1053"/>
    </row>
    <row r="89" spans="2:31" s="217" customFormat="1" ht="7.5" customHeight="1" x14ac:dyDescent="0.2"/>
    <row r="90" spans="2:31" s="217" customFormat="1" ht="99.95" customHeight="1" x14ac:dyDescent="0.2">
      <c r="B90" s="1075" t="s">
        <v>30</v>
      </c>
      <c r="C90" s="1075"/>
      <c r="D90" s="1075"/>
      <c r="E90" s="1075"/>
      <c r="F90" s="1075"/>
      <c r="G90" s="1076" t="s">
        <v>4943</v>
      </c>
      <c r="H90" s="1076"/>
      <c r="I90" s="1077"/>
      <c r="J90" s="1078"/>
      <c r="K90" s="1078"/>
      <c r="L90" s="1078"/>
      <c r="M90" s="1078"/>
      <c r="N90" s="1078"/>
      <c r="O90" s="1078"/>
      <c r="P90" s="1079"/>
      <c r="Q90" s="1127"/>
      <c r="R90" s="1128"/>
      <c r="S90" s="1128"/>
      <c r="T90" s="1128"/>
      <c r="U90" s="1128"/>
      <c r="V90" s="1128"/>
      <c r="W90" s="1128"/>
      <c r="X90" s="1128"/>
      <c r="Y90" s="1128"/>
      <c r="Z90" s="1129"/>
      <c r="AD90" s="428"/>
      <c r="AE90" s="428"/>
    </row>
    <row r="91" spans="2:31" s="217" customFormat="1" ht="99.95" customHeight="1" x14ac:dyDescent="0.2">
      <c r="B91" s="1075" t="s">
        <v>31</v>
      </c>
      <c r="C91" s="1075"/>
      <c r="D91" s="1075"/>
      <c r="E91" s="1075"/>
      <c r="F91" s="1075"/>
      <c r="G91" s="1076" t="s">
        <v>4943</v>
      </c>
      <c r="H91" s="1076"/>
      <c r="I91" s="1077"/>
      <c r="J91" s="1078"/>
      <c r="K91" s="1078"/>
      <c r="L91" s="1078"/>
      <c r="M91" s="1078"/>
      <c r="N91" s="1078"/>
      <c r="O91" s="1078"/>
      <c r="P91" s="1079"/>
      <c r="Q91" s="1127"/>
      <c r="R91" s="1128"/>
      <c r="S91" s="1128"/>
      <c r="T91" s="1128"/>
      <c r="U91" s="1128"/>
      <c r="V91" s="1128"/>
      <c r="W91" s="1128"/>
      <c r="X91" s="1128"/>
      <c r="Y91" s="1128"/>
      <c r="Z91" s="1129"/>
      <c r="AD91" s="428"/>
      <c r="AE91" s="428"/>
    </row>
    <row r="92" spans="2:31" s="217" customFormat="1" ht="99.95" customHeight="1" x14ac:dyDescent="0.2">
      <c r="B92" s="1075" t="s">
        <v>32</v>
      </c>
      <c r="C92" s="1075"/>
      <c r="D92" s="1075"/>
      <c r="E92" s="1075"/>
      <c r="F92" s="1075"/>
      <c r="G92" s="1076" t="s">
        <v>4943</v>
      </c>
      <c r="H92" s="1076"/>
      <c r="I92" s="1077"/>
      <c r="J92" s="1078"/>
      <c r="K92" s="1078"/>
      <c r="L92" s="1078"/>
      <c r="M92" s="1078"/>
      <c r="N92" s="1078"/>
      <c r="O92" s="1078"/>
      <c r="P92" s="1079"/>
      <c r="Q92" s="1127"/>
      <c r="R92" s="1128"/>
      <c r="S92" s="1128"/>
      <c r="T92" s="1128"/>
      <c r="U92" s="1128"/>
      <c r="V92" s="1128"/>
      <c r="W92" s="1128"/>
      <c r="X92" s="1128"/>
      <c r="Y92" s="1128"/>
      <c r="Z92" s="1129"/>
      <c r="AD92" s="428"/>
      <c r="AE92" s="428"/>
    </row>
    <row r="93" spans="2:31" s="217" customFormat="1" ht="99.95" customHeight="1" x14ac:dyDescent="0.2">
      <c r="B93" s="1075" t="s">
        <v>33</v>
      </c>
      <c r="C93" s="1075"/>
      <c r="D93" s="1075"/>
      <c r="E93" s="1075"/>
      <c r="F93" s="1075"/>
      <c r="G93" s="1076" t="s">
        <v>4943</v>
      </c>
      <c r="H93" s="1076"/>
      <c r="I93" s="1077"/>
      <c r="J93" s="1078"/>
      <c r="K93" s="1078"/>
      <c r="L93" s="1078"/>
      <c r="M93" s="1078"/>
      <c r="N93" s="1078"/>
      <c r="O93" s="1078"/>
      <c r="P93" s="1079"/>
      <c r="Q93" s="1127"/>
      <c r="R93" s="1128"/>
      <c r="S93" s="1128"/>
      <c r="T93" s="1128"/>
      <c r="U93" s="1128"/>
      <c r="V93" s="1128"/>
      <c r="W93" s="1128"/>
      <c r="X93" s="1128"/>
      <c r="Y93" s="1128"/>
      <c r="Z93" s="1129"/>
      <c r="AD93" s="428"/>
      <c r="AE93" s="428"/>
    </row>
    <row r="94" spans="2:31" s="217" customFormat="1" ht="99.95" customHeight="1" x14ac:dyDescent="0.2">
      <c r="B94" s="1075" t="s">
        <v>34</v>
      </c>
      <c r="C94" s="1075"/>
      <c r="D94" s="1075"/>
      <c r="E94" s="1075"/>
      <c r="F94" s="1075"/>
      <c r="G94" s="1076" t="s">
        <v>4943</v>
      </c>
      <c r="H94" s="1076"/>
      <c r="I94" s="1077"/>
      <c r="J94" s="1078"/>
      <c r="K94" s="1078"/>
      <c r="L94" s="1078"/>
      <c r="M94" s="1078"/>
      <c r="N94" s="1078"/>
      <c r="O94" s="1078"/>
      <c r="P94" s="1079"/>
      <c r="Q94" s="1127"/>
      <c r="R94" s="1128"/>
      <c r="S94" s="1128"/>
      <c r="T94" s="1128"/>
      <c r="U94" s="1128"/>
      <c r="V94" s="1128"/>
      <c r="W94" s="1128"/>
      <c r="X94" s="1128"/>
      <c r="Y94" s="1128"/>
      <c r="Z94" s="1129"/>
      <c r="AD94" s="428"/>
      <c r="AE94" s="428"/>
    </row>
    <row r="95" spans="2:31" s="217" customFormat="1" ht="99.95" customHeight="1" x14ac:dyDescent="0.2">
      <c r="B95" s="1075" t="s">
        <v>35</v>
      </c>
      <c r="C95" s="1075"/>
      <c r="D95" s="1075"/>
      <c r="E95" s="1075"/>
      <c r="F95" s="1075"/>
      <c r="G95" s="1076" t="s">
        <v>4943</v>
      </c>
      <c r="H95" s="1076"/>
      <c r="I95" s="1077"/>
      <c r="J95" s="1078"/>
      <c r="K95" s="1078"/>
      <c r="L95" s="1078"/>
      <c r="M95" s="1078"/>
      <c r="N95" s="1078"/>
      <c r="O95" s="1078"/>
      <c r="P95" s="1079"/>
      <c r="Q95" s="1127"/>
      <c r="R95" s="1128"/>
      <c r="S95" s="1128"/>
      <c r="T95" s="1128"/>
      <c r="U95" s="1128"/>
      <c r="V95" s="1128"/>
      <c r="W95" s="1128"/>
      <c r="X95" s="1128"/>
      <c r="Y95" s="1128"/>
      <c r="Z95" s="1129"/>
      <c r="AD95" s="428"/>
      <c r="AE95" s="428"/>
    </row>
    <row r="96" spans="2:31" s="217" customFormat="1" ht="99.95" customHeight="1" x14ac:dyDescent="0.2">
      <c r="B96" s="1075" t="s">
        <v>36</v>
      </c>
      <c r="C96" s="1075"/>
      <c r="D96" s="1075"/>
      <c r="E96" s="1075"/>
      <c r="F96" s="1075"/>
      <c r="G96" s="1076" t="s">
        <v>4943</v>
      </c>
      <c r="H96" s="1076"/>
      <c r="I96" s="1077"/>
      <c r="J96" s="1078"/>
      <c r="K96" s="1078"/>
      <c r="L96" s="1078"/>
      <c r="M96" s="1078"/>
      <c r="N96" s="1078"/>
      <c r="O96" s="1078"/>
      <c r="P96" s="1079"/>
      <c r="Q96" s="1127"/>
      <c r="R96" s="1128"/>
      <c r="S96" s="1128"/>
      <c r="T96" s="1128"/>
      <c r="U96" s="1128"/>
      <c r="V96" s="1128"/>
      <c r="W96" s="1128"/>
      <c r="X96" s="1128"/>
      <c r="Y96" s="1128"/>
      <c r="Z96" s="1129"/>
      <c r="AD96" s="428"/>
      <c r="AE96" s="428"/>
    </row>
    <row r="97" spans="2:31" s="217" customFormat="1" ht="99.95" customHeight="1" x14ac:dyDescent="0.2">
      <c r="B97" s="1075" t="s">
        <v>37</v>
      </c>
      <c r="C97" s="1075"/>
      <c r="D97" s="1075"/>
      <c r="E97" s="1075"/>
      <c r="F97" s="1075"/>
      <c r="G97" s="1076" t="s">
        <v>4943</v>
      </c>
      <c r="H97" s="1076"/>
      <c r="I97" s="1077"/>
      <c r="J97" s="1078"/>
      <c r="K97" s="1078"/>
      <c r="L97" s="1078"/>
      <c r="M97" s="1078"/>
      <c r="N97" s="1078"/>
      <c r="O97" s="1078"/>
      <c r="P97" s="1079"/>
      <c r="Q97" s="1127"/>
      <c r="R97" s="1128"/>
      <c r="S97" s="1128"/>
      <c r="T97" s="1128"/>
      <c r="U97" s="1128"/>
      <c r="V97" s="1128"/>
      <c r="W97" s="1128"/>
      <c r="X97" s="1128"/>
      <c r="Y97" s="1128"/>
      <c r="Z97" s="1129"/>
      <c r="AD97" s="428"/>
      <c r="AE97" s="428"/>
    </row>
    <row r="98" spans="2:31" s="217" customFormat="1" ht="99.95" customHeight="1" x14ac:dyDescent="0.2">
      <c r="B98" s="1075" t="s">
        <v>38</v>
      </c>
      <c r="C98" s="1075"/>
      <c r="D98" s="1075"/>
      <c r="E98" s="1075"/>
      <c r="F98" s="1075"/>
      <c r="G98" s="1076" t="s">
        <v>4943</v>
      </c>
      <c r="H98" s="1076"/>
      <c r="I98" s="1077"/>
      <c r="J98" s="1078"/>
      <c r="K98" s="1078"/>
      <c r="L98" s="1078"/>
      <c r="M98" s="1078"/>
      <c r="N98" s="1078"/>
      <c r="O98" s="1078"/>
      <c r="P98" s="1079"/>
      <c r="Q98" s="1127"/>
      <c r="R98" s="1128"/>
      <c r="S98" s="1128"/>
      <c r="T98" s="1128"/>
      <c r="U98" s="1128"/>
      <c r="V98" s="1128"/>
      <c r="W98" s="1128"/>
      <c r="X98" s="1128"/>
      <c r="Y98" s="1128"/>
      <c r="Z98" s="1129"/>
      <c r="AD98" s="428"/>
      <c r="AE98" s="428"/>
    </row>
    <row r="99" spans="2:31" s="217" customFormat="1" ht="99.95" customHeight="1" x14ac:dyDescent="0.2">
      <c r="B99" s="1075" t="s">
        <v>39</v>
      </c>
      <c r="C99" s="1075"/>
      <c r="D99" s="1075"/>
      <c r="E99" s="1075"/>
      <c r="F99" s="1075"/>
      <c r="G99" s="1076" t="s">
        <v>4943</v>
      </c>
      <c r="H99" s="1076"/>
      <c r="I99" s="1077"/>
      <c r="J99" s="1078"/>
      <c r="K99" s="1078"/>
      <c r="L99" s="1078"/>
      <c r="M99" s="1078"/>
      <c r="N99" s="1078"/>
      <c r="O99" s="1078"/>
      <c r="P99" s="1079"/>
      <c r="Q99" s="1127"/>
      <c r="R99" s="1128"/>
      <c r="S99" s="1128"/>
      <c r="T99" s="1128"/>
      <c r="U99" s="1128"/>
      <c r="V99" s="1128"/>
      <c r="W99" s="1128"/>
      <c r="X99" s="1128"/>
      <c r="Y99" s="1128"/>
      <c r="Z99" s="1129"/>
      <c r="AD99" s="428"/>
      <c r="AE99" s="428"/>
    </row>
    <row r="100" spans="2:31" s="217" customFormat="1" ht="99.95" customHeight="1" x14ac:dyDescent="0.2">
      <c r="B100" s="1075" t="s">
        <v>40</v>
      </c>
      <c r="C100" s="1075"/>
      <c r="D100" s="1075"/>
      <c r="E100" s="1075"/>
      <c r="F100" s="1075"/>
      <c r="G100" s="1076" t="s">
        <v>4943</v>
      </c>
      <c r="H100" s="1076"/>
      <c r="I100" s="1077"/>
      <c r="J100" s="1078"/>
      <c r="K100" s="1078"/>
      <c r="L100" s="1078"/>
      <c r="M100" s="1078"/>
      <c r="N100" s="1078"/>
      <c r="O100" s="1078"/>
      <c r="P100" s="1079"/>
      <c r="Q100" s="1127"/>
      <c r="R100" s="1128"/>
      <c r="S100" s="1128"/>
      <c r="T100" s="1128"/>
      <c r="U100" s="1128"/>
      <c r="V100" s="1128"/>
      <c r="W100" s="1128"/>
      <c r="X100" s="1128"/>
      <c r="Y100" s="1128"/>
      <c r="Z100" s="1129"/>
      <c r="AD100" s="428"/>
      <c r="AE100" s="428"/>
    </row>
    <row r="101" spans="2:31" s="217" customFormat="1" ht="99.95" customHeight="1" x14ac:dyDescent="0.2">
      <c r="B101" s="1075" t="s">
        <v>41</v>
      </c>
      <c r="C101" s="1075"/>
      <c r="D101" s="1075"/>
      <c r="E101" s="1075"/>
      <c r="F101" s="1075"/>
      <c r="G101" s="1076" t="s">
        <v>4943</v>
      </c>
      <c r="H101" s="1076"/>
      <c r="I101" s="1077"/>
      <c r="J101" s="1078"/>
      <c r="K101" s="1078"/>
      <c r="L101" s="1078"/>
      <c r="M101" s="1078"/>
      <c r="N101" s="1078"/>
      <c r="O101" s="1078"/>
      <c r="P101" s="1079"/>
      <c r="Q101" s="1127"/>
      <c r="R101" s="1128"/>
      <c r="S101" s="1128"/>
      <c r="T101" s="1128"/>
      <c r="U101" s="1128"/>
      <c r="V101" s="1128"/>
      <c r="W101" s="1128"/>
      <c r="X101" s="1128"/>
      <c r="Y101" s="1128"/>
      <c r="Z101" s="1129"/>
      <c r="AD101" s="428"/>
      <c r="AE101" s="428"/>
    </row>
    <row r="102" spans="2:31" s="217" customFormat="1" ht="99.95" customHeight="1" x14ac:dyDescent="0.2">
      <c r="B102" s="1075" t="s">
        <v>42</v>
      </c>
      <c r="C102" s="1075"/>
      <c r="D102" s="1075"/>
      <c r="E102" s="1075"/>
      <c r="F102" s="1075"/>
      <c r="G102" s="1076" t="s">
        <v>4943</v>
      </c>
      <c r="H102" s="1076"/>
      <c r="I102" s="1077"/>
      <c r="J102" s="1078"/>
      <c r="K102" s="1078"/>
      <c r="L102" s="1078"/>
      <c r="M102" s="1078"/>
      <c r="N102" s="1078"/>
      <c r="O102" s="1078"/>
      <c r="P102" s="1079"/>
      <c r="Q102" s="1127"/>
      <c r="R102" s="1128"/>
      <c r="S102" s="1128"/>
      <c r="T102" s="1128"/>
      <c r="U102" s="1128"/>
      <c r="V102" s="1128"/>
      <c r="W102" s="1128"/>
      <c r="X102" s="1128"/>
      <c r="Y102" s="1128"/>
      <c r="Z102" s="1129"/>
      <c r="AD102" s="428"/>
      <c r="AE102" s="428"/>
    </row>
    <row r="103" spans="2:31" s="217" customFormat="1" ht="99.95" customHeight="1" x14ac:dyDescent="0.2">
      <c r="B103" s="1075" t="s">
        <v>43</v>
      </c>
      <c r="C103" s="1075"/>
      <c r="D103" s="1075"/>
      <c r="E103" s="1075"/>
      <c r="F103" s="1075"/>
      <c r="G103" s="1076" t="s">
        <v>4943</v>
      </c>
      <c r="H103" s="1076"/>
      <c r="I103" s="1077"/>
      <c r="J103" s="1078"/>
      <c r="K103" s="1078"/>
      <c r="L103" s="1078"/>
      <c r="M103" s="1078"/>
      <c r="N103" s="1078"/>
      <c r="O103" s="1078"/>
      <c r="P103" s="1079"/>
      <c r="Q103" s="1127"/>
      <c r="R103" s="1128"/>
      <c r="S103" s="1128"/>
      <c r="T103" s="1128"/>
      <c r="U103" s="1128"/>
      <c r="V103" s="1128"/>
      <c r="W103" s="1128"/>
      <c r="X103" s="1128"/>
      <c r="Y103" s="1128"/>
      <c r="Z103" s="1129"/>
      <c r="AD103" s="428"/>
      <c r="AE103" s="428"/>
    </row>
    <row r="104" spans="2:31" s="217" customFormat="1" ht="99.95" customHeight="1" x14ac:dyDescent="0.2">
      <c r="B104" s="1075" t="s">
        <v>338</v>
      </c>
      <c r="C104" s="1075"/>
      <c r="D104" s="1075"/>
      <c r="E104" s="1075"/>
      <c r="F104" s="1075"/>
      <c r="G104" s="1076" t="s">
        <v>4943</v>
      </c>
      <c r="H104" s="1076"/>
      <c r="I104" s="1077"/>
      <c r="J104" s="1078"/>
      <c r="K104" s="1078"/>
      <c r="L104" s="1078"/>
      <c r="M104" s="1078"/>
      <c r="N104" s="1078"/>
      <c r="O104" s="1078"/>
      <c r="P104" s="1079"/>
      <c r="Q104" s="1127"/>
      <c r="R104" s="1128"/>
      <c r="S104" s="1128"/>
      <c r="T104" s="1128"/>
      <c r="U104" s="1128"/>
      <c r="V104" s="1128"/>
      <c r="W104" s="1128"/>
      <c r="X104" s="1128"/>
      <c r="Y104" s="1128"/>
      <c r="Z104" s="1129"/>
      <c r="AD104" s="428"/>
      <c r="AE104" s="428"/>
    </row>
    <row r="105" spans="2:31" s="217" customFormat="1" ht="99.95" customHeight="1" x14ac:dyDescent="0.2">
      <c r="B105" s="1075" t="s">
        <v>71</v>
      </c>
      <c r="C105" s="1075"/>
      <c r="D105" s="1075"/>
      <c r="E105" s="1075"/>
      <c r="F105" s="1075"/>
      <c r="G105" s="1076" t="s">
        <v>4943</v>
      </c>
      <c r="H105" s="1076"/>
      <c r="I105" s="1077"/>
      <c r="J105" s="1078"/>
      <c r="K105" s="1078"/>
      <c r="L105" s="1078"/>
      <c r="M105" s="1078"/>
      <c r="N105" s="1078"/>
      <c r="O105" s="1078"/>
      <c r="P105" s="1079"/>
      <c r="Q105" s="1127"/>
      <c r="R105" s="1128"/>
      <c r="S105" s="1128"/>
      <c r="T105" s="1128"/>
      <c r="U105" s="1128"/>
      <c r="V105" s="1128"/>
      <c r="W105" s="1128"/>
      <c r="X105" s="1128"/>
      <c r="Y105" s="1128"/>
      <c r="Z105" s="1129"/>
      <c r="AD105" s="428"/>
      <c r="AE105" s="428"/>
    </row>
    <row r="106" spans="2:31" s="217" customFormat="1" ht="12.75" x14ac:dyDescent="0.2">
      <c r="B106" s="223"/>
      <c r="C106" s="223"/>
      <c r="D106" s="223"/>
      <c r="E106" s="223"/>
      <c r="F106" s="223"/>
      <c r="G106" s="223"/>
      <c r="H106" s="223"/>
      <c r="I106" s="223"/>
      <c r="J106" s="92"/>
      <c r="K106" s="92"/>
      <c r="L106" s="92"/>
      <c r="M106" s="92"/>
      <c r="N106" s="92"/>
    </row>
    <row r="107" spans="2:31" x14ac:dyDescent="0.25">
      <c r="B107" s="85" t="s">
        <v>5563</v>
      </c>
    </row>
    <row r="108" spans="2:31" ht="8.1" customHeight="1" x14ac:dyDescent="0.25"/>
    <row r="109" spans="2:31" x14ac:dyDescent="0.25">
      <c r="B109" s="373" t="s">
        <v>5564</v>
      </c>
    </row>
    <row r="114" spans="2:33" x14ac:dyDescent="0.25">
      <c r="B114" s="373" t="s">
        <v>5565</v>
      </c>
    </row>
    <row r="119" spans="2:33" ht="8.1" customHeight="1" x14ac:dyDescent="0.25"/>
    <row r="120" spans="2:33" x14ac:dyDescent="0.25">
      <c r="B120" s="1130" t="s">
        <v>27</v>
      </c>
      <c r="C120" s="1130"/>
      <c r="D120" s="1130"/>
      <c r="E120" s="1130"/>
      <c r="F120" s="1130"/>
      <c r="G120" s="1131" t="s">
        <v>5566</v>
      </c>
      <c r="H120" s="1131"/>
      <c r="I120" s="1131"/>
      <c r="J120" s="1131"/>
      <c r="K120" s="1131"/>
      <c r="L120" s="1131"/>
      <c r="M120" s="1131"/>
      <c r="N120" s="1131"/>
      <c r="O120" s="1131"/>
      <c r="P120" s="1131"/>
      <c r="Q120" s="1131"/>
      <c r="R120" s="1131"/>
      <c r="S120" s="1131"/>
      <c r="T120" s="1131"/>
      <c r="U120" s="1131"/>
    </row>
    <row r="121" spans="2:33" x14ac:dyDescent="0.25">
      <c r="B121" s="1130"/>
      <c r="C121" s="1130"/>
      <c r="D121" s="1130"/>
      <c r="E121" s="1130"/>
      <c r="F121" s="1130"/>
      <c r="G121" s="1131" t="s">
        <v>5449</v>
      </c>
      <c r="H121" s="1131"/>
      <c r="I121" s="1131"/>
      <c r="J121" s="1131"/>
      <c r="K121" s="1131"/>
      <c r="L121" s="1131" t="s">
        <v>5450</v>
      </c>
      <c r="M121" s="1131"/>
      <c r="N121" s="1131"/>
      <c r="O121" s="1131"/>
      <c r="P121" s="1131"/>
      <c r="Q121" s="1131" t="s">
        <v>5451</v>
      </c>
      <c r="R121" s="1131"/>
      <c r="S121" s="1131"/>
      <c r="T121" s="1131"/>
      <c r="U121" s="1131"/>
    </row>
    <row r="122" spans="2:33" ht="8.1" customHeight="1" x14ac:dyDescent="0.25">
      <c r="AA122" s="760"/>
    </row>
    <row r="123" spans="2:33" x14ac:dyDescent="0.25">
      <c r="B123" s="1132" t="str">
        <f t="shared" ref="B123:B128" si="0">IF(AE123="","",AE123)</f>
        <v/>
      </c>
      <c r="C123" s="1132"/>
      <c r="D123" s="1132"/>
      <c r="E123" s="1132"/>
      <c r="F123" s="1132"/>
      <c r="G123" s="1133" t="str">
        <f>IFERROR(Caracterizacion!D56,"")</f>
        <v/>
      </c>
      <c r="H123" s="1133"/>
      <c r="I123" s="1133"/>
      <c r="J123" s="1133"/>
      <c r="K123" s="1133"/>
      <c r="L123" s="1133" t="str">
        <f>IFERROR(Caracterizacion!F56,"")</f>
        <v/>
      </c>
      <c r="M123" s="1133"/>
      <c r="N123" s="1133"/>
      <c r="O123" s="1133"/>
      <c r="P123" s="1133"/>
      <c r="Q123" s="1134" t="str">
        <f>IFERROR(Caracterizacion!H56,"")</f>
        <v/>
      </c>
      <c r="R123" s="1135"/>
      <c r="S123" s="1135"/>
      <c r="T123" s="1135"/>
      <c r="U123" s="1136"/>
      <c r="AA123" s="528" t="str">
        <f>IFERROR(IF(OR(G90="No",G90="-"),"b","c"),"")</f>
        <v>b</v>
      </c>
      <c r="AB123" s="528">
        <f>COUNTIF($AA$122:AA123,"c")</f>
        <v>0</v>
      </c>
      <c r="AC123" s="529" t="str">
        <f>B90</f>
        <v>Inundaciones</v>
      </c>
      <c r="AD123" s="528">
        <v>1</v>
      </c>
      <c r="AE123" s="529" t="str">
        <f t="shared" ref="AE123:AE128" si="1">IFERROR(VLOOKUP(AD123,$AB$123:$AC$138,2,FALSE),"")</f>
        <v/>
      </c>
      <c r="AF123" s="537"/>
      <c r="AG123" s="537"/>
    </row>
    <row r="124" spans="2:33" x14ac:dyDescent="0.25">
      <c r="B124" s="1132" t="str">
        <f t="shared" si="0"/>
        <v/>
      </c>
      <c r="C124" s="1132"/>
      <c r="D124" s="1132"/>
      <c r="E124" s="1132"/>
      <c r="F124" s="1132"/>
      <c r="G124" s="1133" t="str">
        <f>IFERROR(Caracterizacion!D57,"")</f>
        <v/>
      </c>
      <c r="H124" s="1133"/>
      <c r="I124" s="1133"/>
      <c r="J124" s="1133"/>
      <c r="K124" s="1133"/>
      <c r="L124" s="1133" t="str">
        <f>IFERROR(Caracterizacion!F57,"")</f>
        <v/>
      </c>
      <c r="M124" s="1133"/>
      <c r="N124" s="1133"/>
      <c r="O124" s="1133"/>
      <c r="P124" s="1133"/>
      <c r="Q124" s="1134" t="str">
        <f>IFERROR(Caracterizacion!H57,"")</f>
        <v/>
      </c>
      <c r="R124" s="1135"/>
      <c r="S124" s="1135"/>
      <c r="T124" s="1135"/>
      <c r="U124" s="1136"/>
      <c r="AA124" s="528" t="str">
        <f t="shared" ref="AA124:AA138" si="2">IFERROR(IF(OR(G91="No",G91="-"),"b","c"),"")</f>
        <v>b</v>
      </c>
      <c r="AB124" s="528">
        <f>COUNTIF($AA$122:AA124,"c")</f>
        <v>0</v>
      </c>
      <c r="AC124" s="529" t="str">
        <f t="shared" ref="AC124:AC138" si="3">B91</f>
        <v>Movimientos en masa</v>
      </c>
      <c r="AD124" s="528">
        <v>2</v>
      </c>
      <c r="AE124" s="529" t="str">
        <f t="shared" si="1"/>
        <v/>
      </c>
      <c r="AF124" s="537"/>
      <c r="AG124" s="537"/>
    </row>
    <row r="125" spans="2:33" x14ac:dyDescent="0.25">
      <c r="B125" s="1132" t="str">
        <f t="shared" si="0"/>
        <v/>
      </c>
      <c r="C125" s="1132"/>
      <c r="D125" s="1132"/>
      <c r="E125" s="1132"/>
      <c r="F125" s="1132"/>
      <c r="G125" s="1133" t="str">
        <f>IFERROR(Caracterizacion!D58,"")</f>
        <v/>
      </c>
      <c r="H125" s="1133"/>
      <c r="I125" s="1133"/>
      <c r="J125" s="1133"/>
      <c r="K125" s="1133"/>
      <c r="L125" s="1133" t="str">
        <f>IFERROR(Caracterizacion!F58,"")</f>
        <v/>
      </c>
      <c r="M125" s="1133"/>
      <c r="N125" s="1133"/>
      <c r="O125" s="1133"/>
      <c r="P125" s="1133"/>
      <c r="Q125" s="1134" t="str">
        <f>IFERROR(Caracterizacion!H58,"")</f>
        <v/>
      </c>
      <c r="R125" s="1135"/>
      <c r="S125" s="1135"/>
      <c r="T125" s="1135"/>
      <c r="U125" s="1136"/>
      <c r="AA125" s="528" t="str">
        <f t="shared" si="2"/>
        <v>b</v>
      </c>
      <c r="AB125" s="528">
        <f>COUNTIF($AA$122:AA125,"c")</f>
        <v>0</v>
      </c>
      <c r="AC125" s="529" t="str">
        <f t="shared" si="3"/>
        <v>Lluvias intensas</v>
      </c>
      <c r="AD125" s="528">
        <v>3</v>
      </c>
      <c r="AE125" s="529" t="str">
        <f t="shared" si="1"/>
        <v/>
      </c>
      <c r="AF125" s="537"/>
      <c r="AG125" s="537"/>
    </row>
    <row r="126" spans="2:33" x14ac:dyDescent="0.25">
      <c r="B126" s="1132" t="str">
        <f t="shared" si="0"/>
        <v/>
      </c>
      <c r="C126" s="1132"/>
      <c r="D126" s="1132"/>
      <c r="E126" s="1132"/>
      <c r="F126" s="1132"/>
      <c r="G126" s="1133" t="str">
        <f>IFERROR(Caracterizacion!D59,"")</f>
        <v/>
      </c>
      <c r="H126" s="1133"/>
      <c r="I126" s="1133"/>
      <c r="J126" s="1133"/>
      <c r="K126" s="1133"/>
      <c r="L126" s="1133" t="str">
        <f>IFERROR(Caracterizacion!F59,"")</f>
        <v/>
      </c>
      <c r="M126" s="1133"/>
      <c r="N126" s="1133"/>
      <c r="O126" s="1133"/>
      <c r="P126" s="1133"/>
      <c r="Q126" s="1134" t="str">
        <f>IFERROR(Caracterizacion!H59,"")</f>
        <v/>
      </c>
      <c r="R126" s="1135"/>
      <c r="S126" s="1135"/>
      <c r="T126" s="1135"/>
      <c r="U126" s="1136"/>
      <c r="AA126" s="528" t="str">
        <f t="shared" si="2"/>
        <v>b</v>
      </c>
      <c r="AB126" s="528">
        <f>COUNTIF($AA$122:AA126,"c")</f>
        <v>0</v>
      </c>
      <c r="AC126" s="529" t="str">
        <f t="shared" si="3"/>
        <v>Helada</v>
      </c>
      <c r="AD126" s="528">
        <v>4</v>
      </c>
      <c r="AE126" s="529" t="str">
        <f t="shared" si="1"/>
        <v/>
      </c>
      <c r="AF126" s="537"/>
      <c r="AG126" s="537"/>
    </row>
    <row r="127" spans="2:33" x14ac:dyDescent="0.25">
      <c r="B127" s="1132" t="str">
        <f t="shared" si="0"/>
        <v/>
      </c>
      <c r="C127" s="1132"/>
      <c r="D127" s="1132"/>
      <c r="E127" s="1132"/>
      <c r="F127" s="1132"/>
      <c r="G127" s="1133" t="str">
        <f>IFERROR(Caracterizacion!D60,"")</f>
        <v/>
      </c>
      <c r="H127" s="1133"/>
      <c r="I127" s="1133"/>
      <c r="J127" s="1133"/>
      <c r="K127" s="1133"/>
      <c r="L127" s="1133" t="str">
        <f>IFERROR(Caracterizacion!F60,"")</f>
        <v/>
      </c>
      <c r="M127" s="1133"/>
      <c r="N127" s="1133"/>
      <c r="O127" s="1133"/>
      <c r="P127" s="1133"/>
      <c r="Q127" s="1134" t="str">
        <f>IFERROR(Caracterizacion!H60,"")</f>
        <v/>
      </c>
      <c r="R127" s="1135"/>
      <c r="S127" s="1135"/>
      <c r="T127" s="1135"/>
      <c r="U127" s="1136"/>
      <c r="AA127" s="528" t="str">
        <f t="shared" si="2"/>
        <v>b</v>
      </c>
      <c r="AB127" s="528">
        <f>COUNTIF($AA$122:AA127,"c")</f>
        <v>0</v>
      </c>
      <c r="AC127" s="529" t="str">
        <f t="shared" si="3"/>
        <v>Nevadas</v>
      </c>
      <c r="AD127" s="528">
        <v>5</v>
      </c>
      <c r="AE127" s="529" t="str">
        <f t="shared" si="1"/>
        <v/>
      </c>
      <c r="AF127" s="537"/>
      <c r="AG127" s="537"/>
    </row>
    <row r="128" spans="2:33" x14ac:dyDescent="0.25">
      <c r="B128" s="1132" t="str">
        <f t="shared" si="0"/>
        <v/>
      </c>
      <c r="C128" s="1132"/>
      <c r="D128" s="1132"/>
      <c r="E128" s="1132"/>
      <c r="F128" s="1132"/>
      <c r="G128" s="1133" t="str">
        <f>IFERROR(Caracterizacion!D61,"")</f>
        <v/>
      </c>
      <c r="H128" s="1133"/>
      <c r="I128" s="1133"/>
      <c r="J128" s="1133"/>
      <c r="K128" s="1133"/>
      <c r="L128" s="1133" t="str">
        <f>IFERROR(Caracterizacion!F61,"")</f>
        <v/>
      </c>
      <c r="M128" s="1133"/>
      <c r="N128" s="1133"/>
      <c r="O128" s="1133"/>
      <c r="P128" s="1133"/>
      <c r="Q128" s="1134" t="str">
        <f>IFERROR(Caracterizacion!H61,"")</f>
        <v/>
      </c>
      <c r="R128" s="1135"/>
      <c r="S128" s="1135"/>
      <c r="T128" s="1135"/>
      <c r="U128" s="1136"/>
      <c r="AA128" s="528" t="str">
        <f t="shared" si="2"/>
        <v>b</v>
      </c>
      <c r="AB128" s="528">
        <f>COUNTIF($AA$122:AA128,"c")</f>
        <v>0</v>
      </c>
      <c r="AC128" s="529" t="str">
        <f t="shared" si="3"/>
        <v>Friaje</v>
      </c>
      <c r="AD128" s="528">
        <v>6</v>
      </c>
      <c r="AE128" s="529" t="str">
        <f t="shared" si="1"/>
        <v/>
      </c>
      <c r="AF128" s="537"/>
      <c r="AG128" s="537"/>
    </row>
    <row r="129" spans="27:33" x14ac:dyDescent="0.25">
      <c r="AA129" s="528" t="str">
        <f t="shared" si="2"/>
        <v>b</v>
      </c>
      <c r="AB129" s="528">
        <f>COUNTIF($AA$122:AA129,"c")</f>
        <v>0</v>
      </c>
      <c r="AC129" s="529" t="str">
        <f t="shared" si="3"/>
        <v>Sismos</v>
      </c>
      <c r="AD129" s="528"/>
      <c r="AE129" s="529" t="str">
        <f>IFERROR(VLOOKUP(AD129,$U$104:$V$133,2,FALSE),"")</f>
        <v/>
      </c>
      <c r="AF129" s="537"/>
      <c r="AG129" s="537"/>
    </row>
    <row r="130" spans="27:33" x14ac:dyDescent="0.25">
      <c r="AA130" s="528" t="str">
        <f t="shared" si="2"/>
        <v>b</v>
      </c>
      <c r="AB130" s="528">
        <f>COUNTIF($AA$122:AA130,"c")</f>
        <v>0</v>
      </c>
      <c r="AC130" s="529" t="str">
        <f t="shared" si="3"/>
        <v>Sequías</v>
      </c>
      <c r="AD130" s="528"/>
      <c r="AE130" s="529" t="str">
        <f>IFERROR(VLOOKUP(AD130,$U$104:$V$133,2,FALSE),"")</f>
        <v/>
      </c>
      <c r="AF130" s="537"/>
      <c r="AG130" s="537"/>
    </row>
    <row r="131" spans="27:33" x14ac:dyDescent="0.25">
      <c r="AA131" s="528" t="str">
        <f t="shared" si="2"/>
        <v>b</v>
      </c>
      <c r="AB131" s="528">
        <f>COUNTIF($AA$122:AA131,"c")</f>
        <v>0</v>
      </c>
      <c r="AC131" s="529" t="str">
        <f t="shared" si="3"/>
        <v>Vulcanismo</v>
      </c>
      <c r="AD131" s="528"/>
      <c r="AE131" s="529" t="str">
        <f>IFERROR(VLOOKUP(AD131,$U$104:$V$133,2,FALSE),"")</f>
        <v/>
      </c>
      <c r="AF131" s="537"/>
      <c r="AG131" s="537"/>
    </row>
    <row r="132" spans="27:33" x14ac:dyDescent="0.25">
      <c r="AA132" s="528" t="str">
        <f t="shared" si="2"/>
        <v>b</v>
      </c>
      <c r="AB132" s="528">
        <f>COUNTIF($AA$122:AA132,"c")</f>
        <v>0</v>
      </c>
      <c r="AC132" s="529" t="str">
        <f t="shared" si="3"/>
        <v>Tsunamis</v>
      </c>
      <c r="AD132" s="528"/>
      <c r="AE132" s="529" t="str">
        <f>IFERROR(VLOOKUP(AD132,$U$104:$V$133,2,FALSE),"")</f>
        <v/>
      </c>
      <c r="AF132" s="537"/>
      <c r="AG132" s="537"/>
    </row>
    <row r="133" spans="27:33" x14ac:dyDescent="0.25">
      <c r="AA133" s="528" t="str">
        <f t="shared" si="2"/>
        <v>b</v>
      </c>
      <c r="AB133" s="528">
        <f>COUNTIF($AA$122:AA133,"c")</f>
        <v>0</v>
      </c>
      <c r="AC133" s="529" t="str">
        <f t="shared" si="3"/>
        <v>Incendios forestales</v>
      </c>
      <c r="AD133" s="537"/>
      <c r="AE133" s="537"/>
      <c r="AF133" s="537"/>
      <c r="AG133" s="537"/>
    </row>
    <row r="134" spans="27:33" x14ac:dyDescent="0.25">
      <c r="AA134" s="528" t="str">
        <f t="shared" si="2"/>
        <v>b</v>
      </c>
      <c r="AB134" s="528">
        <f>COUNTIF($AA$122:AA134,"c")</f>
        <v>0</v>
      </c>
      <c r="AC134" s="529" t="str">
        <f t="shared" si="3"/>
        <v>Erosión</v>
      </c>
      <c r="AD134" s="537"/>
      <c r="AE134" s="537"/>
      <c r="AF134" s="537"/>
      <c r="AG134" s="537"/>
    </row>
    <row r="135" spans="27:33" x14ac:dyDescent="0.25">
      <c r="AA135" s="528" t="str">
        <f t="shared" si="2"/>
        <v>b</v>
      </c>
      <c r="AB135" s="528">
        <f>COUNTIF($AA$122:AA135,"c")</f>
        <v>0</v>
      </c>
      <c r="AC135" s="529" t="str">
        <f t="shared" si="3"/>
        <v>Vientos fuertes</v>
      </c>
      <c r="AD135" s="537"/>
      <c r="AE135" s="537"/>
      <c r="AF135" s="537"/>
      <c r="AG135" s="537"/>
    </row>
    <row r="136" spans="27:33" x14ac:dyDescent="0.25">
      <c r="AA136" s="528" t="str">
        <f t="shared" si="2"/>
        <v>b</v>
      </c>
      <c r="AB136" s="528">
        <f>COUNTIF($AA$122:AA136,"c")</f>
        <v>0</v>
      </c>
      <c r="AC136" s="529" t="str">
        <f t="shared" si="3"/>
        <v>Incendios urbanos</v>
      </c>
      <c r="AD136" s="537"/>
      <c r="AE136" s="537"/>
      <c r="AF136" s="537"/>
      <c r="AG136" s="537"/>
    </row>
    <row r="137" spans="27:33" x14ac:dyDescent="0.25">
      <c r="AA137" s="528" t="str">
        <f t="shared" si="2"/>
        <v>b</v>
      </c>
      <c r="AB137" s="528">
        <f>COUNTIF($AA$122:AA137,"c")</f>
        <v>0</v>
      </c>
      <c r="AC137" s="529" t="str">
        <f t="shared" si="3"/>
        <v>Radiación solar</v>
      </c>
      <c r="AD137" s="537"/>
      <c r="AE137" s="537"/>
      <c r="AF137" s="537"/>
      <c r="AG137" s="537"/>
    </row>
    <row r="138" spans="27:33" x14ac:dyDescent="0.25">
      <c r="AA138" s="528" t="str">
        <f t="shared" si="2"/>
        <v>b</v>
      </c>
      <c r="AB138" s="528">
        <f>COUNTIF($AA$122:AA138,"c")</f>
        <v>0</v>
      </c>
      <c r="AC138" s="529" t="str">
        <f t="shared" si="3"/>
        <v>Otros</v>
      </c>
      <c r="AD138" s="537"/>
      <c r="AE138" s="537"/>
      <c r="AF138" s="537"/>
      <c r="AG138" s="537"/>
    </row>
  </sheetData>
  <sheetProtection password="9AA6" sheet="1" objects="1" scenarios="1"/>
  <dataConsolidate/>
  <mergeCells count="251">
    <mergeCell ref="Q93:Z93"/>
    <mergeCell ref="Q94:Z94"/>
    <mergeCell ref="Q95:Z95"/>
    <mergeCell ref="Q96:Z96"/>
    <mergeCell ref="Q97:Z97"/>
    <mergeCell ref="Q98:Z98"/>
    <mergeCell ref="Q99:Z99"/>
    <mergeCell ref="Q100:Z100"/>
    <mergeCell ref="Q101:Z101"/>
    <mergeCell ref="Q102:Z102"/>
    <mergeCell ref="Q103:Z103"/>
    <mergeCell ref="Q104:Z104"/>
    <mergeCell ref="Q105:Z105"/>
    <mergeCell ref="B127:F127"/>
    <mergeCell ref="G127:K127"/>
    <mergeCell ref="L127:P127"/>
    <mergeCell ref="Q127:U127"/>
    <mergeCell ref="B128:F128"/>
    <mergeCell ref="G128:K128"/>
    <mergeCell ref="L128:P128"/>
    <mergeCell ref="Q128:U128"/>
    <mergeCell ref="B124:F124"/>
    <mergeCell ref="G124:K124"/>
    <mergeCell ref="L124:P124"/>
    <mergeCell ref="Q124:U124"/>
    <mergeCell ref="B125:F125"/>
    <mergeCell ref="G125:K125"/>
    <mergeCell ref="L125:P125"/>
    <mergeCell ref="Q125:U125"/>
    <mergeCell ref="B126:F126"/>
    <mergeCell ref="G126:K126"/>
    <mergeCell ref="L126:P126"/>
    <mergeCell ref="Q126:U126"/>
    <mergeCell ref="B120:F121"/>
    <mergeCell ref="G120:U120"/>
    <mergeCell ref="G121:K121"/>
    <mergeCell ref="L121:P121"/>
    <mergeCell ref="Q121:U121"/>
    <mergeCell ref="B123:F123"/>
    <mergeCell ref="G123:K123"/>
    <mergeCell ref="L123:P123"/>
    <mergeCell ref="Q123:U123"/>
    <mergeCell ref="B101:F101"/>
    <mergeCell ref="G101:H101"/>
    <mergeCell ref="I101:P101"/>
    <mergeCell ref="B104:F104"/>
    <mergeCell ref="G104:H104"/>
    <mergeCell ref="I104:P104"/>
    <mergeCell ref="B102:F102"/>
    <mergeCell ref="G102:H102"/>
    <mergeCell ref="I102:P102"/>
    <mergeCell ref="B103:F103"/>
    <mergeCell ref="G103:H103"/>
    <mergeCell ref="I103:P103"/>
    <mergeCell ref="B99:F99"/>
    <mergeCell ref="G99:H99"/>
    <mergeCell ref="I99:P99"/>
    <mergeCell ref="B100:F100"/>
    <mergeCell ref="G100:H100"/>
    <mergeCell ref="I100:P100"/>
    <mergeCell ref="B97:F97"/>
    <mergeCell ref="G97:H97"/>
    <mergeCell ref="I97:P97"/>
    <mergeCell ref="B98:F98"/>
    <mergeCell ref="G98:H98"/>
    <mergeCell ref="I98:P98"/>
    <mergeCell ref="B95:F95"/>
    <mergeCell ref="G95:H95"/>
    <mergeCell ref="I95:P95"/>
    <mergeCell ref="B96:F96"/>
    <mergeCell ref="G96:H96"/>
    <mergeCell ref="I96:P96"/>
    <mergeCell ref="B93:F93"/>
    <mergeCell ref="G93:H93"/>
    <mergeCell ref="I93:P93"/>
    <mergeCell ref="B94:F94"/>
    <mergeCell ref="G94:H94"/>
    <mergeCell ref="I94:P94"/>
    <mergeCell ref="B91:F91"/>
    <mergeCell ref="G91:H91"/>
    <mergeCell ref="I91:P91"/>
    <mergeCell ref="B92:F92"/>
    <mergeCell ref="G92:H92"/>
    <mergeCell ref="I92:P92"/>
    <mergeCell ref="B87:F88"/>
    <mergeCell ref="G88:H88"/>
    <mergeCell ref="I88:P88"/>
    <mergeCell ref="B90:F90"/>
    <mergeCell ref="G90:H90"/>
    <mergeCell ref="I90:P90"/>
    <mergeCell ref="G87:Z87"/>
    <mergeCell ref="Q88:Z88"/>
    <mergeCell ref="Q90:Z90"/>
    <mergeCell ref="Q91:Z91"/>
    <mergeCell ref="Q92:Z92"/>
    <mergeCell ref="G27:J27"/>
    <mergeCell ref="B74:G74"/>
    <mergeCell ref="H60:N60"/>
    <mergeCell ref="H74:N74"/>
    <mergeCell ref="P60:U60"/>
    <mergeCell ref="V60:AB60"/>
    <mergeCell ref="P74:U74"/>
    <mergeCell ref="V74:AB74"/>
    <mergeCell ref="B65:G65"/>
    <mergeCell ref="B66:G66"/>
    <mergeCell ref="B67:G67"/>
    <mergeCell ref="H65:N65"/>
    <mergeCell ref="H66:N66"/>
    <mergeCell ref="H67:N67"/>
    <mergeCell ref="P67:U67"/>
    <mergeCell ref="P66:U66"/>
    <mergeCell ref="P65:U65"/>
    <mergeCell ref="V65:AB65"/>
    <mergeCell ref="V66:AB66"/>
    <mergeCell ref="V67:AB67"/>
    <mergeCell ref="B72:G72"/>
    <mergeCell ref="B73:G73"/>
    <mergeCell ref="B69:G69"/>
    <mergeCell ref="H68:N68"/>
    <mergeCell ref="B44:D44"/>
    <mergeCell ref="E44:G44"/>
    <mergeCell ref="B32:AB33"/>
    <mergeCell ref="B35:S36"/>
    <mergeCell ref="T35:X35"/>
    <mergeCell ref="T36:X37"/>
    <mergeCell ref="B37:F37"/>
    <mergeCell ref="B39:AB39"/>
    <mergeCell ref="G37:S37"/>
    <mergeCell ref="Y36:AB36"/>
    <mergeCell ref="S44:AB44"/>
    <mergeCell ref="H44:R44"/>
    <mergeCell ref="B43:R43"/>
    <mergeCell ref="B14:AB14"/>
    <mergeCell ref="B12:AB12"/>
    <mergeCell ref="C18:F18"/>
    <mergeCell ref="G18:J18"/>
    <mergeCell ref="K18:N18"/>
    <mergeCell ref="O18:R18"/>
    <mergeCell ref="S18:V18"/>
    <mergeCell ref="C19:F19"/>
    <mergeCell ref="C20:F20"/>
    <mergeCell ref="B16:O16"/>
    <mergeCell ref="G19:J19"/>
    <mergeCell ref="K19:N19"/>
    <mergeCell ref="O19:R19"/>
    <mergeCell ref="S19:V19"/>
    <mergeCell ref="G20:J20"/>
    <mergeCell ref="K20:N20"/>
    <mergeCell ref="O20:R20"/>
    <mergeCell ref="S20:V20"/>
    <mergeCell ref="W18:Z18"/>
    <mergeCell ref="W19:Z19"/>
    <mergeCell ref="W20:Z20"/>
    <mergeCell ref="B105:F105"/>
    <mergeCell ref="G105:H105"/>
    <mergeCell ref="I105:P105"/>
    <mergeCell ref="C29:F29"/>
    <mergeCell ref="K29:N29"/>
    <mergeCell ref="O29:R29"/>
    <mergeCell ref="S29:V29"/>
    <mergeCell ref="B50:D50"/>
    <mergeCell ref="E50:H50"/>
    <mergeCell ref="I50:K50"/>
    <mergeCell ref="L50:O50"/>
    <mergeCell ref="B48:D48"/>
    <mergeCell ref="B45:D45"/>
    <mergeCell ref="B51:D51"/>
    <mergeCell ref="E51:H51"/>
    <mergeCell ref="I51:K51"/>
    <mergeCell ref="L51:O51"/>
    <mergeCell ref="B54:AB54"/>
    <mergeCell ref="B53:AB53"/>
    <mergeCell ref="G29:J29"/>
    <mergeCell ref="B41:AB41"/>
    <mergeCell ref="B46:D46"/>
    <mergeCell ref="B47:D47"/>
    <mergeCell ref="E45:G45"/>
    <mergeCell ref="W21:Z21"/>
    <mergeCell ref="W27:Z27"/>
    <mergeCell ref="W28:Z28"/>
    <mergeCell ref="W29:Z29"/>
    <mergeCell ref="W26:Z26"/>
    <mergeCell ref="S26:V26"/>
    <mergeCell ref="C21:F21"/>
    <mergeCell ref="C27:F27"/>
    <mergeCell ref="K27:N27"/>
    <mergeCell ref="O27:R27"/>
    <mergeCell ref="S27:V27"/>
    <mergeCell ref="C28:F28"/>
    <mergeCell ref="G28:J28"/>
    <mergeCell ref="K28:N28"/>
    <mergeCell ref="O28:R28"/>
    <mergeCell ref="S28:V28"/>
    <mergeCell ref="K21:N21"/>
    <mergeCell ref="O21:R21"/>
    <mergeCell ref="S21:V21"/>
    <mergeCell ref="C26:F26"/>
    <mergeCell ref="G21:J21"/>
    <mergeCell ref="G26:J26"/>
    <mergeCell ref="K26:N26"/>
    <mergeCell ref="O26:R26"/>
    <mergeCell ref="E46:G46"/>
    <mergeCell ref="E47:G47"/>
    <mergeCell ref="E48:G48"/>
    <mergeCell ref="B64:G64"/>
    <mergeCell ref="B63:G63"/>
    <mergeCell ref="B62:G62"/>
    <mergeCell ref="B61:G61"/>
    <mergeCell ref="B56:N57"/>
    <mergeCell ref="E58:J58"/>
    <mergeCell ref="H72:N72"/>
    <mergeCell ref="H73:N73"/>
    <mergeCell ref="P68:U68"/>
    <mergeCell ref="P69:U69"/>
    <mergeCell ref="V68:AB68"/>
    <mergeCell ref="V69:AB69"/>
    <mergeCell ref="P50:T50"/>
    <mergeCell ref="P51:T51"/>
    <mergeCell ref="S45:AB45"/>
    <mergeCell ref="S46:AB46"/>
    <mergeCell ref="S47:AB47"/>
    <mergeCell ref="S48:AB48"/>
    <mergeCell ref="H45:R45"/>
    <mergeCell ref="H46:R46"/>
    <mergeCell ref="H47:R47"/>
    <mergeCell ref="H48:R48"/>
    <mergeCell ref="H69:N69"/>
    <mergeCell ref="V61:AB61"/>
    <mergeCell ref="V62:AB62"/>
    <mergeCell ref="V63:AB63"/>
    <mergeCell ref="V64:AB64"/>
    <mergeCell ref="H61:N61"/>
    <mergeCell ref="H62:N62"/>
    <mergeCell ref="H63:N63"/>
    <mergeCell ref="P56:AB57"/>
    <mergeCell ref="R58:X58"/>
    <mergeCell ref="B68:G68"/>
    <mergeCell ref="B70:G70"/>
    <mergeCell ref="B71:G71"/>
    <mergeCell ref="B59:G59"/>
    <mergeCell ref="H59:N59"/>
    <mergeCell ref="P59:U59"/>
    <mergeCell ref="V59:AB59"/>
    <mergeCell ref="B60:G60"/>
    <mergeCell ref="H70:N70"/>
    <mergeCell ref="H71:N71"/>
    <mergeCell ref="H64:N64"/>
    <mergeCell ref="P61:U61"/>
    <mergeCell ref="P62:U62"/>
    <mergeCell ref="P63:U63"/>
    <mergeCell ref="P64:U64"/>
  </mergeCells>
  <conditionalFormatting sqref="Q123:U123">
    <cfRule type="expression" dxfId="555" priority="21">
      <formula>$Q123="Muy alta"</formula>
    </cfRule>
    <cfRule type="expression" dxfId="554" priority="22">
      <formula>$Q123="Alta"</formula>
    </cfRule>
    <cfRule type="expression" dxfId="553" priority="23">
      <formula>$Q123="Media"</formula>
    </cfRule>
    <cfRule type="expression" dxfId="552" priority="24">
      <formula>$Q123="Baja"</formula>
    </cfRule>
  </conditionalFormatting>
  <conditionalFormatting sqref="Q124:U124">
    <cfRule type="expression" dxfId="551" priority="17">
      <formula>$Q$124="Muy Alta"</formula>
    </cfRule>
    <cfRule type="expression" dxfId="550" priority="18">
      <formula>$Q$124="Alta"</formula>
    </cfRule>
    <cfRule type="expression" dxfId="549" priority="19">
      <formula>$Q$124="Media"</formula>
    </cfRule>
    <cfRule type="expression" dxfId="548" priority="20">
      <formula>$Q$124="Baja"</formula>
    </cfRule>
  </conditionalFormatting>
  <conditionalFormatting sqref="Q125:U125">
    <cfRule type="expression" dxfId="547" priority="13">
      <formula>$Q$125="Muy Alta"</formula>
    </cfRule>
    <cfRule type="expression" dxfId="546" priority="14">
      <formula>$Q$125="Alta"</formula>
    </cfRule>
    <cfRule type="expression" dxfId="545" priority="15">
      <formula>$Q$125="Media"</formula>
    </cfRule>
    <cfRule type="expression" dxfId="544" priority="16">
      <formula>$Q$125="Baja"</formula>
    </cfRule>
  </conditionalFormatting>
  <conditionalFormatting sqref="Q126:U126">
    <cfRule type="expression" dxfId="543" priority="9">
      <formula>$Q$126</formula>
    </cfRule>
    <cfRule type="expression" dxfId="542" priority="10">
      <formula>$Q$126="Alta"</formula>
    </cfRule>
    <cfRule type="expression" dxfId="541" priority="11">
      <formula>$Q$126="Media"</formula>
    </cfRule>
    <cfRule type="expression" dxfId="540" priority="12">
      <formula>$Q$126="Baja"</formula>
    </cfRule>
  </conditionalFormatting>
  <conditionalFormatting sqref="Q127:U127">
    <cfRule type="expression" dxfId="539" priority="5">
      <formula>$Q$127="Muy Alta"</formula>
    </cfRule>
    <cfRule type="expression" dxfId="538" priority="6">
      <formula>$Q$127="Alta"</formula>
    </cfRule>
    <cfRule type="expression" dxfId="537" priority="7">
      <formula>$Q$127="Media"</formula>
    </cfRule>
    <cfRule type="expression" dxfId="536" priority="8">
      <formula>$Q$127="Bajo"</formula>
    </cfRule>
  </conditionalFormatting>
  <conditionalFormatting sqref="Q128:U128">
    <cfRule type="expression" dxfId="535" priority="1">
      <formula>$Q$128="Muy Alta"</formula>
    </cfRule>
    <cfRule type="expression" dxfId="534" priority="2">
      <formula>$Q$128="Alta"</formula>
    </cfRule>
    <cfRule type="expression" dxfId="533" priority="3">
      <formula>$Q$128="Media"</formula>
    </cfRule>
    <cfRule type="expression" dxfId="532" priority="4">
      <formula>$Q$128="Bajo"</formula>
    </cfRule>
  </conditionalFormatting>
  <dataValidations xWindow="172" yWindow="649" count="24">
    <dataValidation allowBlank="1" showInputMessage="1" showErrorMessage="1" promptTitle="Localidad/Centro Poblado" prompt="Ingrese el nombre de la localidad donde se encuentra el área de estudio del proyecto" sqref="O19:R21 O27:R29"/>
    <dataValidation type="textLength" operator="lessThan" allowBlank="1" showInputMessage="1" showErrorMessage="1" promptTitle="Fuente de Información:" prompt="Ingrese el nombre de la fuente de información utilizada para desarrollar el croquis de ubicación de los beneficiarios._x000a_No utlizar textos mayores a 60 caracteres." sqref="G37:S37">
      <formula1>60</formula1>
    </dataValidation>
    <dataValidation type="textLength" operator="lessThan" allowBlank="1" showInputMessage="1" showErrorMessage="1" promptTitle="Tipo" prompt="Ingrese el tipo de suelos en la zona de interes. Longitud de texto no mayor a 20 caracteres" sqref="B45:D48">
      <formula1>20</formula1>
    </dataValidation>
    <dataValidation type="textLength" operator="greaterThan" allowBlank="1" showInputMessage="1" showErrorMessage="1" promptTitle="Descripción" prompt="Ingrese la descripción del tipo de suelo de la zona de interés._x000a_El texto no debe ser mayor a 60 caracteres" sqref="H45:R48">
      <formula1>60</formula1>
    </dataValidation>
    <dataValidation allowBlank="1" showInputMessage="1" showErrorMessage="1" promptTitle="Área" prompt="Ingrese el valor del área del tipo de suelo." sqref="E45:G48"/>
    <dataValidation type="textLength" operator="lessThan" allowBlank="1" showInputMessage="1" showErrorMessage="1" promptTitle="Fuente de Información" prompt="Ingrese la fuente de información que utilizó para caracterizar el suelo de la zona de interes. Longitud de texto no mayor a 60 caracteres." sqref="S45:AB48">
      <formula1>60</formula1>
    </dataValidation>
    <dataValidation type="decimal" operator="greaterThan" allowBlank="1" showInputMessage="1" showErrorMessage="1" promptTitle="Precipitación" prompt="Ingrese el valor de la precipitación promedio anual del área de influencia del proyecto." sqref="L51:O51">
      <formula1>0</formula1>
    </dataValidation>
    <dataValidation type="decimal" operator="greaterThan" allowBlank="1" showInputMessage="1" showErrorMessage="1" promptTitle="Altitud" prompt="Ingrese el valor de la altura promedio en metros sobre el nivel del mar del área de influencia del proyecto" sqref="B51:D51">
      <formula1>0</formula1>
    </dataValidation>
    <dataValidation type="decimal" operator="greaterThan" allowBlank="1" showInputMessage="1" showErrorMessage="1" promptTitle="Temperatura" prompt="Ingrese la temperatura promedio anual en grados centígrados del área de influencia del proyecto." sqref="E51:H51">
      <formula1>0</formula1>
    </dataValidation>
    <dataValidation type="decimal" operator="greaterThan" allowBlank="1" showInputMessage="1" showErrorMessage="1" promptTitle="Humedad" prompt="Ingrese el valor de la Humedad Relativa promedio anual del área de influencia del proyecto." sqref="I51:K51">
      <formula1>0</formula1>
    </dataValidation>
    <dataValidation type="textLength" operator="lessThan" allowBlank="1" showInputMessage="1" showErrorMessage="1" errorTitle="Error" error="El texto que ha ingresado supera la cantidad de 800 caracteres, intente nuevamente." promptTitle="Accesibilidad" prompt="Describa las principales características de accesibilidad y la dinámica económica del área de influencia del proyecto._x000a_El texto a incluir no debe ser mayor a 800 caracteres." sqref="B54:AB54">
      <formula1>800</formula1>
    </dataValidation>
    <dataValidation type="textLength" operator="lessThan" allowBlank="1" showInputMessage="1" showErrorMessage="1" promptTitle="Servicio Público" prompt="Ingrese el Servicio Público existente en la área de influencia del proyecto._x000a_Longitud máximo del texto es de 30 caracteres, incluye los espacios en blanco." sqref="C60:G60 B60:B74 C65:G67 C74:G74">
      <formula1>30</formula1>
    </dataValidation>
    <dataValidation type="textLength" operator="lessThan" allowBlank="1" showInputMessage="1" showErrorMessage="1" promptTitle="Recursos/Insumos" prompt="Ingrese el recurso disponible e insumo que puede ser utilizados para la ejecución del proyecto existente en la área de influencia del proyecto._x000a_Longitud máximo del texto es de 30 caracteres, incluye los espacios en blanco." sqref="P60:P64 Q60:U60">
      <formula1>30</formula1>
    </dataValidation>
    <dataValidation type="textLength" operator="lessThan" allowBlank="1" showInputMessage="1" showErrorMessage="1" promptTitle="Descripción" prompt="Ingrese la descripción del recurso disponible y/o insumo que puede ser utilizados para la ejecución del proyecto existente en la área de influencia del proyecto._x000a_Longitud máximo del texto es de 50 caracteres, incluye los espacios en blanco." sqref="V70:AB74">
      <formula1>50</formula1>
    </dataValidation>
    <dataValidation type="textLength" operator="lessThan" allowBlank="1" showInputMessage="1" showErrorMessage="1" prompt="Ingrese el recurso disponible e insumo que puede ser utilizados para la ejecución del proyecto existente en la área de influencia del proyecto._x000a_Longitud máximo del texto es de 30 caracteres, incluye los espacios en blanco." sqref="P65:P74 Q65:U67 Q70:U74">
      <formula1>30</formula1>
    </dataValidation>
    <dataValidation type="textLength" operator="lessThan" allowBlank="1" showInputMessage="1" showErrorMessage="1" promptTitle="Fuente" prompt="Ingrese el nombre de la fuente de la información de la información ingresada en las celdas de la izquierda._x000a_Longitud de texto no mayor a 30 caracteres." sqref="P51:T51">
      <formula1>30</formula1>
    </dataValidation>
    <dataValidation type="list" allowBlank="1" showInputMessage="1" showErrorMessage="1" promptTitle="Respuesta" prompt="Responder a la pregunta del encabezado con respecto al peligro descrito en la columna de la izquierda, como afirmativo (SI) o negativo (NO)." sqref="G90:H105">
      <formula1>"-,SI,NO"</formula1>
    </dataValidation>
    <dataValidation type="textLength" operator="lessThan" allowBlank="1" showInputMessage="1" showErrorMessage="1" promptTitle="Descripción" prompt="Ingrese la descripción del  Servicio Público existente en la área de influencia del proyecto._x000a_Longitud máximo del texto es de 50 caracteres, incluye los espacios en blanco." sqref="H60:N74">
      <formula1>300</formula1>
    </dataValidation>
    <dataValidation type="textLength" operator="lessThan" allowBlank="1" showInputMessage="1" showErrorMessage="1" promptTitle="Descripción" prompt="Ingrese la descripción del recurso disponible y/o insumo que puede ser utilizados para la ejecución del proyecto existente en la área de influencia del proyecto._x000a_Longitud máximo del texto es de 50 caracteres, incluye los espacios en blanco." sqref="V60:AB69">
      <formula1>300</formula1>
    </dataValidation>
    <dataValidation type="list" allowBlank="1" showInputMessage="1" showErrorMessage="1" sqref="K58">
      <formula1>"1,2,3,4,5,6,7,8,9,10,11,12,13,14,15"</formula1>
    </dataValidation>
    <dataValidation type="list" allowBlank="1" showInputMessage="1" showErrorMessage="1" sqref="Y58">
      <formula1>"1,2,3,4,5,6,7,8,9,10"</formula1>
    </dataValidation>
    <dataValidation type="textLength" operator="lessThanOrEqual" allowBlank="1" showInputMessage="1" showErrorMessage="1" errorTitle="Error" error="Se ha ingresado un valor incorrecto." promptTitle="Fuentes de información" prompt="Consignar las Fuentes de Información relacionadas al peligro identificado en la zona de intervención del proyecto._x000a_El texto no debe contenr más de 100 caracteres." sqref="I90:P105">
      <formula1>100</formula1>
    </dataValidation>
    <dataValidation type="textLength" operator="lessThanOrEqual" allowBlank="1" showInputMessage="1" showErrorMessage="1" errorTitle="Error" error="Se ha ingresado un valor incorrecto." promptTitle="Información de campo" prompt="Describir la justificación en el caso de requerir información de campo._x000a_El texto no debe contener mas de 100 caracteres." sqref="Q90:Z105">
      <formula1>100</formula1>
    </dataValidation>
    <dataValidation type="list" allowBlank="1" showInputMessage="1" showErrorMessage="1" promptTitle="Tipo de suelos" prompt="Seleccione el número de suelos que va a analizar, luego presione el boton de la derecha. " sqref="X43">
      <formula1>"1,2,3,4"</formula1>
    </dataValidation>
  </dataValidations>
  <pageMargins left="0.70866141732283472" right="0.70866141732283472" top="0.74803149606299213" bottom="0.74803149606299213" header="0.31496062992125984" footer="0.31496062992125984"/>
  <pageSetup paperSize="9" scale="65"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legacyDrawing r:id="rId3"/>
  <controls>
    <mc:AlternateContent xmlns:mc="http://schemas.openxmlformats.org/markup-compatibility/2006">
      <mc:Choice Requires="x14">
        <control shapeId="3078" r:id="rId4" name="CommandButton4">
          <controlPr defaultSize="0" autoLine="0" autoPict="0" r:id="rId5">
            <anchor moveWithCells="1">
              <from>
                <xdr:col>1</xdr:col>
                <xdr:colOff>142875</xdr:colOff>
                <xdr:row>114</xdr:row>
                <xdr:rowOff>95250</xdr:rowOff>
              </from>
              <to>
                <xdr:col>8</xdr:col>
                <xdr:colOff>219075</xdr:colOff>
                <xdr:row>117</xdr:row>
                <xdr:rowOff>114300</xdr:rowOff>
              </to>
            </anchor>
          </controlPr>
        </control>
      </mc:Choice>
      <mc:Fallback>
        <control shapeId="3078" r:id="rId4" name="CommandButton4"/>
      </mc:Fallback>
    </mc:AlternateContent>
    <mc:AlternateContent xmlns:mc="http://schemas.openxmlformats.org/markup-compatibility/2006">
      <mc:Choice Requires="x14">
        <control shapeId="3077" r:id="rId6" name="CommandButton3">
          <controlPr defaultSize="0" autoLine="0" autoPict="0" r:id="rId7">
            <anchor moveWithCells="1">
              <from>
                <xdr:col>1</xdr:col>
                <xdr:colOff>219075</xdr:colOff>
                <xdr:row>109</xdr:row>
                <xdr:rowOff>66675</xdr:rowOff>
              </from>
              <to>
                <xdr:col>8</xdr:col>
                <xdr:colOff>266700</xdr:colOff>
                <xdr:row>112</xdr:row>
                <xdr:rowOff>85725</xdr:rowOff>
              </to>
            </anchor>
          </controlPr>
        </control>
      </mc:Choice>
      <mc:Fallback>
        <control shapeId="3077" r:id="rId6" name="CommandButton3"/>
      </mc:Fallback>
    </mc:AlternateContent>
    <mc:AlternateContent xmlns:mc="http://schemas.openxmlformats.org/markup-compatibility/2006">
      <mc:Choice Requires="x14">
        <control shapeId="3076" r:id="rId8" name="CommandButton2">
          <controlPr defaultSize="0" autoLine="0" autoPict="0" r:id="rId9">
            <anchor moveWithCells="1">
              <from>
                <xdr:col>19</xdr:col>
                <xdr:colOff>190500</xdr:colOff>
                <xdr:row>77</xdr:row>
                <xdr:rowOff>47625</xdr:rowOff>
              </from>
              <to>
                <xdr:col>28</xdr:col>
                <xdr:colOff>0</xdr:colOff>
                <xdr:row>80</xdr:row>
                <xdr:rowOff>123825</xdr:rowOff>
              </to>
            </anchor>
          </controlPr>
        </control>
      </mc:Choice>
      <mc:Fallback>
        <control shapeId="3076" r:id="rId8" name="CommandButton2"/>
      </mc:Fallback>
    </mc:AlternateContent>
    <mc:AlternateContent xmlns:mc="http://schemas.openxmlformats.org/markup-compatibility/2006">
      <mc:Choice Requires="x14">
        <control shapeId="3074" r:id="rId10" name="CommandButton1">
          <controlPr defaultSize="0" autoLine="0" autoPict="0" r:id="rId11">
            <anchor moveWithCells="1">
              <from>
                <xdr:col>1</xdr:col>
                <xdr:colOff>76200</xdr:colOff>
                <xdr:row>80</xdr:row>
                <xdr:rowOff>19050</xdr:rowOff>
              </from>
              <to>
                <xdr:col>10</xdr:col>
                <xdr:colOff>304800</xdr:colOff>
                <xdr:row>83</xdr:row>
                <xdr:rowOff>47625</xdr:rowOff>
              </to>
            </anchor>
          </controlPr>
        </control>
      </mc:Choice>
      <mc:Fallback>
        <control shapeId="3074" r:id="rId10" name="CommandButton1"/>
      </mc:Fallback>
    </mc:AlternateContent>
    <mc:AlternateContent xmlns:mc="http://schemas.openxmlformats.org/markup-compatibility/2006">
      <mc:Choice Requires="x14">
        <control shapeId="3081" r:id="rId12" name="Button 9">
          <controlPr defaultSize="0" print="0" autoFill="0" autoPict="0" macro="[0]!Numero_tipos_suelos">
            <anchor moveWithCells="1" sizeWithCells="1">
              <from>
                <xdr:col>24</xdr:col>
                <xdr:colOff>38100</xdr:colOff>
                <xdr:row>42</xdr:row>
                <xdr:rowOff>9525</xdr:rowOff>
              </from>
              <to>
                <xdr:col>27</xdr:col>
                <xdr:colOff>295275</xdr:colOff>
                <xdr:row>42</xdr:row>
                <xdr:rowOff>390525</xdr:rowOff>
              </to>
            </anchor>
          </controlPr>
        </control>
      </mc:Choice>
    </mc:AlternateContent>
  </controls>
  <extLst>
    <ext xmlns:x14="http://schemas.microsoft.com/office/spreadsheetml/2009/9/main" uri="{CCE6A557-97BC-4b89-ADB6-D9C93CAAB3DF}">
      <x14:dataValidations xmlns:xm="http://schemas.microsoft.com/office/excel/2006/main" xWindow="172" yWindow="649" count="14">
        <x14:dataValidation type="list" allowBlank="1" showInputMessage="1" showErrorMessage="1" promptTitle="Departamento" prompt="Seleccionar el departamento donde se encuentra ubicada el área de influencia del proyecto. ">
          <x14:formula1>
            <xm:f>'Base de datos'!$A$2:$A$26</xm:f>
          </x14:formula1>
          <xm:sqref>C29:F29</xm:sqref>
        </x14:dataValidation>
        <x14:dataValidation type="list" allowBlank="1" showInputMessage="1" showErrorMessage="1" promptTitle="Provincia" prompt="Seleccionar la provincia donde se encuentra ubicada el área de influencia del proyecto. ">
          <x14:formula1>
            <xm:f>INDIRECT(VLOOKUP(C29,'Base de datos'!$A$2:$B$26,2,FALSE))</xm:f>
          </x14:formula1>
          <xm:sqref>G29:J29</xm:sqref>
        </x14:dataValidation>
        <x14:dataValidation type="list" allowBlank="1" showInputMessage="1" showErrorMessage="1" promptTitle="Distrito" prompt="Seleccionar el distrito donde se encuentra ubicada el área de estudio del proyecto. En caso que fuera interdistrital utilizar la fila siguiente.">
          <x14:formula1>
            <xm:f>INDIRECT(VLOOKUP($G$19,'Base de datos'!$D$2:$E$222,2,FALSE))</xm:f>
          </x14:formula1>
          <xm:sqref>K19:N19</xm:sqref>
        </x14:dataValidation>
        <x14:dataValidation type="list" allowBlank="1" showInputMessage="1" showErrorMessage="1" promptTitle="Distrito" prompt="Seleccionar el distrito donde se encuentra ubicada el área de estudio del proyecto. En caso que fuera interdistrital utilizar la fila siguiente.">
          <x14:formula1>
            <xm:f>INDIRECT(VLOOKUP($G$20,'Base de datos'!$D$2:$E$222,2,FALSE))</xm:f>
          </x14:formula1>
          <xm:sqref>K20:N20</xm:sqref>
        </x14:dataValidation>
        <x14:dataValidation type="list" allowBlank="1" showInputMessage="1" showErrorMessage="1" promptTitle="Distrito" prompt="Seleccionar el distrito donde se encuentra ubicada el área de estudio del proyecto. ">
          <x14:formula1>
            <xm:f>INDIRECT(VLOOKUP($G$21,'Base de datos'!$D$2:$E$222,2,FALSE))</xm:f>
          </x14:formula1>
          <xm:sqref>K21:N21</xm:sqref>
        </x14:dataValidation>
        <x14:dataValidation type="list" allowBlank="1" showInputMessage="1" showErrorMessage="1" promptTitle="Distrito" prompt="Seleccionar el distrito donde se encuentra ubicada el área de influencia del proyecto. En caso que fuera interdistrital utilizar la fila siguiente.">
          <x14:formula1>
            <xm:f>INDIRECT(VLOOKUP($G$27,'Base de datos'!$D$2:$E$222,2,FALSE))</xm:f>
          </x14:formula1>
          <xm:sqref>K27:N27</xm:sqref>
        </x14:dataValidation>
        <x14:dataValidation type="list" allowBlank="1" showInputMessage="1" showErrorMessage="1" promptTitle="Distrito" prompt="Seleccionar el distrito donde se encuentra ubicada el área de Influencia del proyecto. En caso que fuera interdistrital utilizar la fila siguiente.">
          <x14:formula1>
            <xm:f>INDIRECT(VLOOKUP($G$28,'Base de datos'!$D$2:$E$222,2,FALSE))</xm:f>
          </x14:formula1>
          <xm:sqref>K28:N28</xm:sqref>
        </x14:dataValidation>
        <x14:dataValidation type="list" allowBlank="1" showInputMessage="1" showErrorMessage="1" promptTitle="Distrito" prompt="Seleccionar el distrito donde se encuentra ubicada el área de influencia del proyecto. ">
          <x14:formula1>
            <xm:f>INDIRECT(VLOOKUP($G$29,'Base de datos'!$D$2:$E$222,2,FALSE))</xm:f>
          </x14:formula1>
          <xm:sqref>K29:N29</xm:sqref>
        </x14:dataValidation>
        <x14:dataValidation type="list" allowBlank="1" showInputMessage="1" showErrorMessage="1" promptTitle="Departamento" prompt="Seleccionar el departamento donde se encuentra ubicada el área de estudio del proyecto. En caso que fuera interdepartamental utilizar la fila siguiente.">
          <x14:formula1>
            <xm:f>'Base de datos'!$A$2:$A$26</xm:f>
          </x14:formula1>
          <xm:sqref>C19:F20</xm:sqref>
        </x14:dataValidation>
        <x14:dataValidation type="list" allowBlank="1" showInputMessage="1" showErrorMessage="1" promptTitle="Departamento" prompt="Seleccionar el departamento donde se encuentra ubicada el área de estudio del proyecto. ">
          <x14:formula1>
            <xm:f>'Base de datos'!$A$2:$A$26</xm:f>
          </x14:formula1>
          <xm:sqref>C21:F21</xm:sqref>
        </x14:dataValidation>
        <x14:dataValidation type="list" allowBlank="1" showInputMessage="1" showErrorMessage="1" promptTitle="Provincia" prompt="Seleccionar la provincia donde se encuentra ubicada el área de estudio del proyecto. ">
          <x14:formula1>
            <xm:f>INDIRECT(VLOOKUP(C21,'Base de datos'!$A$2:$B$26,2,FALSE))</xm:f>
          </x14:formula1>
          <xm:sqref>G21:J21</xm:sqref>
        </x14:dataValidation>
        <x14:dataValidation type="list" allowBlank="1" showInputMessage="1" showErrorMessage="1" promptTitle="Provincia" prompt="Seleccionar la provincia donde se encuentra ubicada el área de estudio del proyecto. En caso que fuera interprovincial utilizar la fila siguiente.">
          <x14:formula1>
            <xm:f>INDIRECT(VLOOKUP(C19,'Base de datos'!$A$2:$B$26,2,FALSE))</xm:f>
          </x14:formula1>
          <xm:sqref>G19:J20</xm:sqref>
        </x14:dataValidation>
        <x14:dataValidation type="list" allowBlank="1" showInputMessage="1" showErrorMessage="1" promptTitle="Departamento" prompt="Seleccionar el departamento donde se encuentra ubicada el área de influencia del proyecto. En caso que fuera interdepartamental utilizar la fila siguiente.">
          <x14:formula1>
            <xm:f>'Base de datos'!$A$2:$A$26</xm:f>
          </x14:formula1>
          <xm:sqref>C27:F28</xm:sqref>
        </x14:dataValidation>
        <x14:dataValidation type="list" allowBlank="1" showInputMessage="1" showErrorMessage="1" promptTitle="Provincia" prompt="Seleccionar la provincia donde se encuentra ubicada el área de influencia del proyecto. En caso que fuera interprovincial utilizar la fila siguiente.">
          <x14:formula1>
            <xm:f>INDIRECT(VLOOKUP(C27,'Base de datos'!$A$2:$B$26,2,FALSE))</xm:f>
          </x14:formula1>
          <xm:sqref>G27:J28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XFD522"/>
  <sheetViews>
    <sheetView showGridLines="0" zoomScale="70" zoomScaleNormal="70" zoomScaleSheetLayoutView="75" workbookViewId="0">
      <pane ySplit="9" topLeftCell="A10" activePane="bottomLeft" state="frozen"/>
      <selection sqref="A1:XFD1048576"/>
      <selection pane="bottomLeft" activeCell="F14" sqref="F14:P14"/>
    </sheetView>
  </sheetViews>
  <sheetFormatPr baseColWidth="10" defaultColWidth="10.28515625" defaultRowHeight="15" x14ac:dyDescent="0.25"/>
  <cols>
    <col min="1" max="1" width="3.7109375" style="50" customWidth="1"/>
    <col min="2" max="4" width="10.28515625" style="50"/>
    <col min="5" max="5" width="14.5703125" style="50" customWidth="1"/>
    <col min="6" max="6" width="12.42578125" style="50" customWidth="1"/>
    <col min="7" max="20" width="10.28515625" style="50"/>
    <col min="21" max="21" width="13.5703125" style="50" customWidth="1"/>
    <col min="22" max="22" width="10.28515625" style="50"/>
    <col min="23" max="23" width="11.7109375" style="50" customWidth="1"/>
    <col min="24" max="16384" width="10.28515625" style="50"/>
  </cols>
  <sheetData>
    <row r="1" spans="1:29" ht="10.5" customHeight="1" x14ac:dyDescent="0.25">
      <c r="A1" s="95"/>
      <c r="B1" s="95"/>
      <c r="C1" s="95"/>
      <c r="D1" s="95"/>
      <c r="E1" s="95"/>
      <c r="F1" s="95"/>
      <c r="G1" s="95"/>
      <c r="H1" s="95"/>
      <c r="I1" s="96"/>
      <c r="J1" s="95"/>
      <c r="K1" s="95"/>
      <c r="L1" s="95"/>
      <c r="M1" s="95"/>
      <c r="N1" s="95"/>
      <c r="O1" s="95"/>
      <c r="P1" s="95"/>
      <c r="Q1" s="95"/>
      <c r="R1" s="95"/>
      <c r="S1" s="95"/>
      <c r="T1" s="95"/>
      <c r="U1" s="95"/>
      <c r="V1" s="41"/>
      <c r="W1" s="41"/>
      <c r="X1" s="41"/>
      <c r="Y1" s="41"/>
      <c r="Z1" s="41"/>
      <c r="AA1" s="97"/>
      <c r="AB1" s="97"/>
      <c r="AC1" s="97"/>
    </row>
    <row r="2" spans="1:29" ht="10.5" customHeight="1" x14ac:dyDescent="0.25">
      <c r="A2" s="95"/>
      <c r="B2" s="95"/>
      <c r="C2" s="95"/>
      <c r="D2" s="95"/>
      <c r="E2" s="95"/>
      <c r="F2" s="95"/>
      <c r="G2" s="95"/>
      <c r="H2" s="95"/>
      <c r="I2" s="95"/>
      <c r="J2" s="95"/>
      <c r="K2" s="95"/>
      <c r="L2" s="95"/>
      <c r="M2" s="95"/>
      <c r="N2" s="95"/>
      <c r="O2" s="95"/>
      <c r="P2" s="95"/>
      <c r="Q2" s="95"/>
      <c r="R2" s="95"/>
      <c r="S2" s="95"/>
      <c r="T2" s="95"/>
      <c r="U2" s="95"/>
      <c r="V2" s="41"/>
      <c r="W2" s="41"/>
      <c r="X2" s="41"/>
      <c r="Y2" s="41"/>
      <c r="Z2" s="41"/>
      <c r="AA2" s="97"/>
      <c r="AB2" s="97"/>
      <c r="AC2" s="97"/>
    </row>
    <row r="3" spans="1:29" ht="10.5" customHeight="1" x14ac:dyDescent="0.25">
      <c r="A3" s="95"/>
      <c r="B3" s="95"/>
      <c r="C3" s="95"/>
      <c r="D3" s="95"/>
      <c r="E3" s="95"/>
      <c r="F3" s="95"/>
      <c r="G3" s="95"/>
      <c r="H3" s="95"/>
      <c r="I3" s="95"/>
      <c r="J3" s="95"/>
      <c r="K3" s="95"/>
      <c r="L3" s="95"/>
      <c r="M3" s="95"/>
      <c r="N3" s="95"/>
      <c r="O3" s="95"/>
      <c r="P3" s="95"/>
      <c r="Q3" s="95"/>
      <c r="R3" s="95"/>
      <c r="S3" s="95"/>
      <c r="T3" s="95"/>
      <c r="U3" s="95"/>
      <c r="V3" s="41"/>
      <c r="W3" s="41"/>
      <c r="X3" s="41"/>
      <c r="Y3" s="41"/>
      <c r="Z3" s="41"/>
      <c r="AA3" s="97"/>
      <c r="AB3" s="97"/>
      <c r="AC3" s="97"/>
    </row>
    <row r="4" spans="1:29" ht="12.75" customHeight="1" x14ac:dyDescent="0.25">
      <c r="A4" s="95"/>
      <c r="B4" s="95"/>
      <c r="C4" s="95"/>
      <c r="D4" s="95"/>
      <c r="E4" s="95"/>
      <c r="F4" s="95"/>
      <c r="G4" s="95"/>
      <c r="H4" s="95"/>
      <c r="I4" s="95"/>
      <c r="J4" s="95"/>
      <c r="K4" s="95"/>
      <c r="L4" s="95"/>
      <c r="M4" s="95"/>
      <c r="N4" s="95"/>
      <c r="O4" s="95"/>
      <c r="P4" s="95"/>
      <c r="Q4" s="95"/>
      <c r="R4" s="95"/>
      <c r="S4" s="95"/>
      <c r="T4" s="95"/>
      <c r="U4" s="95"/>
      <c r="V4" s="41"/>
      <c r="W4" s="41"/>
      <c r="X4" s="41"/>
      <c r="Y4" s="41"/>
      <c r="Z4" s="41"/>
      <c r="AA4" s="97"/>
      <c r="AB4" s="97"/>
      <c r="AC4" s="97"/>
    </row>
    <row r="5" spans="1:29" x14ac:dyDescent="0.25">
      <c r="A5" s="95"/>
      <c r="B5" s="95"/>
      <c r="C5" s="95"/>
      <c r="D5" s="95"/>
      <c r="E5" s="95"/>
      <c r="F5" s="95"/>
      <c r="G5" s="95"/>
      <c r="H5" s="95"/>
      <c r="I5" s="95"/>
      <c r="J5" s="95"/>
      <c r="K5" s="95"/>
      <c r="L5" s="95"/>
      <c r="M5" s="95"/>
      <c r="N5" s="95"/>
      <c r="O5" s="95"/>
      <c r="P5" s="95"/>
      <c r="Q5" s="95"/>
      <c r="R5" s="95"/>
      <c r="S5" s="95"/>
      <c r="T5" s="95"/>
      <c r="U5" s="95"/>
      <c r="V5" s="41"/>
      <c r="W5" s="41"/>
      <c r="X5" s="41"/>
      <c r="Y5" s="41"/>
      <c r="Z5" s="41"/>
      <c r="AA5" s="97"/>
      <c r="AB5" s="97"/>
      <c r="AC5" s="97"/>
    </row>
    <row r="6" spans="1:29" x14ac:dyDescent="0.25">
      <c r="A6" s="95"/>
      <c r="B6" s="95"/>
      <c r="C6" s="95"/>
      <c r="D6" s="95"/>
      <c r="E6" s="95"/>
      <c r="F6" s="95"/>
      <c r="G6" s="95"/>
      <c r="H6" s="95"/>
      <c r="I6" s="95"/>
      <c r="J6" s="95"/>
      <c r="K6" s="95"/>
      <c r="L6" s="95"/>
      <c r="M6" s="95"/>
      <c r="N6" s="95"/>
      <c r="O6" s="95"/>
      <c r="P6" s="95"/>
      <c r="Q6" s="95"/>
      <c r="R6" s="95"/>
      <c r="S6" s="95"/>
      <c r="T6" s="95"/>
      <c r="U6" s="95"/>
      <c r="V6" s="41"/>
      <c r="W6" s="41"/>
      <c r="X6" s="41"/>
      <c r="Y6" s="41"/>
      <c r="Z6" s="41"/>
      <c r="AA6" s="97"/>
      <c r="AB6" s="97"/>
      <c r="AC6" s="97"/>
    </row>
    <row r="7" spans="1:29" x14ac:dyDescent="0.25">
      <c r="A7" s="95"/>
      <c r="B7" s="95"/>
      <c r="C7" s="95"/>
      <c r="D7" s="95"/>
      <c r="E7" s="95"/>
      <c r="F7" s="95"/>
      <c r="G7" s="95"/>
      <c r="H7" s="95"/>
      <c r="I7" s="95"/>
      <c r="J7" s="95"/>
      <c r="K7" s="95"/>
      <c r="L7" s="95"/>
      <c r="M7" s="95"/>
      <c r="N7" s="95"/>
      <c r="O7" s="95"/>
      <c r="P7" s="95"/>
      <c r="Q7" s="95"/>
      <c r="R7" s="95"/>
      <c r="S7" s="95"/>
      <c r="T7" s="95"/>
      <c r="U7" s="95"/>
      <c r="V7" s="41"/>
      <c r="W7" s="41"/>
      <c r="X7" s="41"/>
      <c r="Y7" s="41"/>
      <c r="Z7" s="41"/>
      <c r="AA7" s="97"/>
      <c r="AB7" s="97"/>
      <c r="AC7" s="97"/>
    </row>
    <row r="8" spans="1:29" x14ac:dyDescent="0.25">
      <c r="A8" s="95"/>
      <c r="B8" s="95"/>
      <c r="C8" s="95"/>
      <c r="D8" s="95"/>
      <c r="E8" s="95"/>
      <c r="F8" s="95"/>
      <c r="G8" s="95"/>
      <c r="H8" s="95"/>
      <c r="I8" s="95"/>
      <c r="J8" s="95"/>
      <c r="K8" s="95"/>
      <c r="L8" s="95"/>
      <c r="M8" s="95"/>
      <c r="N8" s="95"/>
      <c r="O8" s="95"/>
      <c r="P8" s="95"/>
      <c r="Q8" s="95"/>
      <c r="R8" s="95"/>
      <c r="S8" s="95"/>
      <c r="T8" s="95"/>
      <c r="U8" s="95"/>
      <c r="V8" s="41"/>
      <c r="W8" s="41"/>
      <c r="X8" s="41"/>
      <c r="Y8" s="41"/>
      <c r="Z8" s="41"/>
      <c r="AA8" s="97"/>
      <c r="AB8" s="97"/>
      <c r="AC8" s="97"/>
    </row>
    <row r="9" spans="1:29" ht="9.75" customHeight="1" x14ac:dyDescent="0.25">
      <c r="A9" s="95"/>
      <c r="B9" s="95"/>
      <c r="C9" s="95"/>
      <c r="D9" s="95"/>
      <c r="E9" s="95"/>
      <c r="F9" s="95"/>
      <c r="G9" s="95"/>
      <c r="H9" s="95"/>
      <c r="I9" s="95"/>
      <c r="J9" s="95"/>
      <c r="K9" s="95"/>
      <c r="L9" s="95"/>
      <c r="M9" s="95"/>
      <c r="N9" s="95"/>
      <c r="O9" s="95"/>
      <c r="P9" s="95"/>
      <c r="Q9" s="95"/>
      <c r="R9" s="95"/>
      <c r="S9" s="95"/>
      <c r="T9" s="95"/>
      <c r="U9" s="95"/>
      <c r="V9" s="41"/>
      <c r="W9" s="41"/>
      <c r="X9" s="41"/>
      <c r="Y9" s="41"/>
      <c r="Z9" s="41"/>
      <c r="AA9" s="97"/>
      <c r="AB9" s="97"/>
      <c r="AC9" s="97"/>
    </row>
    <row r="10" spans="1:29" s="82" customFormat="1" ht="18.75" x14ac:dyDescent="0.3">
      <c r="B10" s="82" t="s">
        <v>341</v>
      </c>
    </row>
    <row r="11" spans="1:29" x14ac:dyDescent="0.25">
      <c r="AA11" s="97"/>
      <c r="AB11" s="97"/>
      <c r="AC11" s="97"/>
    </row>
    <row r="12" spans="1:29" s="97" customFormat="1" ht="28.5" customHeight="1" x14ac:dyDescent="0.2">
      <c r="B12" s="1266" t="s">
        <v>352</v>
      </c>
      <c r="C12" s="1266"/>
      <c r="D12" s="1266"/>
      <c r="E12" s="1266"/>
      <c r="F12" s="1266"/>
      <c r="G12" s="1266"/>
      <c r="H12" s="1266"/>
      <c r="I12" s="1266"/>
      <c r="J12" s="1266"/>
      <c r="K12" s="1266"/>
      <c r="L12" s="1266"/>
      <c r="M12" s="1266"/>
      <c r="N12" s="1266"/>
      <c r="O12" s="1266"/>
      <c r="P12" s="1266"/>
      <c r="Q12" s="1266"/>
      <c r="R12" s="1266"/>
      <c r="S12" s="1266"/>
      <c r="T12" s="1266"/>
      <c r="U12" s="1266"/>
    </row>
    <row r="13" spans="1:29" s="217" customFormat="1" ht="12.75" x14ac:dyDescent="0.2">
      <c r="B13" s="90"/>
      <c r="C13" s="89"/>
    </row>
    <row r="14" spans="1:29" s="217" customFormat="1" ht="27.75" customHeight="1" x14ac:dyDescent="0.2">
      <c r="B14" s="1268" t="s">
        <v>360</v>
      </c>
      <c r="C14" s="1268"/>
      <c r="D14" s="1268"/>
      <c r="E14" s="1268"/>
      <c r="F14" s="1253"/>
      <c r="G14" s="1254"/>
      <c r="H14" s="1254"/>
      <c r="I14" s="1254"/>
      <c r="J14" s="1254"/>
      <c r="K14" s="1254"/>
      <c r="L14" s="1254"/>
      <c r="M14" s="1254"/>
      <c r="N14" s="1254"/>
      <c r="O14" s="1254"/>
      <c r="P14" s="1269"/>
    </row>
    <row r="15" spans="1:29" s="217" customFormat="1" ht="20.100000000000001" customHeight="1" x14ac:dyDescent="0.2">
      <c r="B15" s="100"/>
      <c r="C15" s="57"/>
      <c r="D15" s="57"/>
      <c r="E15" s="57"/>
      <c r="F15" s="57"/>
      <c r="G15" s="57"/>
      <c r="H15" s="57"/>
      <c r="I15" s="57"/>
      <c r="J15" s="57"/>
      <c r="K15" s="57"/>
      <c r="L15" s="57"/>
      <c r="M15" s="57"/>
      <c r="N15" s="57"/>
      <c r="O15" s="57"/>
      <c r="P15" s="57"/>
    </row>
    <row r="16" spans="1:29" s="664" customFormat="1" ht="20.100000000000001" customHeight="1" x14ac:dyDescent="0.2">
      <c r="B16" s="666" t="s">
        <v>5368</v>
      </c>
      <c r="C16" s="57"/>
      <c r="D16" s="57"/>
      <c r="E16" s="57"/>
      <c r="F16" s="57"/>
      <c r="G16" s="57"/>
      <c r="H16" s="57"/>
      <c r="I16" s="57"/>
      <c r="J16" s="1253"/>
      <c r="K16" s="1254"/>
      <c r="L16" s="1254"/>
      <c r="M16" s="1254"/>
      <c r="N16" s="1254"/>
      <c r="O16" s="1254"/>
      <c r="P16" s="1254"/>
    </row>
    <row r="17" spans="2:23" s="664" customFormat="1" ht="5.0999999999999996" customHeight="1" x14ac:dyDescent="0.2">
      <c r="B17" s="100"/>
      <c r="C17" s="57"/>
      <c r="D17" s="57"/>
      <c r="E17" s="57"/>
      <c r="F17" s="57"/>
      <c r="G17" s="57"/>
      <c r="H17" s="57"/>
      <c r="I17" s="57"/>
      <c r="J17" s="57"/>
      <c r="K17" s="57"/>
      <c r="L17" s="57"/>
      <c r="M17" s="57"/>
      <c r="N17" s="57"/>
      <c r="O17" s="57"/>
      <c r="P17" s="57"/>
    </row>
    <row r="18" spans="2:23" s="664" customFormat="1" ht="5.0999999999999996" customHeight="1" x14ac:dyDescent="0.2">
      <c r="B18" s="100"/>
      <c r="C18" s="57"/>
      <c r="D18" s="57"/>
      <c r="E18" s="57"/>
      <c r="F18" s="57"/>
      <c r="G18" s="57"/>
      <c r="H18" s="57"/>
      <c r="I18" s="57"/>
      <c r="J18" s="57"/>
      <c r="K18" s="57"/>
      <c r="L18" s="57"/>
      <c r="M18" s="57"/>
      <c r="N18" s="57"/>
      <c r="O18" s="57"/>
      <c r="P18" s="57"/>
    </row>
    <row r="19" spans="2:23" s="664" customFormat="1" ht="15" customHeight="1" x14ac:dyDescent="0.2">
      <c r="B19" s="100"/>
      <c r="C19" s="57"/>
      <c r="D19" s="57"/>
      <c r="E19" s="57"/>
      <c r="F19" s="57"/>
      <c r="G19" s="57"/>
      <c r="H19" s="57"/>
      <c r="I19" s="57"/>
      <c r="J19" s="57"/>
      <c r="K19" s="57"/>
      <c r="L19" s="57"/>
      <c r="M19" s="57"/>
      <c r="N19" s="57"/>
      <c r="O19" s="57"/>
      <c r="P19" s="57"/>
    </row>
    <row r="20" spans="2:23" s="217" customFormat="1" x14ac:dyDescent="0.25">
      <c r="B20" s="101" t="s">
        <v>5367</v>
      </c>
      <c r="C20" s="57"/>
      <c r="D20" s="57"/>
      <c r="E20" s="57"/>
      <c r="F20" s="57"/>
      <c r="G20" s="57"/>
      <c r="H20" s="57"/>
      <c r="I20" s="57"/>
      <c r="J20" s="57"/>
      <c r="K20" s="57"/>
      <c r="L20" s="57"/>
      <c r="M20" s="57"/>
      <c r="N20" s="57"/>
      <c r="O20" s="57"/>
      <c r="P20" s="57"/>
    </row>
    <row r="21" spans="2:23" s="217" customFormat="1" ht="8.1" customHeight="1" x14ac:dyDescent="0.2">
      <c r="B21" s="57"/>
      <c r="C21" s="57"/>
      <c r="D21" s="57"/>
      <c r="E21" s="57"/>
      <c r="F21" s="57"/>
      <c r="G21" s="57"/>
      <c r="H21" s="57"/>
      <c r="I21" s="57"/>
      <c r="J21" s="57"/>
      <c r="K21" s="57"/>
      <c r="L21" s="57"/>
      <c r="M21" s="57"/>
      <c r="N21" s="57"/>
      <c r="O21" s="57"/>
      <c r="P21" s="57"/>
    </row>
    <row r="22" spans="2:23" s="217" customFormat="1" ht="30.75" customHeight="1" x14ac:dyDescent="0.2">
      <c r="B22" s="674" t="s">
        <v>101</v>
      </c>
      <c r="C22" s="1124" t="s">
        <v>18</v>
      </c>
      <c r="D22" s="1124"/>
      <c r="E22" s="1124"/>
      <c r="F22" s="1124" t="s">
        <v>19</v>
      </c>
      <c r="G22" s="1124"/>
      <c r="H22" s="1124"/>
      <c r="I22" s="1124" t="s">
        <v>20</v>
      </c>
      <c r="J22" s="1124"/>
      <c r="K22" s="1124"/>
      <c r="L22" s="1125" t="s">
        <v>310</v>
      </c>
      <c r="M22" s="1125"/>
      <c r="N22" s="1125"/>
      <c r="O22" s="1125" t="s">
        <v>21</v>
      </c>
      <c r="P22" s="1125"/>
      <c r="Q22" s="1125"/>
      <c r="R22" s="1125"/>
      <c r="W22" s="102"/>
    </row>
    <row r="23" spans="2:23" s="217" customFormat="1" ht="15.75" customHeight="1" x14ac:dyDescent="0.2">
      <c r="B23" s="684">
        <v>1</v>
      </c>
      <c r="C23" s="1257"/>
      <c r="D23" s="1258"/>
      <c r="E23" s="1258"/>
      <c r="F23" s="1257"/>
      <c r="G23" s="1258"/>
      <c r="H23" s="1258"/>
      <c r="I23" s="1257"/>
      <c r="J23" s="1258"/>
      <c r="K23" s="1258"/>
      <c r="L23" s="1257"/>
      <c r="M23" s="1258"/>
      <c r="N23" s="1258"/>
      <c r="O23" s="1261"/>
      <c r="P23" s="1262"/>
      <c r="Q23" s="1259"/>
      <c r="R23" s="1260"/>
      <c r="S23" s="88"/>
    </row>
    <row r="24" spans="2:23" s="217" customFormat="1" ht="15.75" customHeight="1" x14ac:dyDescent="0.2">
      <c r="B24" s="684">
        <v>2</v>
      </c>
      <c r="C24" s="1257"/>
      <c r="D24" s="1258"/>
      <c r="E24" s="1258"/>
      <c r="F24" s="1257"/>
      <c r="G24" s="1258"/>
      <c r="H24" s="1258"/>
      <c r="I24" s="1257"/>
      <c r="J24" s="1258"/>
      <c r="K24" s="1258"/>
      <c r="L24" s="1257"/>
      <c r="M24" s="1258"/>
      <c r="N24" s="1258"/>
      <c r="O24" s="1261"/>
      <c r="P24" s="1262"/>
      <c r="Q24" s="1259"/>
      <c r="R24" s="1260"/>
      <c r="S24" s="88"/>
    </row>
    <row r="25" spans="2:23" s="217" customFormat="1" ht="15.75" customHeight="1" x14ac:dyDescent="0.2">
      <c r="B25" s="684">
        <v>3</v>
      </c>
      <c r="C25" s="1257"/>
      <c r="D25" s="1258"/>
      <c r="E25" s="1258"/>
      <c r="F25" s="1257"/>
      <c r="G25" s="1258"/>
      <c r="H25" s="1258"/>
      <c r="I25" s="1257"/>
      <c r="J25" s="1258"/>
      <c r="K25" s="1258"/>
      <c r="L25" s="1257"/>
      <c r="M25" s="1258"/>
      <c r="N25" s="1258"/>
      <c r="O25" s="1261"/>
      <c r="P25" s="1262"/>
      <c r="Q25" s="1259"/>
      <c r="R25" s="1260"/>
      <c r="S25" s="88"/>
    </row>
    <row r="26" spans="2:23" s="217" customFormat="1" ht="17.25" customHeight="1" x14ac:dyDescent="0.25">
      <c r="B26" s="99" t="s">
        <v>45</v>
      </c>
      <c r="C26" s="57"/>
      <c r="D26" s="57"/>
      <c r="E26" s="57"/>
      <c r="F26" s="57"/>
      <c r="G26" s="57"/>
      <c r="H26" s="57"/>
      <c r="I26" s="57"/>
      <c r="J26" s="57"/>
      <c r="K26" s="57"/>
      <c r="L26" s="57"/>
      <c r="M26" s="57"/>
      <c r="N26" s="57"/>
      <c r="O26" s="57"/>
      <c r="P26" s="57"/>
    </row>
    <row r="27" spans="2:23" s="217" customFormat="1" ht="12.75" x14ac:dyDescent="0.2">
      <c r="B27" s="103"/>
      <c r="C27" s="104"/>
      <c r="D27" s="57"/>
      <c r="E27" s="57"/>
      <c r="F27" s="57"/>
      <c r="G27" s="57"/>
      <c r="H27" s="57"/>
      <c r="I27" s="57"/>
      <c r="J27" s="57"/>
      <c r="K27" s="57"/>
      <c r="L27" s="57"/>
      <c r="M27" s="57"/>
      <c r="N27" s="57"/>
      <c r="O27" s="57"/>
      <c r="P27" s="57"/>
    </row>
    <row r="28" spans="2:23" s="664" customFormat="1" x14ac:dyDescent="0.25">
      <c r="B28" s="101" t="s">
        <v>5369</v>
      </c>
      <c r="C28" s="104"/>
      <c r="D28" s="57"/>
      <c r="E28" s="57"/>
      <c r="F28" s="57"/>
      <c r="G28" s="57"/>
      <c r="H28" s="57"/>
      <c r="I28" s="57"/>
      <c r="J28" s="57"/>
      <c r="K28" s="57"/>
      <c r="L28" s="57"/>
      <c r="M28" s="57"/>
      <c r="N28" s="57"/>
      <c r="O28" s="57"/>
      <c r="P28" s="57"/>
    </row>
    <row r="29" spans="2:23" s="664" customFormat="1" ht="8.1" customHeight="1" x14ac:dyDescent="0.2">
      <c r="B29" s="103"/>
      <c r="C29" s="104"/>
      <c r="D29" s="57"/>
      <c r="E29" s="57"/>
      <c r="F29" s="57"/>
      <c r="G29" s="57"/>
      <c r="H29" s="57"/>
      <c r="I29" s="57"/>
      <c r="J29" s="57"/>
      <c r="K29" s="57"/>
      <c r="L29" s="57"/>
      <c r="M29" s="57"/>
      <c r="N29" s="57"/>
      <c r="O29" s="57"/>
      <c r="P29" s="57"/>
    </row>
    <row r="30" spans="2:23" s="664" customFormat="1" ht="38.25" x14ac:dyDescent="0.2">
      <c r="B30" s="1255" t="s">
        <v>5371</v>
      </c>
      <c r="C30" s="1255"/>
      <c r="D30" s="1255"/>
      <c r="E30" s="669" t="s">
        <v>5372</v>
      </c>
      <c r="F30" s="669" t="s">
        <v>5375</v>
      </c>
      <c r="G30" s="669" t="s">
        <v>5373</v>
      </c>
      <c r="H30" s="669" t="s">
        <v>5376</v>
      </c>
      <c r="I30" s="669" t="s">
        <v>5374</v>
      </c>
      <c r="J30" s="57"/>
      <c r="K30" s="57"/>
      <c r="L30" s="57"/>
      <c r="M30" s="57"/>
      <c r="N30" s="57"/>
      <c r="O30" s="57"/>
      <c r="P30" s="57"/>
    </row>
    <row r="31" spans="2:23" s="664" customFormat="1" ht="52.5" customHeight="1" x14ac:dyDescent="0.2">
      <c r="B31" s="1256"/>
      <c r="C31" s="1256"/>
      <c r="D31" s="1256"/>
      <c r="E31" s="794"/>
      <c r="F31" s="668"/>
      <c r="G31" s="667"/>
      <c r="H31" s="667"/>
      <c r="I31" s="667"/>
      <c r="J31" s="57"/>
      <c r="K31" s="57"/>
      <c r="L31" s="57"/>
      <c r="M31" s="57"/>
      <c r="N31" s="57"/>
      <c r="O31" s="57"/>
      <c r="P31" s="57"/>
    </row>
    <row r="32" spans="2:23" s="664" customFormat="1" ht="5.0999999999999996" customHeight="1" x14ac:dyDescent="0.2">
      <c r="B32" s="103"/>
      <c r="C32" s="104"/>
      <c r="D32" s="57"/>
      <c r="E32" s="57"/>
      <c r="F32" s="57"/>
      <c r="G32" s="57"/>
      <c r="H32" s="57"/>
      <c r="I32" s="57"/>
      <c r="J32" s="57"/>
      <c r="K32" s="57"/>
      <c r="L32" s="57"/>
      <c r="M32" s="57"/>
      <c r="N32" s="57"/>
      <c r="O32" s="57"/>
      <c r="P32" s="57"/>
    </row>
    <row r="33" spans="2:24" s="664" customFormat="1" ht="12.75" x14ac:dyDescent="0.2">
      <c r="B33" s="103"/>
      <c r="C33" s="104"/>
      <c r="D33" s="57"/>
      <c r="E33" s="57"/>
      <c r="F33" s="57"/>
      <c r="G33" s="57"/>
      <c r="H33" s="57"/>
      <c r="I33" s="57"/>
      <c r="J33" s="57"/>
      <c r="K33" s="57"/>
      <c r="L33" s="57"/>
      <c r="M33" s="57"/>
      <c r="N33" s="57"/>
      <c r="O33" s="57"/>
      <c r="P33" s="57"/>
    </row>
    <row r="34" spans="2:24" s="217" customFormat="1" x14ac:dyDescent="0.2">
      <c r="B34" s="1267" t="s">
        <v>5370</v>
      </c>
      <c r="C34" s="1267"/>
      <c r="D34" s="1267"/>
      <c r="E34" s="1267"/>
      <c r="F34" s="1267"/>
      <c r="G34" s="1267"/>
      <c r="H34" s="1267"/>
      <c r="I34" s="1267"/>
      <c r="J34" s="1267"/>
      <c r="K34" s="1267"/>
      <c r="L34" s="1267"/>
      <c r="M34" s="1267"/>
      <c r="N34" s="1267"/>
      <c r="O34" s="57"/>
      <c r="P34" s="57"/>
    </row>
    <row r="35" spans="2:24" s="217" customFormat="1" ht="8.1" customHeight="1" x14ac:dyDescent="0.2">
      <c r="E35" s="68"/>
      <c r="O35" s="57"/>
      <c r="P35" s="57"/>
    </row>
    <row r="36" spans="2:24" s="69" customFormat="1" ht="18" customHeight="1" x14ac:dyDescent="0.25">
      <c r="B36" s="1196" t="s">
        <v>46</v>
      </c>
      <c r="C36" s="1196" t="s">
        <v>47</v>
      </c>
      <c r="D36" s="1196"/>
      <c r="E36" s="1196"/>
      <c r="F36" s="1196"/>
      <c r="G36" s="1196"/>
      <c r="H36" s="1196"/>
      <c r="I36" s="1196"/>
      <c r="J36" s="1196"/>
      <c r="K36" s="1196"/>
      <c r="L36" s="1196"/>
      <c r="M36" s="1196"/>
      <c r="N36" s="1196"/>
      <c r="O36" s="1196"/>
      <c r="P36" s="1196"/>
      <c r="Q36" s="1196"/>
      <c r="R36" s="1196"/>
      <c r="S36" s="1196"/>
      <c r="T36" s="1196"/>
    </row>
    <row r="37" spans="2:24" s="69" customFormat="1" ht="32.25" customHeight="1" x14ac:dyDescent="0.2">
      <c r="B37" s="1196"/>
      <c r="C37" s="1197" t="s">
        <v>357</v>
      </c>
      <c r="D37" s="1197"/>
      <c r="E37" s="1197"/>
      <c r="F37" s="1197"/>
      <c r="G37" s="1263" t="s">
        <v>358</v>
      </c>
      <c r="H37" s="1264"/>
      <c r="I37" s="1264"/>
      <c r="J37" s="1264"/>
      <c r="K37" s="1264"/>
      <c r="L37" s="1265"/>
      <c r="M37" s="1263" t="s">
        <v>359</v>
      </c>
      <c r="N37" s="1264"/>
      <c r="O37" s="1264"/>
      <c r="P37" s="1264"/>
      <c r="Q37" s="1264"/>
      <c r="R37" s="1264"/>
      <c r="S37" s="1264"/>
      <c r="T37" s="1265"/>
      <c r="U37" s="105"/>
      <c r="V37" s="105"/>
    </row>
    <row r="38" spans="2:24" s="105" customFormat="1" ht="8.25" customHeight="1" x14ac:dyDescent="0.2">
      <c r="C38" s="106"/>
      <c r="H38" s="106"/>
      <c r="I38" s="106"/>
    </row>
    <row r="39" spans="2:24" s="105" customFormat="1" ht="75.75" customHeight="1" x14ac:dyDescent="0.2">
      <c r="B39" s="107">
        <v>1</v>
      </c>
      <c r="C39" s="1250" t="s">
        <v>5361</v>
      </c>
      <c r="D39" s="1251"/>
      <c r="E39" s="1251"/>
      <c r="F39" s="1252"/>
      <c r="G39" s="1250" t="s">
        <v>5365</v>
      </c>
      <c r="H39" s="1251"/>
      <c r="I39" s="1251"/>
      <c r="J39" s="1251"/>
      <c r="K39" s="1251"/>
      <c r="L39" s="1252"/>
      <c r="M39" s="1186"/>
      <c r="N39" s="1187"/>
      <c r="O39" s="1187"/>
      <c r="P39" s="1187"/>
      <c r="Q39" s="1187"/>
      <c r="R39" s="1187"/>
      <c r="S39" s="1187"/>
      <c r="T39" s="1188"/>
    </row>
    <row r="40" spans="2:24" s="105" customFormat="1" ht="75.75" customHeight="1" x14ac:dyDescent="0.2">
      <c r="B40" s="107">
        <v>2</v>
      </c>
      <c r="C40" s="1250" t="s">
        <v>5337</v>
      </c>
      <c r="D40" s="1251"/>
      <c r="E40" s="1251"/>
      <c r="F40" s="1252"/>
      <c r="G40" s="1250" t="s">
        <v>5363</v>
      </c>
      <c r="H40" s="1251"/>
      <c r="I40" s="1251"/>
      <c r="J40" s="1251"/>
      <c r="K40" s="1251"/>
      <c r="L40" s="1252"/>
      <c r="M40" s="1186"/>
      <c r="N40" s="1187"/>
      <c r="O40" s="1187"/>
      <c r="P40" s="1187"/>
      <c r="Q40" s="1187"/>
      <c r="R40" s="1187"/>
      <c r="S40" s="1187"/>
      <c r="T40" s="1188"/>
    </row>
    <row r="41" spans="2:24" s="105" customFormat="1" ht="75.75" customHeight="1" x14ac:dyDescent="0.2">
      <c r="B41" s="107">
        <v>3</v>
      </c>
      <c r="C41" s="1250" t="s">
        <v>5336</v>
      </c>
      <c r="D41" s="1251"/>
      <c r="E41" s="1251"/>
      <c r="F41" s="1252"/>
      <c r="G41" s="1250" t="s">
        <v>5364</v>
      </c>
      <c r="H41" s="1251"/>
      <c r="I41" s="1251"/>
      <c r="J41" s="1251"/>
      <c r="K41" s="1251"/>
      <c r="L41" s="1252"/>
      <c r="M41" s="1186"/>
      <c r="N41" s="1187"/>
      <c r="O41" s="1187"/>
      <c r="P41" s="1187"/>
      <c r="Q41" s="1187"/>
      <c r="R41" s="1187"/>
      <c r="S41" s="1187"/>
      <c r="T41" s="1188"/>
    </row>
    <row r="42" spans="2:24" s="217" customFormat="1" ht="16.5" customHeight="1" x14ac:dyDescent="0.2">
      <c r="B42" s="108"/>
      <c r="C42" s="80"/>
      <c r="D42" s="80"/>
      <c r="E42" s="80"/>
      <c r="F42" s="80"/>
      <c r="G42" s="89"/>
      <c r="H42" s="89"/>
      <c r="I42" s="89"/>
      <c r="J42" s="89"/>
      <c r="K42" s="89"/>
      <c r="L42" s="89"/>
      <c r="M42" s="89"/>
      <c r="N42" s="89"/>
      <c r="O42" s="89"/>
      <c r="P42" s="89"/>
      <c r="Q42" s="89"/>
      <c r="R42" s="89"/>
      <c r="S42" s="89"/>
      <c r="T42" s="89"/>
      <c r="U42" s="109"/>
      <c r="V42" s="109"/>
      <c r="W42" s="56"/>
      <c r="X42" s="56"/>
    </row>
    <row r="43" spans="2:24" s="217" customFormat="1" x14ac:dyDescent="0.2">
      <c r="B43" s="1267" t="s">
        <v>5377</v>
      </c>
      <c r="C43" s="1267"/>
      <c r="D43" s="1267"/>
      <c r="E43" s="1267"/>
      <c r="F43" s="1267"/>
      <c r="G43" s="1267"/>
      <c r="H43" s="1267"/>
      <c r="I43" s="1267"/>
      <c r="J43" s="1267"/>
      <c r="K43" s="1267"/>
      <c r="L43" s="1267"/>
      <c r="M43" s="1267"/>
      <c r="N43" s="1267"/>
      <c r="O43" s="57"/>
      <c r="P43" s="57"/>
    </row>
    <row r="44" spans="2:24" s="217" customFormat="1" ht="12.75" x14ac:dyDescent="0.2">
      <c r="E44" s="68"/>
      <c r="Q44" s="110"/>
      <c r="R44" s="110"/>
    </row>
    <row r="45" spans="2:24" s="217" customFormat="1" ht="42.75" customHeight="1" x14ac:dyDescent="0.2">
      <c r="B45" s="1302" t="s">
        <v>48</v>
      </c>
      <c r="C45" s="1303" t="s">
        <v>49</v>
      </c>
      <c r="D45" s="1303"/>
      <c r="E45" s="1303" t="s">
        <v>105</v>
      </c>
      <c r="F45" s="1303"/>
      <c r="G45" s="1303" t="s">
        <v>50</v>
      </c>
      <c r="H45" s="1303"/>
      <c r="I45" s="1303"/>
      <c r="J45" s="1296" t="s">
        <v>51</v>
      </c>
      <c r="K45" s="1297"/>
      <c r="L45" s="1297"/>
      <c r="M45" s="1297"/>
      <c r="N45" s="1298"/>
      <c r="O45" s="1242" t="s">
        <v>52</v>
      </c>
      <c r="P45" s="1243"/>
      <c r="Q45" s="1243"/>
      <c r="R45" s="1243"/>
      <c r="S45" s="1243"/>
      <c r="T45" s="1244"/>
    </row>
    <row r="46" spans="2:24" s="217" customFormat="1" ht="34.5" customHeight="1" x14ac:dyDescent="0.2">
      <c r="B46" s="1302"/>
      <c r="C46" s="1303"/>
      <c r="D46" s="1303"/>
      <c r="E46" s="1303"/>
      <c r="F46" s="1303"/>
      <c r="G46" s="1303" t="s">
        <v>4854</v>
      </c>
      <c r="H46" s="1303"/>
      <c r="I46" s="224" t="s">
        <v>4676</v>
      </c>
      <c r="J46" s="1299"/>
      <c r="K46" s="1300"/>
      <c r="L46" s="1300"/>
      <c r="M46" s="1300"/>
      <c r="N46" s="1301"/>
      <c r="O46" s="1245"/>
      <c r="P46" s="1246"/>
      <c r="Q46" s="1246"/>
      <c r="R46" s="1246"/>
      <c r="S46" s="1246"/>
      <c r="T46" s="1247"/>
    </row>
    <row r="47" spans="2:24" s="75" customFormat="1" ht="10.5" customHeight="1" x14ac:dyDescent="0.2">
      <c r="B47" s="111"/>
      <c r="C47" s="218"/>
      <c r="E47" s="218"/>
      <c r="G47" s="111"/>
      <c r="I47" s="111"/>
      <c r="J47" s="111"/>
      <c r="K47" s="111"/>
      <c r="L47" s="111"/>
      <c r="M47" s="111"/>
      <c r="O47" s="111"/>
      <c r="P47" s="111"/>
    </row>
    <row r="48" spans="2:24" s="217" customFormat="1" ht="99.95" customHeight="1" x14ac:dyDescent="0.2">
      <c r="B48" s="1214" t="s">
        <v>5361</v>
      </c>
      <c r="C48" s="1307" t="s">
        <v>54</v>
      </c>
      <c r="D48" s="1308"/>
      <c r="E48" s="1286"/>
      <c r="F48" s="1287"/>
      <c r="G48" s="1284"/>
      <c r="H48" s="1285"/>
      <c r="I48" s="663"/>
      <c r="J48" s="1204"/>
      <c r="K48" s="1249"/>
      <c r="L48" s="1249"/>
      <c r="M48" s="1249"/>
      <c r="N48" s="1205"/>
      <c r="O48" s="1204"/>
      <c r="P48" s="1249"/>
      <c r="Q48" s="1249"/>
      <c r="R48" s="1249"/>
      <c r="S48" s="1249"/>
      <c r="T48" s="1205"/>
    </row>
    <row r="49" spans="2:20" s="664" customFormat="1" ht="99.95" customHeight="1" x14ac:dyDescent="0.2">
      <c r="B49" s="1215"/>
      <c r="C49" s="1309"/>
      <c r="D49" s="1310"/>
      <c r="E49" s="1204"/>
      <c r="F49" s="1205"/>
      <c r="G49" s="1206"/>
      <c r="H49" s="1207"/>
      <c r="I49" s="663"/>
      <c r="J49" s="1186"/>
      <c r="K49" s="1187"/>
      <c r="L49" s="1187"/>
      <c r="M49" s="1187"/>
      <c r="N49" s="1188"/>
      <c r="O49" s="1186"/>
      <c r="P49" s="1187"/>
      <c r="Q49" s="1187"/>
      <c r="R49" s="1187"/>
      <c r="S49" s="1187"/>
      <c r="T49" s="1188"/>
    </row>
    <row r="50" spans="2:20" s="664" customFormat="1" ht="99.95" customHeight="1" x14ac:dyDescent="0.2">
      <c r="B50" s="1215"/>
      <c r="C50" s="1309"/>
      <c r="D50" s="1310"/>
      <c r="E50" s="1204"/>
      <c r="F50" s="1205"/>
      <c r="G50" s="1206"/>
      <c r="H50" s="1207"/>
      <c r="I50" s="663"/>
      <c r="J50" s="1186"/>
      <c r="K50" s="1187"/>
      <c r="L50" s="1187"/>
      <c r="M50" s="1187"/>
      <c r="N50" s="1188"/>
      <c r="O50" s="1186"/>
      <c r="P50" s="1187"/>
      <c r="Q50" s="1187"/>
      <c r="R50" s="1187"/>
      <c r="S50" s="1187"/>
      <c r="T50" s="1188"/>
    </row>
    <row r="51" spans="2:20" s="217" customFormat="1" ht="99.95" customHeight="1" x14ac:dyDescent="0.2">
      <c r="B51" s="1215"/>
      <c r="C51" s="1309"/>
      <c r="D51" s="1310"/>
      <c r="E51" s="1286"/>
      <c r="F51" s="1287"/>
      <c r="G51" s="1284"/>
      <c r="H51" s="1285"/>
      <c r="I51" s="663"/>
      <c r="J51" s="1204"/>
      <c r="K51" s="1249"/>
      <c r="L51" s="1249"/>
      <c r="M51" s="1249"/>
      <c r="N51" s="1205"/>
      <c r="O51" s="1204"/>
      <c r="P51" s="1249"/>
      <c r="Q51" s="1249"/>
      <c r="R51" s="1249"/>
      <c r="S51" s="1249"/>
      <c r="T51" s="1205"/>
    </row>
    <row r="52" spans="2:20" s="217" customFormat="1" ht="99.95" customHeight="1" x14ac:dyDescent="0.2">
      <c r="B52" s="1216"/>
      <c r="C52" s="1311"/>
      <c r="D52" s="1312"/>
      <c r="E52" s="1286"/>
      <c r="F52" s="1287"/>
      <c r="G52" s="1284"/>
      <c r="H52" s="1285"/>
      <c r="I52" s="663"/>
      <c r="J52" s="1204"/>
      <c r="K52" s="1249"/>
      <c r="L52" s="1249"/>
      <c r="M52" s="1249"/>
      <c r="N52" s="1205"/>
      <c r="O52" s="1204"/>
      <c r="P52" s="1249"/>
      <c r="Q52" s="1249"/>
      <c r="R52" s="1249"/>
      <c r="S52" s="1249"/>
      <c r="T52" s="1205"/>
    </row>
    <row r="53" spans="2:20" s="664" customFormat="1" ht="99.95" customHeight="1" x14ac:dyDescent="0.2">
      <c r="B53" s="1214" t="s">
        <v>5337</v>
      </c>
      <c r="C53" s="1208" t="s">
        <v>54</v>
      </c>
      <c r="D53" s="1209"/>
      <c r="E53" s="1204"/>
      <c r="F53" s="1205"/>
      <c r="G53" s="1206"/>
      <c r="H53" s="1207"/>
      <c r="I53" s="663"/>
      <c r="J53" s="1186"/>
      <c r="K53" s="1187"/>
      <c r="L53" s="1187"/>
      <c r="M53" s="1187"/>
      <c r="N53" s="1188"/>
      <c r="O53" s="1186"/>
      <c r="P53" s="1187"/>
      <c r="Q53" s="1187"/>
      <c r="R53" s="1187"/>
      <c r="S53" s="1187"/>
      <c r="T53" s="1188"/>
    </row>
    <row r="54" spans="2:20" s="664" customFormat="1" ht="99.95" customHeight="1" x14ac:dyDescent="0.2">
      <c r="B54" s="1215"/>
      <c r="C54" s="1210"/>
      <c r="D54" s="1211"/>
      <c r="E54" s="1204"/>
      <c r="F54" s="1205"/>
      <c r="G54" s="1206"/>
      <c r="H54" s="1207"/>
      <c r="I54" s="663"/>
      <c r="J54" s="1186"/>
      <c r="K54" s="1187"/>
      <c r="L54" s="1187"/>
      <c r="M54" s="1187"/>
      <c r="N54" s="1188"/>
      <c r="O54" s="1186"/>
      <c r="P54" s="1187"/>
      <c r="Q54" s="1187"/>
      <c r="R54" s="1187"/>
      <c r="S54" s="1187"/>
      <c r="T54" s="1188"/>
    </row>
    <row r="55" spans="2:20" s="664" customFormat="1" ht="99.95" customHeight="1" x14ac:dyDescent="0.2">
      <c r="B55" s="1215"/>
      <c r="C55" s="1210"/>
      <c r="D55" s="1211"/>
      <c r="E55" s="1204"/>
      <c r="F55" s="1205"/>
      <c r="G55" s="1206"/>
      <c r="H55" s="1207"/>
      <c r="I55" s="663"/>
      <c r="J55" s="1186"/>
      <c r="K55" s="1187"/>
      <c r="L55" s="1187"/>
      <c r="M55" s="1187"/>
      <c r="N55" s="1188"/>
      <c r="O55" s="1186"/>
      <c r="P55" s="1187"/>
      <c r="Q55" s="1187"/>
      <c r="R55" s="1187"/>
      <c r="S55" s="1187"/>
      <c r="T55" s="1188"/>
    </row>
    <row r="56" spans="2:20" s="664" customFormat="1" ht="99.95" customHeight="1" x14ac:dyDescent="0.2">
      <c r="B56" s="1216"/>
      <c r="C56" s="1212"/>
      <c r="D56" s="1213"/>
      <c r="E56" s="1204"/>
      <c r="F56" s="1205"/>
      <c r="G56" s="1206"/>
      <c r="H56" s="1207"/>
      <c r="I56" s="663"/>
      <c r="J56" s="1186"/>
      <c r="K56" s="1187"/>
      <c r="L56" s="1187"/>
      <c r="M56" s="1187"/>
      <c r="N56" s="1188"/>
      <c r="O56" s="1186"/>
      <c r="P56" s="1187"/>
      <c r="Q56" s="1187"/>
      <c r="R56" s="1187"/>
      <c r="S56" s="1187"/>
      <c r="T56" s="1188"/>
    </row>
    <row r="57" spans="2:20" s="664" customFormat="1" ht="99.95" customHeight="1" x14ac:dyDescent="0.2">
      <c r="B57" s="1214" t="s">
        <v>5336</v>
      </c>
      <c r="C57" s="1208" t="s">
        <v>54</v>
      </c>
      <c r="D57" s="1209"/>
      <c r="E57" s="1204"/>
      <c r="F57" s="1205"/>
      <c r="G57" s="1206"/>
      <c r="H57" s="1207"/>
      <c r="I57" s="663"/>
      <c r="J57" s="1186"/>
      <c r="K57" s="1187"/>
      <c r="L57" s="1187"/>
      <c r="M57" s="1187"/>
      <c r="N57" s="1188"/>
      <c r="O57" s="1186"/>
      <c r="P57" s="1187"/>
      <c r="Q57" s="1187"/>
      <c r="R57" s="1187"/>
      <c r="S57" s="1187"/>
      <c r="T57" s="1188"/>
    </row>
    <row r="58" spans="2:20" s="664" customFormat="1" ht="99.95" customHeight="1" x14ac:dyDescent="0.2">
      <c r="B58" s="1215"/>
      <c r="C58" s="1210"/>
      <c r="D58" s="1211"/>
      <c r="E58" s="1204"/>
      <c r="F58" s="1205"/>
      <c r="G58" s="1206"/>
      <c r="H58" s="1207"/>
      <c r="I58" s="663"/>
      <c r="J58" s="1186"/>
      <c r="K58" s="1187"/>
      <c r="L58" s="1187"/>
      <c r="M58" s="1187"/>
      <c r="N58" s="1188"/>
      <c r="O58" s="1186"/>
      <c r="P58" s="1187"/>
      <c r="Q58" s="1187"/>
      <c r="R58" s="1187"/>
      <c r="S58" s="1187"/>
      <c r="T58" s="1188"/>
    </row>
    <row r="59" spans="2:20" s="664" customFormat="1" ht="99.95" customHeight="1" x14ac:dyDescent="0.2">
      <c r="B59" s="1215"/>
      <c r="C59" s="1210"/>
      <c r="D59" s="1211"/>
      <c r="E59" s="1204"/>
      <c r="F59" s="1205"/>
      <c r="G59" s="1206"/>
      <c r="H59" s="1207"/>
      <c r="I59" s="663"/>
      <c r="J59" s="1186"/>
      <c r="K59" s="1187"/>
      <c r="L59" s="1187"/>
      <c r="M59" s="1187"/>
      <c r="N59" s="1188"/>
      <c r="O59" s="1186"/>
      <c r="P59" s="1187"/>
      <c r="Q59" s="1187"/>
      <c r="R59" s="1187"/>
      <c r="S59" s="1187"/>
      <c r="T59" s="1188"/>
    </row>
    <row r="60" spans="2:20" s="664" customFormat="1" ht="99.95" customHeight="1" x14ac:dyDescent="0.2">
      <c r="B60" s="1216"/>
      <c r="C60" s="1212"/>
      <c r="D60" s="1213"/>
      <c r="E60" s="1204"/>
      <c r="F60" s="1205"/>
      <c r="G60" s="1206"/>
      <c r="H60" s="1207"/>
      <c r="I60" s="663"/>
      <c r="J60" s="1186"/>
      <c r="K60" s="1187"/>
      <c r="L60" s="1187"/>
      <c r="M60" s="1187"/>
      <c r="N60" s="1188"/>
      <c r="O60" s="1186"/>
      <c r="P60" s="1187"/>
      <c r="Q60" s="1187"/>
      <c r="R60" s="1187"/>
      <c r="S60" s="1187"/>
      <c r="T60" s="1188"/>
    </row>
    <row r="61" spans="2:20" s="217" customFormat="1" ht="99.95" customHeight="1" x14ac:dyDescent="0.2">
      <c r="B61" s="670" t="s">
        <v>5378</v>
      </c>
      <c r="C61" s="671" t="s">
        <v>227</v>
      </c>
      <c r="D61" s="672"/>
      <c r="E61" s="1286"/>
      <c r="F61" s="1287"/>
      <c r="G61" s="1284"/>
      <c r="H61" s="1285"/>
      <c r="I61" s="663"/>
      <c r="J61" s="1204"/>
      <c r="K61" s="1249"/>
      <c r="L61" s="1249"/>
      <c r="M61" s="1249"/>
      <c r="N61" s="1205"/>
      <c r="O61" s="1204"/>
      <c r="P61" s="1249"/>
      <c r="Q61" s="1249"/>
      <c r="R61" s="1249"/>
      <c r="S61" s="1249"/>
      <c r="T61" s="1205"/>
    </row>
    <row r="62" spans="2:20" s="217" customFormat="1" ht="15.75" x14ac:dyDescent="0.25">
      <c r="B62" s="112" t="s">
        <v>4788</v>
      </c>
      <c r="E62" s="68"/>
    </row>
    <row r="63" spans="2:20" s="217" customFormat="1" ht="12.75" x14ac:dyDescent="0.2">
      <c r="E63" s="68"/>
    </row>
    <row r="64" spans="2:20" s="217" customFormat="1" ht="20.25" customHeight="1" x14ac:dyDescent="0.2">
      <c r="B64" s="222" t="s">
        <v>5379</v>
      </c>
      <c r="C64" s="113"/>
      <c r="D64" s="113"/>
      <c r="E64" s="113"/>
      <c r="F64" s="114"/>
      <c r="G64" s="68"/>
    </row>
    <row r="65" spans="2:21 16381:16384" s="217" customFormat="1" ht="12.75" x14ac:dyDescent="0.2"/>
    <row r="66" spans="2:21 16381:16384" s="69" customFormat="1" ht="18.75" customHeight="1" x14ac:dyDescent="0.2">
      <c r="B66" s="1283" t="s">
        <v>300</v>
      </c>
      <c r="C66" s="1283"/>
      <c r="D66" s="1283"/>
      <c r="E66" s="1283"/>
      <c r="F66" s="1283"/>
      <c r="G66" s="1283"/>
      <c r="H66" s="1283"/>
      <c r="I66" s="115" t="s">
        <v>28</v>
      </c>
      <c r="J66" s="115" t="s">
        <v>29</v>
      </c>
      <c r="K66" s="217"/>
      <c r="XFA66" s="539" t="b">
        <v>1</v>
      </c>
      <c r="XFB66" s="1012">
        <f>IF(XFA66=TRUE,1,0)</f>
        <v>1</v>
      </c>
      <c r="XFC66" s="539" t="b">
        <v>0</v>
      </c>
      <c r="XFD66" s="1012">
        <f>IF(XFC66=TRUE,1,0)</f>
        <v>0</v>
      </c>
    </row>
    <row r="67" spans="2:21 16381:16384" s="69" customFormat="1" ht="23.25" customHeight="1" x14ac:dyDescent="0.2">
      <c r="B67" s="1123" t="s">
        <v>301</v>
      </c>
      <c r="C67" s="1123"/>
      <c r="D67" s="1123"/>
      <c r="E67" s="1123"/>
      <c r="F67" s="1123"/>
      <c r="G67" s="1123"/>
      <c r="H67" s="1123"/>
      <c r="J67" s="217"/>
      <c r="K67" s="217"/>
    </row>
    <row r="68" spans="2:21 16381:16384" s="69" customFormat="1" ht="22.5" customHeight="1" x14ac:dyDescent="0.2">
      <c r="B68" s="1304"/>
      <c r="C68" s="1305"/>
      <c r="D68" s="1305"/>
      <c r="E68" s="1305"/>
      <c r="F68" s="1305"/>
      <c r="G68" s="1305"/>
      <c r="H68" s="1305"/>
      <c r="I68" s="1305"/>
      <c r="J68" s="1306"/>
      <c r="K68" s="217"/>
    </row>
    <row r="69" spans="2:21 16381:16384" s="69" customFormat="1" ht="18.75" customHeight="1" x14ac:dyDescent="0.2">
      <c r="H69" s="116"/>
      <c r="J69" s="217"/>
      <c r="K69" s="217"/>
    </row>
    <row r="70" spans="2:21 16381:16384" s="217" customFormat="1" ht="57" customHeight="1" x14ac:dyDescent="0.2">
      <c r="B70" s="1197" t="s">
        <v>280</v>
      </c>
      <c r="C70" s="1197"/>
      <c r="D70" s="1197" t="s">
        <v>55</v>
      </c>
      <c r="E70" s="1197"/>
      <c r="F70" s="1197"/>
      <c r="G70" s="1197" t="s">
        <v>56</v>
      </c>
      <c r="H70" s="1197"/>
      <c r="I70" s="1197" t="s">
        <v>57</v>
      </c>
      <c r="J70" s="1197"/>
      <c r="K70" s="1197" t="s">
        <v>58</v>
      </c>
      <c r="L70" s="1197"/>
      <c r="M70" s="1197" t="s">
        <v>59</v>
      </c>
      <c r="N70" s="1197"/>
      <c r="O70" s="1197" t="s">
        <v>281</v>
      </c>
      <c r="P70" s="1197"/>
      <c r="Q70" s="1197" t="s">
        <v>61</v>
      </c>
      <c r="R70" s="1197"/>
      <c r="S70" s="1197"/>
      <c r="T70" s="1197" t="s">
        <v>60</v>
      </c>
      <c r="U70" s="1197"/>
    </row>
    <row r="71" spans="2:21 16381:16384" s="217" customFormat="1" ht="30.75" customHeight="1" x14ac:dyDescent="0.2">
      <c r="B71" s="1197"/>
      <c r="C71" s="1197"/>
      <c r="D71" s="665" t="s">
        <v>297</v>
      </c>
      <c r="E71" s="665" t="s">
        <v>298</v>
      </c>
      <c r="F71" s="665" t="s">
        <v>299</v>
      </c>
      <c r="G71" s="1197"/>
      <c r="H71" s="1197"/>
      <c r="I71" s="1197"/>
      <c r="J71" s="1197"/>
      <c r="K71" s="1197"/>
      <c r="L71" s="1197"/>
      <c r="M71" s="1197"/>
      <c r="N71" s="1197"/>
      <c r="O71" s="1197"/>
      <c r="P71" s="1197"/>
      <c r="Q71" s="1197"/>
      <c r="R71" s="1197"/>
      <c r="S71" s="1197"/>
      <c r="T71" s="1197"/>
      <c r="U71" s="1197"/>
    </row>
    <row r="72" spans="2:21 16381:16384" s="217" customFormat="1" ht="6.75" customHeight="1" x14ac:dyDescent="0.2"/>
    <row r="73" spans="2:21 16381:16384" s="217" customFormat="1" ht="24.95" customHeight="1" x14ac:dyDescent="0.2">
      <c r="B73" s="1248" t="str">
        <f>IFERROR(IF(E48="","",E48),"")</f>
        <v/>
      </c>
      <c r="C73" s="1248"/>
      <c r="D73" s="117"/>
      <c r="E73" s="117"/>
      <c r="F73" s="117"/>
      <c r="G73" s="1223"/>
      <c r="H73" s="1223"/>
      <c r="I73" s="1224"/>
      <c r="J73" s="1224"/>
      <c r="K73" s="1221"/>
      <c r="L73" s="1221"/>
      <c r="M73" s="1222"/>
      <c r="N73" s="1222"/>
      <c r="O73" s="1222"/>
      <c r="P73" s="1222"/>
      <c r="Q73" s="1224"/>
      <c r="R73" s="1224"/>
      <c r="S73" s="1224"/>
      <c r="T73" s="1224"/>
      <c r="U73" s="1224"/>
      <c r="XFB73" s="570" t="b">
        <v>0</v>
      </c>
      <c r="XFC73" s="570" t="b">
        <v>0</v>
      </c>
      <c r="XFD73" s="570" t="b">
        <v>0</v>
      </c>
    </row>
    <row r="74" spans="2:21 16381:16384" s="217" customFormat="1" ht="24.95" customHeight="1" x14ac:dyDescent="0.2">
      <c r="B74" s="1248" t="str">
        <f>IFERROR(IF(E49="","",E49),"")</f>
        <v/>
      </c>
      <c r="C74" s="1248"/>
      <c r="D74" s="117"/>
      <c r="E74" s="117"/>
      <c r="F74" s="117"/>
      <c r="G74" s="1223"/>
      <c r="H74" s="1223"/>
      <c r="I74" s="1224"/>
      <c r="J74" s="1224"/>
      <c r="K74" s="1221"/>
      <c r="L74" s="1221"/>
      <c r="M74" s="1222"/>
      <c r="N74" s="1222"/>
      <c r="O74" s="1222"/>
      <c r="P74" s="1222"/>
      <c r="Q74" s="1224"/>
      <c r="R74" s="1224"/>
      <c r="S74" s="1224"/>
      <c r="T74" s="1224"/>
      <c r="U74" s="1224"/>
      <c r="XFB74" s="570" t="b">
        <v>0</v>
      </c>
      <c r="XFC74" s="570" t="b">
        <v>0</v>
      </c>
      <c r="XFD74" s="570" t="b">
        <v>0</v>
      </c>
    </row>
    <row r="75" spans="2:21 16381:16384" s="664" customFormat="1" ht="24.95" customHeight="1" x14ac:dyDescent="0.2">
      <c r="B75" s="1248" t="str">
        <f t="shared" ref="B75:B85" si="0">IFERROR(IF(E50="","",E50),"")</f>
        <v/>
      </c>
      <c r="C75" s="1248"/>
      <c r="D75" s="117"/>
      <c r="E75" s="117"/>
      <c r="F75" s="117"/>
      <c r="G75" s="1202"/>
      <c r="H75" s="1203"/>
      <c r="I75" s="1186"/>
      <c r="J75" s="1188"/>
      <c r="K75" s="1200"/>
      <c r="L75" s="1201"/>
      <c r="M75" s="1184"/>
      <c r="N75" s="1185"/>
      <c r="O75" s="1184"/>
      <c r="P75" s="1185"/>
      <c r="Q75" s="1186"/>
      <c r="R75" s="1187"/>
      <c r="S75" s="1188"/>
      <c r="T75" s="1186"/>
      <c r="U75" s="1188"/>
      <c r="XFB75" s="570" t="b">
        <v>0</v>
      </c>
      <c r="XFC75" s="570" t="b">
        <v>0</v>
      </c>
      <c r="XFD75" s="570" t="b">
        <v>0</v>
      </c>
    </row>
    <row r="76" spans="2:21 16381:16384" s="664" customFormat="1" ht="24.95" customHeight="1" x14ac:dyDescent="0.2">
      <c r="B76" s="1248" t="str">
        <f t="shared" si="0"/>
        <v/>
      </c>
      <c r="C76" s="1248"/>
      <c r="D76" s="117"/>
      <c r="E76" s="117"/>
      <c r="F76" s="117"/>
      <c r="G76" s="1202"/>
      <c r="H76" s="1203"/>
      <c r="I76" s="1186"/>
      <c r="J76" s="1188"/>
      <c r="K76" s="1200"/>
      <c r="L76" s="1201"/>
      <c r="M76" s="1184"/>
      <c r="N76" s="1185"/>
      <c r="O76" s="1184"/>
      <c r="P76" s="1185"/>
      <c r="Q76" s="1186"/>
      <c r="R76" s="1187"/>
      <c r="S76" s="1188"/>
      <c r="T76" s="1186"/>
      <c r="U76" s="1188"/>
      <c r="XFB76" s="570" t="b">
        <v>0</v>
      </c>
      <c r="XFC76" s="570" t="b">
        <v>0</v>
      </c>
      <c r="XFD76" s="570" t="b">
        <v>0</v>
      </c>
    </row>
    <row r="77" spans="2:21 16381:16384" s="664" customFormat="1" ht="24.95" customHeight="1" x14ac:dyDescent="0.2">
      <c r="B77" s="1248" t="str">
        <f t="shared" si="0"/>
        <v/>
      </c>
      <c r="C77" s="1248"/>
      <c r="D77" s="117"/>
      <c r="E77" s="117"/>
      <c r="F77" s="117"/>
      <c r="G77" s="1202"/>
      <c r="H77" s="1203"/>
      <c r="I77" s="1186"/>
      <c r="J77" s="1188"/>
      <c r="K77" s="1200"/>
      <c r="L77" s="1201"/>
      <c r="M77" s="1184"/>
      <c r="N77" s="1185"/>
      <c r="O77" s="1184"/>
      <c r="P77" s="1185"/>
      <c r="Q77" s="1186"/>
      <c r="R77" s="1187"/>
      <c r="S77" s="1188"/>
      <c r="T77" s="1186"/>
      <c r="U77" s="1188"/>
      <c r="XFB77" s="570" t="b">
        <v>0</v>
      </c>
      <c r="XFC77" s="570" t="b">
        <v>0</v>
      </c>
      <c r="XFD77" s="570" t="b">
        <v>0</v>
      </c>
    </row>
    <row r="78" spans="2:21 16381:16384" s="664" customFormat="1" ht="24.95" customHeight="1" x14ac:dyDescent="0.2">
      <c r="B78" s="1248" t="str">
        <f t="shared" si="0"/>
        <v/>
      </c>
      <c r="C78" s="1248"/>
      <c r="D78" s="117"/>
      <c r="E78" s="117"/>
      <c r="F78" s="117"/>
      <c r="G78" s="1202"/>
      <c r="H78" s="1203"/>
      <c r="I78" s="1186"/>
      <c r="J78" s="1188"/>
      <c r="K78" s="1200"/>
      <c r="L78" s="1201"/>
      <c r="M78" s="1184"/>
      <c r="N78" s="1185"/>
      <c r="O78" s="1184"/>
      <c r="P78" s="1185"/>
      <c r="Q78" s="1186"/>
      <c r="R78" s="1187"/>
      <c r="S78" s="1188"/>
      <c r="T78" s="1186"/>
      <c r="U78" s="1188"/>
      <c r="XFB78" s="570" t="b">
        <v>0</v>
      </c>
      <c r="XFC78" s="570" t="b">
        <v>0</v>
      </c>
      <c r="XFD78" s="570" t="b">
        <v>0</v>
      </c>
    </row>
    <row r="79" spans="2:21 16381:16384" s="664" customFormat="1" ht="24.95" customHeight="1" x14ac:dyDescent="0.2">
      <c r="B79" s="1248" t="str">
        <f t="shared" si="0"/>
        <v/>
      </c>
      <c r="C79" s="1248"/>
      <c r="D79" s="117"/>
      <c r="E79" s="117"/>
      <c r="F79" s="117"/>
      <c r="G79" s="1202"/>
      <c r="H79" s="1203"/>
      <c r="I79" s="1184"/>
      <c r="J79" s="1185"/>
      <c r="K79" s="1200"/>
      <c r="L79" s="1201"/>
      <c r="M79" s="1184"/>
      <c r="N79" s="1185"/>
      <c r="O79" s="1184"/>
      <c r="P79" s="1185"/>
      <c r="Q79" s="1186"/>
      <c r="R79" s="1187"/>
      <c r="S79" s="1188"/>
      <c r="T79" s="1186"/>
      <c r="U79" s="1188"/>
      <c r="XFB79" s="570" t="b">
        <v>0</v>
      </c>
      <c r="XFC79" s="570" t="b">
        <v>0</v>
      </c>
      <c r="XFD79" s="570" t="b">
        <v>0</v>
      </c>
    </row>
    <row r="80" spans="2:21 16381:16384" s="664" customFormat="1" ht="24.95" customHeight="1" x14ac:dyDescent="0.2">
      <c r="B80" s="1248" t="str">
        <f t="shared" si="0"/>
        <v/>
      </c>
      <c r="C80" s="1248"/>
      <c r="D80" s="117"/>
      <c r="E80" s="117"/>
      <c r="F80" s="117"/>
      <c r="G80" s="1202"/>
      <c r="H80" s="1203"/>
      <c r="I80" s="1186"/>
      <c r="J80" s="1188"/>
      <c r="K80" s="1200"/>
      <c r="L80" s="1201"/>
      <c r="M80" s="1184"/>
      <c r="N80" s="1185"/>
      <c r="O80" s="1184"/>
      <c r="P80" s="1185"/>
      <c r="Q80" s="1186"/>
      <c r="R80" s="1187"/>
      <c r="S80" s="1188"/>
      <c r="T80" s="1186"/>
      <c r="U80" s="1188"/>
      <c r="XFB80" s="570" t="b">
        <v>0</v>
      </c>
      <c r="XFC80" s="570" t="b">
        <v>0</v>
      </c>
      <c r="XFD80" s="570" t="b">
        <v>0</v>
      </c>
    </row>
    <row r="81" spans="2:22 16382:16384" s="664" customFormat="1" ht="24.95" customHeight="1" x14ac:dyDescent="0.2">
      <c r="B81" s="1248" t="str">
        <f t="shared" si="0"/>
        <v/>
      </c>
      <c r="C81" s="1248"/>
      <c r="D81" s="117"/>
      <c r="E81" s="117"/>
      <c r="F81" s="117"/>
      <c r="G81" s="1202"/>
      <c r="H81" s="1203"/>
      <c r="I81" s="1186"/>
      <c r="J81" s="1188"/>
      <c r="K81" s="1200"/>
      <c r="L81" s="1201"/>
      <c r="M81" s="1184"/>
      <c r="N81" s="1185"/>
      <c r="O81" s="1184"/>
      <c r="P81" s="1185"/>
      <c r="Q81" s="1186"/>
      <c r="R81" s="1187"/>
      <c r="S81" s="1188"/>
      <c r="T81" s="1186"/>
      <c r="U81" s="1188"/>
      <c r="XFB81" s="570" t="b">
        <v>0</v>
      </c>
      <c r="XFC81" s="570" t="b">
        <v>0</v>
      </c>
      <c r="XFD81" s="570" t="b">
        <v>0</v>
      </c>
    </row>
    <row r="82" spans="2:22 16382:16384" s="664" customFormat="1" ht="24.95" customHeight="1" x14ac:dyDescent="0.2">
      <c r="B82" s="1248" t="str">
        <f t="shared" si="0"/>
        <v/>
      </c>
      <c r="C82" s="1248"/>
      <c r="D82" s="117"/>
      <c r="E82" s="117"/>
      <c r="F82" s="117"/>
      <c r="G82" s="1202"/>
      <c r="H82" s="1203"/>
      <c r="I82" s="1186"/>
      <c r="J82" s="1188"/>
      <c r="K82" s="1200"/>
      <c r="L82" s="1201"/>
      <c r="M82" s="1184"/>
      <c r="N82" s="1185"/>
      <c r="O82" s="1184"/>
      <c r="P82" s="1185"/>
      <c r="Q82" s="1186"/>
      <c r="R82" s="1187"/>
      <c r="S82" s="1188"/>
      <c r="T82" s="1186"/>
      <c r="U82" s="1188"/>
      <c r="XFB82" s="570" t="b">
        <v>0</v>
      </c>
      <c r="XFC82" s="570" t="b">
        <v>0</v>
      </c>
      <c r="XFD82" s="570" t="b">
        <v>0</v>
      </c>
    </row>
    <row r="83" spans="2:22 16382:16384" s="664" customFormat="1" ht="24.95" customHeight="1" x14ac:dyDescent="0.2">
      <c r="B83" s="1248" t="str">
        <f t="shared" si="0"/>
        <v/>
      </c>
      <c r="C83" s="1248"/>
      <c r="D83" s="117"/>
      <c r="E83" s="117"/>
      <c r="F83" s="117"/>
      <c r="G83" s="1202"/>
      <c r="H83" s="1203"/>
      <c r="I83" s="1186"/>
      <c r="J83" s="1188"/>
      <c r="K83" s="1200"/>
      <c r="L83" s="1201"/>
      <c r="M83" s="1184"/>
      <c r="N83" s="1185"/>
      <c r="O83" s="1184"/>
      <c r="P83" s="1185"/>
      <c r="Q83" s="1186"/>
      <c r="R83" s="1187"/>
      <c r="S83" s="1188"/>
      <c r="T83" s="1186"/>
      <c r="U83" s="1188"/>
      <c r="XFB83" s="570" t="b">
        <v>0</v>
      </c>
      <c r="XFC83" s="570" t="b">
        <v>0</v>
      </c>
      <c r="XFD83" s="570" t="b">
        <v>0</v>
      </c>
    </row>
    <row r="84" spans="2:22 16382:16384" s="217" customFormat="1" ht="24.95" customHeight="1" x14ac:dyDescent="0.2">
      <c r="B84" s="1248" t="str">
        <f t="shared" si="0"/>
        <v/>
      </c>
      <c r="C84" s="1248"/>
      <c r="D84" s="117"/>
      <c r="E84" s="117"/>
      <c r="F84" s="117"/>
      <c r="G84" s="1223"/>
      <c r="H84" s="1223"/>
      <c r="I84" s="1224"/>
      <c r="J84" s="1224"/>
      <c r="K84" s="1221"/>
      <c r="L84" s="1221"/>
      <c r="M84" s="1222"/>
      <c r="N84" s="1222"/>
      <c r="O84" s="1222"/>
      <c r="P84" s="1222"/>
      <c r="Q84" s="1224"/>
      <c r="R84" s="1224"/>
      <c r="S84" s="1224"/>
      <c r="T84" s="1224"/>
      <c r="U84" s="1224"/>
      <c r="XFB84" s="570" t="b">
        <v>0</v>
      </c>
      <c r="XFC84" s="570" t="b">
        <v>0</v>
      </c>
      <c r="XFD84" s="570" t="b">
        <v>0</v>
      </c>
    </row>
    <row r="85" spans="2:22 16382:16384" s="217" customFormat="1" ht="24.95" customHeight="1" x14ac:dyDescent="0.2">
      <c r="B85" s="1248" t="str">
        <f t="shared" si="0"/>
        <v/>
      </c>
      <c r="C85" s="1248"/>
      <c r="D85" s="117"/>
      <c r="E85" s="117"/>
      <c r="F85" s="117"/>
      <c r="G85" s="1202"/>
      <c r="H85" s="1203"/>
      <c r="I85" s="1186"/>
      <c r="J85" s="1188"/>
      <c r="K85" s="1200"/>
      <c r="L85" s="1201"/>
      <c r="M85" s="1184"/>
      <c r="N85" s="1185"/>
      <c r="O85" s="1184"/>
      <c r="P85" s="1185"/>
      <c r="Q85" s="1227"/>
      <c r="R85" s="1228"/>
      <c r="S85" s="1229"/>
      <c r="T85" s="1186"/>
      <c r="U85" s="1188"/>
      <c r="XFB85" s="570" t="b">
        <v>0</v>
      </c>
      <c r="XFC85" s="570" t="b">
        <v>0</v>
      </c>
      <c r="XFD85" s="570" t="b">
        <v>0</v>
      </c>
    </row>
    <row r="86" spans="2:22 16382:16384" s="217" customFormat="1" ht="15.75" customHeight="1" x14ac:dyDescent="0.2">
      <c r="B86" s="118"/>
      <c r="C86" s="118"/>
      <c r="D86" s="118"/>
      <c r="E86" s="118"/>
      <c r="F86" s="118"/>
      <c r="G86" s="118"/>
      <c r="H86" s="118"/>
      <c r="I86" s="118"/>
      <c r="J86" s="118"/>
      <c r="K86" s="118"/>
      <c r="L86" s="118"/>
      <c r="M86" s="118"/>
      <c r="N86" s="118"/>
      <c r="O86" s="118"/>
      <c r="P86" s="118"/>
    </row>
    <row r="87" spans="2:22 16382:16384" s="119" customFormat="1" x14ac:dyDescent="0.25">
      <c r="B87" s="101" t="s">
        <v>5380</v>
      </c>
      <c r="E87" s="120"/>
    </row>
    <row r="88" spans="2:22 16382:16384" s="217" customFormat="1" ht="12.75" x14ac:dyDescent="0.2">
      <c r="E88" s="68"/>
    </row>
    <row r="89" spans="2:22 16382:16384" s="217" customFormat="1" ht="24.75" customHeight="1" x14ac:dyDescent="0.2">
      <c r="B89" s="1196" t="s">
        <v>64</v>
      </c>
      <c r="C89" s="1196"/>
      <c r="D89" s="1197" t="s">
        <v>65</v>
      </c>
      <c r="E89" s="1197"/>
      <c r="F89" s="221" t="s">
        <v>330</v>
      </c>
      <c r="G89" s="221" t="s">
        <v>66</v>
      </c>
      <c r="H89" s="221" t="s">
        <v>67</v>
      </c>
      <c r="I89" s="221" t="s">
        <v>68</v>
      </c>
      <c r="J89" s="221" t="s">
        <v>69</v>
      </c>
    </row>
    <row r="90" spans="2:22 16382:16384" s="217" customFormat="1" ht="7.5" customHeight="1" x14ac:dyDescent="0.2"/>
    <row r="91" spans="2:22 16382:16384" s="69" customFormat="1" ht="63" customHeight="1" x14ac:dyDescent="0.25">
      <c r="B91" s="1198" t="s">
        <v>5362</v>
      </c>
      <c r="C91" s="1198"/>
      <c r="D91" s="1199" t="s">
        <v>5366</v>
      </c>
      <c r="E91" s="1199"/>
      <c r="F91" s="220"/>
      <c r="G91" s="220"/>
      <c r="H91" s="220"/>
      <c r="I91" s="220"/>
      <c r="J91" s="220"/>
    </row>
    <row r="92" spans="2:22 16382:16384" s="217" customFormat="1" ht="12.75" x14ac:dyDescent="0.2">
      <c r="B92" s="68"/>
      <c r="C92" s="68"/>
      <c r="D92" s="68"/>
      <c r="E92" s="68"/>
      <c r="F92" s="68"/>
      <c r="G92" s="68"/>
      <c r="H92" s="68"/>
      <c r="O92" s="89"/>
      <c r="P92" s="89"/>
    </row>
    <row r="93" spans="2:22 16382:16384" s="217" customFormat="1" x14ac:dyDescent="0.25">
      <c r="B93" s="101" t="s">
        <v>5547</v>
      </c>
      <c r="C93" s="68"/>
      <c r="D93" s="68"/>
      <c r="E93" s="68"/>
      <c r="F93" s="68"/>
      <c r="G93" s="68"/>
      <c r="H93" s="68"/>
      <c r="O93" s="89"/>
      <c r="P93" s="89"/>
    </row>
    <row r="94" spans="2:22 16382:16384" s="217" customFormat="1" ht="13.5" thickBot="1" x14ac:dyDescent="0.25">
      <c r="B94" s="68"/>
      <c r="C94" s="68"/>
      <c r="D94" s="68"/>
      <c r="E94" s="68"/>
      <c r="F94" s="68"/>
      <c r="G94" s="68"/>
      <c r="H94" s="68"/>
      <c r="O94" s="89"/>
      <c r="P94" s="89"/>
    </row>
    <row r="95" spans="2:22 16382:16384" s="673" customFormat="1" ht="51.95" customHeight="1" thickBot="1" x14ac:dyDescent="0.25">
      <c r="B95" s="1189" t="s">
        <v>5455</v>
      </c>
      <c r="C95" s="1190"/>
      <c r="D95" s="1190" t="s">
        <v>5454</v>
      </c>
      <c r="E95" s="1190"/>
      <c r="F95" s="685" t="s">
        <v>5510</v>
      </c>
      <c r="G95" s="1191" t="s">
        <v>5548</v>
      </c>
      <c r="H95" s="1192"/>
      <c r="I95" s="1193" t="s">
        <v>5549</v>
      </c>
      <c r="J95" s="1194"/>
      <c r="K95" s="1194"/>
      <c r="L95" s="1195"/>
      <c r="M95" s="675"/>
      <c r="N95" s="675"/>
      <c r="O95" s="675"/>
      <c r="P95" s="89"/>
      <c r="Q95" s="675"/>
      <c r="R95" s="675"/>
      <c r="S95" s="675"/>
      <c r="T95" s="675"/>
      <c r="U95" s="675"/>
      <c r="V95" s="675"/>
    </row>
    <row r="96" spans="2:22 16382:16384" s="673" customFormat="1" ht="15" customHeight="1" x14ac:dyDescent="0.2">
      <c r="B96" s="1179"/>
      <c r="C96" s="1180"/>
      <c r="D96" s="1171" t="str">
        <f>IFERROR(IF($B$96="","",'AREA DE ESTUDIO'!B123),"")</f>
        <v/>
      </c>
      <c r="E96" s="1171"/>
      <c r="F96" s="691"/>
      <c r="G96" s="1164"/>
      <c r="H96" s="1165"/>
      <c r="I96" s="1147"/>
      <c r="J96" s="1148"/>
      <c r="K96" s="1148"/>
      <c r="L96" s="1149"/>
      <c r="M96" s="675"/>
      <c r="N96" s="675"/>
      <c r="O96" s="675"/>
      <c r="P96" s="89"/>
      <c r="Q96" s="675"/>
      <c r="R96" s="675"/>
      <c r="S96" s="675"/>
      <c r="T96" s="675"/>
      <c r="U96" s="675"/>
      <c r="V96" s="675"/>
    </row>
    <row r="97" spans="2:22" s="673" customFormat="1" ht="15" customHeight="1" x14ac:dyDescent="0.2">
      <c r="B97" s="1174"/>
      <c r="C97" s="1175"/>
      <c r="D97" s="1171" t="str">
        <f>IFERROR(IF($B$96="","",'AREA DE ESTUDIO'!B124),"")</f>
        <v/>
      </c>
      <c r="E97" s="1171"/>
      <c r="F97" s="692"/>
      <c r="G97" s="1141"/>
      <c r="H97" s="1142"/>
      <c r="I97" s="1147"/>
      <c r="J97" s="1148"/>
      <c r="K97" s="1148"/>
      <c r="L97" s="1149"/>
      <c r="M97" s="675"/>
      <c r="N97" s="675"/>
      <c r="O97" s="675"/>
      <c r="P97" s="89"/>
      <c r="Q97" s="675"/>
      <c r="R97" s="675"/>
      <c r="S97" s="675"/>
      <c r="T97" s="675"/>
      <c r="U97" s="675"/>
      <c r="V97" s="675"/>
    </row>
    <row r="98" spans="2:22" s="673" customFormat="1" ht="15" customHeight="1" x14ac:dyDescent="0.2">
      <c r="B98" s="1174"/>
      <c r="C98" s="1175"/>
      <c r="D98" s="1171" t="str">
        <f>IFERROR(IF($B$96="","",'AREA DE ESTUDIO'!B125),"")</f>
        <v/>
      </c>
      <c r="E98" s="1171"/>
      <c r="F98" s="692"/>
      <c r="G98" s="1141"/>
      <c r="H98" s="1142"/>
      <c r="I98" s="1147"/>
      <c r="J98" s="1148"/>
      <c r="K98" s="1148"/>
      <c r="L98" s="1149"/>
      <c r="M98" s="675"/>
      <c r="N98" s="675"/>
      <c r="O98" s="675"/>
      <c r="P98" s="89"/>
      <c r="Q98" s="675"/>
      <c r="R98" s="675"/>
      <c r="S98" s="675"/>
      <c r="T98" s="675"/>
      <c r="U98" s="675"/>
      <c r="V98" s="675"/>
    </row>
    <row r="99" spans="2:22" s="673" customFormat="1" ht="15" customHeight="1" x14ac:dyDescent="0.2">
      <c r="B99" s="1174"/>
      <c r="C99" s="1175"/>
      <c r="D99" s="1171" t="str">
        <f>IFERROR(IF($B$96="","",'AREA DE ESTUDIO'!B126),"")</f>
        <v/>
      </c>
      <c r="E99" s="1171"/>
      <c r="F99" s="692"/>
      <c r="G99" s="1141"/>
      <c r="H99" s="1142"/>
      <c r="I99" s="1147"/>
      <c r="J99" s="1148"/>
      <c r="K99" s="1148"/>
      <c r="L99" s="1149"/>
      <c r="M99" s="675"/>
      <c r="N99" s="675"/>
      <c r="O99" s="675"/>
      <c r="P99" s="89"/>
      <c r="Q99" s="675"/>
      <c r="R99" s="675"/>
      <c r="S99" s="675"/>
      <c r="T99" s="675"/>
      <c r="U99" s="675"/>
      <c r="V99" s="675"/>
    </row>
    <row r="100" spans="2:22" s="673" customFormat="1" ht="15" customHeight="1" x14ac:dyDescent="0.2">
      <c r="B100" s="1174"/>
      <c r="C100" s="1175"/>
      <c r="D100" s="1171" t="str">
        <f>IFERROR(IF($B$96="","",'AREA DE ESTUDIO'!B127),"")</f>
        <v/>
      </c>
      <c r="E100" s="1171"/>
      <c r="F100" s="692"/>
      <c r="G100" s="1141"/>
      <c r="H100" s="1142"/>
      <c r="I100" s="1147"/>
      <c r="J100" s="1148"/>
      <c r="K100" s="1148"/>
      <c r="L100" s="1149"/>
      <c r="M100" s="675"/>
      <c r="N100" s="675"/>
      <c r="O100" s="675"/>
      <c r="P100" s="89"/>
      <c r="Q100" s="675"/>
      <c r="R100" s="675"/>
      <c r="S100" s="675"/>
      <c r="T100" s="675"/>
      <c r="U100" s="675"/>
      <c r="V100" s="675"/>
    </row>
    <row r="101" spans="2:22" s="673" customFormat="1" ht="15" customHeight="1" thickBot="1" x14ac:dyDescent="0.25">
      <c r="B101" s="1181"/>
      <c r="C101" s="1182"/>
      <c r="D101" s="1171" t="str">
        <f>IFERROR(IF($B$96="","",'AREA DE ESTUDIO'!B128),"")</f>
        <v/>
      </c>
      <c r="E101" s="1171"/>
      <c r="F101" s="693"/>
      <c r="G101" s="1162"/>
      <c r="H101" s="1163"/>
      <c r="I101" s="1147"/>
      <c r="J101" s="1148"/>
      <c r="K101" s="1148"/>
      <c r="L101" s="1149"/>
      <c r="M101" s="675"/>
      <c r="N101" s="675"/>
      <c r="O101" s="675"/>
      <c r="P101" s="89"/>
      <c r="Q101" s="675"/>
      <c r="R101" s="675"/>
      <c r="S101" s="675"/>
      <c r="T101" s="675"/>
      <c r="U101" s="675"/>
      <c r="V101" s="675"/>
    </row>
    <row r="102" spans="2:22" s="673" customFormat="1" ht="15" customHeight="1" x14ac:dyDescent="0.2">
      <c r="B102" s="1172"/>
      <c r="C102" s="1173"/>
      <c r="D102" s="1168" t="str">
        <f>IFERROR(IF($B$102="","",'AREA DE ESTUDIO'!B123),"")</f>
        <v/>
      </c>
      <c r="E102" s="1168"/>
      <c r="F102" s="694"/>
      <c r="G102" s="1164"/>
      <c r="H102" s="1165"/>
      <c r="I102" s="1150"/>
      <c r="J102" s="1151"/>
      <c r="K102" s="1151"/>
      <c r="L102" s="1152"/>
      <c r="M102" s="675"/>
      <c r="N102" s="675"/>
      <c r="O102" s="675"/>
      <c r="P102" s="89"/>
      <c r="Q102" s="675"/>
      <c r="R102" s="675"/>
      <c r="S102" s="675"/>
      <c r="T102" s="675"/>
      <c r="U102" s="675"/>
      <c r="V102" s="675"/>
    </row>
    <row r="103" spans="2:22" s="673" customFormat="1" ht="15" customHeight="1" x14ac:dyDescent="0.2">
      <c r="B103" s="1174"/>
      <c r="C103" s="1175"/>
      <c r="D103" s="1169" t="str">
        <f>IFERROR(IF($B$102="","",'AREA DE ESTUDIO'!B124),"")</f>
        <v/>
      </c>
      <c r="E103" s="1169"/>
      <c r="F103" s="692"/>
      <c r="G103" s="1141"/>
      <c r="H103" s="1142"/>
      <c r="I103" s="1147"/>
      <c r="J103" s="1148"/>
      <c r="K103" s="1148"/>
      <c r="L103" s="1149"/>
      <c r="M103" s="675"/>
      <c r="N103" s="675"/>
      <c r="O103" s="675"/>
      <c r="P103" s="89"/>
      <c r="Q103" s="675"/>
      <c r="R103" s="675"/>
      <c r="S103" s="675"/>
      <c r="T103" s="675"/>
      <c r="U103" s="675"/>
      <c r="V103" s="675"/>
    </row>
    <row r="104" spans="2:22" s="673" customFormat="1" ht="15" customHeight="1" x14ac:dyDescent="0.2">
      <c r="B104" s="1174"/>
      <c r="C104" s="1175"/>
      <c r="D104" s="1169" t="str">
        <f>IFERROR(IF($B$102="","",'AREA DE ESTUDIO'!B125),"")</f>
        <v/>
      </c>
      <c r="E104" s="1169"/>
      <c r="F104" s="692"/>
      <c r="G104" s="1141"/>
      <c r="H104" s="1142"/>
      <c r="I104" s="1147"/>
      <c r="J104" s="1148"/>
      <c r="K104" s="1148"/>
      <c r="L104" s="1149"/>
      <c r="M104" s="675"/>
      <c r="N104" s="675"/>
      <c r="O104" s="675"/>
      <c r="P104" s="89"/>
      <c r="Q104" s="675"/>
      <c r="R104" s="675"/>
      <c r="S104" s="675"/>
      <c r="T104" s="675"/>
      <c r="U104" s="675"/>
      <c r="V104" s="675"/>
    </row>
    <row r="105" spans="2:22" s="673" customFormat="1" ht="15" customHeight="1" x14ac:dyDescent="0.2">
      <c r="B105" s="1174"/>
      <c r="C105" s="1175"/>
      <c r="D105" s="1169" t="str">
        <f>IFERROR(IF($B$102="","",'AREA DE ESTUDIO'!B126),"")</f>
        <v/>
      </c>
      <c r="E105" s="1169"/>
      <c r="F105" s="692"/>
      <c r="G105" s="1141"/>
      <c r="H105" s="1142"/>
      <c r="I105" s="1147"/>
      <c r="J105" s="1148"/>
      <c r="K105" s="1148"/>
      <c r="L105" s="1149"/>
      <c r="M105" s="675"/>
      <c r="N105" s="675"/>
      <c r="O105" s="675"/>
      <c r="P105" s="89"/>
      <c r="Q105" s="675"/>
      <c r="R105" s="675"/>
      <c r="S105" s="675"/>
      <c r="T105" s="675"/>
      <c r="U105" s="675"/>
      <c r="V105" s="675"/>
    </row>
    <row r="106" spans="2:22" s="673" customFormat="1" ht="15" customHeight="1" x14ac:dyDescent="0.2">
      <c r="B106" s="1174"/>
      <c r="C106" s="1175"/>
      <c r="D106" s="1169" t="str">
        <f>IFERROR(IF($B$102="","",'AREA DE ESTUDIO'!B127),"")</f>
        <v/>
      </c>
      <c r="E106" s="1169"/>
      <c r="F106" s="692"/>
      <c r="G106" s="1141"/>
      <c r="H106" s="1142"/>
      <c r="I106" s="1147"/>
      <c r="J106" s="1148"/>
      <c r="K106" s="1148"/>
      <c r="L106" s="1149"/>
      <c r="M106" s="675"/>
      <c r="N106" s="675"/>
      <c r="O106" s="675"/>
      <c r="P106" s="89"/>
      <c r="Q106" s="675"/>
      <c r="R106" s="675"/>
      <c r="S106" s="675"/>
      <c r="T106" s="675"/>
      <c r="U106" s="675"/>
      <c r="V106" s="675"/>
    </row>
    <row r="107" spans="2:22" s="673" customFormat="1" ht="15" customHeight="1" thickBot="1" x14ac:dyDescent="0.25">
      <c r="B107" s="1176"/>
      <c r="C107" s="1177"/>
      <c r="D107" s="1178" t="str">
        <f>IFERROR(IF($B$102="","",'AREA DE ESTUDIO'!B128),"")</f>
        <v/>
      </c>
      <c r="E107" s="1178"/>
      <c r="F107" s="695"/>
      <c r="G107" s="1143"/>
      <c r="H107" s="1144"/>
      <c r="I107" s="1153"/>
      <c r="J107" s="1154"/>
      <c r="K107" s="1154"/>
      <c r="L107" s="1155"/>
      <c r="M107" s="675"/>
      <c r="N107" s="675"/>
      <c r="O107" s="675"/>
      <c r="P107" s="89"/>
      <c r="Q107" s="675"/>
      <c r="R107" s="675"/>
      <c r="S107" s="675"/>
      <c r="T107" s="675"/>
      <c r="U107" s="675"/>
      <c r="V107" s="675"/>
    </row>
    <row r="108" spans="2:22" s="673" customFormat="1" ht="15" customHeight="1" x14ac:dyDescent="0.2">
      <c r="B108" s="1179"/>
      <c r="C108" s="1180"/>
      <c r="D108" s="1171" t="str">
        <f>IFERROR(IF($B$108="","",'AREA DE ESTUDIO'!B123),"")</f>
        <v/>
      </c>
      <c r="E108" s="1171"/>
      <c r="F108" s="691"/>
      <c r="G108" s="1164"/>
      <c r="H108" s="1165"/>
      <c r="I108" s="1147"/>
      <c r="J108" s="1148"/>
      <c r="K108" s="1148"/>
      <c r="L108" s="1149"/>
      <c r="M108" s="675"/>
      <c r="N108" s="675"/>
      <c r="O108" s="675"/>
      <c r="P108" s="89"/>
      <c r="Q108" s="675"/>
      <c r="R108" s="675"/>
      <c r="S108" s="675"/>
      <c r="T108" s="675"/>
      <c r="U108" s="675"/>
      <c r="V108" s="675"/>
    </row>
    <row r="109" spans="2:22" s="673" customFormat="1" ht="15" customHeight="1" x14ac:dyDescent="0.2">
      <c r="B109" s="1174"/>
      <c r="C109" s="1175"/>
      <c r="D109" s="1171" t="str">
        <f>IFERROR(IF($B$108="","",'AREA DE ESTUDIO'!B124),"")</f>
        <v/>
      </c>
      <c r="E109" s="1171"/>
      <c r="F109" s="692"/>
      <c r="G109" s="1141"/>
      <c r="H109" s="1142"/>
      <c r="I109" s="1147"/>
      <c r="J109" s="1148"/>
      <c r="K109" s="1148"/>
      <c r="L109" s="1149"/>
      <c r="M109" s="675"/>
      <c r="N109" s="675"/>
      <c r="O109" s="675"/>
      <c r="P109" s="89"/>
      <c r="Q109" s="675"/>
      <c r="R109" s="675"/>
      <c r="S109" s="675"/>
      <c r="T109" s="675"/>
      <c r="U109" s="675"/>
      <c r="V109" s="675"/>
    </row>
    <row r="110" spans="2:22" s="673" customFormat="1" ht="15" customHeight="1" x14ac:dyDescent="0.2">
      <c r="B110" s="1174"/>
      <c r="C110" s="1175"/>
      <c r="D110" s="1171" t="str">
        <f>IFERROR(IF($B$108="","",'AREA DE ESTUDIO'!B125),"")</f>
        <v/>
      </c>
      <c r="E110" s="1171"/>
      <c r="F110" s="692"/>
      <c r="G110" s="1141"/>
      <c r="H110" s="1142"/>
      <c r="I110" s="1147"/>
      <c r="J110" s="1148"/>
      <c r="K110" s="1148"/>
      <c r="L110" s="1149"/>
      <c r="M110" s="675"/>
      <c r="N110" s="675"/>
      <c r="O110" s="675"/>
      <c r="P110" s="89"/>
      <c r="Q110" s="675"/>
      <c r="R110" s="675"/>
      <c r="S110" s="675"/>
      <c r="T110" s="675"/>
      <c r="U110" s="675"/>
      <c r="V110" s="675"/>
    </row>
    <row r="111" spans="2:22" s="673" customFormat="1" ht="15" customHeight="1" x14ac:dyDescent="0.2">
      <c r="B111" s="1174"/>
      <c r="C111" s="1175"/>
      <c r="D111" s="1171" t="str">
        <f>IFERROR(IF($B$108="","",'AREA DE ESTUDIO'!B126),"")</f>
        <v/>
      </c>
      <c r="E111" s="1171"/>
      <c r="F111" s="692"/>
      <c r="G111" s="1141"/>
      <c r="H111" s="1142"/>
      <c r="I111" s="1147"/>
      <c r="J111" s="1148"/>
      <c r="K111" s="1148"/>
      <c r="L111" s="1149"/>
      <c r="M111" s="675"/>
      <c r="N111" s="675"/>
      <c r="O111" s="675"/>
      <c r="P111" s="89"/>
      <c r="Q111" s="675"/>
      <c r="R111" s="675"/>
      <c r="S111" s="675"/>
      <c r="T111" s="675"/>
      <c r="U111" s="675"/>
      <c r="V111" s="675"/>
    </row>
    <row r="112" spans="2:22" s="673" customFormat="1" ht="15" customHeight="1" x14ac:dyDescent="0.2">
      <c r="B112" s="1174"/>
      <c r="C112" s="1175"/>
      <c r="D112" s="1171" t="str">
        <f>IFERROR(IF($B$108="","",'AREA DE ESTUDIO'!B127),"")</f>
        <v/>
      </c>
      <c r="E112" s="1171"/>
      <c r="F112" s="692"/>
      <c r="G112" s="1141"/>
      <c r="H112" s="1142"/>
      <c r="I112" s="1147"/>
      <c r="J112" s="1148"/>
      <c r="K112" s="1148"/>
      <c r="L112" s="1149"/>
      <c r="M112" s="675"/>
      <c r="N112" s="675"/>
      <c r="O112" s="675"/>
      <c r="P112" s="89"/>
      <c r="Q112" s="675"/>
      <c r="R112" s="675"/>
      <c r="S112" s="675"/>
      <c r="T112" s="675"/>
      <c r="U112" s="675"/>
      <c r="V112" s="675"/>
    </row>
    <row r="113" spans="2:22 16381:16384" s="673" customFormat="1" ht="15" customHeight="1" thickBot="1" x14ac:dyDescent="0.25">
      <c r="B113" s="1181"/>
      <c r="C113" s="1182"/>
      <c r="D113" s="1171" t="str">
        <f>IFERROR(IF($B$108="","",'AREA DE ESTUDIO'!B128),"")</f>
        <v/>
      </c>
      <c r="E113" s="1171"/>
      <c r="F113" s="693"/>
      <c r="G113" s="1162"/>
      <c r="H113" s="1163"/>
      <c r="I113" s="1147"/>
      <c r="J113" s="1148"/>
      <c r="K113" s="1148"/>
      <c r="L113" s="1149"/>
      <c r="M113" s="675"/>
      <c r="N113" s="675"/>
      <c r="O113" s="675"/>
      <c r="P113" s="89"/>
      <c r="Q113" s="675"/>
      <c r="R113" s="675"/>
      <c r="S113" s="675"/>
      <c r="T113" s="675"/>
      <c r="U113" s="675"/>
      <c r="V113" s="675"/>
    </row>
    <row r="114" spans="2:22 16381:16384" s="673" customFormat="1" ht="15" customHeight="1" thickBot="1" x14ac:dyDescent="0.25">
      <c r="B114" s="1166"/>
      <c r="C114" s="1167"/>
      <c r="D114" s="1168" t="str">
        <f>IFERROR(IF($B$114="","",'AREA DE ESTUDIO'!B123),"")</f>
        <v/>
      </c>
      <c r="E114" s="1168"/>
      <c r="F114" s="696"/>
      <c r="G114" s="1139"/>
      <c r="H114" s="1140"/>
      <c r="I114" s="1156"/>
      <c r="J114" s="1157"/>
      <c r="K114" s="1157"/>
      <c r="L114" s="1158"/>
      <c r="M114" s="675"/>
      <c r="N114" s="675"/>
      <c r="O114" s="675"/>
      <c r="P114" s="89"/>
      <c r="Q114" s="675"/>
      <c r="R114" s="675"/>
      <c r="S114" s="675"/>
      <c r="T114" s="675"/>
      <c r="U114" s="675"/>
      <c r="V114" s="675"/>
    </row>
    <row r="115" spans="2:22 16381:16384" s="673" customFormat="1" ht="15" customHeight="1" thickBot="1" x14ac:dyDescent="0.25">
      <c r="B115" s="1166"/>
      <c r="C115" s="1167"/>
      <c r="D115" s="1169" t="str">
        <f>IFERROR(IF($B$114="","",'AREA DE ESTUDIO'!B124),"")</f>
        <v/>
      </c>
      <c r="E115" s="1169"/>
      <c r="F115" s="692"/>
      <c r="G115" s="1141"/>
      <c r="H115" s="1142"/>
      <c r="I115" s="1156"/>
      <c r="J115" s="1157"/>
      <c r="K115" s="1157"/>
      <c r="L115" s="1158"/>
      <c r="M115" s="675"/>
      <c r="N115" s="675"/>
      <c r="O115" s="675"/>
      <c r="P115" s="89"/>
      <c r="Q115" s="675"/>
      <c r="R115" s="675"/>
      <c r="S115" s="675"/>
      <c r="T115" s="675"/>
      <c r="U115" s="675"/>
      <c r="V115" s="675"/>
    </row>
    <row r="116" spans="2:22 16381:16384" s="673" customFormat="1" ht="15" customHeight="1" thickBot="1" x14ac:dyDescent="0.25">
      <c r="B116" s="1166"/>
      <c r="C116" s="1167"/>
      <c r="D116" s="1169" t="str">
        <f>IFERROR(IF($B$114="","",'AREA DE ESTUDIO'!B125),"")</f>
        <v/>
      </c>
      <c r="E116" s="1169"/>
      <c r="F116" s="692"/>
      <c r="G116" s="1141"/>
      <c r="H116" s="1142"/>
      <c r="I116" s="1156"/>
      <c r="J116" s="1157"/>
      <c r="K116" s="1157"/>
      <c r="L116" s="1158"/>
      <c r="M116" s="675"/>
      <c r="N116" s="675"/>
      <c r="O116" s="675"/>
      <c r="P116" s="89"/>
      <c r="Q116" s="675"/>
      <c r="R116" s="675"/>
      <c r="S116" s="675"/>
      <c r="T116" s="675"/>
      <c r="U116" s="675"/>
      <c r="V116" s="675"/>
    </row>
    <row r="117" spans="2:22 16381:16384" s="217" customFormat="1" ht="15" customHeight="1" thickBot="1" x14ac:dyDescent="0.25">
      <c r="B117" s="1166"/>
      <c r="C117" s="1167"/>
      <c r="D117" s="1169" t="str">
        <f>IFERROR(IF($B$114="","",'AREA DE ESTUDIO'!B126),"")</f>
        <v/>
      </c>
      <c r="E117" s="1169"/>
      <c r="F117" s="692"/>
      <c r="G117" s="1141"/>
      <c r="H117" s="1142"/>
      <c r="I117" s="1156"/>
      <c r="J117" s="1157"/>
      <c r="K117" s="1157"/>
      <c r="L117" s="1158"/>
      <c r="M117" s="675"/>
      <c r="N117" s="675"/>
      <c r="O117" s="675"/>
      <c r="P117" s="89"/>
      <c r="Q117" s="675"/>
      <c r="R117" s="675"/>
      <c r="S117" s="675"/>
      <c r="T117" s="675"/>
      <c r="U117" s="675"/>
      <c r="V117" s="675"/>
    </row>
    <row r="118" spans="2:22 16381:16384" s="217" customFormat="1" ht="15" customHeight="1" thickBot="1" x14ac:dyDescent="0.25">
      <c r="B118" s="1166"/>
      <c r="C118" s="1167"/>
      <c r="D118" s="1169" t="str">
        <f>IFERROR(IF($B$114="","",'AREA DE ESTUDIO'!B127),"")</f>
        <v/>
      </c>
      <c r="E118" s="1169"/>
      <c r="F118" s="692"/>
      <c r="G118" s="1141"/>
      <c r="H118" s="1142"/>
      <c r="I118" s="1156"/>
      <c r="J118" s="1157"/>
      <c r="K118" s="1157"/>
      <c r="L118" s="1158"/>
      <c r="M118" s="675"/>
      <c r="N118" s="675"/>
      <c r="O118" s="675"/>
      <c r="P118" s="89"/>
      <c r="Q118" s="675"/>
      <c r="R118" s="675"/>
      <c r="S118" s="675"/>
      <c r="T118" s="675"/>
      <c r="U118" s="675"/>
      <c r="V118" s="675"/>
    </row>
    <row r="119" spans="2:22 16381:16384" s="217" customFormat="1" ht="15" customHeight="1" thickBot="1" x14ac:dyDescent="0.25">
      <c r="B119" s="1166"/>
      <c r="C119" s="1167"/>
      <c r="D119" s="1183" t="str">
        <f>IFERROR(IF($B$114="","",'AREA DE ESTUDIO'!B128),"")</f>
        <v/>
      </c>
      <c r="E119" s="1183"/>
      <c r="F119" s="697"/>
      <c r="G119" s="1137"/>
      <c r="H119" s="1138"/>
      <c r="I119" s="1156"/>
      <c r="J119" s="1157"/>
      <c r="K119" s="1157"/>
      <c r="L119" s="1158"/>
      <c r="M119" s="675"/>
      <c r="N119" s="675"/>
      <c r="O119" s="675"/>
      <c r="P119" s="89"/>
      <c r="Q119" s="675"/>
      <c r="R119" s="675"/>
      <c r="S119" s="675"/>
      <c r="T119" s="675"/>
      <c r="U119" s="675"/>
      <c r="V119" s="675"/>
    </row>
    <row r="120" spans="2:22 16381:16384" s="217" customFormat="1" ht="15" customHeight="1" thickBot="1" x14ac:dyDescent="0.25">
      <c r="B120" s="1166"/>
      <c r="C120" s="1167"/>
      <c r="D120" s="1168" t="str">
        <f>IFERROR(IF($B$120="","",'AREA DE ESTUDIO'!B123),"")</f>
        <v/>
      </c>
      <c r="E120" s="1168"/>
      <c r="F120" s="696"/>
      <c r="G120" s="1139"/>
      <c r="H120" s="1140"/>
      <c r="I120" s="1159"/>
      <c r="J120" s="1160"/>
      <c r="K120" s="1160"/>
      <c r="L120" s="1161"/>
      <c r="M120" s="675"/>
      <c r="N120" s="675"/>
      <c r="O120" s="675"/>
      <c r="P120" s="89"/>
      <c r="Q120" s="675"/>
      <c r="R120" s="675"/>
      <c r="S120" s="675"/>
      <c r="T120" s="675"/>
      <c r="U120" s="675"/>
      <c r="V120" s="675"/>
      <c r="XFA120" s="570"/>
      <c r="XFB120" s="570"/>
      <c r="XFC120" s="570"/>
      <c r="XFD120" s="570"/>
    </row>
    <row r="121" spans="2:22 16381:16384" s="217" customFormat="1" ht="15" customHeight="1" thickBot="1" x14ac:dyDescent="0.25">
      <c r="B121" s="1166"/>
      <c r="C121" s="1167"/>
      <c r="D121" s="1169" t="str">
        <f>IFERROR(IF($B$120="","",'AREA DE ESTUDIO'!B124),"")</f>
        <v/>
      </c>
      <c r="E121" s="1169"/>
      <c r="F121" s="692"/>
      <c r="G121" s="1141"/>
      <c r="H121" s="1142"/>
      <c r="I121" s="1159"/>
      <c r="J121" s="1160"/>
      <c r="K121" s="1160"/>
      <c r="L121" s="1161"/>
      <c r="M121" s="675"/>
      <c r="N121" s="675"/>
      <c r="O121" s="675"/>
      <c r="P121" s="89"/>
      <c r="Q121" s="675"/>
      <c r="R121" s="675"/>
      <c r="S121" s="675"/>
      <c r="T121" s="675"/>
      <c r="U121" s="675"/>
      <c r="V121" s="675"/>
      <c r="XFA121" s="570"/>
      <c r="XFB121" s="570"/>
      <c r="XFC121" s="570"/>
      <c r="XFD121" s="570"/>
    </row>
    <row r="122" spans="2:22 16381:16384" s="217" customFormat="1" ht="15" customHeight="1" thickBot="1" x14ac:dyDescent="0.25">
      <c r="B122" s="1166"/>
      <c r="C122" s="1167"/>
      <c r="D122" s="1169" t="str">
        <f>IFERROR(IF($B$120="","",'AREA DE ESTUDIO'!B125),"")</f>
        <v/>
      </c>
      <c r="E122" s="1169"/>
      <c r="F122" s="692"/>
      <c r="G122" s="1141"/>
      <c r="H122" s="1142"/>
      <c r="I122" s="1159"/>
      <c r="J122" s="1160"/>
      <c r="K122" s="1160"/>
      <c r="L122" s="1161"/>
      <c r="M122" s="675"/>
      <c r="N122" s="675"/>
      <c r="O122" s="675"/>
      <c r="P122" s="89"/>
      <c r="Q122" s="675"/>
      <c r="R122" s="675"/>
      <c r="S122" s="675"/>
      <c r="T122" s="675"/>
      <c r="U122" s="675"/>
      <c r="V122" s="675"/>
      <c r="XFA122" s="570"/>
      <c r="XFB122" s="570"/>
      <c r="XFC122" s="570"/>
      <c r="XFD122" s="570"/>
    </row>
    <row r="123" spans="2:22 16381:16384" s="217" customFormat="1" ht="15" customHeight="1" thickBot="1" x14ac:dyDescent="0.25">
      <c r="B123" s="1166"/>
      <c r="C123" s="1167"/>
      <c r="D123" s="1169" t="str">
        <f>IFERROR(IF($B$120="","",'AREA DE ESTUDIO'!B126),"")</f>
        <v/>
      </c>
      <c r="E123" s="1169"/>
      <c r="F123" s="692"/>
      <c r="G123" s="1141"/>
      <c r="H123" s="1142"/>
      <c r="I123" s="1159"/>
      <c r="J123" s="1160"/>
      <c r="K123" s="1160"/>
      <c r="L123" s="1161"/>
      <c r="M123" s="675"/>
      <c r="N123" s="675"/>
      <c r="O123" s="675"/>
      <c r="P123" s="89"/>
      <c r="Q123" s="675"/>
      <c r="R123" s="675"/>
      <c r="S123" s="675"/>
      <c r="T123" s="675"/>
      <c r="U123" s="675"/>
      <c r="V123" s="675"/>
      <c r="XFA123" s="570"/>
      <c r="XFB123" s="570"/>
      <c r="XFC123" s="570"/>
      <c r="XFD123" s="570"/>
    </row>
    <row r="124" spans="2:22 16381:16384" s="217" customFormat="1" ht="15" customHeight="1" thickBot="1" x14ac:dyDescent="0.25">
      <c r="B124" s="1166"/>
      <c r="C124" s="1167"/>
      <c r="D124" s="1169" t="str">
        <f>IFERROR(IF($B$120="","",'AREA DE ESTUDIO'!B127),"")</f>
        <v/>
      </c>
      <c r="E124" s="1169"/>
      <c r="F124" s="692"/>
      <c r="G124" s="1141"/>
      <c r="H124" s="1142"/>
      <c r="I124" s="1159"/>
      <c r="J124" s="1160"/>
      <c r="K124" s="1160"/>
      <c r="L124" s="1161"/>
      <c r="M124" s="675"/>
      <c r="N124" s="675"/>
      <c r="O124" s="675"/>
      <c r="P124" s="89"/>
      <c r="Q124" s="675"/>
      <c r="R124" s="675"/>
      <c r="S124" s="675"/>
      <c r="T124" s="675"/>
      <c r="U124" s="675"/>
      <c r="V124" s="675"/>
      <c r="XFA124" s="570"/>
      <c r="XFB124" s="570"/>
      <c r="XFC124" s="570"/>
      <c r="XFD124" s="570"/>
    </row>
    <row r="125" spans="2:22 16381:16384" s="217" customFormat="1" ht="15" customHeight="1" thickBot="1" x14ac:dyDescent="0.25">
      <c r="B125" s="1166"/>
      <c r="C125" s="1167"/>
      <c r="D125" s="1170" t="str">
        <f>IFERROR(IF($B$120="","",'AREA DE ESTUDIO'!B128),"")</f>
        <v/>
      </c>
      <c r="E125" s="1170"/>
      <c r="F125" s="697"/>
      <c r="G125" s="1137"/>
      <c r="H125" s="1138"/>
      <c r="I125" s="1159"/>
      <c r="J125" s="1160"/>
      <c r="K125" s="1160"/>
      <c r="L125" s="1161"/>
      <c r="M125" s="675"/>
      <c r="N125" s="675"/>
      <c r="O125" s="675"/>
      <c r="P125" s="89"/>
      <c r="Q125" s="675"/>
      <c r="R125" s="675"/>
      <c r="S125" s="675"/>
      <c r="T125" s="675"/>
      <c r="U125" s="675"/>
      <c r="V125" s="675"/>
      <c r="XFA125" s="570"/>
      <c r="XFB125" s="570"/>
      <c r="XFC125" s="570"/>
      <c r="XFD125" s="570"/>
    </row>
    <row r="126" spans="2:22 16381:16384" s="217" customFormat="1" ht="15" customHeight="1" x14ac:dyDescent="0.2">
      <c r="B126" s="1179"/>
      <c r="C126" s="1180"/>
      <c r="D126" s="1171" t="str">
        <f>IFERROR(IF($B$126="","",'AREA DE ESTUDIO'!B123),"")</f>
        <v/>
      </c>
      <c r="E126" s="1171"/>
      <c r="F126" s="691"/>
      <c r="G126" s="1145"/>
      <c r="H126" s="1146"/>
      <c r="I126" s="1147"/>
      <c r="J126" s="1148"/>
      <c r="K126" s="1148"/>
      <c r="L126" s="1149"/>
      <c r="M126" s="675"/>
      <c r="N126" s="675"/>
      <c r="O126" s="675"/>
      <c r="P126" s="89"/>
      <c r="Q126" s="675"/>
      <c r="R126" s="675"/>
      <c r="S126" s="675"/>
      <c r="T126" s="675"/>
      <c r="U126" s="675"/>
      <c r="V126" s="675"/>
      <c r="XFA126" s="570"/>
      <c r="XFB126" s="570"/>
      <c r="XFC126" s="570"/>
      <c r="XFD126" s="570"/>
    </row>
    <row r="127" spans="2:22 16381:16384" s="217" customFormat="1" ht="15" customHeight="1" x14ac:dyDescent="0.2">
      <c r="B127" s="1174"/>
      <c r="C127" s="1175"/>
      <c r="D127" s="1171" t="str">
        <f>IFERROR(IF($B$126="","",'AREA DE ESTUDIO'!B124),"")</f>
        <v/>
      </c>
      <c r="E127" s="1171"/>
      <c r="F127" s="692"/>
      <c r="G127" s="1141"/>
      <c r="H127" s="1142"/>
      <c r="I127" s="1147"/>
      <c r="J127" s="1148"/>
      <c r="K127" s="1148"/>
      <c r="L127" s="1149"/>
      <c r="M127" s="675"/>
      <c r="N127" s="675"/>
      <c r="O127" s="675"/>
      <c r="P127" s="89"/>
      <c r="Q127" s="675"/>
      <c r="R127" s="675"/>
      <c r="S127" s="675"/>
      <c r="T127" s="675"/>
      <c r="U127" s="675"/>
      <c r="V127" s="675"/>
      <c r="XFA127" s="570"/>
      <c r="XFB127" s="570"/>
      <c r="XFC127" s="570"/>
      <c r="XFD127" s="570"/>
    </row>
    <row r="128" spans="2:22 16381:16384" s="217" customFormat="1" ht="15" customHeight="1" x14ac:dyDescent="0.2">
      <c r="B128" s="1174"/>
      <c r="C128" s="1175"/>
      <c r="D128" s="1171" t="str">
        <f>IFERROR(IF($B$126="","",'AREA DE ESTUDIO'!B125),"")</f>
        <v/>
      </c>
      <c r="E128" s="1171"/>
      <c r="F128" s="692"/>
      <c r="G128" s="1141"/>
      <c r="H128" s="1142"/>
      <c r="I128" s="1147"/>
      <c r="J128" s="1148"/>
      <c r="K128" s="1148"/>
      <c r="L128" s="1149"/>
      <c r="M128" s="675"/>
      <c r="N128" s="675"/>
      <c r="O128" s="675"/>
      <c r="P128" s="89"/>
      <c r="Q128" s="675"/>
      <c r="R128" s="675"/>
      <c r="S128" s="675"/>
      <c r="T128" s="675"/>
      <c r="U128" s="675"/>
      <c r="V128" s="675"/>
      <c r="XFA128" s="570"/>
      <c r="XFB128" s="570"/>
      <c r="XFC128" s="570"/>
      <c r="XFD128" s="570"/>
    </row>
    <row r="129" spans="2:22 16381:16384" s="217" customFormat="1" ht="15" customHeight="1" x14ac:dyDescent="0.2">
      <c r="B129" s="1174"/>
      <c r="C129" s="1175"/>
      <c r="D129" s="1171" t="str">
        <f>IFERROR(IF($B$126="","",'AREA DE ESTUDIO'!B126),"")</f>
        <v/>
      </c>
      <c r="E129" s="1171"/>
      <c r="F129" s="692"/>
      <c r="G129" s="1141"/>
      <c r="H129" s="1142"/>
      <c r="I129" s="1147"/>
      <c r="J129" s="1148"/>
      <c r="K129" s="1148"/>
      <c r="L129" s="1149"/>
      <c r="M129" s="675"/>
      <c r="N129" s="675"/>
      <c r="O129" s="675"/>
      <c r="P129" s="89"/>
      <c r="Q129" s="675"/>
      <c r="R129" s="675"/>
      <c r="S129" s="675"/>
      <c r="T129" s="675"/>
      <c r="U129" s="675"/>
      <c r="V129" s="675"/>
      <c r="XFA129" s="570"/>
      <c r="XFB129" s="570"/>
      <c r="XFC129" s="570"/>
      <c r="XFD129" s="570"/>
    </row>
    <row r="130" spans="2:22 16381:16384" s="217" customFormat="1" ht="15" customHeight="1" x14ac:dyDescent="0.2">
      <c r="B130" s="1174"/>
      <c r="C130" s="1175"/>
      <c r="D130" s="1171" t="str">
        <f>IFERROR(IF($B$126="","",'AREA DE ESTUDIO'!B127),"")</f>
        <v/>
      </c>
      <c r="E130" s="1171"/>
      <c r="F130" s="692"/>
      <c r="G130" s="1141"/>
      <c r="H130" s="1142"/>
      <c r="I130" s="1147"/>
      <c r="J130" s="1148"/>
      <c r="K130" s="1148"/>
      <c r="L130" s="1149"/>
      <c r="M130" s="675"/>
      <c r="N130" s="675"/>
      <c r="O130" s="675"/>
      <c r="P130" s="89"/>
      <c r="Q130" s="675"/>
      <c r="R130" s="675"/>
      <c r="S130" s="675"/>
      <c r="T130" s="675"/>
      <c r="U130" s="675"/>
      <c r="V130" s="675"/>
      <c r="XFA130" s="570"/>
      <c r="XFB130" s="570"/>
      <c r="XFC130" s="570"/>
      <c r="XFD130" s="570"/>
    </row>
    <row r="131" spans="2:22 16381:16384" s="217" customFormat="1" ht="15" customHeight="1" thickBot="1" x14ac:dyDescent="0.25">
      <c r="B131" s="1176"/>
      <c r="C131" s="1177"/>
      <c r="D131" s="1170" t="str">
        <f>IFERROR(IF($B$126="","",'AREA DE ESTUDIO'!B128),"")</f>
        <v/>
      </c>
      <c r="E131" s="1170"/>
      <c r="F131" s="695"/>
      <c r="G131" s="1143"/>
      <c r="H131" s="1144"/>
      <c r="I131" s="1153"/>
      <c r="J131" s="1154"/>
      <c r="K131" s="1154"/>
      <c r="L131" s="1155"/>
      <c r="M131" s="675"/>
      <c r="N131" s="675"/>
      <c r="O131" s="675"/>
      <c r="P131" s="89"/>
      <c r="Q131" s="675"/>
      <c r="R131" s="675"/>
      <c r="S131" s="675"/>
      <c r="T131" s="675"/>
      <c r="U131" s="675"/>
      <c r="V131" s="675"/>
      <c r="XFA131" s="570"/>
      <c r="XFB131" s="570"/>
      <c r="XFC131" s="570"/>
      <c r="XFD131" s="570"/>
    </row>
    <row r="132" spans="2:22 16381:16384" s="217" customFormat="1" ht="15" customHeight="1" x14ac:dyDescent="0.2">
      <c r="B132" s="61"/>
      <c r="C132" s="61"/>
      <c r="D132" s="61"/>
      <c r="E132" s="61"/>
      <c r="F132" s="61"/>
      <c r="G132" s="75"/>
      <c r="H132" s="75"/>
      <c r="I132" s="75"/>
      <c r="J132" s="75"/>
      <c r="K132" s="675"/>
      <c r="L132" s="675"/>
      <c r="M132" s="675"/>
      <c r="N132" s="675"/>
      <c r="O132" s="89"/>
      <c r="P132" s="89"/>
      <c r="Q132" s="675"/>
      <c r="R132" s="675"/>
      <c r="S132" s="675"/>
      <c r="T132" s="675"/>
      <c r="U132" s="675"/>
      <c r="V132" s="675"/>
      <c r="XFA132" s="570"/>
      <c r="XFB132" s="570"/>
      <c r="XFC132" s="570"/>
      <c r="XFD132" s="570"/>
    </row>
    <row r="133" spans="2:22 16381:16384" s="119" customFormat="1" x14ac:dyDescent="0.2">
      <c r="B133" s="121" t="s">
        <v>5550</v>
      </c>
      <c r="E133" s="120"/>
    </row>
    <row r="134" spans="2:22 16381:16384" s="217" customFormat="1" ht="15" customHeight="1" x14ac:dyDescent="0.2">
      <c r="B134" s="91"/>
      <c r="C134" s="675"/>
      <c r="D134" s="675"/>
      <c r="E134" s="68"/>
      <c r="F134" s="675"/>
      <c r="G134" s="675"/>
      <c r="H134" s="675"/>
      <c r="I134" s="675"/>
      <c r="J134" s="675"/>
      <c r="K134" s="675"/>
      <c r="L134" s="675"/>
      <c r="M134" s="675"/>
      <c r="N134" s="675"/>
      <c r="O134" s="675"/>
      <c r="P134" s="675"/>
      <c r="Q134" s="675"/>
      <c r="R134" s="675"/>
      <c r="S134" s="675"/>
      <c r="T134" s="675"/>
      <c r="U134" s="675"/>
      <c r="V134" s="675"/>
    </row>
    <row r="135" spans="2:22 16381:16384" s="217" customFormat="1" ht="15" customHeight="1" x14ac:dyDescent="0.2">
      <c r="B135" s="678"/>
      <c r="C135" s="678"/>
      <c r="D135" s="195"/>
      <c r="E135" s="195"/>
      <c r="F135" s="195"/>
      <c r="G135" s="195"/>
      <c r="H135" s="195"/>
      <c r="I135" s="195"/>
      <c r="J135" s="88"/>
      <c r="K135" s="88"/>
      <c r="L135" s="88"/>
      <c r="M135" s="88"/>
      <c r="N135" s="675"/>
      <c r="O135" s="675"/>
      <c r="P135" s="675"/>
      <c r="Q135" s="675"/>
      <c r="R135" s="675"/>
      <c r="S135" s="675"/>
      <c r="T135" s="675"/>
      <c r="U135" s="675"/>
      <c r="V135" s="675"/>
    </row>
    <row r="136" spans="2:22 16381:16384" s="69" customFormat="1" ht="15" customHeight="1" x14ac:dyDescent="0.25">
      <c r="B136" s="678"/>
      <c r="C136" s="678"/>
      <c r="D136" s="195"/>
      <c r="E136" s="195"/>
      <c r="F136" s="195"/>
      <c r="G136" s="195"/>
      <c r="H136" s="195"/>
      <c r="I136" s="195"/>
      <c r="J136" s="111"/>
      <c r="K136" s="111"/>
      <c r="L136" s="111"/>
      <c r="M136" s="111"/>
    </row>
    <row r="137" spans="2:22 16381:16384" s="69" customFormat="1" ht="15" customHeight="1" x14ac:dyDescent="0.25">
      <c r="B137" s="61"/>
      <c r="C137" s="61"/>
      <c r="D137" s="61"/>
      <c r="E137" s="61"/>
      <c r="F137" s="61"/>
      <c r="G137" s="61"/>
      <c r="H137" s="61"/>
      <c r="I137" s="61"/>
      <c r="J137" s="61"/>
      <c r="K137" s="61"/>
      <c r="L137" s="61"/>
      <c r="M137" s="61"/>
    </row>
    <row r="138" spans="2:22 16381:16384" s="69" customFormat="1" ht="15" customHeight="1" x14ac:dyDescent="0.2">
      <c r="B138" s="195" t="s">
        <v>5551</v>
      </c>
      <c r="C138" s="195"/>
      <c r="D138" s="61"/>
      <c r="E138" s="61"/>
      <c r="F138" s="61"/>
      <c r="G138" s="61"/>
      <c r="H138" s="61"/>
      <c r="I138" s="61"/>
      <c r="J138" s="75"/>
      <c r="K138" s="75"/>
      <c r="L138" s="75"/>
      <c r="M138" s="75"/>
      <c r="XFA138" s="570"/>
      <c r="XFB138" s="570"/>
      <c r="XFC138" s="570"/>
      <c r="XFD138" s="570"/>
    </row>
    <row r="139" spans="2:22 16381:16384" s="69" customFormat="1" ht="8.1" customHeight="1" thickBot="1" x14ac:dyDescent="0.25">
      <c r="B139" s="195"/>
      <c r="C139" s="195"/>
      <c r="D139" s="61"/>
      <c r="E139" s="61"/>
      <c r="F139" s="61"/>
      <c r="G139" s="61"/>
      <c r="H139" s="61"/>
      <c r="I139" s="61"/>
      <c r="J139" s="75"/>
      <c r="K139" s="75"/>
      <c r="L139" s="75"/>
      <c r="M139" s="75"/>
      <c r="XFA139" s="570"/>
      <c r="XFB139" s="570"/>
      <c r="XFC139" s="570"/>
      <c r="XFD139" s="570"/>
    </row>
    <row r="140" spans="2:22 16381:16384" s="69" customFormat="1" ht="15" customHeight="1" x14ac:dyDescent="0.2">
      <c r="B140" s="1313" t="s">
        <v>27</v>
      </c>
      <c r="C140" s="1314"/>
      <c r="D140" s="1314" t="s">
        <v>5553</v>
      </c>
      <c r="E140" s="1314"/>
      <c r="F140" s="1314" t="s">
        <v>5552</v>
      </c>
      <c r="G140" s="1314"/>
      <c r="H140" s="1317" t="s">
        <v>5502</v>
      </c>
      <c r="I140" s="1318"/>
      <c r="J140" s="1319"/>
      <c r="K140" s="75"/>
      <c r="L140" s="75"/>
      <c r="M140" s="75"/>
      <c r="XFA140" s="570"/>
      <c r="XFB140" s="570"/>
      <c r="XFC140" s="570"/>
      <c r="XFD140" s="570"/>
    </row>
    <row r="141" spans="2:22 16381:16384" s="69" customFormat="1" ht="15" customHeight="1" thickBot="1" x14ac:dyDescent="0.25">
      <c r="B141" s="1315"/>
      <c r="C141" s="1316"/>
      <c r="D141" s="1316"/>
      <c r="E141" s="1316"/>
      <c r="F141" s="1316"/>
      <c r="G141" s="1316"/>
      <c r="H141" s="1320"/>
      <c r="I141" s="1321"/>
      <c r="J141" s="1322"/>
      <c r="K141" s="75"/>
      <c r="L141" s="75"/>
      <c r="M141" s="75"/>
      <c r="XFA141" s="570"/>
      <c r="XFB141" s="570"/>
      <c r="XFC141" s="570"/>
      <c r="XFD141" s="570"/>
    </row>
    <row r="142" spans="2:22 16381:16384" s="69" customFormat="1" ht="15" customHeight="1" x14ac:dyDescent="0.2">
      <c r="B142" s="1323" t="str">
        <f t="shared" ref="B142:B147" si="1">IFERROR(IF(D96="","",D96),"")</f>
        <v/>
      </c>
      <c r="C142" s="1324"/>
      <c r="D142" s="1327" t="str">
        <f>IFERROR(Vulnerabilidad!D96,"")</f>
        <v/>
      </c>
      <c r="E142" s="1328"/>
      <c r="F142" s="1327" t="str">
        <f>IFERROR(Vulnerabilidad!F96,"")</f>
        <v/>
      </c>
      <c r="G142" s="1328"/>
      <c r="H142" s="1327" t="str">
        <f>IFERROR(Vulnerabilidad!H96,"")</f>
        <v/>
      </c>
      <c r="I142" s="1331"/>
      <c r="J142" s="1332"/>
      <c r="K142" s="75"/>
      <c r="L142" s="75"/>
      <c r="M142" s="75"/>
      <c r="XFA142" s="570"/>
      <c r="XFB142" s="570"/>
      <c r="XFC142" s="570"/>
      <c r="XFD142" s="570"/>
    </row>
    <row r="143" spans="2:22 16381:16384" s="69" customFormat="1" ht="15" customHeight="1" x14ac:dyDescent="0.2">
      <c r="B143" s="1323" t="str">
        <f t="shared" si="1"/>
        <v/>
      </c>
      <c r="C143" s="1324"/>
      <c r="D143" s="1327" t="str">
        <f>IFERROR(Vulnerabilidad!D97,"")</f>
        <v/>
      </c>
      <c r="E143" s="1328"/>
      <c r="F143" s="1327" t="str">
        <f>IFERROR(Vulnerabilidad!F97,"")</f>
        <v/>
      </c>
      <c r="G143" s="1328"/>
      <c r="H143" s="1333" t="str">
        <f>IFERROR(Vulnerabilidad!H97,"")</f>
        <v/>
      </c>
      <c r="I143" s="1334"/>
      <c r="J143" s="1335"/>
      <c r="K143" s="75"/>
      <c r="L143" s="75"/>
      <c r="M143" s="75"/>
      <c r="XFA143" s="570"/>
      <c r="XFB143" s="570"/>
      <c r="XFC143" s="570"/>
      <c r="XFD143" s="570"/>
    </row>
    <row r="144" spans="2:22 16381:16384" s="69" customFormat="1" ht="15" customHeight="1" x14ac:dyDescent="0.2">
      <c r="B144" s="1323" t="str">
        <f t="shared" si="1"/>
        <v/>
      </c>
      <c r="C144" s="1324"/>
      <c r="D144" s="1327" t="str">
        <f>IFERROR(Vulnerabilidad!D98,"")</f>
        <v/>
      </c>
      <c r="E144" s="1328"/>
      <c r="F144" s="1327" t="str">
        <f>IFERROR(Vulnerabilidad!F98,"")</f>
        <v/>
      </c>
      <c r="G144" s="1328"/>
      <c r="H144" s="1333" t="str">
        <f>IFERROR(Vulnerabilidad!H98,"")</f>
        <v/>
      </c>
      <c r="I144" s="1334"/>
      <c r="J144" s="1335"/>
      <c r="K144" s="75"/>
      <c r="L144" s="75"/>
      <c r="M144" s="75"/>
      <c r="XFA144" s="570"/>
      <c r="XFB144" s="570"/>
      <c r="XFC144" s="570"/>
      <c r="XFD144" s="570"/>
    </row>
    <row r="145" spans="2:22 16381:16384" s="69" customFormat="1" ht="15" customHeight="1" x14ac:dyDescent="0.2">
      <c r="B145" s="1323" t="str">
        <f t="shared" si="1"/>
        <v/>
      </c>
      <c r="C145" s="1324"/>
      <c r="D145" s="1327" t="str">
        <f>IFERROR(Vulnerabilidad!D99,"")</f>
        <v/>
      </c>
      <c r="E145" s="1328"/>
      <c r="F145" s="1327" t="str">
        <f>IFERROR(Vulnerabilidad!F99,"")</f>
        <v/>
      </c>
      <c r="G145" s="1328"/>
      <c r="H145" s="1333" t="str">
        <f>IFERROR(Vulnerabilidad!H99,"")</f>
        <v/>
      </c>
      <c r="I145" s="1334"/>
      <c r="J145" s="1335"/>
      <c r="K145" s="75"/>
      <c r="L145" s="75"/>
      <c r="M145" s="75"/>
      <c r="XFA145" s="570"/>
      <c r="XFB145" s="570"/>
      <c r="XFC145" s="570"/>
      <c r="XFD145" s="570"/>
    </row>
    <row r="146" spans="2:22 16381:16384" s="69" customFormat="1" ht="15" customHeight="1" x14ac:dyDescent="0.2">
      <c r="B146" s="1323" t="str">
        <f t="shared" si="1"/>
        <v/>
      </c>
      <c r="C146" s="1324"/>
      <c r="D146" s="1327" t="str">
        <f>IFERROR(Vulnerabilidad!D100,"")</f>
        <v/>
      </c>
      <c r="E146" s="1328"/>
      <c r="F146" s="1327" t="str">
        <f>IFERROR(Vulnerabilidad!F100,"")</f>
        <v/>
      </c>
      <c r="G146" s="1328"/>
      <c r="H146" s="1333" t="str">
        <f>IFERROR(Vulnerabilidad!H100,"")</f>
        <v/>
      </c>
      <c r="I146" s="1334"/>
      <c r="J146" s="1335"/>
      <c r="K146" s="75"/>
      <c r="L146" s="75"/>
      <c r="M146" s="75"/>
      <c r="XFA146" s="570"/>
      <c r="XFB146" s="570"/>
      <c r="XFC146" s="570"/>
      <c r="XFD146" s="570"/>
    </row>
    <row r="147" spans="2:22 16381:16384" s="69" customFormat="1" ht="15" customHeight="1" thickBot="1" x14ac:dyDescent="0.25">
      <c r="B147" s="1325" t="str">
        <f t="shared" si="1"/>
        <v/>
      </c>
      <c r="C147" s="1326"/>
      <c r="D147" s="1329" t="str">
        <f>IFERROR(Vulnerabilidad!D101,"")</f>
        <v/>
      </c>
      <c r="E147" s="1330"/>
      <c r="F147" s="1329" t="str">
        <f>IFERROR(Vulnerabilidad!F101,"")</f>
        <v/>
      </c>
      <c r="G147" s="1330"/>
      <c r="H147" s="1329" t="str">
        <f>IFERROR(Vulnerabilidad!H101,"")</f>
        <v/>
      </c>
      <c r="I147" s="1336"/>
      <c r="J147" s="1337"/>
      <c r="K147" s="75"/>
      <c r="L147" s="75"/>
      <c r="M147" s="75"/>
      <c r="XFA147" s="570"/>
      <c r="XFB147" s="570"/>
      <c r="XFC147" s="570"/>
      <c r="XFD147" s="570"/>
    </row>
    <row r="148" spans="2:22 16381:16384" s="69" customFormat="1" ht="15" customHeight="1" x14ac:dyDescent="0.2">
      <c r="B148" s="195"/>
      <c r="C148" s="195"/>
      <c r="D148" s="61"/>
      <c r="E148" s="61"/>
      <c r="F148" s="61"/>
      <c r="G148" s="61"/>
      <c r="H148" s="61"/>
      <c r="I148" s="61"/>
      <c r="J148" s="75"/>
      <c r="K148" s="75"/>
      <c r="L148" s="75"/>
      <c r="M148" s="75"/>
      <c r="XFA148" s="570"/>
      <c r="XFB148" s="570"/>
      <c r="XFC148" s="570"/>
      <c r="XFD148" s="570"/>
    </row>
    <row r="149" spans="2:22 16381:16384" s="69" customFormat="1" ht="15" customHeight="1" x14ac:dyDescent="0.25">
      <c r="B149" s="373" t="s">
        <v>5554</v>
      </c>
      <c r="C149" s="195"/>
      <c r="D149" s="61"/>
      <c r="E149" s="61"/>
      <c r="F149" s="61"/>
      <c r="G149" s="61"/>
      <c r="H149" s="61"/>
      <c r="I149" s="61"/>
      <c r="J149" s="75"/>
      <c r="K149" s="75"/>
      <c r="L149" s="75"/>
      <c r="M149" s="75"/>
      <c r="XFA149" s="570"/>
      <c r="XFB149" s="570"/>
      <c r="XFC149" s="570"/>
      <c r="XFD149" s="570"/>
    </row>
    <row r="150" spans="2:22 16381:16384" s="69" customFormat="1" ht="8.1" customHeight="1" thickBot="1" x14ac:dyDescent="0.25">
      <c r="B150" s="195"/>
      <c r="C150" s="195"/>
      <c r="D150" s="61"/>
      <c r="E150" s="61"/>
      <c r="F150" s="61"/>
      <c r="G150" s="61"/>
      <c r="H150" s="61"/>
      <c r="I150" s="61"/>
      <c r="J150" s="75"/>
      <c r="K150" s="75"/>
      <c r="L150" s="75"/>
      <c r="M150" s="75"/>
      <c r="XFA150" s="570"/>
      <c r="XFB150" s="570"/>
      <c r="XFC150" s="570"/>
      <c r="XFD150" s="570"/>
    </row>
    <row r="151" spans="2:22 16381:16384" s="69" customFormat="1" ht="15" customHeight="1" x14ac:dyDescent="0.2">
      <c r="B151" s="1313" t="s">
        <v>27</v>
      </c>
      <c r="C151" s="1314"/>
      <c r="D151" s="1314" t="s">
        <v>5555</v>
      </c>
      <c r="E151" s="1314"/>
      <c r="F151" s="1338" t="s">
        <v>5502</v>
      </c>
      <c r="G151" s="1338"/>
      <c r="H151" s="1317" t="s">
        <v>5556</v>
      </c>
      <c r="I151" s="1318"/>
      <c r="J151" s="1319"/>
      <c r="K151" s="75"/>
      <c r="L151" s="75"/>
      <c r="M151" s="75"/>
      <c r="XFA151" s="570"/>
      <c r="XFB151" s="570"/>
      <c r="XFC151" s="570"/>
      <c r="XFD151" s="570"/>
    </row>
    <row r="152" spans="2:22 16381:16384" s="69" customFormat="1" ht="15" customHeight="1" thickBot="1" x14ac:dyDescent="0.25">
      <c r="B152" s="1315"/>
      <c r="C152" s="1316"/>
      <c r="D152" s="1316"/>
      <c r="E152" s="1316"/>
      <c r="F152" s="1339"/>
      <c r="G152" s="1339"/>
      <c r="H152" s="1320"/>
      <c r="I152" s="1321"/>
      <c r="J152" s="1322"/>
      <c r="K152" s="75"/>
      <c r="L152" s="75"/>
      <c r="M152" s="75"/>
      <c r="XFA152" s="570"/>
      <c r="XFB152" s="570"/>
      <c r="XFC152" s="570"/>
      <c r="XFD152" s="570"/>
    </row>
    <row r="153" spans="2:22 16381:16384" s="69" customFormat="1" ht="15" customHeight="1" x14ac:dyDescent="0.2">
      <c r="B153" s="1323" t="str">
        <f t="shared" ref="B153:B158" si="2">IFERROR(IF(D96="","",D96),"")</f>
        <v/>
      </c>
      <c r="C153" s="1324"/>
      <c r="D153" s="1340" t="str">
        <f>IFERROR(Vulnerabilidad!D123,"")</f>
        <v/>
      </c>
      <c r="E153" s="1341"/>
      <c r="F153" s="1340" t="str">
        <f>IFERROR(Vulnerabilidad!F123,"")</f>
        <v/>
      </c>
      <c r="G153" s="1341"/>
      <c r="H153" s="1327" t="str">
        <f>IFERROR(Vulnerabilidad!H123,"")</f>
        <v/>
      </c>
      <c r="I153" s="1331"/>
      <c r="J153" s="1332"/>
      <c r="K153" s="75"/>
      <c r="L153" s="75"/>
      <c r="M153" s="75"/>
      <c r="XFA153" s="570"/>
      <c r="XFB153" s="570"/>
      <c r="XFC153" s="570"/>
      <c r="XFD153" s="570"/>
    </row>
    <row r="154" spans="2:22 16381:16384" s="69" customFormat="1" ht="15" customHeight="1" x14ac:dyDescent="0.2">
      <c r="B154" s="1323" t="str">
        <f t="shared" si="2"/>
        <v/>
      </c>
      <c r="C154" s="1324"/>
      <c r="D154" s="1340" t="str">
        <f>IFERROR(Vulnerabilidad!D124,"")</f>
        <v/>
      </c>
      <c r="E154" s="1341"/>
      <c r="F154" s="1340" t="str">
        <f>IFERROR(Vulnerabilidad!F124,"")</f>
        <v/>
      </c>
      <c r="G154" s="1341"/>
      <c r="H154" s="1333" t="str">
        <f>IFERROR(Vulnerabilidad!H124,"")</f>
        <v/>
      </c>
      <c r="I154" s="1334"/>
      <c r="J154" s="1335"/>
      <c r="K154" s="75"/>
      <c r="L154" s="75"/>
      <c r="M154" s="75"/>
      <c r="XFA154" s="570"/>
      <c r="XFB154" s="570"/>
      <c r="XFC154" s="570"/>
      <c r="XFD154" s="570"/>
    </row>
    <row r="155" spans="2:22 16381:16384" s="69" customFormat="1" ht="15" customHeight="1" x14ac:dyDescent="0.2">
      <c r="B155" s="1323" t="str">
        <f t="shared" si="2"/>
        <v/>
      </c>
      <c r="C155" s="1324"/>
      <c r="D155" s="1340" t="str">
        <f>IFERROR(Vulnerabilidad!D125,"")</f>
        <v/>
      </c>
      <c r="E155" s="1341"/>
      <c r="F155" s="1340" t="str">
        <f>IFERROR(Vulnerabilidad!F125,"")</f>
        <v/>
      </c>
      <c r="G155" s="1341"/>
      <c r="H155" s="1333" t="str">
        <f>IFERROR(Vulnerabilidad!H125,"")</f>
        <v/>
      </c>
      <c r="I155" s="1334"/>
      <c r="J155" s="1335"/>
      <c r="K155" s="75"/>
      <c r="L155" s="75"/>
      <c r="M155" s="75"/>
      <c r="XFA155" s="570"/>
      <c r="XFB155" s="570"/>
      <c r="XFC155" s="570"/>
      <c r="XFD155" s="570"/>
    </row>
    <row r="156" spans="2:22 16381:16384" s="69" customFormat="1" ht="15" customHeight="1" x14ac:dyDescent="0.2">
      <c r="B156" s="1323" t="str">
        <f t="shared" si="2"/>
        <v/>
      </c>
      <c r="C156" s="1324"/>
      <c r="D156" s="1340" t="str">
        <f>IFERROR(Vulnerabilidad!D126,"")</f>
        <v/>
      </c>
      <c r="E156" s="1341"/>
      <c r="F156" s="1340" t="str">
        <f>IFERROR(Vulnerabilidad!F126,"")</f>
        <v/>
      </c>
      <c r="G156" s="1341"/>
      <c r="H156" s="1333" t="str">
        <f>IFERROR(Vulnerabilidad!H126,"")</f>
        <v/>
      </c>
      <c r="I156" s="1334"/>
      <c r="J156" s="1335"/>
      <c r="K156" s="75"/>
      <c r="L156" s="75"/>
      <c r="M156" s="75"/>
      <c r="XFA156" s="570"/>
      <c r="XFB156" s="570"/>
      <c r="XFC156" s="570"/>
      <c r="XFD156" s="570"/>
    </row>
    <row r="157" spans="2:22 16381:16384" s="69" customFormat="1" ht="15" customHeight="1" x14ac:dyDescent="0.2">
      <c r="B157" s="1323" t="str">
        <f t="shared" si="2"/>
        <v/>
      </c>
      <c r="C157" s="1324"/>
      <c r="D157" s="1340" t="str">
        <f>IFERROR(Vulnerabilidad!D127,"")</f>
        <v/>
      </c>
      <c r="E157" s="1341"/>
      <c r="F157" s="1340" t="str">
        <f>IFERROR(Vulnerabilidad!F127,"")</f>
        <v/>
      </c>
      <c r="G157" s="1341"/>
      <c r="H157" s="1333" t="str">
        <f>IFERROR(Vulnerabilidad!H127,"")</f>
        <v/>
      </c>
      <c r="I157" s="1334"/>
      <c r="J157" s="1335"/>
      <c r="K157" s="75"/>
      <c r="L157" s="75"/>
      <c r="M157" s="75"/>
      <c r="XFA157" s="570"/>
      <c r="XFB157" s="570"/>
      <c r="XFC157" s="570"/>
      <c r="XFD157" s="570"/>
    </row>
    <row r="158" spans="2:22 16381:16384" s="217" customFormat="1" ht="15" customHeight="1" thickBot="1" x14ac:dyDescent="0.25">
      <c r="B158" s="1325" t="str">
        <f t="shared" si="2"/>
        <v/>
      </c>
      <c r="C158" s="1326"/>
      <c r="D158" s="1342" t="str">
        <f>IFERROR(Vulnerabilidad!D128,"")</f>
        <v/>
      </c>
      <c r="E158" s="1343"/>
      <c r="F158" s="1342" t="str">
        <f>IFERROR(Vulnerabilidad!F128,"")</f>
        <v/>
      </c>
      <c r="G158" s="1343"/>
      <c r="H158" s="1329" t="str">
        <f>IFERROR(Vulnerabilidad!H128,"")</f>
        <v/>
      </c>
      <c r="I158" s="1336"/>
      <c r="J158" s="1337"/>
      <c r="K158" s="75"/>
      <c r="L158" s="75"/>
      <c r="M158" s="75"/>
      <c r="N158" s="675"/>
      <c r="O158" s="675"/>
      <c r="P158" s="675"/>
      <c r="Q158" s="675"/>
      <c r="R158" s="675"/>
      <c r="S158" s="675"/>
      <c r="T158" s="675"/>
      <c r="U158" s="675"/>
      <c r="V158" s="675"/>
      <c r="XFA158" s="570"/>
      <c r="XFB158" s="570"/>
      <c r="XFC158" s="570"/>
      <c r="XFD158" s="570"/>
    </row>
    <row r="159" spans="2:22 16381:16384" s="217" customFormat="1" ht="15" customHeight="1" x14ac:dyDescent="0.2">
      <c r="B159" s="679"/>
      <c r="C159" s="679"/>
      <c r="D159" s="679"/>
      <c r="E159" s="679"/>
      <c r="F159" s="679"/>
      <c r="G159" s="679"/>
      <c r="H159" s="679"/>
      <c r="I159" s="679"/>
      <c r="J159" s="679"/>
      <c r="K159" s="679"/>
      <c r="L159" s="679"/>
      <c r="M159" s="675"/>
      <c r="N159" s="675"/>
      <c r="O159" s="675"/>
      <c r="P159" s="675"/>
      <c r="Q159" s="675"/>
      <c r="R159" s="675"/>
      <c r="S159" s="675"/>
      <c r="T159" s="675"/>
      <c r="U159" s="675"/>
      <c r="V159" s="675"/>
    </row>
    <row r="160" spans="2:22 16381:16384" s="675" customFormat="1" ht="15" customHeight="1" x14ac:dyDescent="0.2">
      <c r="B160" s="121" t="s">
        <v>5557</v>
      </c>
      <c r="C160" s="679"/>
      <c r="D160" s="679"/>
      <c r="E160" s="679"/>
      <c r="F160" s="679"/>
      <c r="G160" s="679"/>
      <c r="H160" s="679"/>
      <c r="I160" s="679"/>
      <c r="J160" s="679"/>
      <c r="K160" s="679"/>
      <c r="L160" s="679"/>
    </row>
    <row r="161" spans="2:18" s="675" customFormat="1" ht="8.1" customHeight="1" thickBot="1" x14ac:dyDescent="0.25">
      <c r="B161" s="121"/>
      <c r="C161" s="679"/>
      <c r="D161" s="679"/>
      <c r="E161" s="679"/>
      <c r="F161" s="679"/>
      <c r="G161" s="679"/>
      <c r="H161" s="679"/>
      <c r="I161" s="679"/>
      <c r="J161" s="679"/>
      <c r="K161" s="679"/>
      <c r="L161" s="679"/>
    </row>
    <row r="162" spans="2:18" s="675" customFormat="1" ht="28.5" customHeight="1" thickBot="1" x14ac:dyDescent="0.25">
      <c r="B162" s="1189" t="s">
        <v>27</v>
      </c>
      <c r="C162" s="1190"/>
      <c r="D162" s="1190" t="s">
        <v>5455</v>
      </c>
      <c r="E162" s="1190"/>
      <c r="F162" s="686" t="s">
        <v>4646</v>
      </c>
      <c r="G162" s="1193" t="s">
        <v>5558</v>
      </c>
      <c r="H162" s="1194"/>
      <c r="I162" s="1344"/>
      <c r="J162" s="686" t="s">
        <v>157</v>
      </c>
      <c r="K162" s="1193" t="s">
        <v>5559</v>
      </c>
      <c r="L162" s="1194"/>
      <c r="M162" s="1194"/>
      <c r="N162" s="1194"/>
      <c r="O162" s="1194"/>
      <c r="P162" s="1194"/>
      <c r="Q162" s="1194"/>
      <c r="R162" s="1195"/>
    </row>
    <row r="163" spans="2:18" s="675" customFormat="1" ht="24.95" customHeight="1" x14ac:dyDescent="0.2">
      <c r="B163" s="1345" t="str">
        <f>IFERROR(IF(D96="","",D96),"")</f>
        <v/>
      </c>
      <c r="C163" s="1346"/>
      <c r="D163" s="1351" t="str">
        <f>IFERROR(IF(B163="","",IF(B96="","",B96)),"")</f>
        <v/>
      </c>
      <c r="E163" s="1352"/>
      <c r="F163" s="682" t="str">
        <f>IFERROR(INDEX('Base de datos'!$Y$127:$Z$142,MATCH('UNIDAD PRODUCTORA'!D163,Infraestructura,0),1),"")</f>
        <v/>
      </c>
      <c r="G163" s="1239"/>
      <c r="H163" s="1240"/>
      <c r="I163" s="1357"/>
      <c r="J163" s="687"/>
      <c r="K163" s="1239"/>
      <c r="L163" s="1240"/>
      <c r="M163" s="1240"/>
      <c r="N163" s="1240"/>
      <c r="O163" s="1240"/>
      <c r="P163" s="1240"/>
      <c r="Q163" s="1240"/>
      <c r="R163" s="1241"/>
    </row>
    <row r="164" spans="2:18" s="675" customFormat="1" ht="24.95" customHeight="1" x14ac:dyDescent="0.2">
      <c r="B164" s="1347"/>
      <c r="C164" s="1348"/>
      <c r="D164" s="1353" t="str">
        <f>IFERROR(IF(B163="","",IF(B102="","",B102)),"")</f>
        <v/>
      </c>
      <c r="E164" s="1354"/>
      <c r="F164" s="680" t="str">
        <f>IFERROR(INDEX('Base de datos'!$Y$127:$Z$142,MATCH('UNIDAD PRODUCTORA'!D164,Infraestructura,0),1),"")</f>
        <v/>
      </c>
      <c r="G164" s="1233"/>
      <c r="H164" s="1234"/>
      <c r="I164" s="1358"/>
      <c r="J164" s="688"/>
      <c r="K164" s="1233"/>
      <c r="L164" s="1234"/>
      <c r="M164" s="1234"/>
      <c r="N164" s="1234"/>
      <c r="O164" s="1234"/>
      <c r="P164" s="1234"/>
      <c r="Q164" s="1234"/>
      <c r="R164" s="1235"/>
    </row>
    <row r="165" spans="2:18" s="675" customFormat="1" ht="24.95" customHeight="1" x14ac:dyDescent="0.2">
      <c r="B165" s="1347"/>
      <c r="C165" s="1348"/>
      <c r="D165" s="1353" t="str">
        <f>IFERROR(IF(B163="","",IF(B108="","",B108)),"")</f>
        <v/>
      </c>
      <c r="E165" s="1354"/>
      <c r="F165" s="680" t="str">
        <f>IFERROR(INDEX('Base de datos'!$Y$127:$Z$142,MATCH('UNIDAD PRODUCTORA'!D165,Infraestructura,0),1),"")</f>
        <v/>
      </c>
      <c r="G165" s="1233"/>
      <c r="H165" s="1234"/>
      <c r="I165" s="1358"/>
      <c r="J165" s="688"/>
      <c r="K165" s="1233"/>
      <c r="L165" s="1234"/>
      <c r="M165" s="1234"/>
      <c r="N165" s="1234"/>
      <c r="O165" s="1234"/>
      <c r="P165" s="1234"/>
      <c r="Q165" s="1234"/>
      <c r="R165" s="1235"/>
    </row>
    <row r="166" spans="2:18" s="675" customFormat="1" ht="24.95" customHeight="1" x14ac:dyDescent="0.2">
      <c r="B166" s="1347"/>
      <c r="C166" s="1348"/>
      <c r="D166" s="1353" t="str">
        <f>IFERROR(IF(B163="","",IF(B114="","",B114)),"")</f>
        <v/>
      </c>
      <c r="E166" s="1354"/>
      <c r="F166" s="680" t="str">
        <f>IFERROR(INDEX('Base de datos'!$Y$127:$Z$142,MATCH('UNIDAD PRODUCTORA'!D166,Infraestructura,0),1),"")</f>
        <v/>
      </c>
      <c r="G166" s="1233"/>
      <c r="H166" s="1234"/>
      <c r="I166" s="1358"/>
      <c r="J166" s="688"/>
      <c r="K166" s="1233"/>
      <c r="L166" s="1234"/>
      <c r="M166" s="1234"/>
      <c r="N166" s="1234"/>
      <c r="O166" s="1234"/>
      <c r="P166" s="1234"/>
      <c r="Q166" s="1234"/>
      <c r="R166" s="1235"/>
    </row>
    <row r="167" spans="2:18" s="675" customFormat="1" ht="24.95" customHeight="1" x14ac:dyDescent="0.2">
      <c r="B167" s="1347"/>
      <c r="C167" s="1348"/>
      <c r="D167" s="1353" t="str">
        <f>IFERROR(IF(B163="","",IF(B120="","",B120)),"")</f>
        <v/>
      </c>
      <c r="E167" s="1354"/>
      <c r="F167" s="680" t="str">
        <f>IFERROR(INDEX('Base de datos'!$Y$127:$Z$142,MATCH('UNIDAD PRODUCTORA'!D167,Infraestructura,0),1),"")</f>
        <v/>
      </c>
      <c r="G167" s="1233"/>
      <c r="H167" s="1234"/>
      <c r="I167" s="1358"/>
      <c r="J167" s="688"/>
      <c r="K167" s="1233"/>
      <c r="L167" s="1234"/>
      <c r="M167" s="1234"/>
      <c r="N167" s="1234"/>
      <c r="O167" s="1234"/>
      <c r="P167" s="1234"/>
      <c r="Q167" s="1234"/>
      <c r="R167" s="1235"/>
    </row>
    <row r="168" spans="2:18" s="675" customFormat="1" ht="24.95" customHeight="1" thickBot="1" x14ac:dyDescent="0.25">
      <c r="B168" s="1349"/>
      <c r="C168" s="1350"/>
      <c r="D168" s="1355" t="str">
        <f>IFERROR(IF(B163="","",IF(B126="","",B126)),"")</f>
        <v/>
      </c>
      <c r="E168" s="1356"/>
      <c r="F168" s="681" t="str">
        <f>IFERROR(INDEX('Base de datos'!$Y$127:$Z$142,MATCH('UNIDAD PRODUCTORA'!D168,Infraestructura,0),1),"")</f>
        <v/>
      </c>
      <c r="G168" s="1230"/>
      <c r="H168" s="1231"/>
      <c r="I168" s="1359"/>
      <c r="J168" s="689"/>
      <c r="K168" s="1230"/>
      <c r="L168" s="1231"/>
      <c r="M168" s="1231"/>
      <c r="N168" s="1231"/>
      <c r="O168" s="1231"/>
      <c r="P168" s="1231"/>
      <c r="Q168" s="1231"/>
      <c r="R168" s="1232"/>
    </row>
    <row r="169" spans="2:18" s="675" customFormat="1" ht="24.95" customHeight="1" x14ac:dyDescent="0.2">
      <c r="B169" s="1345" t="str">
        <f>IFERROR(IF(D97="","",D97),"")</f>
        <v/>
      </c>
      <c r="C169" s="1360"/>
      <c r="D169" s="1363" t="str">
        <f t="shared" ref="D169:D174" si="3">IFERROR(IF($B$169="","",IF(D163="","",D163)),"")</f>
        <v/>
      </c>
      <c r="E169" s="1364"/>
      <c r="F169" s="682" t="str">
        <f>IFERROR(INDEX('Base de datos'!$Y$127:$Z$142,MATCH('UNIDAD PRODUCTORA'!D169,Infraestructura,0),1),"")</f>
        <v/>
      </c>
      <c r="G169" s="1239"/>
      <c r="H169" s="1240"/>
      <c r="I169" s="1357"/>
      <c r="J169" s="687"/>
      <c r="K169" s="1236"/>
      <c r="L169" s="1237"/>
      <c r="M169" s="1237"/>
      <c r="N169" s="1237"/>
      <c r="O169" s="1237"/>
      <c r="P169" s="1237"/>
      <c r="Q169" s="1237"/>
      <c r="R169" s="1238"/>
    </row>
    <row r="170" spans="2:18" s="675" customFormat="1" ht="24.95" customHeight="1" x14ac:dyDescent="0.2">
      <c r="B170" s="1347"/>
      <c r="C170" s="1361"/>
      <c r="D170" s="1353" t="str">
        <f t="shared" si="3"/>
        <v/>
      </c>
      <c r="E170" s="1354"/>
      <c r="F170" s="680" t="str">
        <f>IFERROR(INDEX('Base de datos'!$Y$127:$Z$142,MATCH('UNIDAD PRODUCTORA'!D170,Infraestructura,0),1),"")</f>
        <v/>
      </c>
      <c r="G170" s="1233"/>
      <c r="H170" s="1234"/>
      <c r="I170" s="1358"/>
      <c r="J170" s="688"/>
      <c r="K170" s="1233"/>
      <c r="L170" s="1234"/>
      <c r="M170" s="1234"/>
      <c r="N170" s="1234"/>
      <c r="O170" s="1234"/>
      <c r="P170" s="1234"/>
      <c r="Q170" s="1234"/>
      <c r="R170" s="1235"/>
    </row>
    <row r="171" spans="2:18" s="675" customFormat="1" ht="24.95" customHeight="1" x14ac:dyDescent="0.2">
      <c r="B171" s="1347"/>
      <c r="C171" s="1361"/>
      <c r="D171" s="1353" t="str">
        <f t="shared" si="3"/>
        <v/>
      </c>
      <c r="E171" s="1354"/>
      <c r="F171" s="680" t="str">
        <f>IFERROR(INDEX('Base de datos'!$Y$127:$Z$142,MATCH('UNIDAD PRODUCTORA'!D171,Infraestructura,0),1),"")</f>
        <v/>
      </c>
      <c r="G171" s="1233"/>
      <c r="H171" s="1234"/>
      <c r="I171" s="1358"/>
      <c r="J171" s="688"/>
      <c r="K171" s="1233"/>
      <c r="L171" s="1234"/>
      <c r="M171" s="1234"/>
      <c r="N171" s="1234"/>
      <c r="O171" s="1234"/>
      <c r="P171" s="1234"/>
      <c r="Q171" s="1234"/>
      <c r="R171" s="1235"/>
    </row>
    <row r="172" spans="2:18" s="675" customFormat="1" ht="24.95" customHeight="1" x14ac:dyDescent="0.2">
      <c r="B172" s="1347"/>
      <c r="C172" s="1361"/>
      <c r="D172" s="1353" t="str">
        <f t="shared" si="3"/>
        <v/>
      </c>
      <c r="E172" s="1354"/>
      <c r="F172" s="680" t="str">
        <f>IFERROR(INDEX('Base de datos'!$Y$127:$Z$142,MATCH('UNIDAD PRODUCTORA'!D172,Infraestructura,0),1),"")</f>
        <v/>
      </c>
      <c r="G172" s="1233"/>
      <c r="H172" s="1234"/>
      <c r="I172" s="1358"/>
      <c r="J172" s="688"/>
      <c r="K172" s="1233"/>
      <c r="L172" s="1234"/>
      <c r="M172" s="1234"/>
      <c r="N172" s="1234"/>
      <c r="O172" s="1234"/>
      <c r="P172" s="1234"/>
      <c r="Q172" s="1234"/>
      <c r="R172" s="1235"/>
    </row>
    <row r="173" spans="2:18" s="675" customFormat="1" ht="24.95" customHeight="1" x14ac:dyDescent="0.2">
      <c r="B173" s="1347"/>
      <c r="C173" s="1361"/>
      <c r="D173" s="1353" t="str">
        <f t="shared" si="3"/>
        <v/>
      </c>
      <c r="E173" s="1354"/>
      <c r="F173" s="680" t="str">
        <f>IFERROR(INDEX('Base de datos'!$Y$127:$Z$142,MATCH('UNIDAD PRODUCTORA'!D173,Infraestructura,0),1),"")</f>
        <v/>
      </c>
      <c r="G173" s="1233"/>
      <c r="H173" s="1234"/>
      <c r="I173" s="1358"/>
      <c r="J173" s="688"/>
      <c r="K173" s="1233"/>
      <c r="L173" s="1234"/>
      <c r="M173" s="1234"/>
      <c r="N173" s="1234"/>
      <c r="O173" s="1234"/>
      <c r="P173" s="1234"/>
      <c r="Q173" s="1234"/>
      <c r="R173" s="1235"/>
    </row>
    <row r="174" spans="2:18" s="675" customFormat="1" ht="24.95" customHeight="1" thickBot="1" x14ac:dyDescent="0.25">
      <c r="B174" s="1349"/>
      <c r="C174" s="1362"/>
      <c r="D174" s="1365" t="str">
        <f t="shared" si="3"/>
        <v/>
      </c>
      <c r="E174" s="1366"/>
      <c r="F174" s="681" t="str">
        <f>IFERROR(INDEX('Base de datos'!$Y$127:$Z$142,MATCH('UNIDAD PRODUCTORA'!D174,Infraestructura,0),1),"")</f>
        <v/>
      </c>
      <c r="G174" s="1230"/>
      <c r="H174" s="1231"/>
      <c r="I174" s="1359"/>
      <c r="J174" s="689"/>
      <c r="K174" s="1230"/>
      <c r="L174" s="1231"/>
      <c r="M174" s="1231"/>
      <c r="N174" s="1231"/>
      <c r="O174" s="1231"/>
      <c r="P174" s="1231"/>
      <c r="Q174" s="1231"/>
      <c r="R174" s="1232"/>
    </row>
    <row r="175" spans="2:18" s="675" customFormat="1" ht="24.95" customHeight="1" x14ac:dyDescent="0.2">
      <c r="B175" s="1345" t="str">
        <f>IFERROR(IF(D98="","",D98),"")</f>
        <v/>
      </c>
      <c r="C175" s="1360"/>
      <c r="D175" s="1363" t="str">
        <f t="shared" ref="D175:D180" si="4">IFERROR(IF($B$175="","",IF(D163="","",D163)),"")</f>
        <v/>
      </c>
      <c r="E175" s="1364"/>
      <c r="F175" s="682" t="str">
        <f>IFERROR(INDEX('Base de datos'!$Y$127:$Z$142,MATCH('UNIDAD PRODUCTORA'!D175,Infraestructura,0),1),"")</f>
        <v/>
      </c>
      <c r="G175" s="1239"/>
      <c r="H175" s="1240"/>
      <c r="I175" s="1357"/>
      <c r="J175" s="687"/>
      <c r="K175" s="1236"/>
      <c r="L175" s="1237"/>
      <c r="M175" s="1237"/>
      <c r="N175" s="1237"/>
      <c r="O175" s="1237"/>
      <c r="P175" s="1237"/>
      <c r="Q175" s="1237"/>
      <c r="R175" s="1238"/>
    </row>
    <row r="176" spans="2:18" s="675" customFormat="1" ht="24.95" customHeight="1" x14ac:dyDescent="0.2">
      <c r="B176" s="1347"/>
      <c r="C176" s="1361"/>
      <c r="D176" s="1353" t="str">
        <f t="shared" si="4"/>
        <v/>
      </c>
      <c r="E176" s="1354"/>
      <c r="F176" s="680" t="str">
        <f>IFERROR(INDEX('Base de datos'!$Y$127:$Z$142,MATCH('UNIDAD PRODUCTORA'!D176,Infraestructura,0),1),"")</f>
        <v/>
      </c>
      <c r="G176" s="1233"/>
      <c r="H176" s="1234"/>
      <c r="I176" s="1358"/>
      <c r="J176" s="688"/>
      <c r="K176" s="1233"/>
      <c r="L176" s="1234"/>
      <c r="M176" s="1234"/>
      <c r="N176" s="1234"/>
      <c r="O176" s="1234"/>
      <c r="P176" s="1234"/>
      <c r="Q176" s="1234"/>
      <c r="R176" s="1235"/>
    </row>
    <row r="177" spans="2:18" s="675" customFormat="1" ht="24.95" customHeight="1" x14ac:dyDescent="0.2">
      <c r="B177" s="1347"/>
      <c r="C177" s="1361"/>
      <c r="D177" s="1353" t="str">
        <f t="shared" si="4"/>
        <v/>
      </c>
      <c r="E177" s="1354"/>
      <c r="F177" s="680" t="str">
        <f>IFERROR(INDEX('Base de datos'!$Y$127:$Z$142,MATCH('UNIDAD PRODUCTORA'!D177,Infraestructura,0),1),"")</f>
        <v/>
      </c>
      <c r="G177" s="1233"/>
      <c r="H177" s="1234"/>
      <c r="I177" s="1358"/>
      <c r="J177" s="688"/>
      <c r="K177" s="1233"/>
      <c r="L177" s="1234"/>
      <c r="M177" s="1234"/>
      <c r="N177" s="1234"/>
      <c r="O177" s="1234"/>
      <c r="P177" s="1234"/>
      <c r="Q177" s="1234"/>
      <c r="R177" s="1235"/>
    </row>
    <row r="178" spans="2:18" s="675" customFormat="1" ht="24.95" customHeight="1" x14ac:dyDescent="0.2">
      <c r="B178" s="1347"/>
      <c r="C178" s="1361"/>
      <c r="D178" s="1353" t="str">
        <f t="shared" si="4"/>
        <v/>
      </c>
      <c r="E178" s="1354"/>
      <c r="F178" s="680" t="str">
        <f>IFERROR(INDEX('Base de datos'!$Y$127:$Z$142,MATCH('UNIDAD PRODUCTORA'!D178,Infraestructura,0),1),"")</f>
        <v/>
      </c>
      <c r="G178" s="1233"/>
      <c r="H178" s="1234"/>
      <c r="I178" s="1358"/>
      <c r="J178" s="688"/>
      <c r="K178" s="1233"/>
      <c r="L178" s="1234"/>
      <c r="M178" s="1234"/>
      <c r="N178" s="1234"/>
      <c r="O178" s="1234"/>
      <c r="P178" s="1234"/>
      <c r="Q178" s="1234"/>
      <c r="R178" s="1235"/>
    </row>
    <row r="179" spans="2:18" s="675" customFormat="1" ht="24.95" customHeight="1" x14ac:dyDescent="0.2">
      <c r="B179" s="1347"/>
      <c r="C179" s="1361"/>
      <c r="D179" s="1353" t="str">
        <f t="shared" si="4"/>
        <v/>
      </c>
      <c r="E179" s="1354"/>
      <c r="F179" s="680" t="str">
        <f>IFERROR(INDEX('Base de datos'!$Y$127:$Z$142,MATCH('UNIDAD PRODUCTORA'!D179,Infraestructura,0),1),"")</f>
        <v/>
      </c>
      <c r="G179" s="1233"/>
      <c r="H179" s="1234"/>
      <c r="I179" s="1358"/>
      <c r="J179" s="688"/>
      <c r="K179" s="1233"/>
      <c r="L179" s="1234"/>
      <c r="M179" s="1234"/>
      <c r="N179" s="1234"/>
      <c r="O179" s="1234"/>
      <c r="P179" s="1234"/>
      <c r="Q179" s="1234"/>
      <c r="R179" s="1235"/>
    </row>
    <row r="180" spans="2:18" s="675" customFormat="1" ht="24.95" customHeight="1" thickBot="1" x14ac:dyDescent="0.25">
      <c r="B180" s="1349"/>
      <c r="C180" s="1362"/>
      <c r="D180" s="1367" t="str">
        <f t="shared" si="4"/>
        <v/>
      </c>
      <c r="E180" s="1368"/>
      <c r="F180" s="681" t="str">
        <f>IFERROR(INDEX('Base de datos'!$Y$127:$Z$142,MATCH('UNIDAD PRODUCTORA'!D180,Infraestructura,0),1),"")</f>
        <v/>
      </c>
      <c r="G180" s="1230"/>
      <c r="H180" s="1231"/>
      <c r="I180" s="1359"/>
      <c r="J180" s="689"/>
      <c r="K180" s="1230"/>
      <c r="L180" s="1231"/>
      <c r="M180" s="1231"/>
      <c r="N180" s="1231"/>
      <c r="O180" s="1231"/>
      <c r="P180" s="1231"/>
      <c r="Q180" s="1231"/>
      <c r="R180" s="1232"/>
    </row>
    <row r="181" spans="2:18" s="675" customFormat="1" ht="24.95" customHeight="1" x14ac:dyDescent="0.2">
      <c r="B181" s="1345" t="str">
        <f>IFERROR(IF(D99="","",D99),"")</f>
        <v/>
      </c>
      <c r="C181" s="1360"/>
      <c r="D181" s="1363" t="str">
        <f t="shared" ref="D181:D186" si="5">IFERROR(IF($B$181="","",IF(D163="","",D163)),"")</f>
        <v/>
      </c>
      <c r="E181" s="1364"/>
      <c r="F181" s="682" t="str">
        <f>IFERROR(INDEX('Base de datos'!$Y$127:$Z$142,MATCH('UNIDAD PRODUCTORA'!D181,Infraestructura,0),1),"")</f>
        <v/>
      </c>
      <c r="G181" s="1239"/>
      <c r="H181" s="1240"/>
      <c r="I181" s="1357"/>
      <c r="J181" s="687"/>
      <c r="K181" s="1236"/>
      <c r="L181" s="1237"/>
      <c r="M181" s="1237"/>
      <c r="N181" s="1237"/>
      <c r="O181" s="1237"/>
      <c r="P181" s="1237"/>
      <c r="Q181" s="1237"/>
      <c r="R181" s="1238"/>
    </row>
    <row r="182" spans="2:18" s="675" customFormat="1" ht="24.95" customHeight="1" x14ac:dyDescent="0.2">
      <c r="B182" s="1347"/>
      <c r="C182" s="1361"/>
      <c r="D182" s="1353" t="str">
        <f t="shared" si="5"/>
        <v/>
      </c>
      <c r="E182" s="1354"/>
      <c r="F182" s="680" t="str">
        <f>IFERROR(INDEX('Base de datos'!$Y$127:$Z$142,MATCH('UNIDAD PRODUCTORA'!D182,Infraestructura,0),1),"")</f>
        <v/>
      </c>
      <c r="G182" s="1233"/>
      <c r="H182" s="1234"/>
      <c r="I182" s="1358"/>
      <c r="J182" s="688"/>
      <c r="K182" s="1233"/>
      <c r="L182" s="1234"/>
      <c r="M182" s="1234"/>
      <c r="N182" s="1234"/>
      <c r="O182" s="1234"/>
      <c r="P182" s="1234"/>
      <c r="Q182" s="1234"/>
      <c r="R182" s="1235"/>
    </row>
    <row r="183" spans="2:18" s="675" customFormat="1" ht="24.95" customHeight="1" x14ac:dyDescent="0.2">
      <c r="B183" s="1347"/>
      <c r="C183" s="1361"/>
      <c r="D183" s="1353" t="str">
        <f t="shared" si="5"/>
        <v/>
      </c>
      <c r="E183" s="1354"/>
      <c r="F183" s="680" t="str">
        <f>IFERROR(INDEX('Base de datos'!$Y$127:$Z$142,MATCH('UNIDAD PRODUCTORA'!D183,Infraestructura,0),1),"")</f>
        <v/>
      </c>
      <c r="G183" s="1233"/>
      <c r="H183" s="1234"/>
      <c r="I183" s="1358"/>
      <c r="J183" s="688"/>
      <c r="K183" s="1233"/>
      <c r="L183" s="1234"/>
      <c r="M183" s="1234"/>
      <c r="N183" s="1234"/>
      <c r="O183" s="1234"/>
      <c r="P183" s="1234"/>
      <c r="Q183" s="1234"/>
      <c r="R183" s="1235"/>
    </row>
    <row r="184" spans="2:18" s="675" customFormat="1" ht="24.95" customHeight="1" x14ac:dyDescent="0.2">
      <c r="B184" s="1347"/>
      <c r="C184" s="1361"/>
      <c r="D184" s="1353" t="str">
        <f t="shared" si="5"/>
        <v/>
      </c>
      <c r="E184" s="1354"/>
      <c r="F184" s="680" t="str">
        <f>IFERROR(INDEX('Base de datos'!$Y$127:$Z$142,MATCH('UNIDAD PRODUCTORA'!D184,Infraestructura,0),1),"")</f>
        <v/>
      </c>
      <c r="G184" s="1233"/>
      <c r="H184" s="1234"/>
      <c r="I184" s="1358"/>
      <c r="J184" s="688"/>
      <c r="K184" s="1233"/>
      <c r="L184" s="1234"/>
      <c r="M184" s="1234"/>
      <c r="N184" s="1234"/>
      <c r="O184" s="1234"/>
      <c r="P184" s="1234"/>
      <c r="Q184" s="1234"/>
      <c r="R184" s="1235"/>
    </row>
    <row r="185" spans="2:18" s="675" customFormat="1" ht="24.95" customHeight="1" x14ac:dyDescent="0.2">
      <c r="B185" s="1347"/>
      <c r="C185" s="1361"/>
      <c r="D185" s="1353" t="str">
        <f t="shared" si="5"/>
        <v/>
      </c>
      <c r="E185" s="1354"/>
      <c r="F185" s="680" t="str">
        <f>IFERROR(INDEX('Base de datos'!$Y$127:$Z$142,MATCH('UNIDAD PRODUCTORA'!D185,Infraestructura,0),1),"")</f>
        <v/>
      </c>
      <c r="G185" s="1233"/>
      <c r="H185" s="1234"/>
      <c r="I185" s="1358"/>
      <c r="J185" s="688"/>
      <c r="K185" s="1233"/>
      <c r="L185" s="1234"/>
      <c r="M185" s="1234"/>
      <c r="N185" s="1234"/>
      <c r="O185" s="1234"/>
      <c r="P185" s="1234"/>
      <c r="Q185" s="1234"/>
      <c r="R185" s="1235"/>
    </row>
    <row r="186" spans="2:18" s="675" customFormat="1" ht="24.95" customHeight="1" thickBot="1" x14ac:dyDescent="0.25">
      <c r="B186" s="1349"/>
      <c r="C186" s="1362"/>
      <c r="D186" s="1367" t="str">
        <f t="shared" si="5"/>
        <v/>
      </c>
      <c r="E186" s="1368"/>
      <c r="F186" s="681" t="str">
        <f>IFERROR(INDEX('Base de datos'!$Y$127:$Z$142,MATCH('UNIDAD PRODUCTORA'!D186,Infraestructura,0),1),"")</f>
        <v/>
      </c>
      <c r="G186" s="1230"/>
      <c r="H186" s="1231"/>
      <c r="I186" s="1359"/>
      <c r="J186" s="689"/>
      <c r="K186" s="1230"/>
      <c r="L186" s="1231"/>
      <c r="M186" s="1231"/>
      <c r="N186" s="1231"/>
      <c r="O186" s="1231"/>
      <c r="P186" s="1231"/>
      <c r="Q186" s="1231"/>
      <c r="R186" s="1232"/>
    </row>
    <row r="187" spans="2:18" s="675" customFormat="1" ht="24.95" customHeight="1" x14ac:dyDescent="0.2">
      <c r="B187" s="1345" t="str">
        <f>IFERROR(IF(D100="","",D100),"")</f>
        <v/>
      </c>
      <c r="C187" s="1360"/>
      <c r="D187" s="1363" t="str">
        <f t="shared" ref="D187:D192" si="6">IFERROR(IF($B$187="","",IF(D163="","",D163)),"")</f>
        <v/>
      </c>
      <c r="E187" s="1364"/>
      <c r="F187" s="682" t="str">
        <f>IFERROR(INDEX('Base de datos'!$Y$127:$Z$142,MATCH('UNIDAD PRODUCTORA'!D187,Infraestructura,0),1),"")</f>
        <v/>
      </c>
      <c r="G187" s="1239"/>
      <c r="H187" s="1240"/>
      <c r="I187" s="1357"/>
      <c r="J187" s="687"/>
      <c r="K187" s="1236"/>
      <c r="L187" s="1237"/>
      <c r="M187" s="1237"/>
      <c r="N187" s="1237"/>
      <c r="O187" s="1237"/>
      <c r="P187" s="1237"/>
      <c r="Q187" s="1237"/>
      <c r="R187" s="1238"/>
    </row>
    <row r="188" spans="2:18" s="675" customFormat="1" ht="24.95" customHeight="1" x14ac:dyDescent="0.2">
      <c r="B188" s="1347"/>
      <c r="C188" s="1361"/>
      <c r="D188" s="1353" t="str">
        <f t="shared" si="6"/>
        <v/>
      </c>
      <c r="E188" s="1354"/>
      <c r="F188" s="680" t="str">
        <f>IFERROR(INDEX('Base de datos'!$Y$127:$Z$142,MATCH('UNIDAD PRODUCTORA'!D188,Infraestructura,0),1),"")</f>
        <v/>
      </c>
      <c r="G188" s="1233"/>
      <c r="H188" s="1234"/>
      <c r="I188" s="1358"/>
      <c r="J188" s="688"/>
      <c r="K188" s="1233"/>
      <c r="L188" s="1234"/>
      <c r="M188" s="1234"/>
      <c r="N188" s="1234"/>
      <c r="O188" s="1234"/>
      <c r="P188" s="1234"/>
      <c r="Q188" s="1234"/>
      <c r="R188" s="1235"/>
    </row>
    <row r="189" spans="2:18" s="675" customFormat="1" ht="24.95" customHeight="1" x14ac:dyDescent="0.2">
      <c r="B189" s="1347"/>
      <c r="C189" s="1361"/>
      <c r="D189" s="1353" t="str">
        <f t="shared" si="6"/>
        <v/>
      </c>
      <c r="E189" s="1354"/>
      <c r="F189" s="680" t="str">
        <f>IFERROR(INDEX('Base de datos'!$Y$127:$Z$142,MATCH('UNIDAD PRODUCTORA'!D189,Infraestructura,0),1),"")</f>
        <v/>
      </c>
      <c r="G189" s="1233"/>
      <c r="H189" s="1234"/>
      <c r="I189" s="1358"/>
      <c r="J189" s="688"/>
      <c r="K189" s="1233"/>
      <c r="L189" s="1234"/>
      <c r="M189" s="1234"/>
      <c r="N189" s="1234"/>
      <c r="O189" s="1234"/>
      <c r="P189" s="1234"/>
      <c r="Q189" s="1234"/>
      <c r="R189" s="1235"/>
    </row>
    <row r="190" spans="2:18" s="675" customFormat="1" ht="24.95" customHeight="1" x14ac:dyDescent="0.2">
      <c r="B190" s="1347"/>
      <c r="C190" s="1361"/>
      <c r="D190" s="1353" t="str">
        <f t="shared" si="6"/>
        <v/>
      </c>
      <c r="E190" s="1354"/>
      <c r="F190" s="680" t="str">
        <f>IFERROR(INDEX('Base de datos'!$Y$127:$Z$142,MATCH('UNIDAD PRODUCTORA'!D190,Infraestructura,0),1),"")</f>
        <v/>
      </c>
      <c r="G190" s="1233"/>
      <c r="H190" s="1234"/>
      <c r="I190" s="1358"/>
      <c r="J190" s="688"/>
      <c r="K190" s="1233"/>
      <c r="L190" s="1234"/>
      <c r="M190" s="1234"/>
      <c r="N190" s="1234"/>
      <c r="O190" s="1234"/>
      <c r="P190" s="1234"/>
      <c r="Q190" s="1234"/>
      <c r="R190" s="1235"/>
    </row>
    <row r="191" spans="2:18" s="675" customFormat="1" ht="24.95" customHeight="1" x14ac:dyDescent="0.2">
      <c r="B191" s="1347"/>
      <c r="C191" s="1361"/>
      <c r="D191" s="1353" t="str">
        <f t="shared" si="6"/>
        <v/>
      </c>
      <c r="E191" s="1354"/>
      <c r="F191" s="680" t="str">
        <f>IFERROR(INDEX('Base de datos'!$Y$127:$Z$142,MATCH('UNIDAD PRODUCTORA'!D191,Infraestructura,0),1),"")</f>
        <v/>
      </c>
      <c r="G191" s="1233"/>
      <c r="H191" s="1234"/>
      <c r="I191" s="1358"/>
      <c r="J191" s="688"/>
      <c r="K191" s="1233"/>
      <c r="L191" s="1234"/>
      <c r="M191" s="1234"/>
      <c r="N191" s="1234"/>
      <c r="O191" s="1234"/>
      <c r="P191" s="1234"/>
      <c r="Q191" s="1234"/>
      <c r="R191" s="1235"/>
    </row>
    <row r="192" spans="2:18" s="675" customFormat="1" ht="24.95" customHeight="1" thickBot="1" x14ac:dyDescent="0.25">
      <c r="B192" s="1349"/>
      <c r="C192" s="1362"/>
      <c r="D192" s="1367" t="str">
        <f t="shared" si="6"/>
        <v/>
      </c>
      <c r="E192" s="1368"/>
      <c r="F192" s="681" t="str">
        <f>IFERROR(INDEX('Base de datos'!$Y$127:$Z$142,MATCH('UNIDAD PRODUCTORA'!D192,Infraestructura,0),1),"")</f>
        <v/>
      </c>
      <c r="G192" s="1230"/>
      <c r="H192" s="1231"/>
      <c r="I192" s="1359"/>
      <c r="J192" s="689"/>
      <c r="K192" s="1230"/>
      <c r="L192" s="1231"/>
      <c r="M192" s="1231"/>
      <c r="N192" s="1231"/>
      <c r="O192" s="1231"/>
      <c r="P192" s="1231"/>
      <c r="Q192" s="1231"/>
      <c r="R192" s="1232"/>
    </row>
    <row r="193" spans="2:20" s="675" customFormat="1" ht="24.95" customHeight="1" x14ac:dyDescent="0.2">
      <c r="B193" s="1345" t="str">
        <f>IFERROR(IF(D101="","",D101),"")</f>
        <v/>
      </c>
      <c r="C193" s="1346"/>
      <c r="D193" s="1363" t="str">
        <f t="shared" ref="D193:D198" si="7">IFERROR(IF($B$193="","",IF(D163="","",D163)),"")</f>
        <v/>
      </c>
      <c r="E193" s="1364"/>
      <c r="F193" s="682" t="str">
        <f>IFERROR(INDEX('Base de datos'!$Y$127:$Z$142,MATCH('UNIDAD PRODUCTORA'!D193,Infraestructura,0),1),"")</f>
        <v/>
      </c>
      <c r="G193" s="1239"/>
      <c r="H193" s="1240"/>
      <c r="I193" s="1357"/>
      <c r="J193" s="690"/>
      <c r="K193" s="1236"/>
      <c r="L193" s="1237"/>
      <c r="M193" s="1237"/>
      <c r="N193" s="1237"/>
      <c r="O193" s="1237"/>
      <c r="P193" s="1237"/>
      <c r="Q193" s="1237"/>
      <c r="R193" s="1238"/>
    </row>
    <row r="194" spans="2:20" s="675" customFormat="1" ht="24.95" customHeight="1" x14ac:dyDescent="0.2">
      <c r="B194" s="1347"/>
      <c r="C194" s="1348"/>
      <c r="D194" s="1353" t="str">
        <f t="shared" si="7"/>
        <v/>
      </c>
      <c r="E194" s="1354"/>
      <c r="F194" s="680" t="str">
        <f>IFERROR(INDEX('Base de datos'!$Y$127:$Z$142,MATCH('UNIDAD PRODUCTORA'!D194,Infraestructura,0),1),"")</f>
        <v/>
      </c>
      <c r="G194" s="1233"/>
      <c r="H194" s="1234"/>
      <c r="I194" s="1358"/>
      <c r="J194" s="688"/>
      <c r="K194" s="1233"/>
      <c r="L194" s="1234"/>
      <c r="M194" s="1234"/>
      <c r="N194" s="1234"/>
      <c r="O194" s="1234"/>
      <c r="P194" s="1234"/>
      <c r="Q194" s="1234"/>
      <c r="R194" s="1235"/>
    </row>
    <row r="195" spans="2:20" s="675" customFormat="1" ht="24.95" customHeight="1" x14ac:dyDescent="0.2">
      <c r="B195" s="1347"/>
      <c r="C195" s="1348"/>
      <c r="D195" s="1353" t="str">
        <f t="shared" si="7"/>
        <v/>
      </c>
      <c r="E195" s="1354"/>
      <c r="F195" s="680" t="str">
        <f>IFERROR(INDEX('Base de datos'!$Y$127:$Z$142,MATCH('UNIDAD PRODUCTORA'!D195,Infraestructura,0),1),"")</f>
        <v/>
      </c>
      <c r="G195" s="1233"/>
      <c r="H195" s="1234"/>
      <c r="I195" s="1358"/>
      <c r="J195" s="688"/>
      <c r="K195" s="1233"/>
      <c r="L195" s="1234"/>
      <c r="M195" s="1234"/>
      <c r="N195" s="1234"/>
      <c r="O195" s="1234"/>
      <c r="P195" s="1234"/>
      <c r="Q195" s="1234"/>
      <c r="R195" s="1235"/>
    </row>
    <row r="196" spans="2:20" s="675" customFormat="1" ht="24.95" customHeight="1" x14ac:dyDescent="0.2">
      <c r="B196" s="1347"/>
      <c r="C196" s="1348"/>
      <c r="D196" s="1353" t="str">
        <f t="shared" si="7"/>
        <v/>
      </c>
      <c r="E196" s="1354"/>
      <c r="F196" s="680" t="str">
        <f>IFERROR(INDEX('Base de datos'!$Y$127:$Z$142,MATCH('UNIDAD PRODUCTORA'!D196,Infraestructura,0),1),"")</f>
        <v/>
      </c>
      <c r="G196" s="1233"/>
      <c r="H196" s="1234"/>
      <c r="I196" s="1358"/>
      <c r="J196" s="688"/>
      <c r="K196" s="1233"/>
      <c r="L196" s="1234"/>
      <c r="M196" s="1234"/>
      <c r="N196" s="1234"/>
      <c r="O196" s="1234"/>
      <c r="P196" s="1234"/>
      <c r="Q196" s="1234"/>
      <c r="R196" s="1235"/>
    </row>
    <row r="197" spans="2:20" s="675" customFormat="1" ht="24.95" customHeight="1" x14ac:dyDescent="0.2">
      <c r="B197" s="1347"/>
      <c r="C197" s="1348"/>
      <c r="D197" s="1353" t="str">
        <f t="shared" si="7"/>
        <v/>
      </c>
      <c r="E197" s="1354"/>
      <c r="F197" s="680" t="str">
        <f>IFERROR(INDEX('Base de datos'!$Y$127:$Z$142,MATCH('UNIDAD PRODUCTORA'!D197,Infraestructura,0),1),"")</f>
        <v/>
      </c>
      <c r="G197" s="1233"/>
      <c r="H197" s="1234"/>
      <c r="I197" s="1358"/>
      <c r="J197" s="688"/>
      <c r="K197" s="1233"/>
      <c r="L197" s="1234"/>
      <c r="M197" s="1234"/>
      <c r="N197" s="1234"/>
      <c r="O197" s="1234"/>
      <c r="P197" s="1234"/>
      <c r="Q197" s="1234"/>
      <c r="R197" s="1235"/>
    </row>
    <row r="198" spans="2:20" s="675" customFormat="1" ht="24.95" customHeight="1" thickBot="1" x14ac:dyDescent="0.25">
      <c r="B198" s="1349"/>
      <c r="C198" s="1350"/>
      <c r="D198" s="1355" t="str">
        <f t="shared" si="7"/>
        <v/>
      </c>
      <c r="E198" s="1356"/>
      <c r="F198" s="683" t="str">
        <f>IFERROR(INDEX('Base de datos'!$Y$127:$Z$142,MATCH('UNIDAD PRODUCTORA'!D198,Infraestructura,0),1),"")</f>
        <v/>
      </c>
      <c r="G198" s="1230"/>
      <c r="H198" s="1231"/>
      <c r="I198" s="1359"/>
      <c r="J198" s="689"/>
      <c r="K198" s="1230"/>
      <c r="L198" s="1231"/>
      <c r="M198" s="1231"/>
      <c r="N198" s="1231"/>
      <c r="O198" s="1231"/>
      <c r="P198" s="1231"/>
      <c r="Q198" s="1231"/>
      <c r="R198" s="1232"/>
    </row>
    <row r="199" spans="2:20" s="675" customFormat="1" ht="15" customHeight="1" x14ac:dyDescent="0.2">
      <c r="B199" s="121"/>
      <c r="C199" s="679"/>
      <c r="D199" s="679"/>
      <c r="E199" s="679"/>
      <c r="F199" s="679"/>
      <c r="G199" s="679"/>
      <c r="H199" s="679"/>
      <c r="I199" s="679"/>
      <c r="J199" s="679"/>
      <c r="K199" s="679"/>
      <c r="L199" s="679"/>
    </row>
    <row r="200" spans="2:20" s="119" customFormat="1" ht="25.5" customHeight="1" thickBot="1" x14ac:dyDescent="0.25">
      <c r="B200" s="121" t="s">
        <v>5560</v>
      </c>
      <c r="C200" s="122"/>
      <c r="D200" s="123"/>
      <c r="E200" s="123"/>
      <c r="F200" s="123"/>
      <c r="G200" s="123"/>
    </row>
    <row r="201" spans="2:20" s="217" customFormat="1" ht="30" customHeight="1" x14ac:dyDescent="0.2">
      <c r="B201" s="1274"/>
      <c r="C201" s="1275"/>
      <c r="D201" s="1275"/>
      <c r="E201" s="1275"/>
      <c r="F201" s="1275"/>
      <c r="G201" s="1275"/>
      <c r="H201" s="1275"/>
      <c r="I201" s="1275"/>
      <c r="J201" s="1275"/>
      <c r="K201" s="1275"/>
      <c r="L201" s="1275"/>
      <c r="M201" s="1275"/>
      <c r="N201" s="1292" t="s">
        <v>22</v>
      </c>
      <c r="O201" s="1293"/>
      <c r="P201" s="1293"/>
      <c r="Q201" s="1293"/>
      <c r="R201" s="1293"/>
      <c r="S201" s="1293"/>
      <c r="T201" s="1294"/>
    </row>
    <row r="202" spans="2:20" s="217" customFormat="1" ht="119.25" customHeight="1" x14ac:dyDescent="0.2">
      <c r="B202" s="1276"/>
      <c r="C202" s="1277"/>
      <c r="D202" s="1277"/>
      <c r="E202" s="1277"/>
      <c r="F202" s="1277"/>
      <c r="G202" s="1277"/>
      <c r="H202" s="1277"/>
      <c r="I202" s="1277"/>
      <c r="J202" s="1277"/>
      <c r="K202" s="1277"/>
      <c r="L202" s="1277"/>
      <c r="M202" s="1277"/>
      <c r="N202" s="124"/>
      <c r="O202" s="125"/>
      <c r="P202" s="125"/>
      <c r="Q202" s="125"/>
      <c r="R202" s="125"/>
      <c r="S202" s="68"/>
      <c r="T202" s="126"/>
    </row>
    <row r="203" spans="2:20" s="127" customFormat="1" ht="30" customHeight="1" x14ac:dyDescent="0.2">
      <c r="B203" s="1276"/>
      <c r="C203" s="1277"/>
      <c r="D203" s="1277"/>
      <c r="E203" s="1277"/>
      <c r="F203" s="1277"/>
      <c r="G203" s="1277"/>
      <c r="H203" s="1277"/>
      <c r="I203" s="1277"/>
      <c r="J203" s="1277"/>
      <c r="K203" s="1277"/>
      <c r="L203" s="1277"/>
      <c r="M203" s="1277"/>
      <c r="N203" s="1280" t="s">
        <v>63</v>
      </c>
      <c r="O203" s="1125"/>
      <c r="P203" s="1125"/>
      <c r="Q203" s="1126" t="s">
        <v>44</v>
      </c>
      <c r="R203" s="1052"/>
      <c r="S203" s="1052"/>
      <c r="T203" s="1295"/>
    </row>
    <row r="204" spans="2:20" s="127" customFormat="1" ht="18.75" customHeight="1" x14ac:dyDescent="0.2">
      <c r="B204" s="1276"/>
      <c r="C204" s="1277"/>
      <c r="D204" s="1277"/>
      <c r="E204" s="1277"/>
      <c r="F204" s="1277"/>
      <c r="G204" s="1277"/>
      <c r="H204" s="1277"/>
      <c r="I204" s="1277"/>
      <c r="J204" s="1277"/>
      <c r="K204" s="1277"/>
      <c r="L204" s="1277"/>
      <c r="M204" s="1277"/>
      <c r="N204" s="1281"/>
      <c r="O204" s="1282"/>
      <c r="P204" s="1282"/>
      <c r="Q204" s="1288"/>
      <c r="R204" s="1289"/>
      <c r="S204" s="1225"/>
      <c r="T204" s="1226"/>
    </row>
    <row r="205" spans="2:20" s="217" customFormat="1" ht="18.75" customHeight="1" thickBot="1" x14ac:dyDescent="0.25">
      <c r="B205" s="1278"/>
      <c r="C205" s="1279"/>
      <c r="D205" s="1279"/>
      <c r="E205" s="1279"/>
      <c r="F205" s="1279"/>
      <c r="G205" s="1279"/>
      <c r="H205" s="1279"/>
      <c r="I205" s="1279"/>
      <c r="J205" s="1279"/>
      <c r="K205" s="1279"/>
      <c r="L205" s="1279"/>
      <c r="M205" s="1279"/>
      <c r="N205" s="1281"/>
      <c r="O205" s="1282"/>
      <c r="P205" s="1282"/>
      <c r="Q205" s="1288"/>
      <c r="R205" s="1289"/>
      <c r="S205" s="1225"/>
      <c r="T205" s="1226"/>
    </row>
    <row r="206" spans="2:20" s="217" customFormat="1" ht="30" customHeight="1" thickBot="1" x14ac:dyDescent="0.25">
      <c r="B206" s="1270" t="s">
        <v>23</v>
      </c>
      <c r="C206" s="1271"/>
      <c r="D206" s="1271"/>
      <c r="E206" s="1219"/>
      <c r="F206" s="1219"/>
      <c r="G206" s="1219"/>
      <c r="H206" s="1219"/>
      <c r="I206" s="1219"/>
      <c r="J206" s="1219"/>
      <c r="K206" s="1220"/>
      <c r="L206" s="229"/>
      <c r="M206" s="230"/>
      <c r="N206" s="1272"/>
      <c r="O206" s="1273"/>
      <c r="P206" s="1273"/>
      <c r="Q206" s="1290"/>
      <c r="R206" s="1291"/>
      <c r="S206" s="1217"/>
      <c r="T206" s="1218"/>
    </row>
    <row r="207" spans="2:20" s="217" customFormat="1" ht="20.25" customHeight="1" x14ac:dyDescent="0.2">
      <c r="B207" s="208" t="s">
        <v>4753</v>
      </c>
      <c r="P207" s="218"/>
    </row>
    <row r="208" spans="2:20" s="217" customFormat="1" ht="11.25" customHeight="1" x14ac:dyDescent="0.2">
      <c r="E208" s="68"/>
      <c r="O208" s="128"/>
      <c r="P208" s="128"/>
    </row>
    <row r="522" spans="4:4" x14ac:dyDescent="0.25">
      <c r="D522" s="231"/>
    </row>
  </sheetData>
  <sheetProtection password="9AA6" sheet="1" objects="1" scenarios="1"/>
  <dataConsolidate/>
  <mergeCells count="511">
    <mergeCell ref="K196:R196"/>
    <mergeCell ref="K197:R197"/>
    <mergeCell ref="K198:R198"/>
    <mergeCell ref="K181:R181"/>
    <mergeCell ref="K182:R182"/>
    <mergeCell ref="K183:R183"/>
    <mergeCell ref="K184:R184"/>
    <mergeCell ref="K185:R185"/>
    <mergeCell ref="K186:R186"/>
    <mergeCell ref="K187:R187"/>
    <mergeCell ref="K188:R188"/>
    <mergeCell ref="K189:R189"/>
    <mergeCell ref="G191:I191"/>
    <mergeCell ref="G192:I192"/>
    <mergeCell ref="G193:I193"/>
    <mergeCell ref="G194:I194"/>
    <mergeCell ref="G187:I187"/>
    <mergeCell ref="G188:I188"/>
    <mergeCell ref="G189:I189"/>
    <mergeCell ref="G190:I190"/>
    <mergeCell ref="K171:R171"/>
    <mergeCell ref="K172:R172"/>
    <mergeCell ref="K173:R173"/>
    <mergeCell ref="K174:R174"/>
    <mergeCell ref="K175:R175"/>
    <mergeCell ref="K176:R176"/>
    <mergeCell ref="K177:R177"/>
    <mergeCell ref="K178:R178"/>
    <mergeCell ref="K179:R179"/>
    <mergeCell ref="K194:R194"/>
    <mergeCell ref="G195:I195"/>
    <mergeCell ref="G196:I196"/>
    <mergeCell ref="G197:I197"/>
    <mergeCell ref="G198:I198"/>
    <mergeCell ref="D197:E197"/>
    <mergeCell ref="D198:E198"/>
    <mergeCell ref="G169:I169"/>
    <mergeCell ref="G170:I170"/>
    <mergeCell ref="G171:I171"/>
    <mergeCell ref="G172:I172"/>
    <mergeCell ref="G173:I173"/>
    <mergeCell ref="G174:I174"/>
    <mergeCell ref="G175:I175"/>
    <mergeCell ref="G176:I176"/>
    <mergeCell ref="G177:I177"/>
    <mergeCell ref="G178:I178"/>
    <mergeCell ref="G179:I179"/>
    <mergeCell ref="G180:I180"/>
    <mergeCell ref="G181:I181"/>
    <mergeCell ref="G182:I182"/>
    <mergeCell ref="G183:I183"/>
    <mergeCell ref="G184:I184"/>
    <mergeCell ref="G185:I185"/>
    <mergeCell ref="G186:I186"/>
    <mergeCell ref="D188:E188"/>
    <mergeCell ref="D189:E189"/>
    <mergeCell ref="D190:E190"/>
    <mergeCell ref="D191:E191"/>
    <mergeCell ref="D192:E192"/>
    <mergeCell ref="D193:E193"/>
    <mergeCell ref="D194:E194"/>
    <mergeCell ref="D195:E195"/>
    <mergeCell ref="D196:E196"/>
    <mergeCell ref="B169:C174"/>
    <mergeCell ref="B175:C180"/>
    <mergeCell ref="B181:C186"/>
    <mergeCell ref="B187:C192"/>
    <mergeCell ref="B193:C198"/>
    <mergeCell ref="D169:E169"/>
    <mergeCell ref="D170:E170"/>
    <mergeCell ref="D171:E171"/>
    <mergeCell ref="D172:E172"/>
    <mergeCell ref="D173:E173"/>
    <mergeCell ref="D174:E174"/>
    <mergeCell ref="D175:E175"/>
    <mergeCell ref="D176:E176"/>
    <mergeCell ref="D177:E177"/>
    <mergeCell ref="D178:E178"/>
    <mergeCell ref="D179:E179"/>
    <mergeCell ref="D180:E180"/>
    <mergeCell ref="D181:E181"/>
    <mergeCell ref="D182:E182"/>
    <mergeCell ref="D183:E183"/>
    <mergeCell ref="D184:E184"/>
    <mergeCell ref="D185:E185"/>
    <mergeCell ref="D186:E186"/>
    <mergeCell ref="D187:E187"/>
    <mergeCell ref="B163:C168"/>
    <mergeCell ref="D163:E163"/>
    <mergeCell ref="D164:E164"/>
    <mergeCell ref="D165:E165"/>
    <mergeCell ref="D166:E166"/>
    <mergeCell ref="D167:E167"/>
    <mergeCell ref="D168:E168"/>
    <mergeCell ref="G163:I163"/>
    <mergeCell ref="G164:I164"/>
    <mergeCell ref="G165:I165"/>
    <mergeCell ref="G166:I166"/>
    <mergeCell ref="G167:I167"/>
    <mergeCell ref="G168:I168"/>
    <mergeCell ref="D158:E158"/>
    <mergeCell ref="F153:G153"/>
    <mergeCell ref="F154:G154"/>
    <mergeCell ref="F155:G155"/>
    <mergeCell ref="F156:G156"/>
    <mergeCell ref="F157:G157"/>
    <mergeCell ref="F158:G158"/>
    <mergeCell ref="H158:J158"/>
    <mergeCell ref="B162:C162"/>
    <mergeCell ref="D162:E162"/>
    <mergeCell ref="G162:I162"/>
    <mergeCell ref="B158:C158"/>
    <mergeCell ref="B151:C152"/>
    <mergeCell ref="D151:E152"/>
    <mergeCell ref="F151:G152"/>
    <mergeCell ref="H151:J152"/>
    <mergeCell ref="B153:C153"/>
    <mergeCell ref="B154:C154"/>
    <mergeCell ref="B155:C155"/>
    <mergeCell ref="B156:C156"/>
    <mergeCell ref="B157:C157"/>
    <mergeCell ref="H153:J153"/>
    <mergeCell ref="H154:J154"/>
    <mergeCell ref="H155:J155"/>
    <mergeCell ref="H156:J156"/>
    <mergeCell ref="H157:J157"/>
    <mergeCell ref="D153:E153"/>
    <mergeCell ref="D154:E154"/>
    <mergeCell ref="D155:E155"/>
    <mergeCell ref="D156:E156"/>
    <mergeCell ref="D157:E157"/>
    <mergeCell ref="F142:G142"/>
    <mergeCell ref="F143:G143"/>
    <mergeCell ref="F144:G144"/>
    <mergeCell ref="F145:G145"/>
    <mergeCell ref="F146:G146"/>
    <mergeCell ref="F147:G147"/>
    <mergeCell ref="H142:J142"/>
    <mergeCell ref="H143:J143"/>
    <mergeCell ref="H144:J144"/>
    <mergeCell ref="H145:J145"/>
    <mergeCell ref="H146:J146"/>
    <mergeCell ref="H147:J147"/>
    <mergeCell ref="B142:C142"/>
    <mergeCell ref="B143:C143"/>
    <mergeCell ref="B144:C144"/>
    <mergeCell ref="B145:C145"/>
    <mergeCell ref="B146:C146"/>
    <mergeCell ref="B147:C147"/>
    <mergeCell ref="D142:E142"/>
    <mergeCell ref="D143:E143"/>
    <mergeCell ref="D144:E144"/>
    <mergeCell ref="D145:E145"/>
    <mergeCell ref="D146:E146"/>
    <mergeCell ref="D147:E147"/>
    <mergeCell ref="B68:J68"/>
    <mergeCell ref="G70:H71"/>
    <mergeCell ref="I70:J71"/>
    <mergeCell ref="M70:N71"/>
    <mergeCell ref="G45:I45"/>
    <mergeCell ref="G51:H51"/>
    <mergeCell ref="C48:D52"/>
    <mergeCell ref="E48:F48"/>
    <mergeCell ref="B140:C141"/>
    <mergeCell ref="D140:E141"/>
    <mergeCell ref="F140:G141"/>
    <mergeCell ref="H140:J141"/>
    <mergeCell ref="B67:H67"/>
    <mergeCell ref="B75:C75"/>
    <mergeCell ref="B76:C76"/>
    <mergeCell ref="B77:C77"/>
    <mergeCell ref="B78:C78"/>
    <mergeCell ref="B79:C79"/>
    <mergeCell ref="B80:C80"/>
    <mergeCell ref="B81:C81"/>
    <mergeCell ref="B82:C82"/>
    <mergeCell ref="B83:C83"/>
    <mergeCell ref="G75:H75"/>
    <mergeCell ref="G76:H76"/>
    <mergeCell ref="B43:N43"/>
    <mergeCell ref="J45:N46"/>
    <mergeCell ref="J48:N48"/>
    <mergeCell ref="J51:N51"/>
    <mergeCell ref="J52:N52"/>
    <mergeCell ref="J61:N61"/>
    <mergeCell ref="B45:B46"/>
    <mergeCell ref="C45:D46"/>
    <mergeCell ref="E45:F46"/>
    <mergeCell ref="E51:F51"/>
    <mergeCell ref="E61:F61"/>
    <mergeCell ref="G61:H61"/>
    <mergeCell ref="G46:H46"/>
    <mergeCell ref="J49:N49"/>
    <mergeCell ref="J50:N50"/>
    <mergeCell ref="J56:N56"/>
    <mergeCell ref="C57:D60"/>
    <mergeCell ref="B57:B60"/>
    <mergeCell ref="E57:F57"/>
    <mergeCell ref="E60:F60"/>
    <mergeCell ref="G57:H57"/>
    <mergeCell ref="G60:H60"/>
    <mergeCell ref="J60:N60"/>
    <mergeCell ref="B206:D206"/>
    <mergeCell ref="N206:P206"/>
    <mergeCell ref="B201:M205"/>
    <mergeCell ref="N203:P203"/>
    <mergeCell ref="N204:P204"/>
    <mergeCell ref="N205:P205"/>
    <mergeCell ref="O48:T48"/>
    <mergeCell ref="O51:T51"/>
    <mergeCell ref="O52:T52"/>
    <mergeCell ref="B66:H66"/>
    <mergeCell ref="G48:H48"/>
    <mergeCell ref="E52:F52"/>
    <mergeCell ref="G52:H52"/>
    <mergeCell ref="B48:B52"/>
    <mergeCell ref="E49:F49"/>
    <mergeCell ref="E50:F50"/>
    <mergeCell ref="G50:H50"/>
    <mergeCell ref="G49:H49"/>
    <mergeCell ref="Q205:R205"/>
    <mergeCell ref="Q206:R206"/>
    <mergeCell ref="S205:T205"/>
    <mergeCell ref="Q204:R204"/>
    <mergeCell ref="N201:T201"/>
    <mergeCell ref="Q203:T203"/>
    <mergeCell ref="B12:U12"/>
    <mergeCell ref="B34:N34"/>
    <mergeCell ref="B36:B37"/>
    <mergeCell ref="C37:F37"/>
    <mergeCell ref="C36:T36"/>
    <mergeCell ref="C22:E22"/>
    <mergeCell ref="F22:H22"/>
    <mergeCell ref="I22:K22"/>
    <mergeCell ref="L22:N22"/>
    <mergeCell ref="C23:E23"/>
    <mergeCell ref="C24:E24"/>
    <mergeCell ref="C25:E25"/>
    <mergeCell ref="F23:H23"/>
    <mergeCell ref="I23:K23"/>
    <mergeCell ref="L23:N23"/>
    <mergeCell ref="F24:H24"/>
    <mergeCell ref="O23:P23"/>
    <mergeCell ref="Q23:R23"/>
    <mergeCell ref="O24:P24"/>
    <mergeCell ref="B14:E14"/>
    <mergeCell ref="F14:P14"/>
    <mergeCell ref="O22:R22"/>
    <mergeCell ref="C40:F40"/>
    <mergeCell ref="C41:F41"/>
    <mergeCell ref="G40:L40"/>
    <mergeCell ref="G41:L41"/>
    <mergeCell ref="M40:T40"/>
    <mergeCell ref="M41:T41"/>
    <mergeCell ref="J16:P16"/>
    <mergeCell ref="B30:D30"/>
    <mergeCell ref="B31:D31"/>
    <mergeCell ref="L24:N24"/>
    <mergeCell ref="Q24:R24"/>
    <mergeCell ref="O25:P25"/>
    <mergeCell ref="Q25:R25"/>
    <mergeCell ref="G39:L39"/>
    <mergeCell ref="M37:T37"/>
    <mergeCell ref="M39:T39"/>
    <mergeCell ref="G37:L37"/>
    <mergeCell ref="F25:H25"/>
    <mergeCell ref="I25:K25"/>
    <mergeCell ref="L25:N25"/>
    <mergeCell ref="C39:F39"/>
    <mergeCell ref="I24:K24"/>
    <mergeCell ref="O45:T46"/>
    <mergeCell ref="B96:C101"/>
    <mergeCell ref="D96:E96"/>
    <mergeCell ref="B74:C74"/>
    <mergeCell ref="B84:C84"/>
    <mergeCell ref="O74:P74"/>
    <mergeCell ref="Q74:S74"/>
    <mergeCell ref="T74:U74"/>
    <mergeCell ref="T70:U71"/>
    <mergeCell ref="Q70:S71"/>
    <mergeCell ref="I84:J84"/>
    <mergeCell ref="B73:C73"/>
    <mergeCell ref="B70:C71"/>
    <mergeCell ref="K84:L84"/>
    <mergeCell ref="B85:C85"/>
    <mergeCell ref="O61:T61"/>
    <mergeCell ref="O70:P71"/>
    <mergeCell ref="O73:P73"/>
    <mergeCell ref="Q73:S73"/>
    <mergeCell ref="T73:U73"/>
    <mergeCell ref="T75:U75"/>
    <mergeCell ref="Q75:S75"/>
    <mergeCell ref="O75:P75"/>
    <mergeCell ref="M75:N75"/>
    <mergeCell ref="S204:T204"/>
    <mergeCell ref="O84:P84"/>
    <mergeCell ref="Q84:S84"/>
    <mergeCell ref="T84:U84"/>
    <mergeCell ref="M85:N85"/>
    <mergeCell ref="O85:P85"/>
    <mergeCell ref="Q85:S85"/>
    <mergeCell ref="T85:U85"/>
    <mergeCell ref="M84:N84"/>
    <mergeCell ref="K180:R180"/>
    <mergeCell ref="K190:R190"/>
    <mergeCell ref="K191:R191"/>
    <mergeCell ref="K192:R192"/>
    <mergeCell ref="K193:R193"/>
    <mergeCell ref="K162:R162"/>
    <mergeCell ref="K163:R163"/>
    <mergeCell ref="K164:R164"/>
    <mergeCell ref="K165:R165"/>
    <mergeCell ref="K166:R166"/>
    <mergeCell ref="K167:R167"/>
    <mergeCell ref="K168:R168"/>
    <mergeCell ref="K169:R169"/>
    <mergeCell ref="K170:R170"/>
    <mergeCell ref="K195:R195"/>
    <mergeCell ref="O49:T49"/>
    <mergeCell ref="O50:T50"/>
    <mergeCell ref="E53:F53"/>
    <mergeCell ref="G53:H53"/>
    <mergeCell ref="J53:N53"/>
    <mergeCell ref="O53:T53"/>
    <mergeCell ref="S206:T206"/>
    <mergeCell ref="E206:K206"/>
    <mergeCell ref="K73:L73"/>
    <mergeCell ref="M73:N73"/>
    <mergeCell ref="G74:H74"/>
    <mergeCell ref="I74:J74"/>
    <mergeCell ref="K74:L74"/>
    <mergeCell ref="M74:N74"/>
    <mergeCell ref="G73:H73"/>
    <mergeCell ref="I73:J73"/>
    <mergeCell ref="G85:H85"/>
    <mergeCell ref="I85:J85"/>
    <mergeCell ref="K85:L85"/>
    <mergeCell ref="G84:H84"/>
    <mergeCell ref="K70:L71"/>
    <mergeCell ref="D70:F70"/>
    <mergeCell ref="E56:F56"/>
    <mergeCell ref="G56:H56"/>
    <mergeCell ref="O56:T56"/>
    <mergeCell ref="C53:D56"/>
    <mergeCell ref="B53:B56"/>
    <mergeCell ref="E54:F54"/>
    <mergeCell ref="E55:F55"/>
    <mergeCell ref="G54:H54"/>
    <mergeCell ref="G55:H55"/>
    <mergeCell ref="J54:N54"/>
    <mergeCell ref="J55:N55"/>
    <mergeCell ref="O54:T54"/>
    <mergeCell ref="O55:T55"/>
    <mergeCell ref="O60:T60"/>
    <mergeCell ref="O57:T57"/>
    <mergeCell ref="J57:N57"/>
    <mergeCell ref="E58:F58"/>
    <mergeCell ref="E59:F59"/>
    <mergeCell ref="J58:N58"/>
    <mergeCell ref="O58:T58"/>
    <mergeCell ref="O59:T59"/>
    <mergeCell ref="J59:N59"/>
    <mergeCell ref="G59:H59"/>
    <mergeCell ref="G58:H58"/>
    <mergeCell ref="G77:H77"/>
    <mergeCell ref="G78:H78"/>
    <mergeCell ref="G79:H79"/>
    <mergeCell ref="G80:H80"/>
    <mergeCell ref="G81:H81"/>
    <mergeCell ref="G82:H82"/>
    <mergeCell ref="G83:H83"/>
    <mergeCell ref="I75:J75"/>
    <mergeCell ref="I76:J76"/>
    <mergeCell ref="I77:J77"/>
    <mergeCell ref="I78:J78"/>
    <mergeCell ref="I79:J79"/>
    <mergeCell ref="I80:J80"/>
    <mergeCell ref="I81:J81"/>
    <mergeCell ref="I82:J82"/>
    <mergeCell ref="I83:J83"/>
    <mergeCell ref="K75:L75"/>
    <mergeCell ref="K76:L76"/>
    <mergeCell ref="K77:L77"/>
    <mergeCell ref="K78:L78"/>
    <mergeCell ref="K79:L79"/>
    <mergeCell ref="K80:L80"/>
    <mergeCell ref="K81:L81"/>
    <mergeCell ref="K82:L82"/>
    <mergeCell ref="K83:L83"/>
    <mergeCell ref="T76:U76"/>
    <mergeCell ref="Q76:S76"/>
    <mergeCell ref="O76:P76"/>
    <mergeCell ref="M76:N76"/>
    <mergeCell ref="M77:N77"/>
    <mergeCell ref="O77:P77"/>
    <mergeCell ref="Q77:S77"/>
    <mergeCell ref="T77:U77"/>
    <mergeCell ref="M78:N78"/>
    <mergeCell ref="O78:P78"/>
    <mergeCell ref="Q78:S78"/>
    <mergeCell ref="T78:U78"/>
    <mergeCell ref="M79:N79"/>
    <mergeCell ref="O79:P79"/>
    <mergeCell ref="Q79:S79"/>
    <mergeCell ref="T79:U79"/>
    <mergeCell ref="M80:N80"/>
    <mergeCell ref="O80:P80"/>
    <mergeCell ref="Q80:S80"/>
    <mergeCell ref="T80:U80"/>
    <mergeCell ref="M81:N81"/>
    <mergeCell ref="O81:P81"/>
    <mergeCell ref="Q81:S81"/>
    <mergeCell ref="T81:U81"/>
    <mergeCell ref="M82:N82"/>
    <mergeCell ref="O82:P82"/>
    <mergeCell ref="Q82:S82"/>
    <mergeCell ref="T82:U82"/>
    <mergeCell ref="M83:N83"/>
    <mergeCell ref="O83:P83"/>
    <mergeCell ref="Q83:S83"/>
    <mergeCell ref="T83:U83"/>
    <mergeCell ref="B95:C95"/>
    <mergeCell ref="D95:E95"/>
    <mergeCell ref="G95:H95"/>
    <mergeCell ref="I95:L95"/>
    <mergeCell ref="B89:C89"/>
    <mergeCell ref="D89:E89"/>
    <mergeCell ref="B91:C91"/>
    <mergeCell ref="D91:E91"/>
    <mergeCell ref="B126:C131"/>
    <mergeCell ref="D126:E126"/>
    <mergeCell ref="D127:E127"/>
    <mergeCell ref="D128:E128"/>
    <mergeCell ref="D129:E129"/>
    <mergeCell ref="D130:E130"/>
    <mergeCell ref="D131:E131"/>
    <mergeCell ref="B108:C113"/>
    <mergeCell ref="D108:E108"/>
    <mergeCell ref="D109:E109"/>
    <mergeCell ref="D110:E110"/>
    <mergeCell ref="D111:E111"/>
    <mergeCell ref="D112:E112"/>
    <mergeCell ref="D113:E113"/>
    <mergeCell ref="B114:C119"/>
    <mergeCell ref="D114:E114"/>
    <mergeCell ref="D115:E115"/>
    <mergeCell ref="D116:E116"/>
    <mergeCell ref="D117:E117"/>
    <mergeCell ref="D118:E118"/>
    <mergeCell ref="D119:E119"/>
    <mergeCell ref="G96:H96"/>
    <mergeCell ref="G97:H97"/>
    <mergeCell ref="G98:H98"/>
    <mergeCell ref="B120:C125"/>
    <mergeCell ref="D120:E120"/>
    <mergeCell ref="D121:E121"/>
    <mergeCell ref="D122:E122"/>
    <mergeCell ref="D123:E123"/>
    <mergeCell ref="D124:E124"/>
    <mergeCell ref="D125:E125"/>
    <mergeCell ref="D97:E97"/>
    <mergeCell ref="D98:E98"/>
    <mergeCell ref="D99:E99"/>
    <mergeCell ref="D100:E100"/>
    <mergeCell ref="D101:E101"/>
    <mergeCell ref="B102:C107"/>
    <mergeCell ref="D102:E102"/>
    <mergeCell ref="D103:E103"/>
    <mergeCell ref="D104:E104"/>
    <mergeCell ref="D105:E105"/>
    <mergeCell ref="D106:E106"/>
    <mergeCell ref="D107:E107"/>
    <mergeCell ref="G117:H117"/>
    <mergeCell ref="G118:H118"/>
    <mergeCell ref="I96:L101"/>
    <mergeCell ref="I102:L107"/>
    <mergeCell ref="I108:L113"/>
    <mergeCell ref="I114:L119"/>
    <mergeCell ref="I120:L125"/>
    <mergeCell ref="I126:L131"/>
    <mergeCell ref="G99:H99"/>
    <mergeCell ref="G100:H100"/>
    <mergeCell ref="G101:H101"/>
    <mergeCell ref="G102:H102"/>
    <mergeCell ref="G103:H103"/>
    <mergeCell ref="G104:H104"/>
    <mergeCell ref="G105:H105"/>
    <mergeCell ref="G106:H106"/>
    <mergeCell ref="G107:H107"/>
    <mergeCell ref="G108:H108"/>
    <mergeCell ref="G109:H109"/>
    <mergeCell ref="G110:H110"/>
    <mergeCell ref="G111:H111"/>
    <mergeCell ref="G112:H112"/>
    <mergeCell ref="G113:H113"/>
    <mergeCell ref="G114:H114"/>
    <mergeCell ref="G115:H115"/>
    <mergeCell ref="G116:H116"/>
    <mergeCell ref="G119:H119"/>
    <mergeCell ref="G120:H120"/>
    <mergeCell ref="G121:H121"/>
    <mergeCell ref="G122:H122"/>
    <mergeCell ref="G123:H123"/>
    <mergeCell ref="G131:H131"/>
    <mergeCell ref="G130:H130"/>
    <mergeCell ref="G129:H129"/>
    <mergeCell ref="G128:H128"/>
    <mergeCell ref="G127:H127"/>
    <mergeCell ref="G126:H126"/>
    <mergeCell ref="G124:H124"/>
    <mergeCell ref="G125:H125"/>
  </mergeCells>
  <conditionalFormatting sqref="H142:J142">
    <cfRule type="expression" dxfId="531" priority="45">
      <formula>$H$142="Alta"</formula>
    </cfRule>
    <cfRule type="expression" dxfId="530" priority="46">
      <formula>$H$142="Media"</formula>
    </cfRule>
    <cfRule type="expression" dxfId="529" priority="47">
      <formula>$H$142="Muy Alta"</formula>
    </cfRule>
    <cfRule type="expression" dxfId="528" priority="48">
      <formula>$H$142="Baja"</formula>
    </cfRule>
  </conditionalFormatting>
  <conditionalFormatting sqref="H143:J143">
    <cfRule type="expression" dxfId="527" priority="41">
      <formula>$H$143="Alta"</formula>
    </cfRule>
    <cfRule type="expression" dxfId="526" priority="42">
      <formula>$H$143="Media"</formula>
    </cfRule>
    <cfRule type="expression" dxfId="525" priority="43">
      <formula>$H$143="Muy Alta"</formula>
    </cfRule>
    <cfRule type="expression" dxfId="524" priority="44">
      <formula>$H$143="Baja"</formula>
    </cfRule>
  </conditionalFormatting>
  <conditionalFormatting sqref="H144:J144">
    <cfRule type="expression" dxfId="523" priority="37">
      <formula>$H$144="Alta"</formula>
    </cfRule>
    <cfRule type="expression" dxfId="522" priority="38">
      <formula>$H$144="Media"</formula>
    </cfRule>
    <cfRule type="expression" dxfId="521" priority="39">
      <formula>$H$144="Muy Alta"</formula>
    </cfRule>
    <cfRule type="expression" dxfId="520" priority="40">
      <formula>$H$144="Baja"</formula>
    </cfRule>
  </conditionalFormatting>
  <conditionalFormatting sqref="H145:J145">
    <cfRule type="expression" dxfId="519" priority="33">
      <formula>$H$145="Alta"</formula>
    </cfRule>
    <cfRule type="expression" dxfId="518" priority="34">
      <formula>$H$145="Media"</formula>
    </cfRule>
    <cfRule type="expression" dxfId="517" priority="35">
      <formula>$H$145="Muy Alta"</formula>
    </cfRule>
    <cfRule type="expression" dxfId="516" priority="36">
      <formula>$H$145="Baja"</formula>
    </cfRule>
  </conditionalFormatting>
  <conditionalFormatting sqref="H146:J146">
    <cfRule type="expression" dxfId="515" priority="29">
      <formula>$H$146="Alta"</formula>
    </cfRule>
    <cfRule type="expression" dxfId="514" priority="30">
      <formula>$H$146="Media"</formula>
    </cfRule>
    <cfRule type="expression" dxfId="513" priority="31">
      <formula>$H$146="Muy Alta"</formula>
    </cfRule>
    <cfRule type="expression" dxfId="512" priority="32">
      <formula>$H$146="Baja"</formula>
    </cfRule>
  </conditionalFormatting>
  <conditionalFormatting sqref="H147:J147">
    <cfRule type="expression" dxfId="511" priority="25">
      <formula>$H$147="Alta"</formula>
    </cfRule>
    <cfRule type="expression" dxfId="510" priority="26">
      <formula>$H$147="Media"</formula>
    </cfRule>
    <cfRule type="expression" dxfId="509" priority="27">
      <formula>$H$147="Muy Alta"</formula>
    </cfRule>
    <cfRule type="expression" dxfId="508" priority="28">
      <formula>$H$147="Baja"</formula>
    </cfRule>
  </conditionalFormatting>
  <conditionalFormatting sqref="H153:J153">
    <cfRule type="expression" dxfId="507" priority="21">
      <formula>$H$153="Alta"</formula>
    </cfRule>
    <cfRule type="expression" dxfId="506" priority="22">
      <formula>$H$153="Media"</formula>
    </cfRule>
    <cfRule type="expression" dxfId="505" priority="23">
      <formula>$H$153="Muy Alta"</formula>
    </cfRule>
    <cfRule type="expression" dxfId="504" priority="24">
      <formula>$H$153="Baja"</formula>
    </cfRule>
  </conditionalFormatting>
  <conditionalFormatting sqref="H154:J154">
    <cfRule type="expression" dxfId="503" priority="17">
      <formula>$H$154="Alta"</formula>
    </cfRule>
    <cfRule type="expression" dxfId="502" priority="18">
      <formula>$H$154="Media"</formula>
    </cfRule>
    <cfRule type="expression" dxfId="501" priority="19">
      <formula>$H$154="Muy Alta"</formula>
    </cfRule>
    <cfRule type="expression" dxfId="500" priority="20">
      <formula>$H$154="Baja"</formula>
    </cfRule>
  </conditionalFormatting>
  <conditionalFormatting sqref="H155:J155">
    <cfRule type="expression" dxfId="499" priority="13">
      <formula>$H$155="Alta"</formula>
    </cfRule>
    <cfRule type="expression" dxfId="498" priority="14">
      <formula>$H$155="Media"</formula>
    </cfRule>
    <cfRule type="expression" dxfId="497" priority="15">
      <formula>$H$155="Muy Alta"</formula>
    </cfRule>
    <cfRule type="expression" dxfId="496" priority="16">
      <formula>$H$155="Baja"</formula>
    </cfRule>
  </conditionalFormatting>
  <conditionalFormatting sqref="H156:J156">
    <cfRule type="expression" dxfId="495" priority="9">
      <formula>$H$156="Alta"</formula>
    </cfRule>
    <cfRule type="expression" dxfId="494" priority="10">
      <formula>$H$156="Media"</formula>
    </cfRule>
    <cfRule type="expression" dxfId="493" priority="11">
      <formula>$H$156="Muy Alta"</formula>
    </cfRule>
    <cfRule type="expression" dxfId="492" priority="12">
      <formula>$H$156="Baja"</formula>
    </cfRule>
  </conditionalFormatting>
  <conditionalFormatting sqref="H157:J157">
    <cfRule type="expression" dxfId="491" priority="5">
      <formula>$H$157="Alta"</formula>
    </cfRule>
    <cfRule type="expression" dxfId="490" priority="6">
      <formula>$H$157="Media"</formula>
    </cfRule>
    <cfRule type="expression" dxfId="489" priority="7">
      <formula>$H$157="Muy Alta"</formula>
    </cfRule>
    <cfRule type="expression" dxfId="488" priority="8">
      <formula>$H$157="Baja"</formula>
    </cfRule>
  </conditionalFormatting>
  <conditionalFormatting sqref="H158:J158">
    <cfRule type="expression" dxfId="487" priority="1">
      <formula>$H$158="Alta"</formula>
    </cfRule>
    <cfRule type="expression" dxfId="486" priority="2">
      <formula>$H$158="Media"</formula>
    </cfRule>
    <cfRule type="expression" dxfId="485" priority="3">
      <formula>$H$158="Muy Alta"</formula>
    </cfRule>
    <cfRule type="expression" dxfId="484" priority="4">
      <formula>$H$158="Baja"</formula>
    </cfRule>
  </conditionalFormatting>
  <dataValidations xWindow="609" yWindow="462" count="39">
    <dataValidation type="textLength" operator="lessThan" allowBlank="1" showInputMessage="1" showErrorMessage="1" promptTitle="Unidad Productora" prompt="Ingrese el nombre de la Unidad Productora de Bienes y/o Servicios existente a analizar. _x000a_El nombre no debe ser mayor de 150 carateres, incluye los espacios en blanco." sqref="F14:P14">
      <formula1>150</formula1>
    </dataValidation>
    <dataValidation allowBlank="1" showInputMessage="1" showErrorMessage="1" promptTitle="Localidad/Centro Poblado" prompt="Ingrese el nombre de la localidad y/o centro poblado donde se encuentra ubicada la Unidad Productora de servicio de protección de riberas de río vulnerables, analizada." sqref="L23:N25"/>
    <dataValidation allowBlank="1" showInputMessage="1" showErrorMessage="1" promptTitle="Longitud" prompt="Ingrese el valor de la coordenada de la Longitud de ubicación de la localidad descrita en la celda de la izquierda." sqref="O23:P25"/>
    <dataValidation allowBlank="1" showInputMessage="1" showErrorMessage="1" promptTitle="Latitud" prompt="Ingrese el valor de la coordenada de la Latitud de ubicación de la localidad descrita en la celda del Centro Poblado o Localidad." sqref="Q23:R25"/>
    <dataValidation type="textLength" operator="lessThan" allowBlank="1" showInputMessage="1" showErrorMessage="1" promptTitle="Situación Actual" prompt="Describa la Situación Actual del proceso de producción descrito en las celdas de la izquierda._x000a_La longitud del texto no debe ser mayor a 400 caracteres, incluye los espacios en blanco." sqref="M39:M41 N39:T39">
      <formula1>400</formula1>
    </dataValidation>
    <dataValidation type="textLength" operator="lessThan" allowBlank="1" showInputMessage="1" showErrorMessage="1" errorTitle="Error" error="Ingresó un texto con más de 400 caracteres." promptTitle="Estado situacional" prompt="Describa el estado situacional del activo estrégico esencial. Denominese activo estratégico al que modifica la capacidad de producción del servicio._x000a_La descripción no debe contener más de 400 caracteres, inluyendo espacios en blanco._x000a_" sqref="J48:J61 K48:N48 K51:N52 K61:N61">
      <formula1>400</formula1>
    </dataValidation>
    <dataValidation type="textLength" operator="lessThan" allowBlank="1" showInputMessage="1" showErrorMessage="1" errorTitle="Error" error="Ingresó" promptTitle="Acciones" prompt="Describa las acciones correctivas a realizar en el activo estrégico esencial. Denominese activo estratégico al que modifica la capacidad de producción del servicio._x000a_La descripción no debe contener más de 500 caracteres, inluyendo espacios en blanco." sqref="O48:O61 P48:T48 P51:T52 P61:T61">
      <formula1>500</formula1>
    </dataValidation>
    <dataValidation type="textLength" operator="lessThan" allowBlank="1" showInputMessage="1" showErrorMessage="1" promptTitle="Documento" prompt="Precisar el documento que se dispone como Plan Operativo aprobado, en caso que la pregunta anterior sea afirmativa._x000a_El texto no debe ser mayor a 100 caracteres, incluye los espacios en blanco." sqref="B68:J68">
      <formula1>100</formula1>
    </dataValidation>
    <dataValidation type="textLength" operator="lessThan" allowBlank="1" showInputMessage="1" showErrorMessage="1" promptTitle="Fuente" prompt="Ingrese la fuente de información utilizada para la generación del mapa de peligros de la Unidad Productora y su área de influencia._x000a_Longitud de texto no mayor de 80 caracteres." sqref="E206 L206:M206">
      <formula1>80</formula1>
    </dataValidation>
    <dataValidation allowBlank="1" showInputMessage="1" showErrorMessage="1" promptTitle="Longitud" prompt="Ingrese el valor de la coordenada de la Longitud de ubicación del activo esencial analizado y descrito en la celda de la izquierda." sqref="Q204:R206"/>
    <dataValidation allowBlank="1" showInputMessage="1" showErrorMessage="1" promptTitle="Latitud" prompt="Ingrese el valor de la coordenada de la Latitud de ubicación del activo esencial analizado y descrito en la celda de la izquierda." sqref="S204:T206"/>
    <dataValidation allowBlank="1" showInputMessage="1" showErrorMessage="1" promptTitle="Activo expuesto" prompt="Ingrese el activo de la Unidad Porductora de Servicio expuesto al peligro." sqref="N204:P206"/>
    <dataValidation type="whole" operator="greaterThanOrEqual" allowBlank="1" showInputMessage="1" showErrorMessage="1" errorTitle="Dato Errado" error="Ha ingresado el valor errado, Intente nuevamente. " promptTitle="Puntos Críticos" prompt="Ingrese los Puntos Críticos que se encuentran protegidos en el presente año." sqref="F91:J91">
      <formula1>0</formula1>
    </dataValidation>
    <dataValidation type="textLength" operator="lessThanOrEqual" allowBlank="1" showInputMessage="1" showErrorMessage="1" promptTitle="Código" prompt="Consignar el codigo de la UP en caso secuente con ello._x000a_La longitud de texto no deberá superar los 50 caracteres._x000a_" sqref="J16:P16">
      <formula1>50</formula1>
    </dataValidation>
    <dataValidation allowBlank="1" showInputMessage="1" showErrorMessage="1" promptTitle="Longitud en Km:" prompt="Consignar la información correspondiente a la longitud en Km." sqref="I31"/>
    <dataValidation allowBlank="1" showInputMessage="1" showErrorMessage="1" promptTitle="Caudal m3:" prompt="Consignar la información correspondiente al caudal m3." sqref="H31"/>
    <dataValidation allowBlank="1" showInputMessage="1" showErrorMessage="1" promptTitle="Resolución de la tarifa:" prompt="Consignar resoluación de la tarifa actual" sqref="G31"/>
    <dataValidation allowBlank="1" showInputMessage="1" showErrorMessage="1" promptTitle="Tarifa actual:" prompt="Consignar la tarifa actual en S/. por m3" sqref="F31"/>
    <dataValidation allowBlank="1" showInputMessage="1" showErrorMessage="1" promptTitle="Área bajo riego:" prompt="Consignar la información general correspondiente a las características del área bajo riego de la Unidad Productora." sqref="B31"/>
    <dataValidation allowBlank="1" showInputMessage="1" showErrorMessage="1" promptTitle="Área bajo riego:" prompt="Consignar la información general correspondiente a las características de área bajo riego de la Unidad Productora." sqref="B31"/>
    <dataValidation allowBlank="1" showInputMessage="1" showErrorMessage="1" promptTitle="Nro de usuarios:" prompt="Consignar la cantidad de usuarios correspondientes a la Unidad Productora." sqref="E31"/>
    <dataValidation allowBlank="1" showInputMessage="1" showErrorMessage="1" promptTitle="Información general de UP" prompt="Realizar una descripción de la información general de la UP._x000a_La longitud de texto no deberá superar los 600 caracteres." sqref="E30:G31"/>
    <dataValidation type="list" allowBlank="1" showInputMessage="1" showErrorMessage="1" promptTitle="Activo" prompt="Seleccionar el activo a analizar" sqref="E53:F56">
      <formula1>Infraestructura_Conduccion</formula1>
    </dataValidation>
    <dataValidation type="list" allowBlank="1" showInputMessage="1" showErrorMessage="1" promptTitle="Activo" prompt="Seleccionar el activ a analizar" sqref="E48:F52">
      <formula1>Infraestructura_Captacion</formula1>
    </dataValidation>
    <dataValidation type="list" allowBlank="1" showInputMessage="1" showErrorMessage="1" promptTitle="Activo" prompt="Seleccionar el activo a analizar" sqref="E57:F60">
      <formula1>Infraestructura_Distribucion</formula1>
    </dataValidation>
    <dataValidation type="list" allowBlank="1" showInputMessage="1" showErrorMessage="1" promptTitle="Activo" prompt="Seleccionar el activo a analizar." sqref="E61:F61">
      <formula1>Intangibles</formula1>
    </dataValidation>
    <dataValidation type="list" allowBlank="1" showInputMessage="1" showErrorMessage="1" prompt="Responder la pregunta del encabezado con referencia al activo de la primera columna." sqref="N84:N85 P73:P74 M73:M85 O73:O85 N73:N74 P84:P85">
      <formula1>"SI,NO"</formula1>
    </dataValidation>
    <dataValidation type="textLength" operator="lessThan" allowBlank="1" showInputMessage="1" showErrorMessage="1" promptTitle="Restricción" prompt="Precisar la restricción en la actividad de mantenimiento del activo estratégico analizado._x000a_El texto no debe ser mayor a una longitud de 60 caracteres, incluyen los especios en blanco." sqref="Q73:Q85 R73:S74 R84:S85">
      <formula1>60</formula1>
    </dataValidation>
    <dataValidation type="textLength" operator="lessThan" allowBlank="1" showInputMessage="1" showErrorMessage="1" promptTitle="Órgano o área técnica" prompt="Precisar el órgano o área técnica responsable de las actividades de mantenimiento del activo estratégico analizado._x000a_El texto no debe ser mayor a una longitud de 40 caracteres, incluyen los especios en blanco." sqref="T73:T85 U73:U74 U84:U85">
      <formula1>40</formula1>
    </dataValidation>
    <dataValidation type="textLength" operator="lessThan" allowBlank="1" showInputMessage="1" showErrorMessage="1" promptTitle="Acciones" prompt="Describa las acciones de mantenimiento realizadas al activo esencial analizado._x000a_El texto no debe ser mayor a 50 caracteres, incluyen los espacios en blanco." sqref="I73:I85 J73:J74 J84:J85">
      <formula1>50</formula1>
    </dataValidation>
    <dataValidation type="decimal" operator="greaterThanOrEqual" allowBlank="1" showInputMessage="1" showErrorMessage="1" errorTitle="Error" error="Debe ingresar valor numérico." promptTitle="Costo" prompt="Ingrese el costo del último mantenimiento realizado al activo esencial que se está analizando." sqref="K73:K85 L73:L74 L84:L85">
      <formula1>0</formula1>
    </dataValidation>
    <dataValidation type="date" operator="greaterThan" allowBlank="1" showInputMessage="1" showErrorMessage="1" errorTitle="Fecha" error="Ha ingresado un valor errado, vuelva ha intentar." promptTitle="Fecha de Mantenimiento" prompt="Ingresar la fecha del último mantenimiento realizado por la Organización Responsable._x000a_De doble CLICK y seleccione la fecha y luego presione &quot;ENTER&quot;." sqref="G73:G85 H73:H74 H84:H85">
      <formula1>36526</formula1>
    </dataValidation>
    <dataValidation allowBlank="1" showInputMessage="1" showErrorMessage="1" promptTitle="Peligro:" prompt="Los peligros se han generado de forma automática a partir de la identificación de peligros." sqref="D96:E131"/>
    <dataValidation type="list" allowBlank="1" showInputMessage="1" showErrorMessage="1" promptTitle="Elemento / Activo" prompt="Seleccione el Elemento o Activo que con exposición." sqref="B96:C131">
      <formula1>$B$73:$B$85</formula1>
    </dataValidation>
    <dataValidation allowBlank="1" showInputMessage="1" showErrorMessage="1" promptTitle="Comentario:" prompt="Consignar un comentario, donde justifique la exposición de cada peligro al elemento seleccionado." sqref="I120 I96 I102 I108 I114 I126"/>
    <dataValidation type="textLength" operator="lessThan" allowBlank="1" showInputMessage="1" showErrorMessage="1" errorTitle="Error" error="Ha ingresado un valor incorrecto." promptTitle="Tramo" prompt="Ingresar la descripción de la longitud o parte del elemento/activo afectado por el peligro analizado._x000a_No debe exceder de 50 caracteres." sqref="G163:I198">
      <formula1>50</formula1>
    </dataValidation>
    <dataValidation type="decimal" operator="greaterThan" allowBlank="1" showInputMessage="1" showErrorMessage="1" errorTitle="Error" error="Ha ingresado un valor no numérico." promptTitle="Total" prompt="Ingrese el valor numerico que exprese el total del daño del elemento/activo afectado por el peligro analizado. Ejemplo el 75% del Barraje Fijo (0.75)." sqref="J163:J198">
      <formula1>0</formula1>
    </dataValidation>
    <dataValidation type="textLength" operator="lessThan" allowBlank="1" showInputMessage="1" showErrorMessage="1" errorTitle="Error" error="Ha ingresado un valor incorrecto o la longitud del texto excede los 100 caracteres." promptTitle="Daños y pérdidas" prompt="Ingrese la descripción de los daños y perdias sobre el elemento/activo ocasionado por el peligro analizado._x000a_El texto no debe exceder los 100 caracteres." sqref="K163:R198">
      <formula1>100</formula1>
    </dataValidation>
    <dataValidation type="list" allowBlank="1" showInputMessage="1" showErrorMessage="1" promptTitle="Exposición:" prompt="Seleccionar &quot;Sí&quot; en el caso que el elemento (activo) presente exposición frente a los peligros correspondientes." sqref="F96:G131 H97:H101 H105:H107 H111:H131">
      <formula1>"Si,No"</formula1>
    </dataValidation>
  </dataValidations>
  <pageMargins left="0.70866141732283472" right="0.70866141732283472" top="0.74803149606299213" bottom="0.74803149606299213" header="0.31496062992125984" footer="0.31496062992125984"/>
  <pageSetup paperSize="9" scale="40"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legacyDrawing r:id="rId3"/>
  <controls>
    <mc:AlternateContent xmlns:mc="http://schemas.openxmlformats.org/markup-compatibility/2006">
      <mc:Choice Requires="x14">
        <control shapeId="41704" r:id="rId4" name="CommandButton2">
          <controlPr defaultSize="0" autoLine="0" r:id="rId5">
            <anchor moveWithCells="1">
              <from>
                <xdr:col>1</xdr:col>
                <xdr:colOff>95250</xdr:colOff>
                <xdr:row>133</xdr:row>
                <xdr:rowOff>104775</xdr:rowOff>
              </from>
              <to>
                <xdr:col>4</xdr:col>
                <xdr:colOff>733425</xdr:colOff>
                <xdr:row>136</xdr:row>
                <xdr:rowOff>0</xdr:rowOff>
              </to>
            </anchor>
          </controlPr>
        </control>
      </mc:Choice>
      <mc:Fallback>
        <control shapeId="41704" r:id="rId4" name="CommandButton2"/>
      </mc:Fallback>
    </mc:AlternateContent>
    <mc:AlternateContent xmlns:mc="http://schemas.openxmlformats.org/markup-compatibility/2006">
      <mc:Choice Requires="x14">
        <control shapeId="41598" r:id="rId6" name="OptionButton1">
          <controlPr defaultSize="0" autoLine="0" linkedCell="XFB73" r:id="rId7">
            <anchor moveWithCells="1">
              <from>
                <xdr:col>3</xdr:col>
                <xdr:colOff>285750</xdr:colOff>
                <xdr:row>72</xdr:row>
                <xdr:rowOff>9525</xdr:rowOff>
              </from>
              <to>
                <xdr:col>3</xdr:col>
                <xdr:colOff>476250</xdr:colOff>
                <xdr:row>73</xdr:row>
                <xdr:rowOff>0</xdr:rowOff>
              </to>
            </anchor>
          </controlPr>
        </control>
      </mc:Choice>
      <mc:Fallback>
        <control shapeId="41598" r:id="rId6" name="OptionButton1"/>
      </mc:Fallback>
    </mc:AlternateContent>
    <mc:AlternateContent xmlns:mc="http://schemas.openxmlformats.org/markup-compatibility/2006">
      <mc:Choice Requires="x14">
        <control shapeId="41601" r:id="rId8" name="OptionButton2">
          <controlPr defaultSize="0" autoLine="0" linkedCell="XFC73" r:id="rId9">
            <anchor moveWithCells="1">
              <from>
                <xdr:col>4</xdr:col>
                <xdr:colOff>419100</xdr:colOff>
                <xdr:row>72</xdr:row>
                <xdr:rowOff>9525</xdr:rowOff>
              </from>
              <to>
                <xdr:col>4</xdr:col>
                <xdr:colOff>609600</xdr:colOff>
                <xdr:row>73</xdr:row>
                <xdr:rowOff>0</xdr:rowOff>
              </to>
            </anchor>
          </controlPr>
        </control>
      </mc:Choice>
      <mc:Fallback>
        <control shapeId="41601" r:id="rId8" name="OptionButton2"/>
      </mc:Fallback>
    </mc:AlternateContent>
    <mc:AlternateContent xmlns:mc="http://schemas.openxmlformats.org/markup-compatibility/2006">
      <mc:Choice Requires="x14">
        <control shapeId="41602" r:id="rId10" name="OptionButton3">
          <controlPr defaultSize="0" autoLine="0" linkedCell="XFD73" r:id="rId7">
            <anchor moveWithCells="1">
              <from>
                <xdr:col>5</xdr:col>
                <xdr:colOff>266700</xdr:colOff>
                <xdr:row>72</xdr:row>
                <xdr:rowOff>9525</xdr:rowOff>
              </from>
              <to>
                <xdr:col>5</xdr:col>
                <xdr:colOff>457200</xdr:colOff>
                <xdr:row>73</xdr:row>
                <xdr:rowOff>0</xdr:rowOff>
              </to>
            </anchor>
          </controlPr>
        </control>
      </mc:Choice>
      <mc:Fallback>
        <control shapeId="41602" r:id="rId10" name="OptionButton3"/>
      </mc:Fallback>
    </mc:AlternateContent>
    <mc:AlternateContent xmlns:mc="http://schemas.openxmlformats.org/markup-compatibility/2006">
      <mc:Choice Requires="x14">
        <control shapeId="41603" r:id="rId11" name="OptionButton4">
          <controlPr defaultSize="0" autoLine="0" linkedCell="XFB74" r:id="rId7">
            <anchor moveWithCells="1">
              <from>
                <xdr:col>3</xdr:col>
                <xdr:colOff>285750</xdr:colOff>
                <xdr:row>73</xdr:row>
                <xdr:rowOff>9525</xdr:rowOff>
              </from>
              <to>
                <xdr:col>3</xdr:col>
                <xdr:colOff>476250</xdr:colOff>
                <xdr:row>74</xdr:row>
                <xdr:rowOff>0</xdr:rowOff>
              </to>
            </anchor>
          </controlPr>
        </control>
      </mc:Choice>
      <mc:Fallback>
        <control shapeId="41603" r:id="rId11" name="OptionButton4"/>
      </mc:Fallback>
    </mc:AlternateContent>
    <mc:AlternateContent xmlns:mc="http://schemas.openxmlformats.org/markup-compatibility/2006">
      <mc:Choice Requires="x14">
        <control shapeId="41604" r:id="rId12" name="OptionButton5">
          <controlPr defaultSize="0" autoLine="0" linkedCell="XFC74" r:id="rId9">
            <anchor moveWithCells="1">
              <from>
                <xdr:col>4</xdr:col>
                <xdr:colOff>419100</xdr:colOff>
                <xdr:row>73</xdr:row>
                <xdr:rowOff>9525</xdr:rowOff>
              </from>
              <to>
                <xdr:col>4</xdr:col>
                <xdr:colOff>609600</xdr:colOff>
                <xdr:row>74</xdr:row>
                <xdr:rowOff>0</xdr:rowOff>
              </to>
            </anchor>
          </controlPr>
        </control>
      </mc:Choice>
      <mc:Fallback>
        <control shapeId="41604" r:id="rId12" name="OptionButton5"/>
      </mc:Fallback>
    </mc:AlternateContent>
    <mc:AlternateContent xmlns:mc="http://schemas.openxmlformats.org/markup-compatibility/2006">
      <mc:Choice Requires="x14">
        <control shapeId="41605" r:id="rId13" name="OptionButton6">
          <controlPr defaultSize="0" autoLine="0" linkedCell="XFD74" r:id="rId7">
            <anchor moveWithCells="1">
              <from>
                <xdr:col>5</xdr:col>
                <xdr:colOff>266700</xdr:colOff>
                <xdr:row>73</xdr:row>
                <xdr:rowOff>9525</xdr:rowOff>
              </from>
              <to>
                <xdr:col>5</xdr:col>
                <xdr:colOff>457200</xdr:colOff>
                <xdr:row>74</xdr:row>
                <xdr:rowOff>0</xdr:rowOff>
              </to>
            </anchor>
          </controlPr>
        </control>
      </mc:Choice>
      <mc:Fallback>
        <control shapeId="41605" r:id="rId13" name="OptionButton6"/>
      </mc:Fallback>
    </mc:AlternateContent>
    <mc:AlternateContent xmlns:mc="http://schemas.openxmlformats.org/markup-compatibility/2006">
      <mc:Choice Requires="x14">
        <control shapeId="41606" r:id="rId14" name="OptionButton7">
          <controlPr defaultSize="0" autoLine="0" linkedCell="XFB75" r:id="rId7">
            <anchor moveWithCells="1">
              <from>
                <xdr:col>3</xdr:col>
                <xdr:colOff>285750</xdr:colOff>
                <xdr:row>74</xdr:row>
                <xdr:rowOff>9525</xdr:rowOff>
              </from>
              <to>
                <xdr:col>3</xdr:col>
                <xdr:colOff>476250</xdr:colOff>
                <xdr:row>75</xdr:row>
                <xdr:rowOff>0</xdr:rowOff>
              </to>
            </anchor>
          </controlPr>
        </control>
      </mc:Choice>
      <mc:Fallback>
        <control shapeId="41606" r:id="rId14" name="OptionButton7"/>
      </mc:Fallback>
    </mc:AlternateContent>
    <mc:AlternateContent xmlns:mc="http://schemas.openxmlformats.org/markup-compatibility/2006">
      <mc:Choice Requires="x14">
        <control shapeId="41607" r:id="rId15" name="OptionButton8">
          <controlPr defaultSize="0" autoLine="0" linkedCell="XFC75" r:id="rId9">
            <anchor moveWithCells="1">
              <from>
                <xdr:col>4</xdr:col>
                <xdr:colOff>419100</xdr:colOff>
                <xdr:row>74</xdr:row>
                <xdr:rowOff>9525</xdr:rowOff>
              </from>
              <to>
                <xdr:col>4</xdr:col>
                <xdr:colOff>609600</xdr:colOff>
                <xdr:row>75</xdr:row>
                <xdr:rowOff>0</xdr:rowOff>
              </to>
            </anchor>
          </controlPr>
        </control>
      </mc:Choice>
      <mc:Fallback>
        <control shapeId="41607" r:id="rId15" name="OptionButton8"/>
      </mc:Fallback>
    </mc:AlternateContent>
    <mc:AlternateContent xmlns:mc="http://schemas.openxmlformats.org/markup-compatibility/2006">
      <mc:Choice Requires="x14">
        <control shapeId="41608" r:id="rId16" name="OptionButton9">
          <controlPr defaultSize="0" autoLine="0" linkedCell="XFD75" r:id="rId7">
            <anchor moveWithCells="1">
              <from>
                <xdr:col>5</xdr:col>
                <xdr:colOff>266700</xdr:colOff>
                <xdr:row>74</xdr:row>
                <xdr:rowOff>9525</xdr:rowOff>
              </from>
              <to>
                <xdr:col>5</xdr:col>
                <xdr:colOff>457200</xdr:colOff>
                <xdr:row>75</xdr:row>
                <xdr:rowOff>0</xdr:rowOff>
              </to>
            </anchor>
          </controlPr>
        </control>
      </mc:Choice>
      <mc:Fallback>
        <control shapeId="41608" r:id="rId16" name="OptionButton9"/>
      </mc:Fallback>
    </mc:AlternateContent>
    <mc:AlternateContent xmlns:mc="http://schemas.openxmlformats.org/markup-compatibility/2006">
      <mc:Choice Requires="x14">
        <control shapeId="41609" r:id="rId17" name="OptionButton10">
          <controlPr defaultSize="0" autoLine="0" linkedCell="XFB76" r:id="rId7">
            <anchor moveWithCells="1">
              <from>
                <xdr:col>3</xdr:col>
                <xdr:colOff>285750</xdr:colOff>
                <xdr:row>75</xdr:row>
                <xdr:rowOff>9525</xdr:rowOff>
              </from>
              <to>
                <xdr:col>3</xdr:col>
                <xdr:colOff>476250</xdr:colOff>
                <xdr:row>76</xdr:row>
                <xdr:rowOff>0</xdr:rowOff>
              </to>
            </anchor>
          </controlPr>
        </control>
      </mc:Choice>
      <mc:Fallback>
        <control shapeId="41609" r:id="rId17" name="OptionButton10"/>
      </mc:Fallback>
    </mc:AlternateContent>
    <mc:AlternateContent xmlns:mc="http://schemas.openxmlformats.org/markup-compatibility/2006">
      <mc:Choice Requires="x14">
        <control shapeId="41610" r:id="rId18" name="OptionButton11">
          <controlPr defaultSize="0" autoLine="0" linkedCell="XFC76" r:id="rId9">
            <anchor moveWithCells="1">
              <from>
                <xdr:col>4</xdr:col>
                <xdr:colOff>419100</xdr:colOff>
                <xdr:row>75</xdr:row>
                <xdr:rowOff>9525</xdr:rowOff>
              </from>
              <to>
                <xdr:col>4</xdr:col>
                <xdr:colOff>609600</xdr:colOff>
                <xdr:row>76</xdr:row>
                <xdr:rowOff>0</xdr:rowOff>
              </to>
            </anchor>
          </controlPr>
        </control>
      </mc:Choice>
      <mc:Fallback>
        <control shapeId="41610" r:id="rId18" name="OptionButton11"/>
      </mc:Fallback>
    </mc:AlternateContent>
    <mc:AlternateContent xmlns:mc="http://schemas.openxmlformats.org/markup-compatibility/2006">
      <mc:Choice Requires="x14">
        <control shapeId="41611" r:id="rId19" name="OptionButton12">
          <controlPr defaultSize="0" autoLine="0" linkedCell="XFD76" r:id="rId7">
            <anchor moveWithCells="1">
              <from>
                <xdr:col>5</xdr:col>
                <xdr:colOff>266700</xdr:colOff>
                <xdr:row>75</xdr:row>
                <xdr:rowOff>9525</xdr:rowOff>
              </from>
              <to>
                <xdr:col>5</xdr:col>
                <xdr:colOff>457200</xdr:colOff>
                <xdr:row>76</xdr:row>
                <xdr:rowOff>0</xdr:rowOff>
              </to>
            </anchor>
          </controlPr>
        </control>
      </mc:Choice>
      <mc:Fallback>
        <control shapeId="41611" r:id="rId19" name="OptionButton12"/>
      </mc:Fallback>
    </mc:AlternateContent>
    <mc:AlternateContent xmlns:mc="http://schemas.openxmlformats.org/markup-compatibility/2006">
      <mc:Choice Requires="x14">
        <control shapeId="41613" r:id="rId20" name="OptionButton13">
          <controlPr locked="0" defaultSize="0" autoLine="0" linkedCell="XFC66" r:id="rId9">
            <anchor moveWithCells="1">
              <from>
                <xdr:col>8</xdr:col>
                <xdr:colOff>400050</xdr:colOff>
                <xdr:row>64</xdr:row>
                <xdr:rowOff>133350</xdr:rowOff>
              </from>
              <to>
                <xdr:col>8</xdr:col>
                <xdr:colOff>590550</xdr:colOff>
                <xdr:row>66</xdr:row>
                <xdr:rowOff>38100</xdr:rowOff>
              </to>
            </anchor>
          </controlPr>
        </control>
      </mc:Choice>
      <mc:Fallback>
        <control shapeId="41613" r:id="rId20" name="OptionButton13"/>
      </mc:Fallback>
    </mc:AlternateContent>
    <mc:AlternateContent xmlns:mc="http://schemas.openxmlformats.org/markup-compatibility/2006">
      <mc:Choice Requires="x14">
        <control shapeId="41614" r:id="rId21" name="OptionButton14">
          <controlPr defaultSize="0" autoFill="0" autoLine="0" linkedCell="XFA66" r:id="rId22">
            <anchor moveWithCells="1">
              <from>
                <xdr:col>9</xdr:col>
                <xdr:colOff>400050</xdr:colOff>
                <xdr:row>64</xdr:row>
                <xdr:rowOff>133350</xdr:rowOff>
              </from>
              <to>
                <xdr:col>9</xdr:col>
                <xdr:colOff>590550</xdr:colOff>
                <xdr:row>66</xdr:row>
                <xdr:rowOff>38100</xdr:rowOff>
              </to>
            </anchor>
          </controlPr>
        </control>
      </mc:Choice>
      <mc:Fallback>
        <control shapeId="41614" r:id="rId21" name="OptionButton14"/>
      </mc:Fallback>
    </mc:AlternateContent>
    <mc:AlternateContent xmlns:mc="http://schemas.openxmlformats.org/markup-compatibility/2006">
      <mc:Choice Requires="x14">
        <control shapeId="41617" r:id="rId23" name="OptionButton15">
          <controlPr defaultSize="0" autoLine="0" linkedCell="XFB77" r:id="rId7">
            <anchor moveWithCells="1">
              <from>
                <xdr:col>3</xdr:col>
                <xdr:colOff>285750</xdr:colOff>
                <xdr:row>76</xdr:row>
                <xdr:rowOff>9525</xdr:rowOff>
              </from>
              <to>
                <xdr:col>3</xdr:col>
                <xdr:colOff>476250</xdr:colOff>
                <xdr:row>77</xdr:row>
                <xdr:rowOff>0</xdr:rowOff>
              </to>
            </anchor>
          </controlPr>
        </control>
      </mc:Choice>
      <mc:Fallback>
        <control shapeId="41617" r:id="rId23" name="OptionButton15"/>
      </mc:Fallback>
    </mc:AlternateContent>
    <mc:AlternateContent xmlns:mc="http://schemas.openxmlformats.org/markup-compatibility/2006">
      <mc:Choice Requires="x14">
        <control shapeId="41618" r:id="rId24" name="OptionButton16">
          <controlPr defaultSize="0" autoLine="0" linkedCell="XFC77" r:id="rId9">
            <anchor moveWithCells="1">
              <from>
                <xdr:col>4</xdr:col>
                <xdr:colOff>419100</xdr:colOff>
                <xdr:row>76</xdr:row>
                <xdr:rowOff>9525</xdr:rowOff>
              </from>
              <to>
                <xdr:col>4</xdr:col>
                <xdr:colOff>609600</xdr:colOff>
                <xdr:row>77</xdr:row>
                <xdr:rowOff>0</xdr:rowOff>
              </to>
            </anchor>
          </controlPr>
        </control>
      </mc:Choice>
      <mc:Fallback>
        <control shapeId="41618" r:id="rId24" name="OptionButton16"/>
      </mc:Fallback>
    </mc:AlternateContent>
    <mc:AlternateContent xmlns:mc="http://schemas.openxmlformats.org/markup-compatibility/2006">
      <mc:Choice Requires="x14">
        <control shapeId="41619" r:id="rId25" name="OptionButton17">
          <controlPr defaultSize="0" autoLine="0" linkedCell="XFD77" r:id="rId26">
            <anchor moveWithCells="1">
              <from>
                <xdr:col>5</xdr:col>
                <xdr:colOff>266700</xdr:colOff>
                <xdr:row>76</xdr:row>
                <xdr:rowOff>9525</xdr:rowOff>
              </from>
              <to>
                <xdr:col>5</xdr:col>
                <xdr:colOff>466725</xdr:colOff>
                <xdr:row>77</xdr:row>
                <xdr:rowOff>0</xdr:rowOff>
              </to>
            </anchor>
          </controlPr>
        </control>
      </mc:Choice>
      <mc:Fallback>
        <control shapeId="41619" r:id="rId25" name="OptionButton17"/>
      </mc:Fallback>
    </mc:AlternateContent>
    <mc:AlternateContent xmlns:mc="http://schemas.openxmlformats.org/markup-compatibility/2006">
      <mc:Choice Requires="x14">
        <control shapeId="41620" r:id="rId27" name="OptionButton18">
          <controlPr defaultSize="0" autoLine="0" linkedCell="XFB78" r:id="rId7">
            <anchor moveWithCells="1">
              <from>
                <xdr:col>3</xdr:col>
                <xdr:colOff>285750</xdr:colOff>
                <xdr:row>77</xdr:row>
                <xdr:rowOff>9525</xdr:rowOff>
              </from>
              <to>
                <xdr:col>3</xdr:col>
                <xdr:colOff>476250</xdr:colOff>
                <xdr:row>78</xdr:row>
                <xdr:rowOff>0</xdr:rowOff>
              </to>
            </anchor>
          </controlPr>
        </control>
      </mc:Choice>
      <mc:Fallback>
        <control shapeId="41620" r:id="rId27" name="OptionButton18"/>
      </mc:Fallback>
    </mc:AlternateContent>
    <mc:AlternateContent xmlns:mc="http://schemas.openxmlformats.org/markup-compatibility/2006">
      <mc:Choice Requires="x14">
        <control shapeId="41623" r:id="rId28" name="OptionButton19">
          <controlPr defaultSize="0" autoLine="0" linkedCell="XFC78" r:id="rId7">
            <anchor moveWithCells="1">
              <from>
                <xdr:col>4</xdr:col>
                <xdr:colOff>419100</xdr:colOff>
                <xdr:row>77</xdr:row>
                <xdr:rowOff>9525</xdr:rowOff>
              </from>
              <to>
                <xdr:col>4</xdr:col>
                <xdr:colOff>609600</xdr:colOff>
                <xdr:row>78</xdr:row>
                <xdr:rowOff>0</xdr:rowOff>
              </to>
            </anchor>
          </controlPr>
        </control>
      </mc:Choice>
      <mc:Fallback>
        <control shapeId="41623" r:id="rId28" name="OptionButton19"/>
      </mc:Fallback>
    </mc:AlternateContent>
    <mc:AlternateContent xmlns:mc="http://schemas.openxmlformats.org/markup-compatibility/2006">
      <mc:Choice Requires="x14">
        <control shapeId="41624" r:id="rId29" name="OptionButton20">
          <controlPr defaultSize="0" autoLine="0" linkedCell="XFD78" r:id="rId9">
            <anchor moveWithCells="1">
              <from>
                <xdr:col>5</xdr:col>
                <xdr:colOff>266700</xdr:colOff>
                <xdr:row>77</xdr:row>
                <xdr:rowOff>9525</xdr:rowOff>
              </from>
              <to>
                <xdr:col>5</xdr:col>
                <xdr:colOff>457200</xdr:colOff>
                <xdr:row>78</xdr:row>
                <xdr:rowOff>0</xdr:rowOff>
              </to>
            </anchor>
          </controlPr>
        </control>
      </mc:Choice>
      <mc:Fallback>
        <control shapeId="41624" r:id="rId29" name="OptionButton20"/>
      </mc:Fallback>
    </mc:AlternateContent>
    <mc:AlternateContent xmlns:mc="http://schemas.openxmlformats.org/markup-compatibility/2006">
      <mc:Choice Requires="x14">
        <control shapeId="41625" r:id="rId30" name="OptionButton21">
          <controlPr defaultSize="0" autoLine="0" linkedCell="XFB79" r:id="rId7">
            <anchor moveWithCells="1">
              <from>
                <xdr:col>3</xdr:col>
                <xdr:colOff>285750</xdr:colOff>
                <xdr:row>78</xdr:row>
                <xdr:rowOff>9525</xdr:rowOff>
              </from>
              <to>
                <xdr:col>3</xdr:col>
                <xdr:colOff>476250</xdr:colOff>
                <xdr:row>79</xdr:row>
                <xdr:rowOff>0</xdr:rowOff>
              </to>
            </anchor>
          </controlPr>
        </control>
      </mc:Choice>
      <mc:Fallback>
        <control shapeId="41625" r:id="rId30" name="OptionButton21"/>
      </mc:Fallback>
    </mc:AlternateContent>
    <mc:AlternateContent xmlns:mc="http://schemas.openxmlformats.org/markup-compatibility/2006">
      <mc:Choice Requires="x14">
        <control shapeId="41626" r:id="rId31" name="OptionButton22">
          <controlPr defaultSize="0" autoLine="0" linkedCell="XFC79" r:id="rId7">
            <anchor moveWithCells="1">
              <from>
                <xdr:col>4</xdr:col>
                <xdr:colOff>419100</xdr:colOff>
                <xdr:row>78</xdr:row>
                <xdr:rowOff>9525</xdr:rowOff>
              </from>
              <to>
                <xdr:col>4</xdr:col>
                <xdr:colOff>609600</xdr:colOff>
                <xdr:row>79</xdr:row>
                <xdr:rowOff>0</xdr:rowOff>
              </to>
            </anchor>
          </controlPr>
        </control>
      </mc:Choice>
      <mc:Fallback>
        <control shapeId="41626" r:id="rId31" name="OptionButton22"/>
      </mc:Fallback>
    </mc:AlternateContent>
    <mc:AlternateContent xmlns:mc="http://schemas.openxmlformats.org/markup-compatibility/2006">
      <mc:Choice Requires="x14">
        <control shapeId="41627" r:id="rId32" name="OptionButton23">
          <controlPr defaultSize="0" autoLine="0" linkedCell="XFD79" r:id="rId7">
            <anchor moveWithCells="1">
              <from>
                <xdr:col>5</xdr:col>
                <xdr:colOff>266700</xdr:colOff>
                <xdr:row>78</xdr:row>
                <xdr:rowOff>9525</xdr:rowOff>
              </from>
              <to>
                <xdr:col>5</xdr:col>
                <xdr:colOff>457200</xdr:colOff>
                <xdr:row>79</xdr:row>
                <xdr:rowOff>0</xdr:rowOff>
              </to>
            </anchor>
          </controlPr>
        </control>
      </mc:Choice>
      <mc:Fallback>
        <control shapeId="41627" r:id="rId32" name="OptionButton23"/>
      </mc:Fallback>
    </mc:AlternateContent>
    <mc:AlternateContent xmlns:mc="http://schemas.openxmlformats.org/markup-compatibility/2006">
      <mc:Choice Requires="x14">
        <control shapeId="41628" r:id="rId33" name="OptionButton24">
          <controlPr defaultSize="0" autoLine="0" linkedCell="XFB80" r:id="rId9">
            <anchor moveWithCells="1">
              <from>
                <xdr:col>3</xdr:col>
                <xdr:colOff>285750</xdr:colOff>
                <xdr:row>79</xdr:row>
                <xdr:rowOff>9525</xdr:rowOff>
              </from>
              <to>
                <xdr:col>3</xdr:col>
                <xdr:colOff>476250</xdr:colOff>
                <xdr:row>80</xdr:row>
                <xdr:rowOff>0</xdr:rowOff>
              </to>
            </anchor>
          </controlPr>
        </control>
      </mc:Choice>
      <mc:Fallback>
        <control shapeId="41628" r:id="rId33" name="OptionButton24"/>
      </mc:Fallback>
    </mc:AlternateContent>
    <mc:AlternateContent xmlns:mc="http://schemas.openxmlformats.org/markup-compatibility/2006">
      <mc:Choice Requires="x14">
        <control shapeId="41629" r:id="rId34" name="OptionButton25">
          <controlPr defaultSize="0" autoLine="0" linkedCell="XFC80" r:id="rId7">
            <anchor moveWithCells="1">
              <from>
                <xdr:col>4</xdr:col>
                <xdr:colOff>419100</xdr:colOff>
                <xdr:row>79</xdr:row>
                <xdr:rowOff>9525</xdr:rowOff>
              </from>
              <to>
                <xdr:col>4</xdr:col>
                <xdr:colOff>609600</xdr:colOff>
                <xdr:row>80</xdr:row>
                <xdr:rowOff>0</xdr:rowOff>
              </to>
            </anchor>
          </controlPr>
        </control>
      </mc:Choice>
      <mc:Fallback>
        <control shapeId="41629" r:id="rId34" name="OptionButton25"/>
      </mc:Fallback>
    </mc:AlternateContent>
    <mc:AlternateContent xmlns:mc="http://schemas.openxmlformats.org/markup-compatibility/2006">
      <mc:Choice Requires="x14">
        <control shapeId="41630" r:id="rId35" name="OptionButton26">
          <controlPr defaultSize="0" autoLine="0" linkedCell="XFD80" r:id="rId26">
            <anchor moveWithCells="1">
              <from>
                <xdr:col>5</xdr:col>
                <xdr:colOff>266700</xdr:colOff>
                <xdr:row>79</xdr:row>
                <xdr:rowOff>9525</xdr:rowOff>
              </from>
              <to>
                <xdr:col>5</xdr:col>
                <xdr:colOff>466725</xdr:colOff>
                <xdr:row>80</xdr:row>
                <xdr:rowOff>0</xdr:rowOff>
              </to>
            </anchor>
          </controlPr>
        </control>
      </mc:Choice>
      <mc:Fallback>
        <control shapeId="41630" r:id="rId35" name="OptionButton26"/>
      </mc:Fallback>
    </mc:AlternateContent>
    <mc:AlternateContent xmlns:mc="http://schemas.openxmlformats.org/markup-compatibility/2006">
      <mc:Choice Requires="x14">
        <control shapeId="41631" r:id="rId36" name="OptionButton27">
          <controlPr defaultSize="0" autoLine="0" linkedCell="XFB81" r:id="rId7">
            <anchor moveWithCells="1">
              <from>
                <xdr:col>3</xdr:col>
                <xdr:colOff>285750</xdr:colOff>
                <xdr:row>80</xdr:row>
                <xdr:rowOff>9525</xdr:rowOff>
              </from>
              <to>
                <xdr:col>3</xdr:col>
                <xdr:colOff>476250</xdr:colOff>
                <xdr:row>81</xdr:row>
                <xdr:rowOff>0</xdr:rowOff>
              </to>
            </anchor>
          </controlPr>
        </control>
      </mc:Choice>
      <mc:Fallback>
        <control shapeId="41631" r:id="rId36" name="OptionButton27"/>
      </mc:Fallback>
    </mc:AlternateContent>
    <mc:AlternateContent xmlns:mc="http://schemas.openxmlformats.org/markup-compatibility/2006">
      <mc:Choice Requires="x14">
        <control shapeId="41632" r:id="rId37" name="OptionButton28">
          <controlPr defaultSize="0" autoLine="0" linkedCell="XFC81" r:id="rId9">
            <anchor moveWithCells="1">
              <from>
                <xdr:col>4</xdr:col>
                <xdr:colOff>419100</xdr:colOff>
                <xdr:row>80</xdr:row>
                <xdr:rowOff>9525</xdr:rowOff>
              </from>
              <to>
                <xdr:col>4</xdr:col>
                <xdr:colOff>609600</xdr:colOff>
                <xdr:row>81</xdr:row>
                <xdr:rowOff>0</xdr:rowOff>
              </to>
            </anchor>
          </controlPr>
        </control>
      </mc:Choice>
      <mc:Fallback>
        <control shapeId="41632" r:id="rId37" name="OptionButton28"/>
      </mc:Fallback>
    </mc:AlternateContent>
    <mc:AlternateContent xmlns:mc="http://schemas.openxmlformats.org/markup-compatibility/2006">
      <mc:Choice Requires="x14">
        <control shapeId="41633" r:id="rId38" name="OptionButton29">
          <controlPr defaultSize="0" autoLine="0" linkedCell="XFD81" r:id="rId26">
            <anchor moveWithCells="1">
              <from>
                <xdr:col>5</xdr:col>
                <xdr:colOff>266700</xdr:colOff>
                <xdr:row>80</xdr:row>
                <xdr:rowOff>9525</xdr:rowOff>
              </from>
              <to>
                <xdr:col>5</xdr:col>
                <xdr:colOff>466725</xdr:colOff>
                <xdr:row>81</xdr:row>
                <xdr:rowOff>0</xdr:rowOff>
              </to>
            </anchor>
          </controlPr>
        </control>
      </mc:Choice>
      <mc:Fallback>
        <control shapeId="41633" r:id="rId38" name="OptionButton29"/>
      </mc:Fallback>
    </mc:AlternateContent>
    <mc:AlternateContent xmlns:mc="http://schemas.openxmlformats.org/markup-compatibility/2006">
      <mc:Choice Requires="x14">
        <control shapeId="41634" r:id="rId39" name="OptionButton30">
          <controlPr defaultSize="0" autoLine="0" linkedCell="XFB82" r:id="rId7">
            <anchor moveWithCells="1">
              <from>
                <xdr:col>3</xdr:col>
                <xdr:colOff>285750</xdr:colOff>
                <xdr:row>81</xdr:row>
                <xdr:rowOff>9525</xdr:rowOff>
              </from>
              <to>
                <xdr:col>3</xdr:col>
                <xdr:colOff>476250</xdr:colOff>
                <xdr:row>82</xdr:row>
                <xdr:rowOff>0</xdr:rowOff>
              </to>
            </anchor>
          </controlPr>
        </control>
      </mc:Choice>
      <mc:Fallback>
        <control shapeId="41634" r:id="rId39" name="OptionButton30"/>
      </mc:Fallback>
    </mc:AlternateContent>
    <mc:AlternateContent xmlns:mc="http://schemas.openxmlformats.org/markup-compatibility/2006">
      <mc:Choice Requires="x14">
        <control shapeId="41635" r:id="rId40" name="OptionButton31">
          <controlPr defaultSize="0" autoLine="0" linkedCell="XFC82" r:id="rId7">
            <anchor moveWithCells="1">
              <from>
                <xdr:col>4</xdr:col>
                <xdr:colOff>419100</xdr:colOff>
                <xdr:row>81</xdr:row>
                <xdr:rowOff>9525</xdr:rowOff>
              </from>
              <to>
                <xdr:col>4</xdr:col>
                <xdr:colOff>609600</xdr:colOff>
                <xdr:row>82</xdr:row>
                <xdr:rowOff>0</xdr:rowOff>
              </to>
            </anchor>
          </controlPr>
        </control>
      </mc:Choice>
      <mc:Fallback>
        <control shapeId="41635" r:id="rId40" name="OptionButton31"/>
      </mc:Fallback>
    </mc:AlternateContent>
    <mc:AlternateContent xmlns:mc="http://schemas.openxmlformats.org/markup-compatibility/2006">
      <mc:Choice Requires="x14">
        <control shapeId="41636" r:id="rId41" name="OptionButton32">
          <controlPr defaultSize="0" autoLine="0" linkedCell="XFD82" r:id="rId9">
            <anchor moveWithCells="1">
              <from>
                <xdr:col>5</xdr:col>
                <xdr:colOff>266700</xdr:colOff>
                <xdr:row>81</xdr:row>
                <xdr:rowOff>9525</xdr:rowOff>
              </from>
              <to>
                <xdr:col>5</xdr:col>
                <xdr:colOff>457200</xdr:colOff>
                <xdr:row>82</xdr:row>
                <xdr:rowOff>0</xdr:rowOff>
              </to>
            </anchor>
          </controlPr>
        </control>
      </mc:Choice>
      <mc:Fallback>
        <control shapeId="41636" r:id="rId41" name="OptionButton32"/>
      </mc:Fallback>
    </mc:AlternateContent>
    <mc:AlternateContent xmlns:mc="http://schemas.openxmlformats.org/markup-compatibility/2006">
      <mc:Choice Requires="x14">
        <control shapeId="41637" r:id="rId42" name="OptionButton33">
          <controlPr defaultSize="0" autoLine="0" linkedCell="XFB83" r:id="rId43">
            <anchor moveWithCells="1">
              <from>
                <xdr:col>3</xdr:col>
                <xdr:colOff>285750</xdr:colOff>
                <xdr:row>82</xdr:row>
                <xdr:rowOff>9525</xdr:rowOff>
              </from>
              <to>
                <xdr:col>3</xdr:col>
                <xdr:colOff>476250</xdr:colOff>
                <xdr:row>83</xdr:row>
                <xdr:rowOff>9525</xdr:rowOff>
              </to>
            </anchor>
          </controlPr>
        </control>
      </mc:Choice>
      <mc:Fallback>
        <control shapeId="41637" r:id="rId42" name="OptionButton33"/>
      </mc:Fallback>
    </mc:AlternateContent>
    <mc:AlternateContent xmlns:mc="http://schemas.openxmlformats.org/markup-compatibility/2006">
      <mc:Choice Requires="x14">
        <control shapeId="41638" r:id="rId44" name="OptionButton34">
          <controlPr defaultSize="0" autoLine="0" linkedCell="XFC83" r:id="rId7">
            <anchor moveWithCells="1">
              <from>
                <xdr:col>4</xdr:col>
                <xdr:colOff>419100</xdr:colOff>
                <xdr:row>82</xdr:row>
                <xdr:rowOff>9525</xdr:rowOff>
              </from>
              <to>
                <xdr:col>4</xdr:col>
                <xdr:colOff>609600</xdr:colOff>
                <xdr:row>83</xdr:row>
                <xdr:rowOff>0</xdr:rowOff>
              </to>
            </anchor>
          </controlPr>
        </control>
      </mc:Choice>
      <mc:Fallback>
        <control shapeId="41638" r:id="rId44" name="OptionButton34"/>
      </mc:Fallback>
    </mc:AlternateContent>
    <mc:AlternateContent xmlns:mc="http://schemas.openxmlformats.org/markup-compatibility/2006">
      <mc:Choice Requires="x14">
        <control shapeId="41639" r:id="rId45" name="OptionButton35">
          <controlPr defaultSize="0" autoLine="0" linkedCell="XFD83" r:id="rId7">
            <anchor moveWithCells="1">
              <from>
                <xdr:col>5</xdr:col>
                <xdr:colOff>266700</xdr:colOff>
                <xdr:row>82</xdr:row>
                <xdr:rowOff>9525</xdr:rowOff>
              </from>
              <to>
                <xdr:col>5</xdr:col>
                <xdr:colOff>457200</xdr:colOff>
                <xdr:row>83</xdr:row>
                <xdr:rowOff>0</xdr:rowOff>
              </to>
            </anchor>
          </controlPr>
        </control>
      </mc:Choice>
      <mc:Fallback>
        <control shapeId="41639" r:id="rId45" name="OptionButton35"/>
      </mc:Fallback>
    </mc:AlternateContent>
    <mc:AlternateContent xmlns:mc="http://schemas.openxmlformats.org/markup-compatibility/2006">
      <mc:Choice Requires="x14">
        <control shapeId="41640" r:id="rId46" name="OptionButton36">
          <controlPr defaultSize="0" autoLine="0" linkedCell="XFB84" r:id="rId47">
            <anchor moveWithCells="1">
              <from>
                <xdr:col>3</xdr:col>
                <xdr:colOff>285750</xdr:colOff>
                <xdr:row>83</xdr:row>
                <xdr:rowOff>9525</xdr:rowOff>
              </from>
              <to>
                <xdr:col>3</xdr:col>
                <xdr:colOff>476250</xdr:colOff>
                <xdr:row>84</xdr:row>
                <xdr:rowOff>9525</xdr:rowOff>
              </to>
            </anchor>
          </controlPr>
        </control>
      </mc:Choice>
      <mc:Fallback>
        <control shapeId="41640" r:id="rId46" name="OptionButton36"/>
      </mc:Fallback>
    </mc:AlternateContent>
    <mc:AlternateContent xmlns:mc="http://schemas.openxmlformats.org/markup-compatibility/2006">
      <mc:Choice Requires="x14">
        <control shapeId="41641" r:id="rId48" name="OptionButton37">
          <controlPr defaultSize="0" autoLine="0" linkedCell="XFC84" r:id="rId43">
            <anchor moveWithCells="1">
              <from>
                <xdr:col>4</xdr:col>
                <xdr:colOff>419100</xdr:colOff>
                <xdr:row>83</xdr:row>
                <xdr:rowOff>9525</xdr:rowOff>
              </from>
              <to>
                <xdr:col>4</xdr:col>
                <xdr:colOff>609600</xdr:colOff>
                <xdr:row>84</xdr:row>
                <xdr:rowOff>9525</xdr:rowOff>
              </to>
            </anchor>
          </controlPr>
        </control>
      </mc:Choice>
      <mc:Fallback>
        <control shapeId="41641" r:id="rId48" name="OptionButton37"/>
      </mc:Fallback>
    </mc:AlternateContent>
    <mc:AlternateContent xmlns:mc="http://schemas.openxmlformats.org/markup-compatibility/2006">
      <mc:Choice Requires="x14">
        <control shapeId="41642" r:id="rId49" name="OptionButton38">
          <controlPr defaultSize="0" autoLine="0" linkedCell="XFD84" r:id="rId50">
            <anchor moveWithCells="1">
              <from>
                <xdr:col>5</xdr:col>
                <xdr:colOff>266700</xdr:colOff>
                <xdr:row>83</xdr:row>
                <xdr:rowOff>9525</xdr:rowOff>
              </from>
              <to>
                <xdr:col>5</xdr:col>
                <xdr:colOff>466725</xdr:colOff>
                <xdr:row>84</xdr:row>
                <xdr:rowOff>9525</xdr:rowOff>
              </to>
            </anchor>
          </controlPr>
        </control>
      </mc:Choice>
      <mc:Fallback>
        <control shapeId="41642" r:id="rId49" name="OptionButton38"/>
      </mc:Fallback>
    </mc:AlternateContent>
    <mc:AlternateContent xmlns:mc="http://schemas.openxmlformats.org/markup-compatibility/2006">
      <mc:Choice Requires="x14">
        <control shapeId="41643" r:id="rId51" name="OptionButton39">
          <controlPr defaultSize="0" autoLine="0" linkedCell="XFB85" r:id="rId7">
            <anchor moveWithCells="1">
              <from>
                <xdr:col>3</xdr:col>
                <xdr:colOff>285750</xdr:colOff>
                <xdr:row>84</xdr:row>
                <xdr:rowOff>9525</xdr:rowOff>
              </from>
              <to>
                <xdr:col>3</xdr:col>
                <xdr:colOff>476250</xdr:colOff>
                <xdr:row>85</xdr:row>
                <xdr:rowOff>0</xdr:rowOff>
              </to>
            </anchor>
          </controlPr>
        </control>
      </mc:Choice>
      <mc:Fallback>
        <control shapeId="41643" r:id="rId51" name="OptionButton39"/>
      </mc:Fallback>
    </mc:AlternateContent>
    <mc:AlternateContent xmlns:mc="http://schemas.openxmlformats.org/markup-compatibility/2006">
      <mc:Choice Requires="x14">
        <control shapeId="41644" r:id="rId52" name="OptionButton40">
          <controlPr defaultSize="0" autoLine="0" linkedCell="XFC85" r:id="rId9">
            <anchor moveWithCells="1">
              <from>
                <xdr:col>4</xdr:col>
                <xdr:colOff>419100</xdr:colOff>
                <xdr:row>84</xdr:row>
                <xdr:rowOff>0</xdr:rowOff>
              </from>
              <to>
                <xdr:col>4</xdr:col>
                <xdr:colOff>609600</xdr:colOff>
                <xdr:row>84</xdr:row>
                <xdr:rowOff>304800</xdr:rowOff>
              </to>
            </anchor>
          </controlPr>
        </control>
      </mc:Choice>
      <mc:Fallback>
        <control shapeId="41644" r:id="rId52" name="OptionButton40"/>
      </mc:Fallback>
    </mc:AlternateContent>
    <mc:AlternateContent xmlns:mc="http://schemas.openxmlformats.org/markup-compatibility/2006">
      <mc:Choice Requires="x14">
        <control shapeId="41645" r:id="rId53" name="OptionButton41">
          <controlPr defaultSize="0" autoLine="0" linkedCell="XFD85" r:id="rId26">
            <anchor moveWithCells="1">
              <from>
                <xdr:col>5</xdr:col>
                <xdr:colOff>266700</xdr:colOff>
                <xdr:row>84</xdr:row>
                <xdr:rowOff>0</xdr:rowOff>
              </from>
              <to>
                <xdr:col>5</xdr:col>
                <xdr:colOff>466725</xdr:colOff>
                <xdr:row>84</xdr:row>
                <xdr:rowOff>304800</xdr:rowOff>
              </to>
            </anchor>
          </controlPr>
        </control>
      </mc:Choice>
      <mc:Fallback>
        <control shapeId="41645" r:id="rId53" name="OptionButton41"/>
      </mc:Fallback>
    </mc:AlternateContent>
    <mc:AlternateContent xmlns:mc="http://schemas.openxmlformats.org/markup-compatibility/2006">
      <mc:Choice Requires="x14">
        <control shapeId="41702" r:id="rId54" name="CommandButton1">
          <controlPr defaultSize="0" autoLine="0" r:id="rId55">
            <anchor moveWithCells="1">
              <from>
                <xdr:col>12</xdr:col>
                <xdr:colOff>190500</xdr:colOff>
                <xdr:row>93</xdr:row>
                <xdr:rowOff>152400</xdr:rowOff>
              </from>
              <to>
                <xdr:col>16</xdr:col>
                <xdr:colOff>66675</xdr:colOff>
                <xdr:row>95</xdr:row>
                <xdr:rowOff>19050</xdr:rowOff>
              </to>
            </anchor>
          </controlPr>
        </control>
      </mc:Choice>
      <mc:Fallback>
        <control shapeId="41702" r:id="rId54" name="CommandButton1"/>
      </mc:Fallback>
    </mc:AlternateContent>
    <mc:AlternateContent xmlns:mc="http://schemas.openxmlformats.org/markup-compatibility/2006">
      <mc:Choice Requires="x14">
        <control shapeId="41705" r:id="rId56" name="Button 745">
          <controlPr defaultSize="0" print="0" autoFill="0" autoPict="0" macro="[0]!Ir_a_Resumen">
            <anchor moveWithCells="1" sizeWithCells="1">
              <from>
                <xdr:col>13</xdr:col>
                <xdr:colOff>609600</xdr:colOff>
                <xdr:row>157</xdr:row>
                <xdr:rowOff>57150</xdr:rowOff>
              </from>
              <to>
                <xdr:col>17</xdr:col>
                <xdr:colOff>638175</xdr:colOff>
                <xdr:row>160</xdr:row>
                <xdr:rowOff>0</xdr:rowOff>
              </to>
            </anchor>
          </controlPr>
        </control>
      </mc:Choice>
    </mc:AlternateContent>
  </controls>
  <extLst>
    <ext xmlns:x14="http://schemas.microsoft.com/office/spreadsheetml/2009/9/main" uri="{CCE6A557-97BC-4b89-ADB6-D9C93CAAB3DF}">
      <x14:dataValidations xmlns:xm="http://schemas.microsoft.com/office/excel/2006/main" xWindow="609" yWindow="462" count="7">
        <x14:dataValidation type="list" allowBlank="1" showInputMessage="1" showErrorMessage="1" promptTitle="Provincia" prompt="eleccionar la provincia del departamento de la columna de la izquierda, en el cual se ubica la Unidad Productora de Servicio de Protección de reiberas de río vulnerables, analizada._x000a_En caso que el área incluya varios distritos, utilice la fila siguiente.">
          <x14:formula1>
            <xm:f>INDIRECT(VLOOKUP(C24,'Base de datos'!$A$2:$B$26,2,FALSE))</xm:f>
          </x14:formula1>
          <xm:sqref>F24:H24</xm:sqref>
        </x14:dataValidation>
        <x14:dataValidation type="list" allowBlank="1" showInputMessage="1" showErrorMessage="1" promptTitle="Distrito" prompt="Seleccionar el distrito de la provincia de la columna de la izquierda, en el cual se ubica la Unidad Productora de Servicio de protección de riberas de río vulnerables, analizada._x000a_En caso que el área incluya varios distritos, utilice la fila siguiente.">
          <x14:formula1>
            <xm:f>INDIRECT(VLOOKUP($F$23,'Base de datos'!$D$2:$E$222,2,FALSE))</xm:f>
          </x14:formula1>
          <xm:sqref>I23:K23</xm:sqref>
        </x14:dataValidation>
        <x14:dataValidation type="list" allowBlank="1" showInputMessage="1" showErrorMessage="1" promptTitle="Provincia" prompt="eleccionar la provincia del departamento de la columna de la izquierda, en el cual se ubica la Unidad Productora de Servicio de Protección de reiberas de río vulnerables, analizada.">
          <x14:formula1>
            <xm:f>INDIRECT(VLOOKUP(C25,'Base de datos'!$A$2:$B$26,2,FALSE))</xm:f>
          </x14:formula1>
          <xm:sqref>F25:H25</xm:sqref>
        </x14:dataValidation>
        <x14:dataValidation type="list" allowBlank="1" showInputMessage="1" showErrorMessage="1" promptTitle="Distrito" prompt="Seleccionar el distrito de la provincia de la columna de la izquierda, en el cual se ubica la Unidad Productora de Servicio de protección de riberas de río vulnerables, analizada._x000a_En caso que el área incluya varios distritos, utilice la fila siguiente.">
          <x14:formula1>
            <xm:f>INDIRECT(VLOOKUP($F$24,'Base de datos'!$D$2:$E$222,2,FALSE))</xm:f>
          </x14:formula1>
          <xm:sqref>I24:K24</xm:sqref>
        </x14:dataValidation>
        <x14:dataValidation type="list" allowBlank="1" showInputMessage="1" showErrorMessage="1" promptTitle="Distrito" prompt="Seleccionar el distrito de la provincia de la columna de la izquierda, en el cual se ubica la Unidad Productora de Servicio de protección de riberas de río vulnerables, analizada.">
          <x14:formula1>
            <xm:f>INDIRECT(VLOOKUP($F$25,'Base de datos'!$D$2:$E$222,2,FALSE))</xm:f>
          </x14:formula1>
          <xm:sqref>I25:K25</xm:sqref>
        </x14:dataValidation>
        <x14:dataValidation type="list" allowBlank="1" showInputMessage="1" showErrorMessage="1" promptTitle="Departamento" prompt="Seleccionar el nombre del departamento donde se ubica la Unidad Productora de servicio de protección de riberas de río vulnerables ante el peligro.">
          <x14:formula1>
            <xm:f>'Base de datos'!$A$2:$A$26</xm:f>
          </x14:formula1>
          <xm:sqref>C23:E25</xm:sqref>
        </x14:dataValidation>
        <x14:dataValidation type="list" allowBlank="1" showInputMessage="1" showErrorMessage="1" promptTitle="Provincia" prompt="Seleccionar la provincia del departamento de la columna de la izquierda, en el cual se ubica la Unidad Productora de Servicio de Protección de reiberas de río vulnerables, analizada._x000a_En caso que el área incluya varios distritos, utilice la fila siguiente.">
          <x14:formula1>
            <xm:f>INDIRECT(VLOOKUP(C23,'Base de datos'!$A$2:$B$26,2,FALSE))</xm:f>
          </x14:formula1>
          <xm:sqref>F23:H23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S57"/>
  <sheetViews>
    <sheetView showGridLines="0" zoomScaleNormal="100" zoomScaleSheetLayoutView="100" workbookViewId="0">
      <pane ySplit="9" topLeftCell="A10" activePane="bottomLeft" state="frozen"/>
      <selection sqref="A1:XFD1048576"/>
      <selection pane="bottomLeft" activeCell="B16" sqref="B16:D16"/>
    </sheetView>
  </sheetViews>
  <sheetFormatPr baseColWidth="10" defaultColWidth="8.42578125" defaultRowHeight="15" x14ac:dyDescent="0.25"/>
  <cols>
    <col min="1" max="1" width="7" style="50" customWidth="1"/>
    <col min="2" max="11" width="8.42578125" style="50"/>
    <col min="12" max="12" width="9.85546875" style="50" customWidth="1"/>
    <col min="13" max="16384" width="8.42578125" style="50"/>
  </cols>
  <sheetData>
    <row r="1" spans="1:19" x14ac:dyDescent="0.25">
      <c r="A1" s="133"/>
      <c r="B1" s="133"/>
      <c r="C1" s="133"/>
      <c r="D1" s="133"/>
      <c r="E1" s="133"/>
      <c r="F1" s="133"/>
      <c r="G1" s="133"/>
      <c r="H1" s="133"/>
      <c r="I1" s="133"/>
      <c r="J1" s="133"/>
      <c r="K1" s="133"/>
      <c r="L1" s="133"/>
      <c r="M1" s="133"/>
      <c r="N1" s="133"/>
      <c r="O1" s="133"/>
      <c r="P1" s="133"/>
    </row>
    <row r="2" spans="1:19" x14ac:dyDescent="0.25">
      <c r="A2" s="133"/>
      <c r="B2" s="133"/>
      <c r="C2" s="133"/>
      <c r="D2" s="133"/>
      <c r="E2" s="133"/>
      <c r="F2" s="133"/>
      <c r="G2" s="133"/>
      <c r="H2" s="133"/>
      <c r="I2" s="133"/>
      <c r="J2" s="133"/>
      <c r="K2" s="133"/>
      <c r="L2" s="133"/>
      <c r="M2" s="133"/>
      <c r="N2" s="133"/>
      <c r="O2" s="133"/>
      <c r="P2" s="133"/>
    </row>
    <row r="3" spans="1:19" x14ac:dyDescent="0.25">
      <c r="A3" s="133"/>
      <c r="B3" s="133"/>
      <c r="C3" s="133"/>
      <c r="D3" s="133"/>
      <c r="E3" s="133"/>
      <c r="F3" s="133"/>
      <c r="G3" s="133"/>
      <c r="H3" s="133"/>
      <c r="I3" s="133"/>
      <c r="J3" s="133"/>
      <c r="K3" s="133"/>
      <c r="L3" s="133"/>
      <c r="M3" s="133"/>
      <c r="N3" s="133"/>
      <c r="O3" s="133"/>
      <c r="P3" s="133"/>
    </row>
    <row r="4" spans="1:19" x14ac:dyDescent="0.25">
      <c r="A4" s="133"/>
      <c r="B4" s="133"/>
      <c r="C4" s="133"/>
      <c r="D4" s="133"/>
      <c r="E4" s="133"/>
      <c r="F4" s="133"/>
      <c r="G4" s="133"/>
      <c r="H4" s="133"/>
      <c r="I4" s="133"/>
      <c r="J4" s="133"/>
      <c r="K4" s="133"/>
      <c r="L4" s="133"/>
      <c r="M4" s="133"/>
      <c r="N4" s="133"/>
      <c r="O4" s="133"/>
      <c r="P4" s="133"/>
    </row>
    <row r="5" spans="1:19" x14ac:dyDescent="0.25">
      <c r="A5" s="133"/>
      <c r="B5" s="133"/>
      <c r="C5" s="133"/>
      <c r="D5" s="133"/>
      <c r="E5" s="133"/>
      <c r="F5" s="133"/>
      <c r="G5" s="133"/>
      <c r="H5" s="133"/>
      <c r="I5" s="133"/>
      <c r="J5" s="133"/>
      <c r="K5" s="133"/>
      <c r="L5" s="133"/>
      <c r="M5" s="133"/>
      <c r="N5" s="133"/>
      <c r="O5" s="133"/>
      <c r="P5" s="133"/>
    </row>
    <row r="6" spans="1:19" x14ac:dyDescent="0.25">
      <c r="A6" s="133"/>
      <c r="B6" s="133"/>
      <c r="C6" s="133"/>
      <c r="D6" s="133"/>
      <c r="E6" s="133"/>
      <c r="F6" s="133"/>
      <c r="G6" s="133"/>
      <c r="H6" s="133"/>
      <c r="I6" s="133"/>
      <c r="J6" s="133"/>
      <c r="K6" s="133"/>
      <c r="L6" s="133"/>
      <c r="M6" s="133"/>
      <c r="N6" s="133"/>
      <c r="O6" s="133"/>
      <c r="P6" s="133"/>
    </row>
    <row r="7" spans="1:19" x14ac:dyDescent="0.25">
      <c r="A7" s="133"/>
      <c r="B7" s="133"/>
      <c r="C7" s="133"/>
      <c r="D7" s="133"/>
      <c r="E7" s="133"/>
      <c r="F7" s="133"/>
      <c r="G7" s="133"/>
      <c r="H7" s="133"/>
      <c r="I7" s="133"/>
      <c r="J7" s="133"/>
      <c r="K7" s="133"/>
      <c r="L7" s="133"/>
      <c r="M7" s="133"/>
      <c r="N7" s="133"/>
      <c r="O7" s="133"/>
      <c r="P7" s="133"/>
    </row>
    <row r="8" spans="1:19" x14ac:dyDescent="0.25">
      <c r="A8" s="133"/>
      <c r="B8" s="133"/>
      <c r="C8" s="133"/>
      <c r="D8" s="133"/>
      <c r="E8" s="133"/>
      <c r="F8" s="133"/>
      <c r="G8" s="133"/>
      <c r="H8" s="133"/>
      <c r="I8" s="133"/>
      <c r="J8" s="133"/>
      <c r="K8" s="133"/>
      <c r="L8" s="133"/>
      <c r="M8" s="133"/>
      <c r="N8" s="133"/>
      <c r="O8" s="133"/>
      <c r="P8" s="133"/>
    </row>
    <row r="9" spans="1:19" x14ac:dyDescent="0.25">
      <c r="A9" s="133"/>
      <c r="B9" s="133"/>
      <c r="C9" s="133"/>
      <c r="D9" s="133"/>
      <c r="E9" s="133"/>
      <c r="F9" s="133"/>
      <c r="G9" s="133"/>
      <c r="H9" s="133"/>
      <c r="I9" s="133"/>
      <c r="J9" s="133"/>
      <c r="K9" s="133"/>
      <c r="L9" s="133"/>
      <c r="M9" s="133"/>
      <c r="N9" s="133"/>
      <c r="O9" s="133"/>
      <c r="P9" s="133"/>
    </row>
    <row r="10" spans="1:19" s="82" customFormat="1" ht="18.75" x14ac:dyDescent="0.3">
      <c r="B10" s="82" t="s">
        <v>342</v>
      </c>
    </row>
    <row r="12" spans="1:19" s="97" customFormat="1" ht="23.25" customHeight="1" x14ac:dyDescent="0.25">
      <c r="B12" s="1088" t="s">
        <v>405</v>
      </c>
      <c r="C12" s="1088"/>
      <c r="D12" s="1088"/>
      <c r="E12" s="1088"/>
      <c r="F12" s="1088"/>
      <c r="G12" s="1088"/>
      <c r="H12" s="1088"/>
      <c r="I12" s="1088"/>
      <c r="J12" s="1088"/>
      <c r="K12" s="1088"/>
      <c r="L12" s="1088"/>
      <c r="M12" s="1088"/>
      <c r="N12" s="50"/>
      <c r="O12" s="217"/>
      <c r="P12" s="217"/>
      <c r="Q12" s="134"/>
      <c r="R12" s="134"/>
      <c r="S12" s="134"/>
    </row>
    <row r="13" spans="1:19" s="217" customFormat="1" ht="15" customHeight="1" x14ac:dyDescent="0.25">
      <c r="L13" s="50"/>
      <c r="M13" s="50"/>
      <c r="N13" s="50"/>
    </row>
    <row r="14" spans="1:19" s="217" customFormat="1" ht="25.5" customHeight="1" x14ac:dyDescent="0.2">
      <c r="B14" s="1197" t="s">
        <v>70</v>
      </c>
      <c r="C14" s="1197"/>
      <c r="D14" s="1197"/>
      <c r="E14" s="1197" t="s">
        <v>89</v>
      </c>
      <c r="F14" s="1197"/>
      <c r="G14" s="1197"/>
      <c r="H14" s="1197" t="s">
        <v>308</v>
      </c>
      <c r="I14" s="1197"/>
      <c r="J14" s="1197"/>
      <c r="K14" s="1197" t="s">
        <v>26</v>
      </c>
      <c r="L14" s="1197"/>
      <c r="M14" s="1197"/>
    </row>
    <row r="15" spans="1:19" s="217" customFormat="1" ht="5.25" customHeight="1" x14ac:dyDescent="0.2"/>
    <row r="16" spans="1:19" s="217" customFormat="1" ht="25.5" customHeight="1" x14ac:dyDescent="0.2">
      <c r="B16" s="1382"/>
      <c r="C16" s="1383"/>
      <c r="D16" s="1384"/>
      <c r="E16" s="1382" t="s">
        <v>4712</v>
      </c>
      <c r="F16" s="1383"/>
      <c r="G16" s="1384"/>
      <c r="H16" s="1377" t="s">
        <v>4711</v>
      </c>
      <c r="I16" s="1378"/>
      <c r="J16" s="1379"/>
      <c r="K16" s="1382" t="s">
        <v>4935</v>
      </c>
      <c r="L16" s="1383"/>
      <c r="M16" s="1384"/>
    </row>
    <row r="17" spans="2:19" s="217" customFormat="1" ht="15" customHeight="1" x14ac:dyDescent="0.25">
      <c r="B17" s="112"/>
      <c r="O17" s="68"/>
      <c r="P17" s="68"/>
    </row>
    <row r="18" spans="2:19" s="97" customFormat="1" ht="23.25" customHeight="1" x14ac:dyDescent="0.25">
      <c r="B18" s="1088" t="s">
        <v>4900</v>
      </c>
      <c r="C18" s="1088"/>
      <c r="D18" s="1088"/>
      <c r="E18" s="1088"/>
      <c r="F18" s="1088"/>
      <c r="G18" s="1088"/>
      <c r="H18" s="1088"/>
      <c r="I18" s="1088"/>
      <c r="J18" s="1088"/>
      <c r="K18" s="1088"/>
      <c r="L18" s="1088"/>
      <c r="M18" s="1088"/>
      <c r="N18" s="50"/>
      <c r="O18" s="217"/>
      <c r="P18" s="217"/>
      <c r="Q18" s="134"/>
      <c r="R18" s="134"/>
      <c r="S18" s="134"/>
    </row>
    <row r="19" spans="2:19" s="217" customFormat="1" ht="15" customHeight="1" x14ac:dyDescent="0.25">
      <c r="L19" s="50"/>
      <c r="M19" s="50"/>
      <c r="N19" s="50"/>
    </row>
    <row r="20" spans="2:19" s="467" customFormat="1" ht="25.5" customHeight="1" x14ac:dyDescent="0.25">
      <c r="B20" s="1197" t="s">
        <v>4901</v>
      </c>
      <c r="C20" s="1197"/>
      <c r="D20" s="1197"/>
      <c r="E20" s="1197" t="s">
        <v>89</v>
      </c>
      <c r="F20" s="1197"/>
      <c r="G20" s="1197"/>
      <c r="H20" s="1197" t="s">
        <v>308</v>
      </c>
      <c r="I20" s="1197"/>
      <c r="J20" s="1197"/>
      <c r="K20" s="1197" t="s">
        <v>26</v>
      </c>
      <c r="L20" s="1197"/>
      <c r="M20" s="1197"/>
      <c r="N20" s="50"/>
    </row>
    <row r="21" spans="2:19" s="467" customFormat="1" ht="5.0999999999999996" customHeight="1" x14ac:dyDescent="0.25">
      <c r="N21" s="50"/>
    </row>
    <row r="22" spans="2:19" s="467" customFormat="1" ht="25.5" customHeight="1" x14ac:dyDescent="0.25">
      <c r="B22" s="1382"/>
      <c r="C22" s="1383"/>
      <c r="D22" s="1384"/>
      <c r="E22" s="1382" t="s">
        <v>4712</v>
      </c>
      <c r="F22" s="1383"/>
      <c r="G22" s="1384"/>
      <c r="H22" s="1377" t="s">
        <v>4711</v>
      </c>
      <c r="I22" s="1378"/>
      <c r="J22" s="1379"/>
      <c r="K22" s="1382" t="s">
        <v>4935</v>
      </c>
      <c r="L22" s="1383"/>
      <c r="M22" s="1384"/>
      <c r="N22" s="50"/>
    </row>
    <row r="23" spans="2:19" s="69" customFormat="1" ht="15" customHeight="1" x14ac:dyDescent="0.2">
      <c r="B23" s="137"/>
      <c r="E23" s="136"/>
      <c r="J23" s="217"/>
      <c r="K23" s="217"/>
    </row>
    <row r="24" spans="2:19" s="97" customFormat="1" ht="23.25" customHeight="1" x14ac:dyDescent="0.2">
      <c r="B24" s="1088" t="s">
        <v>406</v>
      </c>
      <c r="C24" s="1088"/>
      <c r="D24" s="1088"/>
      <c r="E24" s="1088"/>
      <c r="F24" s="1088"/>
      <c r="G24" s="1088"/>
      <c r="H24" s="1088"/>
      <c r="I24" s="1088"/>
      <c r="J24" s="1088"/>
      <c r="K24" s="1088"/>
      <c r="L24" s="1088"/>
      <c r="M24" s="1088"/>
      <c r="N24" s="1088"/>
      <c r="O24" s="1088"/>
      <c r="P24" s="1088"/>
      <c r="Q24" s="134"/>
      <c r="R24" s="134"/>
      <c r="S24" s="134"/>
    </row>
    <row r="25" spans="2:19" s="97" customFormat="1" ht="15" customHeight="1" x14ac:dyDescent="0.2">
      <c r="B25" s="139"/>
      <c r="C25" s="139"/>
      <c r="D25" s="139"/>
      <c r="E25" s="139"/>
      <c r="F25" s="139"/>
      <c r="G25" s="139"/>
      <c r="H25" s="139"/>
      <c r="I25" s="139"/>
      <c r="J25" s="139"/>
      <c r="K25" s="139"/>
      <c r="L25" s="139"/>
      <c r="M25" s="139"/>
      <c r="N25" s="139"/>
      <c r="O25" s="139"/>
      <c r="P25" s="139"/>
      <c r="Q25" s="134"/>
      <c r="R25" s="134"/>
      <c r="S25" s="134"/>
    </row>
    <row r="26" spans="2:19" s="97" customFormat="1" ht="15" customHeight="1" x14ac:dyDescent="0.2">
      <c r="B26" s="125" t="s">
        <v>4733</v>
      </c>
      <c r="C26" s="139"/>
      <c r="D26" s="139"/>
      <c r="E26" s="139"/>
      <c r="F26" s="1380"/>
      <c r="G26" s="1381"/>
      <c r="H26" s="139"/>
      <c r="I26" s="139"/>
      <c r="J26" s="139"/>
      <c r="K26" s="139"/>
      <c r="L26" s="139"/>
      <c r="M26" s="139"/>
      <c r="N26" s="139"/>
      <c r="O26" s="139"/>
      <c r="P26" s="139"/>
      <c r="Q26" s="134"/>
      <c r="R26" s="134"/>
      <c r="S26" s="134"/>
    </row>
    <row r="27" spans="2:19" s="217" customFormat="1" ht="15" customHeight="1" x14ac:dyDescent="0.2">
      <c r="B27" s="138"/>
      <c r="C27" s="138"/>
      <c r="D27" s="118"/>
      <c r="E27" s="118"/>
      <c r="F27" s="118"/>
      <c r="G27" s="118"/>
      <c r="H27" s="118"/>
      <c r="I27" s="118"/>
      <c r="L27" s="118"/>
      <c r="M27" s="118"/>
      <c r="N27" s="118"/>
      <c r="O27" s="118"/>
      <c r="P27" s="118"/>
    </row>
    <row r="28" spans="2:19" s="217" customFormat="1" ht="104.1" customHeight="1" x14ac:dyDescent="0.2">
      <c r="B28" s="1197" t="s">
        <v>232</v>
      </c>
      <c r="C28" s="1197"/>
      <c r="D28" s="1197"/>
      <c r="E28" s="1197" t="s">
        <v>72</v>
      </c>
      <c r="F28" s="1197"/>
      <c r="G28" s="1197"/>
      <c r="H28" s="1197" t="s">
        <v>311</v>
      </c>
      <c r="I28" s="1197"/>
      <c r="J28" s="1197"/>
      <c r="K28" s="1197" t="s">
        <v>73</v>
      </c>
      <c r="L28" s="1197"/>
      <c r="M28" s="1197"/>
      <c r="N28" s="1197" t="s">
        <v>74</v>
      </c>
      <c r="O28" s="1197"/>
      <c r="P28" s="1197"/>
    </row>
    <row r="29" spans="2:19" s="217" customFormat="1" ht="7.5" customHeight="1" x14ac:dyDescent="0.2"/>
    <row r="30" spans="2:19" s="217" customFormat="1" ht="65.099999999999994" hidden="1" customHeight="1" x14ac:dyDescent="0.2">
      <c r="B30" s="1369" t="s">
        <v>4718</v>
      </c>
      <c r="C30" s="1369"/>
      <c r="D30" s="1369"/>
      <c r="E30" s="1372" t="s">
        <v>4936</v>
      </c>
      <c r="F30" s="1372"/>
      <c r="G30" s="1372"/>
      <c r="H30" s="1373" t="s">
        <v>4937</v>
      </c>
      <c r="I30" s="1373"/>
      <c r="J30" s="1373"/>
      <c r="K30" s="1373" t="s">
        <v>4938</v>
      </c>
      <c r="L30" s="1373"/>
      <c r="M30" s="1373"/>
      <c r="N30" s="1373" t="s">
        <v>4939</v>
      </c>
      <c r="O30" s="1373"/>
      <c r="P30" s="1373"/>
    </row>
    <row r="31" spans="2:19" s="217" customFormat="1" ht="65.099999999999994" hidden="1" customHeight="1" x14ac:dyDescent="0.2">
      <c r="B31" s="1369"/>
      <c r="C31" s="1369"/>
      <c r="D31" s="1369"/>
      <c r="E31" s="1370"/>
      <c r="F31" s="1370"/>
      <c r="G31" s="1370"/>
      <c r="H31" s="1371"/>
      <c r="I31" s="1371"/>
      <c r="J31" s="1371"/>
      <c r="K31" s="1371"/>
      <c r="L31" s="1371"/>
      <c r="M31" s="1371"/>
      <c r="N31" s="1371"/>
      <c r="O31" s="1371"/>
      <c r="P31" s="1371"/>
    </row>
    <row r="32" spans="2:19" s="217" customFormat="1" ht="65.099999999999994" hidden="1" customHeight="1" x14ac:dyDescent="0.2">
      <c r="B32" s="1369"/>
      <c r="C32" s="1369"/>
      <c r="D32" s="1369"/>
      <c r="E32" s="1370"/>
      <c r="F32" s="1370"/>
      <c r="G32" s="1370"/>
      <c r="H32" s="1371"/>
      <c r="I32" s="1371"/>
      <c r="J32" s="1371"/>
      <c r="K32" s="1371"/>
      <c r="L32" s="1371"/>
      <c r="M32" s="1371"/>
      <c r="N32" s="1371"/>
      <c r="O32" s="1371"/>
      <c r="P32" s="1371"/>
    </row>
    <row r="33" spans="2:16" s="217" customFormat="1" ht="65.099999999999994" hidden="1" customHeight="1" x14ac:dyDescent="0.2">
      <c r="B33" s="1385"/>
      <c r="C33" s="1386"/>
      <c r="D33" s="1387"/>
      <c r="E33" s="1377"/>
      <c r="F33" s="1378"/>
      <c r="G33" s="1379"/>
      <c r="H33" s="1374"/>
      <c r="I33" s="1375"/>
      <c r="J33" s="1376"/>
      <c r="K33" s="1374"/>
      <c r="L33" s="1375"/>
      <c r="M33" s="1376"/>
      <c r="N33" s="1374"/>
      <c r="O33" s="1375"/>
      <c r="P33" s="1376"/>
    </row>
    <row r="34" spans="2:16" s="217" customFormat="1" ht="65.099999999999994" hidden="1" customHeight="1" x14ac:dyDescent="0.2">
      <c r="B34" s="1385"/>
      <c r="C34" s="1386"/>
      <c r="D34" s="1387"/>
      <c r="E34" s="1377"/>
      <c r="F34" s="1378"/>
      <c r="G34" s="1379"/>
      <c r="H34" s="1374"/>
      <c r="I34" s="1375"/>
      <c r="J34" s="1376"/>
      <c r="K34" s="1374"/>
      <c r="L34" s="1375"/>
      <c r="M34" s="1376"/>
      <c r="N34" s="1374"/>
      <c r="O34" s="1375"/>
      <c r="P34" s="1376"/>
    </row>
    <row r="35" spans="2:16" s="217" customFormat="1" ht="65.099999999999994" hidden="1" customHeight="1" x14ac:dyDescent="0.2">
      <c r="B35" s="1385"/>
      <c r="C35" s="1386"/>
      <c r="D35" s="1387"/>
      <c r="E35" s="1377"/>
      <c r="F35" s="1378"/>
      <c r="G35" s="1379"/>
      <c r="H35" s="1374"/>
      <c r="I35" s="1375"/>
      <c r="J35" s="1376"/>
      <c r="K35" s="1374"/>
      <c r="L35" s="1375"/>
      <c r="M35" s="1376"/>
      <c r="N35" s="1374"/>
      <c r="O35" s="1375"/>
      <c r="P35" s="1376"/>
    </row>
    <row r="36" spans="2:16" s="217" customFormat="1" ht="65.099999999999994" hidden="1" customHeight="1" x14ac:dyDescent="0.2">
      <c r="B36" s="1385"/>
      <c r="C36" s="1386"/>
      <c r="D36" s="1387"/>
      <c r="E36" s="1377"/>
      <c r="F36" s="1378"/>
      <c r="G36" s="1379"/>
      <c r="H36" s="1374"/>
      <c r="I36" s="1375"/>
      <c r="J36" s="1376"/>
      <c r="K36" s="1374"/>
      <c r="L36" s="1375"/>
      <c r="M36" s="1376"/>
      <c r="N36" s="1374"/>
      <c r="O36" s="1375"/>
      <c r="P36" s="1376"/>
    </row>
    <row r="37" spans="2:16" s="217" customFormat="1" ht="65.099999999999994" hidden="1" customHeight="1" x14ac:dyDescent="0.2">
      <c r="B37" s="1385"/>
      <c r="C37" s="1386"/>
      <c r="D37" s="1387"/>
      <c r="E37" s="1377"/>
      <c r="F37" s="1378"/>
      <c r="G37" s="1379"/>
      <c r="H37" s="1374"/>
      <c r="I37" s="1375"/>
      <c r="J37" s="1376"/>
      <c r="K37" s="1374"/>
      <c r="L37" s="1375"/>
      <c r="M37" s="1376"/>
      <c r="N37" s="1374"/>
      <c r="O37" s="1375"/>
      <c r="P37" s="1376"/>
    </row>
    <row r="38" spans="2:16" s="217" customFormat="1" ht="65.099999999999994" hidden="1" customHeight="1" x14ac:dyDescent="0.2">
      <c r="B38" s="1369"/>
      <c r="C38" s="1369"/>
      <c r="D38" s="1369"/>
      <c r="E38" s="1370"/>
      <c r="F38" s="1370"/>
      <c r="G38" s="1370"/>
      <c r="H38" s="1371"/>
      <c r="I38" s="1371"/>
      <c r="J38" s="1371"/>
      <c r="K38" s="1371"/>
      <c r="L38" s="1371"/>
      <c r="M38" s="1371"/>
      <c r="N38" s="1371"/>
      <c r="O38" s="1371"/>
      <c r="P38" s="1371"/>
    </row>
    <row r="39" spans="2:16" s="217" customFormat="1" ht="65.099999999999994" hidden="1" customHeight="1" x14ac:dyDescent="0.2">
      <c r="B39" s="1369"/>
      <c r="C39" s="1369"/>
      <c r="D39" s="1369"/>
      <c r="E39" s="1370"/>
      <c r="F39" s="1370"/>
      <c r="G39" s="1370"/>
      <c r="H39" s="1371"/>
      <c r="I39" s="1371"/>
      <c r="J39" s="1371"/>
      <c r="K39" s="1371"/>
      <c r="L39" s="1371"/>
      <c r="M39" s="1371"/>
      <c r="N39" s="1371"/>
      <c r="O39" s="1371"/>
      <c r="P39" s="1371"/>
    </row>
    <row r="40" spans="2:16" s="217" customFormat="1" ht="20.100000000000001" customHeight="1" x14ac:dyDescent="0.2">
      <c r="B40" s="118"/>
      <c r="C40" s="118"/>
      <c r="D40" s="118"/>
      <c r="E40" s="118"/>
      <c r="F40" s="118"/>
      <c r="G40" s="118"/>
      <c r="H40" s="118"/>
      <c r="I40" s="118"/>
      <c r="J40" s="118"/>
      <c r="K40" s="118"/>
      <c r="L40" s="118"/>
      <c r="M40" s="118"/>
      <c r="N40" s="118"/>
      <c r="O40" s="118"/>
      <c r="P40" s="118"/>
    </row>
    <row r="41" spans="2:16" x14ac:dyDescent="0.25">
      <c r="B41" s="322" t="s">
        <v>5616</v>
      </c>
      <c r="C41" s="708"/>
      <c r="D41" s="708"/>
      <c r="E41" s="708"/>
      <c r="F41" s="708"/>
      <c r="G41" s="708"/>
      <c r="H41" s="708"/>
      <c r="I41" s="708"/>
      <c r="J41" s="708"/>
      <c r="K41" s="708"/>
      <c r="L41" s="708"/>
      <c r="M41" s="708"/>
      <c r="N41" s="708"/>
      <c r="O41" s="708"/>
      <c r="P41" s="708"/>
    </row>
    <row r="42" spans="2:16" ht="8.1" customHeight="1" x14ac:dyDescent="0.25">
      <c r="B42" s="1008"/>
      <c r="C42" s="1008"/>
      <c r="D42" s="1008"/>
      <c r="E42" s="68"/>
      <c r="F42" s="1008"/>
      <c r="G42" s="1008"/>
      <c r="H42" s="1008"/>
      <c r="I42" s="1008"/>
      <c r="J42" s="1008"/>
      <c r="K42" s="1008"/>
      <c r="L42" s="1008"/>
      <c r="M42" s="1008"/>
      <c r="N42" s="1008"/>
      <c r="O42" s="1008"/>
      <c r="P42" s="1008"/>
    </row>
    <row r="43" spans="2:16" x14ac:dyDescent="0.25">
      <c r="B43" s="1392" t="s">
        <v>5617</v>
      </c>
      <c r="C43" s="1392"/>
      <c r="D43" s="1392"/>
      <c r="E43" s="1393" t="s">
        <v>5454</v>
      </c>
      <c r="F43" s="1393"/>
      <c r="G43" s="1393"/>
      <c r="H43" s="1393" t="s">
        <v>5618</v>
      </c>
      <c r="I43" s="1393"/>
      <c r="J43" s="1393"/>
      <c r="K43" s="1393"/>
      <c r="L43" s="1393"/>
      <c r="M43" s="1393"/>
      <c r="N43" s="1393"/>
      <c r="O43" s="1393"/>
      <c r="P43" s="1393"/>
    </row>
    <row r="44" spans="2:16" ht="39.950000000000003" customHeight="1" x14ac:dyDescent="0.25">
      <c r="B44" s="1394">
        <v>15</v>
      </c>
      <c r="C44" s="1394"/>
      <c r="D44" s="1394"/>
      <c r="E44" s="1395" t="str">
        <f>IFERROR(IF($B$44="","",'AREA DE ESTUDIO'!B123),"")</f>
        <v/>
      </c>
      <c r="F44" s="1395"/>
      <c r="G44" s="1395"/>
      <c r="H44" s="1396"/>
      <c r="I44" s="1397"/>
      <c r="J44" s="1397"/>
      <c r="K44" s="1397"/>
      <c r="L44" s="1397"/>
      <c r="M44" s="1397"/>
      <c r="N44" s="1397"/>
      <c r="O44" s="1397"/>
      <c r="P44" s="1398"/>
    </row>
    <row r="45" spans="2:16" ht="39.950000000000003" customHeight="1" x14ac:dyDescent="0.25">
      <c r="B45" s="1394"/>
      <c r="C45" s="1394"/>
      <c r="D45" s="1394"/>
      <c r="E45" s="1395" t="str">
        <f>IFERROR(IF($B$44="","",'AREA DE ESTUDIO'!B124),"")</f>
        <v/>
      </c>
      <c r="F45" s="1395"/>
      <c r="G45" s="1395"/>
      <c r="H45" s="1396"/>
      <c r="I45" s="1397"/>
      <c r="J45" s="1397"/>
      <c r="K45" s="1397"/>
      <c r="L45" s="1397"/>
      <c r="M45" s="1397"/>
      <c r="N45" s="1397"/>
      <c r="O45" s="1397"/>
      <c r="P45" s="1398"/>
    </row>
    <row r="46" spans="2:16" ht="39.950000000000003" customHeight="1" x14ac:dyDescent="0.25">
      <c r="B46" s="1394"/>
      <c r="C46" s="1394"/>
      <c r="D46" s="1394"/>
      <c r="E46" s="1395" t="str">
        <f>IFERROR(IF($B$44="","",'AREA DE ESTUDIO'!B125),"")</f>
        <v/>
      </c>
      <c r="F46" s="1395"/>
      <c r="G46" s="1395"/>
      <c r="H46" s="1396"/>
      <c r="I46" s="1397"/>
      <c r="J46" s="1397"/>
      <c r="K46" s="1397"/>
      <c r="L46" s="1397"/>
      <c r="M46" s="1397"/>
      <c r="N46" s="1397"/>
      <c r="O46" s="1397"/>
      <c r="P46" s="1398"/>
    </row>
    <row r="47" spans="2:16" ht="39.950000000000003" customHeight="1" x14ac:dyDescent="0.25">
      <c r="B47" s="1394"/>
      <c r="C47" s="1394"/>
      <c r="D47" s="1394"/>
      <c r="E47" s="1395" t="str">
        <f>IFERROR(IF($B$44="","",'AREA DE ESTUDIO'!B126),"")</f>
        <v/>
      </c>
      <c r="F47" s="1395"/>
      <c r="G47" s="1395"/>
      <c r="H47" s="1388"/>
      <c r="I47" s="1389"/>
      <c r="J47" s="1389"/>
      <c r="K47" s="1389"/>
      <c r="L47" s="1389"/>
      <c r="M47" s="1389"/>
      <c r="N47" s="1389"/>
      <c r="O47" s="1389"/>
      <c r="P47" s="1390"/>
    </row>
    <row r="48" spans="2:16" ht="39.950000000000003" customHeight="1" x14ac:dyDescent="0.25">
      <c r="B48" s="1394"/>
      <c r="C48" s="1394"/>
      <c r="D48" s="1394"/>
      <c r="E48" s="1395" t="str">
        <f>IFERROR(IF($B$44="","",'AREA DE ESTUDIO'!B127),"")</f>
        <v/>
      </c>
      <c r="F48" s="1395"/>
      <c r="G48" s="1395"/>
      <c r="H48" s="1388"/>
      <c r="I48" s="1389"/>
      <c r="J48" s="1389"/>
      <c r="K48" s="1389"/>
      <c r="L48" s="1389"/>
      <c r="M48" s="1389"/>
      <c r="N48" s="1389"/>
      <c r="O48" s="1389"/>
      <c r="P48" s="1390"/>
    </row>
    <row r="49" spans="1:16" ht="39.950000000000003" customHeight="1" x14ac:dyDescent="0.25">
      <c r="B49" s="1394"/>
      <c r="C49" s="1394"/>
      <c r="D49" s="1394"/>
      <c r="E49" s="1395" t="str">
        <f>IFERROR(IF($B$44="","",'AREA DE ESTUDIO'!B128),"")</f>
        <v/>
      </c>
      <c r="F49" s="1395"/>
      <c r="G49" s="1395"/>
      <c r="H49" s="1388"/>
      <c r="I49" s="1389"/>
      <c r="J49" s="1389"/>
      <c r="K49" s="1389"/>
      <c r="L49" s="1389"/>
      <c r="M49" s="1389"/>
      <c r="N49" s="1389"/>
      <c r="O49" s="1389"/>
      <c r="P49" s="1390"/>
    </row>
    <row r="50" spans="1:16" s="217" customFormat="1" ht="12.75" x14ac:dyDescent="0.2">
      <c r="A50" s="1008"/>
      <c r="B50" s="708"/>
      <c r="C50" s="708"/>
      <c r="D50" s="708"/>
      <c r="E50" s="708"/>
      <c r="F50" s="708"/>
      <c r="G50" s="708"/>
      <c r="H50" s="708"/>
      <c r="I50" s="708"/>
      <c r="J50" s="708"/>
      <c r="K50" s="708"/>
      <c r="L50" s="708"/>
      <c r="M50" s="708"/>
      <c r="N50" s="708"/>
      <c r="O50" s="708"/>
      <c r="P50" s="708"/>
    </row>
    <row r="51" spans="1:16" x14ac:dyDescent="0.25">
      <c r="B51" s="1013" t="s">
        <v>5619</v>
      </c>
      <c r="C51" s="1014"/>
      <c r="D51" s="1014"/>
      <c r="E51" s="1014"/>
      <c r="F51" s="1014"/>
      <c r="G51" s="1014"/>
      <c r="H51" s="1014"/>
      <c r="I51" s="1014"/>
      <c r="J51" s="1014"/>
      <c r="K51" s="1014"/>
      <c r="L51" s="1014"/>
      <c r="M51" s="1014"/>
      <c r="N51" s="1014"/>
      <c r="O51" s="1014"/>
      <c r="P51" s="1015"/>
    </row>
    <row r="52" spans="1:16" ht="8.1" customHeight="1" x14ac:dyDescent="0.25">
      <c r="B52" s="708"/>
      <c r="C52" s="708"/>
      <c r="D52" s="708"/>
      <c r="E52" s="708"/>
      <c r="F52" s="708"/>
      <c r="G52" s="708"/>
      <c r="H52" s="708"/>
      <c r="I52" s="708"/>
      <c r="J52" s="708"/>
      <c r="K52" s="708"/>
      <c r="L52" s="708"/>
      <c r="M52" s="708"/>
      <c r="N52" s="708"/>
      <c r="O52" s="708"/>
      <c r="P52" s="708"/>
    </row>
    <row r="53" spans="1:16" x14ac:dyDescent="0.25">
      <c r="B53" s="1391"/>
      <c r="C53" s="1391"/>
      <c r="D53" s="1391"/>
      <c r="E53" s="1391"/>
      <c r="F53" s="1391"/>
      <c r="G53" s="1391"/>
      <c r="H53" s="1391"/>
      <c r="I53" s="1391"/>
      <c r="J53" s="1391"/>
      <c r="K53" s="1391"/>
      <c r="L53" s="1391"/>
      <c r="M53" s="1391"/>
      <c r="N53" s="1391"/>
      <c r="O53" s="1391"/>
      <c r="P53" s="1391"/>
    </row>
    <row r="54" spans="1:16" x14ac:dyDescent="0.25">
      <c r="B54" s="1391"/>
      <c r="C54" s="1391"/>
      <c r="D54" s="1391"/>
      <c r="E54" s="1391"/>
      <c r="F54" s="1391"/>
      <c r="G54" s="1391"/>
      <c r="H54" s="1391"/>
      <c r="I54" s="1391"/>
      <c r="J54" s="1391"/>
      <c r="K54" s="1391"/>
      <c r="L54" s="1391"/>
      <c r="M54" s="1391"/>
      <c r="N54" s="1391"/>
      <c r="O54" s="1391"/>
      <c r="P54" s="1391"/>
    </row>
    <row r="55" spans="1:16" x14ac:dyDescent="0.25">
      <c r="B55" s="1391"/>
      <c r="C55" s="1391"/>
      <c r="D55" s="1391"/>
      <c r="E55" s="1391"/>
      <c r="F55" s="1391"/>
      <c r="G55" s="1391"/>
      <c r="H55" s="1391"/>
      <c r="I55" s="1391"/>
      <c r="J55" s="1391"/>
      <c r="K55" s="1391"/>
      <c r="L55" s="1391"/>
      <c r="M55" s="1391"/>
      <c r="N55" s="1391"/>
      <c r="O55" s="1391"/>
      <c r="P55" s="1391"/>
    </row>
    <row r="56" spans="1:16" x14ac:dyDescent="0.25">
      <c r="B56" s="1391"/>
      <c r="C56" s="1391"/>
      <c r="D56" s="1391"/>
      <c r="E56" s="1391"/>
      <c r="F56" s="1391"/>
      <c r="G56" s="1391"/>
      <c r="H56" s="1391"/>
      <c r="I56" s="1391"/>
      <c r="J56" s="1391"/>
      <c r="K56" s="1391"/>
      <c r="L56" s="1391"/>
      <c r="M56" s="1391"/>
      <c r="N56" s="1391"/>
      <c r="O56" s="1391"/>
      <c r="P56" s="1391"/>
    </row>
    <row r="57" spans="1:16" x14ac:dyDescent="0.25">
      <c r="B57" s="1391"/>
      <c r="C57" s="1391"/>
      <c r="D57" s="1391"/>
      <c r="E57" s="1391"/>
      <c r="F57" s="1391"/>
      <c r="G57" s="1391"/>
      <c r="H57" s="1391"/>
      <c r="I57" s="1391"/>
      <c r="J57" s="1391"/>
      <c r="K57" s="1391"/>
      <c r="L57" s="1391"/>
      <c r="M57" s="1391"/>
      <c r="N57" s="1391"/>
      <c r="O57" s="1391"/>
      <c r="P57" s="1391"/>
    </row>
  </sheetData>
  <sheetProtection password="9AA6" sheet="1" objects="1" scenarios="1"/>
  <dataConsolidate/>
  <mergeCells count="92">
    <mergeCell ref="B53:P57"/>
    <mergeCell ref="B43:D43"/>
    <mergeCell ref="E43:G43"/>
    <mergeCell ref="H43:P43"/>
    <mergeCell ref="B44:D49"/>
    <mergeCell ref="E44:G44"/>
    <mergeCell ref="H44:P44"/>
    <mergeCell ref="E45:G45"/>
    <mergeCell ref="H45:P45"/>
    <mergeCell ref="E46:G46"/>
    <mergeCell ref="H46:P46"/>
    <mergeCell ref="E47:G47"/>
    <mergeCell ref="H47:P47"/>
    <mergeCell ref="E48:G48"/>
    <mergeCell ref="H48:P48"/>
    <mergeCell ref="E49:G49"/>
    <mergeCell ref="H49:P49"/>
    <mergeCell ref="B36:D36"/>
    <mergeCell ref="E36:G36"/>
    <mergeCell ref="H36:J36"/>
    <mergeCell ref="K36:M36"/>
    <mergeCell ref="N36:P36"/>
    <mergeCell ref="B37:D37"/>
    <mergeCell ref="E37:G37"/>
    <mergeCell ref="H37:J37"/>
    <mergeCell ref="K37:M37"/>
    <mergeCell ref="N37:P37"/>
    <mergeCell ref="B39:D39"/>
    <mergeCell ref="E39:G39"/>
    <mergeCell ref="K39:M39"/>
    <mergeCell ref="N39:P39"/>
    <mergeCell ref="H39:J39"/>
    <mergeCell ref="K14:M14"/>
    <mergeCell ref="B16:D16"/>
    <mergeCell ref="K16:M16"/>
    <mergeCell ref="H30:J30"/>
    <mergeCell ref="B28:D28"/>
    <mergeCell ref="E28:G28"/>
    <mergeCell ref="K28:M28"/>
    <mergeCell ref="B20:D20"/>
    <mergeCell ref="E20:G20"/>
    <mergeCell ref="H20:J20"/>
    <mergeCell ref="K20:M20"/>
    <mergeCell ref="B22:D22"/>
    <mergeCell ref="E22:G22"/>
    <mergeCell ref="H22:J22"/>
    <mergeCell ref="K22:M22"/>
    <mergeCell ref="E14:G14"/>
    <mergeCell ref="N32:P32"/>
    <mergeCell ref="N33:P33"/>
    <mergeCell ref="E33:G33"/>
    <mergeCell ref="B33:D33"/>
    <mergeCell ref="B35:D35"/>
    <mergeCell ref="E35:G35"/>
    <mergeCell ref="H35:J35"/>
    <mergeCell ref="K35:M35"/>
    <mergeCell ref="B34:D34"/>
    <mergeCell ref="E34:G34"/>
    <mergeCell ref="H34:J34"/>
    <mergeCell ref="K34:M34"/>
    <mergeCell ref="N38:P38"/>
    <mergeCell ref="H31:J31"/>
    <mergeCell ref="H32:J32"/>
    <mergeCell ref="H38:J38"/>
    <mergeCell ref="H16:J16"/>
    <mergeCell ref="K31:M31"/>
    <mergeCell ref="N31:P31"/>
    <mergeCell ref="N35:P35"/>
    <mergeCell ref="N34:P34"/>
    <mergeCell ref="N28:P28"/>
    <mergeCell ref="B24:P24"/>
    <mergeCell ref="F26:G26"/>
    <mergeCell ref="N30:P30"/>
    <mergeCell ref="H28:J28"/>
    <mergeCell ref="E16:G16"/>
    <mergeCell ref="E32:G32"/>
    <mergeCell ref="B12:M12"/>
    <mergeCell ref="B38:D38"/>
    <mergeCell ref="E38:G38"/>
    <mergeCell ref="K38:M38"/>
    <mergeCell ref="B30:D30"/>
    <mergeCell ref="E30:G30"/>
    <mergeCell ref="K30:M30"/>
    <mergeCell ref="H33:J33"/>
    <mergeCell ref="K33:M33"/>
    <mergeCell ref="H14:J14"/>
    <mergeCell ref="B14:D14"/>
    <mergeCell ref="B18:M18"/>
    <mergeCell ref="B31:D31"/>
    <mergeCell ref="E31:G31"/>
    <mergeCell ref="B32:D32"/>
    <mergeCell ref="K32:M32"/>
  </mergeCells>
  <dataValidations xWindow="447" yWindow="530" count="13">
    <dataValidation type="textLength" operator="lessThan" allowBlank="1" showInputMessage="1" showErrorMessage="1" errorTitle="Error" error="El texto contienen más de 30 caracteres, incluye espacios en blanco." promptTitle="Fuente" prompt="Ingrese la fuente de información que ha sido utilizada para la determinación de la población afectada por problema." sqref="K16:M16 K22:M22">
      <formula1>30</formula1>
    </dataValidation>
    <dataValidation type="list" allowBlank="1" showInputMessage="1" showErrorMessage="1" promptTitle="Tipo" prompt="Seleccionar el tipo de población al cual pertenece la población afectada por el problema." sqref="E16:G16 E22:G22">
      <formula1>"Urbano, Rural, Urbano-Rural"</formula1>
    </dataValidation>
    <dataValidation type="whole" operator="greaterThan" allowBlank="1" showInputMessage="1" showErrorMessage="1" errorTitle="Error" error="Ingrese valores numéricos." promptTitle="Total" prompt="Ingrese el número total de la población afectada por el problema." sqref="B16:D16 B22:D22">
      <formula1>0</formula1>
    </dataValidation>
    <dataValidation type="list" allowBlank="1" showInputMessage="1" showErrorMessage="1" promptTitle="Agente Involucrado" prompt="Identificar las entidades involucradas, los beneficiarios directos, indirectos y perjudicados, con la ejecución y operación del proyecto , así como con las medidas de mitigación de impactos ambientales_x000a_y de reducción de riesgos de desastres. Selecccione._x000a_" sqref="B30:D39">
      <formula1>Involucrado</formula1>
    </dataValidation>
    <dataValidation type="list" allowBlank="1" showInputMessage="1" showErrorMessage="1" promptTitle="Involucrados" prompt="Seleccionar el número de involucrados que se van analizar para el presente proyecto." sqref="F26:G26">
      <formula1>"1,2,3,4,5,6,7,8,9,10"</formula1>
    </dataValidation>
    <dataValidation type="textLength" operator="lessThan" allowBlank="1" showInputMessage="1" showErrorMessage="1" errorTitle="Error" error="Texor contiene más de 120 caracteres, incluyen espacios en blanco." promptTitle="Problemas Percibidos" prompt="Especificar los problemas que percibe cada uno de los grupos identificados en relación con los servicios o productos en los que_x000a_intervendrá el proyecto, así como con los impactos ambientales y riesgos de desastres." sqref="H31:J39">
      <formula1>120</formula1>
    </dataValidation>
    <dataValidation type="textLength" operator="lessThan" allowBlank="1" showInputMessage="1" showErrorMessage="1" errorTitle="Error" error="Texto contiene más de 120 caracteres, incluyen espacios en blanco." promptTitle="Intereses" prompt="Especificar los intereses de cada grupo sobre cómo resolver los problemas, así como los conflictos potenciales en relación con la_x000a_ejecución y operación del proyecto, la mitigación de los impactos ambientales y la reducción de riesgos de desastres._x000a_" sqref="K30:M39">
      <formula1>120</formula1>
    </dataValidation>
    <dataValidation type="textLength" operator="lessThan" allowBlank="1" showInputMessage="1" showErrorMessage="1" errorTitle="Error" error="Texto contiene más de 120 caracteres, incluyen espacios en blanco." promptTitle="Problemas Percibidos" prompt="Especificar los problemas que percibe cada uno de los grupos identificados en relación con los servicios o productos en los que_x000a_intervendrá el proyecto, así como con los impactos ambientales y riesgos de desastres." sqref="H30:J30">
      <formula1>120</formula1>
    </dataValidation>
    <dataValidation type="textLength" operator="lessThan" allowBlank="1" showInputMessage="1" showErrorMessage="1" errorTitle="Error" error="Texto contiene más de 120 caracteres, incluyen espacios en blanco." promptTitle="Contribución" prompt="Acuerdos y compromisos relacionados con la ejecución del PIP, las_x000a_medidas de mitigación de los impactos ambientales y la reducción de_x000a_riesgos de desastres." sqref="N30:P39">
      <formula1>120</formula1>
    </dataValidation>
    <dataValidation type="list" allowBlank="1" showInputMessage="1" showErrorMessage="1" promptTitle="Seleccionar" prompt="Seleccionar la posición del agente involucrado analizado." sqref="E30:G39">
      <formula1>"Cooperante,Beneficiario,Oponente,Perjudicado"</formula1>
    </dataValidation>
    <dataValidation allowBlank="1" showInputMessage="1" showErrorMessage="1" promptTitle="Análisis de Resultados:" prompt="Consignar el análisis de los resultados en relación a la percepción de riesgo de los pobladores." sqref="B53:P57"/>
    <dataValidation allowBlank="1" showInputMessage="1" showErrorMessage="1" promptTitle="Percepción acerca del riesgo:" prompt="Consignar la percepción de los pobladores acerca del riesgo, referido a los daños causados y la interrupción de servicios generado por el riesgo." sqref="H44:P49"/>
    <dataValidation allowBlank="1" showInputMessage="1" showErrorMessage="1" promptTitle="Encuestados:" prompt="Consignar la cantidad total de personas que fueron encuestadas y/o entrevistadas." sqref="B44:D49"/>
  </dataValidations>
  <pageMargins left="0.70866141732283472" right="0.70866141732283472" top="0.74803149606299213" bottom="0.74803149606299213" header="0.31496062992125984" footer="0.31496062992125984"/>
  <pageSetup paperSize="9" scale="68"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144"/>
  <sheetViews>
    <sheetView showGridLines="0" zoomScale="80" zoomScaleNormal="80" zoomScaleSheetLayoutView="70" workbookViewId="0">
      <pane ySplit="9" topLeftCell="A53" activePane="bottomLeft" state="frozen"/>
      <selection sqref="A1:XFD1048576"/>
      <selection pane="bottomLeft" activeCell="A79" sqref="A79"/>
    </sheetView>
  </sheetViews>
  <sheetFormatPr baseColWidth="10" defaultColWidth="10.7109375" defaultRowHeight="15" x14ac:dyDescent="0.25"/>
  <cols>
    <col min="1" max="1" width="10.42578125" style="50" customWidth="1"/>
    <col min="2" max="14" width="10.7109375" style="50"/>
    <col min="15" max="15" width="12.28515625" style="50" bestFit="1" customWidth="1"/>
    <col min="16" max="17" width="10.7109375" style="50"/>
    <col min="18" max="23" width="10.7109375" style="50" customWidth="1"/>
    <col min="24" max="24" width="11.5703125" style="50" customWidth="1"/>
    <col min="25" max="16368" width="10.7109375" style="50" customWidth="1"/>
    <col min="16369" max="16384" width="10.7109375" style="50"/>
  </cols>
  <sheetData>
    <row r="1" spans="1:18" x14ac:dyDescent="0.25">
      <c r="A1" s="49"/>
      <c r="B1" s="49"/>
      <c r="C1" s="49"/>
      <c r="D1" s="49"/>
      <c r="E1" s="49"/>
      <c r="F1" s="49"/>
      <c r="G1" s="49"/>
      <c r="H1" s="49"/>
      <c r="I1" s="49"/>
      <c r="J1" s="49"/>
      <c r="K1" s="49"/>
      <c r="L1" s="49"/>
      <c r="M1" s="49"/>
      <c r="N1" s="49"/>
      <c r="O1" s="49"/>
      <c r="P1" s="49"/>
      <c r="Q1" s="49"/>
    </row>
    <row r="2" spans="1:18" x14ac:dyDescent="0.25">
      <c r="A2" s="49"/>
      <c r="B2" s="49"/>
      <c r="C2" s="49"/>
      <c r="D2" s="49"/>
      <c r="E2" s="49"/>
      <c r="F2" s="49"/>
      <c r="G2" s="49"/>
      <c r="H2" s="49"/>
      <c r="I2" s="49"/>
      <c r="J2" s="49"/>
      <c r="K2" s="49"/>
      <c r="L2" s="49"/>
      <c r="M2" s="49"/>
      <c r="N2" s="49"/>
      <c r="O2" s="49"/>
      <c r="P2" s="49"/>
      <c r="Q2" s="49"/>
    </row>
    <row r="3" spans="1:18" x14ac:dyDescent="0.25">
      <c r="A3" s="49"/>
      <c r="B3" s="49"/>
      <c r="C3" s="49"/>
      <c r="D3" s="49"/>
      <c r="E3" s="49"/>
      <c r="F3" s="49"/>
      <c r="G3" s="49"/>
      <c r="H3" s="49"/>
      <c r="I3" s="49"/>
      <c r="J3" s="49"/>
      <c r="K3" s="49"/>
      <c r="L3" s="49"/>
      <c r="M3" s="49"/>
      <c r="N3" s="49"/>
      <c r="O3" s="49"/>
      <c r="P3" s="49"/>
      <c r="Q3" s="49"/>
    </row>
    <row r="4" spans="1:18" x14ac:dyDescent="0.25">
      <c r="A4" s="49"/>
      <c r="B4" s="49"/>
      <c r="C4" s="49"/>
      <c r="D4" s="49"/>
      <c r="E4" s="49"/>
      <c r="F4" s="49"/>
      <c r="G4" s="49"/>
      <c r="H4" s="49"/>
      <c r="I4" s="49"/>
      <c r="J4" s="49"/>
      <c r="K4" s="49"/>
      <c r="L4" s="49"/>
      <c r="M4" s="49"/>
      <c r="N4" s="49"/>
      <c r="O4" s="49"/>
      <c r="P4" s="49"/>
      <c r="Q4" s="49"/>
    </row>
    <row r="5" spans="1:18" x14ac:dyDescent="0.25">
      <c r="A5" s="49"/>
      <c r="B5" s="49"/>
      <c r="C5" s="49"/>
      <c r="D5" s="49"/>
      <c r="E5" s="49"/>
      <c r="F5" s="49"/>
      <c r="G5" s="49"/>
      <c r="H5" s="49"/>
      <c r="I5" s="49"/>
      <c r="J5" s="49"/>
      <c r="K5" s="49"/>
      <c r="L5" s="49"/>
      <c r="M5" s="49"/>
      <c r="N5" s="49"/>
      <c r="O5" s="49"/>
      <c r="P5" s="49"/>
      <c r="Q5" s="49"/>
    </row>
    <row r="6" spans="1:18" x14ac:dyDescent="0.25">
      <c r="A6" s="49"/>
      <c r="B6" s="49"/>
      <c r="C6" s="49"/>
      <c r="D6" s="49"/>
      <c r="E6" s="49"/>
      <c r="F6" s="49"/>
      <c r="G6" s="49"/>
      <c r="H6" s="49"/>
      <c r="I6" s="49"/>
      <c r="J6" s="49"/>
      <c r="K6" s="49"/>
      <c r="L6" s="49"/>
      <c r="M6" s="49"/>
      <c r="N6" s="49"/>
      <c r="O6" s="49"/>
      <c r="P6" s="49"/>
      <c r="Q6" s="49"/>
    </row>
    <row r="7" spans="1:18" x14ac:dyDescent="0.25">
      <c r="A7" s="49"/>
      <c r="B7" s="49"/>
      <c r="C7" s="49"/>
      <c r="D7" s="49"/>
      <c r="E7" s="49"/>
      <c r="F7" s="49"/>
      <c r="G7" s="49"/>
      <c r="H7" s="49"/>
      <c r="I7" s="49"/>
      <c r="J7" s="49"/>
      <c r="K7" s="49"/>
      <c r="L7" s="49"/>
      <c r="M7" s="49"/>
      <c r="N7" s="49"/>
      <c r="O7" s="49"/>
      <c r="P7" s="49"/>
      <c r="Q7" s="49"/>
    </row>
    <row r="8" spans="1:18" x14ac:dyDescent="0.25">
      <c r="A8" s="49"/>
      <c r="B8" s="49"/>
      <c r="C8" s="49"/>
      <c r="D8" s="49"/>
      <c r="E8" s="49"/>
      <c r="F8" s="49"/>
      <c r="G8" s="49"/>
      <c r="H8" s="49"/>
      <c r="I8" s="49"/>
      <c r="J8" s="49"/>
      <c r="K8" s="49"/>
      <c r="L8" s="49"/>
      <c r="M8" s="49"/>
      <c r="N8" s="49"/>
      <c r="O8" s="49"/>
      <c r="P8" s="49"/>
      <c r="Q8" s="49"/>
    </row>
    <row r="9" spans="1:18" x14ac:dyDescent="0.25">
      <c r="A9" s="49"/>
      <c r="B9" s="49"/>
      <c r="C9" s="49"/>
      <c r="D9" s="49"/>
      <c r="E9" s="49"/>
      <c r="F9" s="49"/>
      <c r="G9" s="49"/>
      <c r="H9" s="49"/>
      <c r="I9" s="49"/>
      <c r="J9" s="49"/>
      <c r="K9" s="49"/>
      <c r="L9" s="49"/>
      <c r="M9" s="49"/>
      <c r="N9" s="49"/>
      <c r="O9" s="49"/>
      <c r="P9" s="49"/>
      <c r="Q9" s="49"/>
    </row>
    <row r="10" spans="1:18" s="82" customFormat="1" ht="18.75" x14ac:dyDescent="0.3">
      <c r="B10" s="82" t="s">
        <v>423</v>
      </c>
    </row>
    <row r="12" spans="1:18" s="217" customFormat="1" ht="23.1" customHeight="1" x14ac:dyDescent="0.2">
      <c r="B12" s="1089" t="s">
        <v>366</v>
      </c>
      <c r="C12" s="1089"/>
      <c r="D12" s="1089"/>
      <c r="E12" s="1089"/>
      <c r="F12" s="1089"/>
      <c r="G12" s="1089"/>
      <c r="H12" s="1089"/>
      <c r="I12" s="1089"/>
      <c r="J12" s="1089"/>
      <c r="K12" s="1089"/>
      <c r="L12" s="1089"/>
      <c r="M12" s="1089"/>
      <c r="N12" s="1089"/>
      <c r="O12" s="214"/>
      <c r="P12" s="214"/>
    </row>
    <row r="13" spans="1:18" s="217" customFormat="1" ht="21" customHeight="1" x14ac:dyDescent="0.2">
      <c r="B13" s="68"/>
    </row>
    <row r="14" spans="1:18" s="69" customFormat="1" ht="23.45" customHeight="1" x14ac:dyDescent="0.25">
      <c r="B14" s="1196" t="s">
        <v>282</v>
      </c>
      <c r="C14" s="1196"/>
      <c r="D14" s="1196"/>
      <c r="E14" s="1196"/>
      <c r="F14" s="1196" t="s">
        <v>75</v>
      </c>
      <c r="G14" s="1196"/>
      <c r="H14" s="1196"/>
      <c r="I14" s="1196"/>
      <c r="J14" s="1263" t="s">
        <v>302</v>
      </c>
      <c r="K14" s="1264"/>
      <c r="L14" s="1264"/>
      <c r="M14" s="1264"/>
      <c r="N14" s="1265"/>
      <c r="O14" s="140" t="s">
        <v>102</v>
      </c>
      <c r="P14" s="140" t="s">
        <v>12</v>
      </c>
      <c r="Q14" s="141"/>
      <c r="R14" s="136"/>
    </row>
    <row r="15" spans="1:18" s="69" customFormat="1" ht="7.5" customHeight="1" x14ac:dyDescent="0.25">
      <c r="B15" s="136"/>
      <c r="C15" s="136"/>
      <c r="D15" s="136"/>
      <c r="E15" s="136"/>
      <c r="F15" s="136"/>
      <c r="G15" s="136"/>
      <c r="H15" s="136"/>
      <c r="I15" s="136"/>
      <c r="J15" s="136"/>
      <c r="K15" s="142"/>
      <c r="L15" s="136"/>
      <c r="O15" s="136"/>
      <c r="P15" s="136"/>
      <c r="Q15" s="141"/>
      <c r="R15" s="136"/>
    </row>
    <row r="16" spans="1:18" s="143" customFormat="1" ht="42" customHeight="1" x14ac:dyDescent="0.25">
      <c r="B16" s="1429" t="s">
        <v>5254</v>
      </c>
      <c r="C16" s="1430"/>
      <c r="D16" s="1430"/>
      <c r="E16" s="1431"/>
      <c r="F16" s="1429" t="s">
        <v>5244</v>
      </c>
      <c r="G16" s="1430"/>
      <c r="H16" s="1430"/>
      <c r="I16" s="1431"/>
      <c r="J16" s="1429" t="s">
        <v>5255</v>
      </c>
      <c r="K16" s="1430"/>
      <c r="L16" s="1430"/>
      <c r="M16" s="1430"/>
      <c r="N16" s="1431"/>
      <c r="O16" s="44" t="s">
        <v>4646</v>
      </c>
      <c r="P16" s="44" t="str">
        <f>IFERROR(IF('DATOS GENERALES'!M58="","",'DATOS GENERALES'!M58),"")</f>
        <v/>
      </c>
      <c r="Q16" s="144"/>
      <c r="R16" s="144"/>
    </row>
    <row r="17" spans="2:18 16378:16383" s="69" customFormat="1" ht="10.5" customHeight="1" x14ac:dyDescent="0.25">
      <c r="B17" s="136"/>
      <c r="C17" s="136"/>
      <c r="D17" s="136"/>
      <c r="E17" s="136"/>
      <c r="F17" s="136"/>
      <c r="G17" s="136"/>
      <c r="H17" s="136"/>
      <c r="I17" s="136"/>
      <c r="J17" s="136"/>
      <c r="K17" s="142"/>
      <c r="L17" s="136"/>
      <c r="M17" s="136"/>
      <c r="N17" s="136"/>
      <c r="P17" s="145"/>
      <c r="Q17" s="141"/>
      <c r="R17" s="136"/>
    </row>
    <row r="18" spans="2:18 16378:16383" s="69" customFormat="1" ht="23.45" customHeight="1" x14ac:dyDescent="0.25">
      <c r="B18" s="1196" t="s">
        <v>283</v>
      </c>
      <c r="C18" s="1196"/>
      <c r="D18" s="1196"/>
      <c r="E18" s="1196"/>
      <c r="F18" s="1196" t="s">
        <v>76</v>
      </c>
      <c r="G18" s="1196"/>
      <c r="H18" s="1196"/>
      <c r="I18" s="1196"/>
      <c r="J18" s="1263" t="s">
        <v>284</v>
      </c>
      <c r="K18" s="1264"/>
      <c r="L18" s="1264"/>
      <c r="M18" s="1264"/>
      <c r="N18" s="1264"/>
      <c r="O18" s="1264"/>
      <c r="P18" s="1265"/>
      <c r="Q18" s="141"/>
    </row>
    <row r="19" spans="2:18 16378:16383" s="69" customFormat="1" ht="5.0999999999999996" customHeight="1" x14ac:dyDescent="0.25">
      <c r="B19" s="111"/>
      <c r="C19" s="111"/>
      <c r="D19" s="111"/>
      <c r="E19" s="111"/>
      <c r="F19" s="111"/>
      <c r="G19" s="111"/>
      <c r="H19" s="111"/>
      <c r="I19" s="111"/>
      <c r="J19" s="111"/>
      <c r="K19" s="111"/>
      <c r="L19" s="111"/>
      <c r="M19" s="111"/>
      <c r="N19" s="111"/>
      <c r="O19" s="111"/>
      <c r="P19" s="111"/>
      <c r="Q19" s="141"/>
    </row>
    <row r="20" spans="2:18 16378:16383" s="69" customFormat="1" ht="23.45" customHeight="1" x14ac:dyDescent="0.25">
      <c r="B20" s="407" t="s">
        <v>4786</v>
      </c>
      <c r="C20" s="406"/>
      <c r="D20" s="406"/>
      <c r="E20" s="406"/>
      <c r="F20" s="406"/>
      <c r="G20" s="510">
        <v>2</v>
      </c>
      <c r="H20" s="406"/>
      <c r="K20" s="111"/>
      <c r="L20" s="111"/>
      <c r="M20" s="111"/>
      <c r="N20" s="111"/>
      <c r="O20" s="111"/>
      <c r="P20" s="111"/>
      <c r="Q20" s="141"/>
    </row>
    <row r="21" spans="2:18 16378:16383" s="69" customFormat="1" ht="5.0999999999999996" customHeight="1" x14ac:dyDescent="0.25">
      <c r="B21" s="136"/>
      <c r="C21" s="136"/>
      <c r="D21" s="136"/>
      <c r="E21" s="136"/>
      <c r="F21" s="136"/>
      <c r="G21" s="136"/>
      <c r="H21" s="136"/>
      <c r="I21" s="136"/>
      <c r="J21" s="136"/>
      <c r="K21" s="142"/>
      <c r="L21" s="136"/>
      <c r="M21" s="136"/>
      <c r="N21" s="136"/>
      <c r="P21" s="145"/>
      <c r="Q21" s="141"/>
      <c r="XEX21" s="69" t="s">
        <v>4787</v>
      </c>
    </row>
    <row r="22" spans="2:18 16378:16383" s="69" customFormat="1" ht="24.95" customHeight="1" x14ac:dyDescent="0.25">
      <c r="B22" s="1415"/>
      <c r="C22" s="1415"/>
      <c r="D22" s="1415"/>
      <c r="E22" s="1415"/>
      <c r="F22" s="1416"/>
      <c r="G22" s="1416"/>
      <c r="H22" s="1416"/>
      <c r="I22" s="1416"/>
      <c r="J22" s="1408"/>
      <c r="K22" s="1409"/>
      <c r="L22" s="1409"/>
      <c r="M22" s="1409"/>
      <c r="N22" s="1409"/>
      <c r="O22" s="1409"/>
      <c r="P22" s="1410"/>
      <c r="Q22" s="141"/>
      <c r="XEX22" s="69">
        <f t="shared" ref="XEX22:XEX33" si="0">IF(J22="",0,1)</f>
        <v>0</v>
      </c>
      <c r="XEY22" s="69">
        <f>COUNTIF($XEX$21:XEX22,$XEX$22)</f>
        <v>1</v>
      </c>
      <c r="XEZ22" s="69">
        <f t="shared" ref="XEZ22:XEZ33" si="1">J22</f>
        <v>0</v>
      </c>
      <c r="XFA22" s="69" t="str">
        <f>IFERROR(VLOOKUP(XEZ22,'Base de datos'!$O$3:$Q$17,3,FALSE),"")</f>
        <v/>
      </c>
      <c r="XFB22" s="69">
        <v>1</v>
      </c>
      <c r="XFC22" s="69" t="str">
        <f t="shared" ref="XFC22:XFC32" si="2">IFERROR(VLOOKUP(XFB22,$XEY$22:$XFA$33,3,FALSE),"")</f>
        <v/>
      </c>
    </row>
    <row r="23" spans="2:18 16378:16383" s="69" customFormat="1" ht="24.95" customHeight="1" x14ac:dyDescent="0.25">
      <c r="B23" s="1415"/>
      <c r="C23" s="1415"/>
      <c r="D23" s="1415"/>
      <c r="E23" s="1415"/>
      <c r="F23" s="1416"/>
      <c r="G23" s="1416"/>
      <c r="H23" s="1416"/>
      <c r="I23" s="1416"/>
      <c r="J23" s="1411"/>
      <c r="K23" s="1412"/>
      <c r="L23" s="1412"/>
      <c r="M23" s="1412"/>
      <c r="N23" s="1412"/>
      <c r="O23" s="1412"/>
      <c r="P23" s="1413"/>
      <c r="Q23" s="141"/>
      <c r="XEX23" s="69">
        <f t="shared" si="0"/>
        <v>0</v>
      </c>
      <c r="XEY23" s="69">
        <f>COUNTIF($XEX$21:XEX23,$XEX$22)</f>
        <v>2</v>
      </c>
      <c r="XEZ23" s="69">
        <f t="shared" si="1"/>
        <v>0</v>
      </c>
      <c r="XFA23" s="69" t="str">
        <f>IFERROR(VLOOKUP(XEZ23,'Base de datos'!$O$3:$Q$17,3,FALSE),"")</f>
        <v/>
      </c>
      <c r="XFB23" s="69">
        <v>2</v>
      </c>
      <c r="XFC23" s="69" t="str">
        <f t="shared" si="2"/>
        <v/>
      </c>
    </row>
    <row r="24" spans="2:18 16378:16383" s="69" customFormat="1" ht="24.95" customHeight="1" x14ac:dyDescent="0.25">
      <c r="B24" s="1415"/>
      <c r="C24" s="1415"/>
      <c r="D24" s="1415"/>
      <c r="E24" s="1415"/>
      <c r="F24" s="1416"/>
      <c r="G24" s="1416"/>
      <c r="H24" s="1416"/>
      <c r="I24" s="1416"/>
      <c r="J24" s="1411"/>
      <c r="K24" s="1412"/>
      <c r="L24" s="1412"/>
      <c r="M24" s="1412"/>
      <c r="N24" s="1412"/>
      <c r="O24" s="1412"/>
      <c r="P24" s="1413"/>
      <c r="Q24" s="141"/>
      <c r="XEX24" s="69">
        <f t="shared" si="0"/>
        <v>0</v>
      </c>
      <c r="XEY24" s="69">
        <f>COUNTIF($XEX$21:XEX24,$XEX$22)</f>
        <v>3</v>
      </c>
      <c r="XEZ24" s="69">
        <f t="shared" si="1"/>
        <v>0</v>
      </c>
      <c r="XFA24" s="69" t="str">
        <f>IFERROR(VLOOKUP(XEZ24,'Base de datos'!$O$3:$Q$17,3,FALSE),"")</f>
        <v/>
      </c>
      <c r="XFB24" s="69">
        <v>3</v>
      </c>
      <c r="XFC24" s="69" t="str">
        <f t="shared" si="2"/>
        <v/>
      </c>
    </row>
    <row r="25" spans="2:18 16378:16383" s="69" customFormat="1" ht="24.95" customHeight="1" x14ac:dyDescent="0.25">
      <c r="B25" s="1415"/>
      <c r="C25" s="1415"/>
      <c r="D25" s="1415"/>
      <c r="E25" s="1415"/>
      <c r="F25" s="1416"/>
      <c r="G25" s="1416"/>
      <c r="H25" s="1416"/>
      <c r="I25" s="1416"/>
      <c r="J25" s="1408"/>
      <c r="K25" s="1409"/>
      <c r="L25" s="1409"/>
      <c r="M25" s="1409"/>
      <c r="N25" s="1409"/>
      <c r="O25" s="1409"/>
      <c r="P25" s="1410"/>
      <c r="Q25" s="141"/>
      <c r="XEX25" s="69">
        <f t="shared" si="0"/>
        <v>0</v>
      </c>
      <c r="XEY25" s="69">
        <f>COUNTIF($XEX$21:XEX25,$XEX$22)</f>
        <v>4</v>
      </c>
      <c r="XEZ25" s="69">
        <f t="shared" si="1"/>
        <v>0</v>
      </c>
      <c r="XFA25" s="69" t="str">
        <f>IFERROR(VLOOKUP(XEZ25,'Base de datos'!$O$3:$Q$17,3,FALSE),"")</f>
        <v/>
      </c>
      <c r="XFB25" s="69">
        <v>4</v>
      </c>
      <c r="XFC25" s="69" t="str">
        <f t="shared" si="2"/>
        <v/>
      </c>
    </row>
    <row r="26" spans="2:18 16378:16383" s="69" customFormat="1" ht="24.95" customHeight="1" x14ac:dyDescent="0.25">
      <c r="B26" s="1415"/>
      <c r="C26" s="1415"/>
      <c r="D26" s="1415"/>
      <c r="E26" s="1415"/>
      <c r="F26" s="1416"/>
      <c r="G26" s="1416"/>
      <c r="H26" s="1416"/>
      <c r="I26" s="1416"/>
      <c r="J26" s="1408"/>
      <c r="K26" s="1409"/>
      <c r="L26" s="1409"/>
      <c r="M26" s="1409"/>
      <c r="N26" s="1409"/>
      <c r="O26" s="1409"/>
      <c r="P26" s="1410"/>
      <c r="Q26" s="141"/>
      <c r="XEX26" s="69">
        <f t="shared" si="0"/>
        <v>0</v>
      </c>
      <c r="XEY26" s="69">
        <f>COUNTIF($XEX$21:XEX26,$XEX$22)</f>
        <v>5</v>
      </c>
      <c r="XEZ26" s="69">
        <f t="shared" si="1"/>
        <v>0</v>
      </c>
      <c r="XFA26" s="69" t="str">
        <f>IFERROR(VLOOKUP(XEZ26,'Base de datos'!$O$3:$Q$17,3,FALSE),"")</f>
        <v/>
      </c>
      <c r="XFB26" s="69">
        <v>5</v>
      </c>
      <c r="XFC26" s="69" t="str">
        <f t="shared" si="2"/>
        <v/>
      </c>
    </row>
    <row r="27" spans="2:18 16378:16383" s="69" customFormat="1" ht="24.95" customHeight="1" x14ac:dyDescent="0.25">
      <c r="B27" s="1415"/>
      <c r="C27" s="1415"/>
      <c r="D27" s="1415"/>
      <c r="E27" s="1415"/>
      <c r="F27" s="1416"/>
      <c r="G27" s="1416"/>
      <c r="H27" s="1416"/>
      <c r="I27" s="1416"/>
      <c r="J27" s="1408"/>
      <c r="K27" s="1409"/>
      <c r="L27" s="1409"/>
      <c r="M27" s="1409"/>
      <c r="N27" s="1409"/>
      <c r="O27" s="1409"/>
      <c r="P27" s="1410"/>
      <c r="Q27" s="141"/>
      <c r="XEX27" s="69">
        <f t="shared" si="0"/>
        <v>0</v>
      </c>
      <c r="XEY27" s="69">
        <f>COUNTIF($XEX$21:XEX27,$XEX$22)</f>
        <v>6</v>
      </c>
      <c r="XEZ27" s="69">
        <f t="shared" si="1"/>
        <v>0</v>
      </c>
      <c r="XFA27" s="69" t="str">
        <f>IFERROR(VLOOKUP(XEZ27,'Base de datos'!$O$3:$Q$17,3,FALSE),"")</f>
        <v/>
      </c>
      <c r="XFB27" s="69">
        <v>6</v>
      </c>
      <c r="XFC27" s="69" t="str">
        <f t="shared" si="2"/>
        <v/>
      </c>
    </row>
    <row r="28" spans="2:18 16378:16383" s="69" customFormat="1" ht="24.95" hidden="1" customHeight="1" x14ac:dyDescent="0.25">
      <c r="B28" s="1451"/>
      <c r="C28" s="1452"/>
      <c r="D28" s="1452"/>
      <c r="E28" s="1453"/>
      <c r="F28" s="1463"/>
      <c r="G28" s="1464"/>
      <c r="H28" s="1464"/>
      <c r="I28" s="1465"/>
      <c r="J28" s="1411"/>
      <c r="K28" s="1412"/>
      <c r="L28" s="1412"/>
      <c r="M28" s="1412"/>
      <c r="N28" s="1412"/>
      <c r="O28" s="1412"/>
      <c r="P28" s="1413"/>
      <c r="Q28" s="141"/>
      <c r="XEX28" s="69">
        <f t="shared" si="0"/>
        <v>0</v>
      </c>
      <c r="XEY28" s="69">
        <f>COUNTIF($XEX$21:XEX28,$XEX$22)</f>
        <v>7</v>
      </c>
      <c r="XEZ28" s="69">
        <f t="shared" si="1"/>
        <v>0</v>
      </c>
      <c r="XFA28" s="69" t="str">
        <f>IFERROR(VLOOKUP(XEZ28,'Base de datos'!$O$3:$Q$17,3,FALSE),"")</f>
        <v/>
      </c>
      <c r="XFB28" s="69">
        <v>7</v>
      </c>
      <c r="XFC28" s="69" t="str">
        <f t="shared" si="2"/>
        <v/>
      </c>
    </row>
    <row r="29" spans="2:18 16378:16383" s="69" customFormat="1" ht="24.95" hidden="1" customHeight="1" x14ac:dyDescent="0.25">
      <c r="B29" s="1454"/>
      <c r="C29" s="1455"/>
      <c r="D29" s="1455"/>
      <c r="E29" s="1456"/>
      <c r="F29" s="1466"/>
      <c r="G29" s="1467"/>
      <c r="H29" s="1467"/>
      <c r="I29" s="1468"/>
      <c r="J29" s="1411"/>
      <c r="K29" s="1412"/>
      <c r="L29" s="1412"/>
      <c r="M29" s="1412"/>
      <c r="N29" s="1412"/>
      <c r="O29" s="1412"/>
      <c r="P29" s="1413"/>
      <c r="Q29" s="141"/>
      <c r="XEX29" s="69">
        <f t="shared" si="0"/>
        <v>0</v>
      </c>
      <c r="XEY29" s="69">
        <f>COUNTIF($XEX$21:XEX29,$XEX$22)</f>
        <v>8</v>
      </c>
      <c r="XEZ29" s="69">
        <f t="shared" si="1"/>
        <v>0</v>
      </c>
      <c r="XFA29" s="69" t="str">
        <f>IFERROR(VLOOKUP(XEZ29,'Base de datos'!$O$3:$Q$17,3,FALSE),"")</f>
        <v/>
      </c>
      <c r="XFB29" s="69">
        <v>8</v>
      </c>
      <c r="XFC29" s="69" t="str">
        <f t="shared" si="2"/>
        <v/>
      </c>
    </row>
    <row r="30" spans="2:18 16378:16383" s="69" customFormat="1" ht="24.95" hidden="1" customHeight="1" x14ac:dyDescent="0.25">
      <c r="B30" s="1457"/>
      <c r="C30" s="1458"/>
      <c r="D30" s="1458"/>
      <c r="E30" s="1459"/>
      <c r="F30" s="1469"/>
      <c r="G30" s="1470"/>
      <c r="H30" s="1470"/>
      <c r="I30" s="1471"/>
      <c r="J30" s="1411"/>
      <c r="K30" s="1412"/>
      <c r="L30" s="1412"/>
      <c r="M30" s="1412"/>
      <c r="N30" s="1412"/>
      <c r="O30" s="1412"/>
      <c r="P30" s="1413"/>
      <c r="Q30" s="141"/>
      <c r="XEX30" s="69">
        <f t="shared" si="0"/>
        <v>0</v>
      </c>
      <c r="XEY30" s="69">
        <f>COUNTIF($XEX$21:XEX30,$XEX$22)</f>
        <v>9</v>
      </c>
      <c r="XEZ30" s="69">
        <f t="shared" si="1"/>
        <v>0</v>
      </c>
      <c r="XFA30" s="69" t="str">
        <f>IFERROR(VLOOKUP(XEZ30,'Base de datos'!$O$3:$Q$17,3,FALSE),"")</f>
        <v/>
      </c>
      <c r="XFB30" s="69">
        <v>9</v>
      </c>
      <c r="XFC30" s="69" t="str">
        <f t="shared" si="2"/>
        <v/>
      </c>
    </row>
    <row r="31" spans="2:18 16378:16383" s="69" customFormat="1" ht="24.95" hidden="1" customHeight="1" x14ac:dyDescent="0.25">
      <c r="B31" s="1415"/>
      <c r="C31" s="1415"/>
      <c r="D31" s="1415"/>
      <c r="E31" s="1415"/>
      <c r="F31" s="1414"/>
      <c r="G31" s="1414"/>
      <c r="H31" s="1414"/>
      <c r="I31" s="1414"/>
      <c r="J31" s="1408"/>
      <c r="K31" s="1409"/>
      <c r="L31" s="1409"/>
      <c r="M31" s="1409"/>
      <c r="N31" s="1409"/>
      <c r="O31" s="1409"/>
      <c r="P31" s="1410"/>
      <c r="Q31" s="141"/>
      <c r="XEX31" s="69">
        <f t="shared" si="0"/>
        <v>0</v>
      </c>
      <c r="XEY31" s="69">
        <f>COUNTIF($XEX$21:XEX31,$XEX$22)</f>
        <v>10</v>
      </c>
      <c r="XEZ31" s="69">
        <f t="shared" si="1"/>
        <v>0</v>
      </c>
      <c r="XFA31" s="69" t="str">
        <f>IFERROR(VLOOKUP(XEZ31,'Base de datos'!$O$3:$Q$17,3,FALSE),"")</f>
        <v/>
      </c>
      <c r="XFB31" s="69">
        <v>10</v>
      </c>
      <c r="XFC31" s="69" t="str">
        <f t="shared" si="2"/>
        <v/>
      </c>
    </row>
    <row r="32" spans="2:18 16378:16383" s="69" customFormat="1" ht="24.95" hidden="1" customHeight="1" x14ac:dyDescent="0.25">
      <c r="B32" s="1415"/>
      <c r="C32" s="1415"/>
      <c r="D32" s="1415"/>
      <c r="E32" s="1415"/>
      <c r="F32" s="1414"/>
      <c r="G32" s="1414"/>
      <c r="H32" s="1414"/>
      <c r="I32" s="1414"/>
      <c r="J32" s="1408"/>
      <c r="K32" s="1409"/>
      <c r="L32" s="1409"/>
      <c r="M32" s="1409"/>
      <c r="N32" s="1409"/>
      <c r="O32" s="1409"/>
      <c r="P32" s="1410"/>
      <c r="Q32" s="141"/>
      <c r="XEX32" s="69">
        <f t="shared" si="0"/>
        <v>0</v>
      </c>
      <c r="XEY32" s="69">
        <f>COUNTIF($XEX$21:XEX32,$XEX$22)</f>
        <v>11</v>
      </c>
      <c r="XEZ32" s="69">
        <f t="shared" si="1"/>
        <v>0</v>
      </c>
      <c r="XFA32" s="69" t="str">
        <f>IFERROR(VLOOKUP(XEZ32,'Base de datos'!$O$3:$Q$17,3,FALSE),"")</f>
        <v/>
      </c>
      <c r="XFB32" s="69">
        <v>11</v>
      </c>
      <c r="XFC32" s="69" t="str">
        <f t="shared" si="2"/>
        <v/>
      </c>
    </row>
    <row r="33" spans="2:18 16378:16381" s="69" customFormat="1" ht="24.95" hidden="1" customHeight="1" x14ac:dyDescent="0.25">
      <c r="B33" s="1415"/>
      <c r="C33" s="1415"/>
      <c r="D33" s="1415"/>
      <c r="E33" s="1415"/>
      <c r="F33" s="1414"/>
      <c r="G33" s="1414"/>
      <c r="H33" s="1414"/>
      <c r="I33" s="1414"/>
      <c r="J33" s="1408"/>
      <c r="K33" s="1409"/>
      <c r="L33" s="1409"/>
      <c r="M33" s="1409"/>
      <c r="N33" s="1409"/>
      <c r="O33" s="1409"/>
      <c r="P33" s="1410"/>
      <c r="Q33" s="141"/>
      <c r="XEX33" s="69">
        <f t="shared" si="0"/>
        <v>0</v>
      </c>
      <c r="XEY33" s="69">
        <f>COUNTIF($XEX$21:XEX33,$XEX$22)</f>
        <v>12</v>
      </c>
      <c r="XEZ33" s="69">
        <f t="shared" si="1"/>
        <v>0</v>
      </c>
      <c r="XFA33" s="69" t="str">
        <f>IFERROR(VLOOKUP(XEZ33,'Base de datos'!$O$3:$Q$17,3,FALSE),"")</f>
        <v/>
      </c>
    </row>
    <row r="34" spans="2:18 16378:16381" s="69" customFormat="1" ht="16.5" customHeight="1" x14ac:dyDescent="0.25">
      <c r="B34" s="136"/>
      <c r="C34" s="136"/>
      <c r="D34" s="136"/>
      <c r="E34" s="136"/>
      <c r="F34" s="136"/>
      <c r="G34" s="136"/>
      <c r="H34" s="136"/>
      <c r="I34" s="136"/>
      <c r="J34" s="136"/>
      <c r="K34" s="142"/>
      <c r="L34" s="136"/>
      <c r="M34" s="136"/>
      <c r="N34" s="136"/>
      <c r="P34" s="145"/>
      <c r="Q34" s="141"/>
      <c r="R34" s="136"/>
    </row>
    <row r="35" spans="2:18 16378:16381" s="69" customFormat="1" ht="23.45" customHeight="1" x14ac:dyDescent="0.25">
      <c r="B35" s="1196" t="s">
        <v>285</v>
      </c>
      <c r="C35" s="1196"/>
      <c r="D35" s="1196"/>
      <c r="E35" s="1196"/>
      <c r="F35" s="1196" t="s">
        <v>76</v>
      </c>
      <c r="G35" s="1196"/>
      <c r="H35" s="1196"/>
      <c r="I35" s="1196"/>
      <c r="J35" s="1196" t="s">
        <v>286</v>
      </c>
      <c r="K35" s="1196"/>
      <c r="L35" s="1196"/>
      <c r="M35" s="1196"/>
      <c r="N35" s="1196" t="s">
        <v>76</v>
      </c>
      <c r="O35" s="1196"/>
      <c r="P35" s="1196"/>
      <c r="Q35" s="1196"/>
    </row>
    <row r="36" spans="2:18 16378:16381" s="69" customFormat="1" ht="7.5" customHeight="1" x14ac:dyDescent="0.25">
      <c r="B36" s="136"/>
      <c r="C36" s="136"/>
      <c r="D36" s="136"/>
      <c r="E36" s="136"/>
      <c r="F36" s="136"/>
      <c r="G36" s="136"/>
      <c r="H36" s="136"/>
      <c r="I36" s="136"/>
      <c r="J36" s="136"/>
      <c r="K36" s="142"/>
      <c r="L36" s="136"/>
      <c r="M36" s="136"/>
      <c r="N36" s="136"/>
      <c r="O36" s="136"/>
      <c r="P36" s="136"/>
      <c r="Q36" s="136"/>
      <c r="R36" s="136"/>
    </row>
    <row r="37" spans="2:18 16378:16381" s="69" customFormat="1" ht="24.95" customHeight="1" x14ac:dyDescent="0.25">
      <c r="B37" s="1415"/>
      <c r="C37" s="1415"/>
      <c r="D37" s="1415"/>
      <c r="E37" s="1415"/>
      <c r="F37" s="1416"/>
      <c r="G37" s="1416"/>
      <c r="H37" s="1416"/>
      <c r="I37" s="1416"/>
      <c r="J37" s="1415"/>
      <c r="K37" s="1415"/>
      <c r="L37" s="1415"/>
      <c r="M37" s="1415"/>
      <c r="N37" s="1416"/>
      <c r="O37" s="1416"/>
      <c r="P37" s="1416"/>
      <c r="Q37" s="1416"/>
    </row>
    <row r="38" spans="2:18 16378:16381" s="69" customFormat="1" ht="24.95" customHeight="1" x14ac:dyDescent="0.25">
      <c r="B38" s="1415"/>
      <c r="C38" s="1415"/>
      <c r="D38" s="1415"/>
      <c r="E38" s="1415"/>
      <c r="F38" s="1416"/>
      <c r="G38" s="1416"/>
      <c r="H38" s="1416"/>
      <c r="I38" s="1416"/>
      <c r="J38" s="1415"/>
      <c r="K38" s="1415"/>
      <c r="L38" s="1415"/>
      <c r="M38" s="1415"/>
      <c r="N38" s="1416"/>
      <c r="O38" s="1416"/>
      <c r="P38" s="1416"/>
      <c r="Q38" s="1416"/>
    </row>
    <row r="39" spans="2:18 16378:16381" s="69" customFormat="1" ht="24.95" customHeight="1" x14ac:dyDescent="0.25">
      <c r="B39" s="1415"/>
      <c r="C39" s="1415"/>
      <c r="D39" s="1415"/>
      <c r="E39" s="1415"/>
      <c r="F39" s="1416"/>
      <c r="G39" s="1416"/>
      <c r="H39" s="1416"/>
      <c r="I39" s="1416"/>
      <c r="J39" s="1415"/>
      <c r="K39" s="1415"/>
      <c r="L39" s="1415"/>
      <c r="M39" s="1415"/>
      <c r="N39" s="1416"/>
      <c r="O39" s="1416"/>
      <c r="P39" s="1416"/>
      <c r="Q39" s="1416"/>
    </row>
    <row r="40" spans="2:18 16378:16381" s="69" customFormat="1" ht="24.95" customHeight="1" x14ac:dyDescent="0.25">
      <c r="B40" s="1415"/>
      <c r="C40" s="1415"/>
      <c r="D40" s="1415"/>
      <c r="E40" s="1415"/>
      <c r="F40" s="1416"/>
      <c r="G40" s="1416"/>
      <c r="H40" s="1416"/>
      <c r="I40" s="1416"/>
      <c r="J40" s="1415"/>
      <c r="K40" s="1415"/>
      <c r="L40" s="1415"/>
      <c r="M40" s="1415"/>
      <c r="N40" s="1416"/>
      <c r="O40" s="1416"/>
      <c r="P40" s="1416"/>
      <c r="Q40" s="1416"/>
    </row>
    <row r="41" spans="2:18 16378:16381" s="69" customFormat="1" ht="24.95" customHeight="1" x14ac:dyDescent="0.25">
      <c r="B41" s="1415"/>
      <c r="C41" s="1415"/>
      <c r="D41" s="1415"/>
      <c r="E41" s="1415"/>
      <c r="F41" s="1416"/>
      <c r="G41" s="1416"/>
      <c r="H41" s="1416"/>
      <c r="I41" s="1416"/>
      <c r="J41" s="1447"/>
      <c r="K41" s="1448"/>
      <c r="L41" s="1448"/>
      <c r="M41" s="1449"/>
      <c r="N41" s="1416"/>
      <c r="O41" s="1416"/>
      <c r="P41" s="1416"/>
      <c r="Q41" s="1416"/>
    </row>
    <row r="42" spans="2:18 16378:16381" s="69" customFormat="1" ht="24.95" customHeight="1" x14ac:dyDescent="0.25">
      <c r="B42" s="1415"/>
      <c r="C42" s="1415"/>
      <c r="D42" s="1415"/>
      <c r="E42" s="1415"/>
      <c r="F42" s="1416"/>
      <c r="G42" s="1416"/>
      <c r="H42" s="1416"/>
      <c r="I42" s="1416"/>
      <c r="J42" s="1415"/>
      <c r="K42" s="1415"/>
      <c r="L42" s="1415"/>
      <c r="M42" s="1415"/>
      <c r="N42" s="1416"/>
      <c r="O42" s="1416"/>
      <c r="P42" s="1416"/>
      <c r="Q42" s="1416"/>
    </row>
    <row r="43" spans="2:18 16378:16381" s="217" customFormat="1" ht="21" customHeight="1" x14ac:dyDescent="0.2">
      <c r="Q43" s="68"/>
      <c r="R43" s="68"/>
    </row>
    <row r="44" spans="2:18 16378:16381" s="217" customFormat="1" ht="8.25" customHeight="1" x14ac:dyDescent="0.2"/>
    <row r="45" spans="2:18 16378:16381" s="217" customFormat="1" ht="22.5" customHeight="1" x14ac:dyDescent="0.2">
      <c r="B45" s="1450" t="s">
        <v>375</v>
      </c>
      <c r="C45" s="1450"/>
      <c r="D45" s="1450"/>
      <c r="E45" s="1450"/>
      <c r="F45" s="1450"/>
      <c r="G45" s="1450"/>
      <c r="H45" s="1450"/>
      <c r="I45" s="1450"/>
      <c r="J45" s="1450"/>
    </row>
    <row r="46" spans="2:18 16378:16381" s="217" customFormat="1" ht="12.75" x14ac:dyDescent="0.2">
      <c r="B46" s="91"/>
      <c r="G46" s="146"/>
      <c r="J46" s="68"/>
    </row>
    <row r="47" spans="2:18 16378:16381" s="69" customFormat="1" ht="23.45" customHeight="1" x14ac:dyDescent="0.25">
      <c r="B47" s="1196" t="s">
        <v>287</v>
      </c>
      <c r="C47" s="1196"/>
      <c r="D47" s="1196"/>
      <c r="E47" s="1196"/>
      <c r="F47" s="1196" t="s">
        <v>343</v>
      </c>
      <c r="G47" s="1196"/>
      <c r="H47" s="1196"/>
      <c r="I47" s="1196"/>
      <c r="J47" s="1263" t="s">
        <v>344</v>
      </c>
      <c r="K47" s="1264"/>
      <c r="L47" s="1264"/>
      <c r="M47" s="1264"/>
      <c r="N47" s="1265"/>
      <c r="O47" s="147" t="s">
        <v>345</v>
      </c>
      <c r="P47" s="147" t="s">
        <v>346</v>
      </c>
      <c r="Q47" s="141"/>
      <c r="R47" s="136"/>
    </row>
    <row r="48" spans="2:18 16378:16381" s="69" customFormat="1" ht="7.5" customHeight="1" x14ac:dyDescent="0.25">
      <c r="B48" s="136"/>
      <c r="C48" s="136"/>
      <c r="D48" s="136"/>
      <c r="E48" s="136"/>
      <c r="F48" s="136"/>
      <c r="G48" s="136"/>
      <c r="H48" s="136"/>
      <c r="I48" s="136"/>
      <c r="J48" s="136"/>
      <c r="K48" s="142"/>
      <c r="L48" s="136"/>
      <c r="O48" s="136"/>
      <c r="P48" s="136"/>
      <c r="Q48" s="141"/>
      <c r="R48" s="136"/>
    </row>
    <row r="49" spans="2:21 16374:16384" s="143" customFormat="1" ht="35.25" customHeight="1" x14ac:dyDescent="0.25">
      <c r="B49" s="1429" t="s">
        <v>5280</v>
      </c>
      <c r="C49" s="1430"/>
      <c r="D49" s="1430"/>
      <c r="E49" s="1431"/>
      <c r="F49" s="1432" t="s">
        <v>5279</v>
      </c>
      <c r="G49" s="1433"/>
      <c r="H49" s="1433"/>
      <c r="I49" s="1434"/>
      <c r="J49" s="1432" t="s">
        <v>5281</v>
      </c>
      <c r="K49" s="1433"/>
      <c r="L49" s="1433"/>
      <c r="M49" s="1433"/>
      <c r="N49" s="1434"/>
      <c r="O49" s="45" t="str">
        <f>IFERROR(O16,"")</f>
        <v>Unidad</v>
      </c>
      <c r="P49" s="45" t="str">
        <f>IFERROR(IF('DATOS GENERALES'!M58="","",'DATOS GENERALES'!M58),"")</f>
        <v/>
      </c>
      <c r="Q49" s="144"/>
      <c r="R49" s="144"/>
    </row>
    <row r="50" spans="2:21 16374:16384" s="217" customFormat="1" ht="12.75" x14ac:dyDescent="0.2">
      <c r="B50" s="426" t="s">
        <v>422</v>
      </c>
      <c r="J50" s="68"/>
      <c r="N50" s="89"/>
    </row>
    <row r="51" spans="2:21 16374:16384" s="217" customFormat="1" ht="12.75" x14ac:dyDescent="0.2">
      <c r="B51" s="66"/>
      <c r="C51" s="66"/>
      <c r="D51" s="66"/>
      <c r="E51" s="66"/>
      <c r="F51" s="89"/>
      <c r="G51" s="75"/>
      <c r="H51" s="75"/>
      <c r="I51" s="109"/>
      <c r="J51" s="109"/>
      <c r="K51" s="89"/>
      <c r="L51" s="89"/>
      <c r="M51" s="89"/>
      <c r="N51" s="89"/>
    </row>
    <row r="52" spans="2:21 16374:16384" s="217" customFormat="1" ht="12.75" x14ac:dyDescent="0.2">
      <c r="B52" s="148" t="s">
        <v>77</v>
      </c>
      <c r="C52" s="149"/>
      <c r="D52" s="149"/>
      <c r="E52" s="149"/>
      <c r="F52" s="105"/>
      <c r="G52" s="150"/>
      <c r="H52" s="150"/>
      <c r="I52" s="150"/>
      <c r="J52" s="146"/>
      <c r="K52" s="89"/>
      <c r="L52" s="89"/>
      <c r="M52" s="89"/>
      <c r="N52" s="89"/>
    </row>
    <row r="53" spans="2:21 16374:16384" s="217" customFormat="1" ht="12.75" x14ac:dyDescent="0.2">
      <c r="B53" s="149"/>
      <c r="C53" s="149"/>
      <c r="D53" s="149"/>
      <c r="E53" s="149"/>
      <c r="F53" s="105"/>
      <c r="G53" s="150"/>
      <c r="H53" s="150"/>
      <c r="I53" s="150"/>
      <c r="K53" s="89"/>
      <c r="L53" s="89"/>
      <c r="M53" s="89"/>
      <c r="N53" s="89"/>
    </row>
    <row r="54" spans="2:21 16374:16384" s="69" customFormat="1" ht="23.45" customHeight="1" x14ac:dyDescent="0.25">
      <c r="B54" s="221" t="s">
        <v>46</v>
      </c>
      <c r="C54" s="1196" t="s">
        <v>271</v>
      </c>
      <c r="D54" s="1196"/>
      <c r="E54" s="1196"/>
      <c r="F54" s="1196"/>
      <c r="G54" s="1444" t="s">
        <v>62</v>
      </c>
      <c r="H54" s="1445"/>
      <c r="I54" s="1445"/>
      <c r="J54" s="1445"/>
      <c r="K54" s="1445"/>
      <c r="L54" s="1445"/>
      <c r="M54" s="1445"/>
      <c r="N54" s="1446"/>
      <c r="O54" s="69" t="str">
        <f>IFERROR(IF(OR(COUNTA($J$22:$P$33)="",COUNTA($J$22:$P$33)=0),"",COUNTA($J$22:$P$33)),"")</f>
        <v/>
      </c>
      <c r="XFB54" s="69" t="s">
        <v>4738</v>
      </c>
      <c r="XFC54" s="69" t="s">
        <v>4740</v>
      </c>
      <c r="XFD54" s="69" t="s">
        <v>4739</v>
      </c>
    </row>
    <row r="55" spans="2:21 16374:16384" s="69" customFormat="1" ht="7.5" customHeight="1" x14ac:dyDescent="0.25">
      <c r="B55" s="136"/>
      <c r="C55" s="136"/>
      <c r="D55" s="136"/>
      <c r="E55" s="136"/>
      <c r="F55" s="136"/>
      <c r="G55" s="136"/>
      <c r="H55" s="136"/>
      <c r="I55" s="136"/>
      <c r="J55" s="136"/>
      <c r="K55" s="142"/>
      <c r="L55" s="136"/>
      <c r="M55" s="136"/>
      <c r="N55" s="136"/>
      <c r="P55" s="145"/>
      <c r="Q55" s="141"/>
      <c r="XET55" s="136"/>
      <c r="XEU55" s="69" t="s">
        <v>170</v>
      </c>
      <c r="XEW55" s="69" t="s">
        <v>170</v>
      </c>
      <c r="XEY55" s="69" t="s">
        <v>170</v>
      </c>
      <c r="XEZ55" s="69" t="s">
        <v>4741</v>
      </c>
    </row>
    <row r="56" spans="2:21 16374:16384" s="150" customFormat="1" ht="12.75" customHeight="1" x14ac:dyDescent="0.2">
      <c r="B56" s="1417">
        <v>1</v>
      </c>
      <c r="C56" s="1420" t="str">
        <f>IFERROR(IF(XFC22="","",XFC22),"")</f>
        <v/>
      </c>
      <c r="D56" s="1421"/>
      <c r="E56" s="1421"/>
      <c r="F56" s="1422"/>
      <c r="G56" s="1399"/>
      <c r="H56" s="1401"/>
      <c r="I56" s="1399"/>
      <c r="J56" s="1400"/>
      <c r="K56" s="1400"/>
      <c r="L56" s="1400"/>
      <c r="M56" s="1400"/>
      <c r="N56" s="1401"/>
      <c r="O56" s="533" t="str">
        <f>IFERROR(VLOOKUP(I56,'Base de datos'!$Z$63:$AA$92,2,FALSE),"")</f>
        <v/>
      </c>
      <c r="P56" s="427" t="s">
        <v>4794</v>
      </c>
      <c r="Q56" s="250" t="str">
        <f>G56&amp;" "&amp;I56</f>
        <v xml:space="preserve"> </v>
      </c>
      <c r="XET56" s="217">
        <f>COUNTIF($XEU$55:XEU56,$XFB$54)</f>
        <v>0</v>
      </c>
      <c r="XEU56" s="150" t="str">
        <f t="shared" ref="XEU56:XEU88" si="3">O56</f>
        <v/>
      </c>
      <c r="XEV56" s="217">
        <f>COUNTIF($XEW$55:XEW56,$XFC$54)</f>
        <v>0</v>
      </c>
      <c r="XEW56" s="150" t="str">
        <f t="shared" ref="XEW56:XEW88" si="4">O56</f>
        <v/>
      </c>
      <c r="XEX56" s="217">
        <f>COUNTIF($XEY$55:XEY56,$XFD$54)</f>
        <v>0</v>
      </c>
      <c r="XEY56" s="150" t="str">
        <f t="shared" ref="XEY56:XEY88" si="5">O56</f>
        <v/>
      </c>
      <c r="XEZ56" s="150">
        <f>IF(G56="",0,"a 1.1  "&amp;G56&amp;" "&amp;I56)</f>
        <v>0</v>
      </c>
      <c r="XFA56" s="150">
        <v>1</v>
      </c>
      <c r="XFB56" s="150" t="str">
        <f t="shared" ref="XFB56:XFB80" si="6">IFERROR(VLOOKUP(XFA56,$XET$56:$XEZ$88,7,FALSE),"")</f>
        <v/>
      </c>
      <c r="XFC56" s="150" t="str">
        <f t="shared" ref="XFC56:XFC80" si="7">IFERROR(VLOOKUP(XFA56,$XEV$56:$XEZ$88,5,FALSE),"")</f>
        <v/>
      </c>
      <c r="XFD56" s="150" t="str">
        <f t="shared" ref="XFD56:XFD80" si="8">IFERROR(VLOOKUP(XFA56,$XEX$56:$XEZ$88,3,FALSE),"")</f>
        <v/>
      </c>
    </row>
    <row r="57" spans="2:21 16374:16384" s="150" customFormat="1" ht="12.75" customHeight="1" x14ac:dyDescent="0.2">
      <c r="B57" s="1418"/>
      <c r="C57" s="1423"/>
      <c r="D57" s="1424"/>
      <c r="E57" s="1424"/>
      <c r="F57" s="1425"/>
      <c r="G57" s="1399"/>
      <c r="H57" s="1401"/>
      <c r="I57" s="1399"/>
      <c r="J57" s="1400"/>
      <c r="K57" s="1400"/>
      <c r="L57" s="1400"/>
      <c r="M57" s="1400"/>
      <c r="N57" s="1401"/>
      <c r="O57" s="533" t="str">
        <f>IFERROR(VLOOKUP(I57,'Base de datos'!$Z$63:$AA$92,2,FALSE),"")</f>
        <v/>
      </c>
      <c r="P57" s="427" t="s">
        <v>4795</v>
      </c>
      <c r="Q57" s="250" t="str">
        <f t="shared" ref="Q57:Q88" si="9">G57&amp;" "&amp;I57</f>
        <v xml:space="preserve"> </v>
      </c>
      <c r="XET57" s="217">
        <f>COUNTIF($XEU$55:XEU57,$XFB$54)</f>
        <v>0</v>
      </c>
      <c r="XEU57" s="150" t="str">
        <f t="shared" si="3"/>
        <v/>
      </c>
      <c r="XEV57" s="217">
        <f>COUNTIF($XEW$55:XEW57,$XFC$54)</f>
        <v>0</v>
      </c>
      <c r="XEW57" s="150" t="str">
        <f t="shared" si="4"/>
        <v/>
      </c>
      <c r="XEX57" s="217">
        <f>COUNTIF($XEY$55:XEY57,$XFD$54)</f>
        <v>0</v>
      </c>
      <c r="XEY57" s="150" t="str">
        <f t="shared" si="5"/>
        <v/>
      </c>
      <c r="XEZ57" s="150">
        <f>IF(G57="",0,"a 1.2  "&amp;G57&amp;" "&amp;I57)</f>
        <v>0</v>
      </c>
      <c r="XFA57" s="150">
        <v>2</v>
      </c>
      <c r="XFB57" s="150" t="str">
        <f t="shared" si="6"/>
        <v/>
      </c>
      <c r="XFC57" s="150" t="str">
        <f t="shared" si="7"/>
        <v/>
      </c>
      <c r="XFD57" s="150" t="str">
        <f t="shared" si="8"/>
        <v/>
      </c>
    </row>
    <row r="58" spans="2:21 16374:16384" s="150" customFormat="1" ht="12.75" customHeight="1" x14ac:dyDescent="0.2">
      <c r="B58" s="1419"/>
      <c r="C58" s="1426"/>
      <c r="D58" s="1427"/>
      <c r="E58" s="1427"/>
      <c r="F58" s="1428"/>
      <c r="G58" s="1399"/>
      <c r="H58" s="1401"/>
      <c r="I58" s="1399"/>
      <c r="J58" s="1400"/>
      <c r="K58" s="1400"/>
      <c r="L58" s="1400"/>
      <c r="M58" s="1400"/>
      <c r="N58" s="1401"/>
      <c r="O58" s="533" t="str">
        <f>IFERROR(VLOOKUP(I58,'Base de datos'!$Z$63:$AA$92,2,FALSE),"")</f>
        <v/>
      </c>
      <c r="P58" s="427" t="s">
        <v>4796</v>
      </c>
      <c r="Q58" s="250" t="str">
        <f t="shared" si="9"/>
        <v xml:space="preserve"> </v>
      </c>
      <c r="XET58" s="217">
        <f>COUNTIF($XEU$55:XEU58,$XFB$54)</f>
        <v>0</v>
      </c>
      <c r="XEU58" s="150" t="str">
        <f t="shared" si="3"/>
        <v/>
      </c>
      <c r="XEV58" s="217">
        <f>COUNTIF($XEW$55:XEW58,$XFC$54)</f>
        <v>0</v>
      </c>
      <c r="XEW58" s="150" t="str">
        <f t="shared" si="4"/>
        <v/>
      </c>
      <c r="XEX58" s="217">
        <f>COUNTIF($XEY$55:XEY58,$XFD$54)</f>
        <v>0</v>
      </c>
      <c r="XEY58" s="150" t="str">
        <f t="shared" si="5"/>
        <v/>
      </c>
      <c r="XEZ58" s="150">
        <f>IF(G58="",0,"a 1.3  "&amp;G58&amp;" "&amp;I58)</f>
        <v>0</v>
      </c>
      <c r="XFA58" s="150">
        <v>3</v>
      </c>
      <c r="XFB58" s="150" t="str">
        <f t="shared" si="6"/>
        <v/>
      </c>
      <c r="XFC58" s="150" t="str">
        <f t="shared" si="7"/>
        <v/>
      </c>
      <c r="XFD58" s="150" t="str">
        <f t="shared" si="8"/>
        <v/>
      </c>
    </row>
    <row r="59" spans="2:21 16374:16384" s="150" customFormat="1" ht="15" customHeight="1" x14ac:dyDescent="0.2">
      <c r="B59" s="1417">
        <v>2</v>
      </c>
      <c r="C59" s="1420" t="str">
        <f>IFERROR(IF(XFC23="","",XFC23),"")</f>
        <v/>
      </c>
      <c r="D59" s="1421"/>
      <c r="E59" s="1421"/>
      <c r="F59" s="1422"/>
      <c r="G59" s="1399"/>
      <c r="H59" s="1401"/>
      <c r="I59" s="1399"/>
      <c r="J59" s="1400"/>
      <c r="K59" s="1400"/>
      <c r="L59" s="1400"/>
      <c r="M59" s="1400"/>
      <c r="N59" s="1401"/>
      <c r="O59" s="533" t="str">
        <f>IFERROR(VLOOKUP(I59,'Base de datos'!$Z$63:$AA$92,2,FALSE),"")</f>
        <v/>
      </c>
      <c r="P59" s="427" t="s">
        <v>4797</v>
      </c>
      <c r="Q59" s="250" t="str">
        <f t="shared" si="9"/>
        <v xml:space="preserve"> </v>
      </c>
      <c r="XET59" s="217">
        <f>COUNTIF($XEU$55:XEU59,$XFB$54)</f>
        <v>0</v>
      </c>
      <c r="XEU59" s="150" t="str">
        <f t="shared" si="3"/>
        <v/>
      </c>
      <c r="XEV59" s="217">
        <f>COUNTIF($XEW$55:XEW59,$XFC$54)</f>
        <v>0</v>
      </c>
      <c r="XEW59" s="150" t="str">
        <f t="shared" si="4"/>
        <v/>
      </c>
      <c r="XEX59" s="217">
        <f>COUNTIF($XEY$55:XEY59,$XFD$54)</f>
        <v>0</v>
      </c>
      <c r="XEY59" s="150" t="str">
        <f t="shared" si="5"/>
        <v/>
      </c>
      <c r="XEZ59" s="150">
        <f>IF(G59="",0,"a 2.1  "&amp;G59&amp;" "&amp;I59)</f>
        <v>0</v>
      </c>
      <c r="XFA59" s="150">
        <v>4</v>
      </c>
      <c r="XFB59" s="150" t="str">
        <f t="shared" si="6"/>
        <v/>
      </c>
      <c r="XFC59" s="150" t="str">
        <f t="shared" si="7"/>
        <v/>
      </c>
      <c r="XFD59" s="150" t="str">
        <f t="shared" si="8"/>
        <v/>
      </c>
    </row>
    <row r="60" spans="2:21 16374:16384" s="150" customFormat="1" ht="12.75" customHeight="1" x14ac:dyDescent="0.2">
      <c r="B60" s="1418"/>
      <c r="C60" s="1423"/>
      <c r="D60" s="1424"/>
      <c r="E60" s="1424"/>
      <c r="F60" s="1425"/>
      <c r="G60" s="1399"/>
      <c r="H60" s="1401"/>
      <c r="I60" s="1399"/>
      <c r="J60" s="1400"/>
      <c r="K60" s="1400"/>
      <c r="L60" s="1400"/>
      <c r="M60" s="1400"/>
      <c r="N60" s="1401"/>
      <c r="O60" s="533" t="str">
        <f>IFERROR(VLOOKUP(I60,'Base de datos'!$Z$63:$AA$92,2,FALSE),"")</f>
        <v/>
      </c>
      <c r="P60" s="427" t="s">
        <v>4798</v>
      </c>
      <c r="Q60" s="250" t="str">
        <f t="shared" si="9"/>
        <v xml:space="preserve"> </v>
      </c>
      <c r="XET60" s="217">
        <f>COUNTIF($XEU$55:XEU60,$XFB$54)</f>
        <v>0</v>
      </c>
      <c r="XEU60" s="150" t="str">
        <f t="shared" si="3"/>
        <v/>
      </c>
      <c r="XEV60" s="217">
        <f>COUNTIF($XEW$55:XEW60,$XFC$54)</f>
        <v>0</v>
      </c>
      <c r="XEW60" s="150" t="str">
        <f t="shared" si="4"/>
        <v/>
      </c>
      <c r="XEX60" s="217">
        <f>COUNTIF($XEY$55:XEY60,$XFD$54)</f>
        <v>0</v>
      </c>
      <c r="XEY60" s="150" t="str">
        <f t="shared" si="5"/>
        <v/>
      </c>
      <c r="XEZ60" s="150">
        <f>IF(G60="",0,"a 2.2  "&amp;G60&amp;" "&amp;I60)</f>
        <v>0</v>
      </c>
      <c r="XFA60" s="150">
        <v>5</v>
      </c>
      <c r="XFB60" s="150" t="str">
        <f t="shared" si="6"/>
        <v/>
      </c>
      <c r="XFC60" s="150" t="str">
        <f t="shared" si="7"/>
        <v/>
      </c>
      <c r="XFD60" s="150" t="str">
        <f t="shared" si="8"/>
        <v/>
      </c>
    </row>
    <row r="61" spans="2:21 16374:16384" s="217" customFormat="1" ht="12.75" customHeight="1" x14ac:dyDescent="0.2">
      <c r="B61" s="1419"/>
      <c r="C61" s="1426"/>
      <c r="D61" s="1427"/>
      <c r="E61" s="1427"/>
      <c r="F61" s="1428"/>
      <c r="G61" s="1399"/>
      <c r="H61" s="1401"/>
      <c r="I61" s="1399"/>
      <c r="J61" s="1400"/>
      <c r="K61" s="1400"/>
      <c r="L61" s="1400"/>
      <c r="M61" s="1400"/>
      <c r="N61" s="1401"/>
      <c r="O61" s="533" t="str">
        <f>IFERROR(VLOOKUP(I61,'Base de datos'!$Z$63:$AA$92,2,FALSE),"")</f>
        <v/>
      </c>
      <c r="P61" s="427" t="s">
        <v>4799</v>
      </c>
      <c r="Q61" s="250" t="str">
        <f t="shared" si="9"/>
        <v xml:space="preserve"> </v>
      </c>
      <c r="U61" s="150"/>
      <c r="XET61" s="217">
        <f>COUNTIF($XEU$55:XEU61,$XFB$54)</f>
        <v>0</v>
      </c>
      <c r="XEU61" s="150" t="str">
        <f t="shared" si="3"/>
        <v/>
      </c>
      <c r="XEV61" s="217">
        <f>COUNTIF($XEW$55:XEW61,$XFC$54)</f>
        <v>0</v>
      </c>
      <c r="XEW61" s="150" t="str">
        <f t="shared" si="4"/>
        <v/>
      </c>
      <c r="XEX61" s="217">
        <f>COUNTIF($XEY$55:XEY61,$XFD$54)</f>
        <v>0</v>
      </c>
      <c r="XEY61" s="150" t="str">
        <f t="shared" si="5"/>
        <v/>
      </c>
      <c r="XEZ61" s="150">
        <f>IF(G61="",0,"a 2.3  "&amp;G61&amp;" "&amp;I61)</f>
        <v>0</v>
      </c>
      <c r="XFA61" s="150">
        <v>6</v>
      </c>
      <c r="XFB61" s="150" t="str">
        <f t="shared" si="6"/>
        <v/>
      </c>
      <c r="XFC61" s="150" t="str">
        <f t="shared" si="7"/>
        <v/>
      </c>
      <c r="XFD61" s="150" t="str">
        <f t="shared" si="8"/>
        <v/>
      </c>
    </row>
    <row r="62" spans="2:21 16374:16384" s="217" customFormat="1" ht="12.75" customHeight="1" x14ac:dyDescent="0.2">
      <c r="B62" s="1417">
        <v>3</v>
      </c>
      <c r="C62" s="1420" t="str">
        <f>IFERROR(IF(XFC24="","",XFC24),"")</f>
        <v/>
      </c>
      <c r="D62" s="1421"/>
      <c r="E62" s="1421"/>
      <c r="F62" s="1422"/>
      <c r="G62" s="1399"/>
      <c r="H62" s="1401"/>
      <c r="I62" s="1399"/>
      <c r="J62" s="1400"/>
      <c r="K62" s="1400"/>
      <c r="L62" s="1400"/>
      <c r="M62" s="1400"/>
      <c r="N62" s="1401"/>
      <c r="O62" s="533" t="str">
        <f>IFERROR(VLOOKUP(I62,'Base de datos'!$Z$63:$AA$92,2,FALSE),"")</f>
        <v/>
      </c>
      <c r="P62" s="427" t="s">
        <v>4800</v>
      </c>
      <c r="Q62" s="250" t="str">
        <f t="shared" si="9"/>
        <v xml:space="preserve"> </v>
      </c>
      <c r="U62" s="150"/>
      <c r="XET62" s="217">
        <f>COUNTIF($XEU$55:XEU62,$XFB$54)</f>
        <v>0</v>
      </c>
      <c r="XEU62" s="150" t="str">
        <f t="shared" si="3"/>
        <v/>
      </c>
      <c r="XEV62" s="217">
        <f>COUNTIF($XEW$55:XEW62,$XFC$54)</f>
        <v>0</v>
      </c>
      <c r="XEW62" s="150" t="str">
        <f t="shared" si="4"/>
        <v/>
      </c>
      <c r="XEX62" s="217">
        <f>COUNTIF($XEY$55:XEY62,$XFD$54)</f>
        <v>0</v>
      </c>
      <c r="XEY62" s="150" t="str">
        <f t="shared" si="5"/>
        <v/>
      </c>
      <c r="XEZ62" s="150">
        <f>IF(G62="",0,"a 3.1  "&amp;G62&amp;" "&amp;I62)</f>
        <v>0</v>
      </c>
      <c r="XFA62" s="150">
        <v>7</v>
      </c>
      <c r="XFB62" s="150" t="str">
        <f t="shared" si="6"/>
        <v/>
      </c>
      <c r="XFC62" s="150" t="str">
        <f t="shared" si="7"/>
        <v/>
      </c>
      <c r="XFD62" s="150" t="str">
        <f t="shared" si="8"/>
        <v/>
      </c>
    </row>
    <row r="63" spans="2:21 16374:16384" s="217" customFormat="1" ht="12.75" customHeight="1" x14ac:dyDescent="0.2">
      <c r="B63" s="1418"/>
      <c r="C63" s="1423"/>
      <c r="D63" s="1424"/>
      <c r="E63" s="1424"/>
      <c r="F63" s="1425"/>
      <c r="G63" s="1399"/>
      <c r="H63" s="1401"/>
      <c r="I63" s="1399"/>
      <c r="J63" s="1400"/>
      <c r="K63" s="1400"/>
      <c r="L63" s="1400"/>
      <c r="M63" s="1400"/>
      <c r="N63" s="1401"/>
      <c r="O63" s="533" t="str">
        <f>IFERROR(VLOOKUP(I63,'Base de datos'!$Z$63:$AA$92,2,FALSE),"")</f>
        <v/>
      </c>
      <c r="P63" s="427" t="s">
        <v>4801</v>
      </c>
      <c r="Q63" s="250" t="str">
        <f t="shared" si="9"/>
        <v xml:space="preserve"> </v>
      </c>
      <c r="U63" s="150"/>
      <c r="XET63" s="217">
        <f>COUNTIF($XEU$55:XEU63,$XFB$54)</f>
        <v>0</v>
      </c>
      <c r="XEU63" s="150" t="str">
        <f t="shared" si="3"/>
        <v/>
      </c>
      <c r="XEV63" s="217">
        <f>COUNTIF($XEW$55:XEW63,$XFC$54)</f>
        <v>0</v>
      </c>
      <c r="XEW63" s="150" t="str">
        <f t="shared" si="4"/>
        <v/>
      </c>
      <c r="XEX63" s="217">
        <f>COUNTIF($XEY$55:XEY63,$XFD$54)</f>
        <v>0</v>
      </c>
      <c r="XEY63" s="150" t="str">
        <f t="shared" si="5"/>
        <v/>
      </c>
      <c r="XEZ63" s="150">
        <f>IF(G63="",0,"a 3.2  "&amp;G63&amp;" "&amp;I63)</f>
        <v>0</v>
      </c>
      <c r="XFA63" s="150">
        <v>8</v>
      </c>
      <c r="XFB63" s="150" t="str">
        <f t="shared" si="6"/>
        <v/>
      </c>
      <c r="XFC63" s="150" t="str">
        <f t="shared" si="7"/>
        <v/>
      </c>
      <c r="XFD63" s="150" t="str">
        <f t="shared" si="8"/>
        <v/>
      </c>
    </row>
    <row r="64" spans="2:21 16374:16384" s="217" customFormat="1" ht="12.75" customHeight="1" x14ac:dyDescent="0.2">
      <c r="B64" s="1419"/>
      <c r="C64" s="1426"/>
      <c r="D64" s="1427"/>
      <c r="E64" s="1427"/>
      <c r="F64" s="1428"/>
      <c r="G64" s="1399"/>
      <c r="H64" s="1401"/>
      <c r="I64" s="1399"/>
      <c r="J64" s="1400"/>
      <c r="K64" s="1400"/>
      <c r="L64" s="1400"/>
      <c r="M64" s="1400"/>
      <c r="N64" s="1401"/>
      <c r="O64" s="533" t="str">
        <f>IFERROR(VLOOKUP(I64,'Base de datos'!$Z$63:$AA$92,2,FALSE),"")</f>
        <v/>
      </c>
      <c r="P64" s="427" t="s">
        <v>4802</v>
      </c>
      <c r="Q64" s="250" t="str">
        <f t="shared" si="9"/>
        <v xml:space="preserve"> </v>
      </c>
      <c r="U64" s="150"/>
      <c r="XET64" s="217">
        <f>COUNTIF($XEU$55:XEU64,$XFB$54)</f>
        <v>0</v>
      </c>
      <c r="XEU64" s="150" t="str">
        <f t="shared" si="3"/>
        <v/>
      </c>
      <c r="XEV64" s="217">
        <f>COUNTIF($XEW$55:XEW64,$XFC$54)</f>
        <v>0</v>
      </c>
      <c r="XEW64" s="150" t="str">
        <f t="shared" si="4"/>
        <v/>
      </c>
      <c r="XEX64" s="217">
        <f>COUNTIF($XEY$55:XEY64,$XFD$54)</f>
        <v>0</v>
      </c>
      <c r="XEY64" s="150" t="str">
        <f t="shared" si="5"/>
        <v/>
      </c>
      <c r="XEZ64" s="150">
        <f>IF(G64="",0,"a 3.3  "&amp;G64&amp;" "&amp;I64)</f>
        <v>0</v>
      </c>
      <c r="XFA64" s="150">
        <v>9</v>
      </c>
      <c r="XFB64" s="150" t="str">
        <f t="shared" si="6"/>
        <v/>
      </c>
      <c r="XFC64" s="150" t="str">
        <f t="shared" si="7"/>
        <v/>
      </c>
      <c r="XFD64" s="150" t="str">
        <f t="shared" si="8"/>
        <v/>
      </c>
    </row>
    <row r="65" spans="2:21 16374:16384" s="217" customFormat="1" ht="12.75" customHeight="1" x14ac:dyDescent="0.2">
      <c r="B65" s="1417">
        <v>4</v>
      </c>
      <c r="C65" s="1420" t="str">
        <f>IFERROR(IF(XFC25="","",XFC25),"")</f>
        <v/>
      </c>
      <c r="D65" s="1421"/>
      <c r="E65" s="1421"/>
      <c r="F65" s="1422"/>
      <c r="G65" s="1399"/>
      <c r="H65" s="1401"/>
      <c r="I65" s="1399"/>
      <c r="J65" s="1400"/>
      <c r="K65" s="1400"/>
      <c r="L65" s="1400"/>
      <c r="M65" s="1400"/>
      <c r="N65" s="1401"/>
      <c r="O65" s="533" t="str">
        <f>IFERROR(VLOOKUP(I65,'Base de datos'!$Z$63:$AA$92,2,FALSE),"")</f>
        <v/>
      </c>
      <c r="P65" s="427" t="s">
        <v>4803</v>
      </c>
      <c r="Q65" s="250" t="str">
        <f t="shared" si="9"/>
        <v xml:space="preserve"> </v>
      </c>
      <c r="U65" s="150"/>
      <c r="XET65" s="217">
        <f>COUNTIF($XEU$55:XEU65,$XFB$54)</f>
        <v>0</v>
      </c>
      <c r="XEU65" s="150" t="str">
        <f t="shared" si="3"/>
        <v/>
      </c>
      <c r="XEV65" s="217">
        <f>COUNTIF($XEW$55:XEW65,$XFC$54)</f>
        <v>0</v>
      </c>
      <c r="XEW65" s="150" t="str">
        <f t="shared" si="4"/>
        <v/>
      </c>
      <c r="XEX65" s="217">
        <f>COUNTIF($XEY$55:XEY65,$XFD$54)</f>
        <v>0</v>
      </c>
      <c r="XEY65" s="150" t="str">
        <f t="shared" si="5"/>
        <v/>
      </c>
      <c r="XEZ65" s="150">
        <f>IF(G65="",0,"a 4.1  "&amp;G65&amp;" "&amp;I65)</f>
        <v>0</v>
      </c>
      <c r="XFA65" s="150">
        <v>10</v>
      </c>
      <c r="XFB65" s="150" t="str">
        <f t="shared" si="6"/>
        <v/>
      </c>
      <c r="XFC65" s="150" t="str">
        <f t="shared" si="7"/>
        <v/>
      </c>
      <c r="XFD65" s="150" t="str">
        <f t="shared" si="8"/>
        <v/>
      </c>
    </row>
    <row r="66" spans="2:21 16374:16384" s="217" customFormat="1" ht="12.75" customHeight="1" x14ac:dyDescent="0.2">
      <c r="B66" s="1418"/>
      <c r="C66" s="1423"/>
      <c r="D66" s="1424"/>
      <c r="E66" s="1424"/>
      <c r="F66" s="1425"/>
      <c r="G66" s="1399"/>
      <c r="H66" s="1401"/>
      <c r="I66" s="1399"/>
      <c r="J66" s="1400"/>
      <c r="K66" s="1400"/>
      <c r="L66" s="1400"/>
      <c r="M66" s="1400"/>
      <c r="N66" s="1401"/>
      <c r="O66" s="533" t="str">
        <f>IFERROR(VLOOKUP(I66,'Base de datos'!$Z$63:$AA$92,2,FALSE),"")</f>
        <v/>
      </c>
      <c r="P66" s="427" t="s">
        <v>4804</v>
      </c>
      <c r="Q66" s="250" t="str">
        <f t="shared" si="9"/>
        <v xml:space="preserve"> </v>
      </c>
      <c r="U66" s="150"/>
      <c r="XET66" s="217">
        <f>COUNTIF($XEU$55:XEU66,$XFB$54)</f>
        <v>0</v>
      </c>
      <c r="XEU66" s="150" t="str">
        <f t="shared" si="3"/>
        <v/>
      </c>
      <c r="XEV66" s="217">
        <f>COUNTIF($XEW$55:XEW66,$XFC$54)</f>
        <v>0</v>
      </c>
      <c r="XEW66" s="150" t="str">
        <f t="shared" si="4"/>
        <v/>
      </c>
      <c r="XEX66" s="217">
        <f>COUNTIF($XEY$55:XEY66,$XFD$54)</f>
        <v>0</v>
      </c>
      <c r="XEY66" s="150" t="str">
        <f t="shared" si="5"/>
        <v/>
      </c>
      <c r="XEZ66" s="150">
        <f>IF(G66="",0,"a 4.2  "&amp;G66&amp;" "&amp;I66)</f>
        <v>0</v>
      </c>
      <c r="XFA66" s="150">
        <v>11</v>
      </c>
      <c r="XFB66" s="150" t="str">
        <f t="shared" si="6"/>
        <v/>
      </c>
      <c r="XFC66" s="150" t="str">
        <f t="shared" si="7"/>
        <v/>
      </c>
      <c r="XFD66" s="150" t="str">
        <f t="shared" si="8"/>
        <v/>
      </c>
    </row>
    <row r="67" spans="2:21 16374:16384" s="217" customFormat="1" ht="12.75" customHeight="1" x14ac:dyDescent="0.2">
      <c r="B67" s="1419"/>
      <c r="C67" s="1426"/>
      <c r="D67" s="1427"/>
      <c r="E67" s="1427"/>
      <c r="F67" s="1428"/>
      <c r="G67" s="1399"/>
      <c r="H67" s="1401"/>
      <c r="I67" s="1399"/>
      <c r="J67" s="1400"/>
      <c r="K67" s="1400"/>
      <c r="L67" s="1400"/>
      <c r="M67" s="1400"/>
      <c r="N67" s="1401"/>
      <c r="O67" s="533" t="str">
        <f>IFERROR(VLOOKUP(I67,'Base de datos'!$Z$63:$AA$92,2,FALSE),"")</f>
        <v/>
      </c>
      <c r="P67" s="427" t="s">
        <v>4805</v>
      </c>
      <c r="Q67" s="250" t="str">
        <f t="shared" si="9"/>
        <v xml:space="preserve"> </v>
      </c>
      <c r="U67" s="150"/>
      <c r="XET67" s="217">
        <f>COUNTIF($XEU$55:XEU67,$XFB$54)</f>
        <v>0</v>
      </c>
      <c r="XEU67" s="150" t="str">
        <f t="shared" si="3"/>
        <v/>
      </c>
      <c r="XEV67" s="217">
        <f>COUNTIF($XEW$55:XEW67,$XFC$54)</f>
        <v>0</v>
      </c>
      <c r="XEW67" s="150" t="str">
        <f t="shared" si="4"/>
        <v/>
      </c>
      <c r="XEX67" s="217">
        <f>COUNTIF($XEY$55:XEY67,$XFD$54)</f>
        <v>0</v>
      </c>
      <c r="XEY67" s="150" t="str">
        <f t="shared" si="5"/>
        <v/>
      </c>
      <c r="XEZ67" s="150">
        <f>IF(G67="",0,"a 4.3  "&amp;G67&amp;" "&amp;I67)</f>
        <v>0</v>
      </c>
      <c r="XFA67" s="150">
        <v>12</v>
      </c>
      <c r="XFB67" s="150" t="str">
        <f t="shared" si="6"/>
        <v/>
      </c>
      <c r="XFC67" s="150" t="str">
        <f t="shared" si="7"/>
        <v/>
      </c>
      <c r="XFD67" s="150" t="str">
        <f t="shared" si="8"/>
        <v/>
      </c>
    </row>
    <row r="68" spans="2:21 16374:16384" s="217" customFormat="1" ht="12.75" x14ac:dyDescent="0.2">
      <c r="B68" s="1417">
        <v>5</v>
      </c>
      <c r="C68" s="1420" t="str">
        <f>IFERROR(IF(XFC26="","",XFC26),"")</f>
        <v/>
      </c>
      <c r="D68" s="1421"/>
      <c r="E68" s="1421"/>
      <c r="F68" s="1422"/>
      <c r="G68" s="1399"/>
      <c r="H68" s="1401"/>
      <c r="I68" s="1399"/>
      <c r="J68" s="1400"/>
      <c r="K68" s="1400"/>
      <c r="L68" s="1400"/>
      <c r="M68" s="1400"/>
      <c r="N68" s="1401"/>
      <c r="O68" s="533" t="str">
        <f>IFERROR(VLOOKUP(I68,'Base de datos'!$Z$63:$AA$92,2,FALSE),"")</f>
        <v/>
      </c>
      <c r="P68" s="427" t="s">
        <v>4806</v>
      </c>
      <c r="Q68" s="250" t="str">
        <f t="shared" si="9"/>
        <v xml:space="preserve"> </v>
      </c>
      <c r="U68" s="150"/>
      <c r="XET68" s="217">
        <f>COUNTIF($XEU$55:XEU68,$XFB$54)</f>
        <v>0</v>
      </c>
      <c r="XEU68" s="150" t="str">
        <f t="shared" si="3"/>
        <v/>
      </c>
      <c r="XEV68" s="217">
        <f>COUNTIF($XEW$55:XEW68,$XFC$54)</f>
        <v>0</v>
      </c>
      <c r="XEW68" s="150" t="str">
        <f t="shared" si="4"/>
        <v/>
      </c>
      <c r="XEX68" s="217">
        <f>COUNTIF($XEY$55:XEY68,$XFD$54)</f>
        <v>0</v>
      </c>
      <c r="XEY68" s="150" t="str">
        <f t="shared" si="5"/>
        <v/>
      </c>
      <c r="XEZ68" s="150">
        <f>IF(G68="",0,"a 5.1  "&amp;G68&amp;" "&amp;I68)</f>
        <v>0</v>
      </c>
      <c r="XFA68" s="150">
        <v>13</v>
      </c>
      <c r="XFB68" s="150" t="str">
        <f t="shared" si="6"/>
        <v/>
      </c>
      <c r="XFC68" s="150" t="str">
        <f t="shared" si="7"/>
        <v/>
      </c>
      <c r="XFD68" s="150" t="str">
        <f t="shared" si="8"/>
        <v/>
      </c>
    </row>
    <row r="69" spans="2:21 16374:16384" s="217" customFormat="1" ht="12.75" x14ac:dyDescent="0.2">
      <c r="B69" s="1418"/>
      <c r="C69" s="1423"/>
      <c r="D69" s="1424"/>
      <c r="E69" s="1424"/>
      <c r="F69" s="1425"/>
      <c r="G69" s="1399"/>
      <c r="H69" s="1401"/>
      <c r="I69" s="1399"/>
      <c r="J69" s="1400"/>
      <c r="K69" s="1400"/>
      <c r="L69" s="1400"/>
      <c r="M69" s="1400"/>
      <c r="N69" s="1401"/>
      <c r="O69" s="533" t="str">
        <f>IFERROR(VLOOKUP(I69,'Base de datos'!$Z$63:$AA$92,2,FALSE),"")</f>
        <v/>
      </c>
      <c r="P69" s="427" t="s">
        <v>4807</v>
      </c>
      <c r="Q69" s="250" t="str">
        <f t="shared" si="9"/>
        <v xml:space="preserve"> </v>
      </c>
      <c r="U69" s="150"/>
      <c r="XET69" s="217">
        <f>COUNTIF($XEU$55:XEU69,$XFB$54)</f>
        <v>0</v>
      </c>
      <c r="XEU69" s="150" t="str">
        <f t="shared" si="3"/>
        <v/>
      </c>
      <c r="XEV69" s="217">
        <f>COUNTIF($XEW$55:XEW69,$XFC$54)</f>
        <v>0</v>
      </c>
      <c r="XEW69" s="150" t="str">
        <f t="shared" si="4"/>
        <v/>
      </c>
      <c r="XEX69" s="217">
        <f>COUNTIF($XEY$55:XEY69,$XFD$54)</f>
        <v>0</v>
      </c>
      <c r="XEY69" s="150" t="str">
        <f t="shared" si="5"/>
        <v/>
      </c>
      <c r="XEZ69" s="150">
        <f>IF(G69="",0,"a 5.2  "&amp;G69&amp;" "&amp;I69)</f>
        <v>0</v>
      </c>
      <c r="XFA69" s="150">
        <v>14</v>
      </c>
      <c r="XFB69" s="150" t="str">
        <f t="shared" si="6"/>
        <v/>
      </c>
      <c r="XFC69" s="150" t="str">
        <f t="shared" si="7"/>
        <v/>
      </c>
      <c r="XFD69" s="150" t="str">
        <f t="shared" si="8"/>
        <v/>
      </c>
    </row>
    <row r="70" spans="2:21 16374:16384" s="217" customFormat="1" ht="12.75" x14ac:dyDescent="0.2">
      <c r="B70" s="1419"/>
      <c r="C70" s="1426"/>
      <c r="D70" s="1427"/>
      <c r="E70" s="1427"/>
      <c r="F70" s="1428"/>
      <c r="G70" s="1399"/>
      <c r="H70" s="1401"/>
      <c r="I70" s="1399"/>
      <c r="J70" s="1400"/>
      <c r="K70" s="1400"/>
      <c r="L70" s="1400"/>
      <c r="M70" s="1400"/>
      <c r="N70" s="1401"/>
      <c r="O70" s="533" t="str">
        <f>IFERROR(VLOOKUP(I70,'Base de datos'!$Z$63:$AA$92,2,FALSE),"")</f>
        <v/>
      </c>
      <c r="P70" s="427" t="s">
        <v>4808</v>
      </c>
      <c r="Q70" s="250" t="str">
        <f t="shared" si="9"/>
        <v xml:space="preserve"> </v>
      </c>
      <c r="U70" s="150"/>
      <c r="XET70" s="217">
        <f>COUNTIF($XEU$55:XEU70,$XFB$54)</f>
        <v>0</v>
      </c>
      <c r="XEU70" s="150" t="str">
        <f t="shared" si="3"/>
        <v/>
      </c>
      <c r="XEV70" s="217">
        <f>COUNTIF($XEW$55:XEW70,$XFC$54)</f>
        <v>0</v>
      </c>
      <c r="XEW70" s="150" t="str">
        <f t="shared" si="4"/>
        <v/>
      </c>
      <c r="XEX70" s="217">
        <f>COUNTIF($XEY$55:XEY70,$XFD$54)</f>
        <v>0</v>
      </c>
      <c r="XEY70" s="150" t="str">
        <f t="shared" si="5"/>
        <v/>
      </c>
      <c r="XEZ70" s="150">
        <f>IF(G70="",0,"a 5.3  "&amp;G70&amp;" "&amp;I70)</f>
        <v>0</v>
      </c>
      <c r="XFA70" s="150">
        <v>15</v>
      </c>
      <c r="XFB70" s="150" t="str">
        <f t="shared" si="6"/>
        <v/>
      </c>
      <c r="XFC70" s="150" t="str">
        <f t="shared" si="7"/>
        <v/>
      </c>
      <c r="XFD70" s="150" t="str">
        <f t="shared" si="8"/>
        <v/>
      </c>
    </row>
    <row r="71" spans="2:21 16374:16384" s="217" customFormat="1" ht="12.75" x14ac:dyDescent="0.2">
      <c r="B71" s="1417">
        <v>6</v>
      </c>
      <c r="C71" s="1420" t="str">
        <f>IFERROR(IF(XFC27="","",XFC27),"")</f>
        <v/>
      </c>
      <c r="D71" s="1421"/>
      <c r="E71" s="1421"/>
      <c r="F71" s="1422"/>
      <c r="G71" s="1399"/>
      <c r="H71" s="1401"/>
      <c r="I71" s="1399"/>
      <c r="J71" s="1400"/>
      <c r="K71" s="1400"/>
      <c r="L71" s="1400"/>
      <c r="M71" s="1400"/>
      <c r="N71" s="1401"/>
      <c r="O71" s="533" t="str">
        <f>IFERROR(VLOOKUP(I71,'Base de datos'!$Z$63:$AA$92,2,FALSE),"")</f>
        <v/>
      </c>
      <c r="P71" s="427" t="s">
        <v>4809</v>
      </c>
      <c r="Q71" s="250" t="str">
        <f t="shared" si="9"/>
        <v xml:space="preserve"> </v>
      </c>
      <c r="U71" s="150"/>
      <c r="XET71" s="217">
        <f>COUNTIF($XEU$55:XEU71,$XFB$54)</f>
        <v>0</v>
      </c>
      <c r="XEU71" s="150" t="str">
        <f t="shared" si="3"/>
        <v/>
      </c>
      <c r="XEV71" s="217">
        <f>COUNTIF($XEW$55:XEW71,$XFC$54)</f>
        <v>0</v>
      </c>
      <c r="XEW71" s="150" t="str">
        <f t="shared" si="4"/>
        <v/>
      </c>
      <c r="XEX71" s="217">
        <f>COUNTIF($XEY$55:XEY71,$XFD$54)</f>
        <v>0</v>
      </c>
      <c r="XEY71" s="150" t="str">
        <f t="shared" si="5"/>
        <v/>
      </c>
      <c r="XEZ71" s="150">
        <f>IF(G71="",0,"a 6.1  "&amp;G71&amp;" "&amp;I71)</f>
        <v>0</v>
      </c>
      <c r="XFA71" s="150">
        <v>16</v>
      </c>
      <c r="XFB71" s="150" t="str">
        <f t="shared" si="6"/>
        <v/>
      </c>
      <c r="XFC71" s="150" t="str">
        <f t="shared" si="7"/>
        <v/>
      </c>
      <c r="XFD71" s="150" t="str">
        <f t="shared" si="8"/>
        <v/>
      </c>
    </row>
    <row r="72" spans="2:21 16374:16384" s="217" customFormat="1" ht="12.75" x14ac:dyDescent="0.2">
      <c r="B72" s="1418"/>
      <c r="C72" s="1423"/>
      <c r="D72" s="1424"/>
      <c r="E72" s="1424"/>
      <c r="F72" s="1425"/>
      <c r="G72" s="1399"/>
      <c r="H72" s="1401"/>
      <c r="I72" s="1399"/>
      <c r="J72" s="1400"/>
      <c r="K72" s="1400"/>
      <c r="L72" s="1400"/>
      <c r="M72" s="1400"/>
      <c r="N72" s="1401"/>
      <c r="O72" s="533" t="str">
        <f>IFERROR(VLOOKUP(I72,'Base de datos'!$Z$63:$AA$92,2,FALSE),"")</f>
        <v/>
      </c>
      <c r="P72" s="427" t="s">
        <v>4810</v>
      </c>
      <c r="Q72" s="250" t="str">
        <f t="shared" si="9"/>
        <v xml:space="preserve"> </v>
      </c>
      <c r="U72" s="150"/>
      <c r="XET72" s="217">
        <f>COUNTIF($XEU$55:XEU72,$XFB$54)</f>
        <v>0</v>
      </c>
      <c r="XEU72" s="150" t="str">
        <f t="shared" si="3"/>
        <v/>
      </c>
      <c r="XEV72" s="217">
        <f>COUNTIF($XEW$55:XEW72,$XFC$54)</f>
        <v>0</v>
      </c>
      <c r="XEW72" s="150" t="str">
        <f t="shared" si="4"/>
        <v/>
      </c>
      <c r="XEX72" s="217">
        <f>COUNTIF($XEY$55:XEY72,$XFD$54)</f>
        <v>0</v>
      </c>
      <c r="XEY72" s="150" t="str">
        <f t="shared" si="5"/>
        <v/>
      </c>
      <c r="XEZ72" s="150">
        <f>IF(G72="",0,"a 6.2  "&amp;G72&amp;" "&amp;I72)</f>
        <v>0</v>
      </c>
      <c r="XFA72" s="150">
        <v>17</v>
      </c>
      <c r="XFB72" s="150" t="str">
        <f t="shared" si="6"/>
        <v/>
      </c>
      <c r="XFC72" s="150" t="str">
        <f t="shared" si="7"/>
        <v/>
      </c>
      <c r="XFD72" s="150" t="str">
        <f t="shared" si="8"/>
        <v/>
      </c>
    </row>
    <row r="73" spans="2:21 16374:16384" s="217" customFormat="1" ht="12.75" x14ac:dyDescent="0.2">
      <c r="B73" s="1419"/>
      <c r="C73" s="1426"/>
      <c r="D73" s="1427"/>
      <c r="E73" s="1427"/>
      <c r="F73" s="1428"/>
      <c r="G73" s="1399"/>
      <c r="H73" s="1401"/>
      <c r="I73" s="1399"/>
      <c r="J73" s="1400"/>
      <c r="K73" s="1400"/>
      <c r="L73" s="1400"/>
      <c r="M73" s="1400"/>
      <c r="N73" s="1401"/>
      <c r="O73" s="533" t="str">
        <f>IFERROR(VLOOKUP(I73,'Base de datos'!$Z$63:$AA$92,2,FALSE),"")</f>
        <v/>
      </c>
      <c r="P73" s="427" t="s">
        <v>4811</v>
      </c>
      <c r="Q73" s="250" t="str">
        <f t="shared" si="9"/>
        <v xml:space="preserve"> </v>
      </c>
      <c r="U73" s="150"/>
      <c r="XET73" s="217">
        <f>COUNTIF($XEU$55:XEU73,$XFB$54)</f>
        <v>0</v>
      </c>
      <c r="XEU73" s="150" t="str">
        <f t="shared" si="3"/>
        <v/>
      </c>
      <c r="XEV73" s="217">
        <f>COUNTIF($XEW$55:XEW73,$XFC$54)</f>
        <v>0</v>
      </c>
      <c r="XEW73" s="150" t="str">
        <f t="shared" si="4"/>
        <v/>
      </c>
      <c r="XEX73" s="217">
        <f>COUNTIF($XEY$55:XEY73,$XFD$54)</f>
        <v>0</v>
      </c>
      <c r="XEY73" s="150" t="str">
        <f t="shared" si="5"/>
        <v/>
      </c>
      <c r="XEZ73" s="150">
        <f>IF(G73="",0,"a 6.3  "&amp;G73&amp;" "&amp;I73)</f>
        <v>0</v>
      </c>
      <c r="XFA73" s="150">
        <v>18</v>
      </c>
      <c r="XFB73" s="150" t="str">
        <f t="shared" si="6"/>
        <v/>
      </c>
      <c r="XFC73" s="150" t="str">
        <f t="shared" si="7"/>
        <v/>
      </c>
      <c r="XFD73" s="150" t="str">
        <f t="shared" si="8"/>
        <v/>
      </c>
    </row>
    <row r="74" spans="2:21 16374:16384" s="217" customFormat="1" ht="12.75" hidden="1" x14ac:dyDescent="0.2">
      <c r="B74" s="1417">
        <v>7</v>
      </c>
      <c r="C74" s="1435" t="str">
        <f>IFERROR(IF(XFC28="","",XFC28),"")</f>
        <v/>
      </c>
      <c r="D74" s="1436"/>
      <c r="E74" s="1436"/>
      <c r="F74" s="1437"/>
      <c r="G74" s="1399"/>
      <c r="H74" s="1401"/>
      <c r="I74" s="1399"/>
      <c r="J74" s="1400"/>
      <c r="K74" s="1400"/>
      <c r="L74" s="1400"/>
      <c r="M74" s="1400"/>
      <c r="N74" s="1401"/>
      <c r="O74" s="446" t="str">
        <f>IFERROR(VLOOKUP(I74,'Base de datos'!$Z$63:$AA$92,2,FALSE),"")</f>
        <v/>
      </c>
      <c r="P74" s="56" t="s">
        <v>4812</v>
      </c>
      <c r="Q74" s="443" t="str">
        <f t="shared" si="9"/>
        <v xml:space="preserve"> </v>
      </c>
      <c r="U74" s="150"/>
      <c r="XET74" s="217">
        <f>COUNTIF($XEU$55:XEU74,$XFB$54)</f>
        <v>0</v>
      </c>
      <c r="XEU74" s="150" t="str">
        <f t="shared" si="3"/>
        <v/>
      </c>
      <c r="XEV74" s="217">
        <f>COUNTIF($XEW$55:XEW74,$XFC$54)</f>
        <v>0</v>
      </c>
      <c r="XEW74" s="150" t="str">
        <f t="shared" si="4"/>
        <v/>
      </c>
      <c r="XEX74" s="217">
        <f>COUNTIF($XEY$55:XEY74,$XFD$54)</f>
        <v>0</v>
      </c>
      <c r="XEY74" s="150" t="str">
        <f t="shared" si="5"/>
        <v/>
      </c>
      <c r="XEZ74" s="150">
        <f>IF(G74="",0,"a 7.1  "&amp;G74&amp;" "&amp;I74)</f>
        <v>0</v>
      </c>
      <c r="XFA74" s="150">
        <v>19</v>
      </c>
      <c r="XFB74" s="150" t="str">
        <f t="shared" si="6"/>
        <v/>
      </c>
      <c r="XFC74" s="150" t="str">
        <f t="shared" si="7"/>
        <v/>
      </c>
      <c r="XFD74" s="150" t="str">
        <f t="shared" si="8"/>
        <v/>
      </c>
    </row>
    <row r="75" spans="2:21 16374:16384" s="217" customFormat="1" ht="12.75" hidden="1" x14ac:dyDescent="0.2">
      <c r="B75" s="1418"/>
      <c r="C75" s="1438"/>
      <c r="D75" s="1439"/>
      <c r="E75" s="1439"/>
      <c r="F75" s="1440"/>
      <c r="G75" s="1399"/>
      <c r="H75" s="1401"/>
      <c r="I75" s="1399"/>
      <c r="J75" s="1400"/>
      <c r="K75" s="1400"/>
      <c r="L75" s="1400"/>
      <c r="M75" s="1400"/>
      <c r="N75" s="1401"/>
      <c r="O75" s="446" t="str">
        <f>IFERROR(VLOOKUP(I75,'Base de datos'!$Z$63:$AA$92,2,FALSE),"")</f>
        <v/>
      </c>
      <c r="P75" s="56" t="s">
        <v>4813</v>
      </c>
      <c r="Q75" s="443" t="str">
        <f t="shared" si="9"/>
        <v xml:space="preserve"> </v>
      </c>
      <c r="U75" s="150"/>
      <c r="XET75" s="217">
        <f>COUNTIF($XEU$55:XEU75,$XFB$54)</f>
        <v>0</v>
      </c>
      <c r="XEU75" s="150" t="str">
        <f t="shared" si="3"/>
        <v/>
      </c>
      <c r="XEV75" s="217">
        <f>COUNTIF($XEW$55:XEW75,$XFC$54)</f>
        <v>0</v>
      </c>
      <c r="XEW75" s="150" t="str">
        <f t="shared" si="4"/>
        <v/>
      </c>
      <c r="XEX75" s="217">
        <f>COUNTIF($XEY$55:XEY75,$XFD$54)</f>
        <v>0</v>
      </c>
      <c r="XEY75" s="150" t="str">
        <f t="shared" si="5"/>
        <v/>
      </c>
      <c r="XEZ75" s="150">
        <f>IF(G75="",0,"a 7.2  "&amp;G75&amp;" "&amp;I75)</f>
        <v>0</v>
      </c>
      <c r="XFA75" s="150">
        <v>20</v>
      </c>
      <c r="XFB75" s="150" t="str">
        <f t="shared" si="6"/>
        <v/>
      </c>
      <c r="XFC75" s="150" t="str">
        <f t="shared" si="7"/>
        <v/>
      </c>
      <c r="XFD75" s="150" t="str">
        <f t="shared" si="8"/>
        <v/>
      </c>
    </row>
    <row r="76" spans="2:21 16374:16384" s="217" customFormat="1" ht="12.75" hidden="1" x14ac:dyDescent="0.2">
      <c r="B76" s="1419"/>
      <c r="C76" s="1441"/>
      <c r="D76" s="1442"/>
      <c r="E76" s="1442"/>
      <c r="F76" s="1443"/>
      <c r="G76" s="1399"/>
      <c r="H76" s="1401"/>
      <c r="I76" s="1399"/>
      <c r="J76" s="1400"/>
      <c r="K76" s="1400"/>
      <c r="L76" s="1400"/>
      <c r="M76" s="1400"/>
      <c r="N76" s="1401"/>
      <c r="O76" s="446" t="str">
        <f>IFERROR(VLOOKUP(I76,'Base de datos'!$Z$63:$AA$92,2,FALSE),"")</f>
        <v/>
      </c>
      <c r="P76" s="56" t="s">
        <v>4814</v>
      </c>
      <c r="Q76" s="443" t="str">
        <f t="shared" si="9"/>
        <v xml:space="preserve"> </v>
      </c>
      <c r="U76" s="150"/>
      <c r="XET76" s="217">
        <f>COUNTIF($XEU$55:XEU76,$XFB$54)</f>
        <v>0</v>
      </c>
      <c r="XEU76" s="150" t="str">
        <f t="shared" si="3"/>
        <v/>
      </c>
      <c r="XEV76" s="217">
        <f>COUNTIF($XEW$55:XEW76,$XFC$54)</f>
        <v>0</v>
      </c>
      <c r="XEW76" s="150" t="str">
        <f t="shared" si="4"/>
        <v/>
      </c>
      <c r="XEX76" s="217">
        <f>COUNTIF($XEY$55:XEY76,$XFD$54)</f>
        <v>0</v>
      </c>
      <c r="XEY76" s="150" t="str">
        <f t="shared" si="5"/>
        <v/>
      </c>
      <c r="XEZ76" s="150">
        <f>IF(G76="",0,"a 7.3  "&amp;G76&amp;" "&amp;I76)</f>
        <v>0</v>
      </c>
      <c r="XFA76" s="150">
        <v>21</v>
      </c>
      <c r="XFB76" s="150" t="str">
        <f t="shared" si="6"/>
        <v/>
      </c>
      <c r="XFC76" s="150" t="str">
        <f t="shared" si="7"/>
        <v/>
      </c>
      <c r="XFD76" s="150" t="str">
        <f t="shared" si="8"/>
        <v/>
      </c>
    </row>
    <row r="77" spans="2:21 16374:16384" s="217" customFormat="1" ht="12.75" hidden="1" x14ac:dyDescent="0.2">
      <c r="B77" s="1417">
        <v>8</v>
      </c>
      <c r="C77" s="1435" t="str">
        <f>IFERROR(IF(XFC29="","",XFC29),"")</f>
        <v/>
      </c>
      <c r="D77" s="1436"/>
      <c r="E77" s="1436"/>
      <c r="F77" s="1437"/>
      <c r="G77" s="1399"/>
      <c r="H77" s="1401"/>
      <c r="I77" s="1399"/>
      <c r="J77" s="1400"/>
      <c r="K77" s="1400"/>
      <c r="L77" s="1400"/>
      <c r="M77" s="1400"/>
      <c r="N77" s="1401"/>
      <c r="O77" s="446" t="str">
        <f>IFERROR(VLOOKUP(I77,'Base de datos'!$Z$63:$AA$92,2,FALSE),"")</f>
        <v/>
      </c>
      <c r="P77" s="56" t="s">
        <v>4815</v>
      </c>
      <c r="Q77" s="443" t="str">
        <f t="shared" si="9"/>
        <v xml:space="preserve"> </v>
      </c>
      <c r="U77" s="150"/>
      <c r="XET77" s="217">
        <f>COUNTIF($XEU$55:XEU77,$XFB$54)</f>
        <v>0</v>
      </c>
      <c r="XEU77" s="150" t="str">
        <f t="shared" si="3"/>
        <v/>
      </c>
      <c r="XEV77" s="217">
        <f>COUNTIF($XEW$55:XEW77,$XFC$54)</f>
        <v>0</v>
      </c>
      <c r="XEW77" s="150" t="str">
        <f t="shared" si="4"/>
        <v/>
      </c>
      <c r="XEX77" s="217">
        <f>COUNTIF($XEY$55:XEY77,$XFD$54)</f>
        <v>0</v>
      </c>
      <c r="XEY77" s="150" t="str">
        <f t="shared" si="5"/>
        <v/>
      </c>
      <c r="XEZ77" s="150">
        <f>IF(G77="",0,"a 8.1  "&amp;G77&amp;" "&amp;I77)</f>
        <v>0</v>
      </c>
      <c r="XFA77" s="150">
        <v>22</v>
      </c>
      <c r="XFB77" s="150" t="str">
        <f t="shared" si="6"/>
        <v/>
      </c>
      <c r="XFC77" s="150" t="str">
        <f t="shared" si="7"/>
        <v/>
      </c>
      <c r="XFD77" s="150" t="str">
        <f t="shared" si="8"/>
        <v/>
      </c>
    </row>
    <row r="78" spans="2:21 16374:16384" s="217" customFormat="1" ht="12.75" hidden="1" x14ac:dyDescent="0.2">
      <c r="B78" s="1418"/>
      <c r="C78" s="1438"/>
      <c r="D78" s="1439"/>
      <c r="E78" s="1439"/>
      <c r="F78" s="1440"/>
      <c r="G78" s="1399"/>
      <c r="H78" s="1401"/>
      <c r="I78" s="1399"/>
      <c r="J78" s="1400"/>
      <c r="K78" s="1400"/>
      <c r="L78" s="1400"/>
      <c r="M78" s="1400"/>
      <c r="N78" s="1401"/>
      <c r="O78" s="446" t="str">
        <f>IFERROR(VLOOKUP(I78,'Base de datos'!$Z$63:$AA$92,2,FALSE),"")</f>
        <v/>
      </c>
      <c r="P78" s="56" t="s">
        <v>4816</v>
      </c>
      <c r="Q78" s="443" t="str">
        <f t="shared" si="9"/>
        <v xml:space="preserve"> </v>
      </c>
      <c r="U78" s="150"/>
      <c r="XET78" s="217">
        <f>COUNTIF($XEU$55:XEU78,$XFB$54)</f>
        <v>0</v>
      </c>
      <c r="XEU78" s="150" t="str">
        <f t="shared" si="3"/>
        <v/>
      </c>
      <c r="XEV78" s="217">
        <f>COUNTIF($XEW$55:XEW78,$XFC$54)</f>
        <v>0</v>
      </c>
      <c r="XEW78" s="150" t="str">
        <f t="shared" si="4"/>
        <v/>
      </c>
      <c r="XEX78" s="217">
        <f>COUNTIF($XEY$55:XEY78,$XFD$54)</f>
        <v>0</v>
      </c>
      <c r="XEY78" s="150" t="str">
        <f t="shared" si="5"/>
        <v/>
      </c>
      <c r="XEZ78" s="150">
        <f>IF(G78="",0,"a 8.2  "&amp;G78&amp;" "&amp;I78)</f>
        <v>0</v>
      </c>
      <c r="XFA78" s="150">
        <v>23</v>
      </c>
      <c r="XFB78" s="150" t="str">
        <f t="shared" si="6"/>
        <v/>
      </c>
      <c r="XFC78" s="150" t="str">
        <f t="shared" si="7"/>
        <v/>
      </c>
      <c r="XFD78" s="150" t="str">
        <f t="shared" si="8"/>
        <v/>
      </c>
    </row>
    <row r="79" spans="2:21 16374:16384" s="217" customFormat="1" ht="12.75" hidden="1" x14ac:dyDescent="0.2">
      <c r="B79" s="1419"/>
      <c r="C79" s="1441"/>
      <c r="D79" s="1442"/>
      <c r="E79" s="1442"/>
      <c r="F79" s="1443"/>
      <c r="G79" s="1399"/>
      <c r="H79" s="1401"/>
      <c r="I79" s="1399"/>
      <c r="J79" s="1400"/>
      <c r="K79" s="1400"/>
      <c r="L79" s="1400"/>
      <c r="M79" s="1400"/>
      <c r="N79" s="1401"/>
      <c r="O79" s="446" t="str">
        <f>IFERROR(VLOOKUP(I79,'Base de datos'!$Z$63:$AA$92,2,FALSE),"")</f>
        <v/>
      </c>
      <c r="P79" s="56" t="s">
        <v>4817</v>
      </c>
      <c r="Q79" s="443" t="str">
        <f t="shared" si="9"/>
        <v xml:space="preserve"> </v>
      </c>
      <c r="U79" s="150"/>
      <c r="XET79" s="217">
        <f>COUNTIF($XEU$55:XEU79,$XFB$54)</f>
        <v>0</v>
      </c>
      <c r="XEU79" s="150" t="str">
        <f t="shared" si="3"/>
        <v/>
      </c>
      <c r="XEV79" s="217">
        <f>COUNTIF($XEW$55:XEW79,$XFC$54)</f>
        <v>0</v>
      </c>
      <c r="XEW79" s="150" t="str">
        <f t="shared" si="4"/>
        <v/>
      </c>
      <c r="XEX79" s="217">
        <f>COUNTIF($XEY$55:XEY79,$XFD$54)</f>
        <v>0</v>
      </c>
      <c r="XEY79" s="150" t="str">
        <f t="shared" si="5"/>
        <v/>
      </c>
      <c r="XEZ79" s="150">
        <f>IF(G79="",0,"a 8.3  "&amp;G79&amp;" "&amp;I79)</f>
        <v>0</v>
      </c>
      <c r="XFA79" s="150">
        <v>24</v>
      </c>
      <c r="XFB79" s="150" t="str">
        <f t="shared" si="6"/>
        <v/>
      </c>
      <c r="XFC79" s="150" t="str">
        <f t="shared" si="7"/>
        <v/>
      </c>
      <c r="XFD79" s="150" t="str">
        <f t="shared" si="8"/>
        <v/>
      </c>
    </row>
    <row r="80" spans="2:21 16374:16384" s="217" customFormat="1" ht="12.75" hidden="1" x14ac:dyDescent="0.2">
      <c r="B80" s="1417">
        <v>9</v>
      </c>
      <c r="C80" s="1435" t="str">
        <f>IFERROR(IF(XFC30="","",XFC30),"")</f>
        <v/>
      </c>
      <c r="D80" s="1436"/>
      <c r="E80" s="1436"/>
      <c r="F80" s="1437"/>
      <c r="G80" s="1399"/>
      <c r="H80" s="1401"/>
      <c r="I80" s="1399"/>
      <c r="J80" s="1400"/>
      <c r="K80" s="1400"/>
      <c r="L80" s="1400"/>
      <c r="M80" s="1400"/>
      <c r="N80" s="1401"/>
      <c r="O80" s="446" t="str">
        <f>IFERROR(VLOOKUP(I80,'Base de datos'!$Z$63:$AA$92,2,FALSE),"")</f>
        <v/>
      </c>
      <c r="P80" s="56" t="s">
        <v>4818</v>
      </c>
      <c r="Q80" s="443" t="str">
        <f t="shared" si="9"/>
        <v xml:space="preserve"> </v>
      </c>
      <c r="XET80" s="217">
        <f>COUNTIF($XEU$55:XEU80,$XFB$54)</f>
        <v>0</v>
      </c>
      <c r="XEU80" s="150" t="str">
        <f t="shared" si="3"/>
        <v/>
      </c>
      <c r="XEV80" s="217">
        <f>COUNTIF($XEW$55:XEW80,$XFC$54)</f>
        <v>0</v>
      </c>
      <c r="XEW80" s="150" t="str">
        <f t="shared" si="4"/>
        <v/>
      </c>
      <c r="XEX80" s="217">
        <f>COUNTIF($XEY$55:XEY80,$XFD$54)</f>
        <v>0</v>
      </c>
      <c r="XEY80" s="150" t="str">
        <f t="shared" si="5"/>
        <v/>
      </c>
      <c r="XEZ80" s="150">
        <f>IF(G80="",0,"a 9.1  "&amp;G80&amp;" "&amp;I80)</f>
        <v>0</v>
      </c>
      <c r="XFA80" s="150">
        <v>25</v>
      </c>
      <c r="XFB80" s="150" t="str">
        <f t="shared" si="6"/>
        <v/>
      </c>
      <c r="XFC80" s="150" t="str">
        <f t="shared" si="7"/>
        <v/>
      </c>
      <c r="XFD80" s="150" t="str">
        <f t="shared" si="8"/>
        <v/>
      </c>
    </row>
    <row r="81" spans="2:24 16374:16381" s="217" customFormat="1" ht="12.75" hidden="1" x14ac:dyDescent="0.2">
      <c r="B81" s="1418"/>
      <c r="C81" s="1438"/>
      <c r="D81" s="1439"/>
      <c r="E81" s="1439"/>
      <c r="F81" s="1440"/>
      <c r="G81" s="1399"/>
      <c r="H81" s="1401"/>
      <c r="I81" s="1399"/>
      <c r="J81" s="1400"/>
      <c r="K81" s="1400"/>
      <c r="L81" s="1400"/>
      <c r="M81" s="1400"/>
      <c r="N81" s="1401"/>
      <c r="O81" s="446" t="str">
        <f>IFERROR(VLOOKUP(I81,'Base de datos'!$Z$63:$AA$92,2,FALSE),"")</f>
        <v/>
      </c>
      <c r="P81" s="56" t="s">
        <v>4819</v>
      </c>
      <c r="Q81" s="443" t="str">
        <f t="shared" si="9"/>
        <v xml:space="preserve"> </v>
      </c>
      <c r="XET81" s="217">
        <f>COUNTIF($XEU$55:XEU81,$XFB$54)</f>
        <v>0</v>
      </c>
      <c r="XEU81" s="150" t="str">
        <f t="shared" si="3"/>
        <v/>
      </c>
      <c r="XEV81" s="217">
        <f>COUNTIF($XEW$55:XEW81,$XFC$54)</f>
        <v>0</v>
      </c>
      <c r="XEW81" s="150" t="str">
        <f t="shared" si="4"/>
        <v/>
      </c>
      <c r="XEX81" s="217">
        <f>COUNTIF($XEY$55:XEY81,$XFD$54)</f>
        <v>0</v>
      </c>
      <c r="XEY81" s="150" t="str">
        <f t="shared" si="5"/>
        <v/>
      </c>
      <c r="XEZ81" s="150">
        <f>IF(G81="",0,"a 9.2  "&amp;G81&amp;" "&amp;I81)</f>
        <v>0</v>
      </c>
      <c r="XFA81" s="150"/>
    </row>
    <row r="82" spans="2:24 16374:16381" s="217" customFormat="1" ht="12.75" hidden="1" x14ac:dyDescent="0.2">
      <c r="B82" s="1419"/>
      <c r="C82" s="1441"/>
      <c r="D82" s="1442"/>
      <c r="E82" s="1442"/>
      <c r="F82" s="1443"/>
      <c r="G82" s="1399"/>
      <c r="H82" s="1401"/>
      <c r="I82" s="1399"/>
      <c r="J82" s="1400"/>
      <c r="K82" s="1400"/>
      <c r="L82" s="1400"/>
      <c r="M82" s="1400"/>
      <c r="N82" s="1401"/>
      <c r="O82" s="446" t="str">
        <f>IFERROR(VLOOKUP(I82,'Base de datos'!$Z$63:$AA$92,2,FALSE),"")</f>
        <v/>
      </c>
      <c r="P82" s="56" t="s">
        <v>4820</v>
      </c>
      <c r="Q82" s="443" t="str">
        <f t="shared" si="9"/>
        <v xml:space="preserve"> </v>
      </c>
      <c r="XET82" s="217">
        <f>COUNTIF($XEU$55:XEU82,$XFB$54)</f>
        <v>0</v>
      </c>
      <c r="XEU82" s="150" t="str">
        <f t="shared" si="3"/>
        <v/>
      </c>
      <c r="XEV82" s="217">
        <f>COUNTIF($XEW$55:XEW82,$XFC$54)</f>
        <v>0</v>
      </c>
      <c r="XEW82" s="150" t="str">
        <f t="shared" si="4"/>
        <v/>
      </c>
      <c r="XEX82" s="217">
        <f>COUNTIF($XEY$55:XEY82,$XFD$54)</f>
        <v>0</v>
      </c>
      <c r="XEY82" s="150" t="str">
        <f t="shared" si="5"/>
        <v/>
      </c>
      <c r="XEZ82" s="150">
        <f>IF(G82="",0,"a 9.3  "&amp;G82&amp;" "&amp;I82)</f>
        <v>0</v>
      </c>
      <c r="XFA82" s="150"/>
    </row>
    <row r="83" spans="2:24 16374:16381" s="217" customFormat="1" ht="12.75" hidden="1" x14ac:dyDescent="0.2">
      <c r="B83" s="1417">
        <v>10</v>
      </c>
      <c r="C83" s="1435" t="str">
        <f>IFERROR(IF(XFC31="","",XFC31),"")</f>
        <v/>
      </c>
      <c r="D83" s="1436"/>
      <c r="E83" s="1436"/>
      <c r="F83" s="1437"/>
      <c r="G83" s="1399"/>
      <c r="H83" s="1401"/>
      <c r="I83" s="1399"/>
      <c r="J83" s="1400"/>
      <c r="K83" s="1400"/>
      <c r="L83" s="1400"/>
      <c r="M83" s="1400"/>
      <c r="N83" s="1401"/>
      <c r="O83" s="446" t="str">
        <f>IFERROR(VLOOKUP(I83,'Base de datos'!$Z$63:$AA$92,2,FALSE),"")</f>
        <v/>
      </c>
      <c r="P83" s="56" t="s">
        <v>4821</v>
      </c>
      <c r="Q83" s="443" t="str">
        <f t="shared" si="9"/>
        <v xml:space="preserve"> </v>
      </c>
      <c r="XET83" s="217">
        <f>COUNTIF($XEU$55:XEU83,$XFB$54)</f>
        <v>0</v>
      </c>
      <c r="XEU83" s="150" t="str">
        <f t="shared" si="3"/>
        <v/>
      </c>
      <c r="XEV83" s="217">
        <f>COUNTIF($XEW$55:XEW83,$XFC$54)</f>
        <v>0</v>
      </c>
      <c r="XEW83" s="150" t="str">
        <f t="shared" si="4"/>
        <v/>
      </c>
      <c r="XEX83" s="217">
        <f>COUNTIF($XEY$55:XEY83,$XFD$54)</f>
        <v>0</v>
      </c>
      <c r="XEY83" s="150" t="str">
        <f t="shared" si="5"/>
        <v/>
      </c>
      <c r="XEZ83" s="150">
        <f>IF(G83="",0,"a 10.1 "&amp;G83&amp;" "&amp;I83)</f>
        <v>0</v>
      </c>
      <c r="XFA83" s="150"/>
    </row>
    <row r="84" spans="2:24 16374:16381" s="217" customFormat="1" ht="12.75" hidden="1" x14ac:dyDescent="0.2">
      <c r="B84" s="1418"/>
      <c r="C84" s="1438"/>
      <c r="D84" s="1439"/>
      <c r="E84" s="1439"/>
      <c r="F84" s="1440"/>
      <c r="G84" s="1399"/>
      <c r="H84" s="1401"/>
      <c r="I84" s="1399"/>
      <c r="J84" s="1400"/>
      <c r="K84" s="1400"/>
      <c r="L84" s="1400"/>
      <c r="M84" s="1400"/>
      <c r="N84" s="1401"/>
      <c r="O84" s="446" t="str">
        <f>IFERROR(VLOOKUP(I84,'Base de datos'!$Z$63:$AA$92,2,FALSE),"")</f>
        <v/>
      </c>
      <c r="P84" s="56" t="s">
        <v>4822</v>
      </c>
      <c r="Q84" s="443" t="str">
        <f t="shared" si="9"/>
        <v xml:space="preserve"> </v>
      </c>
      <c r="XET84" s="217">
        <f>COUNTIF($XEU$55:XEU84,$XFB$54)</f>
        <v>0</v>
      </c>
      <c r="XEU84" s="150" t="str">
        <f t="shared" si="3"/>
        <v/>
      </c>
      <c r="XEV84" s="217">
        <f>COUNTIF($XEW$55:XEW84,$XFC$54)</f>
        <v>0</v>
      </c>
      <c r="XEW84" s="150" t="str">
        <f t="shared" si="4"/>
        <v/>
      </c>
      <c r="XEX84" s="217">
        <f>COUNTIF($XEY$55:XEY84,$XFD$54)</f>
        <v>0</v>
      </c>
      <c r="XEY84" s="150" t="str">
        <f t="shared" si="5"/>
        <v/>
      </c>
      <c r="XEZ84" s="150">
        <f>IF(G84="",0,"a 10.2 "&amp;G84&amp;" "&amp;I84)</f>
        <v>0</v>
      </c>
      <c r="XFA84" s="150"/>
    </row>
    <row r="85" spans="2:24 16374:16381" s="217" customFormat="1" ht="12.75" hidden="1" x14ac:dyDescent="0.2">
      <c r="B85" s="1419"/>
      <c r="C85" s="1441"/>
      <c r="D85" s="1442"/>
      <c r="E85" s="1442"/>
      <c r="F85" s="1443"/>
      <c r="G85" s="1399"/>
      <c r="H85" s="1401"/>
      <c r="I85" s="1399"/>
      <c r="J85" s="1400"/>
      <c r="K85" s="1400"/>
      <c r="L85" s="1400"/>
      <c r="M85" s="1400"/>
      <c r="N85" s="1401"/>
      <c r="O85" s="446" t="str">
        <f>IFERROR(VLOOKUP(I85,'Base de datos'!$Z$63:$AA$92,2,FALSE),"")</f>
        <v/>
      </c>
      <c r="P85" s="56" t="s">
        <v>4823</v>
      </c>
      <c r="Q85" s="443" t="str">
        <f t="shared" si="9"/>
        <v xml:space="preserve"> </v>
      </c>
      <c r="XET85" s="217">
        <f>COUNTIF($XEU$55:XEU85,$XFB$54)</f>
        <v>0</v>
      </c>
      <c r="XEU85" s="150" t="str">
        <f t="shared" si="3"/>
        <v/>
      </c>
      <c r="XEV85" s="217">
        <f>COUNTIF($XEW$55:XEW85,$XFC$54)</f>
        <v>0</v>
      </c>
      <c r="XEW85" s="150" t="str">
        <f t="shared" si="4"/>
        <v/>
      </c>
      <c r="XEX85" s="217">
        <f>COUNTIF($XEY$55:XEY85,$XFD$54)</f>
        <v>0</v>
      </c>
      <c r="XEY85" s="150" t="str">
        <f t="shared" si="5"/>
        <v/>
      </c>
      <c r="XEZ85" s="150">
        <f>IF(G85="",0,"a 10.3 "&amp;G85&amp;" "&amp;I85)</f>
        <v>0</v>
      </c>
      <c r="XFA85" s="150"/>
    </row>
    <row r="86" spans="2:24 16374:16381" s="217" customFormat="1" ht="12.75" hidden="1" x14ac:dyDescent="0.2">
      <c r="B86" s="1417">
        <v>11</v>
      </c>
      <c r="C86" s="1435" t="str">
        <f>IFERROR(IF(XFC32="","",XFC32),"")</f>
        <v/>
      </c>
      <c r="D86" s="1436"/>
      <c r="E86" s="1436"/>
      <c r="F86" s="1437"/>
      <c r="G86" s="1399"/>
      <c r="H86" s="1401"/>
      <c r="I86" s="1399"/>
      <c r="J86" s="1400"/>
      <c r="K86" s="1400"/>
      <c r="L86" s="1400"/>
      <c r="M86" s="1400"/>
      <c r="N86" s="1401"/>
      <c r="O86" s="446" t="str">
        <f>IFERROR(VLOOKUP(I86,'Base de datos'!$Z$63:$AA$92,2,FALSE),"")</f>
        <v/>
      </c>
      <c r="P86" s="56" t="s">
        <v>4824</v>
      </c>
      <c r="Q86" s="443" t="str">
        <f t="shared" si="9"/>
        <v xml:space="preserve"> </v>
      </c>
      <c r="XET86" s="217">
        <f>COUNTIF($XEU$55:XEU86,$XFB$54)</f>
        <v>0</v>
      </c>
      <c r="XEU86" s="150" t="str">
        <f t="shared" si="3"/>
        <v/>
      </c>
      <c r="XEV86" s="217">
        <f>COUNTIF($XEW$55:XEW86,$XFC$54)</f>
        <v>0</v>
      </c>
      <c r="XEW86" s="150" t="str">
        <f t="shared" si="4"/>
        <v/>
      </c>
      <c r="XEX86" s="217">
        <f>COUNTIF($XEY$55:XEY86,$XFD$54)</f>
        <v>0</v>
      </c>
      <c r="XEY86" s="150" t="str">
        <f t="shared" si="5"/>
        <v/>
      </c>
      <c r="XEZ86" s="150">
        <f>IF(G86="",0,"a 11.1 "&amp;G86&amp;" "&amp;I86)</f>
        <v>0</v>
      </c>
      <c r="XFA86" s="150"/>
    </row>
    <row r="87" spans="2:24 16374:16381" s="217" customFormat="1" ht="12.75" hidden="1" x14ac:dyDescent="0.2">
      <c r="B87" s="1418"/>
      <c r="C87" s="1438"/>
      <c r="D87" s="1439"/>
      <c r="E87" s="1439"/>
      <c r="F87" s="1440"/>
      <c r="G87" s="1399"/>
      <c r="H87" s="1401"/>
      <c r="I87" s="1399"/>
      <c r="J87" s="1400"/>
      <c r="K87" s="1400"/>
      <c r="L87" s="1400"/>
      <c r="M87" s="1400"/>
      <c r="N87" s="1401"/>
      <c r="O87" s="446" t="str">
        <f>IFERROR(VLOOKUP(I87,'Base de datos'!$Z$63:$AA$92,2,FALSE),"")</f>
        <v/>
      </c>
      <c r="P87" s="56" t="s">
        <v>4825</v>
      </c>
      <c r="Q87" s="443" t="str">
        <f t="shared" si="9"/>
        <v xml:space="preserve"> </v>
      </c>
      <c r="XET87" s="217">
        <f>COUNTIF($XEU$55:XEU87,$XFB$54)</f>
        <v>0</v>
      </c>
      <c r="XEU87" s="150" t="str">
        <f t="shared" si="3"/>
        <v/>
      </c>
      <c r="XEV87" s="217">
        <f>COUNTIF($XEW$55:XEW87,$XFC$54)</f>
        <v>0</v>
      </c>
      <c r="XEW87" s="150" t="str">
        <f t="shared" si="4"/>
        <v/>
      </c>
      <c r="XEX87" s="217">
        <f>COUNTIF($XEY$55:XEY87,$XFD$54)</f>
        <v>0</v>
      </c>
      <c r="XEY87" s="150" t="str">
        <f t="shared" si="5"/>
        <v/>
      </c>
      <c r="XEZ87" s="150">
        <f>IF(G87="",0,"a 11.2 "&amp;G87&amp;" "&amp;I87)</f>
        <v>0</v>
      </c>
      <c r="XFA87" s="150"/>
    </row>
    <row r="88" spans="2:24 16374:16381" s="217" customFormat="1" ht="12.75" hidden="1" x14ac:dyDescent="0.2">
      <c r="B88" s="1419"/>
      <c r="C88" s="1441"/>
      <c r="D88" s="1442"/>
      <c r="E88" s="1442"/>
      <c r="F88" s="1443"/>
      <c r="G88" s="1399"/>
      <c r="H88" s="1401"/>
      <c r="I88" s="1399"/>
      <c r="J88" s="1400"/>
      <c r="K88" s="1400"/>
      <c r="L88" s="1400"/>
      <c r="M88" s="1400"/>
      <c r="N88" s="1401"/>
      <c r="O88" s="446" t="str">
        <f>IFERROR(VLOOKUP(I88,'Base de datos'!$Z$63:$AA$92,2,FALSE),"")</f>
        <v/>
      </c>
      <c r="P88" s="56" t="s">
        <v>4826</v>
      </c>
      <c r="Q88" s="443" t="str">
        <f t="shared" si="9"/>
        <v xml:space="preserve"> </v>
      </c>
      <c r="XET88" s="217">
        <f>COUNTIF($XEU$55:XEU88,$XFB$54)</f>
        <v>0</v>
      </c>
      <c r="XEU88" s="150" t="str">
        <f t="shared" si="3"/>
        <v/>
      </c>
      <c r="XEV88" s="217">
        <f>COUNTIF($XEW$55:XEW88,$XFC$54)</f>
        <v>0</v>
      </c>
      <c r="XEW88" s="150" t="str">
        <f t="shared" si="4"/>
        <v/>
      </c>
      <c r="XEX88" s="217">
        <f>COUNTIF($XEY$55:XEY88,$XFD$54)</f>
        <v>0</v>
      </c>
      <c r="XEY88" s="150" t="str">
        <f t="shared" si="5"/>
        <v/>
      </c>
      <c r="XEZ88" s="150">
        <f>IF(G88="",0,"a 11.3 "&amp;G88&amp;" "&amp;I88)</f>
        <v>0</v>
      </c>
      <c r="XFA88" s="150"/>
    </row>
    <row r="89" spans="2:24 16374:16381" s="217" customFormat="1" ht="12" customHeight="1" x14ac:dyDescent="0.2">
      <c r="B89" s="149"/>
      <c r="C89" s="149"/>
      <c r="D89" s="149"/>
      <c r="E89" s="149"/>
      <c r="F89" s="149"/>
      <c r="G89" s="149"/>
      <c r="H89" s="149"/>
      <c r="I89" s="149"/>
      <c r="J89" s="150"/>
      <c r="K89" s="149"/>
      <c r="L89" s="149"/>
      <c r="M89" s="149"/>
      <c r="N89" s="151"/>
      <c r="S89" s="151"/>
      <c r="T89" s="151"/>
      <c r="U89" s="151"/>
      <c r="V89" s="151"/>
      <c r="W89" s="151"/>
      <c r="X89" s="68"/>
    </row>
    <row r="90" spans="2:24 16374:16381" s="217" customFormat="1" ht="12" customHeight="1" x14ac:dyDescent="0.2">
      <c r="B90" s="149"/>
      <c r="C90" s="149"/>
      <c r="D90" s="149"/>
      <c r="E90" s="149"/>
      <c r="F90" s="149"/>
      <c r="G90" s="149"/>
      <c r="H90" s="149"/>
      <c r="I90" s="149"/>
      <c r="J90" s="150"/>
      <c r="K90" s="149"/>
      <c r="L90" s="149"/>
      <c r="M90" s="149"/>
      <c r="N90" s="151"/>
      <c r="S90" s="151"/>
      <c r="T90" s="151"/>
      <c r="U90" s="151"/>
      <c r="V90" s="151"/>
      <c r="W90" s="151"/>
      <c r="X90" s="68"/>
    </row>
    <row r="91" spans="2:24 16374:16381" s="69" customFormat="1" ht="23.45" customHeight="1" x14ac:dyDescent="0.2">
      <c r="B91" s="1197" t="s">
        <v>288</v>
      </c>
      <c r="C91" s="1197"/>
      <c r="D91" s="1197"/>
      <c r="E91" s="1197"/>
      <c r="F91" s="1263" t="s">
        <v>289</v>
      </c>
      <c r="G91" s="1264"/>
      <c r="H91" s="1264"/>
      <c r="I91" s="1264"/>
      <c r="J91" s="1264"/>
      <c r="K91" s="1264"/>
      <c r="L91" s="1264"/>
      <c r="M91" s="1265"/>
      <c r="N91" s="151"/>
      <c r="O91" s="217"/>
      <c r="P91" s="217"/>
      <c r="Q91" s="217"/>
      <c r="R91" s="217"/>
    </row>
    <row r="92" spans="2:24 16374:16381" s="69" customFormat="1" ht="7.5" customHeight="1" x14ac:dyDescent="0.2">
      <c r="B92" s="136"/>
      <c r="C92" s="136"/>
      <c r="D92" s="136"/>
      <c r="E92" s="136"/>
      <c r="F92" s="136"/>
      <c r="G92" s="136"/>
      <c r="H92" s="136"/>
      <c r="I92" s="136"/>
      <c r="J92" s="150"/>
      <c r="K92" s="149"/>
      <c r="L92" s="149"/>
      <c r="M92" s="149"/>
      <c r="N92" s="151"/>
      <c r="O92" s="217"/>
      <c r="P92" s="217"/>
      <c r="Q92" s="217"/>
      <c r="R92" s="136"/>
    </row>
    <row r="93" spans="2:24 16374:16381" s="69" customFormat="1" ht="12.75" customHeight="1" x14ac:dyDescent="0.2">
      <c r="B93" s="1404" t="str">
        <f>IFERROR(VLOOKUP(B37,'Base de datos'!Z3:AB4,3,FALSE),"")</f>
        <v/>
      </c>
      <c r="C93" s="1404"/>
      <c r="D93" s="1404"/>
      <c r="E93" s="1404"/>
      <c r="F93" s="1460" t="str">
        <f>IFERROR(VLOOKUP(J37,'Base de datos'!$AD$3:$AF$11,3,FALSE),"")</f>
        <v/>
      </c>
      <c r="G93" s="1461"/>
      <c r="H93" s="1461"/>
      <c r="I93" s="1461"/>
      <c r="J93" s="1461"/>
      <c r="K93" s="1461"/>
      <c r="L93" s="1461"/>
      <c r="M93" s="1462"/>
      <c r="N93" s="151"/>
      <c r="O93" s="217"/>
      <c r="P93" s="217"/>
      <c r="Q93" s="217"/>
    </row>
    <row r="94" spans="2:24 16374:16381" s="69" customFormat="1" ht="12.75" customHeight="1" x14ac:dyDescent="0.2">
      <c r="B94" s="1404"/>
      <c r="C94" s="1404"/>
      <c r="D94" s="1404"/>
      <c r="E94" s="1404"/>
      <c r="F94" s="1460" t="str">
        <f>IFERROR(VLOOKUP(J38,'Base de datos'!$AD$3:$AF$11,3,FALSE),"")</f>
        <v/>
      </c>
      <c r="G94" s="1461"/>
      <c r="H94" s="1461"/>
      <c r="I94" s="1461"/>
      <c r="J94" s="1461"/>
      <c r="K94" s="1461"/>
      <c r="L94" s="1461"/>
      <c r="M94" s="1462"/>
      <c r="N94" s="151"/>
      <c r="O94" s="217"/>
      <c r="P94" s="217"/>
      <c r="Q94" s="217"/>
    </row>
    <row r="95" spans="2:24 16374:16381" s="69" customFormat="1" ht="12.75" customHeight="1" x14ac:dyDescent="0.2">
      <c r="B95" s="1404"/>
      <c r="C95" s="1404"/>
      <c r="D95" s="1404"/>
      <c r="E95" s="1404"/>
      <c r="F95" s="1460" t="str">
        <f>IFERROR(VLOOKUP(J39,'Base de datos'!$AD$3:$AF$11,3,FALSE),"")</f>
        <v/>
      </c>
      <c r="G95" s="1461"/>
      <c r="H95" s="1461"/>
      <c r="I95" s="1461"/>
      <c r="J95" s="1461"/>
      <c r="K95" s="1461"/>
      <c r="L95" s="1461"/>
      <c r="M95" s="1462"/>
      <c r="N95" s="151"/>
      <c r="O95" s="217"/>
      <c r="P95" s="217"/>
      <c r="Q95" s="217"/>
    </row>
    <row r="96" spans="2:24 16374:16381" s="69" customFormat="1" ht="12.6" customHeight="1" x14ac:dyDescent="0.2">
      <c r="B96" s="1404" t="str">
        <f>IFERROR(VLOOKUP(B40,'Base de datos'!Z3:AB4,3,FALSE),"")</f>
        <v/>
      </c>
      <c r="C96" s="1404"/>
      <c r="D96" s="1404"/>
      <c r="E96" s="1404"/>
      <c r="F96" s="1460" t="str">
        <f>IFERROR(VLOOKUP(J40,'Base de datos'!$AD$3:$AF$11,3,FALSE),"")</f>
        <v/>
      </c>
      <c r="G96" s="1461"/>
      <c r="H96" s="1461"/>
      <c r="I96" s="1461"/>
      <c r="J96" s="1461"/>
      <c r="K96" s="1461"/>
      <c r="L96" s="1461"/>
      <c r="M96" s="1462"/>
      <c r="N96" s="151"/>
      <c r="O96" s="217"/>
      <c r="P96" s="217"/>
      <c r="Q96" s="217"/>
    </row>
    <row r="97" spans="2:54" s="69" customFormat="1" ht="12.6" customHeight="1" x14ac:dyDescent="0.2">
      <c r="B97" s="1404"/>
      <c r="C97" s="1404"/>
      <c r="D97" s="1404"/>
      <c r="E97" s="1404"/>
      <c r="F97" s="1460" t="str">
        <f>IFERROR(VLOOKUP(J41,'Base de datos'!$AD$3:$AF$11,3,FALSE),"")</f>
        <v/>
      </c>
      <c r="G97" s="1461"/>
      <c r="H97" s="1461"/>
      <c r="I97" s="1461"/>
      <c r="J97" s="1461"/>
      <c r="K97" s="1461"/>
      <c r="L97" s="1461"/>
      <c r="M97" s="1462"/>
      <c r="N97" s="151"/>
      <c r="O97" s="217"/>
      <c r="P97" s="217"/>
      <c r="Q97" s="217"/>
    </row>
    <row r="98" spans="2:54" s="69" customFormat="1" ht="12.6" customHeight="1" x14ac:dyDescent="0.2">
      <c r="B98" s="1404"/>
      <c r="C98" s="1404"/>
      <c r="D98" s="1404"/>
      <c r="E98" s="1404"/>
      <c r="F98" s="1460" t="str">
        <f>IFERROR(VLOOKUP(J42,'Base de datos'!$AD$3:$AF$11,3,FALSE),"")</f>
        <v/>
      </c>
      <c r="G98" s="1461"/>
      <c r="H98" s="1461"/>
      <c r="I98" s="1461"/>
      <c r="J98" s="1461"/>
      <c r="K98" s="1461"/>
      <c r="L98" s="1461"/>
      <c r="M98" s="1462"/>
      <c r="N98" s="151"/>
      <c r="O98" s="217"/>
      <c r="P98" s="217"/>
      <c r="Q98" s="217"/>
    </row>
    <row r="99" spans="2:54" s="217" customFormat="1" ht="12" customHeight="1" x14ac:dyDescent="0.2">
      <c r="B99" s="149"/>
      <c r="C99" s="149"/>
      <c r="D99" s="149"/>
      <c r="E99" s="149"/>
      <c r="F99" s="149"/>
      <c r="G99" s="149"/>
      <c r="H99" s="149"/>
      <c r="I99" s="149"/>
      <c r="J99" s="150"/>
      <c r="K99" s="149"/>
      <c r="L99" s="149"/>
      <c r="M99" s="149"/>
      <c r="N99" s="151"/>
      <c r="S99" s="151"/>
      <c r="T99" s="151"/>
      <c r="U99" s="151"/>
      <c r="V99" s="151"/>
      <c r="W99" s="151"/>
      <c r="X99" s="68"/>
    </row>
    <row r="100" spans="2:54" s="217" customFormat="1" ht="12" customHeight="1" x14ac:dyDescent="0.2">
      <c r="B100" s="149"/>
      <c r="C100" s="149"/>
      <c r="D100" s="149"/>
      <c r="E100" s="149"/>
      <c r="F100" s="149"/>
      <c r="G100" s="149"/>
      <c r="H100" s="149"/>
      <c r="I100" s="149"/>
      <c r="J100" s="150"/>
      <c r="K100" s="149"/>
      <c r="L100" s="149"/>
      <c r="M100" s="149"/>
      <c r="N100" s="151"/>
      <c r="S100" s="151"/>
      <c r="T100" s="151"/>
      <c r="U100" s="151"/>
      <c r="V100" s="151"/>
      <c r="W100" s="151"/>
      <c r="X100" s="68"/>
    </row>
    <row r="101" spans="2:54" s="217" customFormat="1" ht="15" customHeight="1" x14ac:dyDescent="0.2">
      <c r="B101" s="403" t="s">
        <v>376</v>
      </c>
      <c r="C101" s="403"/>
      <c r="D101" s="403"/>
      <c r="E101" s="403"/>
      <c r="F101" s="403"/>
      <c r="G101" s="403"/>
      <c r="H101" s="403"/>
      <c r="I101" s="403"/>
      <c r="J101" s="403"/>
      <c r="K101" s="403"/>
      <c r="L101" s="403"/>
      <c r="M101" s="408"/>
      <c r="N101" s="408"/>
      <c r="O101" s="408"/>
      <c r="P101" s="630">
        <v>1</v>
      </c>
      <c r="Q101" s="409"/>
      <c r="S101" s="136"/>
      <c r="T101" s="136"/>
      <c r="U101" s="136"/>
      <c r="V101" s="136"/>
      <c r="W101" s="136"/>
      <c r="X101" s="68"/>
    </row>
    <row r="102" spans="2:54" s="217" customFormat="1" ht="15" customHeight="1" x14ac:dyDescent="0.2">
      <c r="F102" s="68"/>
      <c r="G102" s="68"/>
      <c r="H102" s="68"/>
      <c r="I102" s="68"/>
      <c r="J102" s="68"/>
      <c r="N102" s="136"/>
      <c r="S102" s="136"/>
      <c r="T102" s="136"/>
      <c r="U102" s="136"/>
      <c r="V102" s="136"/>
      <c r="W102" s="136"/>
      <c r="X102" s="68"/>
    </row>
    <row r="103" spans="2:54" s="217" customFormat="1" ht="23.45" customHeight="1" x14ac:dyDescent="0.2">
      <c r="B103" s="1125" t="s">
        <v>78</v>
      </c>
      <c r="C103" s="1125"/>
      <c r="D103" s="1125"/>
      <c r="E103" s="1125"/>
      <c r="F103" s="1125" t="s">
        <v>290</v>
      </c>
      <c r="G103" s="1125"/>
      <c r="H103" s="1125"/>
      <c r="I103" s="1125"/>
      <c r="J103" s="1125" t="s">
        <v>291</v>
      </c>
      <c r="K103" s="1125"/>
      <c r="L103" s="1125"/>
      <c r="M103" s="1125"/>
      <c r="N103" s="1125" t="s">
        <v>292</v>
      </c>
      <c r="O103" s="1125"/>
      <c r="P103" s="1125"/>
      <c r="Q103" s="1125"/>
      <c r="S103" s="250"/>
      <c r="T103" s="250" t="s">
        <v>4787</v>
      </c>
      <c r="U103" s="250"/>
      <c r="V103" s="250"/>
      <c r="W103" s="250"/>
      <c r="X103" s="250"/>
      <c r="Y103" s="250" t="s">
        <v>4792</v>
      </c>
      <c r="Z103" s="250" t="s">
        <v>4793</v>
      </c>
      <c r="AA103" s="250"/>
      <c r="AB103" s="250"/>
      <c r="AC103" s="250" t="s">
        <v>4787</v>
      </c>
      <c r="AD103" s="250"/>
      <c r="AE103" s="250"/>
      <c r="AF103" s="250"/>
      <c r="AG103" s="250"/>
      <c r="AH103" s="250" t="s">
        <v>4792</v>
      </c>
      <c r="AI103" s="250" t="s">
        <v>4793</v>
      </c>
      <c r="AJ103" s="250"/>
      <c r="AK103" s="250"/>
      <c r="AL103" s="250" t="s">
        <v>4787</v>
      </c>
      <c r="AM103" s="250"/>
      <c r="AN103" s="250"/>
      <c r="AO103" s="250"/>
      <c r="AP103" s="250"/>
      <c r="AQ103" s="250" t="s">
        <v>4792</v>
      </c>
      <c r="AR103" s="250" t="s">
        <v>4793</v>
      </c>
      <c r="AS103" s="250"/>
      <c r="AT103" s="250"/>
      <c r="AU103" s="250" t="s">
        <v>4787</v>
      </c>
      <c r="AV103" s="250"/>
      <c r="AW103" s="250"/>
      <c r="AX103" s="250"/>
      <c r="AY103" s="250"/>
      <c r="AZ103" s="250" t="s">
        <v>4792</v>
      </c>
      <c r="BA103" s="250" t="s">
        <v>4793</v>
      </c>
      <c r="BB103" s="250"/>
    </row>
    <row r="104" spans="2:54" s="217" customFormat="1" ht="30" customHeight="1" x14ac:dyDescent="0.2">
      <c r="B104" s="1402" t="s">
        <v>79</v>
      </c>
      <c r="C104" s="1402"/>
      <c r="D104" s="1402"/>
      <c r="E104" s="1402"/>
      <c r="F104" s="1403"/>
      <c r="G104" s="1403"/>
      <c r="H104" s="1403"/>
      <c r="I104" s="1403"/>
      <c r="J104" s="1403"/>
      <c r="K104" s="1403"/>
      <c r="L104" s="1403"/>
      <c r="M104" s="1403"/>
      <c r="N104" s="1403"/>
      <c r="O104" s="1403"/>
      <c r="P104" s="1403"/>
      <c r="Q104" s="1403"/>
      <c r="S104" s="554">
        <f>COUNTA(F104:Q113)</f>
        <v>0</v>
      </c>
      <c r="T104" s="528" t="str">
        <f>IFERROR(IF(F104="","b","c"),"")</f>
        <v>b</v>
      </c>
      <c r="U104" s="528">
        <f>COUNTIF($T$103:T104,$T$104)</f>
        <v>1</v>
      </c>
      <c r="V104" s="529" t="str">
        <f>IFERROR(IF(F104="","",MID(F104,8,LEN(F104)-2)),"")</f>
        <v/>
      </c>
      <c r="W104" s="528">
        <v>1</v>
      </c>
      <c r="X104" s="529" t="str">
        <f>IFERROR(VLOOKUP(W104,$U$104:$V$133,2,FALSE),"")</f>
        <v/>
      </c>
      <c r="Y104" s="530" t="str">
        <f>IFERROR(IF(VLOOKUP(X104,'Base de datos'!$T$4:$W$79,3,FALSE)="o","Organización Responsable de O&amp;M","Estructura de Protección"),"")</f>
        <v/>
      </c>
      <c r="Z104" s="531" t="str">
        <f>IFERROR(VLOOKUP(X104,$G$56:$P$88,10,FALSE),"")</f>
        <v/>
      </c>
      <c r="AA104" s="531">
        <f>COUNTIF($Z$104:$Z$133,Z104)</f>
        <v>30</v>
      </c>
      <c r="AB104" s="250"/>
      <c r="AC104" s="528" t="str">
        <f>IF(F114="","b","c")</f>
        <v>b</v>
      </c>
      <c r="AD104" s="528">
        <f>COUNTIF($AC$103:AC104,$AC$104)</f>
        <v>1</v>
      </c>
      <c r="AE104" s="529" t="str">
        <f>IF(F114="","",MID(F114,8,LEN(F114)-2))</f>
        <v/>
      </c>
      <c r="AF104" s="528">
        <v>1</v>
      </c>
      <c r="AG104" s="529" t="str">
        <f>IFERROR(VLOOKUP(AF104,$AD$104:$AE$133,2,FALSE),"")</f>
        <v/>
      </c>
      <c r="AH104" s="530" t="str">
        <f>IFERROR(IF(VLOOKUP(AG104,'Base de datos'!$T$4:$W$79,3,FALSE)="o","Organización Responsable de O&amp;M","Estructura de Protección"),"")</f>
        <v/>
      </c>
      <c r="AI104" s="531" t="str">
        <f>IFERROR(VLOOKUP(AG104,$G$56:$P$88,10,FALSE),"")</f>
        <v/>
      </c>
      <c r="AJ104" s="531">
        <f>COUNTIF($AI$104:$AI$134,AI104)</f>
        <v>31</v>
      </c>
      <c r="AK104" s="250"/>
      <c r="AL104" s="528" t="str">
        <f>IF(F124="","b","c")</f>
        <v>b</v>
      </c>
      <c r="AM104" s="528">
        <f>COUNTIF($AL$103:AL104,$AL$104)</f>
        <v>1</v>
      </c>
      <c r="AN104" s="529" t="str">
        <f>IF(F124="","",MID(F124,8,LEN(F124)-2))</f>
        <v/>
      </c>
      <c r="AO104" s="528">
        <v>1</v>
      </c>
      <c r="AP104" s="529" t="str">
        <f>IFERROR(VLOOKUP(AO104,$AM$104:$AN$133,2,FALSE),"")</f>
        <v/>
      </c>
      <c r="AQ104" s="530" t="str">
        <f>IFERROR(IF(VLOOKUP(AP104,'Base de datos'!$T$4:$W$79,3,FALSE)="o","Organización Responsable de O&amp;M","Estructura de Protección"),"")</f>
        <v/>
      </c>
      <c r="AR104" s="531" t="str">
        <f>IFERROR(VLOOKUP(AP104,$G$56:$P$88,10,FALSE),"")</f>
        <v/>
      </c>
      <c r="AS104" s="531">
        <f>COUNTIF($AR$104:$AR$134,AR104)</f>
        <v>31</v>
      </c>
      <c r="AT104" s="250"/>
      <c r="AU104" s="528" t="str">
        <f>IF(F134="","b","c")</f>
        <v>b</v>
      </c>
      <c r="AV104" s="528">
        <f>COUNTIF($AU$103:AU104,$AU$104)</f>
        <v>1</v>
      </c>
      <c r="AW104" s="529" t="str">
        <f>IF(F134="","",MID(F134,8,LEN(F134)-2))</f>
        <v/>
      </c>
      <c r="AX104" s="528">
        <v>1</v>
      </c>
      <c r="AY104" s="529" t="str">
        <f>IFERROR(VLOOKUP(AX104,$AV$104:$AW$133,2,FALSE),"")</f>
        <v/>
      </c>
      <c r="AZ104" s="530" t="str">
        <f>IFERROR(IF(VLOOKUP(AY104,'Base de datos'!$T$4:$W$79,3,FALSE)="o","Organización Responsable de O&amp;M","Estructura de Protección"),"")</f>
        <v/>
      </c>
      <c r="BA104" s="531" t="str">
        <f>IFERROR(VLOOKUP(AY104,$G$56:$P$88,10,FALSE),"")</f>
        <v/>
      </c>
      <c r="BB104" s="531">
        <f>COUNTIF($BA$104:$BA$134,BA104)</f>
        <v>31</v>
      </c>
    </row>
    <row r="105" spans="2:54" s="217" customFormat="1" ht="30" customHeight="1" x14ac:dyDescent="0.2">
      <c r="B105" s="1402"/>
      <c r="C105" s="1402"/>
      <c r="D105" s="1402"/>
      <c r="E105" s="1402"/>
      <c r="F105" s="1403"/>
      <c r="G105" s="1403"/>
      <c r="H105" s="1403"/>
      <c r="I105" s="1403"/>
      <c r="J105" s="1403"/>
      <c r="K105" s="1403"/>
      <c r="L105" s="1403"/>
      <c r="M105" s="1403"/>
      <c r="N105" s="1403"/>
      <c r="O105" s="1403"/>
      <c r="P105" s="1403"/>
      <c r="Q105" s="1403"/>
      <c r="R105" s="443"/>
      <c r="S105" s="136"/>
      <c r="T105" s="528" t="str">
        <f t="shared" ref="T105:T113" si="10">IFERROR(IF(F105="","b","c"),"")</f>
        <v>b</v>
      </c>
      <c r="U105" s="528">
        <f>COUNTIF($T$103:T105,$T$104)</f>
        <v>2</v>
      </c>
      <c r="V105" s="529" t="str">
        <f t="shared" ref="V105:V113" si="11">IFERROR(IF(F105="","",MID(F105,8,LEN(F105)-2)),"")</f>
        <v/>
      </c>
      <c r="W105" s="528">
        <v>2</v>
      </c>
      <c r="X105" s="529" t="str">
        <f t="shared" ref="X105:X133" si="12">IFERROR(VLOOKUP(W105,$U$104:$V$133,2,FALSE),"")</f>
        <v/>
      </c>
      <c r="Y105" s="530" t="str">
        <f>IFERROR(IF(VLOOKUP(X105,'Base de datos'!$T$4:$W$79,3,FALSE)="o","Organización Responsable de O&amp;M","Estructura de Protección"),"")</f>
        <v/>
      </c>
      <c r="Z105" s="531" t="str">
        <f t="shared" ref="Z105:Z133" si="13">IFERROR(VLOOKUP(X105,$G$56:$P$88,10,FALSE),"")</f>
        <v/>
      </c>
      <c r="AA105" s="531">
        <f t="shared" ref="AA105:AA133" si="14">COUNTIF($Z$104:$Z$133,Z105)</f>
        <v>30</v>
      </c>
      <c r="AB105" s="250"/>
      <c r="AC105" s="528" t="str">
        <f t="shared" ref="AC105:AC113" si="15">IF(F115="","b","c")</f>
        <v>b</v>
      </c>
      <c r="AD105" s="528">
        <f>COUNTIF($AC$103:AC105,$AC$104)</f>
        <v>2</v>
      </c>
      <c r="AE105" s="529" t="str">
        <f t="shared" ref="AE105:AE113" si="16">IF(F115="","",MID(F115,8,LEN(F115)-2))</f>
        <v/>
      </c>
      <c r="AF105" s="528">
        <v>2</v>
      </c>
      <c r="AG105" s="529" t="str">
        <f t="shared" ref="AG105:AG133" si="17">IFERROR(VLOOKUP(AF105,$AD$104:$AE$133,2,FALSE),"")</f>
        <v/>
      </c>
      <c r="AH105" s="530" t="str">
        <f>IFERROR(IF(VLOOKUP(AG105,'Base de datos'!$T$4:$W$79,3,FALSE)="o","Organización Responsable de O&amp;M","Estructura de Protección"),"")</f>
        <v/>
      </c>
      <c r="AI105" s="531" t="str">
        <f t="shared" ref="AI105:AI133" si="18">IFERROR(VLOOKUP(AG105,$G$56:$P$88,10,FALSE),"")</f>
        <v/>
      </c>
      <c r="AJ105" s="531">
        <f t="shared" ref="AJ105:AJ133" si="19">COUNTIF($AI$104:$AI$134,AI105)</f>
        <v>31</v>
      </c>
      <c r="AK105" s="250"/>
      <c r="AL105" s="528" t="str">
        <f t="shared" ref="AL105:AL113" si="20">IF(F125="","b","c")</f>
        <v>b</v>
      </c>
      <c r="AM105" s="528">
        <f>COUNTIF($AL$103:AL105,$AL$104)</f>
        <v>2</v>
      </c>
      <c r="AN105" s="529" t="str">
        <f t="shared" ref="AN105:AN113" si="21">IF(F125="","",MID(F125,8,LEN(F125)-2))</f>
        <v/>
      </c>
      <c r="AO105" s="528">
        <v>2</v>
      </c>
      <c r="AP105" s="529" t="str">
        <f t="shared" ref="AP105:AP133" si="22">IFERROR(VLOOKUP(AO105,$AM$104:$AN$133,2,FALSE),"")</f>
        <v/>
      </c>
      <c r="AQ105" s="530" t="str">
        <f>IFERROR(IF(VLOOKUP(AP105,'Base de datos'!$T$4:$W$79,3,FALSE)="o","Organización Responsable de O&amp;M","Estructura de Protección"),"")</f>
        <v/>
      </c>
      <c r="AR105" s="531" t="str">
        <f t="shared" ref="AR105:AR133" si="23">IFERROR(VLOOKUP(AP105,$G$56:$P$88,10,FALSE),"")</f>
        <v/>
      </c>
      <c r="AS105" s="531">
        <f t="shared" ref="AS105:AS133" si="24">COUNTIF($AR$104:$AR$134,AR105)</f>
        <v>31</v>
      </c>
      <c r="AT105" s="250"/>
      <c r="AU105" s="528" t="str">
        <f t="shared" ref="AU105:AU113" si="25">IF(F135="","b","c")</f>
        <v>b</v>
      </c>
      <c r="AV105" s="528">
        <f>COUNTIF($AU$103:AU105,$AU$104)</f>
        <v>2</v>
      </c>
      <c r="AW105" s="529" t="str">
        <f t="shared" ref="AW105:AW113" si="26">IF(F135="","",MID(F135,8,LEN(F135)-2))</f>
        <v/>
      </c>
      <c r="AX105" s="528">
        <v>2</v>
      </c>
      <c r="AY105" s="529" t="str">
        <f t="shared" ref="AY105:AY133" si="27">IFERROR(VLOOKUP(AX105,$AV$104:$AW$133,2,FALSE),"")</f>
        <v/>
      </c>
      <c r="AZ105" s="530" t="str">
        <f>IFERROR(IF(VLOOKUP(AY105,'Base de datos'!$T$4:$W$79,3,FALSE)="o","Organización Responsable de O&amp;M","Estructura de Protección"),"")</f>
        <v/>
      </c>
      <c r="BA105" s="531" t="str">
        <f t="shared" ref="BA105:BA133" si="28">IFERROR(VLOOKUP(AY105,$G$56:$P$88,10,FALSE),"")</f>
        <v/>
      </c>
      <c r="BB105" s="531">
        <f t="shared" ref="BB105:BB133" si="29">COUNTIF($BA$104:$BA$134,BA105)</f>
        <v>31</v>
      </c>
    </row>
    <row r="106" spans="2:54" s="217" customFormat="1" ht="30" customHeight="1" x14ac:dyDescent="0.2">
      <c r="B106" s="1402"/>
      <c r="C106" s="1402"/>
      <c r="D106" s="1402"/>
      <c r="E106" s="1402"/>
      <c r="F106" s="1403"/>
      <c r="G106" s="1403"/>
      <c r="H106" s="1403"/>
      <c r="I106" s="1403"/>
      <c r="J106" s="1405"/>
      <c r="K106" s="1406"/>
      <c r="L106" s="1406"/>
      <c r="M106" s="1407"/>
      <c r="N106" s="1405"/>
      <c r="O106" s="1406"/>
      <c r="P106" s="1406"/>
      <c r="Q106" s="1407"/>
      <c r="R106" s="443"/>
      <c r="S106" s="136"/>
      <c r="T106" s="528" t="str">
        <f t="shared" si="10"/>
        <v>b</v>
      </c>
      <c r="U106" s="528">
        <f>COUNTIF($T$103:T106,$T$104)</f>
        <v>3</v>
      </c>
      <c r="V106" s="529" t="str">
        <f t="shared" si="11"/>
        <v/>
      </c>
      <c r="W106" s="528">
        <v>3</v>
      </c>
      <c r="X106" s="529" t="str">
        <f t="shared" si="12"/>
        <v/>
      </c>
      <c r="Y106" s="530" t="str">
        <f>IFERROR(IF(VLOOKUP(X106,'Base de datos'!$T$4:$W$79,3,FALSE)="o","Organización Responsable de O&amp;M","Estructura de Protección"),"")</f>
        <v/>
      </c>
      <c r="Z106" s="531" t="str">
        <f t="shared" si="13"/>
        <v/>
      </c>
      <c r="AA106" s="531">
        <f t="shared" si="14"/>
        <v>30</v>
      </c>
      <c r="AB106" s="250"/>
      <c r="AC106" s="528" t="str">
        <f t="shared" si="15"/>
        <v>b</v>
      </c>
      <c r="AD106" s="528">
        <f>COUNTIF($AC$103:AC106,$AC$104)</f>
        <v>3</v>
      </c>
      <c r="AE106" s="529" t="str">
        <f t="shared" si="16"/>
        <v/>
      </c>
      <c r="AF106" s="528">
        <v>3</v>
      </c>
      <c r="AG106" s="529" t="str">
        <f t="shared" si="17"/>
        <v/>
      </c>
      <c r="AH106" s="530" t="str">
        <f>IFERROR(IF(VLOOKUP(AG106,'Base de datos'!$T$4:$W$79,3,FALSE)="o","Organización Responsable de O&amp;M","Estructura de Protección"),"")</f>
        <v/>
      </c>
      <c r="AI106" s="531" t="str">
        <f t="shared" si="18"/>
        <v/>
      </c>
      <c r="AJ106" s="531">
        <f t="shared" si="19"/>
        <v>31</v>
      </c>
      <c r="AK106" s="250"/>
      <c r="AL106" s="528" t="str">
        <f t="shared" si="20"/>
        <v>b</v>
      </c>
      <c r="AM106" s="528">
        <f>COUNTIF($AL$103:AL106,$AL$104)</f>
        <v>3</v>
      </c>
      <c r="AN106" s="529" t="str">
        <f t="shared" si="21"/>
        <v/>
      </c>
      <c r="AO106" s="528">
        <v>3</v>
      </c>
      <c r="AP106" s="529" t="str">
        <f t="shared" si="22"/>
        <v/>
      </c>
      <c r="AQ106" s="530" t="str">
        <f>IFERROR(IF(VLOOKUP(AP106,'Base de datos'!$T$4:$W$79,3,FALSE)="o","Organización Responsable de O&amp;M","Estructura de Protección"),"")</f>
        <v/>
      </c>
      <c r="AR106" s="531" t="str">
        <f t="shared" si="23"/>
        <v/>
      </c>
      <c r="AS106" s="531">
        <f t="shared" si="24"/>
        <v>31</v>
      </c>
      <c r="AT106" s="250"/>
      <c r="AU106" s="528" t="str">
        <f t="shared" si="25"/>
        <v>b</v>
      </c>
      <c r="AV106" s="528">
        <f>COUNTIF($AU$103:AU106,$AU$104)</f>
        <v>3</v>
      </c>
      <c r="AW106" s="529" t="str">
        <f t="shared" si="26"/>
        <v/>
      </c>
      <c r="AX106" s="528">
        <v>3</v>
      </c>
      <c r="AY106" s="529" t="str">
        <f t="shared" si="27"/>
        <v/>
      </c>
      <c r="AZ106" s="530" t="str">
        <f>IFERROR(IF(VLOOKUP(AY106,'Base de datos'!$T$4:$W$79,3,FALSE)="o","Organización Responsable de O&amp;M","Estructura de Protección"),"")</f>
        <v/>
      </c>
      <c r="BA106" s="531" t="str">
        <f t="shared" si="28"/>
        <v/>
      </c>
      <c r="BB106" s="531">
        <f t="shared" si="29"/>
        <v>31</v>
      </c>
    </row>
    <row r="107" spans="2:54" s="217" customFormat="1" ht="30" customHeight="1" x14ac:dyDescent="0.2">
      <c r="B107" s="1402"/>
      <c r="C107" s="1402"/>
      <c r="D107" s="1402"/>
      <c r="E107" s="1402"/>
      <c r="F107" s="1403"/>
      <c r="G107" s="1403"/>
      <c r="H107" s="1403"/>
      <c r="I107" s="1403"/>
      <c r="J107" s="1405"/>
      <c r="K107" s="1406"/>
      <c r="L107" s="1406"/>
      <c r="M107" s="1407"/>
      <c r="N107" s="1405"/>
      <c r="O107" s="1406"/>
      <c r="P107" s="1406"/>
      <c r="Q107" s="1407"/>
      <c r="R107" s="443"/>
      <c r="S107" s="136"/>
      <c r="T107" s="528" t="str">
        <f t="shared" si="10"/>
        <v>b</v>
      </c>
      <c r="U107" s="528">
        <f>COUNTIF($T$103:T107,$T$104)</f>
        <v>4</v>
      </c>
      <c r="V107" s="529" t="str">
        <f t="shared" si="11"/>
        <v/>
      </c>
      <c r="W107" s="528">
        <v>4</v>
      </c>
      <c r="X107" s="529" t="str">
        <f t="shared" si="12"/>
        <v/>
      </c>
      <c r="Y107" s="530" t="str">
        <f>IFERROR(IF(VLOOKUP(X107,'Base de datos'!$T$4:$W$79,3,FALSE)="o","Organización Responsable de O&amp;M","Estructura de Protección"),"")</f>
        <v/>
      </c>
      <c r="Z107" s="531" t="str">
        <f t="shared" si="13"/>
        <v/>
      </c>
      <c r="AA107" s="531">
        <f t="shared" si="14"/>
        <v>30</v>
      </c>
      <c r="AB107" s="250"/>
      <c r="AC107" s="528" t="str">
        <f t="shared" si="15"/>
        <v>b</v>
      </c>
      <c r="AD107" s="528">
        <f>COUNTIF($AC$103:AC107,$AC$104)</f>
        <v>4</v>
      </c>
      <c r="AE107" s="529" t="str">
        <f t="shared" si="16"/>
        <v/>
      </c>
      <c r="AF107" s="528">
        <v>4</v>
      </c>
      <c r="AG107" s="529" t="str">
        <f t="shared" si="17"/>
        <v/>
      </c>
      <c r="AH107" s="530" t="str">
        <f>IFERROR(IF(VLOOKUP(AG107,'Base de datos'!$T$4:$W$79,3,FALSE)="o","Organización Responsable de O&amp;M","Estructura de Protección"),"")</f>
        <v/>
      </c>
      <c r="AI107" s="531" t="str">
        <f t="shared" si="18"/>
        <v/>
      </c>
      <c r="AJ107" s="531">
        <f t="shared" si="19"/>
        <v>31</v>
      </c>
      <c r="AK107" s="250"/>
      <c r="AL107" s="528" t="str">
        <f t="shared" si="20"/>
        <v>b</v>
      </c>
      <c r="AM107" s="528">
        <f>COUNTIF($AL$103:AL107,$AL$104)</f>
        <v>4</v>
      </c>
      <c r="AN107" s="529" t="str">
        <f t="shared" si="21"/>
        <v/>
      </c>
      <c r="AO107" s="528">
        <v>4</v>
      </c>
      <c r="AP107" s="529" t="str">
        <f t="shared" si="22"/>
        <v/>
      </c>
      <c r="AQ107" s="530" t="str">
        <f>IFERROR(IF(VLOOKUP(AP107,'Base de datos'!$T$4:$W$79,3,FALSE)="o","Organización Responsable de O&amp;M","Estructura de Protección"),"")</f>
        <v/>
      </c>
      <c r="AR107" s="531" t="str">
        <f t="shared" si="23"/>
        <v/>
      </c>
      <c r="AS107" s="531">
        <f t="shared" si="24"/>
        <v>31</v>
      </c>
      <c r="AT107" s="250"/>
      <c r="AU107" s="528" t="str">
        <f t="shared" si="25"/>
        <v>b</v>
      </c>
      <c r="AV107" s="528">
        <f>COUNTIF($AU$103:AU107,$AU$104)</f>
        <v>4</v>
      </c>
      <c r="AW107" s="529" t="str">
        <f t="shared" si="26"/>
        <v/>
      </c>
      <c r="AX107" s="528">
        <v>4</v>
      </c>
      <c r="AY107" s="529" t="str">
        <f t="shared" si="27"/>
        <v/>
      </c>
      <c r="AZ107" s="530" t="str">
        <f>IFERROR(IF(VLOOKUP(AY107,'Base de datos'!$T$4:$W$79,3,FALSE)="o","Organización Responsable de O&amp;M","Estructura de Protección"),"")</f>
        <v/>
      </c>
      <c r="BA107" s="531" t="str">
        <f t="shared" si="28"/>
        <v/>
      </c>
      <c r="BB107" s="531">
        <f t="shared" si="29"/>
        <v>31</v>
      </c>
    </row>
    <row r="108" spans="2:54" s="217" customFormat="1" ht="30" customHeight="1" x14ac:dyDescent="0.2">
      <c r="B108" s="1402"/>
      <c r="C108" s="1402"/>
      <c r="D108" s="1402"/>
      <c r="E108" s="1402"/>
      <c r="F108" s="1403"/>
      <c r="G108" s="1403"/>
      <c r="H108" s="1403"/>
      <c r="I108" s="1403"/>
      <c r="J108" s="1405"/>
      <c r="K108" s="1406"/>
      <c r="L108" s="1406"/>
      <c r="M108" s="1407"/>
      <c r="N108" s="1405"/>
      <c r="O108" s="1406"/>
      <c r="P108" s="1406"/>
      <c r="Q108" s="1407"/>
      <c r="R108" s="443"/>
      <c r="S108" s="136"/>
      <c r="T108" s="528" t="str">
        <f t="shared" si="10"/>
        <v>b</v>
      </c>
      <c r="U108" s="528">
        <f>COUNTIF($T$103:T108,$T$104)</f>
        <v>5</v>
      </c>
      <c r="V108" s="529" t="str">
        <f t="shared" si="11"/>
        <v/>
      </c>
      <c r="W108" s="528">
        <v>5</v>
      </c>
      <c r="X108" s="529" t="str">
        <f t="shared" si="12"/>
        <v/>
      </c>
      <c r="Y108" s="530" t="str">
        <f>IFERROR(IF(VLOOKUP(X108,'Base de datos'!$T$4:$W$79,3,FALSE)="o","Organización Responsable de O&amp;M","Estructura de Protección"),"")</f>
        <v/>
      </c>
      <c r="Z108" s="531" t="str">
        <f t="shared" si="13"/>
        <v/>
      </c>
      <c r="AA108" s="531">
        <f t="shared" si="14"/>
        <v>30</v>
      </c>
      <c r="AB108" s="250"/>
      <c r="AC108" s="528" t="str">
        <f t="shared" si="15"/>
        <v>b</v>
      </c>
      <c r="AD108" s="528">
        <f>COUNTIF($AC$103:AC108,$AC$104)</f>
        <v>5</v>
      </c>
      <c r="AE108" s="529" t="str">
        <f t="shared" si="16"/>
        <v/>
      </c>
      <c r="AF108" s="528">
        <v>5</v>
      </c>
      <c r="AG108" s="529" t="str">
        <f t="shared" si="17"/>
        <v/>
      </c>
      <c r="AH108" s="530" t="str">
        <f>IFERROR(IF(VLOOKUP(AG108,'Base de datos'!$T$4:$W$79,3,FALSE)="o","Organización Responsable de O&amp;M","Estructura de Protección"),"")</f>
        <v/>
      </c>
      <c r="AI108" s="531" t="str">
        <f t="shared" si="18"/>
        <v/>
      </c>
      <c r="AJ108" s="531">
        <f t="shared" si="19"/>
        <v>31</v>
      </c>
      <c r="AK108" s="250"/>
      <c r="AL108" s="528" t="str">
        <f t="shared" si="20"/>
        <v>b</v>
      </c>
      <c r="AM108" s="528">
        <f>COUNTIF($AL$103:AL108,$AL$104)</f>
        <v>5</v>
      </c>
      <c r="AN108" s="529" t="str">
        <f t="shared" si="21"/>
        <v/>
      </c>
      <c r="AO108" s="528">
        <v>5</v>
      </c>
      <c r="AP108" s="529" t="str">
        <f t="shared" si="22"/>
        <v/>
      </c>
      <c r="AQ108" s="530" t="str">
        <f>IFERROR(IF(VLOOKUP(AP108,'Base de datos'!$T$4:$W$79,3,FALSE)="o","Organización Responsable de O&amp;M","Estructura de Protección"),"")</f>
        <v/>
      </c>
      <c r="AR108" s="531" t="str">
        <f t="shared" si="23"/>
        <v/>
      </c>
      <c r="AS108" s="531">
        <f t="shared" si="24"/>
        <v>31</v>
      </c>
      <c r="AT108" s="250"/>
      <c r="AU108" s="528" t="str">
        <f t="shared" si="25"/>
        <v>b</v>
      </c>
      <c r="AV108" s="528">
        <f>COUNTIF($AU$103:AU108,$AU$104)</f>
        <v>5</v>
      </c>
      <c r="AW108" s="529" t="str">
        <f t="shared" si="26"/>
        <v/>
      </c>
      <c r="AX108" s="528">
        <v>5</v>
      </c>
      <c r="AY108" s="529" t="str">
        <f t="shared" si="27"/>
        <v/>
      </c>
      <c r="AZ108" s="530" t="str">
        <f>IFERROR(IF(VLOOKUP(AY108,'Base de datos'!$T$4:$W$79,3,FALSE)="o","Organización Responsable de O&amp;M","Estructura de Protección"),"")</f>
        <v/>
      </c>
      <c r="BA108" s="531" t="str">
        <f t="shared" si="28"/>
        <v/>
      </c>
      <c r="BB108" s="531">
        <f t="shared" si="29"/>
        <v>31</v>
      </c>
    </row>
    <row r="109" spans="2:54" s="217" customFormat="1" ht="30" customHeight="1" x14ac:dyDescent="0.2">
      <c r="B109" s="1402"/>
      <c r="C109" s="1402"/>
      <c r="D109" s="1402"/>
      <c r="E109" s="1402"/>
      <c r="F109" s="1403"/>
      <c r="G109" s="1403"/>
      <c r="H109" s="1403"/>
      <c r="I109" s="1403"/>
      <c r="J109" s="1405"/>
      <c r="K109" s="1406"/>
      <c r="L109" s="1406"/>
      <c r="M109" s="1407"/>
      <c r="N109" s="1405"/>
      <c r="O109" s="1406"/>
      <c r="P109" s="1406"/>
      <c r="Q109" s="1407"/>
      <c r="R109" s="443"/>
      <c r="S109" s="136"/>
      <c r="T109" s="528" t="str">
        <f t="shared" si="10"/>
        <v>b</v>
      </c>
      <c r="U109" s="528">
        <f>COUNTIF($T$103:T109,$T$104)</f>
        <v>6</v>
      </c>
      <c r="V109" s="529" t="str">
        <f t="shared" si="11"/>
        <v/>
      </c>
      <c r="W109" s="528">
        <v>6</v>
      </c>
      <c r="X109" s="529" t="str">
        <f t="shared" si="12"/>
        <v/>
      </c>
      <c r="Y109" s="530" t="str">
        <f>IFERROR(IF(VLOOKUP(X109,'Base de datos'!$T$4:$W$79,3,FALSE)="o","Organización Responsable de O&amp;M","Estructura de Protección"),"")</f>
        <v/>
      </c>
      <c r="Z109" s="531" t="str">
        <f t="shared" si="13"/>
        <v/>
      </c>
      <c r="AA109" s="531">
        <f t="shared" si="14"/>
        <v>30</v>
      </c>
      <c r="AB109" s="250"/>
      <c r="AC109" s="528" t="str">
        <f t="shared" si="15"/>
        <v>b</v>
      </c>
      <c r="AD109" s="528">
        <f>COUNTIF($AC$103:AC109,$AC$104)</f>
        <v>6</v>
      </c>
      <c r="AE109" s="529" t="str">
        <f t="shared" si="16"/>
        <v/>
      </c>
      <c r="AF109" s="528">
        <v>6</v>
      </c>
      <c r="AG109" s="529" t="str">
        <f t="shared" si="17"/>
        <v/>
      </c>
      <c r="AH109" s="530" t="str">
        <f>IFERROR(IF(VLOOKUP(AG109,'Base de datos'!$T$4:$W$79,3,FALSE)="o","Organización Responsable de O&amp;M","Estructura de Protección"),"")</f>
        <v/>
      </c>
      <c r="AI109" s="531" t="str">
        <f t="shared" si="18"/>
        <v/>
      </c>
      <c r="AJ109" s="531">
        <f t="shared" si="19"/>
        <v>31</v>
      </c>
      <c r="AK109" s="250"/>
      <c r="AL109" s="528" t="str">
        <f t="shared" si="20"/>
        <v>b</v>
      </c>
      <c r="AM109" s="528">
        <f>COUNTIF($AL$103:AL109,$AL$104)</f>
        <v>6</v>
      </c>
      <c r="AN109" s="529" t="str">
        <f t="shared" si="21"/>
        <v/>
      </c>
      <c r="AO109" s="528">
        <v>6</v>
      </c>
      <c r="AP109" s="529" t="str">
        <f t="shared" si="22"/>
        <v/>
      </c>
      <c r="AQ109" s="530" t="str">
        <f>IFERROR(IF(VLOOKUP(AP109,'Base de datos'!$T$4:$W$79,3,FALSE)="o","Organización Responsable de O&amp;M","Estructura de Protección"),"")</f>
        <v/>
      </c>
      <c r="AR109" s="531" t="str">
        <f t="shared" si="23"/>
        <v/>
      </c>
      <c r="AS109" s="531">
        <f t="shared" si="24"/>
        <v>31</v>
      </c>
      <c r="AT109" s="250"/>
      <c r="AU109" s="528" t="str">
        <f t="shared" si="25"/>
        <v>b</v>
      </c>
      <c r="AV109" s="528">
        <f>COUNTIF($AU$103:AU109,$AU$104)</f>
        <v>6</v>
      </c>
      <c r="AW109" s="529" t="str">
        <f t="shared" si="26"/>
        <v/>
      </c>
      <c r="AX109" s="528">
        <v>6</v>
      </c>
      <c r="AY109" s="529" t="str">
        <f t="shared" si="27"/>
        <v/>
      </c>
      <c r="AZ109" s="530" t="str">
        <f>IFERROR(IF(VLOOKUP(AY109,'Base de datos'!$T$4:$W$79,3,FALSE)="o","Organización Responsable de O&amp;M","Estructura de Protección"),"")</f>
        <v/>
      </c>
      <c r="BA109" s="531" t="str">
        <f t="shared" si="28"/>
        <v/>
      </c>
      <c r="BB109" s="531">
        <f t="shared" si="29"/>
        <v>31</v>
      </c>
    </row>
    <row r="110" spans="2:54" s="217" customFormat="1" ht="30" customHeight="1" x14ac:dyDescent="0.2">
      <c r="B110" s="1402"/>
      <c r="C110" s="1402"/>
      <c r="D110" s="1402"/>
      <c r="E110" s="1402"/>
      <c r="F110" s="1403"/>
      <c r="G110" s="1403"/>
      <c r="H110" s="1403"/>
      <c r="I110" s="1403"/>
      <c r="J110" s="1405"/>
      <c r="K110" s="1406"/>
      <c r="L110" s="1406"/>
      <c r="M110" s="1407"/>
      <c r="N110" s="1405"/>
      <c r="O110" s="1406"/>
      <c r="P110" s="1406"/>
      <c r="Q110" s="1407"/>
      <c r="R110" s="443"/>
      <c r="S110" s="136"/>
      <c r="T110" s="528" t="str">
        <f t="shared" si="10"/>
        <v>b</v>
      </c>
      <c r="U110" s="528">
        <f>COUNTIF($T$103:T110,$T$104)</f>
        <v>7</v>
      </c>
      <c r="V110" s="529" t="str">
        <f t="shared" si="11"/>
        <v/>
      </c>
      <c r="W110" s="528">
        <v>7</v>
      </c>
      <c r="X110" s="529" t="str">
        <f t="shared" si="12"/>
        <v/>
      </c>
      <c r="Y110" s="530" t="str">
        <f>IFERROR(IF(VLOOKUP(X110,'Base de datos'!$T$4:$W$79,3,FALSE)="o","Organización Responsable de O&amp;M","Estructura de Protección"),"")</f>
        <v/>
      </c>
      <c r="Z110" s="531" t="str">
        <f t="shared" si="13"/>
        <v/>
      </c>
      <c r="AA110" s="531">
        <f t="shared" si="14"/>
        <v>30</v>
      </c>
      <c r="AB110" s="250"/>
      <c r="AC110" s="528" t="str">
        <f t="shared" si="15"/>
        <v>b</v>
      </c>
      <c r="AD110" s="528">
        <f>COUNTIF($AC$103:AC110,$AC$104)</f>
        <v>7</v>
      </c>
      <c r="AE110" s="529" t="str">
        <f t="shared" si="16"/>
        <v/>
      </c>
      <c r="AF110" s="528">
        <v>7</v>
      </c>
      <c r="AG110" s="529" t="str">
        <f t="shared" si="17"/>
        <v/>
      </c>
      <c r="AH110" s="530" t="str">
        <f>IFERROR(IF(VLOOKUP(AG110,'Base de datos'!$T$4:$W$79,3,FALSE)="o","Organización Responsable de O&amp;M","Estructura de Protección"),"")</f>
        <v/>
      </c>
      <c r="AI110" s="531" t="str">
        <f t="shared" si="18"/>
        <v/>
      </c>
      <c r="AJ110" s="531">
        <f t="shared" si="19"/>
        <v>31</v>
      </c>
      <c r="AK110" s="250"/>
      <c r="AL110" s="528" t="str">
        <f t="shared" si="20"/>
        <v>b</v>
      </c>
      <c r="AM110" s="528">
        <f>COUNTIF($AL$103:AL110,$AL$104)</f>
        <v>7</v>
      </c>
      <c r="AN110" s="529" t="str">
        <f t="shared" si="21"/>
        <v/>
      </c>
      <c r="AO110" s="528">
        <v>7</v>
      </c>
      <c r="AP110" s="529" t="str">
        <f t="shared" si="22"/>
        <v/>
      </c>
      <c r="AQ110" s="530" t="str">
        <f>IFERROR(IF(VLOOKUP(AP110,'Base de datos'!$T$4:$W$79,3,FALSE)="o","Organización Responsable de O&amp;M","Estructura de Protección"),"")</f>
        <v/>
      </c>
      <c r="AR110" s="531" t="str">
        <f t="shared" si="23"/>
        <v/>
      </c>
      <c r="AS110" s="531">
        <f t="shared" si="24"/>
        <v>31</v>
      </c>
      <c r="AT110" s="250"/>
      <c r="AU110" s="528" t="str">
        <f t="shared" si="25"/>
        <v>b</v>
      </c>
      <c r="AV110" s="528">
        <f>COUNTIF($AU$103:AU110,$AU$104)</f>
        <v>7</v>
      </c>
      <c r="AW110" s="529" t="str">
        <f t="shared" si="26"/>
        <v/>
      </c>
      <c r="AX110" s="528">
        <v>7</v>
      </c>
      <c r="AY110" s="529" t="str">
        <f t="shared" si="27"/>
        <v/>
      </c>
      <c r="AZ110" s="530" t="str">
        <f>IFERROR(IF(VLOOKUP(AY110,'Base de datos'!$T$4:$W$79,3,FALSE)="o","Organización Responsable de O&amp;M","Estructura de Protección"),"")</f>
        <v/>
      </c>
      <c r="BA110" s="531" t="str">
        <f t="shared" si="28"/>
        <v/>
      </c>
      <c r="BB110" s="531">
        <f t="shared" si="29"/>
        <v>31</v>
      </c>
    </row>
    <row r="111" spans="2:54" s="217" customFormat="1" ht="30" customHeight="1" x14ac:dyDescent="0.2">
      <c r="B111" s="1402"/>
      <c r="C111" s="1402"/>
      <c r="D111" s="1402"/>
      <c r="E111" s="1402"/>
      <c r="F111" s="1403"/>
      <c r="G111" s="1403"/>
      <c r="H111" s="1403"/>
      <c r="I111" s="1403"/>
      <c r="J111" s="1405"/>
      <c r="K111" s="1406"/>
      <c r="L111" s="1406"/>
      <c r="M111" s="1407"/>
      <c r="N111" s="1405"/>
      <c r="O111" s="1406"/>
      <c r="P111" s="1406"/>
      <c r="Q111" s="1407"/>
      <c r="R111" s="443"/>
      <c r="S111" s="136"/>
      <c r="T111" s="528" t="str">
        <f t="shared" si="10"/>
        <v>b</v>
      </c>
      <c r="U111" s="528">
        <f>COUNTIF($T$103:T111,$T$104)</f>
        <v>8</v>
      </c>
      <c r="V111" s="529" t="str">
        <f t="shared" si="11"/>
        <v/>
      </c>
      <c r="W111" s="528">
        <v>8</v>
      </c>
      <c r="X111" s="529" t="str">
        <f t="shared" si="12"/>
        <v/>
      </c>
      <c r="Y111" s="530" t="str">
        <f>IFERROR(IF(VLOOKUP(X111,'Base de datos'!$T$4:$W$79,3,FALSE)="o","Organización Responsable de O&amp;M","Estructura de Protección"),"")</f>
        <v/>
      </c>
      <c r="Z111" s="531" t="str">
        <f t="shared" si="13"/>
        <v/>
      </c>
      <c r="AA111" s="531">
        <f t="shared" si="14"/>
        <v>30</v>
      </c>
      <c r="AB111" s="250"/>
      <c r="AC111" s="528" t="str">
        <f t="shared" si="15"/>
        <v>b</v>
      </c>
      <c r="AD111" s="528">
        <f>COUNTIF($AC$103:AC111,$AC$104)</f>
        <v>8</v>
      </c>
      <c r="AE111" s="529" t="str">
        <f t="shared" si="16"/>
        <v/>
      </c>
      <c r="AF111" s="528">
        <v>8</v>
      </c>
      <c r="AG111" s="529" t="str">
        <f t="shared" si="17"/>
        <v/>
      </c>
      <c r="AH111" s="530" t="str">
        <f>IFERROR(IF(VLOOKUP(AG111,'Base de datos'!$T$4:$W$79,3,FALSE)="o","Organización Responsable de O&amp;M","Estructura de Protección"),"")</f>
        <v/>
      </c>
      <c r="AI111" s="531" t="str">
        <f t="shared" si="18"/>
        <v/>
      </c>
      <c r="AJ111" s="531">
        <f t="shared" si="19"/>
        <v>31</v>
      </c>
      <c r="AK111" s="250"/>
      <c r="AL111" s="528" t="str">
        <f t="shared" si="20"/>
        <v>b</v>
      </c>
      <c r="AM111" s="528">
        <f>COUNTIF($AL$103:AL111,$AL$104)</f>
        <v>8</v>
      </c>
      <c r="AN111" s="529" t="str">
        <f t="shared" si="21"/>
        <v/>
      </c>
      <c r="AO111" s="528">
        <v>8</v>
      </c>
      <c r="AP111" s="529" t="str">
        <f t="shared" si="22"/>
        <v/>
      </c>
      <c r="AQ111" s="530" t="str">
        <f>IFERROR(IF(VLOOKUP(AP111,'Base de datos'!$T$4:$W$79,3,FALSE)="o","Organización Responsable de O&amp;M","Estructura de Protección"),"")</f>
        <v/>
      </c>
      <c r="AR111" s="531" t="str">
        <f t="shared" si="23"/>
        <v/>
      </c>
      <c r="AS111" s="531">
        <f t="shared" si="24"/>
        <v>31</v>
      </c>
      <c r="AT111" s="250"/>
      <c r="AU111" s="528" t="str">
        <f t="shared" si="25"/>
        <v>b</v>
      </c>
      <c r="AV111" s="528">
        <f>COUNTIF($AU$103:AU111,$AU$104)</f>
        <v>8</v>
      </c>
      <c r="AW111" s="529" t="str">
        <f t="shared" si="26"/>
        <v/>
      </c>
      <c r="AX111" s="528">
        <v>8</v>
      </c>
      <c r="AY111" s="529" t="str">
        <f t="shared" si="27"/>
        <v/>
      </c>
      <c r="AZ111" s="530" t="str">
        <f>IFERROR(IF(VLOOKUP(AY111,'Base de datos'!$T$4:$W$79,3,FALSE)="o","Organización Responsable de O&amp;M","Estructura de Protección"),"")</f>
        <v/>
      </c>
      <c r="BA111" s="531" t="str">
        <f t="shared" si="28"/>
        <v/>
      </c>
      <c r="BB111" s="531">
        <f t="shared" si="29"/>
        <v>31</v>
      </c>
    </row>
    <row r="112" spans="2:54" s="217" customFormat="1" ht="30" customHeight="1" x14ac:dyDescent="0.2">
      <c r="B112" s="1402"/>
      <c r="C112" s="1402"/>
      <c r="D112" s="1402"/>
      <c r="E112" s="1402"/>
      <c r="F112" s="1403"/>
      <c r="G112" s="1403"/>
      <c r="H112" s="1403"/>
      <c r="I112" s="1403"/>
      <c r="J112" s="1405"/>
      <c r="K112" s="1406"/>
      <c r="L112" s="1406"/>
      <c r="M112" s="1407"/>
      <c r="N112" s="1405"/>
      <c r="O112" s="1406"/>
      <c r="P112" s="1406"/>
      <c r="Q112" s="1407"/>
      <c r="R112" s="443"/>
      <c r="S112" s="136"/>
      <c r="T112" s="528" t="str">
        <f t="shared" si="10"/>
        <v>b</v>
      </c>
      <c r="U112" s="528">
        <f>COUNTIF($T$103:T112,$T$104)</f>
        <v>9</v>
      </c>
      <c r="V112" s="529" t="str">
        <f t="shared" si="11"/>
        <v/>
      </c>
      <c r="W112" s="528">
        <v>9</v>
      </c>
      <c r="X112" s="529" t="str">
        <f t="shared" si="12"/>
        <v/>
      </c>
      <c r="Y112" s="530" t="str">
        <f>IFERROR(IF(VLOOKUP(X112,'Base de datos'!$T$4:$W$79,3,FALSE)="o","Organización Responsable de O&amp;M","Estructura de Protección"),"")</f>
        <v/>
      </c>
      <c r="Z112" s="531" t="str">
        <f t="shared" si="13"/>
        <v/>
      </c>
      <c r="AA112" s="531">
        <f t="shared" si="14"/>
        <v>30</v>
      </c>
      <c r="AB112" s="250"/>
      <c r="AC112" s="528" t="str">
        <f t="shared" si="15"/>
        <v>b</v>
      </c>
      <c r="AD112" s="528">
        <f>COUNTIF($AC$103:AC112,$AC$104)</f>
        <v>9</v>
      </c>
      <c r="AE112" s="529" t="str">
        <f t="shared" si="16"/>
        <v/>
      </c>
      <c r="AF112" s="528">
        <v>9</v>
      </c>
      <c r="AG112" s="529" t="str">
        <f t="shared" si="17"/>
        <v/>
      </c>
      <c r="AH112" s="530" t="str">
        <f>IFERROR(IF(VLOOKUP(AG112,'Base de datos'!$T$4:$W$79,3,FALSE)="o","Organización Responsable de O&amp;M","Estructura de Protección"),"")</f>
        <v/>
      </c>
      <c r="AI112" s="531" t="str">
        <f t="shared" si="18"/>
        <v/>
      </c>
      <c r="AJ112" s="531">
        <f t="shared" si="19"/>
        <v>31</v>
      </c>
      <c r="AK112" s="250"/>
      <c r="AL112" s="528" t="str">
        <f t="shared" si="20"/>
        <v>b</v>
      </c>
      <c r="AM112" s="528">
        <f>COUNTIF($AL$103:AL112,$AL$104)</f>
        <v>9</v>
      </c>
      <c r="AN112" s="529" t="str">
        <f t="shared" si="21"/>
        <v/>
      </c>
      <c r="AO112" s="528">
        <v>9</v>
      </c>
      <c r="AP112" s="529" t="str">
        <f t="shared" si="22"/>
        <v/>
      </c>
      <c r="AQ112" s="530" t="str">
        <f>IFERROR(IF(VLOOKUP(AP112,'Base de datos'!$T$4:$W$79,3,FALSE)="o","Organización Responsable de O&amp;M","Estructura de Protección"),"")</f>
        <v/>
      </c>
      <c r="AR112" s="531" t="str">
        <f t="shared" si="23"/>
        <v/>
      </c>
      <c r="AS112" s="531">
        <f t="shared" si="24"/>
        <v>31</v>
      </c>
      <c r="AT112" s="250"/>
      <c r="AU112" s="528" t="str">
        <f t="shared" si="25"/>
        <v>b</v>
      </c>
      <c r="AV112" s="528">
        <f>COUNTIF($AU$103:AU112,$AU$104)</f>
        <v>9</v>
      </c>
      <c r="AW112" s="529" t="str">
        <f t="shared" si="26"/>
        <v/>
      </c>
      <c r="AX112" s="528">
        <v>9</v>
      </c>
      <c r="AY112" s="529" t="str">
        <f t="shared" si="27"/>
        <v/>
      </c>
      <c r="AZ112" s="530" t="str">
        <f>IFERROR(IF(VLOOKUP(AY112,'Base de datos'!$T$4:$W$79,3,FALSE)="o","Organización Responsable de O&amp;M","Estructura de Protección"),"")</f>
        <v/>
      </c>
      <c r="BA112" s="531" t="str">
        <f t="shared" si="28"/>
        <v/>
      </c>
      <c r="BB112" s="531">
        <f t="shared" si="29"/>
        <v>31</v>
      </c>
    </row>
    <row r="113" spans="2:54" s="217" customFormat="1" ht="30" customHeight="1" x14ac:dyDescent="0.2">
      <c r="B113" s="1402"/>
      <c r="C113" s="1402"/>
      <c r="D113" s="1402"/>
      <c r="E113" s="1402"/>
      <c r="F113" s="1403"/>
      <c r="G113" s="1403"/>
      <c r="H113" s="1403"/>
      <c r="I113" s="1403"/>
      <c r="J113" s="1405"/>
      <c r="K113" s="1406"/>
      <c r="L113" s="1406"/>
      <c r="M113" s="1407"/>
      <c r="N113" s="1405"/>
      <c r="O113" s="1406"/>
      <c r="P113" s="1406"/>
      <c r="Q113" s="1407"/>
      <c r="R113" s="443"/>
      <c r="S113" s="136"/>
      <c r="T113" s="528" t="str">
        <f t="shared" si="10"/>
        <v>b</v>
      </c>
      <c r="U113" s="528">
        <f>COUNTIF($T$103:T113,$T$104)</f>
        <v>10</v>
      </c>
      <c r="V113" s="529" t="str">
        <f t="shared" si="11"/>
        <v/>
      </c>
      <c r="W113" s="528">
        <v>10</v>
      </c>
      <c r="X113" s="529" t="str">
        <f t="shared" si="12"/>
        <v/>
      </c>
      <c r="Y113" s="530" t="str">
        <f>IFERROR(IF(VLOOKUP(X113,'Base de datos'!$T$4:$W$79,3,FALSE)="o","Organización Responsable de O&amp;M","Estructura de Protección"),"")</f>
        <v/>
      </c>
      <c r="Z113" s="531" t="str">
        <f t="shared" si="13"/>
        <v/>
      </c>
      <c r="AA113" s="531">
        <f t="shared" si="14"/>
        <v>30</v>
      </c>
      <c r="AB113" s="250"/>
      <c r="AC113" s="528" t="str">
        <f t="shared" si="15"/>
        <v>b</v>
      </c>
      <c r="AD113" s="528">
        <f>COUNTIF($AC$103:AC113,$AC$104)</f>
        <v>10</v>
      </c>
      <c r="AE113" s="529" t="str">
        <f t="shared" si="16"/>
        <v/>
      </c>
      <c r="AF113" s="528">
        <v>10</v>
      </c>
      <c r="AG113" s="529" t="str">
        <f t="shared" si="17"/>
        <v/>
      </c>
      <c r="AH113" s="530" t="str">
        <f>IFERROR(IF(VLOOKUP(AG113,'Base de datos'!$T$4:$W$79,3,FALSE)="o","Organización Responsable de O&amp;M","Estructura de Protección"),"")</f>
        <v/>
      </c>
      <c r="AI113" s="531" t="str">
        <f t="shared" si="18"/>
        <v/>
      </c>
      <c r="AJ113" s="531">
        <f t="shared" si="19"/>
        <v>31</v>
      </c>
      <c r="AK113" s="250"/>
      <c r="AL113" s="528" t="str">
        <f t="shared" si="20"/>
        <v>b</v>
      </c>
      <c r="AM113" s="528">
        <f>COUNTIF($AL$103:AL113,$AL$104)</f>
        <v>10</v>
      </c>
      <c r="AN113" s="529" t="str">
        <f t="shared" si="21"/>
        <v/>
      </c>
      <c r="AO113" s="528">
        <v>10</v>
      </c>
      <c r="AP113" s="529" t="str">
        <f t="shared" si="22"/>
        <v/>
      </c>
      <c r="AQ113" s="530" t="str">
        <f>IFERROR(IF(VLOOKUP(AP113,'Base de datos'!$T$4:$W$79,3,FALSE)="o","Organización Responsable de O&amp;M","Estructura de Protección"),"")</f>
        <v/>
      </c>
      <c r="AR113" s="531" t="str">
        <f t="shared" si="23"/>
        <v/>
      </c>
      <c r="AS113" s="531">
        <f t="shared" si="24"/>
        <v>31</v>
      </c>
      <c r="AT113" s="250"/>
      <c r="AU113" s="528" t="str">
        <f t="shared" si="25"/>
        <v>b</v>
      </c>
      <c r="AV113" s="528">
        <f>COUNTIF($AU$103:AU113,$AU$104)</f>
        <v>10</v>
      </c>
      <c r="AW113" s="529" t="str">
        <f t="shared" si="26"/>
        <v/>
      </c>
      <c r="AX113" s="528">
        <v>10</v>
      </c>
      <c r="AY113" s="529" t="str">
        <f t="shared" si="27"/>
        <v/>
      </c>
      <c r="AZ113" s="530" t="str">
        <f>IFERROR(IF(VLOOKUP(AY113,'Base de datos'!$T$4:$W$79,3,FALSE)="o","Organización Responsable de O&amp;M","Estructura de Protección"),"")</f>
        <v/>
      </c>
      <c r="BA113" s="531" t="str">
        <f t="shared" si="28"/>
        <v/>
      </c>
      <c r="BB113" s="531">
        <f t="shared" si="29"/>
        <v>31</v>
      </c>
    </row>
    <row r="114" spans="2:54" s="217" customFormat="1" ht="30" hidden="1" customHeight="1" x14ac:dyDescent="0.2">
      <c r="B114" s="1402" t="s">
        <v>80</v>
      </c>
      <c r="C114" s="1402"/>
      <c r="D114" s="1402"/>
      <c r="E114" s="1402"/>
      <c r="F114" s="1403"/>
      <c r="G114" s="1403"/>
      <c r="H114" s="1403"/>
      <c r="I114" s="1403"/>
      <c r="J114" s="1403"/>
      <c r="K114" s="1403"/>
      <c r="L114" s="1403"/>
      <c r="M114" s="1403"/>
      <c r="N114" s="1403"/>
      <c r="O114" s="1403"/>
      <c r="P114" s="1403"/>
      <c r="Q114" s="1403"/>
      <c r="R114" s="443"/>
      <c r="S114" s="554">
        <f>COUNTA(F114:Q123)</f>
        <v>0</v>
      </c>
      <c r="T114" s="528" t="str">
        <f>IFERROR(IF(J104="","b","c"),"")</f>
        <v>b</v>
      </c>
      <c r="U114" s="528">
        <f>COUNTIF($T$103:T114,$T$104)</f>
        <v>11</v>
      </c>
      <c r="V114" s="529" t="str">
        <f>IFERROR(IF(J104="","",MID(J104,8,LEN(J104)-2)),"")</f>
        <v/>
      </c>
      <c r="W114" s="528">
        <v>11</v>
      </c>
      <c r="X114" s="529" t="str">
        <f t="shared" si="12"/>
        <v/>
      </c>
      <c r="Y114" s="530" t="str">
        <f>IFERROR(IF(VLOOKUP(X114,'Base de datos'!$T$4:$W$79,3,FALSE)="o","Organización Responsable de O&amp;M","Estructura de Protección"),"")</f>
        <v/>
      </c>
      <c r="Z114" s="531" t="str">
        <f t="shared" si="13"/>
        <v/>
      </c>
      <c r="AA114" s="531">
        <f t="shared" si="14"/>
        <v>30</v>
      </c>
      <c r="AB114" s="250"/>
      <c r="AC114" s="528" t="str">
        <f>IF(J114="","b","c")</f>
        <v>b</v>
      </c>
      <c r="AD114" s="528">
        <f>COUNTIF($AC$103:AC114,$AC$104)</f>
        <v>11</v>
      </c>
      <c r="AE114" s="529" t="str">
        <f>IF(J114="","",MID(J114,8,LEN(J114)-2))</f>
        <v/>
      </c>
      <c r="AF114" s="528">
        <v>11</v>
      </c>
      <c r="AG114" s="529" t="str">
        <f t="shared" si="17"/>
        <v/>
      </c>
      <c r="AH114" s="530" t="str">
        <f>IFERROR(IF(VLOOKUP(AG114,'Base de datos'!$T$4:$W$79,3,FALSE)="o","Organización Responsable de O&amp;M","Estructura de Protección"),"")</f>
        <v/>
      </c>
      <c r="AI114" s="531" t="str">
        <f t="shared" si="18"/>
        <v/>
      </c>
      <c r="AJ114" s="531">
        <f t="shared" si="19"/>
        <v>31</v>
      </c>
      <c r="AK114" s="250"/>
      <c r="AL114" s="528" t="str">
        <f>IF(J124="","b","c")</f>
        <v>b</v>
      </c>
      <c r="AM114" s="528">
        <f>COUNTIF($AL$103:AL114,$AL$104)</f>
        <v>11</v>
      </c>
      <c r="AN114" s="529" t="str">
        <f>IF(J124="","",MID(J124,8,LEN(J124)-2))</f>
        <v/>
      </c>
      <c r="AO114" s="528">
        <v>11</v>
      </c>
      <c r="AP114" s="529" t="str">
        <f t="shared" si="22"/>
        <v/>
      </c>
      <c r="AQ114" s="530" t="str">
        <f>IFERROR(IF(VLOOKUP(AP114,'Base de datos'!$T$4:$W$79,3,FALSE)="o","Organización Responsable de O&amp;M","Estructura de Protección"),"")</f>
        <v/>
      </c>
      <c r="AR114" s="531" t="str">
        <f t="shared" si="23"/>
        <v/>
      </c>
      <c r="AS114" s="531">
        <f t="shared" si="24"/>
        <v>31</v>
      </c>
      <c r="AT114" s="250"/>
      <c r="AU114" s="528" t="str">
        <f>IF(J134="","b","c")</f>
        <v>b</v>
      </c>
      <c r="AV114" s="528">
        <f>COUNTIF($AU$103:AU114,$AU$104)</f>
        <v>11</v>
      </c>
      <c r="AW114" s="529" t="str">
        <f>IF(J134="","",MID(J134,8,LEN(J134)-2))</f>
        <v/>
      </c>
      <c r="AX114" s="528">
        <v>11</v>
      </c>
      <c r="AY114" s="529" t="str">
        <f t="shared" si="27"/>
        <v/>
      </c>
      <c r="AZ114" s="530" t="str">
        <f>IFERROR(IF(VLOOKUP(AY114,'Base de datos'!$T$4:$W$79,3,FALSE)="o","Organización Responsable de O&amp;M","Estructura de Protección"),"")</f>
        <v/>
      </c>
      <c r="BA114" s="531" t="str">
        <f t="shared" si="28"/>
        <v/>
      </c>
      <c r="BB114" s="531">
        <f t="shared" si="29"/>
        <v>31</v>
      </c>
    </row>
    <row r="115" spans="2:54" s="217" customFormat="1" ht="30" hidden="1" customHeight="1" x14ac:dyDescent="0.2">
      <c r="B115" s="1402"/>
      <c r="C115" s="1402"/>
      <c r="D115" s="1402"/>
      <c r="E115" s="1402"/>
      <c r="F115" s="1405"/>
      <c r="G115" s="1406"/>
      <c r="H115" s="1406"/>
      <c r="I115" s="1407"/>
      <c r="J115" s="1405"/>
      <c r="K115" s="1406"/>
      <c r="L115" s="1406"/>
      <c r="M115" s="1407"/>
      <c r="N115" s="1403"/>
      <c r="O115" s="1403"/>
      <c r="P115" s="1403"/>
      <c r="Q115" s="1403"/>
      <c r="R115" s="443"/>
      <c r="S115" s="136"/>
      <c r="T115" s="528" t="str">
        <f t="shared" ref="T115:T123" si="30">IFERROR(IF(J105="","b","c"),"")</f>
        <v>b</v>
      </c>
      <c r="U115" s="528">
        <f>COUNTIF($T$103:T115,$T$104)</f>
        <v>12</v>
      </c>
      <c r="V115" s="529" t="str">
        <f t="shared" ref="V115:V123" si="31">IFERROR(IF(J105="","",MID(J105,8,LEN(J105)-2)),"")</f>
        <v/>
      </c>
      <c r="W115" s="528">
        <v>12</v>
      </c>
      <c r="X115" s="529" t="str">
        <f t="shared" si="12"/>
        <v/>
      </c>
      <c r="Y115" s="530" t="str">
        <f>IFERROR(IF(VLOOKUP(X115,'Base de datos'!$T$4:$W$79,3,FALSE)="o","Organización Responsable de O&amp;M","Estructura de Protección"),"")</f>
        <v/>
      </c>
      <c r="Z115" s="531" t="str">
        <f t="shared" si="13"/>
        <v/>
      </c>
      <c r="AA115" s="531">
        <f t="shared" si="14"/>
        <v>30</v>
      </c>
      <c r="AB115" s="250"/>
      <c r="AC115" s="528" t="str">
        <f t="shared" ref="AC115:AC123" si="32">IF(J115="","b","c")</f>
        <v>b</v>
      </c>
      <c r="AD115" s="528">
        <f>COUNTIF($AC$103:AC115,$AC$104)</f>
        <v>12</v>
      </c>
      <c r="AE115" s="529" t="str">
        <f t="shared" ref="AE115:AE123" si="33">IF(J115="","",MID(J115,8,LEN(J115)-2))</f>
        <v/>
      </c>
      <c r="AF115" s="528">
        <v>12</v>
      </c>
      <c r="AG115" s="529" t="str">
        <f t="shared" si="17"/>
        <v/>
      </c>
      <c r="AH115" s="530" t="str">
        <f>IFERROR(IF(VLOOKUP(AG115,'Base de datos'!$T$4:$W$79,3,FALSE)="o","Organización Responsable de O&amp;M","Estructura de Protección"),"")</f>
        <v/>
      </c>
      <c r="AI115" s="531" t="str">
        <f t="shared" si="18"/>
        <v/>
      </c>
      <c r="AJ115" s="531">
        <f t="shared" si="19"/>
        <v>31</v>
      </c>
      <c r="AK115" s="250"/>
      <c r="AL115" s="528" t="str">
        <f t="shared" ref="AL115:AL123" si="34">IF(J125="","b","c")</f>
        <v>b</v>
      </c>
      <c r="AM115" s="528">
        <f>COUNTIF($AL$103:AL115,$AL$104)</f>
        <v>12</v>
      </c>
      <c r="AN115" s="529" t="str">
        <f t="shared" ref="AN115:AN123" si="35">IF(J125="","",MID(J125,8,LEN(J125)-2))</f>
        <v/>
      </c>
      <c r="AO115" s="528">
        <v>12</v>
      </c>
      <c r="AP115" s="529" t="str">
        <f t="shared" si="22"/>
        <v/>
      </c>
      <c r="AQ115" s="530" t="str">
        <f>IFERROR(IF(VLOOKUP(AP115,'Base de datos'!$T$4:$W$79,3,FALSE)="o","Organización Responsable de O&amp;M","Estructura de Protección"),"")</f>
        <v/>
      </c>
      <c r="AR115" s="531" t="str">
        <f t="shared" si="23"/>
        <v/>
      </c>
      <c r="AS115" s="531">
        <f t="shared" si="24"/>
        <v>31</v>
      </c>
      <c r="AT115" s="250"/>
      <c r="AU115" s="528" t="str">
        <f t="shared" ref="AU115:AU122" si="36">IF(J135="","b","c")</f>
        <v>b</v>
      </c>
      <c r="AV115" s="528">
        <f>COUNTIF($AU$103:AU115,$AU$104)</f>
        <v>12</v>
      </c>
      <c r="AW115" s="529" t="str">
        <f t="shared" ref="AW115:AW123" si="37">IF(J135="","",MID(J135,8,LEN(J135)-2))</f>
        <v/>
      </c>
      <c r="AX115" s="528">
        <v>12</v>
      </c>
      <c r="AY115" s="529" t="str">
        <f t="shared" si="27"/>
        <v/>
      </c>
      <c r="AZ115" s="530" t="str">
        <f>IFERROR(IF(VLOOKUP(AY115,'Base de datos'!$T$4:$W$79,3,FALSE)="o","Organización Responsable de O&amp;M","Estructura de Protección"),"")</f>
        <v/>
      </c>
      <c r="BA115" s="531" t="str">
        <f t="shared" si="28"/>
        <v/>
      </c>
      <c r="BB115" s="531">
        <f t="shared" si="29"/>
        <v>31</v>
      </c>
    </row>
    <row r="116" spans="2:54" s="217" customFormat="1" ht="30" hidden="1" customHeight="1" x14ac:dyDescent="0.2">
      <c r="B116" s="1402"/>
      <c r="C116" s="1402"/>
      <c r="D116" s="1402"/>
      <c r="E116" s="1402"/>
      <c r="F116" s="1405"/>
      <c r="G116" s="1406"/>
      <c r="H116" s="1406"/>
      <c r="I116" s="1407"/>
      <c r="J116" s="1405"/>
      <c r="K116" s="1406"/>
      <c r="L116" s="1406"/>
      <c r="M116" s="1407"/>
      <c r="N116" s="1405"/>
      <c r="O116" s="1406"/>
      <c r="P116" s="1406"/>
      <c r="Q116" s="1407"/>
      <c r="R116" s="443"/>
      <c r="S116" s="136"/>
      <c r="T116" s="528" t="str">
        <f t="shared" si="30"/>
        <v>b</v>
      </c>
      <c r="U116" s="528">
        <f>COUNTIF($T$103:T116,$T$104)</f>
        <v>13</v>
      </c>
      <c r="V116" s="529" t="str">
        <f t="shared" si="31"/>
        <v/>
      </c>
      <c r="W116" s="528">
        <v>13</v>
      </c>
      <c r="X116" s="529" t="str">
        <f t="shared" si="12"/>
        <v/>
      </c>
      <c r="Y116" s="530" t="str">
        <f>IFERROR(IF(VLOOKUP(X116,'Base de datos'!$T$4:$W$79,3,FALSE)="o","Organización Responsable de O&amp;M","Estructura de Protección"),"")</f>
        <v/>
      </c>
      <c r="Z116" s="531" t="str">
        <f t="shared" si="13"/>
        <v/>
      </c>
      <c r="AA116" s="531">
        <f t="shared" si="14"/>
        <v>30</v>
      </c>
      <c r="AB116" s="250"/>
      <c r="AC116" s="528" t="str">
        <f t="shared" si="32"/>
        <v>b</v>
      </c>
      <c r="AD116" s="528">
        <f>COUNTIF($AC$103:AC116,$AC$104)</f>
        <v>13</v>
      </c>
      <c r="AE116" s="529" t="str">
        <f t="shared" si="33"/>
        <v/>
      </c>
      <c r="AF116" s="528">
        <v>13</v>
      </c>
      <c r="AG116" s="529" t="str">
        <f t="shared" si="17"/>
        <v/>
      </c>
      <c r="AH116" s="530" t="str">
        <f>IFERROR(IF(VLOOKUP(AG116,'Base de datos'!$T$4:$W$79,3,FALSE)="o","Organización Responsable de O&amp;M","Estructura de Protección"),"")</f>
        <v/>
      </c>
      <c r="AI116" s="531" t="str">
        <f t="shared" si="18"/>
        <v/>
      </c>
      <c r="AJ116" s="531">
        <f t="shared" si="19"/>
        <v>31</v>
      </c>
      <c r="AK116" s="250"/>
      <c r="AL116" s="528" t="str">
        <f t="shared" si="34"/>
        <v>b</v>
      </c>
      <c r="AM116" s="528">
        <f>COUNTIF($AL$103:AL116,$AL$104)</f>
        <v>13</v>
      </c>
      <c r="AN116" s="529" t="str">
        <f t="shared" si="35"/>
        <v/>
      </c>
      <c r="AO116" s="528">
        <v>13</v>
      </c>
      <c r="AP116" s="529" t="str">
        <f t="shared" si="22"/>
        <v/>
      </c>
      <c r="AQ116" s="530" t="str">
        <f>IFERROR(IF(VLOOKUP(AP116,'Base de datos'!$T$4:$W$79,3,FALSE)="o","Organización Responsable de O&amp;M","Estructura de Protección"),"")</f>
        <v/>
      </c>
      <c r="AR116" s="531" t="str">
        <f t="shared" si="23"/>
        <v/>
      </c>
      <c r="AS116" s="531">
        <f t="shared" si="24"/>
        <v>31</v>
      </c>
      <c r="AT116" s="250"/>
      <c r="AU116" s="528" t="str">
        <f t="shared" si="36"/>
        <v>b</v>
      </c>
      <c r="AV116" s="528">
        <f>COUNTIF($AU$103:AU116,$AU$104)</f>
        <v>13</v>
      </c>
      <c r="AW116" s="529" t="str">
        <f t="shared" si="37"/>
        <v/>
      </c>
      <c r="AX116" s="528">
        <v>13</v>
      </c>
      <c r="AY116" s="529" t="str">
        <f t="shared" si="27"/>
        <v/>
      </c>
      <c r="AZ116" s="530" t="str">
        <f>IFERROR(IF(VLOOKUP(AY116,'Base de datos'!$T$4:$W$79,3,FALSE)="o","Organización Responsable de O&amp;M","Estructura de Protección"),"")</f>
        <v/>
      </c>
      <c r="BA116" s="531" t="str">
        <f t="shared" si="28"/>
        <v/>
      </c>
      <c r="BB116" s="531">
        <f t="shared" si="29"/>
        <v>31</v>
      </c>
    </row>
    <row r="117" spans="2:54" s="217" customFormat="1" ht="30" hidden="1" customHeight="1" x14ac:dyDescent="0.2">
      <c r="B117" s="1402"/>
      <c r="C117" s="1402"/>
      <c r="D117" s="1402"/>
      <c r="E117" s="1402"/>
      <c r="F117" s="1405"/>
      <c r="G117" s="1406"/>
      <c r="H117" s="1406"/>
      <c r="I117" s="1407"/>
      <c r="J117" s="1405"/>
      <c r="K117" s="1406"/>
      <c r="L117" s="1406"/>
      <c r="M117" s="1407"/>
      <c r="N117" s="1405"/>
      <c r="O117" s="1406"/>
      <c r="P117" s="1406"/>
      <c r="Q117" s="1407"/>
      <c r="R117" s="443"/>
      <c r="S117" s="136"/>
      <c r="T117" s="528" t="str">
        <f t="shared" si="30"/>
        <v>b</v>
      </c>
      <c r="U117" s="528">
        <f>COUNTIF($T$103:T117,$T$104)</f>
        <v>14</v>
      </c>
      <c r="V117" s="529" t="str">
        <f t="shared" si="31"/>
        <v/>
      </c>
      <c r="W117" s="528">
        <v>14</v>
      </c>
      <c r="X117" s="529" t="str">
        <f t="shared" si="12"/>
        <v/>
      </c>
      <c r="Y117" s="530" t="str">
        <f>IFERROR(IF(VLOOKUP(X117,'Base de datos'!$T$4:$W$79,3,FALSE)="o","Organización Responsable de O&amp;M","Estructura de Protección"),"")</f>
        <v/>
      </c>
      <c r="Z117" s="531" t="str">
        <f t="shared" si="13"/>
        <v/>
      </c>
      <c r="AA117" s="531">
        <f t="shared" si="14"/>
        <v>30</v>
      </c>
      <c r="AB117" s="250"/>
      <c r="AC117" s="528" t="str">
        <f t="shared" si="32"/>
        <v>b</v>
      </c>
      <c r="AD117" s="528">
        <f>COUNTIF($AC$103:AC117,$AC$104)</f>
        <v>14</v>
      </c>
      <c r="AE117" s="529" t="str">
        <f t="shared" si="33"/>
        <v/>
      </c>
      <c r="AF117" s="528">
        <v>14</v>
      </c>
      <c r="AG117" s="529" t="str">
        <f t="shared" si="17"/>
        <v/>
      </c>
      <c r="AH117" s="530" t="str">
        <f>IFERROR(IF(VLOOKUP(AG117,'Base de datos'!$T$4:$W$79,3,FALSE)="o","Organización Responsable de O&amp;M","Estructura de Protección"),"")</f>
        <v/>
      </c>
      <c r="AI117" s="531" t="str">
        <f t="shared" si="18"/>
        <v/>
      </c>
      <c r="AJ117" s="531">
        <f t="shared" si="19"/>
        <v>31</v>
      </c>
      <c r="AK117" s="250"/>
      <c r="AL117" s="528" t="str">
        <f t="shared" si="34"/>
        <v>b</v>
      </c>
      <c r="AM117" s="528">
        <f>COUNTIF($AL$103:AL117,$AL$104)</f>
        <v>14</v>
      </c>
      <c r="AN117" s="529" t="str">
        <f t="shared" si="35"/>
        <v/>
      </c>
      <c r="AO117" s="528">
        <v>14</v>
      </c>
      <c r="AP117" s="529" t="str">
        <f t="shared" si="22"/>
        <v/>
      </c>
      <c r="AQ117" s="530" t="str">
        <f>IFERROR(IF(VLOOKUP(AP117,'Base de datos'!$T$4:$W$79,3,FALSE)="o","Organización Responsable de O&amp;M","Estructura de Protección"),"")</f>
        <v/>
      </c>
      <c r="AR117" s="531" t="str">
        <f t="shared" si="23"/>
        <v/>
      </c>
      <c r="AS117" s="531">
        <f t="shared" si="24"/>
        <v>31</v>
      </c>
      <c r="AT117" s="250"/>
      <c r="AU117" s="528" t="str">
        <f t="shared" si="36"/>
        <v>b</v>
      </c>
      <c r="AV117" s="528">
        <f>COUNTIF($AU$103:AU117,$AU$104)</f>
        <v>14</v>
      </c>
      <c r="AW117" s="529" t="str">
        <f t="shared" si="37"/>
        <v/>
      </c>
      <c r="AX117" s="528">
        <v>14</v>
      </c>
      <c r="AY117" s="529" t="str">
        <f t="shared" si="27"/>
        <v/>
      </c>
      <c r="AZ117" s="530" t="str">
        <f>IFERROR(IF(VLOOKUP(AY117,'Base de datos'!$T$4:$W$79,3,FALSE)="o","Organización Responsable de O&amp;M","Estructura de Protección"),"")</f>
        <v/>
      </c>
      <c r="BA117" s="531" t="str">
        <f t="shared" si="28"/>
        <v/>
      </c>
      <c r="BB117" s="531">
        <f t="shared" si="29"/>
        <v>31</v>
      </c>
    </row>
    <row r="118" spans="2:54" s="217" customFormat="1" ht="30" hidden="1" customHeight="1" x14ac:dyDescent="0.2">
      <c r="B118" s="1402"/>
      <c r="C118" s="1402"/>
      <c r="D118" s="1402"/>
      <c r="E118" s="1402"/>
      <c r="F118" s="1405"/>
      <c r="G118" s="1406"/>
      <c r="H118" s="1406"/>
      <c r="I118" s="1407"/>
      <c r="J118" s="1405"/>
      <c r="K118" s="1406"/>
      <c r="L118" s="1406"/>
      <c r="M118" s="1407"/>
      <c r="N118" s="1405"/>
      <c r="O118" s="1406"/>
      <c r="P118" s="1406"/>
      <c r="Q118" s="1407"/>
      <c r="R118" s="443"/>
      <c r="S118" s="136"/>
      <c r="T118" s="528" t="str">
        <f t="shared" si="30"/>
        <v>b</v>
      </c>
      <c r="U118" s="528">
        <f>COUNTIF($T$103:T118,$T$104)</f>
        <v>15</v>
      </c>
      <c r="V118" s="529" t="str">
        <f t="shared" si="31"/>
        <v/>
      </c>
      <c r="W118" s="528">
        <v>15</v>
      </c>
      <c r="X118" s="529" t="str">
        <f t="shared" si="12"/>
        <v/>
      </c>
      <c r="Y118" s="530" t="str">
        <f>IFERROR(IF(VLOOKUP(X118,'Base de datos'!$T$4:$W$79,3,FALSE)="o","Organización Responsable de O&amp;M","Estructura de Protección"),"")</f>
        <v/>
      </c>
      <c r="Z118" s="531" t="str">
        <f t="shared" si="13"/>
        <v/>
      </c>
      <c r="AA118" s="531">
        <f t="shared" si="14"/>
        <v>30</v>
      </c>
      <c r="AB118" s="250"/>
      <c r="AC118" s="528" t="str">
        <f t="shared" si="32"/>
        <v>b</v>
      </c>
      <c r="AD118" s="528">
        <f>COUNTIF($AC$103:AC118,$AC$104)</f>
        <v>15</v>
      </c>
      <c r="AE118" s="529" t="str">
        <f t="shared" si="33"/>
        <v/>
      </c>
      <c r="AF118" s="528">
        <v>15</v>
      </c>
      <c r="AG118" s="529" t="str">
        <f t="shared" si="17"/>
        <v/>
      </c>
      <c r="AH118" s="530" t="str">
        <f>IFERROR(IF(VLOOKUP(AG118,'Base de datos'!$T$4:$W$79,3,FALSE)="o","Organización Responsable de O&amp;M","Estructura de Protección"),"")</f>
        <v/>
      </c>
      <c r="AI118" s="531" t="str">
        <f t="shared" si="18"/>
        <v/>
      </c>
      <c r="AJ118" s="531">
        <f t="shared" si="19"/>
        <v>31</v>
      </c>
      <c r="AK118" s="250"/>
      <c r="AL118" s="528" t="str">
        <f t="shared" si="34"/>
        <v>b</v>
      </c>
      <c r="AM118" s="528">
        <f>COUNTIF($AL$103:AL118,$AL$104)</f>
        <v>15</v>
      </c>
      <c r="AN118" s="529" t="str">
        <f t="shared" si="35"/>
        <v/>
      </c>
      <c r="AO118" s="528">
        <v>15</v>
      </c>
      <c r="AP118" s="529" t="str">
        <f t="shared" si="22"/>
        <v/>
      </c>
      <c r="AQ118" s="530" t="str">
        <f>IFERROR(IF(VLOOKUP(AP118,'Base de datos'!$T$4:$W$79,3,FALSE)="o","Organización Responsable de O&amp;M","Estructura de Protección"),"")</f>
        <v/>
      </c>
      <c r="AR118" s="531" t="str">
        <f t="shared" si="23"/>
        <v/>
      </c>
      <c r="AS118" s="531">
        <f t="shared" si="24"/>
        <v>31</v>
      </c>
      <c r="AT118" s="250"/>
      <c r="AU118" s="528" t="str">
        <f t="shared" si="36"/>
        <v>b</v>
      </c>
      <c r="AV118" s="528">
        <f>COUNTIF($AU$103:AU118,$AU$104)</f>
        <v>15</v>
      </c>
      <c r="AW118" s="529" t="str">
        <f t="shared" si="37"/>
        <v/>
      </c>
      <c r="AX118" s="528">
        <v>15</v>
      </c>
      <c r="AY118" s="529" t="str">
        <f t="shared" si="27"/>
        <v/>
      </c>
      <c r="AZ118" s="530" t="str">
        <f>IFERROR(IF(VLOOKUP(AY118,'Base de datos'!$T$4:$W$79,3,FALSE)="o","Organización Responsable de O&amp;M","Estructura de Protección"),"")</f>
        <v/>
      </c>
      <c r="BA118" s="531" t="str">
        <f t="shared" si="28"/>
        <v/>
      </c>
      <c r="BB118" s="531">
        <f t="shared" si="29"/>
        <v>31</v>
      </c>
    </row>
    <row r="119" spans="2:54" s="217" customFormat="1" ht="30" hidden="1" customHeight="1" x14ac:dyDescent="0.2">
      <c r="B119" s="1402"/>
      <c r="C119" s="1402"/>
      <c r="D119" s="1402"/>
      <c r="E119" s="1402"/>
      <c r="F119" s="1405"/>
      <c r="G119" s="1406"/>
      <c r="H119" s="1406"/>
      <c r="I119" s="1407"/>
      <c r="J119" s="1405"/>
      <c r="K119" s="1406"/>
      <c r="L119" s="1406"/>
      <c r="M119" s="1407"/>
      <c r="N119" s="1405"/>
      <c r="O119" s="1406"/>
      <c r="P119" s="1406"/>
      <c r="Q119" s="1407"/>
      <c r="R119" s="443"/>
      <c r="S119" s="136"/>
      <c r="T119" s="528" t="str">
        <f t="shared" si="30"/>
        <v>b</v>
      </c>
      <c r="U119" s="528">
        <f>COUNTIF($T$103:T119,$T$104)</f>
        <v>16</v>
      </c>
      <c r="V119" s="529" t="str">
        <f t="shared" si="31"/>
        <v/>
      </c>
      <c r="W119" s="528">
        <v>16</v>
      </c>
      <c r="X119" s="529" t="str">
        <f t="shared" si="12"/>
        <v/>
      </c>
      <c r="Y119" s="530" t="str">
        <f>IFERROR(IF(VLOOKUP(X119,'Base de datos'!$T$4:$W$79,3,FALSE)="o","Organización Responsable de O&amp;M","Estructura de Protección"),"")</f>
        <v/>
      </c>
      <c r="Z119" s="531" t="str">
        <f t="shared" si="13"/>
        <v/>
      </c>
      <c r="AA119" s="531">
        <f t="shared" si="14"/>
        <v>30</v>
      </c>
      <c r="AB119" s="250"/>
      <c r="AC119" s="528" t="str">
        <f t="shared" si="32"/>
        <v>b</v>
      </c>
      <c r="AD119" s="528">
        <f>COUNTIF($AC$103:AC119,$AC$104)</f>
        <v>16</v>
      </c>
      <c r="AE119" s="529" t="str">
        <f t="shared" si="33"/>
        <v/>
      </c>
      <c r="AF119" s="528">
        <v>16</v>
      </c>
      <c r="AG119" s="529" t="str">
        <f t="shared" si="17"/>
        <v/>
      </c>
      <c r="AH119" s="530" t="str">
        <f>IFERROR(IF(VLOOKUP(AG119,'Base de datos'!$T$4:$W$79,3,FALSE)="o","Organización Responsable de O&amp;M","Estructura de Protección"),"")</f>
        <v/>
      </c>
      <c r="AI119" s="531" t="str">
        <f t="shared" si="18"/>
        <v/>
      </c>
      <c r="AJ119" s="531">
        <f t="shared" si="19"/>
        <v>31</v>
      </c>
      <c r="AK119" s="250"/>
      <c r="AL119" s="528" t="str">
        <f t="shared" si="34"/>
        <v>b</v>
      </c>
      <c r="AM119" s="528">
        <f>COUNTIF($AL$103:AL119,$AL$104)</f>
        <v>16</v>
      </c>
      <c r="AN119" s="529" t="str">
        <f t="shared" si="35"/>
        <v/>
      </c>
      <c r="AO119" s="528">
        <v>16</v>
      </c>
      <c r="AP119" s="529" t="str">
        <f t="shared" si="22"/>
        <v/>
      </c>
      <c r="AQ119" s="530" t="str">
        <f>IFERROR(IF(VLOOKUP(AP119,'Base de datos'!$T$4:$W$79,3,FALSE)="o","Organización Responsable de O&amp;M","Estructura de Protección"),"")</f>
        <v/>
      </c>
      <c r="AR119" s="531" t="str">
        <f t="shared" si="23"/>
        <v/>
      </c>
      <c r="AS119" s="531">
        <f t="shared" si="24"/>
        <v>31</v>
      </c>
      <c r="AT119" s="250"/>
      <c r="AU119" s="528" t="str">
        <f t="shared" si="36"/>
        <v>b</v>
      </c>
      <c r="AV119" s="528">
        <f>COUNTIF($AU$103:AU119,$AU$104)</f>
        <v>16</v>
      </c>
      <c r="AW119" s="529" t="str">
        <f t="shared" si="37"/>
        <v/>
      </c>
      <c r="AX119" s="528">
        <v>16</v>
      </c>
      <c r="AY119" s="529" t="str">
        <f t="shared" si="27"/>
        <v/>
      </c>
      <c r="AZ119" s="530" t="str">
        <f>IFERROR(IF(VLOOKUP(AY119,'Base de datos'!$T$4:$W$79,3,FALSE)="o","Organización Responsable de O&amp;M","Estructura de Protección"),"")</f>
        <v/>
      </c>
      <c r="BA119" s="531" t="str">
        <f t="shared" si="28"/>
        <v/>
      </c>
      <c r="BB119" s="531">
        <f t="shared" si="29"/>
        <v>31</v>
      </c>
    </row>
    <row r="120" spans="2:54" s="217" customFormat="1" ht="30" hidden="1" customHeight="1" x14ac:dyDescent="0.2">
      <c r="B120" s="1402"/>
      <c r="C120" s="1402"/>
      <c r="D120" s="1402"/>
      <c r="E120" s="1402"/>
      <c r="F120" s="1405"/>
      <c r="G120" s="1406"/>
      <c r="H120" s="1406"/>
      <c r="I120" s="1407"/>
      <c r="J120" s="1405"/>
      <c r="K120" s="1406"/>
      <c r="L120" s="1406"/>
      <c r="M120" s="1407"/>
      <c r="N120" s="1405"/>
      <c r="O120" s="1406"/>
      <c r="P120" s="1406"/>
      <c r="Q120" s="1407"/>
      <c r="S120" s="136"/>
      <c r="T120" s="528" t="str">
        <f t="shared" si="30"/>
        <v>b</v>
      </c>
      <c r="U120" s="528">
        <f>COUNTIF($T$103:T120,$T$104)</f>
        <v>17</v>
      </c>
      <c r="V120" s="529" t="str">
        <f t="shared" si="31"/>
        <v/>
      </c>
      <c r="W120" s="528">
        <v>17</v>
      </c>
      <c r="X120" s="529" t="str">
        <f t="shared" si="12"/>
        <v/>
      </c>
      <c r="Y120" s="530" t="str">
        <f>IFERROR(IF(VLOOKUP(X120,'Base de datos'!$T$4:$W$79,3,FALSE)="o","Organización Responsable de O&amp;M","Estructura de Protección"),"")</f>
        <v/>
      </c>
      <c r="Z120" s="531" t="str">
        <f t="shared" si="13"/>
        <v/>
      </c>
      <c r="AA120" s="531">
        <f t="shared" si="14"/>
        <v>30</v>
      </c>
      <c r="AB120" s="250"/>
      <c r="AC120" s="528" t="str">
        <f t="shared" si="32"/>
        <v>b</v>
      </c>
      <c r="AD120" s="528">
        <f>COUNTIF($AC$103:AC120,$AC$104)</f>
        <v>17</v>
      </c>
      <c r="AE120" s="529" t="str">
        <f t="shared" si="33"/>
        <v/>
      </c>
      <c r="AF120" s="528">
        <v>17</v>
      </c>
      <c r="AG120" s="529" t="str">
        <f t="shared" si="17"/>
        <v/>
      </c>
      <c r="AH120" s="530" t="str">
        <f>IFERROR(IF(VLOOKUP(AG120,'Base de datos'!$T$4:$W$79,3,FALSE)="o","Organización Responsable de O&amp;M","Estructura de Protección"),"")</f>
        <v/>
      </c>
      <c r="AI120" s="531" t="str">
        <f t="shared" si="18"/>
        <v/>
      </c>
      <c r="AJ120" s="531">
        <f t="shared" si="19"/>
        <v>31</v>
      </c>
      <c r="AK120" s="250"/>
      <c r="AL120" s="528" t="str">
        <f t="shared" si="34"/>
        <v>b</v>
      </c>
      <c r="AM120" s="528">
        <f>COUNTIF($AL$103:AL120,$AL$104)</f>
        <v>17</v>
      </c>
      <c r="AN120" s="529" t="str">
        <f t="shared" si="35"/>
        <v/>
      </c>
      <c r="AO120" s="528">
        <v>17</v>
      </c>
      <c r="AP120" s="529" t="str">
        <f t="shared" si="22"/>
        <v/>
      </c>
      <c r="AQ120" s="530" t="str">
        <f>IFERROR(IF(VLOOKUP(AP120,'Base de datos'!$T$4:$W$79,3,FALSE)="o","Organización Responsable de O&amp;M","Estructura de Protección"),"")</f>
        <v/>
      </c>
      <c r="AR120" s="531" t="str">
        <f t="shared" si="23"/>
        <v/>
      </c>
      <c r="AS120" s="531">
        <f t="shared" si="24"/>
        <v>31</v>
      </c>
      <c r="AT120" s="250"/>
      <c r="AU120" s="528" t="str">
        <f t="shared" si="36"/>
        <v>b</v>
      </c>
      <c r="AV120" s="528">
        <f>COUNTIF($AU$103:AU120,$AU$104)</f>
        <v>17</v>
      </c>
      <c r="AW120" s="529" t="str">
        <f t="shared" si="37"/>
        <v/>
      </c>
      <c r="AX120" s="528">
        <v>17</v>
      </c>
      <c r="AY120" s="529" t="str">
        <f t="shared" si="27"/>
        <v/>
      </c>
      <c r="AZ120" s="530" t="str">
        <f>IFERROR(IF(VLOOKUP(AY120,'Base de datos'!$T$4:$W$79,3,FALSE)="o","Organización Responsable de O&amp;M","Estructura de Protección"),"")</f>
        <v/>
      </c>
      <c r="BA120" s="531" t="str">
        <f t="shared" si="28"/>
        <v/>
      </c>
      <c r="BB120" s="531">
        <f t="shared" si="29"/>
        <v>31</v>
      </c>
    </row>
    <row r="121" spans="2:54" s="217" customFormat="1" ht="30" hidden="1" customHeight="1" x14ac:dyDescent="0.2">
      <c r="B121" s="1402"/>
      <c r="C121" s="1402"/>
      <c r="D121" s="1402"/>
      <c r="E121" s="1402"/>
      <c r="F121" s="1405"/>
      <c r="G121" s="1406"/>
      <c r="H121" s="1406"/>
      <c r="I121" s="1407"/>
      <c r="J121" s="1405"/>
      <c r="K121" s="1406"/>
      <c r="L121" s="1406"/>
      <c r="M121" s="1407"/>
      <c r="N121" s="1405"/>
      <c r="O121" s="1406"/>
      <c r="P121" s="1406"/>
      <c r="Q121" s="1407"/>
      <c r="S121" s="136"/>
      <c r="T121" s="528" t="str">
        <f t="shared" si="30"/>
        <v>b</v>
      </c>
      <c r="U121" s="528">
        <f>COUNTIF($T$103:T121,$T$104)</f>
        <v>18</v>
      </c>
      <c r="V121" s="529" t="str">
        <f t="shared" si="31"/>
        <v/>
      </c>
      <c r="W121" s="528">
        <v>18</v>
      </c>
      <c r="X121" s="529" t="str">
        <f t="shared" si="12"/>
        <v/>
      </c>
      <c r="Y121" s="530" t="str">
        <f>IFERROR(IF(VLOOKUP(X121,'Base de datos'!$T$4:$W$79,3,FALSE)="o","Organización Responsable de O&amp;M","Estructura de Protección"),"")</f>
        <v/>
      </c>
      <c r="Z121" s="531" t="str">
        <f t="shared" si="13"/>
        <v/>
      </c>
      <c r="AA121" s="531">
        <f t="shared" si="14"/>
        <v>30</v>
      </c>
      <c r="AB121" s="250"/>
      <c r="AC121" s="528" t="str">
        <f t="shared" si="32"/>
        <v>b</v>
      </c>
      <c r="AD121" s="528">
        <f>COUNTIF($AC$103:AC121,$AC$104)</f>
        <v>18</v>
      </c>
      <c r="AE121" s="529" t="str">
        <f t="shared" si="33"/>
        <v/>
      </c>
      <c r="AF121" s="528">
        <v>18</v>
      </c>
      <c r="AG121" s="529" t="str">
        <f t="shared" si="17"/>
        <v/>
      </c>
      <c r="AH121" s="530" t="str">
        <f>IFERROR(IF(VLOOKUP(AG121,'Base de datos'!$T$4:$W$79,3,FALSE)="o","Organización Responsable de O&amp;M","Estructura de Protección"),"")</f>
        <v/>
      </c>
      <c r="AI121" s="531" t="str">
        <f t="shared" si="18"/>
        <v/>
      </c>
      <c r="AJ121" s="531">
        <f t="shared" si="19"/>
        <v>31</v>
      </c>
      <c r="AK121" s="250"/>
      <c r="AL121" s="528" t="str">
        <f t="shared" si="34"/>
        <v>b</v>
      </c>
      <c r="AM121" s="528">
        <f>COUNTIF($AL$103:AL121,$AL$104)</f>
        <v>18</v>
      </c>
      <c r="AN121" s="529" t="str">
        <f t="shared" si="35"/>
        <v/>
      </c>
      <c r="AO121" s="528">
        <v>18</v>
      </c>
      <c r="AP121" s="529" t="str">
        <f t="shared" si="22"/>
        <v/>
      </c>
      <c r="AQ121" s="530" t="str">
        <f>IFERROR(IF(VLOOKUP(AP121,'Base de datos'!$T$4:$W$79,3,FALSE)="o","Organización Responsable de O&amp;M","Estructura de Protección"),"")</f>
        <v/>
      </c>
      <c r="AR121" s="531" t="str">
        <f t="shared" si="23"/>
        <v/>
      </c>
      <c r="AS121" s="531">
        <f t="shared" si="24"/>
        <v>31</v>
      </c>
      <c r="AT121" s="250"/>
      <c r="AU121" s="528" t="str">
        <f t="shared" si="36"/>
        <v>b</v>
      </c>
      <c r="AV121" s="528">
        <f>COUNTIF($AU$103:AU121,$AU$104)</f>
        <v>18</v>
      </c>
      <c r="AW121" s="529" t="str">
        <f t="shared" si="37"/>
        <v/>
      </c>
      <c r="AX121" s="528">
        <v>18</v>
      </c>
      <c r="AY121" s="529" t="str">
        <f t="shared" si="27"/>
        <v/>
      </c>
      <c r="AZ121" s="530" t="str">
        <f>IFERROR(IF(VLOOKUP(AY121,'Base de datos'!$T$4:$W$79,3,FALSE)="o","Organización Responsable de O&amp;M","Estructura de Protección"),"")</f>
        <v/>
      </c>
      <c r="BA121" s="531" t="str">
        <f t="shared" si="28"/>
        <v/>
      </c>
      <c r="BB121" s="531">
        <f t="shared" si="29"/>
        <v>31</v>
      </c>
    </row>
    <row r="122" spans="2:54" s="217" customFormat="1" ht="30" hidden="1" customHeight="1" x14ac:dyDescent="0.2">
      <c r="B122" s="1402"/>
      <c r="C122" s="1402"/>
      <c r="D122" s="1402"/>
      <c r="E122" s="1402"/>
      <c r="F122" s="1405"/>
      <c r="G122" s="1406"/>
      <c r="H122" s="1406"/>
      <c r="I122" s="1407"/>
      <c r="J122" s="1405"/>
      <c r="K122" s="1406"/>
      <c r="L122" s="1406"/>
      <c r="M122" s="1407"/>
      <c r="N122" s="1405"/>
      <c r="O122" s="1406"/>
      <c r="P122" s="1406"/>
      <c r="Q122" s="1407"/>
      <c r="S122" s="136"/>
      <c r="T122" s="528" t="str">
        <f t="shared" si="30"/>
        <v>b</v>
      </c>
      <c r="U122" s="528">
        <f>COUNTIF($T$103:T122,$T$104)</f>
        <v>19</v>
      </c>
      <c r="V122" s="529" t="str">
        <f t="shared" si="31"/>
        <v/>
      </c>
      <c r="W122" s="528">
        <v>19</v>
      </c>
      <c r="X122" s="529" t="str">
        <f t="shared" si="12"/>
        <v/>
      </c>
      <c r="Y122" s="530" t="str">
        <f>IFERROR(IF(VLOOKUP(X122,'Base de datos'!$T$4:$W$79,3,FALSE)="o","Organización Responsable de O&amp;M","Estructura de Protección"),"")</f>
        <v/>
      </c>
      <c r="Z122" s="531" t="str">
        <f t="shared" si="13"/>
        <v/>
      </c>
      <c r="AA122" s="531">
        <f t="shared" si="14"/>
        <v>30</v>
      </c>
      <c r="AB122" s="250"/>
      <c r="AC122" s="528" t="str">
        <f t="shared" si="32"/>
        <v>b</v>
      </c>
      <c r="AD122" s="528">
        <f>COUNTIF($AC$103:AC122,$AC$104)</f>
        <v>19</v>
      </c>
      <c r="AE122" s="529" t="str">
        <f t="shared" si="33"/>
        <v/>
      </c>
      <c r="AF122" s="528">
        <v>19</v>
      </c>
      <c r="AG122" s="529" t="str">
        <f t="shared" si="17"/>
        <v/>
      </c>
      <c r="AH122" s="530" t="str">
        <f>IFERROR(IF(VLOOKUP(AG122,'Base de datos'!$T$4:$W$79,3,FALSE)="o","Organización Responsable de O&amp;M","Estructura de Protección"),"")</f>
        <v/>
      </c>
      <c r="AI122" s="531" t="str">
        <f t="shared" si="18"/>
        <v/>
      </c>
      <c r="AJ122" s="531">
        <f t="shared" si="19"/>
        <v>31</v>
      </c>
      <c r="AK122" s="250"/>
      <c r="AL122" s="528" t="str">
        <f t="shared" si="34"/>
        <v>b</v>
      </c>
      <c r="AM122" s="528">
        <f>COUNTIF($AL$103:AL122,$AL$104)</f>
        <v>19</v>
      </c>
      <c r="AN122" s="529" t="str">
        <f t="shared" si="35"/>
        <v/>
      </c>
      <c r="AO122" s="528">
        <v>19</v>
      </c>
      <c r="AP122" s="529" t="str">
        <f t="shared" si="22"/>
        <v/>
      </c>
      <c r="AQ122" s="530" t="str">
        <f>IFERROR(IF(VLOOKUP(AP122,'Base de datos'!$T$4:$W$79,3,FALSE)="o","Organización Responsable de O&amp;M","Estructura de Protección"),"")</f>
        <v/>
      </c>
      <c r="AR122" s="531" t="str">
        <f t="shared" si="23"/>
        <v/>
      </c>
      <c r="AS122" s="531">
        <f t="shared" si="24"/>
        <v>31</v>
      </c>
      <c r="AT122" s="250"/>
      <c r="AU122" s="528" t="str">
        <f t="shared" si="36"/>
        <v>b</v>
      </c>
      <c r="AV122" s="528">
        <f>COUNTIF($AU$103:AU122,$AU$104)</f>
        <v>19</v>
      </c>
      <c r="AW122" s="529" t="str">
        <f t="shared" si="37"/>
        <v/>
      </c>
      <c r="AX122" s="528">
        <v>19</v>
      </c>
      <c r="AY122" s="529" t="str">
        <f t="shared" si="27"/>
        <v/>
      </c>
      <c r="AZ122" s="530" t="str">
        <f>IFERROR(IF(VLOOKUP(AY122,'Base de datos'!$T$4:$W$79,3,FALSE)="o","Organización Responsable de O&amp;M","Estructura de Protección"),"")</f>
        <v/>
      </c>
      <c r="BA122" s="531" t="str">
        <f t="shared" si="28"/>
        <v/>
      </c>
      <c r="BB122" s="531">
        <f t="shared" si="29"/>
        <v>31</v>
      </c>
    </row>
    <row r="123" spans="2:54" s="217" customFormat="1" ht="30" hidden="1" customHeight="1" x14ac:dyDescent="0.2">
      <c r="B123" s="1402"/>
      <c r="C123" s="1402"/>
      <c r="D123" s="1402"/>
      <c r="E123" s="1402"/>
      <c r="F123" s="1405"/>
      <c r="G123" s="1406"/>
      <c r="H123" s="1406"/>
      <c r="I123" s="1407"/>
      <c r="J123" s="1405"/>
      <c r="K123" s="1406"/>
      <c r="L123" s="1406"/>
      <c r="M123" s="1407"/>
      <c r="N123" s="1405"/>
      <c r="O123" s="1406"/>
      <c r="P123" s="1406"/>
      <c r="Q123" s="1407"/>
      <c r="S123" s="136"/>
      <c r="T123" s="528" t="str">
        <f t="shared" si="30"/>
        <v>b</v>
      </c>
      <c r="U123" s="528">
        <f>COUNTIF($T$103:T123,$T$104)</f>
        <v>20</v>
      </c>
      <c r="V123" s="529" t="str">
        <f t="shared" si="31"/>
        <v/>
      </c>
      <c r="W123" s="528">
        <v>20</v>
      </c>
      <c r="X123" s="529" t="str">
        <f t="shared" si="12"/>
        <v/>
      </c>
      <c r="Y123" s="530" t="str">
        <f>IFERROR(IF(VLOOKUP(X123,'Base de datos'!$T$4:$W$79,3,FALSE)="o","Organización Responsable de O&amp;M","Estructura de Protección"),"")</f>
        <v/>
      </c>
      <c r="Z123" s="531" t="str">
        <f t="shared" si="13"/>
        <v/>
      </c>
      <c r="AA123" s="531">
        <f t="shared" si="14"/>
        <v>30</v>
      </c>
      <c r="AB123" s="250"/>
      <c r="AC123" s="528" t="str">
        <f t="shared" si="32"/>
        <v>b</v>
      </c>
      <c r="AD123" s="528">
        <f>COUNTIF($AC$103:AC123,$AC$104)</f>
        <v>20</v>
      </c>
      <c r="AE123" s="529" t="str">
        <f t="shared" si="33"/>
        <v/>
      </c>
      <c r="AF123" s="528">
        <v>20</v>
      </c>
      <c r="AG123" s="529" t="str">
        <f t="shared" si="17"/>
        <v/>
      </c>
      <c r="AH123" s="530" t="str">
        <f>IFERROR(IF(VLOOKUP(AG123,'Base de datos'!$T$4:$W$79,3,FALSE)="o","Organización Responsable de O&amp;M","Estructura de Protección"),"")</f>
        <v/>
      </c>
      <c r="AI123" s="531" t="str">
        <f t="shared" si="18"/>
        <v/>
      </c>
      <c r="AJ123" s="531">
        <f t="shared" si="19"/>
        <v>31</v>
      </c>
      <c r="AK123" s="250"/>
      <c r="AL123" s="528" t="str">
        <f t="shared" si="34"/>
        <v>b</v>
      </c>
      <c r="AM123" s="528">
        <f>COUNTIF($AL$103:AL123,$AL$104)</f>
        <v>20</v>
      </c>
      <c r="AN123" s="529" t="str">
        <f t="shared" si="35"/>
        <v/>
      </c>
      <c r="AO123" s="528">
        <v>20</v>
      </c>
      <c r="AP123" s="529" t="str">
        <f t="shared" si="22"/>
        <v/>
      </c>
      <c r="AQ123" s="530" t="str">
        <f>IFERROR(IF(VLOOKUP(AP123,'Base de datos'!$T$4:$W$79,3,FALSE)="o","Organización Responsable de O&amp;M","Estructura de Protección"),"")</f>
        <v/>
      </c>
      <c r="AR123" s="531" t="str">
        <f t="shared" si="23"/>
        <v/>
      </c>
      <c r="AS123" s="531">
        <f t="shared" si="24"/>
        <v>31</v>
      </c>
      <c r="AT123" s="250"/>
      <c r="AU123" s="528" t="str">
        <f>IF(J143="","b","c")</f>
        <v>b</v>
      </c>
      <c r="AV123" s="528">
        <f>COUNTIF($AU$103:AU123,$AU$104)</f>
        <v>20</v>
      </c>
      <c r="AW123" s="529" t="str">
        <f t="shared" si="37"/>
        <v/>
      </c>
      <c r="AX123" s="528">
        <v>20</v>
      </c>
      <c r="AY123" s="529" t="str">
        <f t="shared" si="27"/>
        <v/>
      </c>
      <c r="AZ123" s="530" t="str">
        <f>IFERROR(IF(VLOOKUP(AY123,'Base de datos'!$T$4:$W$79,3,FALSE)="o","Organización Responsable de O&amp;M","Estructura de Protección"),"")</f>
        <v/>
      </c>
      <c r="BA123" s="531" t="str">
        <f t="shared" si="28"/>
        <v/>
      </c>
      <c r="BB123" s="531">
        <f t="shared" si="29"/>
        <v>31</v>
      </c>
    </row>
    <row r="124" spans="2:54" s="217" customFormat="1" ht="30" hidden="1" customHeight="1" x14ac:dyDescent="0.2">
      <c r="B124" s="1402" t="s">
        <v>4668</v>
      </c>
      <c r="C124" s="1402"/>
      <c r="D124" s="1402"/>
      <c r="E124" s="1402"/>
      <c r="F124" s="1405"/>
      <c r="G124" s="1406"/>
      <c r="H124" s="1406"/>
      <c r="I124" s="1407"/>
      <c r="J124" s="1403"/>
      <c r="K124" s="1403"/>
      <c r="L124" s="1403"/>
      <c r="M124" s="1403"/>
      <c r="N124" s="1403"/>
      <c r="O124" s="1403"/>
      <c r="P124" s="1403"/>
      <c r="Q124" s="1403"/>
      <c r="S124" s="554">
        <f>COUNTA(F124:Q133)</f>
        <v>0</v>
      </c>
      <c r="T124" s="528" t="str">
        <f>IFERROR(IF(N104="","b","c"),"")</f>
        <v>b</v>
      </c>
      <c r="U124" s="528">
        <f>COUNTIF($T$103:T124,$T$104)</f>
        <v>21</v>
      </c>
      <c r="V124" s="529" t="str">
        <f>IFERROR(IF(N104="","",MID(N104,8,LEN(N104)-2)),"")</f>
        <v/>
      </c>
      <c r="W124" s="528">
        <v>21</v>
      </c>
      <c r="X124" s="529" t="str">
        <f t="shared" si="12"/>
        <v/>
      </c>
      <c r="Y124" s="530" t="str">
        <f>IFERROR(IF(VLOOKUP(X124,'Base de datos'!$T$4:$W$79,3,FALSE)="o","Organización Responsable de O&amp;M","Estructura de Protección"),"")</f>
        <v/>
      </c>
      <c r="Z124" s="531" t="str">
        <f t="shared" si="13"/>
        <v/>
      </c>
      <c r="AA124" s="531">
        <f t="shared" si="14"/>
        <v>30</v>
      </c>
      <c r="AB124" s="250"/>
      <c r="AC124" s="528" t="str">
        <f>IF(N114="","b","c")</f>
        <v>b</v>
      </c>
      <c r="AD124" s="528">
        <f>COUNTIF($AC$103:AC124,$AC$104)</f>
        <v>21</v>
      </c>
      <c r="AE124" s="529" t="str">
        <f>IF(N114="","",MID(N114,8,LEN(N114)-2))</f>
        <v/>
      </c>
      <c r="AF124" s="528">
        <v>21</v>
      </c>
      <c r="AG124" s="529" t="str">
        <f t="shared" si="17"/>
        <v/>
      </c>
      <c r="AH124" s="530" t="str">
        <f>IFERROR(IF(VLOOKUP(AG124,'Base de datos'!$T$4:$W$79,3,FALSE)="o","Organización Responsable de O&amp;M","Estructura de Protección"),"")</f>
        <v/>
      </c>
      <c r="AI124" s="531" t="str">
        <f t="shared" si="18"/>
        <v/>
      </c>
      <c r="AJ124" s="531">
        <f t="shared" si="19"/>
        <v>31</v>
      </c>
      <c r="AK124" s="250"/>
      <c r="AL124" s="532" t="str">
        <f>IF(N124="","b","c")</f>
        <v>b</v>
      </c>
      <c r="AM124" s="528">
        <f>COUNTIF($AL$103:AL124,$AL$104)</f>
        <v>21</v>
      </c>
      <c r="AN124" s="529" t="str">
        <f>IF(N124="","",MID(N124,8,LEN(N124)-2))</f>
        <v/>
      </c>
      <c r="AO124" s="528">
        <v>21</v>
      </c>
      <c r="AP124" s="529" t="str">
        <f t="shared" si="22"/>
        <v/>
      </c>
      <c r="AQ124" s="530" t="str">
        <f>IFERROR(IF(VLOOKUP(AP124,'Base de datos'!$T$4:$W$79,3,FALSE)="o","Organización Responsable de O&amp;M","Estructura de Protección"),"")</f>
        <v/>
      </c>
      <c r="AR124" s="531" t="str">
        <f t="shared" si="23"/>
        <v/>
      </c>
      <c r="AS124" s="531">
        <f t="shared" si="24"/>
        <v>31</v>
      </c>
      <c r="AT124" s="250"/>
      <c r="AU124" s="532" t="str">
        <f>IF(N134="","b","c")</f>
        <v>b</v>
      </c>
      <c r="AV124" s="528">
        <f>COUNTIF($AU$103:AU124,$AU$104)</f>
        <v>21</v>
      </c>
      <c r="AW124" s="529" t="str">
        <f>IF(N134="","",MID(N134,8,LEN(N134)-2))</f>
        <v/>
      </c>
      <c r="AX124" s="528">
        <v>21</v>
      </c>
      <c r="AY124" s="529" t="str">
        <f t="shared" si="27"/>
        <v/>
      </c>
      <c r="AZ124" s="530" t="str">
        <f>IFERROR(IF(VLOOKUP(AY124,'Base de datos'!$T$4:$W$79,3,FALSE)="o","Organización Responsable de O&amp;M","Estructura de Protección"),"")</f>
        <v/>
      </c>
      <c r="BA124" s="531" t="str">
        <f t="shared" si="28"/>
        <v/>
      </c>
      <c r="BB124" s="531">
        <f t="shared" si="29"/>
        <v>31</v>
      </c>
    </row>
    <row r="125" spans="2:54" s="217" customFormat="1" ht="30" hidden="1" customHeight="1" x14ac:dyDescent="0.2">
      <c r="B125" s="1402"/>
      <c r="C125" s="1402"/>
      <c r="D125" s="1402"/>
      <c r="E125" s="1402"/>
      <c r="F125" s="1405"/>
      <c r="G125" s="1406"/>
      <c r="H125" s="1406"/>
      <c r="I125" s="1407"/>
      <c r="J125" s="1405"/>
      <c r="K125" s="1406"/>
      <c r="L125" s="1406"/>
      <c r="M125" s="1407"/>
      <c r="N125" s="1403"/>
      <c r="O125" s="1403"/>
      <c r="P125" s="1403"/>
      <c r="Q125" s="1403"/>
      <c r="S125" s="136"/>
      <c r="T125" s="528" t="str">
        <f t="shared" ref="T125:T133" si="38">IFERROR(IF(N105="","b","c"),"")</f>
        <v>b</v>
      </c>
      <c r="U125" s="528">
        <f>COUNTIF($T$103:T125,$T$104)</f>
        <v>22</v>
      </c>
      <c r="V125" s="529" t="str">
        <f t="shared" ref="V125:V133" si="39">IFERROR(IF(N105="","",MID(N105,8,LEN(N105)-2)),"")</f>
        <v/>
      </c>
      <c r="W125" s="528">
        <v>22</v>
      </c>
      <c r="X125" s="529" t="str">
        <f t="shared" si="12"/>
        <v/>
      </c>
      <c r="Y125" s="530" t="str">
        <f>IFERROR(IF(VLOOKUP(X125,'Base de datos'!$T$4:$W$79,3,FALSE)="o","Organización Responsable de O&amp;M","Estructura de Protección"),"")</f>
        <v/>
      </c>
      <c r="Z125" s="531" t="str">
        <f t="shared" si="13"/>
        <v/>
      </c>
      <c r="AA125" s="531">
        <f t="shared" si="14"/>
        <v>30</v>
      </c>
      <c r="AB125" s="250"/>
      <c r="AC125" s="528" t="str">
        <f t="shared" ref="AC125:AC133" si="40">IF(N115="","b","c")</f>
        <v>b</v>
      </c>
      <c r="AD125" s="528">
        <f>COUNTIF($AC$103:AC125,$AC$104)</f>
        <v>22</v>
      </c>
      <c r="AE125" s="529" t="str">
        <f t="shared" ref="AE125:AE133" si="41">IF(N115="","",MID(N115,8,LEN(N115)-2))</f>
        <v/>
      </c>
      <c r="AF125" s="528">
        <v>22</v>
      </c>
      <c r="AG125" s="529" t="str">
        <f t="shared" si="17"/>
        <v/>
      </c>
      <c r="AH125" s="530" t="str">
        <f>IFERROR(IF(VLOOKUP(AG125,'Base de datos'!$T$4:$W$79,3,FALSE)="o","Organización Responsable de O&amp;M","Estructura de Protección"),"")</f>
        <v/>
      </c>
      <c r="AI125" s="531" t="str">
        <f t="shared" si="18"/>
        <v/>
      </c>
      <c r="AJ125" s="531">
        <f t="shared" si="19"/>
        <v>31</v>
      </c>
      <c r="AK125" s="250"/>
      <c r="AL125" s="532" t="str">
        <f t="shared" ref="AL125:AL133" si="42">IF(N125="","b","c")</f>
        <v>b</v>
      </c>
      <c r="AM125" s="528">
        <f>COUNTIF($AL$103:AL125,$AL$104)</f>
        <v>22</v>
      </c>
      <c r="AN125" s="529" t="str">
        <f t="shared" ref="AN125:AN133" si="43">IF(N125="","",MID(N125,8,LEN(N125)-2))</f>
        <v/>
      </c>
      <c r="AO125" s="528">
        <v>22</v>
      </c>
      <c r="AP125" s="529" t="str">
        <f t="shared" si="22"/>
        <v/>
      </c>
      <c r="AQ125" s="530" t="str">
        <f>IFERROR(IF(VLOOKUP(AP125,'Base de datos'!$T$4:$W$79,3,FALSE)="o","Organización Responsable de O&amp;M","Estructura de Protección"),"")</f>
        <v/>
      </c>
      <c r="AR125" s="531" t="str">
        <f t="shared" si="23"/>
        <v/>
      </c>
      <c r="AS125" s="531">
        <f t="shared" si="24"/>
        <v>31</v>
      </c>
      <c r="AT125" s="250"/>
      <c r="AU125" s="532" t="str">
        <f t="shared" ref="AU125:AU133" si="44">IF(N135="","b","c")</f>
        <v>b</v>
      </c>
      <c r="AV125" s="528">
        <f>COUNTIF($AU$103:AU125,$AU$104)</f>
        <v>22</v>
      </c>
      <c r="AW125" s="529" t="str">
        <f t="shared" ref="AW125:AW133" si="45">IF(N135="","",MID(N135,8,LEN(N135)-2))</f>
        <v/>
      </c>
      <c r="AX125" s="528">
        <v>22</v>
      </c>
      <c r="AY125" s="529" t="str">
        <f t="shared" si="27"/>
        <v/>
      </c>
      <c r="AZ125" s="530" t="str">
        <f>IFERROR(IF(VLOOKUP(AY125,'Base de datos'!$T$4:$W$79,3,FALSE)="o","Organización Responsable de O&amp;M","Estructura de Protección"),"")</f>
        <v/>
      </c>
      <c r="BA125" s="531" t="str">
        <f t="shared" si="28"/>
        <v/>
      </c>
      <c r="BB125" s="531">
        <f t="shared" si="29"/>
        <v>31</v>
      </c>
    </row>
    <row r="126" spans="2:54" s="217" customFormat="1" ht="30" hidden="1" customHeight="1" x14ac:dyDescent="0.2">
      <c r="B126" s="1402"/>
      <c r="C126" s="1402"/>
      <c r="D126" s="1402"/>
      <c r="E126" s="1402"/>
      <c r="F126" s="1405"/>
      <c r="G126" s="1406"/>
      <c r="H126" s="1406"/>
      <c r="I126" s="1407"/>
      <c r="J126" s="1405"/>
      <c r="K126" s="1406"/>
      <c r="L126" s="1406"/>
      <c r="M126" s="1407"/>
      <c r="N126" s="1405"/>
      <c r="O126" s="1406"/>
      <c r="P126" s="1406"/>
      <c r="Q126" s="1407"/>
      <c r="S126" s="136"/>
      <c r="T126" s="528" t="str">
        <f t="shared" si="38"/>
        <v>b</v>
      </c>
      <c r="U126" s="528">
        <f>COUNTIF($T$103:T126,$T$104)</f>
        <v>23</v>
      </c>
      <c r="V126" s="529" t="str">
        <f t="shared" si="39"/>
        <v/>
      </c>
      <c r="W126" s="528">
        <v>23</v>
      </c>
      <c r="X126" s="529" t="str">
        <f t="shared" si="12"/>
        <v/>
      </c>
      <c r="Y126" s="530" t="str">
        <f>IFERROR(IF(VLOOKUP(X126,'Base de datos'!$T$4:$W$79,3,FALSE)="o","Organización Responsable de O&amp;M","Estructura de Protección"),"")</f>
        <v/>
      </c>
      <c r="Z126" s="531" t="str">
        <f t="shared" si="13"/>
        <v/>
      </c>
      <c r="AA126" s="531">
        <f t="shared" si="14"/>
        <v>30</v>
      </c>
      <c r="AB126" s="250"/>
      <c r="AC126" s="528" t="str">
        <f t="shared" si="40"/>
        <v>b</v>
      </c>
      <c r="AD126" s="528">
        <f>COUNTIF($AC$103:AC126,$AC$104)</f>
        <v>23</v>
      </c>
      <c r="AE126" s="529" t="str">
        <f t="shared" si="41"/>
        <v/>
      </c>
      <c r="AF126" s="528">
        <v>23</v>
      </c>
      <c r="AG126" s="529" t="str">
        <f t="shared" si="17"/>
        <v/>
      </c>
      <c r="AH126" s="530" t="str">
        <f>IFERROR(IF(VLOOKUP(AG126,'Base de datos'!$T$4:$W$79,3,FALSE)="o","Organización Responsable de O&amp;M","Estructura de Protección"),"")</f>
        <v/>
      </c>
      <c r="AI126" s="531" t="str">
        <f t="shared" si="18"/>
        <v/>
      </c>
      <c r="AJ126" s="531">
        <f t="shared" si="19"/>
        <v>31</v>
      </c>
      <c r="AK126" s="250"/>
      <c r="AL126" s="532" t="str">
        <f t="shared" si="42"/>
        <v>b</v>
      </c>
      <c r="AM126" s="528">
        <f>COUNTIF($AL$103:AL126,$AL$104)</f>
        <v>23</v>
      </c>
      <c r="AN126" s="529" t="str">
        <f t="shared" si="43"/>
        <v/>
      </c>
      <c r="AO126" s="528">
        <v>23</v>
      </c>
      <c r="AP126" s="529" t="str">
        <f t="shared" si="22"/>
        <v/>
      </c>
      <c r="AQ126" s="530" t="str">
        <f>IFERROR(IF(VLOOKUP(AP126,'Base de datos'!$T$4:$W$79,3,FALSE)="o","Organización Responsable de O&amp;M","Estructura de Protección"),"")</f>
        <v/>
      </c>
      <c r="AR126" s="531" t="str">
        <f t="shared" si="23"/>
        <v/>
      </c>
      <c r="AS126" s="531">
        <f t="shared" si="24"/>
        <v>31</v>
      </c>
      <c r="AT126" s="250"/>
      <c r="AU126" s="532" t="str">
        <f t="shared" si="44"/>
        <v>b</v>
      </c>
      <c r="AV126" s="528">
        <f>COUNTIF($AU$103:AU126,$AU$104)</f>
        <v>23</v>
      </c>
      <c r="AW126" s="529" t="str">
        <f t="shared" si="45"/>
        <v/>
      </c>
      <c r="AX126" s="528">
        <v>23</v>
      </c>
      <c r="AY126" s="529" t="str">
        <f t="shared" si="27"/>
        <v/>
      </c>
      <c r="AZ126" s="530" t="str">
        <f>IFERROR(IF(VLOOKUP(AY126,'Base de datos'!$T$4:$W$79,3,FALSE)="o","Organización Responsable de O&amp;M","Estructura de Protección"),"")</f>
        <v/>
      </c>
      <c r="BA126" s="531" t="str">
        <f t="shared" si="28"/>
        <v/>
      </c>
      <c r="BB126" s="531">
        <f t="shared" si="29"/>
        <v>31</v>
      </c>
    </row>
    <row r="127" spans="2:54" s="217" customFormat="1" ht="30" hidden="1" customHeight="1" x14ac:dyDescent="0.2">
      <c r="B127" s="1402"/>
      <c r="C127" s="1402"/>
      <c r="D127" s="1402"/>
      <c r="E127" s="1402"/>
      <c r="F127" s="1405"/>
      <c r="G127" s="1406"/>
      <c r="H127" s="1406"/>
      <c r="I127" s="1407"/>
      <c r="J127" s="1405"/>
      <c r="K127" s="1406"/>
      <c r="L127" s="1406"/>
      <c r="M127" s="1407"/>
      <c r="N127" s="1405"/>
      <c r="O127" s="1406"/>
      <c r="P127" s="1406"/>
      <c r="Q127" s="1407"/>
      <c r="S127" s="136"/>
      <c r="T127" s="528" t="str">
        <f t="shared" si="38"/>
        <v>b</v>
      </c>
      <c r="U127" s="528">
        <f>COUNTIF($T$103:T127,$T$104)</f>
        <v>24</v>
      </c>
      <c r="V127" s="529" t="str">
        <f t="shared" si="39"/>
        <v/>
      </c>
      <c r="W127" s="528">
        <v>24</v>
      </c>
      <c r="X127" s="529" t="str">
        <f t="shared" si="12"/>
        <v/>
      </c>
      <c r="Y127" s="530" t="str">
        <f>IFERROR(IF(VLOOKUP(X127,'Base de datos'!$T$4:$W$79,3,FALSE)="o","Organización Responsable de O&amp;M","Estructura de Protección"),"")</f>
        <v/>
      </c>
      <c r="Z127" s="531" t="str">
        <f t="shared" si="13"/>
        <v/>
      </c>
      <c r="AA127" s="531">
        <f t="shared" si="14"/>
        <v>30</v>
      </c>
      <c r="AB127" s="250"/>
      <c r="AC127" s="528" t="str">
        <f t="shared" si="40"/>
        <v>b</v>
      </c>
      <c r="AD127" s="528">
        <f>COUNTIF($AC$103:AC127,$AC$104)</f>
        <v>24</v>
      </c>
      <c r="AE127" s="529" t="str">
        <f t="shared" si="41"/>
        <v/>
      </c>
      <c r="AF127" s="528">
        <v>24</v>
      </c>
      <c r="AG127" s="529" t="str">
        <f t="shared" si="17"/>
        <v/>
      </c>
      <c r="AH127" s="530" t="str">
        <f>IFERROR(IF(VLOOKUP(AG127,'Base de datos'!$T$4:$W$79,3,FALSE)="o","Organización Responsable de O&amp;M","Estructura de Protección"),"")</f>
        <v/>
      </c>
      <c r="AI127" s="531" t="str">
        <f t="shared" si="18"/>
        <v/>
      </c>
      <c r="AJ127" s="531">
        <f t="shared" si="19"/>
        <v>31</v>
      </c>
      <c r="AK127" s="250"/>
      <c r="AL127" s="532" t="str">
        <f t="shared" si="42"/>
        <v>b</v>
      </c>
      <c r="AM127" s="528">
        <f>COUNTIF($AL$103:AL127,$AL$104)</f>
        <v>24</v>
      </c>
      <c r="AN127" s="529" t="str">
        <f t="shared" si="43"/>
        <v/>
      </c>
      <c r="AO127" s="528">
        <v>24</v>
      </c>
      <c r="AP127" s="529" t="str">
        <f t="shared" si="22"/>
        <v/>
      </c>
      <c r="AQ127" s="530" t="str">
        <f>IFERROR(IF(VLOOKUP(AP127,'Base de datos'!$T$4:$W$79,3,FALSE)="o","Organización Responsable de O&amp;M","Estructura de Protección"),"")</f>
        <v/>
      </c>
      <c r="AR127" s="531" t="str">
        <f t="shared" si="23"/>
        <v/>
      </c>
      <c r="AS127" s="531">
        <f t="shared" si="24"/>
        <v>31</v>
      </c>
      <c r="AT127" s="250"/>
      <c r="AU127" s="532" t="str">
        <f t="shared" si="44"/>
        <v>b</v>
      </c>
      <c r="AV127" s="528">
        <f>COUNTIF($AU$103:AU127,$AU$104)</f>
        <v>24</v>
      </c>
      <c r="AW127" s="529" t="str">
        <f t="shared" si="45"/>
        <v/>
      </c>
      <c r="AX127" s="528">
        <v>24</v>
      </c>
      <c r="AY127" s="529" t="str">
        <f t="shared" si="27"/>
        <v/>
      </c>
      <c r="AZ127" s="530" t="str">
        <f>IFERROR(IF(VLOOKUP(AY127,'Base de datos'!$T$4:$W$79,3,FALSE)="o","Organización Responsable de O&amp;M","Estructura de Protección"),"")</f>
        <v/>
      </c>
      <c r="BA127" s="531" t="str">
        <f t="shared" si="28"/>
        <v/>
      </c>
      <c r="BB127" s="531">
        <f t="shared" si="29"/>
        <v>31</v>
      </c>
    </row>
    <row r="128" spans="2:54" s="217" customFormat="1" ht="30" hidden="1" customHeight="1" x14ac:dyDescent="0.2">
      <c r="B128" s="1402"/>
      <c r="C128" s="1402"/>
      <c r="D128" s="1402"/>
      <c r="E128" s="1402"/>
      <c r="F128" s="1405"/>
      <c r="G128" s="1406"/>
      <c r="H128" s="1406"/>
      <c r="I128" s="1407"/>
      <c r="J128" s="1405"/>
      <c r="K128" s="1406"/>
      <c r="L128" s="1406"/>
      <c r="M128" s="1407"/>
      <c r="N128" s="1405"/>
      <c r="O128" s="1406"/>
      <c r="P128" s="1406"/>
      <c r="Q128" s="1407"/>
      <c r="S128" s="136"/>
      <c r="T128" s="528" t="str">
        <f t="shared" si="38"/>
        <v>b</v>
      </c>
      <c r="U128" s="528">
        <f>COUNTIF($T$103:T128,$T$104)</f>
        <v>25</v>
      </c>
      <c r="V128" s="529" t="str">
        <f t="shared" si="39"/>
        <v/>
      </c>
      <c r="W128" s="528">
        <v>25</v>
      </c>
      <c r="X128" s="529" t="str">
        <f t="shared" si="12"/>
        <v/>
      </c>
      <c r="Y128" s="530" t="str">
        <f>IFERROR(IF(VLOOKUP(X128,'Base de datos'!$T$4:$W$79,3,FALSE)="o","Organización Responsable de O&amp;M","Estructura de Protección"),"")</f>
        <v/>
      </c>
      <c r="Z128" s="531" t="str">
        <f t="shared" si="13"/>
        <v/>
      </c>
      <c r="AA128" s="531">
        <f t="shared" si="14"/>
        <v>30</v>
      </c>
      <c r="AB128" s="250"/>
      <c r="AC128" s="528" t="str">
        <f t="shared" si="40"/>
        <v>b</v>
      </c>
      <c r="AD128" s="528">
        <f>COUNTIF($AC$103:AC128,$AC$104)</f>
        <v>25</v>
      </c>
      <c r="AE128" s="529" t="str">
        <f t="shared" si="41"/>
        <v/>
      </c>
      <c r="AF128" s="528">
        <v>25</v>
      </c>
      <c r="AG128" s="529" t="str">
        <f t="shared" si="17"/>
        <v/>
      </c>
      <c r="AH128" s="530" t="str">
        <f>IFERROR(IF(VLOOKUP(AG128,'Base de datos'!$T$4:$W$79,3,FALSE)="o","Organización Responsable de O&amp;M","Estructura de Protección"),"")</f>
        <v/>
      </c>
      <c r="AI128" s="531" t="str">
        <f t="shared" si="18"/>
        <v/>
      </c>
      <c r="AJ128" s="531">
        <f t="shared" si="19"/>
        <v>31</v>
      </c>
      <c r="AK128" s="250"/>
      <c r="AL128" s="532" t="str">
        <f t="shared" si="42"/>
        <v>b</v>
      </c>
      <c r="AM128" s="528">
        <f>COUNTIF($AL$103:AL128,$AL$104)</f>
        <v>25</v>
      </c>
      <c r="AN128" s="529" t="str">
        <f t="shared" si="43"/>
        <v/>
      </c>
      <c r="AO128" s="528">
        <v>25</v>
      </c>
      <c r="AP128" s="529" t="str">
        <f t="shared" si="22"/>
        <v/>
      </c>
      <c r="AQ128" s="530" t="str">
        <f>IFERROR(IF(VLOOKUP(AP128,'Base de datos'!$T$4:$W$79,3,FALSE)="o","Organización Responsable de O&amp;M","Estructura de Protección"),"")</f>
        <v/>
      </c>
      <c r="AR128" s="531" t="str">
        <f t="shared" si="23"/>
        <v/>
      </c>
      <c r="AS128" s="531">
        <f t="shared" si="24"/>
        <v>31</v>
      </c>
      <c r="AT128" s="250"/>
      <c r="AU128" s="532" t="str">
        <f t="shared" si="44"/>
        <v>b</v>
      </c>
      <c r="AV128" s="528">
        <f>COUNTIF($AU$103:AU128,$AU$104)</f>
        <v>25</v>
      </c>
      <c r="AW128" s="529" t="str">
        <f t="shared" si="45"/>
        <v/>
      </c>
      <c r="AX128" s="528">
        <v>25</v>
      </c>
      <c r="AY128" s="529" t="str">
        <f t="shared" si="27"/>
        <v/>
      </c>
      <c r="AZ128" s="530" t="str">
        <f>IFERROR(IF(VLOOKUP(AY128,'Base de datos'!$T$4:$W$79,3,FALSE)="o","Organización Responsable de O&amp;M","Estructura de Protección"),"")</f>
        <v/>
      </c>
      <c r="BA128" s="531" t="str">
        <f t="shared" si="28"/>
        <v/>
      </c>
      <c r="BB128" s="531">
        <f t="shared" si="29"/>
        <v>31</v>
      </c>
    </row>
    <row r="129" spans="2:54" s="217" customFormat="1" ht="30" hidden="1" customHeight="1" x14ac:dyDescent="0.2">
      <c r="B129" s="1402"/>
      <c r="C129" s="1402"/>
      <c r="D129" s="1402"/>
      <c r="E129" s="1402"/>
      <c r="F129" s="1405"/>
      <c r="G129" s="1406"/>
      <c r="H129" s="1406"/>
      <c r="I129" s="1407"/>
      <c r="J129" s="1405"/>
      <c r="K129" s="1406"/>
      <c r="L129" s="1406"/>
      <c r="M129" s="1407"/>
      <c r="N129" s="1405"/>
      <c r="O129" s="1406"/>
      <c r="P129" s="1406"/>
      <c r="Q129" s="1407"/>
      <c r="S129" s="136"/>
      <c r="T129" s="528" t="str">
        <f t="shared" si="38"/>
        <v>b</v>
      </c>
      <c r="U129" s="528">
        <f>COUNTIF($T$103:T129,$T$104)</f>
        <v>26</v>
      </c>
      <c r="V129" s="529" t="str">
        <f t="shared" si="39"/>
        <v/>
      </c>
      <c r="W129" s="528">
        <v>26</v>
      </c>
      <c r="X129" s="529" t="str">
        <f t="shared" si="12"/>
        <v/>
      </c>
      <c r="Y129" s="530" t="str">
        <f>IFERROR(IF(VLOOKUP(X129,'Base de datos'!$T$4:$W$79,3,FALSE)="o","Organización Responsable de O&amp;M","Estructura de Protección"),"")</f>
        <v/>
      </c>
      <c r="Z129" s="531" t="str">
        <f t="shared" si="13"/>
        <v/>
      </c>
      <c r="AA129" s="531">
        <f t="shared" si="14"/>
        <v>30</v>
      </c>
      <c r="AB129" s="250"/>
      <c r="AC129" s="528" t="str">
        <f t="shared" si="40"/>
        <v>b</v>
      </c>
      <c r="AD129" s="528">
        <f>COUNTIF($AC$103:AC129,$AC$104)</f>
        <v>26</v>
      </c>
      <c r="AE129" s="529" t="str">
        <f t="shared" si="41"/>
        <v/>
      </c>
      <c r="AF129" s="528">
        <v>26</v>
      </c>
      <c r="AG129" s="529" t="str">
        <f t="shared" si="17"/>
        <v/>
      </c>
      <c r="AH129" s="530" t="str">
        <f>IFERROR(IF(VLOOKUP(AG129,'Base de datos'!$T$4:$W$79,3,FALSE)="o","Organización Responsable de O&amp;M","Estructura de Protección"),"")</f>
        <v/>
      </c>
      <c r="AI129" s="531" t="str">
        <f t="shared" si="18"/>
        <v/>
      </c>
      <c r="AJ129" s="531">
        <f t="shared" si="19"/>
        <v>31</v>
      </c>
      <c r="AK129" s="250"/>
      <c r="AL129" s="532" t="str">
        <f t="shared" si="42"/>
        <v>b</v>
      </c>
      <c r="AM129" s="528">
        <f>COUNTIF($AL$103:AL129,$AL$104)</f>
        <v>26</v>
      </c>
      <c r="AN129" s="529" t="str">
        <f t="shared" si="43"/>
        <v/>
      </c>
      <c r="AO129" s="528">
        <v>26</v>
      </c>
      <c r="AP129" s="529" t="str">
        <f t="shared" si="22"/>
        <v/>
      </c>
      <c r="AQ129" s="530" t="str">
        <f>IFERROR(IF(VLOOKUP(AP129,'Base de datos'!$T$4:$W$79,3,FALSE)="o","Organización Responsable de O&amp;M","Estructura de Protección"),"")</f>
        <v/>
      </c>
      <c r="AR129" s="531" t="str">
        <f t="shared" si="23"/>
        <v/>
      </c>
      <c r="AS129" s="531">
        <f t="shared" si="24"/>
        <v>31</v>
      </c>
      <c r="AT129" s="250"/>
      <c r="AU129" s="532" t="str">
        <f t="shared" si="44"/>
        <v>b</v>
      </c>
      <c r="AV129" s="528">
        <f>COUNTIF($AU$103:AU129,$AU$104)</f>
        <v>26</v>
      </c>
      <c r="AW129" s="529" t="str">
        <f t="shared" si="45"/>
        <v/>
      </c>
      <c r="AX129" s="528">
        <v>26</v>
      </c>
      <c r="AY129" s="529" t="str">
        <f t="shared" si="27"/>
        <v/>
      </c>
      <c r="AZ129" s="530" t="str">
        <f>IFERROR(IF(VLOOKUP(AY129,'Base de datos'!$T$4:$W$79,3,FALSE)="o","Organización Responsable de O&amp;M","Estructura de Protección"),"")</f>
        <v/>
      </c>
      <c r="BA129" s="531" t="str">
        <f t="shared" si="28"/>
        <v/>
      </c>
      <c r="BB129" s="531">
        <f t="shared" si="29"/>
        <v>31</v>
      </c>
    </row>
    <row r="130" spans="2:54" s="217" customFormat="1" ht="30" hidden="1" customHeight="1" x14ac:dyDescent="0.2">
      <c r="B130" s="1402"/>
      <c r="C130" s="1402"/>
      <c r="D130" s="1402"/>
      <c r="E130" s="1402"/>
      <c r="F130" s="1405"/>
      <c r="G130" s="1406"/>
      <c r="H130" s="1406"/>
      <c r="I130" s="1407"/>
      <c r="J130" s="1405"/>
      <c r="K130" s="1406"/>
      <c r="L130" s="1406"/>
      <c r="M130" s="1407"/>
      <c r="N130" s="1405"/>
      <c r="O130" s="1406"/>
      <c r="P130" s="1406"/>
      <c r="Q130" s="1407"/>
      <c r="S130" s="136"/>
      <c r="T130" s="528" t="str">
        <f t="shared" si="38"/>
        <v>b</v>
      </c>
      <c r="U130" s="528">
        <f>COUNTIF($T$103:T130,$T$104)</f>
        <v>27</v>
      </c>
      <c r="V130" s="529" t="str">
        <f t="shared" si="39"/>
        <v/>
      </c>
      <c r="W130" s="528">
        <v>27</v>
      </c>
      <c r="X130" s="529" t="str">
        <f t="shared" si="12"/>
        <v/>
      </c>
      <c r="Y130" s="530" t="str">
        <f>IFERROR(IF(VLOOKUP(X130,'Base de datos'!$T$4:$W$79,3,FALSE)="o","Organización Responsable de O&amp;M","Estructura de Protección"),"")</f>
        <v/>
      </c>
      <c r="Z130" s="531" t="str">
        <f t="shared" si="13"/>
        <v/>
      </c>
      <c r="AA130" s="531">
        <f t="shared" si="14"/>
        <v>30</v>
      </c>
      <c r="AB130" s="250"/>
      <c r="AC130" s="528" t="str">
        <f t="shared" si="40"/>
        <v>b</v>
      </c>
      <c r="AD130" s="528">
        <f>COUNTIF($AC$103:AC130,$AC$104)</f>
        <v>27</v>
      </c>
      <c r="AE130" s="529" t="str">
        <f t="shared" si="41"/>
        <v/>
      </c>
      <c r="AF130" s="528">
        <v>27</v>
      </c>
      <c r="AG130" s="529" t="str">
        <f t="shared" si="17"/>
        <v/>
      </c>
      <c r="AH130" s="530" t="str">
        <f>IFERROR(IF(VLOOKUP(AG130,'Base de datos'!$T$4:$W$79,3,FALSE)="o","Organización Responsable de O&amp;M","Estructura de Protección"),"")</f>
        <v/>
      </c>
      <c r="AI130" s="531" t="str">
        <f t="shared" si="18"/>
        <v/>
      </c>
      <c r="AJ130" s="531">
        <f t="shared" si="19"/>
        <v>31</v>
      </c>
      <c r="AK130" s="250"/>
      <c r="AL130" s="532" t="str">
        <f t="shared" si="42"/>
        <v>b</v>
      </c>
      <c r="AM130" s="528">
        <f>COUNTIF($AL$103:AL130,$AL$104)</f>
        <v>27</v>
      </c>
      <c r="AN130" s="529" t="str">
        <f t="shared" si="43"/>
        <v/>
      </c>
      <c r="AO130" s="528">
        <v>27</v>
      </c>
      <c r="AP130" s="529" t="str">
        <f t="shared" si="22"/>
        <v/>
      </c>
      <c r="AQ130" s="530" t="str">
        <f>IFERROR(IF(VLOOKUP(AP130,'Base de datos'!$T$4:$W$79,3,FALSE)="o","Organización Responsable de O&amp;M","Estructura de Protección"),"")</f>
        <v/>
      </c>
      <c r="AR130" s="531" t="str">
        <f t="shared" si="23"/>
        <v/>
      </c>
      <c r="AS130" s="531">
        <f t="shared" si="24"/>
        <v>31</v>
      </c>
      <c r="AT130" s="250"/>
      <c r="AU130" s="532" t="str">
        <f t="shared" si="44"/>
        <v>b</v>
      </c>
      <c r="AV130" s="528">
        <f>COUNTIF($AU$103:AU130,$AU$104)</f>
        <v>27</v>
      </c>
      <c r="AW130" s="529" t="str">
        <f t="shared" si="45"/>
        <v/>
      </c>
      <c r="AX130" s="528">
        <v>27</v>
      </c>
      <c r="AY130" s="529" t="str">
        <f t="shared" si="27"/>
        <v/>
      </c>
      <c r="AZ130" s="530" t="str">
        <f>IFERROR(IF(VLOOKUP(AY130,'Base de datos'!$T$4:$W$79,3,FALSE)="o","Organización Responsable de O&amp;M","Estructura de Protección"),"")</f>
        <v/>
      </c>
      <c r="BA130" s="531" t="str">
        <f t="shared" si="28"/>
        <v/>
      </c>
      <c r="BB130" s="531">
        <f t="shared" si="29"/>
        <v>31</v>
      </c>
    </row>
    <row r="131" spans="2:54" s="217" customFormat="1" ht="30" hidden="1" customHeight="1" x14ac:dyDescent="0.2">
      <c r="B131" s="1402"/>
      <c r="C131" s="1402"/>
      <c r="D131" s="1402"/>
      <c r="E131" s="1402"/>
      <c r="F131" s="1405"/>
      <c r="G131" s="1406"/>
      <c r="H131" s="1406"/>
      <c r="I131" s="1407"/>
      <c r="J131" s="1405"/>
      <c r="K131" s="1406"/>
      <c r="L131" s="1406"/>
      <c r="M131" s="1407"/>
      <c r="N131" s="1405"/>
      <c r="O131" s="1406"/>
      <c r="P131" s="1406"/>
      <c r="Q131" s="1407"/>
      <c r="S131" s="136"/>
      <c r="T131" s="528" t="str">
        <f t="shared" si="38"/>
        <v>b</v>
      </c>
      <c r="U131" s="528">
        <f>COUNTIF($T$103:T131,$T$104)</f>
        <v>28</v>
      </c>
      <c r="V131" s="529" t="str">
        <f t="shared" si="39"/>
        <v/>
      </c>
      <c r="W131" s="528">
        <v>28</v>
      </c>
      <c r="X131" s="529" t="str">
        <f t="shared" si="12"/>
        <v/>
      </c>
      <c r="Y131" s="530" t="str">
        <f>IFERROR(IF(VLOOKUP(X131,'Base de datos'!$T$4:$W$79,3,FALSE)="o","Organización Responsable de O&amp;M","Estructura de Protección"),"")</f>
        <v/>
      </c>
      <c r="Z131" s="531" t="str">
        <f t="shared" si="13"/>
        <v/>
      </c>
      <c r="AA131" s="531">
        <f t="shared" si="14"/>
        <v>30</v>
      </c>
      <c r="AB131" s="250"/>
      <c r="AC131" s="528" t="str">
        <f t="shared" si="40"/>
        <v>b</v>
      </c>
      <c r="AD131" s="528">
        <f>COUNTIF($AC$103:AC131,$AC$104)</f>
        <v>28</v>
      </c>
      <c r="AE131" s="529" t="str">
        <f t="shared" si="41"/>
        <v/>
      </c>
      <c r="AF131" s="528">
        <v>28</v>
      </c>
      <c r="AG131" s="529" t="str">
        <f t="shared" si="17"/>
        <v/>
      </c>
      <c r="AH131" s="530" t="str">
        <f>IFERROR(IF(VLOOKUP(AG131,'Base de datos'!$T$4:$W$79,3,FALSE)="o","Organización Responsable de O&amp;M","Estructura de Protección"),"")</f>
        <v/>
      </c>
      <c r="AI131" s="531" t="str">
        <f t="shared" si="18"/>
        <v/>
      </c>
      <c r="AJ131" s="531">
        <f t="shared" si="19"/>
        <v>31</v>
      </c>
      <c r="AK131" s="250"/>
      <c r="AL131" s="532" t="str">
        <f t="shared" si="42"/>
        <v>b</v>
      </c>
      <c r="AM131" s="528">
        <f>COUNTIF($AL$103:AL131,$AL$104)</f>
        <v>28</v>
      </c>
      <c r="AN131" s="529" t="str">
        <f t="shared" si="43"/>
        <v/>
      </c>
      <c r="AO131" s="528">
        <v>28</v>
      </c>
      <c r="AP131" s="529" t="str">
        <f t="shared" si="22"/>
        <v/>
      </c>
      <c r="AQ131" s="530" t="str">
        <f>IFERROR(IF(VLOOKUP(AP131,'Base de datos'!$T$4:$W$79,3,FALSE)="o","Organización Responsable de O&amp;M","Estructura de Protección"),"")</f>
        <v/>
      </c>
      <c r="AR131" s="531" t="str">
        <f t="shared" si="23"/>
        <v/>
      </c>
      <c r="AS131" s="531">
        <f t="shared" si="24"/>
        <v>31</v>
      </c>
      <c r="AT131" s="250"/>
      <c r="AU131" s="532" t="str">
        <f t="shared" si="44"/>
        <v>b</v>
      </c>
      <c r="AV131" s="528">
        <f>COUNTIF($AU$103:AU131,$AU$104)</f>
        <v>28</v>
      </c>
      <c r="AW131" s="529" t="str">
        <f t="shared" si="45"/>
        <v/>
      </c>
      <c r="AX131" s="528">
        <v>28</v>
      </c>
      <c r="AY131" s="529" t="str">
        <f t="shared" si="27"/>
        <v/>
      </c>
      <c r="AZ131" s="530" t="str">
        <f>IFERROR(IF(VLOOKUP(AY131,'Base de datos'!$T$4:$W$79,3,FALSE)="o","Organización Responsable de O&amp;M","Estructura de Protección"),"")</f>
        <v/>
      </c>
      <c r="BA131" s="531" t="str">
        <f t="shared" si="28"/>
        <v/>
      </c>
      <c r="BB131" s="531">
        <f t="shared" si="29"/>
        <v>31</v>
      </c>
    </row>
    <row r="132" spans="2:54" s="217" customFormat="1" ht="30" hidden="1" customHeight="1" x14ac:dyDescent="0.2">
      <c r="B132" s="1402"/>
      <c r="C132" s="1402"/>
      <c r="D132" s="1402"/>
      <c r="E132" s="1402"/>
      <c r="F132" s="1405"/>
      <c r="G132" s="1406"/>
      <c r="H132" s="1406"/>
      <c r="I132" s="1407"/>
      <c r="J132" s="1405"/>
      <c r="K132" s="1406"/>
      <c r="L132" s="1406"/>
      <c r="M132" s="1407"/>
      <c r="N132" s="1405"/>
      <c r="O132" s="1406"/>
      <c r="P132" s="1406"/>
      <c r="Q132" s="1407"/>
      <c r="S132" s="136"/>
      <c r="T132" s="528" t="str">
        <f t="shared" si="38"/>
        <v>b</v>
      </c>
      <c r="U132" s="528">
        <f>COUNTIF($T$103:T132,$T$104)</f>
        <v>29</v>
      </c>
      <c r="V132" s="529" t="str">
        <f t="shared" si="39"/>
        <v/>
      </c>
      <c r="W132" s="528">
        <v>29</v>
      </c>
      <c r="X132" s="529" t="str">
        <f t="shared" si="12"/>
        <v/>
      </c>
      <c r="Y132" s="530" t="str">
        <f>IFERROR(IF(VLOOKUP(X132,'Base de datos'!$T$4:$W$79,3,FALSE)="o","Organización Responsable de O&amp;M","Estructura de Protección"),"")</f>
        <v/>
      </c>
      <c r="Z132" s="531" t="str">
        <f t="shared" si="13"/>
        <v/>
      </c>
      <c r="AA132" s="531">
        <f t="shared" si="14"/>
        <v>30</v>
      </c>
      <c r="AB132" s="250"/>
      <c r="AC132" s="528" t="str">
        <f t="shared" si="40"/>
        <v>b</v>
      </c>
      <c r="AD132" s="528">
        <f>COUNTIF($AC$103:AC132,$AC$104)</f>
        <v>29</v>
      </c>
      <c r="AE132" s="529" t="str">
        <f t="shared" si="41"/>
        <v/>
      </c>
      <c r="AF132" s="528">
        <v>29</v>
      </c>
      <c r="AG132" s="529" t="str">
        <f t="shared" si="17"/>
        <v/>
      </c>
      <c r="AH132" s="530" t="str">
        <f>IFERROR(IF(VLOOKUP(AG132,'Base de datos'!$T$4:$W$79,3,FALSE)="o","Organización Responsable de O&amp;M","Estructura de Protección"),"")</f>
        <v/>
      </c>
      <c r="AI132" s="531" t="str">
        <f t="shared" si="18"/>
        <v/>
      </c>
      <c r="AJ132" s="531">
        <f t="shared" si="19"/>
        <v>31</v>
      </c>
      <c r="AK132" s="250"/>
      <c r="AL132" s="532" t="str">
        <f t="shared" si="42"/>
        <v>b</v>
      </c>
      <c r="AM132" s="528">
        <f>COUNTIF($AL$103:AL132,$AL$104)</f>
        <v>29</v>
      </c>
      <c r="AN132" s="529" t="str">
        <f t="shared" si="43"/>
        <v/>
      </c>
      <c r="AO132" s="528">
        <v>29</v>
      </c>
      <c r="AP132" s="529" t="str">
        <f t="shared" si="22"/>
        <v/>
      </c>
      <c r="AQ132" s="530" t="str">
        <f>IFERROR(IF(VLOOKUP(AP132,'Base de datos'!$T$4:$W$79,3,FALSE)="o","Organización Responsable de O&amp;M","Estructura de Protección"),"")</f>
        <v/>
      </c>
      <c r="AR132" s="531" t="str">
        <f t="shared" si="23"/>
        <v/>
      </c>
      <c r="AS132" s="531">
        <f t="shared" si="24"/>
        <v>31</v>
      </c>
      <c r="AT132" s="250"/>
      <c r="AU132" s="532" t="str">
        <f t="shared" si="44"/>
        <v>b</v>
      </c>
      <c r="AV132" s="528">
        <f>COUNTIF($AU$103:AU132,$AU$104)</f>
        <v>29</v>
      </c>
      <c r="AW132" s="529" t="str">
        <f t="shared" si="45"/>
        <v/>
      </c>
      <c r="AX132" s="528">
        <v>29</v>
      </c>
      <c r="AY132" s="529" t="str">
        <f t="shared" si="27"/>
        <v/>
      </c>
      <c r="AZ132" s="530" t="str">
        <f>IFERROR(IF(VLOOKUP(AY132,'Base de datos'!$T$4:$W$79,3,FALSE)="o","Organización Responsable de O&amp;M","Estructura de Protección"),"")</f>
        <v/>
      </c>
      <c r="BA132" s="531" t="str">
        <f t="shared" si="28"/>
        <v/>
      </c>
      <c r="BB132" s="531">
        <f t="shared" si="29"/>
        <v>31</v>
      </c>
    </row>
    <row r="133" spans="2:54" s="217" customFormat="1" ht="30" hidden="1" customHeight="1" x14ac:dyDescent="0.2">
      <c r="B133" s="1402"/>
      <c r="C133" s="1402"/>
      <c r="D133" s="1402"/>
      <c r="E133" s="1402"/>
      <c r="F133" s="1405"/>
      <c r="G133" s="1406"/>
      <c r="H133" s="1406"/>
      <c r="I133" s="1407"/>
      <c r="J133" s="1405"/>
      <c r="K133" s="1406"/>
      <c r="L133" s="1406"/>
      <c r="M133" s="1407"/>
      <c r="N133" s="1405"/>
      <c r="O133" s="1406"/>
      <c r="P133" s="1406"/>
      <c r="Q133" s="1407"/>
      <c r="S133" s="136"/>
      <c r="T133" s="528" t="str">
        <f t="shared" si="38"/>
        <v>b</v>
      </c>
      <c r="U133" s="528">
        <f>COUNTIF($T$103:T133,$T$104)</f>
        <v>30</v>
      </c>
      <c r="V133" s="529" t="str">
        <f t="shared" si="39"/>
        <v/>
      </c>
      <c r="W133" s="528">
        <v>30</v>
      </c>
      <c r="X133" s="529" t="str">
        <f t="shared" si="12"/>
        <v/>
      </c>
      <c r="Y133" s="530" t="str">
        <f>IFERROR(IF(VLOOKUP(X133,'Base de datos'!$T$4:$W$79,3,FALSE)="o","Organización Responsable de O&amp;M","Estructura de Protección"),"")</f>
        <v/>
      </c>
      <c r="Z133" s="531" t="str">
        <f t="shared" si="13"/>
        <v/>
      </c>
      <c r="AA133" s="531">
        <f t="shared" si="14"/>
        <v>30</v>
      </c>
      <c r="AB133" s="250"/>
      <c r="AC133" s="528" t="str">
        <f t="shared" si="40"/>
        <v>b</v>
      </c>
      <c r="AD133" s="528">
        <f>COUNTIF($AC$103:AC133,$AC$104)</f>
        <v>30</v>
      </c>
      <c r="AE133" s="529" t="str">
        <f t="shared" si="41"/>
        <v/>
      </c>
      <c r="AF133" s="528">
        <v>30</v>
      </c>
      <c r="AG133" s="529" t="str">
        <f t="shared" si="17"/>
        <v/>
      </c>
      <c r="AH133" s="530" t="str">
        <f>IFERROR(IF(VLOOKUP(AG133,'Base de datos'!$T$4:$W$79,3,FALSE)="o","Organización Responsable de O&amp;M","Estructura de Protección"),"")</f>
        <v/>
      </c>
      <c r="AI133" s="531" t="str">
        <f t="shared" si="18"/>
        <v/>
      </c>
      <c r="AJ133" s="531">
        <f t="shared" si="19"/>
        <v>31</v>
      </c>
      <c r="AK133" s="250"/>
      <c r="AL133" s="532" t="str">
        <f t="shared" si="42"/>
        <v>b</v>
      </c>
      <c r="AM133" s="528">
        <f>COUNTIF($AL$103:AL133,$AL$104)</f>
        <v>30</v>
      </c>
      <c r="AN133" s="529" t="str">
        <f t="shared" si="43"/>
        <v/>
      </c>
      <c r="AO133" s="528">
        <v>30</v>
      </c>
      <c r="AP133" s="529" t="str">
        <f t="shared" si="22"/>
        <v/>
      </c>
      <c r="AQ133" s="530" t="str">
        <f>IFERROR(IF(VLOOKUP(AP133,'Base de datos'!$T$4:$W$79,3,FALSE)="o","Organización Responsable de O&amp;M","Estructura de Protección"),"")</f>
        <v/>
      </c>
      <c r="AR133" s="531" t="str">
        <f t="shared" si="23"/>
        <v/>
      </c>
      <c r="AS133" s="531">
        <f t="shared" si="24"/>
        <v>31</v>
      </c>
      <c r="AT133" s="250"/>
      <c r="AU133" s="532" t="str">
        <f t="shared" si="44"/>
        <v>b</v>
      </c>
      <c r="AV133" s="528">
        <f>COUNTIF($AU$103:AU133,$AU$104)</f>
        <v>30</v>
      </c>
      <c r="AW133" s="529" t="str">
        <f t="shared" si="45"/>
        <v/>
      </c>
      <c r="AX133" s="528">
        <v>30</v>
      </c>
      <c r="AY133" s="529" t="str">
        <f t="shared" si="27"/>
        <v/>
      </c>
      <c r="AZ133" s="530" t="str">
        <f>IFERROR(IF(VLOOKUP(AY133,'Base de datos'!$T$4:$W$79,3,FALSE)="o","Organización Responsable de O&amp;M","Estructura de Protección"),"")</f>
        <v/>
      </c>
      <c r="BA133" s="531" t="str">
        <f t="shared" si="28"/>
        <v/>
      </c>
      <c r="BB133" s="531">
        <f t="shared" si="29"/>
        <v>31</v>
      </c>
    </row>
    <row r="134" spans="2:54" s="217" customFormat="1" ht="30" hidden="1" customHeight="1" x14ac:dyDescent="0.2">
      <c r="B134" s="1402" t="s">
        <v>4669</v>
      </c>
      <c r="C134" s="1402"/>
      <c r="D134" s="1402"/>
      <c r="E134" s="1402"/>
      <c r="F134" s="1403"/>
      <c r="G134" s="1403"/>
      <c r="H134" s="1403"/>
      <c r="I134" s="1403"/>
      <c r="J134" s="1403"/>
      <c r="K134" s="1403"/>
      <c r="L134" s="1403"/>
      <c r="M134" s="1403"/>
      <c r="N134" s="1403"/>
      <c r="O134" s="1403"/>
      <c r="P134" s="1403"/>
      <c r="Q134" s="1403"/>
      <c r="R134" s="136"/>
      <c r="S134" s="554">
        <f>COUNTA(F134:Q143)</f>
        <v>0</v>
      </c>
      <c r="T134" s="136"/>
      <c r="U134" s="136"/>
      <c r="V134" s="136"/>
      <c r="W134" s="136"/>
      <c r="X134" s="68"/>
      <c r="Y134" s="441"/>
      <c r="Z134" s="441"/>
      <c r="AA134" s="441"/>
      <c r="AB134" s="441"/>
      <c r="AC134" s="441"/>
      <c r="AD134" s="441"/>
      <c r="AE134" s="441"/>
      <c r="AF134" s="441"/>
      <c r="AG134" s="441"/>
      <c r="AH134" s="441"/>
      <c r="AI134" s="441"/>
      <c r="AJ134" s="441"/>
      <c r="AK134" s="441"/>
      <c r="AL134" s="441"/>
      <c r="AM134" s="441"/>
      <c r="AN134" s="441"/>
      <c r="AO134" s="441"/>
      <c r="AP134" s="441"/>
      <c r="AQ134" s="441"/>
      <c r="AR134" s="441"/>
      <c r="AS134" s="441"/>
      <c r="AT134" s="441"/>
      <c r="AU134" s="441"/>
      <c r="AV134" s="441"/>
      <c r="AW134" s="441"/>
      <c r="AX134" s="441"/>
      <c r="AY134" s="441"/>
      <c r="AZ134" s="441"/>
      <c r="BA134" s="441"/>
      <c r="BB134" s="441"/>
    </row>
    <row r="135" spans="2:54" s="217" customFormat="1" ht="30" hidden="1" customHeight="1" x14ac:dyDescent="0.2">
      <c r="B135" s="1402"/>
      <c r="C135" s="1402"/>
      <c r="D135" s="1402"/>
      <c r="E135" s="1402"/>
      <c r="F135" s="1403"/>
      <c r="G135" s="1403"/>
      <c r="H135" s="1403"/>
      <c r="I135" s="1403"/>
      <c r="J135" s="1403"/>
      <c r="K135" s="1403"/>
      <c r="L135" s="1403"/>
      <c r="M135" s="1403"/>
      <c r="N135" s="1403"/>
      <c r="O135" s="1403"/>
      <c r="P135" s="1403"/>
      <c r="Q135" s="1403"/>
      <c r="R135" s="136"/>
      <c r="S135" s="136"/>
      <c r="T135" s="136"/>
      <c r="U135" s="136"/>
      <c r="V135" s="136"/>
      <c r="W135" s="136"/>
      <c r="X135" s="68"/>
      <c r="Y135" s="441"/>
      <c r="Z135" s="441"/>
      <c r="AA135" s="441"/>
      <c r="AB135" s="441"/>
      <c r="AC135" s="441"/>
      <c r="AD135" s="441"/>
      <c r="AE135" s="441"/>
      <c r="AF135" s="441"/>
      <c r="AG135" s="441"/>
      <c r="AH135" s="441"/>
      <c r="AI135" s="441"/>
      <c r="AJ135" s="441"/>
      <c r="AK135" s="441"/>
      <c r="AL135" s="441"/>
      <c r="AM135" s="441"/>
      <c r="AN135" s="441"/>
      <c r="AO135" s="441"/>
      <c r="AP135" s="441"/>
      <c r="AQ135" s="441"/>
      <c r="AR135" s="441"/>
      <c r="AS135" s="441"/>
      <c r="AT135" s="441"/>
      <c r="AU135" s="441"/>
      <c r="AV135" s="441"/>
      <c r="AW135" s="441"/>
      <c r="AX135" s="441"/>
      <c r="AY135" s="441"/>
      <c r="AZ135" s="441"/>
      <c r="BA135" s="441"/>
      <c r="BB135" s="441"/>
    </row>
    <row r="136" spans="2:54" s="217" customFormat="1" ht="30" hidden="1" customHeight="1" x14ac:dyDescent="0.2">
      <c r="B136" s="1402"/>
      <c r="C136" s="1402"/>
      <c r="D136" s="1402"/>
      <c r="E136" s="1402"/>
      <c r="F136" s="1403"/>
      <c r="G136" s="1403"/>
      <c r="H136" s="1403"/>
      <c r="I136" s="1403"/>
      <c r="J136" s="1405"/>
      <c r="K136" s="1406"/>
      <c r="L136" s="1406"/>
      <c r="M136" s="1407"/>
      <c r="N136" s="1405"/>
      <c r="O136" s="1406"/>
      <c r="P136" s="1406"/>
      <c r="Q136" s="1407"/>
      <c r="R136" s="136"/>
      <c r="S136" s="136"/>
      <c r="T136" s="136"/>
      <c r="U136" s="136"/>
      <c r="V136" s="136"/>
      <c r="W136" s="136"/>
      <c r="X136" s="68"/>
      <c r="Y136" s="441"/>
      <c r="Z136" s="441"/>
      <c r="AA136" s="441"/>
      <c r="AB136" s="441"/>
      <c r="AC136" s="441"/>
      <c r="AD136" s="441"/>
      <c r="AE136" s="441"/>
      <c r="AF136" s="441"/>
      <c r="AG136" s="441"/>
      <c r="AH136" s="441"/>
      <c r="AI136" s="441"/>
      <c r="AJ136" s="441"/>
      <c r="AK136" s="441"/>
      <c r="AL136" s="441"/>
      <c r="AM136" s="441"/>
      <c r="AN136" s="441"/>
      <c r="AO136" s="441"/>
      <c r="AP136" s="441"/>
      <c r="AQ136" s="441"/>
      <c r="AR136" s="441"/>
      <c r="AS136" s="441"/>
      <c r="AT136" s="441"/>
      <c r="AU136" s="441"/>
      <c r="AV136" s="441"/>
      <c r="AW136" s="441"/>
      <c r="AX136" s="441"/>
      <c r="AY136" s="441"/>
      <c r="AZ136" s="441"/>
      <c r="BA136" s="441"/>
      <c r="BB136" s="441"/>
    </row>
    <row r="137" spans="2:54" s="217" customFormat="1" ht="30" hidden="1" customHeight="1" x14ac:dyDescent="0.2">
      <c r="B137" s="1402"/>
      <c r="C137" s="1402"/>
      <c r="D137" s="1402"/>
      <c r="E137" s="1402"/>
      <c r="F137" s="1403"/>
      <c r="G137" s="1403"/>
      <c r="H137" s="1403"/>
      <c r="I137" s="1403"/>
      <c r="J137" s="1405"/>
      <c r="K137" s="1406"/>
      <c r="L137" s="1406"/>
      <c r="M137" s="1407"/>
      <c r="N137" s="1405"/>
      <c r="O137" s="1406"/>
      <c r="P137" s="1406"/>
      <c r="Q137" s="1407"/>
      <c r="R137" s="136"/>
      <c r="S137" s="136"/>
      <c r="T137" s="136"/>
      <c r="U137" s="136"/>
      <c r="V137" s="136"/>
      <c r="W137" s="136"/>
      <c r="X137" s="68"/>
      <c r="Y137" s="441"/>
      <c r="Z137" s="441"/>
      <c r="AA137" s="441"/>
      <c r="AB137" s="441"/>
      <c r="AC137" s="441"/>
      <c r="AD137" s="441"/>
      <c r="AE137" s="441"/>
      <c r="AF137" s="441"/>
      <c r="AG137" s="441"/>
      <c r="AH137" s="441"/>
      <c r="AI137" s="441"/>
      <c r="AJ137" s="441"/>
      <c r="AK137" s="441"/>
      <c r="AL137" s="441"/>
      <c r="AM137" s="441"/>
      <c r="AN137" s="441"/>
      <c r="AO137" s="441"/>
      <c r="AP137" s="441"/>
      <c r="AQ137" s="441"/>
      <c r="AR137" s="441"/>
      <c r="AS137" s="441"/>
      <c r="AT137" s="441"/>
      <c r="AU137" s="441"/>
      <c r="AV137" s="441"/>
      <c r="AW137" s="441"/>
      <c r="AX137" s="441"/>
      <c r="AY137" s="441"/>
      <c r="AZ137" s="441"/>
      <c r="BA137" s="441"/>
      <c r="BB137" s="441"/>
    </row>
    <row r="138" spans="2:54" s="217" customFormat="1" ht="30" hidden="1" customHeight="1" x14ac:dyDescent="0.2">
      <c r="B138" s="1402"/>
      <c r="C138" s="1402"/>
      <c r="D138" s="1402"/>
      <c r="E138" s="1402"/>
      <c r="F138" s="1403"/>
      <c r="G138" s="1403"/>
      <c r="H138" s="1403"/>
      <c r="I138" s="1403"/>
      <c r="J138" s="1405"/>
      <c r="K138" s="1406"/>
      <c r="L138" s="1406"/>
      <c r="M138" s="1407"/>
      <c r="N138" s="1405"/>
      <c r="O138" s="1406"/>
      <c r="P138" s="1406"/>
      <c r="Q138" s="1407"/>
      <c r="R138" s="136"/>
      <c r="S138" s="136"/>
      <c r="T138" s="136"/>
      <c r="U138" s="136"/>
      <c r="V138" s="136"/>
      <c r="W138" s="136"/>
      <c r="X138" s="68"/>
      <c r="Y138" s="441"/>
      <c r="Z138" s="441"/>
      <c r="AA138" s="441"/>
      <c r="AB138" s="441"/>
      <c r="AC138" s="441"/>
      <c r="AD138" s="441"/>
      <c r="AE138" s="441"/>
      <c r="AF138" s="441"/>
      <c r="AG138" s="441"/>
      <c r="AH138" s="441"/>
      <c r="AI138" s="441"/>
      <c r="AJ138" s="441"/>
      <c r="AK138" s="441"/>
      <c r="AL138" s="441"/>
      <c r="AM138" s="441"/>
      <c r="AN138" s="441"/>
      <c r="AO138" s="441"/>
      <c r="AP138" s="441"/>
      <c r="AQ138" s="441"/>
      <c r="AR138" s="441"/>
      <c r="AS138" s="441"/>
      <c r="AT138" s="441"/>
      <c r="AU138" s="441"/>
      <c r="AV138" s="441"/>
      <c r="AW138" s="441"/>
      <c r="AX138" s="441"/>
      <c r="AY138" s="441"/>
      <c r="AZ138" s="441"/>
      <c r="BA138" s="441"/>
      <c r="BB138" s="441"/>
    </row>
    <row r="139" spans="2:54" s="217" customFormat="1" ht="30" hidden="1" customHeight="1" x14ac:dyDescent="0.2">
      <c r="B139" s="1402"/>
      <c r="C139" s="1402"/>
      <c r="D139" s="1402"/>
      <c r="E139" s="1402"/>
      <c r="F139" s="1403"/>
      <c r="G139" s="1403"/>
      <c r="H139" s="1403"/>
      <c r="I139" s="1403"/>
      <c r="J139" s="1405"/>
      <c r="K139" s="1406"/>
      <c r="L139" s="1406"/>
      <c r="M139" s="1407"/>
      <c r="N139" s="1405"/>
      <c r="O139" s="1406"/>
      <c r="P139" s="1406"/>
      <c r="Q139" s="1407"/>
      <c r="R139" s="136"/>
      <c r="S139" s="136"/>
      <c r="T139" s="136"/>
      <c r="U139" s="136"/>
      <c r="V139" s="136"/>
      <c r="W139" s="136"/>
      <c r="X139" s="68"/>
      <c r="Y139" s="441"/>
      <c r="Z139" s="441"/>
      <c r="AA139" s="441"/>
      <c r="AB139" s="441"/>
      <c r="AC139" s="441"/>
      <c r="AD139" s="441"/>
      <c r="AE139" s="441"/>
      <c r="AF139" s="441"/>
      <c r="AG139" s="441"/>
      <c r="AH139" s="441"/>
      <c r="AI139" s="441"/>
      <c r="AJ139" s="441"/>
      <c r="AK139" s="441"/>
      <c r="AL139" s="441"/>
      <c r="AM139" s="441"/>
      <c r="AN139" s="441"/>
      <c r="AO139" s="441"/>
      <c r="AP139" s="441"/>
      <c r="AQ139" s="441"/>
      <c r="AR139" s="441"/>
      <c r="AS139" s="441"/>
      <c r="AT139" s="441"/>
      <c r="AU139" s="441"/>
      <c r="AV139" s="441"/>
      <c r="AW139" s="441"/>
      <c r="AX139" s="441"/>
      <c r="AY139" s="441"/>
      <c r="AZ139" s="441"/>
      <c r="BA139" s="441"/>
      <c r="BB139" s="441"/>
    </row>
    <row r="140" spans="2:54" s="217" customFormat="1" ht="30" hidden="1" customHeight="1" x14ac:dyDescent="0.2">
      <c r="B140" s="1402"/>
      <c r="C140" s="1402"/>
      <c r="D140" s="1402"/>
      <c r="E140" s="1402"/>
      <c r="F140" s="1403"/>
      <c r="G140" s="1403"/>
      <c r="H140" s="1403"/>
      <c r="I140" s="1403"/>
      <c r="J140" s="1405"/>
      <c r="K140" s="1406"/>
      <c r="L140" s="1406"/>
      <c r="M140" s="1407"/>
      <c r="N140" s="1405"/>
      <c r="O140" s="1406"/>
      <c r="P140" s="1406"/>
      <c r="Q140" s="1407"/>
      <c r="R140" s="136"/>
      <c r="S140" s="136"/>
      <c r="T140" s="136"/>
      <c r="U140" s="136"/>
      <c r="V140" s="136"/>
      <c r="W140" s="136"/>
      <c r="X140" s="68"/>
      <c r="Y140" s="441"/>
      <c r="Z140" s="441"/>
      <c r="AA140" s="441"/>
      <c r="AB140" s="441"/>
      <c r="AC140" s="441"/>
      <c r="AD140" s="441"/>
      <c r="AE140" s="441"/>
      <c r="AF140" s="441"/>
      <c r="AG140" s="441"/>
      <c r="AH140" s="441"/>
      <c r="AI140" s="441"/>
      <c r="AJ140" s="441"/>
      <c r="AK140" s="441"/>
      <c r="AL140" s="441"/>
      <c r="AM140" s="441"/>
      <c r="AN140" s="441"/>
      <c r="AO140" s="441"/>
      <c r="AP140" s="441"/>
      <c r="AQ140" s="441"/>
      <c r="AR140" s="441"/>
      <c r="AS140" s="441"/>
      <c r="AT140" s="441"/>
      <c r="AU140" s="441"/>
      <c r="AV140" s="441"/>
      <c r="AW140" s="441"/>
      <c r="AX140" s="441"/>
      <c r="AY140" s="441"/>
      <c r="AZ140" s="441"/>
      <c r="BA140" s="441"/>
      <c r="BB140" s="441"/>
    </row>
    <row r="141" spans="2:54" s="217" customFormat="1" ht="30" hidden="1" customHeight="1" x14ac:dyDescent="0.2">
      <c r="B141" s="1402"/>
      <c r="C141" s="1402"/>
      <c r="D141" s="1402"/>
      <c r="E141" s="1402"/>
      <c r="F141" s="1403"/>
      <c r="G141" s="1403"/>
      <c r="H141" s="1403"/>
      <c r="I141" s="1403"/>
      <c r="J141" s="1405"/>
      <c r="K141" s="1406"/>
      <c r="L141" s="1406"/>
      <c r="M141" s="1407"/>
      <c r="N141" s="1405"/>
      <c r="O141" s="1406"/>
      <c r="P141" s="1406"/>
      <c r="Q141" s="1407"/>
      <c r="R141" s="136"/>
      <c r="S141" s="136"/>
      <c r="T141" s="136"/>
      <c r="U141" s="136"/>
      <c r="V141" s="136"/>
      <c r="W141" s="136"/>
      <c r="X141" s="68"/>
      <c r="Y141" s="441"/>
      <c r="Z141" s="441"/>
      <c r="AA141" s="441"/>
      <c r="AB141" s="441"/>
      <c r="AC141" s="441"/>
      <c r="AD141" s="441"/>
      <c r="AE141" s="441"/>
      <c r="AF141" s="441"/>
      <c r="AG141" s="441"/>
      <c r="AH141" s="441"/>
      <c r="AI141" s="441"/>
      <c r="AJ141" s="441"/>
      <c r="AK141" s="441"/>
      <c r="AL141" s="441"/>
      <c r="AM141" s="441"/>
      <c r="AN141" s="441"/>
      <c r="AO141" s="441"/>
      <c r="AP141" s="441"/>
      <c r="AQ141" s="441"/>
      <c r="AR141" s="441"/>
      <c r="AS141" s="441"/>
      <c r="AT141" s="441"/>
      <c r="AU141" s="441"/>
      <c r="AV141" s="441"/>
      <c r="AW141" s="441"/>
      <c r="AX141" s="441"/>
      <c r="AY141" s="441"/>
      <c r="AZ141" s="441"/>
      <c r="BA141" s="441"/>
      <c r="BB141" s="441"/>
    </row>
    <row r="142" spans="2:54" s="217" customFormat="1" ht="30" hidden="1" customHeight="1" x14ac:dyDescent="0.2">
      <c r="B142" s="1402"/>
      <c r="C142" s="1402"/>
      <c r="D142" s="1402"/>
      <c r="E142" s="1402"/>
      <c r="F142" s="1403"/>
      <c r="G142" s="1403"/>
      <c r="H142" s="1403"/>
      <c r="I142" s="1403"/>
      <c r="J142" s="1405"/>
      <c r="K142" s="1406"/>
      <c r="L142" s="1406"/>
      <c r="M142" s="1407"/>
      <c r="N142" s="1405"/>
      <c r="O142" s="1406"/>
      <c r="P142" s="1406"/>
      <c r="Q142" s="1407"/>
      <c r="R142" s="136"/>
      <c r="S142" s="136"/>
      <c r="T142" s="136"/>
      <c r="U142" s="136"/>
      <c r="V142" s="136"/>
      <c r="W142" s="136"/>
      <c r="X142" s="68"/>
      <c r="Y142" s="441"/>
      <c r="Z142" s="441"/>
      <c r="AA142" s="441"/>
      <c r="AB142" s="441"/>
      <c r="AC142" s="441"/>
      <c r="AD142" s="441"/>
      <c r="AE142" s="441"/>
      <c r="AF142" s="441"/>
      <c r="AG142" s="441"/>
      <c r="AH142" s="441"/>
      <c r="AI142" s="441"/>
      <c r="AJ142" s="441"/>
      <c r="AK142" s="441"/>
      <c r="AL142" s="441"/>
      <c r="AM142" s="441"/>
      <c r="AN142" s="441"/>
      <c r="AO142" s="441"/>
      <c r="AP142" s="441"/>
      <c r="AQ142" s="441"/>
      <c r="AR142" s="441"/>
      <c r="AS142" s="441"/>
      <c r="AT142" s="441"/>
      <c r="AU142" s="441"/>
      <c r="AV142" s="441"/>
      <c r="AW142" s="441"/>
      <c r="AX142" s="441"/>
      <c r="AY142" s="441"/>
      <c r="AZ142" s="441"/>
      <c r="BA142" s="441"/>
      <c r="BB142" s="441"/>
    </row>
    <row r="143" spans="2:54" s="217" customFormat="1" ht="30" hidden="1" customHeight="1" x14ac:dyDescent="0.2">
      <c r="B143" s="1402"/>
      <c r="C143" s="1402"/>
      <c r="D143" s="1402"/>
      <c r="E143" s="1402"/>
      <c r="F143" s="1403"/>
      <c r="G143" s="1403"/>
      <c r="H143" s="1403"/>
      <c r="I143" s="1403"/>
      <c r="J143" s="1405"/>
      <c r="K143" s="1406"/>
      <c r="L143" s="1406"/>
      <c r="M143" s="1407"/>
      <c r="N143" s="1405"/>
      <c r="O143" s="1406"/>
      <c r="P143" s="1406"/>
      <c r="Q143" s="1407"/>
      <c r="R143" s="136"/>
      <c r="S143" s="136"/>
      <c r="T143" s="136"/>
      <c r="U143" s="136"/>
      <c r="V143" s="136"/>
      <c r="W143" s="136"/>
      <c r="X143" s="68"/>
      <c r="Y143" s="441"/>
      <c r="Z143" s="441"/>
      <c r="AA143" s="441"/>
      <c r="AB143" s="441"/>
      <c r="AC143" s="441"/>
      <c r="AD143" s="441"/>
      <c r="AE143" s="441"/>
      <c r="AF143" s="441"/>
      <c r="AG143" s="441"/>
      <c r="AH143" s="441"/>
      <c r="AI143" s="441"/>
      <c r="AJ143" s="441"/>
      <c r="AK143" s="441"/>
      <c r="AL143" s="441"/>
      <c r="AM143" s="441"/>
      <c r="AN143" s="441"/>
      <c r="AO143" s="441"/>
      <c r="AP143" s="441"/>
      <c r="AQ143" s="441"/>
      <c r="AR143" s="441"/>
      <c r="AS143" s="441"/>
      <c r="AT143" s="441"/>
      <c r="AU143" s="441"/>
      <c r="AV143" s="441"/>
      <c r="AW143" s="441"/>
      <c r="AX143" s="441"/>
      <c r="AY143" s="441"/>
      <c r="AZ143" s="441"/>
      <c r="BA143" s="441"/>
      <c r="BB143" s="441"/>
    </row>
    <row r="144" spans="2:54" x14ac:dyDescent="0.25">
      <c r="S144" s="447"/>
      <c r="T144" s="447"/>
      <c r="U144" s="447"/>
      <c r="V144" s="447"/>
      <c r="W144" s="447"/>
      <c r="X144" s="447"/>
      <c r="Y144" s="447"/>
      <c r="Z144" s="447"/>
      <c r="AA144" s="447"/>
      <c r="AB144" s="447"/>
      <c r="AC144" s="447"/>
      <c r="AD144" s="447"/>
      <c r="AE144" s="447"/>
      <c r="AF144" s="447"/>
      <c r="AG144" s="447"/>
      <c r="AH144" s="447"/>
      <c r="AI144" s="447"/>
      <c r="AJ144" s="447"/>
      <c r="AK144" s="447"/>
      <c r="AL144" s="447"/>
      <c r="AM144" s="447"/>
      <c r="AN144" s="447"/>
      <c r="AO144" s="447"/>
      <c r="AP144" s="447"/>
      <c r="AQ144" s="447"/>
      <c r="AR144" s="447"/>
      <c r="AS144" s="447"/>
      <c r="AT144" s="447"/>
      <c r="AU144" s="447"/>
      <c r="AV144" s="447"/>
      <c r="AW144" s="447"/>
      <c r="AX144" s="447"/>
      <c r="AY144" s="447"/>
      <c r="AZ144" s="447"/>
      <c r="BA144" s="447"/>
      <c r="BB144" s="447"/>
    </row>
  </sheetData>
  <sheetProtection password="9AA6" sheet="1" objects="1" scenarios="1"/>
  <dataConsolidate/>
  <mergeCells count="285">
    <mergeCell ref="J142:M142"/>
    <mergeCell ref="J143:M143"/>
    <mergeCell ref="N122:Q122"/>
    <mergeCell ref="N123:Q123"/>
    <mergeCell ref="J115:M115"/>
    <mergeCell ref="J116:M116"/>
    <mergeCell ref="J117:M117"/>
    <mergeCell ref="F137:I137"/>
    <mergeCell ref="F138:I138"/>
    <mergeCell ref="F139:I139"/>
    <mergeCell ref="F140:I140"/>
    <mergeCell ref="F141:I141"/>
    <mergeCell ref="F142:I142"/>
    <mergeCell ref="F143:I143"/>
    <mergeCell ref="J121:M121"/>
    <mergeCell ref="J122:M122"/>
    <mergeCell ref="J29:P29"/>
    <mergeCell ref="N137:Q137"/>
    <mergeCell ref="N136:Q136"/>
    <mergeCell ref="N135:Q135"/>
    <mergeCell ref="N143:Q143"/>
    <mergeCell ref="N142:Q142"/>
    <mergeCell ref="N141:Q141"/>
    <mergeCell ref="N140:Q140"/>
    <mergeCell ref="N139:Q139"/>
    <mergeCell ref="N138:Q138"/>
    <mergeCell ref="J135:M135"/>
    <mergeCell ref="J136:M136"/>
    <mergeCell ref="J137:M137"/>
    <mergeCell ref="J138:M138"/>
    <mergeCell ref="J139:M139"/>
    <mergeCell ref="J140:M140"/>
    <mergeCell ref="J141:M141"/>
    <mergeCell ref="N106:Q106"/>
    <mergeCell ref="N107:Q107"/>
    <mergeCell ref="N129:Q129"/>
    <mergeCell ref="N130:Q130"/>
    <mergeCell ref="N131:Q131"/>
    <mergeCell ref="N132:Q132"/>
    <mergeCell ref="J120:M120"/>
    <mergeCell ref="F113:I113"/>
    <mergeCell ref="J106:M106"/>
    <mergeCell ref="J107:M107"/>
    <mergeCell ref="J108:M108"/>
    <mergeCell ref="J109:M109"/>
    <mergeCell ref="J110:M110"/>
    <mergeCell ref="J111:M111"/>
    <mergeCell ref="F135:I135"/>
    <mergeCell ref="F136:I136"/>
    <mergeCell ref="F132:I132"/>
    <mergeCell ref="F133:I133"/>
    <mergeCell ref="J129:M129"/>
    <mergeCell ref="J130:M130"/>
    <mergeCell ref="J131:M131"/>
    <mergeCell ref="F116:I116"/>
    <mergeCell ref="F117:I117"/>
    <mergeCell ref="F118:I118"/>
    <mergeCell ref="F119:I119"/>
    <mergeCell ref="F120:I120"/>
    <mergeCell ref="F121:I121"/>
    <mergeCell ref="F122:I122"/>
    <mergeCell ref="F123:I123"/>
    <mergeCell ref="J118:M118"/>
    <mergeCell ref="J119:M119"/>
    <mergeCell ref="N109:Q109"/>
    <mergeCell ref="N110:Q110"/>
    <mergeCell ref="N111:Q111"/>
    <mergeCell ref="N112:Q112"/>
    <mergeCell ref="N113:Q113"/>
    <mergeCell ref="N133:Q133"/>
    <mergeCell ref="N124:Q124"/>
    <mergeCell ref="J126:M126"/>
    <mergeCell ref="J127:M127"/>
    <mergeCell ref="J128:M128"/>
    <mergeCell ref="J123:M123"/>
    <mergeCell ref="J132:M132"/>
    <mergeCell ref="J133:M133"/>
    <mergeCell ref="B86:B88"/>
    <mergeCell ref="C86:F88"/>
    <mergeCell ref="N125:Q125"/>
    <mergeCell ref="N126:Q126"/>
    <mergeCell ref="N127:Q127"/>
    <mergeCell ref="N128:Q128"/>
    <mergeCell ref="N115:Q115"/>
    <mergeCell ref="N116:Q116"/>
    <mergeCell ref="N117:Q117"/>
    <mergeCell ref="N118:Q118"/>
    <mergeCell ref="N119:Q119"/>
    <mergeCell ref="N120:Q120"/>
    <mergeCell ref="N121:Q121"/>
    <mergeCell ref="F93:M93"/>
    <mergeCell ref="F94:M94"/>
    <mergeCell ref="F95:M95"/>
    <mergeCell ref="F96:M96"/>
    <mergeCell ref="F97:M97"/>
    <mergeCell ref="F124:I124"/>
    <mergeCell ref="J112:M112"/>
    <mergeCell ref="J113:M113"/>
    <mergeCell ref="N108:Q108"/>
    <mergeCell ref="F125:I125"/>
    <mergeCell ref="F106:I106"/>
    <mergeCell ref="B18:E18"/>
    <mergeCell ref="F18:I18"/>
    <mergeCell ref="B22:E24"/>
    <mergeCell ref="B103:E103"/>
    <mergeCell ref="B91:E91"/>
    <mergeCell ref="B93:E95"/>
    <mergeCell ref="B40:E42"/>
    <mergeCell ref="F40:I42"/>
    <mergeCell ref="C77:F79"/>
    <mergeCell ref="B77:B79"/>
    <mergeCell ref="B80:B82"/>
    <mergeCell ref="C83:F85"/>
    <mergeCell ref="B83:B85"/>
    <mergeCell ref="F98:M98"/>
    <mergeCell ref="F91:M91"/>
    <mergeCell ref="C80:F82"/>
    <mergeCell ref="J24:P24"/>
    <mergeCell ref="J25:P25"/>
    <mergeCell ref="J26:P26"/>
    <mergeCell ref="J27:P27"/>
    <mergeCell ref="J40:M40"/>
    <mergeCell ref="N40:Q40"/>
    <mergeCell ref="F28:I30"/>
    <mergeCell ref="J28:P28"/>
    <mergeCell ref="F107:I107"/>
    <mergeCell ref="F108:I108"/>
    <mergeCell ref="F109:I109"/>
    <mergeCell ref="F110:I110"/>
    <mergeCell ref="F111:I111"/>
    <mergeCell ref="F112:I112"/>
    <mergeCell ref="N134:Q134"/>
    <mergeCell ref="B12:N12"/>
    <mergeCell ref="B14:E14"/>
    <mergeCell ref="B16:E16"/>
    <mergeCell ref="F14:I14"/>
    <mergeCell ref="F16:I16"/>
    <mergeCell ref="B25:E27"/>
    <mergeCell ref="B31:E33"/>
    <mergeCell ref="F22:I24"/>
    <mergeCell ref="F25:I27"/>
    <mergeCell ref="J14:N14"/>
    <mergeCell ref="J16:N16"/>
    <mergeCell ref="J18:P18"/>
    <mergeCell ref="J22:P22"/>
    <mergeCell ref="J32:P32"/>
    <mergeCell ref="J33:P33"/>
    <mergeCell ref="B28:E30"/>
    <mergeCell ref="J23:P23"/>
    <mergeCell ref="C68:F70"/>
    <mergeCell ref="B68:B70"/>
    <mergeCell ref="C71:F73"/>
    <mergeCell ref="B71:B73"/>
    <mergeCell ref="C74:F76"/>
    <mergeCell ref="B74:B76"/>
    <mergeCell ref="J37:M37"/>
    <mergeCell ref="G54:N54"/>
    <mergeCell ref="N37:Q37"/>
    <mergeCell ref="J38:M38"/>
    <mergeCell ref="N38:Q38"/>
    <mergeCell ref="J39:M39"/>
    <mergeCell ref="N39:Q39"/>
    <mergeCell ref="J41:M41"/>
    <mergeCell ref="N41:Q41"/>
    <mergeCell ref="B45:J45"/>
    <mergeCell ref="I65:N65"/>
    <mergeCell ref="I66:N66"/>
    <mergeCell ref="I67:N67"/>
    <mergeCell ref="I68:N68"/>
    <mergeCell ref="I69:N69"/>
    <mergeCell ref="I70:N70"/>
    <mergeCell ref="I71:N71"/>
    <mergeCell ref="I72:N72"/>
    <mergeCell ref="J35:M35"/>
    <mergeCell ref="N35:Q35"/>
    <mergeCell ref="J42:M42"/>
    <mergeCell ref="N42:Q42"/>
    <mergeCell ref="J47:N47"/>
    <mergeCell ref="J49:N49"/>
    <mergeCell ref="F129:I129"/>
    <mergeCell ref="F130:I130"/>
    <mergeCell ref="F131:I131"/>
    <mergeCell ref="J125:M125"/>
    <mergeCell ref="G68:H68"/>
    <mergeCell ref="G59:H59"/>
    <mergeCell ref="G58:H58"/>
    <mergeCell ref="G57:H57"/>
    <mergeCell ref="G56:H56"/>
    <mergeCell ref="I56:N56"/>
    <mergeCell ref="I57:N57"/>
    <mergeCell ref="I58:N58"/>
    <mergeCell ref="I59:N59"/>
    <mergeCell ref="I60:N60"/>
    <mergeCell ref="I61:N61"/>
    <mergeCell ref="I62:N62"/>
    <mergeCell ref="I63:N63"/>
    <mergeCell ref="I64:N64"/>
    <mergeCell ref="F31:I33"/>
    <mergeCell ref="B35:E35"/>
    <mergeCell ref="F35:I35"/>
    <mergeCell ref="B37:E39"/>
    <mergeCell ref="F37:I39"/>
    <mergeCell ref="B59:B61"/>
    <mergeCell ref="C59:F61"/>
    <mergeCell ref="C65:F67"/>
    <mergeCell ref="B65:B67"/>
    <mergeCell ref="C62:F64"/>
    <mergeCell ref="B62:B64"/>
    <mergeCell ref="B49:E49"/>
    <mergeCell ref="F49:I49"/>
    <mergeCell ref="C54:F54"/>
    <mergeCell ref="B56:B58"/>
    <mergeCell ref="C56:F58"/>
    <mergeCell ref="G67:H67"/>
    <mergeCell ref="G66:H66"/>
    <mergeCell ref="G65:H65"/>
    <mergeCell ref="G64:H64"/>
    <mergeCell ref="G63:H63"/>
    <mergeCell ref="G62:H62"/>
    <mergeCell ref="G61:H61"/>
    <mergeCell ref="G60:H60"/>
    <mergeCell ref="J31:P31"/>
    <mergeCell ref="N114:Q114"/>
    <mergeCell ref="N104:Q104"/>
    <mergeCell ref="N105:Q105"/>
    <mergeCell ref="J30:P30"/>
    <mergeCell ref="F103:I103"/>
    <mergeCell ref="J103:M103"/>
    <mergeCell ref="N103:Q103"/>
    <mergeCell ref="B104:E113"/>
    <mergeCell ref="B114:E123"/>
    <mergeCell ref="G82:H82"/>
    <mergeCell ref="G81:H81"/>
    <mergeCell ref="G80:H80"/>
    <mergeCell ref="G79:H79"/>
    <mergeCell ref="G78:H78"/>
    <mergeCell ref="G77:H77"/>
    <mergeCell ref="G76:H76"/>
    <mergeCell ref="G75:H75"/>
    <mergeCell ref="G74:H74"/>
    <mergeCell ref="G73:H73"/>
    <mergeCell ref="G72:H72"/>
    <mergeCell ref="G71:H71"/>
    <mergeCell ref="G70:H70"/>
    <mergeCell ref="G69:H69"/>
    <mergeCell ref="B134:E143"/>
    <mergeCell ref="F104:I104"/>
    <mergeCell ref="F105:I105"/>
    <mergeCell ref="F114:I114"/>
    <mergeCell ref="F134:I134"/>
    <mergeCell ref="J104:M104"/>
    <mergeCell ref="J105:M105"/>
    <mergeCell ref="J114:M114"/>
    <mergeCell ref="B47:E47"/>
    <mergeCell ref="F47:I47"/>
    <mergeCell ref="J134:M134"/>
    <mergeCell ref="B96:E98"/>
    <mergeCell ref="B124:E133"/>
    <mergeCell ref="J124:M124"/>
    <mergeCell ref="F115:I115"/>
    <mergeCell ref="F126:I126"/>
    <mergeCell ref="F127:I127"/>
    <mergeCell ref="F128:I128"/>
    <mergeCell ref="G88:H88"/>
    <mergeCell ref="G87:H87"/>
    <mergeCell ref="G86:H86"/>
    <mergeCell ref="G85:H85"/>
    <mergeCell ref="G84:H84"/>
    <mergeCell ref="G83:H83"/>
    <mergeCell ref="I82:N82"/>
    <mergeCell ref="I83:N83"/>
    <mergeCell ref="I84:N84"/>
    <mergeCell ref="I85:N85"/>
    <mergeCell ref="I86:N86"/>
    <mergeCell ref="I87:N87"/>
    <mergeCell ref="I88:N88"/>
    <mergeCell ref="I73:N73"/>
    <mergeCell ref="I74:N74"/>
    <mergeCell ref="I75:N75"/>
    <mergeCell ref="I76:N76"/>
    <mergeCell ref="I77:N77"/>
    <mergeCell ref="I78:N78"/>
    <mergeCell ref="I79:N79"/>
    <mergeCell ref="I80:N80"/>
    <mergeCell ref="I81:N81"/>
  </mergeCells>
  <conditionalFormatting sqref="B17:N17 B14 F14 B16 J14 F16 B25:B26 B31:B32 J18:J19 J22:J24 J35 J37:J39 B49 J47 F49 C86 N21 B15:L15 O14:O15 B34:N34 N40 F48:L48 O47:O48 F93:F98 N42">
    <cfRule type="expression" dxfId="483" priority="81">
      <formula>$J$134="No"</formula>
    </cfRule>
  </conditionalFormatting>
  <conditionalFormatting sqref="B18:B20">
    <cfRule type="expression" dxfId="482" priority="66">
      <formula>$J$134="No"</formula>
    </cfRule>
  </conditionalFormatting>
  <conditionalFormatting sqref="B22:B23">
    <cfRule type="expression" dxfId="481" priority="65">
      <formula>$J$134="No"</formula>
    </cfRule>
  </conditionalFormatting>
  <conditionalFormatting sqref="F18:F20">
    <cfRule type="expression" dxfId="480" priority="63">
      <formula>$J$134="No"</formula>
    </cfRule>
  </conditionalFormatting>
  <conditionalFormatting sqref="J25:J30">
    <cfRule type="expression" dxfId="479" priority="53">
      <formula>$J$134="No"</formula>
    </cfRule>
  </conditionalFormatting>
  <conditionalFormatting sqref="F22:F23">
    <cfRule type="expression" dxfId="478" priority="57">
      <formula>$J$134="No"</formula>
    </cfRule>
  </conditionalFormatting>
  <conditionalFormatting sqref="F25:F26">
    <cfRule type="expression" dxfId="477" priority="56">
      <formula>$J$134="No"</formula>
    </cfRule>
  </conditionalFormatting>
  <conditionalFormatting sqref="F31:F32">
    <cfRule type="expression" dxfId="476" priority="55">
      <formula>$J$134="No"</formula>
    </cfRule>
  </conditionalFormatting>
  <conditionalFormatting sqref="J31:J33">
    <cfRule type="expression" dxfId="475" priority="52">
      <formula>$J$134="No"</formula>
    </cfRule>
  </conditionalFormatting>
  <conditionalFormatting sqref="B21:M21">
    <cfRule type="expression" dxfId="474" priority="51">
      <formula>$J$134="No"</formula>
    </cfRule>
  </conditionalFormatting>
  <conditionalFormatting sqref="B40:B42">
    <cfRule type="expression" dxfId="473" priority="49">
      <formula>$J$134="No"</formula>
    </cfRule>
  </conditionalFormatting>
  <conditionalFormatting sqref="B35">
    <cfRule type="expression" dxfId="472" priority="48">
      <formula>$J$134="No"</formula>
    </cfRule>
  </conditionalFormatting>
  <conditionalFormatting sqref="B37:B38">
    <cfRule type="expression" dxfId="471" priority="47">
      <formula>$J$134="No"</formula>
    </cfRule>
  </conditionalFormatting>
  <conditionalFormatting sqref="F35">
    <cfRule type="expression" dxfId="470" priority="46">
      <formula>$J$134="No"</formula>
    </cfRule>
  </conditionalFormatting>
  <conditionalFormatting sqref="B36:M36">
    <cfRule type="expression" dxfId="469" priority="38">
      <formula>$J$134="No"</formula>
    </cfRule>
  </conditionalFormatting>
  <conditionalFormatting sqref="B47">
    <cfRule type="expression" dxfId="468" priority="37">
      <formula>$J$134="No"</formula>
    </cfRule>
  </conditionalFormatting>
  <conditionalFormatting sqref="F37:F38">
    <cfRule type="expression" dxfId="467" priority="43">
      <formula>$J$134="No"</formula>
    </cfRule>
  </conditionalFormatting>
  <conditionalFormatting sqref="F40:F42">
    <cfRule type="expression" dxfId="466" priority="42">
      <formula>$J$134="No"</formula>
    </cfRule>
  </conditionalFormatting>
  <conditionalFormatting sqref="J40:J42">
    <cfRule type="expression" dxfId="465" priority="40">
      <formula>$J$134="No"</formula>
    </cfRule>
  </conditionalFormatting>
  <conditionalFormatting sqref="B48:E48">
    <cfRule type="expression" dxfId="464" priority="34">
      <formula>$J$134="No"</formula>
    </cfRule>
  </conditionalFormatting>
  <conditionalFormatting sqref="B55:N55">
    <cfRule type="expression" dxfId="463" priority="33">
      <formula>$J$134="No"</formula>
    </cfRule>
  </conditionalFormatting>
  <conditionalFormatting sqref="C56">
    <cfRule type="expression" dxfId="462" priority="32">
      <formula>$J$134="No"</formula>
    </cfRule>
  </conditionalFormatting>
  <conditionalFormatting sqref="G56:G88">
    <cfRule type="expression" dxfId="461" priority="31">
      <formula>$J$134="No"</formula>
    </cfRule>
  </conditionalFormatting>
  <conditionalFormatting sqref="B96:B97">
    <cfRule type="expression" dxfId="460" priority="30">
      <formula>$J$134="No"</formula>
    </cfRule>
  </conditionalFormatting>
  <conditionalFormatting sqref="B93:B94">
    <cfRule type="expression" dxfId="459" priority="28">
      <formula>$J$134="No"</formula>
    </cfRule>
  </conditionalFormatting>
  <conditionalFormatting sqref="B92:I92">
    <cfRule type="expression" dxfId="458" priority="21">
      <formula>$J$134="No"</formula>
    </cfRule>
  </conditionalFormatting>
  <conditionalFormatting sqref="J16">
    <cfRule type="expression" dxfId="457" priority="20">
      <formula>$J$134="No"</formula>
    </cfRule>
  </conditionalFormatting>
  <conditionalFormatting sqref="O16">
    <cfRule type="expression" dxfId="456" priority="19">
      <formula>$J$134="No"</formula>
    </cfRule>
  </conditionalFormatting>
  <conditionalFormatting sqref="P14">
    <cfRule type="expression" dxfId="455" priority="18">
      <formula>$J$134="No"</formula>
    </cfRule>
  </conditionalFormatting>
  <conditionalFormatting sqref="P15">
    <cfRule type="expression" dxfId="454" priority="17">
      <formula>$J$134="No"</formula>
    </cfRule>
  </conditionalFormatting>
  <conditionalFormatting sqref="P16">
    <cfRule type="expression" dxfId="453" priority="16">
      <formula>$J$134="No"</formula>
    </cfRule>
  </conditionalFormatting>
  <conditionalFormatting sqref="F47">
    <cfRule type="expression" dxfId="452" priority="15">
      <formula>$J$134="No"</formula>
    </cfRule>
  </conditionalFormatting>
  <conditionalFormatting sqref="J49">
    <cfRule type="expression" dxfId="451" priority="13">
      <formula>$J$134="No"</formula>
    </cfRule>
  </conditionalFormatting>
  <conditionalFormatting sqref="O49">
    <cfRule type="expression" dxfId="450" priority="12">
      <formula>$J$134="No"</formula>
    </cfRule>
  </conditionalFormatting>
  <conditionalFormatting sqref="P47">
    <cfRule type="expression" dxfId="449" priority="11">
      <formula>$J$134="No"</formula>
    </cfRule>
  </conditionalFormatting>
  <conditionalFormatting sqref="P48">
    <cfRule type="expression" dxfId="448" priority="10">
      <formula>$J$134="No"</formula>
    </cfRule>
  </conditionalFormatting>
  <conditionalFormatting sqref="P49">
    <cfRule type="expression" dxfId="447" priority="9">
      <formula>$J$134="No"</formula>
    </cfRule>
  </conditionalFormatting>
  <conditionalFormatting sqref="N35">
    <cfRule type="expression" dxfId="446" priority="8">
      <formula>$J$134="No"</formula>
    </cfRule>
  </conditionalFormatting>
  <conditionalFormatting sqref="N36:Q36">
    <cfRule type="expression" dxfId="445" priority="4">
      <formula>$J$134="No"</formula>
    </cfRule>
  </conditionalFormatting>
  <conditionalFormatting sqref="N37:N39">
    <cfRule type="expression" dxfId="444" priority="3">
      <formula>$J$134="No"</formula>
    </cfRule>
  </conditionalFormatting>
  <conditionalFormatting sqref="N41">
    <cfRule type="expression" dxfId="443" priority="1">
      <formula>$J$134="No"</formula>
    </cfRule>
  </conditionalFormatting>
  <dataValidations xWindow="593" yWindow="543" count="10">
    <dataValidation type="textLength" operator="lessThan" allowBlank="1" showInputMessage="1" showErrorMessage="1" errorTitle="Error" error="El texto ingresado es mayor a 150 caracteres, incluye espacios en blanco." promptTitle="Evidencias" prompt="Describa las evidencias que justifica la causa directa seleccionada, de acuerdo a las condiciones de la situación actual." sqref="F31:I33">
      <formula1>150</formula1>
    </dataValidation>
    <dataValidation type="textLength" operator="lessThan" allowBlank="1" showInputMessage="1" showErrorMessage="1" errorTitle="Error" error="El texto ingresado es mayor a 400 caracteres, incluye eespacios en blanco." promptTitle="Evidencia" prompt="Describa las evidencias que justifica el efecto directo seleccionado, de acuerdo a las condiciones de la situación actual." sqref="F37:I42">
      <formula1>400</formula1>
    </dataValidation>
    <dataValidation type="textLength" operator="lessThan" allowBlank="1" showInputMessage="1" showErrorMessage="1" errorTitle="Error" error="El mensaje ingresado tiene más de 100 caracteres, incluye espacios en blanco." promptTitle="Evidencia" prompt="Describa las evidencias que justifica el efecto indirecto seleccionado, de acuerdo a las condiciones de la situación actual." sqref="N37:Q42">
      <formula1>100</formula1>
    </dataValidation>
    <dataValidation type="list" allowBlank="1" showInputMessage="1" showErrorMessage="1" promptTitle="Acciones excluyentes" prompt="Seleccionar las acciones excluyentes que crea conveniente para la alternativa ha desarrollar." sqref="F104:I143">
      <formula1>Ae</formula1>
    </dataValidation>
    <dataValidation type="list" allowBlank="1" showInputMessage="1" showErrorMessage="1" promptTitle="Acciones independientes" prompt="Seleccionar las acciones independientes que crea conveniente para la alternativa ha desarrollar." sqref="J104:M143">
      <formula1>Ai</formula1>
    </dataValidation>
    <dataValidation type="list" allowBlank="1" showInputMessage="1" showErrorMessage="1" promptTitle="Acciones complementarias" prompt="Seleccionar las acciones complementarias que crea conveniente para la alternativa ha desarrollar." sqref="N104:Q143">
      <formula1>Ac</formula1>
    </dataValidation>
    <dataValidation type="textLength" operator="lessThan" allowBlank="1" showInputMessage="1" showErrorMessage="1" errorTitle="Error" error="Ha ingresado un valor incorrecto. Vuelva ha intentarlo." promptTitle="Denominación" prompt="Ingrese la denominación de la alternativa que va a desarrollar. _x000a_Debe contener un máximo de 100 caracteres." sqref="B104:E143">
      <formula1>100</formula1>
    </dataValidation>
    <dataValidation type="custom" allowBlank="1" showInputMessage="1" showErrorMessage="1" errorTitle="Error" error="Ha elegido una acción repetida. Intente de nuevo." sqref="Z104:Z133 AI104:AI133 AR104:AR133 BA104:BA133">
      <formula1>COUNTIF($Z$104:$Z$133,Z104)=1</formula1>
    </dataValidation>
    <dataValidation type="list" allowBlank="1" showInputMessage="1" showErrorMessage="1" sqref="G20">
      <formula1>"1,2"</formula1>
    </dataValidation>
    <dataValidation type="textLength" operator="lessThan" allowBlank="1" showInputMessage="1" showErrorMessage="1" errorTitle="Error" error="El texto ingresado es mayor a 400 caracteres, incluye espacios en blanco." promptTitle="Evidencias" prompt="Describa las evidencias que justifica la causa directa seleccionada, de acuerdo a las condiciones de la situación actual." sqref="F22:I30">
      <formula1>400</formula1>
    </dataValidation>
  </dataValidations>
  <pageMargins left="0.70866141732283472" right="0.70866141732283472" top="0.74803149606299213" bottom="0.74803149606299213" header="0.31496062992125984" footer="0.31496062992125984"/>
  <pageSetup paperSize="9" scale="50"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extLst>
    <ext xmlns:x14="http://schemas.microsoft.com/office/spreadsheetml/2009/9/main" uri="{CCE6A557-97BC-4b89-ADB6-D9C93CAAB3DF}">
      <x14:dataValidations xmlns:xm="http://schemas.microsoft.com/office/excel/2006/main" xWindow="593" yWindow="543" count="32">
        <x14:dataValidation type="list" allowBlank="1" showInputMessage="1" showErrorMessage="1" promptTitle="Naturaleza de las Acciones" prompt="Seleccionar la naturaleza de la acción que se encuentra mejor relacionada con el factor de producción analizado. ">
          <x14:formula1>
            <xm:f>INDIRECT(VLOOKUP($C$86,'Base de datos'!$Q$3:$S$17,3,FALSE),TRUE)</xm:f>
          </x14:formula1>
          <xm:sqref>G86:H88</xm:sqref>
        </x14:dataValidation>
        <x14:dataValidation type="list" allowBlank="1" showInputMessage="1" showErrorMessage="1" promptTitle="Activo" prompt="Seleccione el activo del factor de producción que se quiere analizar.">
          <x14:formula1>
            <xm:f>INDIRECT(VLOOKUP($C$56,'Base de datos'!$Q$3:$R$17,2,FALSE),TRUE)</xm:f>
          </x14:formula1>
          <xm:sqref>I56:N58</xm:sqref>
        </x14:dataValidation>
        <x14:dataValidation type="list" allowBlank="1" showInputMessage="1" showErrorMessage="1" promptTitle="Causa Indirecta" prompt="Seleccionar la Causa Indirecta que crea conveniente y sustente la causa directa, asimismo al Problema Central._x000a_De acuerdo a su Análisis de la Situación Actual, podrá existir al menos una causa indirecta que sustente la causa directa.">
          <x14:formula1>
            <xm:f>INDIRECT(VLOOKUP($B$22,'Base de datos'!$L$3:$M$6,2,FALSE),TRUE)</xm:f>
          </x14:formula1>
          <xm:sqref>J23:P24</xm:sqref>
        </x14:dataValidation>
        <x14:dataValidation type="list" allowBlank="1" showInputMessage="1" showErrorMessage="1" promptTitle="Causa Indirecta" prompt="Seleccionar la Causa Indirecta que crea conveniente y sustente la causa directa, asimismo al Problema Central._x000a_De acuerdo a su Análisis de la Situación Actual, podrá existir al menos una causa indirecta que sustente la causa directa.">
          <x14:formula1>
            <xm:f>INDIRECT(VLOOKUP($B$25,'Base de datos'!$L$3:$M$6,2,FALSE),TRUE)</xm:f>
          </x14:formula1>
          <xm:sqref>J25:P27</xm:sqref>
        </x14:dataValidation>
        <x14:dataValidation type="list" allowBlank="1" showInputMessage="1" showErrorMessage="1" promptTitle="Causa Indirecta" prompt="Seleccionar la Causa Indirecta que crea conveniente y sustente la causa directa, asimismo al Problema Central._x000a_De acuerdo a su Análisis de la Situación Actual, podrá existir al menos una causa indirecta que sustente la causa directa.">
          <x14:formula1>
            <xm:f>INDIRECT(VLOOKUP($B$28,'Base de datos'!$L$3:$M$6,2,FALSE),TRUE)</xm:f>
          </x14:formula1>
          <xm:sqref>J28:J30 K28:P28 K30:P30</xm:sqref>
        </x14:dataValidation>
        <x14:dataValidation type="list" allowBlank="1" showInputMessage="1" showErrorMessage="1" promptTitle="Causa Directa" prompt="Seleccionar la Causa Directa que crea conveniente que desscriba el Problema Central._x000a_Puede elegirse un mínimo de dos Causas Directas.">
          <x14:formula1>
            <xm:f>'Base de datos'!$L$3:$L$6</xm:f>
          </x14:formula1>
          <xm:sqref>B31:E33</xm:sqref>
        </x14:dataValidation>
        <x14:dataValidation type="list" allowBlank="1" showInputMessage="1" showErrorMessage="1" promptTitle="Causa Indirecta" prompt="Seleccionar la Causa Indirecta que crea conveniente y sustente la causa directa, asimismo al Problema Central._x000a_De acuerdo a su Análisis de la Situación Actual, podrá existir al menos una causa indirecta que sustente la causa directa.">
          <x14:formula1>
            <xm:f>INDIRECT(VLOOKUP($B$31,'Base de datos'!$L$3:$M$6,2,FALSE),TRUE)</xm:f>
          </x14:formula1>
          <xm:sqref>J31:P33</xm:sqref>
        </x14:dataValidation>
        <x14:dataValidation type="list" allowBlank="1" showInputMessage="1" showErrorMessage="1" promptTitle="Efecto indirecto" prompt="Seleccionar el Efecto Indirecto que crea conveniente y que provoque el efecto directo, asimismo el Problema Central._x000a_De acuerdo a su Análisis de la Situación Actual, podrá existir al menos un efecto indirecto que provoque el efecto directo.">
          <x14:formula1>
            <xm:f>INDIRECT(VLOOKUP($B$37,'Base de datos'!$Z$3:$AA$4,2,FALSE),TRUE)</xm:f>
          </x14:formula1>
          <xm:sqref>J37:M39</xm:sqref>
        </x14:dataValidation>
        <x14:dataValidation type="list" allowBlank="1" showInputMessage="1" showErrorMessage="1" promptTitle="Efecto Directo" prompt="Seleccionar el Efecto Directo que crea conveniente y que provoque el  Problema Central._x000a_De acuerdo a su Análisis de la Situación Actual, podrá existir al menos un efecto directo.">
          <x14:formula1>
            <xm:f>'Base de datos'!$Z$3:$Z$4</xm:f>
          </x14:formula1>
          <xm:sqref>B37:E42</xm:sqref>
        </x14:dataValidation>
        <x14:dataValidation type="list" allowBlank="1" showInputMessage="1" showErrorMessage="1" promptTitle="Efecto indirecto" prompt="Seleccionar el Efecto Indirecto que crea conveniente y que provoque el efecto directo, asimismo el Problema Central._x000a_De acuerdo a su Análisis de la Situación Actual, podrá existir al menos un efecto indirecto que provoque el efecto directo.">
          <x14:formula1>
            <xm:f>INDIRECT(VLOOKUP($B$40,'Base de datos'!$Z$3:$AA$4,2,FALSE),TRUE)</xm:f>
          </x14:formula1>
          <xm:sqref>J40:M42</xm:sqref>
        </x14:dataValidation>
        <x14:dataValidation type="list" allowBlank="1" showInputMessage="1" showErrorMessage="1" promptTitle="Activo" prompt="Seleccione el activo del factor de producción que se quiere analizar.">
          <x14:formula1>
            <xm:f>INDIRECT(VLOOKUP($C$59,'Base de datos'!$Q$3:$R$17,2,FALSE),TRUE)</xm:f>
          </x14:formula1>
          <xm:sqref>I59:N61</xm:sqref>
        </x14:dataValidation>
        <x14:dataValidation type="list" allowBlank="1" showInputMessage="1" showErrorMessage="1" promptTitle="Activo" prompt="Seleccione el activo del factor de producción que se quiere analizar.">
          <x14:formula1>
            <xm:f>INDIRECT(VLOOKUP($C$62,'Base de datos'!$Q$3:$R$17,2,FALSE),TRUE)</xm:f>
          </x14:formula1>
          <xm:sqref>I62:N64</xm:sqref>
        </x14:dataValidation>
        <x14:dataValidation type="list" allowBlank="1" showInputMessage="1" showErrorMessage="1" promptTitle="Activo" prompt="Seleccione el activo del factor de producción que se quiere analizar.">
          <x14:formula1>
            <xm:f>INDIRECT(VLOOKUP($C$65,'Base de datos'!$Q$3:$R$17,2,FALSE),TRUE)</xm:f>
          </x14:formula1>
          <xm:sqref>I65:N67</xm:sqref>
        </x14:dataValidation>
        <x14:dataValidation type="list" allowBlank="1" showInputMessage="1" showErrorMessage="1" promptTitle="Activo" prompt="Seleccione el activo del factor de producción que se quiere analizar.">
          <x14:formula1>
            <xm:f>INDIRECT(VLOOKUP($C$68,'Base de datos'!$Q$3:$R$17,2,FALSE),TRUE)</xm:f>
          </x14:formula1>
          <xm:sqref>I68:N70</xm:sqref>
        </x14:dataValidation>
        <x14:dataValidation type="list" allowBlank="1" showInputMessage="1" showErrorMessage="1" promptTitle="Activo" prompt="Seleccione el activo del factor de producción que se quiere analizar.">
          <x14:formula1>
            <xm:f>INDIRECT(VLOOKUP($C$71,'Base de datos'!$Q$3:$R$17,2,FALSE),TRUE)</xm:f>
          </x14:formula1>
          <xm:sqref>I71:N73</xm:sqref>
        </x14:dataValidation>
        <x14:dataValidation type="list" allowBlank="1" showInputMessage="1" showErrorMessage="1" promptTitle="Activo" prompt="Seleccione el activo del factor de producción que se quiere analizar.">
          <x14:formula1>
            <xm:f>INDIRECT(VLOOKUP($C$74,'Base de datos'!$Q$3:$R$17,2,FALSE),TRUE)</xm:f>
          </x14:formula1>
          <xm:sqref>I74:N76</xm:sqref>
        </x14:dataValidation>
        <x14:dataValidation type="list" allowBlank="1" showInputMessage="1" showErrorMessage="1" promptTitle="Activo" prompt="Seleccione el activo del factor de producción que se quiere analizar.">
          <x14:formula1>
            <xm:f>INDIRECT(VLOOKUP($C$77,'Base de datos'!$Q$3:$R$17,2,FALSE),TRUE)</xm:f>
          </x14:formula1>
          <xm:sqref>I77:N79</xm:sqref>
        </x14:dataValidation>
        <x14:dataValidation type="list" allowBlank="1" showInputMessage="1" showErrorMessage="1" promptTitle="Activo" prompt="Seleccione el activo del factor de producción que se quiere analizar.">
          <x14:formula1>
            <xm:f>INDIRECT(VLOOKUP($C$80,'Base de datos'!$Q$3:$R$17,2,FALSE),TRUE)</xm:f>
          </x14:formula1>
          <xm:sqref>I80:N82</xm:sqref>
        </x14:dataValidation>
        <x14:dataValidation type="list" allowBlank="1" showInputMessage="1" showErrorMessage="1" promptTitle="Activo" prompt="Seleccione el activo del factor de producción que se quiere analizar.">
          <x14:formula1>
            <xm:f>INDIRECT(VLOOKUP($C$83,'Base de datos'!$Q$3:$R$17,2,FALSE),TRUE)</xm:f>
          </x14:formula1>
          <xm:sqref>I83:N85</xm:sqref>
        </x14:dataValidation>
        <x14:dataValidation type="list" allowBlank="1" showInputMessage="1" showErrorMessage="1" promptTitle="Activo" prompt="Seleccione el activo del factor de producción que se quiere analizar.">
          <x14:formula1>
            <xm:f>INDIRECT(VLOOKUP($C$86,'Base de datos'!$Q$3:$R$17,2,FALSE),TRUE)</xm:f>
          </x14:formula1>
          <xm:sqref>I86:N88</xm:sqref>
        </x14:dataValidation>
        <x14:dataValidation type="list" allowBlank="1" showInputMessage="1" showErrorMessage="1" promptTitle="Naturaleza de las Acciones" prompt="Seleccionar la naturaleza de la acción que se encuentra mejor relacionada con el factor de producción analizado. ">
          <x14:formula1>
            <xm:f>INDIRECT(VLOOKUP($C$56,'Base de datos'!$Q$3:$S$17,3,FALSE),TRUE)</xm:f>
          </x14:formula1>
          <xm:sqref>G56:H58</xm:sqref>
        </x14:dataValidation>
        <x14:dataValidation type="list" allowBlank="1" showInputMessage="1" showErrorMessage="1" promptTitle="Naturaleza de las Acciones" prompt="Seleccionar la naturaleza de la acción que se encuentra mejor relacionada con el factor de producción analizado. ">
          <x14:formula1>
            <xm:f>INDIRECT(VLOOKUP($C$59,'Base de datos'!$Q$3:$S$17,3,FALSE),TRUE)</xm:f>
          </x14:formula1>
          <xm:sqref>G59:H61</xm:sqref>
        </x14:dataValidation>
        <x14:dataValidation type="list" allowBlank="1" showInputMessage="1" showErrorMessage="1" promptTitle="Naturaleza de las Acciones" prompt="Seleccionar la naturaleza de la acción que se encuentra mejor relacionada con el factor de producción analizado. ">
          <x14:formula1>
            <xm:f>INDIRECT(VLOOKUP($C$62,'Base de datos'!$Q$3:$S$17,3,FALSE),TRUE)</xm:f>
          </x14:formula1>
          <xm:sqref>G62:H64</xm:sqref>
        </x14:dataValidation>
        <x14:dataValidation type="list" allowBlank="1" showInputMessage="1" showErrorMessage="1" promptTitle="Naturaleza de las Acciones" prompt="Seleccionar la naturaleza de la acción que se encuentra mejor relacionada con el factor de producción analizado. ">
          <x14:formula1>
            <xm:f>INDIRECT(VLOOKUP($C$65,'Base de datos'!$Q$3:$S$17,3,FALSE),TRUE)</xm:f>
          </x14:formula1>
          <xm:sqref>G65:H67</xm:sqref>
        </x14:dataValidation>
        <x14:dataValidation type="list" allowBlank="1" showInputMessage="1" showErrorMessage="1" promptTitle="Naturaleza de las Acciones" prompt="Seleccionar la naturaleza de la acción que se encuentra mejor relacionada con el factor de producción analizado. ">
          <x14:formula1>
            <xm:f>INDIRECT(VLOOKUP($C$68,'Base de datos'!$Q$3:$S$17,3,FALSE),TRUE)</xm:f>
          </x14:formula1>
          <xm:sqref>G68:H70</xm:sqref>
        </x14:dataValidation>
        <x14:dataValidation type="list" allowBlank="1" showInputMessage="1" showErrorMessage="1" promptTitle="Naturaleza de las Acciones" prompt="Seleccionar la naturaleza de la acción que se encuentra mejor relacionada con el factor de producción analizado. ">
          <x14:formula1>
            <xm:f>INDIRECT(VLOOKUP($C$71,'Base de datos'!$Q$3:$S$17,3,FALSE),TRUE)</xm:f>
          </x14:formula1>
          <xm:sqref>G71:H73</xm:sqref>
        </x14:dataValidation>
        <x14:dataValidation type="list" allowBlank="1" showInputMessage="1" showErrorMessage="1" promptTitle="Naturaleza de las Acciones" prompt="Seleccionar la naturaleza de la acción que se encuentra mejor relacionada con el factor de producción analizado. ">
          <x14:formula1>
            <xm:f>INDIRECT(VLOOKUP($C$74,'Base de datos'!$Q$3:$S$17,3,FALSE),TRUE)</xm:f>
          </x14:formula1>
          <xm:sqref>G74:H76</xm:sqref>
        </x14:dataValidation>
        <x14:dataValidation type="list" allowBlank="1" showInputMessage="1" showErrorMessage="1" promptTitle="Naturaleza de las Acciones" prompt="Seleccionar la naturaleza de la acción que se encuentra mejor relacionada con el factor de producción analizado. ">
          <x14:formula1>
            <xm:f>INDIRECT(VLOOKUP($C$77,'Base de datos'!$Q$3:$S$17,3,FALSE),TRUE)</xm:f>
          </x14:formula1>
          <xm:sqref>G77:H79</xm:sqref>
        </x14:dataValidation>
        <x14:dataValidation type="list" allowBlank="1" showInputMessage="1" showErrorMessage="1" promptTitle="Naturaleza de las Acciones" prompt="Seleccionar la naturaleza de la acción que se encuentra mejor relacionada con el factor de producción analizado. ">
          <x14:formula1>
            <xm:f>INDIRECT(VLOOKUP($C$80,'Base de datos'!$Q$3:$S$17,3,FALSE),TRUE)</xm:f>
          </x14:formula1>
          <xm:sqref>G80:H82</xm:sqref>
        </x14:dataValidation>
        <x14:dataValidation type="list" allowBlank="1" showInputMessage="1" showErrorMessage="1" promptTitle="Naturaleza de las Acciones" prompt="Seleccionar la naturaleza de la acción que se encuentra mejor relacionada con el factor de producción analizado. ">
          <x14:formula1>
            <xm:f>INDIRECT(VLOOKUP($C$83,'Base de datos'!$Q$3:$S$17,3,FALSE),TRUE)</xm:f>
          </x14:formula1>
          <xm:sqref>G83:H85</xm:sqref>
        </x14:dataValidation>
        <x14:dataValidation type="list" allowBlank="1" showInputMessage="1" showErrorMessage="1" promptTitle="Causa Directa" prompt="Seleccionar la Causa Directa que crea conveniente que desscriba el Problema Central._x000a_Puede elegirse un mínimo de dos Causas Directas.">
          <x14:formula1>
            <xm:f>'Base de datos'!$L$3:$L$5</xm:f>
          </x14:formula1>
          <xm:sqref>B22:E24 B25:E27 B28:E30</xm:sqref>
        </x14:dataValidation>
        <x14:dataValidation type="list" allowBlank="1" showInputMessage="1" showErrorMessage="1" promptTitle="Causa Indirecta" prompt="Seleccionar la Causa Indirecta que crea conveniente y sustente la causa directa, asimismo al Problema Central._x000a_De acuerdo a su Análisis de la Situación Actual, podrá existir al menos una causa indirecta que sustente la causa directa.">
          <x14:formula1>
            <xm:f>INDIRECT(VLOOKUP($B$22,'Base de datos'!$L$3:$M$5,2,FALSE),TRUE)</xm:f>
          </x14:formula1>
          <xm:sqref>J22:P22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C30"/>
  <sheetViews>
    <sheetView showGridLines="0" zoomScaleNormal="100" zoomScaleSheetLayoutView="100" workbookViewId="0">
      <pane ySplit="9" topLeftCell="A16" activePane="bottomLeft" state="frozen"/>
      <selection sqref="A1:XFD1048576"/>
      <selection pane="bottomLeft" activeCell="H17" sqref="H17"/>
    </sheetView>
  </sheetViews>
  <sheetFormatPr baseColWidth="10" defaultColWidth="10.140625" defaultRowHeight="15" x14ac:dyDescent="0.25"/>
  <cols>
    <col min="1" max="1" width="10.140625" style="50" customWidth="1"/>
    <col min="2" max="7" width="10.140625" style="50"/>
    <col min="8" max="8" width="10.140625" style="50" customWidth="1"/>
    <col min="9" max="9" width="10.140625" style="50"/>
    <col min="10" max="10" width="11" style="50" customWidth="1"/>
    <col min="11" max="11" width="12" style="50" customWidth="1"/>
    <col min="12" max="16384" width="10.140625" style="50"/>
  </cols>
  <sheetData>
    <row r="1" spans="1:29" x14ac:dyDescent="0.25">
      <c r="A1" s="49"/>
      <c r="B1" s="49"/>
      <c r="C1" s="49"/>
      <c r="D1" s="49"/>
      <c r="E1" s="49"/>
      <c r="F1" s="49"/>
      <c r="G1" s="49"/>
      <c r="H1" s="49"/>
      <c r="I1" s="49"/>
      <c r="J1" s="49"/>
      <c r="K1" s="49"/>
      <c r="L1" s="49"/>
      <c r="M1" s="49"/>
      <c r="N1" s="49"/>
      <c r="O1" s="41"/>
      <c r="P1" s="41"/>
      <c r="Q1" s="41"/>
      <c r="R1" s="41"/>
      <c r="S1" s="41"/>
      <c r="T1" s="41"/>
      <c r="U1" s="41"/>
      <c r="V1" s="41"/>
      <c r="W1" s="41"/>
      <c r="X1" s="41"/>
      <c r="Y1" s="41"/>
      <c r="Z1" s="41"/>
      <c r="AA1" s="41"/>
      <c r="AB1" s="41"/>
      <c r="AC1" s="41"/>
    </row>
    <row r="2" spans="1:29" x14ac:dyDescent="0.25">
      <c r="A2" s="49"/>
      <c r="B2" s="49"/>
      <c r="C2" s="49"/>
      <c r="D2" s="49"/>
      <c r="E2" s="49"/>
      <c r="F2" s="49"/>
      <c r="G2" s="49"/>
      <c r="H2" s="49"/>
      <c r="I2" s="49"/>
      <c r="J2" s="49"/>
      <c r="K2" s="49"/>
      <c r="L2" s="49"/>
      <c r="M2" s="49"/>
      <c r="N2" s="49"/>
      <c r="O2" s="41"/>
      <c r="P2" s="41"/>
      <c r="Q2" s="41"/>
      <c r="R2" s="41"/>
      <c r="S2" s="41"/>
      <c r="T2" s="41"/>
      <c r="U2" s="41"/>
      <c r="V2" s="41"/>
      <c r="W2" s="41"/>
      <c r="X2" s="41"/>
      <c r="Y2" s="41"/>
      <c r="Z2" s="41"/>
      <c r="AA2" s="41"/>
      <c r="AB2" s="41"/>
      <c r="AC2" s="41"/>
    </row>
    <row r="3" spans="1:29" x14ac:dyDescent="0.25">
      <c r="A3" s="49"/>
      <c r="B3" s="49"/>
      <c r="C3" s="49"/>
      <c r="D3" s="49"/>
      <c r="E3" s="49"/>
      <c r="F3" s="49"/>
      <c r="G3" s="49"/>
      <c r="H3" s="49"/>
      <c r="I3" s="49"/>
      <c r="J3" s="49"/>
      <c r="K3" s="49"/>
      <c r="L3" s="49"/>
      <c r="M3" s="49"/>
      <c r="N3" s="49"/>
      <c r="O3" s="41"/>
      <c r="P3" s="41"/>
      <c r="Q3" s="41"/>
      <c r="R3" s="41"/>
      <c r="S3" s="41"/>
      <c r="T3" s="41"/>
      <c r="U3" s="41"/>
      <c r="V3" s="41"/>
      <c r="W3" s="41"/>
      <c r="X3" s="41"/>
      <c r="Y3" s="41"/>
      <c r="Z3" s="41"/>
      <c r="AA3" s="41"/>
      <c r="AB3" s="41"/>
      <c r="AC3" s="41"/>
    </row>
    <row r="4" spans="1:29" x14ac:dyDescent="0.25">
      <c r="A4" s="49"/>
      <c r="B4" s="49"/>
      <c r="C4" s="49"/>
      <c r="D4" s="49"/>
      <c r="E4" s="49"/>
      <c r="F4" s="49"/>
      <c r="G4" s="49"/>
      <c r="H4" s="49"/>
      <c r="I4" s="49"/>
      <c r="J4" s="49"/>
      <c r="K4" s="49"/>
      <c r="L4" s="49"/>
      <c r="M4" s="49"/>
      <c r="N4" s="49"/>
      <c r="O4" s="41"/>
      <c r="P4" s="41"/>
      <c r="Q4" s="41"/>
      <c r="R4" s="41"/>
      <c r="S4" s="41"/>
      <c r="T4" s="41"/>
      <c r="U4" s="41"/>
      <c r="V4" s="41"/>
      <c r="W4" s="41"/>
      <c r="X4" s="41"/>
      <c r="Y4" s="41"/>
      <c r="Z4" s="41"/>
      <c r="AA4" s="41"/>
      <c r="AB4" s="41"/>
      <c r="AC4" s="41"/>
    </row>
    <row r="5" spans="1:29" x14ac:dyDescent="0.25">
      <c r="A5" s="49"/>
      <c r="B5" s="49"/>
      <c r="C5" s="49"/>
      <c r="D5" s="49"/>
      <c r="E5" s="49"/>
      <c r="F5" s="49"/>
      <c r="G5" s="49"/>
      <c r="H5" s="49"/>
      <c r="I5" s="49"/>
      <c r="J5" s="49"/>
      <c r="K5" s="49"/>
      <c r="L5" s="49"/>
      <c r="M5" s="49"/>
      <c r="N5" s="49"/>
      <c r="O5" s="41"/>
      <c r="P5" s="41"/>
      <c r="Q5" s="41"/>
      <c r="R5" s="41"/>
      <c r="S5" s="41"/>
      <c r="T5" s="41"/>
      <c r="U5" s="41"/>
      <c r="V5" s="41"/>
      <c r="W5" s="41"/>
      <c r="X5" s="41"/>
      <c r="Y5" s="41"/>
      <c r="Z5" s="41"/>
      <c r="AA5" s="41"/>
      <c r="AB5" s="41"/>
      <c r="AC5" s="41"/>
    </row>
    <row r="6" spans="1:29" x14ac:dyDescent="0.25">
      <c r="A6" s="49"/>
      <c r="B6" s="49"/>
      <c r="C6" s="49"/>
      <c r="D6" s="49"/>
      <c r="E6" s="49"/>
      <c r="F6" s="49"/>
      <c r="G6" s="49"/>
      <c r="H6" s="49"/>
      <c r="I6" s="49"/>
      <c r="J6" s="49"/>
      <c r="K6" s="49"/>
      <c r="L6" s="49"/>
      <c r="M6" s="49"/>
      <c r="N6" s="49"/>
      <c r="O6" s="41"/>
      <c r="P6" s="41"/>
      <c r="Q6" s="41"/>
      <c r="R6" s="41"/>
      <c r="S6" s="41"/>
      <c r="T6" s="41"/>
      <c r="U6" s="41"/>
      <c r="V6" s="41"/>
      <c r="W6" s="41"/>
      <c r="X6" s="41"/>
      <c r="Y6" s="41"/>
      <c r="Z6" s="41"/>
      <c r="AA6" s="41"/>
      <c r="AB6" s="41"/>
      <c r="AC6" s="41"/>
    </row>
    <row r="7" spans="1:29" x14ac:dyDescent="0.25">
      <c r="A7" s="49"/>
      <c r="B7" s="49"/>
      <c r="C7" s="49"/>
      <c r="D7" s="49"/>
      <c r="E7" s="49"/>
      <c r="F7" s="49"/>
      <c r="G7" s="49"/>
      <c r="H7" s="49"/>
      <c r="I7" s="49"/>
      <c r="J7" s="49"/>
      <c r="K7" s="49"/>
      <c r="L7" s="49"/>
      <c r="M7" s="49"/>
      <c r="N7" s="49"/>
      <c r="O7" s="41"/>
      <c r="P7" s="41"/>
      <c r="Q7" s="41"/>
      <c r="R7" s="41"/>
      <c r="S7" s="41"/>
      <c r="T7" s="41"/>
      <c r="U7" s="41"/>
      <c r="V7" s="41"/>
      <c r="W7" s="41"/>
      <c r="X7" s="41"/>
      <c r="Y7" s="41"/>
      <c r="Z7" s="41"/>
      <c r="AA7" s="41"/>
      <c r="AB7" s="41"/>
      <c r="AC7" s="41"/>
    </row>
    <row r="8" spans="1:29" x14ac:dyDescent="0.25">
      <c r="A8" s="49"/>
      <c r="B8" s="49"/>
      <c r="C8" s="49"/>
      <c r="D8" s="49"/>
      <c r="E8" s="49"/>
      <c r="F8" s="49"/>
      <c r="G8" s="49"/>
      <c r="H8" s="49"/>
      <c r="I8" s="49"/>
      <c r="J8" s="49"/>
      <c r="K8" s="49"/>
      <c r="L8" s="49"/>
      <c r="M8" s="49"/>
      <c r="N8" s="49"/>
      <c r="O8" s="41"/>
      <c r="P8" s="41"/>
      <c r="Q8" s="41"/>
      <c r="R8" s="41"/>
      <c r="S8" s="41"/>
      <c r="T8" s="41"/>
      <c r="U8" s="41"/>
      <c r="V8" s="41"/>
      <c r="W8" s="41"/>
      <c r="X8" s="41"/>
      <c r="Y8" s="41"/>
      <c r="Z8" s="41"/>
      <c r="AA8" s="41"/>
      <c r="AB8" s="41"/>
      <c r="AC8" s="41"/>
    </row>
    <row r="9" spans="1:29" x14ac:dyDescent="0.25">
      <c r="A9" s="49"/>
      <c r="B9" s="49"/>
      <c r="C9" s="49"/>
      <c r="D9" s="49"/>
      <c r="E9" s="49"/>
      <c r="F9" s="49"/>
      <c r="G9" s="49"/>
      <c r="H9" s="49"/>
      <c r="I9" s="49"/>
      <c r="J9" s="49"/>
      <c r="K9" s="49"/>
      <c r="L9" s="49"/>
      <c r="M9" s="49"/>
      <c r="N9" s="49"/>
      <c r="O9" s="41"/>
      <c r="P9" s="41"/>
      <c r="Q9" s="41"/>
      <c r="R9" s="41"/>
      <c r="S9" s="41"/>
      <c r="T9" s="41"/>
      <c r="U9" s="41"/>
      <c r="V9" s="41"/>
      <c r="W9" s="41"/>
      <c r="X9" s="41"/>
      <c r="Y9" s="41"/>
      <c r="Z9" s="41"/>
      <c r="AA9" s="41"/>
      <c r="AB9" s="41"/>
      <c r="AC9" s="41"/>
    </row>
    <row r="10" spans="1:29" ht="9" customHeight="1" x14ac:dyDescent="0.25"/>
    <row r="11" spans="1:29" s="82" customFormat="1" ht="18.75" x14ac:dyDescent="0.3">
      <c r="B11" s="82" t="s">
        <v>347</v>
      </c>
    </row>
    <row r="12" spans="1:29" s="82" customFormat="1" ht="10.5" customHeight="1" x14ac:dyDescent="0.3"/>
    <row r="13" spans="1:29" x14ac:dyDescent="0.25">
      <c r="B13" s="152" t="s">
        <v>353</v>
      </c>
      <c r="C13" s="153"/>
      <c r="D13" s="153"/>
      <c r="E13" s="153"/>
      <c r="F13" s="153"/>
      <c r="G13" s="153"/>
      <c r="H13" s="153"/>
      <c r="I13" s="153"/>
      <c r="J13" s="153"/>
      <c r="K13" s="153"/>
      <c r="L13" s="153"/>
      <c r="M13" s="153"/>
      <c r="N13" s="153"/>
    </row>
    <row r="15" spans="1:29" s="68" customFormat="1" ht="15.75" x14ac:dyDescent="0.2">
      <c r="B15" s="1089" t="s">
        <v>377</v>
      </c>
      <c r="C15" s="1089"/>
      <c r="D15" s="1089"/>
      <c r="E15" s="1089"/>
      <c r="F15" s="1089"/>
      <c r="G15" s="1089"/>
      <c r="H15" s="1089"/>
      <c r="I15" s="1089"/>
      <c r="J15" s="1089"/>
      <c r="K15" s="1089"/>
      <c r="L15" s="1089"/>
      <c r="M15" s="1089"/>
      <c r="N15" s="411"/>
      <c r="O15" s="154"/>
      <c r="P15" s="154"/>
    </row>
    <row r="16" spans="1:29" s="68" customFormat="1" ht="24" customHeight="1" thickBot="1" x14ac:dyDescent="0.25">
      <c r="H16" s="155" t="s">
        <v>79</v>
      </c>
      <c r="J16" s="116"/>
      <c r="K16" s="105"/>
      <c r="L16" s="116"/>
      <c r="M16" s="156"/>
      <c r="N16" s="116"/>
      <c r="O16" s="154"/>
      <c r="P16" s="154"/>
    </row>
    <row r="17" spans="2:17" s="68" customFormat="1" ht="14.45" customHeight="1" thickBot="1" x14ac:dyDescent="0.25">
      <c r="B17" s="157" t="s">
        <v>81</v>
      </c>
      <c r="H17" s="545"/>
      <c r="J17" s="628"/>
      <c r="L17" s="628"/>
      <c r="M17" s="156"/>
      <c r="N17" s="628"/>
      <c r="O17" s="154"/>
      <c r="P17" s="154"/>
    </row>
    <row r="18" spans="2:17" s="68" customFormat="1" ht="17.100000000000001" customHeight="1" x14ac:dyDescent="0.2">
      <c r="B18" s="1473" t="s">
        <v>82</v>
      </c>
      <c r="C18" s="1473"/>
      <c r="D18" s="1473"/>
      <c r="E18" s="1473"/>
      <c r="F18" s="1473"/>
      <c r="G18" s="1473"/>
      <c r="H18" s="1473"/>
      <c r="I18" s="1473"/>
      <c r="J18" s="1473"/>
      <c r="K18" s="1473"/>
      <c r="L18" s="1473"/>
      <c r="M18" s="1473"/>
      <c r="N18" s="154"/>
      <c r="O18" s="154"/>
      <c r="P18" s="154"/>
    </row>
    <row r="19" spans="2:17" s="68" customFormat="1" ht="12.75" customHeight="1" thickBot="1" x14ac:dyDescent="0.25">
      <c r="B19" s="1473"/>
      <c r="C19" s="1473"/>
      <c r="D19" s="1473"/>
      <c r="E19" s="1473"/>
      <c r="F19" s="1473"/>
      <c r="G19" s="1473"/>
      <c r="H19" s="1473"/>
      <c r="I19" s="1473"/>
      <c r="J19" s="1473"/>
      <c r="K19" s="1473"/>
      <c r="L19" s="1473"/>
      <c r="M19" s="1473"/>
      <c r="N19" s="154"/>
      <c r="O19" s="154"/>
      <c r="P19" s="154"/>
    </row>
    <row r="20" spans="2:17" s="68" customFormat="1" ht="16.5" customHeight="1" thickBot="1" x14ac:dyDescent="0.25">
      <c r="B20" s="157" t="s">
        <v>83</v>
      </c>
      <c r="H20" s="544">
        <v>10</v>
      </c>
      <c r="I20" s="158"/>
      <c r="J20" s="111" t="str">
        <f>IFERROR(IF(AND(J22="",J26=""),"",MIN(J22,J26)),"")</f>
        <v/>
      </c>
      <c r="K20" s="75"/>
      <c r="L20" s="111" t="str">
        <f>IFERROR(IF(AND(L22="",L26=""),"",MIN(L22,L26)),"")</f>
        <v/>
      </c>
      <c r="M20" s="118"/>
      <c r="N20" s="111" t="str">
        <f>IFERROR(IF(AND(N22="",N26=""),"",MIN(N22,N26)),"")</f>
        <v/>
      </c>
      <c r="O20" s="154"/>
      <c r="P20" s="154"/>
    </row>
    <row r="21" spans="2:17" s="68" customFormat="1" ht="7.5" customHeight="1" x14ac:dyDescent="0.2">
      <c r="B21" s="157"/>
      <c r="H21" s="66"/>
      <c r="J21" s="89"/>
      <c r="K21" s="75"/>
      <c r="L21" s="89"/>
      <c r="M21" s="118"/>
      <c r="N21" s="89"/>
      <c r="O21" s="154"/>
      <c r="P21" s="154"/>
    </row>
    <row r="22" spans="2:17" s="160" customFormat="1" ht="17.25" hidden="1" customHeight="1" thickBot="1" x14ac:dyDescent="0.3">
      <c r="B22" s="159" t="s">
        <v>84</v>
      </c>
      <c r="H22" s="540" t="str">
        <f>IFERROR(IF(H24="","",H24),"")</f>
        <v/>
      </c>
      <c r="J22" s="80" t="str">
        <f>IFERROR(IF(J24="","",J24),"")</f>
        <v/>
      </c>
      <c r="K22" s="620"/>
      <c r="L22" s="80" t="str">
        <f>IFERROR(IF(L24="","",L24),"")</f>
        <v/>
      </c>
      <c r="M22" s="621"/>
      <c r="N22" s="80" t="str">
        <f>IFERROR(IF(N24="","",N24),"")</f>
        <v/>
      </c>
      <c r="O22" s="543"/>
      <c r="P22" s="161"/>
    </row>
    <row r="23" spans="2:17" s="68" customFormat="1" ht="7.5" hidden="1" customHeight="1" x14ac:dyDescent="0.2">
      <c r="B23" s="157"/>
      <c r="H23" s="66"/>
      <c r="J23" s="89"/>
      <c r="K23" s="75"/>
      <c r="L23" s="89"/>
      <c r="M23" s="118"/>
      <c r="N23" s="89"/>
      <c r="O23" s="154"/>
      <c r="P23" s="154"/>
    </row>
    <row r="24" spans="2:17" s="68" customFormat="1" ht="12.75" hidden="1" customHeight="1" x14ac:dyDescent="0.2">
      <c r="B24" s="162" t="s">
        <v>85</v>
      </c>
      <c r="C24" s="70"/>
      <c r="D24" s="70"/>
      <c r="H24" s="541"/>
      <c r="I24" s="163"/>
      <c r="J24" s="622"/>
      <c r="K24" s="75"/>
      <c r="L24" s="622"/>
      <c r="M24" s="118"/>
      <c r="N24" s="622"/>
      <c r="O24" s="154"/>
      <c r="P24" s="154"/>
    </row>
    <row r="25" spans="2:17" s="68" customFormat="1" ht="7.5" hidden="1" customHeight="1" x14ac:dyDescent="0.2">
      <c r="B25" s="157"/>
      <c r="H25" s="66"/>
      <c r="J25" s="89"/>
      <c r="K25" s="75"/>
      <c r="L25" s="89"/>
      <c r="M25" s="118"/>
      <c r="N25" s="89"/>
      <c r="O25" s="154"/>
      <c r="P25" s="154"/>
    </row>
    <row r="26" spans="2:17" s="68" customFormat="1" ht="12.75" hidden="1" customHeight="1" x14ac:dyDescent="0.2">
      <c r="B26" s="1474" t="s">
        <v>312</v>
      </c>
      <c r="C26" s="1474"/>
      <c r="D26" s="1474"/>
      <c r="E26" s="1474"/>
      <c r="F26" s="1474"/>
      <c r="H26" s="1475"/>
      <c r="I26" s="165"/>
      <c r="J26" s="1472"/>
      <c r="K26" s="623"/>
      <c r="L26" s="1472"/>
      <c r="M26" s="118"/>
      <c r="N26" s="1472"/>
      <c r="O26" s="154"/>
      <c r="P26" s="154"/>
    </row>
    <row r="27" spans="2:17" s="68" customFormat="1" ht="12.75" hidden="1" customHeight="1" x14ac:dyDescent="0.2">
      <c r="B27" s="1474"/>
      <c r="C27" s="1474"/>
      <c r="D27" s="1474"/>
      <c r="E27" s="1474"/>
      <c r="F27" s="1474"/>
      <c r="G27" s="66"/>
      <c r="H27" s="1476"/>
      <c r="I27" s="165"/>
      <c r="J27" s="1472"/>
      <c r="K27" s="75"/>
      <c r="L27" s="1472"/>
      <c r="M27" s="118"/>
      <c r="N27" s="1472"/>
      <c r="O27" s="154"/>
      <c r="P27" s="154"/>
    </row>
    <row r="28" spans="2:17" s="56" customFormat="1" ht="11.25" customHeight="1" thickBot="1" x14ac:dyDescent="0.25">
      <c r="B28" s="166"/>
      <c r="C28" s="167"/>
      <c r="D28" s="167"/>
      <c r="E28" s="167"/>
      <c r="F28" s="167"/>
      <c r="G28" s="167"/>
      <c r="H28" s="167"/>
      <c r="I28" s="104"/>
      <c r="J28" s="104"/>
      <c r="K28" s="104"/>
      <c r="L28" s="104"/>
      <c r="M28" s="167"/>
      <c r="N28" s="104"/>
      <c r="O28" s="168"/>
      <c r="P28" s="168"/>
      <c r="Q28" s="75"/>
    </row>
    <row r="29" spans="2:17" s="68" customFormat="1" ht="18" customHeight="1" thickBot="1" x14ac:dyDescent="0.25">
      <c r="B29" s="157" t="s">
        <v>86</v>
      </c>
      <c r="H29" s="542">
        <f>IFERROR(IF(AND(H17="",H20=""),"",H17+H20),"")</f>
        <v>10</v>
      </c>
      <c r="I29" s="110"/>
      <c r="J29" s="111" t="str">
        <f>IFERROR(IF(AND(J17="",J20=""),"",J17+J20),"")</f>
        <v/>
      </c>
      <c r="K29" s="75"/>
      <c r="L29" s="111" t="str">
        <f>IFERROR(IF(AND(L17="",L20=""),"",L17+L20),"")</f>
        <v/>
      </c>
      <c r="M29" s="118"/>
      <c r="N29" s="111" t="str">
        <f>IFERROR(IF(AND(N17="",N20=""),"",N17+N20),"")</f>
        <v/>
      </c>
      <c r="O29" s="154"/>
      <c r="P29" s="154"/>
    </row>
    <row r="30" spans="2:17" s="68" customFormat="1" ht="12.75" customHeight="1" x14ac:dyDescent="0.2">
      <c r="B30" s="98"/>
      <c r="C30" s="110"/>
      <c r="D30" s="110"/>
      <c r="E30" s="110"/>
      <c r="F30" s="110"/>
      <c r="G30" s="110"/>
      <c r="H30" s="110"/>
      <c r="I30" s="110"/>
      <c r="J30" s="110"/>
      <c r="K30" s="110"/>
      <c r="L30" s="110"/>
      <c r="M30" s="110"/>
      <c r="N30" s="154"/>
      <c r="O30" s="154"/>
      <c r="P30" s="154"/>
    </row>
  </sheetData>
  <sheetProtection password="9AA6" sheet="1" objects="1" scenarios="1"/>
  <mergeCells count="7">
    <mergeCell ref="N26:N27"/>
    <mergeCell ref="B15:M15"/>
    <mergeCell ref="B18:M19"/>
    <mergeCell ref="B26:F27"/>
    <mergeCell ref="H26:H27"/>
    <mergeCell ref="J26:J27"/>
    <mergeCell ref="L26:L27"/>
  </mergeCells>
  <dataValidations count="3">
    <dataValidation type="whole" operator="lessThanOrEqual" allowBlank="1" showInputMessage="1" showErrorMessage="1" errorTitle="Error de Ingreso" error="Ingrese solo número entero, no mayor a 99." promptTitle="Periodo de Ejecución" prompt="Si el periodo a ingresar no es exactamente un año, redondear hacia arriba. Por ejemplo, si es el periodo  a rregistrar es de 8 meses corresponde registrar 1 año._x000a_El periodo debe ser como máximo 2 años_x000a_Nota: La ejecución física de la obra máximo es 8 meses" sqref="H17">
      <formula1>2</formula1>
    </dataValidation>
    <dataValidation type="whole" allowBlank="1" showInputMessage="1" showErrorMessage="1" errorTitle="Error de Ingreso" error="Ha ingresado un valor incorrecto." promptTitle="Duración de la demanda" prompt="Ingrese el valor esperado que durará la demanda por el bien o el servicio a proveer._x000a_Ingrese un npumero entero, cuyo valor sea mayor a 0." sqref="H26:H27">
      <formula1>0</formula1>
      <formula2>99</formula2>
    </dataValidation>
    <dataValidation type="whole" allowBlank="1" showInputMessage="1" showErrorMessage="1" errorTitle="Error de Ingreso" error="Ha ingresado un valor errado." promptTitle="Vida útil" prompt="Ingrese el valor en años de la vida útil de la infraestructura propuesta en la alternativa analizada, Ejemplos:_x000a_Enrocado   20 años_x000a_Geobolsas  10 años_x000a_Gaviones    50 años_x000a_" sqref="H24">
      <formula1>0</formula1>
      <formula2>99</formula2>
    </dataValidation>
  </dataValidations>
  <pageMargins left="0.70866141732283472" right="0.70866141732283472" top="0.74803149606299213" bottom="0.74803149606299213" header="0.31496062992125984" footer="0.31496062992125984"/>
  <pageSetup paperSize="9" scale="90" orientation="landscape"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AC67"/>
  <sheetViews>
    <sheetView showGridLines="0" zoomScaleNormal="100" zoomScaleSheetLayoutView="85" workbookViewId="0">
      <pane ySplit="9" topLeftCell="A19" activePane="bottomLeft" state="frozen"/>
      <selection sqref="A1:XFD1048576"/>
      <selection pane="bottomLeft" activeCell="B18" sqref="B18:O18"/>
    </sheetView>
  </sheetViews>
  <sheetFormatPr baseColWidth="10" defaultColWidth="10.140625" defaultRowHeight="15" x14ac:dyDescent="0.25"/>
  <cols>
    <col min="1" max="1" width="10.140625" style="50"/>
    <col min="2" max="2" width="10.85546875" style="50" customWidth="1"/>
    <col min="3" max="3" width="10.140625" style="50"/>
    <col min="4" max="4" width="11.5703125" style="50" bestFit="1" customWidth="1"/>
    <col min="5" max="5" width="10.140625" style="50" customWidth="1"/>
    <col min="6" max="6" width="11.5703125" style="50" bestFit="1" customWidth="1"/>
    <col min="7" max="9" width="10.140625" style="50"/>
    <col min="10" max="10" width="11.85546875" style="50" customWidth="1"/>
    <col min="11" max="11" width="10.140625" style="50" customWidth="1"/>
    <col min="12" max="16384" width="10.140625" style="50"/>
  </cols>
  <sheetData>
    <row r="1" spans="1:29" x14ac:dyDescent="0.25">
      <c r="A1" s="49"/>
      <c r="B1" s="49"/>
      <c r="C1" s="49"/>
      <c r="D1" s="49"/>
      <c r="E1" s="49"/>
      <c r="F1" s="49"/>
      <c r="G1" s="49"/>
      <c r="H1" s="49"/>
      <c r="I1" s="49"/>
      <c r="J1" s="49"/>
      <c r="K1" s="49"/>
      <c r="L1" s="49"/>
      <c r="M1" s="49"/>
      <c r="N1" s="49"/>
      <c r="O1" s="49"/>
      <c r="P1" s="41"/>
      <c r="Q1" s="41"/>
      <c r="R1" s="41"/>
      <c r="S1" s="41"/>
      <c r="T1" s="41"/>
      <c r="U1" s="41"/>
      <c r="V1" s="41"/>
      <c r="W1" s="41"/>
      <c r="X1" s="41"/>
      <c r="Y1" s="41"/>
      <c r="Z1" s="41"/>
      <c r="AA1" s="41"/>
      <c r="AB1" s="41"/>
      <c r="AC1" s="41"/>
    </row>
    <row r="2" spans="1:29" x14ac:dyDescent="0.25">
      <c r="A2" s="49"/>
      <c r="B2" s="49"/>
      <c r="C2" s="49"/>
      <c r="D2" s="49"/>
      <c r="E2" s="49"/>
      <c r="F2" s="49"/>
      <c r="G2" s="49"/>
      <c r="H2" s="49"/>
      <c r="I2" s="49"/>
      <c r="J2" s="49"/>
      <c r="K2" s="49"/>
      <c r="L2" s="49"/>
      <c r="M2" s="49"/>
      <c r="N2" s="49"/>
      <c r="O2" s="49"/>
      <c r="P2" s="41"/>
      <c r="Q2" s="41"/>
      <c r="R2" s="41"/>
      <c r="S2" s="41"/>
      <c r="T2" s="41"/>
      <c r="U2" s="41"/>
      <c r="V2" s="41"/>
      <c r="W2" s="41"/>
      <c r="X2" s="41"/>
      <c r="Y2" s="41"/>
      <c r="Z2" s="41"/>
      <c r="AA2" s="41"/>
      <c r="AB2" s="41"/>
      <c r="AC2" s="41"/>
    </row>
    <row r="3" spans="1:29" x14ac:dyDescent="0.25">
      <c r="A3" s="49"/>
      <c r="B3" s="49"/>
      <c r="C3" s="49"/>
      <c r="D3" s="49"/>
      <c r="E3" s="49"/>
      <c r="F3" s="49"/>
      <c r="G3" s="49"/>
      <c r="H3" s="49"/>
      <c r="I3" s="49"/>
      <c r="J3" s="49"/>
      <c r="K3" s="49"/>
      <c r="L3" s="49"/>
      <c r="M3" s="49"/>
      <c r="N3" s="49"/>
      <c r="O3" s="49"/>
      <c r="P3" s="41"/>
      <c r="Q3" s="41"/>
      <c r="R3" s="41"/>
      <c r="S3" s="41"/>
      <c r="T3" s="41"/>
      <c r="U3" s="41"/>
      <c r="V3" s="41"/>
      <c r="W3" s="41"/>
      <c r="X3" s="41"/>
      <c r="Y3" s="41"/>
      <c r="Z3" s="41"/>
      <c r="AA3" s="41"/>
      <c r="AB3" s="41"/>
      <c r="AC3" s="41"/>
    </row>
    <row r="4" spans="1:29" x14ac:dyDescent="0.25">
      <c r="A4" s="49"/>
      <c r="B4" s="49"/>
      <c r="C4" s="49"/>
      <c r="D4" s="49"/>
      <c r="E4" s="49"/>
      <c r="F4" s="49"/>
      <c r="G4" s="49"/>
      <c r="H4" s="49"/>
      <c r="I4" s="49"/>
      <c r="J4" s="49"/>
      <c r="K4" s="49"/>
      <c r="L4" s="49"/>
      <c r="M4" s="49"/>
      <c r="N4" s="49"/>
      <c r="O4" s="49"/>
      <c r="P4" s="41"/>
      <c r="Q4" s="41"/>
      <c r="R4" s="41"/>
      <c r="S4" s="41"/>
      <c r="T4" s="41"/>
      <c r="U4" s="41"/>
      <c r="V4" s="41"/>
      <c r="W4" s="41"/>
      <c r="X4" s="41"/>
      <c r="Y4" s="41"/>
      <c r="Z4" s="41"/>
      <c r="AA4" s="41"/>
      <c r="AB4" s="41"/>
      <c r="AC4" s="41"/>
    </row>
    <row r="5" spans="1:29" x14ac:dyDescent="0.25">
      <c r="A5" s="49"/>
      <c r="B5" s="49"/>
      <c r="C5" s="49"/>
      <c r="D5" s="49"/>
      <c r="E5" s="49"/>
      <c r="F5" s="49"/>
      <c r="G5" s="49"/>
      <c r="H5" s="49"/>
      <c r="I5" s="49"/>
      <c r="J5" s="49"/>
      <c r="K5" s="49"/>
      <c r="L5" s="49"/>
      <c r="M5" s="49"/>
      <c r="N5" s="49"/>
      <c r="O5" s="49"/>
      <c r="P5" s="41"/>
      <c r="Q5" s="41"/>
      <c r="R5" s="41"/>
      <c r="S5" s="41"/>
      <c r="T5" s="41"/>
      <c r="U5" s="41"/>
      <c r="V5" s="41"/>
      <c r="W5" s="41"/>
      <c r="X5" s="41"/>
      <c r="Y5" s="41"/>
      <c r="Z5" s="41"/>
      <c r="AA5" s="41"/>
      <c r="AB5" s="41"/>
      <c r="AC5" s="41"/>
    </row>
    <row r="6" spans="1:29" x14ac:dyDescent="0.25">
      <c r="A6" s="49"/>
      <c r="B6" s="49"/>
      <c r="C6" s="49"/>
      <c r="D6" s="49"/>
      <c r="E6" s="49"/>
      <c r="F6" s="49"/>
      <c r="G6" s="49"/>
      <c r="H6" s="49"/>
      <c r="I6" s="49"/>
      <c r="J6" s="49"/>
      <c r="K6" s="49"/>
      <c r="L6" s="49"/>
      <c r="M6" s="49"/>
      <c r="N6" s="49"/>
      <c r="O6" s="49"/>
      <c r="P6" s="41"/>
      <c r="Q6" s="41"/>
      <c r="R6" s="41"/>
      <c r="S6" s="41"/>
      <c r="T6" s="41"/>
      <c r="U6" s="41"/>
      <c r="V6" s="41"/>
      <c r="W6" s="41"/>
      <c r="X6" s="41"/>
      <c r="Y6" s="41"/>
      <c r="Z6" s="41"/>
      <c r="AA6" s="41"/>
      <c r="AB6" s="41"/>
      <c r="AC6" s="41"/>
    </row>
    <row r="7" spans="1:29" x14ac:dyDescent="0.25">
      <c r="A7" s="49"/>
      <c r="B7" s="49"/>
      <c r="C7" s="49"/>
      <c r="D7" s="49"/>
      <c r="E7" s="49"/>
      <c r="F7" s="49"/>
      <c r="G7" s="49"/>
      <c r="H7" s="49"/>
      <c r="I7" s="49"/>
      <c r="J7" s="49"/>
      <c r="K7" s="49"/>
      <c r="L7" s="49"/>
      <c r="M7" s="49"/>
      <c r="N7" s="49"/>
      <c r="O7" s="49"/>
      <c r="P7" s="41"/>
      <c r="Q7" s="41"/>
      <c r="R7" s="41"/>
      <c r="S7" s="41"/>
      <c r="T7" s="41"/>
      <c r="U7" s="41"/>
      <c r="V7" s="41"/>
      <c r="W7" s="41"/>
      <c r="X7" s="41"/>
      <c r="Y7" s="41"/>
      <c r="Z7" s="41"/>
      <c r="AA7" s="41"/>
      <c r="AB7" s="41"/>
      <c r="AC7" s="41"/>
    </row>
    <row r="8" spans="1:29" x14ac:dyDescent="0.25">
      <c r="A8" s="49"/>
      <c r="B8" s="49"/>
      <c r="C8" s="49"/>
      <c r="D8" s="49"/>
      <c r="E8" s="49"/>
      <c r="F8" s="49"/>
      <c r="G8" s="49"/>
      <c r="H8" s="49"/>
      <c r="I8" s="49"/>
      <c r="J8" s="49"/>
      <c r="K8" s="49"/>
      <c r="L8" s="49"/>
      <c r="M8" s="49"/>
      <c r="N8" s="49"/>
      <c r="O8" s="49"/>
      <c r="P8" s="41"/>
      <c r="Q8" s="41"/>
      <c r="R8" s="41"/>
      <c r="S8" s="41"/>
      <c r="T8" s="41"/>
      <c r="U8" s="41"/>
      <c r="V8" s="41"/>
      <c r="W8" s="41"/>
      <c r="X8" s="41"/>
      <c r="Y8" s="41"/>
      <c r="Z8" s="41"/>
      <c r="AA8" s="41"/>
      <c r="AB8" s="41"/>
      <c r="AC8" s="41"/>
    </row>
    <row r="9" spans="1:29" x14ac:dyDescent="0.25">
      <c r="A9" s="49"/>
      <c r="B9" s="49"/>
      <c r="C9" s="49"/>
      <c r="D9" s="49"/>
      <c r="E9" s="49"/>
      <c r="F9" s="49"/>
      <c r="G9" s="49"/>
      <c r="H9" s="49"/>
      <c r="I9" s="49"/>
      <c r="J9" s="49"/>
      <c r="K9" s="49"/>
      <c r="L9" s="49"/>
      <c r="M9" s="49"/>
      <c r="N9" s="49"/>
      <c r="O9" s="49"/>
      <c r="P9" s="41"/>
      <c r="Q9" s="41"/>
      <c r="R9" s="41"/>
      <c r="S9" s="41"/>
      <c r="T9" s="41"/>
      <c r="U9" s="41"/>
      <c r="V9" s="41"/>
      <c r="W9" s="41"/>
      <c r="X9" s="41"/>
      <c r="Y9" s="41"/>
      <c r="Z9" s="41"/>
      <c r="AA9" s="41"/>
      <c r="AB9" s="41"/>
      <c r="AC9" s="41"/>
    </row>
    <row r="10" spans="1:29" s="82" customFormat="1" ht="18.75" x14ac:dyDescent="0.3">
      <c r="B10" s="82" t="s">
        <v>348</v>
      </c>
    </row>
    <row r="12" spans="1:29" x14ac:dyDescent="0.25">
      <c r="B12" s="152" t="s">
        <v>353</v>
      </c>
      <c r="C12" s="153"/>
      <c r="D12" s="153"/>
      <c r="E12" s="153"/>
      <c r="F12" s="153"/>
      <c r="G12" s="153"/>
      <c r="H12" s="153"/>
      <c r="I12" s="153"/>
      <c r="J12" s="153"/>
      <c r="K12" s="153"/>
      <c r="L12" s="153"/>
      <c r="M12" s="153"/>
      <c r="N12" s="153"/>
      <c r="O12" s="153"/>
    </row>
    <row r="14" spans="1:29" s="68" customFormat="1" ht="15.75" x14ac:dyDescent="0.2">
      <c r="B14" s="98"/>
      <c r="C14" s="110"/>
      <c r="D14" s="110"/>
      <c r="E14" s="110"/>
      <c r="F14" s="110"/>
      <c r="G14" s="110"/>
      <c r="H14" s="110"/>
      <c r="I14" s="110"/>
      <c r="J14" s="110"/>
      <c r="K14" s="110"/>
      <c r="L14" s="110"/>
      <c r="M14" s="110"/>
      <c r="N14" s="154"/>
      <c r="O14" s="154"/>
      <c r="P14" s="154"/>
    </row>
    <row r="15" spans="1:29" s="56" customFormat="1" ht="15.75" x14ac:dyDescent="0.2">
      <c r="B15" s="1508" t="s">
        <v>354</v>
      </c>
      <c r="C15" s="1508"/>
      <c r="D15" s="1508"/>
      <c r="E15" s="1508"/>
      <c r="F15" s="1508"/>
      <c r="G15" s="1508"/>
      <c r="H15" s="1508"/>
      <c r="I15" s="1508"/>
      <c r="J15" s="1508"/>
      <c r="K15" s="1508"/>
      <c r="L15" s="1508"/>
      <c r="M15" s="1508"/>
      <c r="N15" s="1508"/>
      <c r="O15" s="1508"/>
      <c r="P15" s="168"/>
      <c r="Q15" s="75"/>
    </row>
    <row r="16" spans="1:29" s="56" customFormat="1" ht="15.75" x14ac:dyDescent="0.2">
      <c r="B16" s="166"/>
      <c r="C16" s="167"/>
      <c r="D16" s="167"/>
      <c r="E16" s="167"/>
      <c r="F16" s="167"/>
      <c r="G16" s="167"/>
      <c r="H16" s="167"/>
      <c r="I16" s="104"/>
      <c r="J16" s="104"/>
      <c r="K16" s="63"/>
      <c r="L16" s="167"/>
      <c r="M16" s="167"/>
      <c r="N16" s="168"/>
      <c r="O16" s="168"/>
      <c r="P16" s="168"/>
      <c r="Q16" s="75"/>
    </row>
    <row r="17" spans="2:17" s="119" customFormat="1" x14ac:dyDescent="0.2">
      <c r="B17" s="169" t="s">
        <v>379</v>
      </c>
      <c r="C17" s="170"/>
      <c r="D17" s="170"/>
      <c r="E17" s="170"/>
      <c r="F17" s="170"/>
      <c r="G17" s="170"/>
      <c r="H17" s="170"/>
      <c r="I17" s="171"/>
      <c r="J17" s="171"/>
      <c r="K17" s="172"/>
      <c r="L17" s="170"/>
      <c r="M17" s="173"/>
      <c r="N17" s="174"/>
      <c r="O17" s="174"/>
      <c r="P17" s="174"/>
      <c r="Q17" s="120"/>
    </row>
    <row r="18" spans="2:17" s="217" customFormat="1" ht="114.75" customHeight="1" x14ac:dyDescent="0.2">
      <c r="B18" s="1494" t="s">
        <v>5249</v>
      </c>
      <c r="C18" s="1495"/>
      <c r="D18" s="1495"/>
      <c r="E18" s="1495"/>
      <c r="F18" s="1495"/>
      <c r="G18" s="1495"/>
      <c r="H18" s="1495"/>
      <c r="I18" s="1495"/>
      <c r="J18" s="1495"/>
      <c r="K18" s="1495"/>
      <c r="L18" s="1495"/>
      <c r="M18" s="1495"/>
      <c r="N18" s="1495"/>
      <c r="O18" s="1496"/>
      <c r="P18" s="175"/>
      <c r="Q18" s="68"/>
    </row>
    <row r="19" spans="2:17" s="217" customFormat="1" ht="15.75" x14ac:dyDescent="0.2">
      <c r="B19" s="63"/>
      <c r="C19" s="167"/>
      <c r="D19" s="167"/>
      <c r="E19" s="167"/>
      <c r="F19" s="167"/>
      <c r="G19" s="166"/>
      <c r="H19" s="167"/>
      <c r="I19" s="104"/>
      <c r="J19" s="104"/>
      <c r="K19" s="57"/>
      <c r="L19" s="176"/>
      <c r="M19" s="176"/>
      <c r="N19" s="175"/>
      <c r="O19" s="175"/>
      <c r="P19" s="175"/>
      <c r="Q19" s="68"/>
    </row>
    <row r="20" spans="2:17" s="179" customFormat="1" x14ac:dyDescent="0.25">
      <c r="B20" s="177" t="s">
        <v>367</v>
      </c>
      <c r="C20" s="178"/>
      <c r="G20" s="180"/>
      <c r="H20" s="178"/>
      <c r="I20" s="181"/>
      <c r="J20" s="181"/>
      <c r="K20" s="182"/>
      <c r="L20" s="183"/>
      <c r="M20" s="183"/>
      <c r="N20" s="184"/>
      <c r="O20" s="184"/>
      <c r="P20" s="184"/>
      <c r="Q20" s="185"/>
    </row>
    <row r="21" spans="2:17" s="69" customFormat="1" ht="5.25" customHeight="1" x14ac:dyDescent="0.25">
      <c r="B21" s="125"/>
      <c r="C21" s="125"/>
      <c r="D21" s="125"/>
      <c r="E21" s="206" t="str">
        <f>RIGHT(E22,2)</f>
        <v xml:space="preserve"> 2</v>
      </c>
      <c r="F21" s="206" t="str">
        <f t="shared" ref="F21:M21" si="0">RIGHT(F22,2)</f>
        <v xml:space="preserve"> 3</v>
      </c>
      <c r="G21" s="206" t="str">
        <f t="shared" si="0"/>
        <v xml:space="preserve"> 4</v>
      </c>
      <c r="H21" s="206" t="str">
        <f t="shared" si="0"/>
        <v xml:space="preserve"> 5</v>
      </c>
      <c r="I21" s="206" t="str">
        <f t="shared" si="0"/>
        <v xml:space="preserve"> 6</v>
      </c>
      <c r="J21" s="206" t="str">
        <f t="shared" si="0"/>
        <v xml:space="preserve"> 7</v>
      </c>
      <c r="K21" s="206" t="str">
        <f t="shared" si="0"/>
        <v xml:space="preserve"> 8</v>
      </c>
      <c r="L21" s="206" t="str">
        <f t="shared" si="0"/>
        <v xml:space="preserve"> 9</v>
      </c>
      <c r="M21" s="206" t="str">
        <f t="shared" si="0"/>
        <v>10</v>
      </c>
      <c r="N21" s="186"/>
      <c r="O21" s="186"/>
      <c r="P21" s="186"/>
      <c r="Q21" s="136"/>
    </row>
    <row r="22" spans="2:17" s="217" customFormat="1" ht="15.75" x14ac:dyDescent="0.2">
      <c r="B22" s="1263" t="s">
        <v>89</v>
      </c>
      <c r="C22" s="1265"/>
      <c r="D22" s="219" t="s">
        <v>90</v>
      </c>
      <c r="E22" s="219" t="s">
        <v>91</v>
      </c>
      <c r="F22" s="219" t="s">
        <v>92</v>
      </c>
      <c r="G22" s="219" t="s">
        <v>4742</v>
      </c>
      <c r="H22" s="219" t="s">
        <v>4743</v>
      </c>
      <c r="I22" s="219" t="s">
        <v>4744</v>
      </c>
      <c r="J22" s="219" t="s">
        <v>4745</v>
      </c>
      <c r="K22" s="219" t="s">
        <v>4746</v>
      </c>
      <c r="L22" s="219" t="s">
        <v>4747</v>
      </c>
      <c r="M22" s="219" t="s">
        <v>98</v>
      </c>
      <c r="N22" s="175"/>
      <c r="O22" s="175"/>
      <c r="Q22" s="175"/>
    </row>
    <row r="23" spans="2:17" s="69" customFormat="1" ht="4.5" customHeight="1" x14ac:dyDescent="0.25">
      <c r="B23" s="125"/>
      <c r="C23" s="125"/>
      <c r="D23" s="125"/>
      <c r="E23" s="125"/>
      <c r="F23" s="125"/>
      <c r="G23" s="125"/>
      <c r="H23" s="125"/>
      <c r="I23" s="125"/>
      <c r="J23" s="125"/>
      <c r="K23" s="125"/>
      <c r="L23" s="125"/>
      <c r="M23" s="125"/>
      <c r="N23" s="186"/>
      <c r="O23" s="186"/>
      <c r="P23" s="186"/>
      <c r="Q23" s="175"/>
    </row>
    <row r="24" spans="2:17" s="217" customFormat="1" ht="27.6" customHeight="1" x14ac:dyDescent="0.2">
      <c r="B24" s="1510" t="s">
        <v>5247</v>
      </c>
      <c r="C24" s="1511"/>
      <c r="D24" s="624">
        <f>IFERROR(IF(BalanceHSP!O22="","",BalanceHSP!O22),"")</f>
        <v>0</v>
      </c>
      <c r="E24" s="624">
        <f>D24</f>
        <v>0</v>
      </c>
      <c r="F24" s="624">
        <f t="shared" ref="F24:M24" si="1">E24</f>
        <v>0</v>
      </c>
      <c r="G24" s="624">
        <f t="shared" si="1"/>
        <v>0</v>
      </c>
      <c r="H24" s="624">
        <f t="shared" si="1"/>
        <v>0</v>
      </c>
      <c r="I24" s="624">
        <f t="shared" si="1"/>
        <v>0</v>
      </c>
      <c r="J24" s="624">
        <f t="shared" si="1"/>
        <v>0</v>
      </c>
      <c r="K24" s="624">
        <f t="shared" si="1"/>
        <v>0</v>
      </c>
      <c r="L24" s="624">
        <f t="shared" si="1"/>
        <v>0</v>
      </c>
      <c r="M24" s="624">
        <f t="shared" si="1"/>
        <v>0</v>
      </c>
      <c r="N24" s="175"/>
      <c r="O24" s="175"/>
      <c r="Q24" s="175"/>
    </row>
    <row r="25" spans="2:17" s="217" customFormat="1" ht="15.75" x14ac:dyDescent="0.25">
      <c r="B25" s="187"/>
      <c r="C25" s="128"/>
      <c r="D25" s="128"/>
      <c r="E25" s="128"/>
      <c r="F25" s="118"/>
      <c r="G25" s="118"/>
      <c r="H25" s="118"/>
      <c r="I25" s="118"/>
      <c r="J25" s="118"/>
      <c r="K25" s="118"/>
      <c r="L25" s="118"/>
      <c r="M25" s="164"/>
      <c r="N25" s="175"/>
      <c r="P25" s="175"/>
      <c r="Q25" s="175"/>
    </row>
    <row r="26" spans="2:17" s="69" customFormat="1" ht="30.6" hidden="1" customHeight="1" x14ac:dyDescent="0.25">
      <c r="B26" s="1197" t="s">
        <v>87</v>
      </c>
      <c r="C26" s="1197"/>
      <c r="D26" s="1197"/>
      <c r="E26" s="1197" t="s">
        <v>88</v>
      </c>
      <c r="F26" s="1197"/>
      <c r="G26" s="1197"/>
      <c r="H26" s="1509" t="s">
        <v>412</v>
      </c>
      <c r="I26" s="1509"/>
      <c r="J26" s="1509"/>
      <c r="N26" s="186"/>
      <c r="P26" s="186"/>
    </row>
    <row r="27" spans="2:17" s="69" customFormat="1" ht="3.95" hidden="1" customHeight="1" x14ac:dyDescent="0.25">
      <c r="B27" s="125"/>
      <c r="C27" s="125"/>
      <c r="D27" s="125"/>
      <c r="E27" s="125"/>
      <c r="F27" s="125"/>
      <c r="G27" s="125"/>
      <c r="H27" s="125"/>
      <c r="I27" s="125"/>
      <c r="J27" s="125"/>
      <c r="K27" s="125"/>
      <c r="L27" s="125"/>
      <c r="M27" s="125"/>
      <c r="N27" s="186"/>
      <c r="P27" s="186"/>
    </row>
    <row r="28" spans="2:17" s="69" customFormat="1" ht="36" hidden="1" customHeight="1" x14ac:dyDescent="0.25">
      <c r="B28" s="1198" t="s">
        <v>4748</v>
      </c>
      <c r="C28" s="1198"/>
      <c r="D28" s="1198"/>
      <c r="E28" s="1497" t="s">
        <v>4749</v>
      </c>
      <c r="F28" s="1497"/>
      <c r="G28" s="1497"/>
      <c r="H28" s="1497" t="s">
        <v>4749</v>
      </c>
      <c r="I28" s="1497"/>
      <c r="J28" s="1497"/>
      <c r="K28" s="188"/>
      <c r="L28" s="188"/>
      <c r="N28" s="186"/>
      <c r="P28" s="186"/>
    </row>
    <row r="29" spans="2:17" s="217" customFormat="1" ht="15.75" hidden="1" x14ac:dyDescent="0.25">
      <c r="B29" s="187"/>
      <c r="C29" s="128"/>
      <c r="D29" s="128"/>
      <c r="E29" s="128"/>
      <c r="F29" s="118"/>
      <c r="G29" s="118"/>
      <c r="H29" s="118"/>
      <c r="I29" s="118"/>
      <c r="J29" s="118"/>
      <c r="K29" s="118"/>
      <c r="L29" s="118"/>
      <c r="M29" s="164"/>
      <c r="N29" s="175"/>
      <c r="P29" s="175"/>
      <c r="Q29" s="68"/>
    </row>
    <row r="30" spans="2:17" s="217" customFormat="1" ht="15.75" x14ac:dyDescent="0.2">
      <c r="B30" s="166" t="s">
        <v>383</v>
      </c>
      <c r="C30" s="167"/>
      <c r="D30" s="167"/>
      <c r="E30" s="167"/>
      <c r="F30" s="167"/>
      <c r="G30" s="167"/>
      <c r="H30" s="167"/>
      <c r="I30" s="104"/>
      <c r="J30" s="104"/>
      <c r="K30" s="63"/>
      <c r="L30" s="167"/>
      <c r="M30" s="176"/>
      <c r="N30" s="175"/>
      <c r="P30" s="175"/>
      <c r="Q30" s="68"/>
    </row>
    <row r="31" spans="2:17" s="217" customFormat="1" ht="51.95" customHeight="1" x14ac:dyDescent="0.2">
      <c r="B31" s="1494" t="s">
        <v>5252</v>
      </c>
      <c r="C31" s="1495"/>
      <c r="D31" s="1495"/>
      <c r="E31" s="1495"/>
      <c r="F31" s="1495"/>
      <c r="G31" s="1495"/>
      <c r="H31" s="1495"/>
      <c r="I31" s="1495"/>
      <c r="J31" s="1495"/>
      <c r="K31" s="1495"/>
      <c r="L31" s="1495"/>
      <c r="M31" s="1495"/>
      <c r="N31" s="1495"/>
      <c r="O31" s="1496"/>
      <c r="P31" s="175"/>
      <c r="Q31" s="68"/>
    </row>
    <row r="32" spans="2:17" s="217" customFormat="1" ht="15.75" x14ac:dyDescent="0.2">
      <c r="B32" s="166"/>
      <c r="C32" s="166"/>
      <c r="D32" s="166"/>
      <c r="E32" s="166"/>
      <c r="F32" s="166"/>
      <c r="G32" s="166"/>
      <c r="H32" s="166"/>
      <c r="I32" s="166"/>
      <c r="J32" s="166"/>
      <c r="K32" s="166"/>
      <c r="L32" s="166"/>
      <c r="M32" s="166"/>
      <c r="N32" s="175"/>
      <c r="O32" s="175"/>
      <c r="P32" s="175"/>
      <c r="Q32" s="68"/>
    </row>
    <row r="33" spans="2:17" s="119" customFormat="1" x14ac:dyDescent="0.25">
      <c r="B33" s="189" t="s">
        <v>368</v>
      </c>
      <c r="C33" s="190"/>
      <c r="D33" s="190"/>
      <c r="E33" s="190"/>
      <c r="F33" s="190"/>
      <c r="G33" s="191"/>
      <c r="H33" s="190"/>
      <c r="I33" s="192"/>
      <c r="J33" s="192"/>
      <c r="L33" s="193"/>
      <c r="M33" s="193"/>
      <c r="N33" s="174"/>
      <c r="O33" s="174"/>
      <c r="P33" s="174"/>
      <c r="Q33" s="120"/>
    </row>
    <row r="34" spans="2:17" s="217" customFormat="1" ht="15.75" x14ac:dyDescent="0.2">
      <c r="B34" s="194"/>
      <c r="C34" s="194"/>
      <c r="D34" s="156"/>
      <c r="E34" s="156"/>
      <c r="F34" s="156"/>
      <c r="G34" s="156"/>
      <c r="H34" s="156"/>
      <c r="I34" s="156"/>
      <c r="J34" s="68"/>
      <c r="K34" s="68"/>
      <c r="L34" s="164"/>
      <c r="M34" s="164"/>
      <c r="N34" s="175"/>
      <c r="O34" s="175"/>
      <c r="P34" s="175"/>
      <c r="Q34" s="68"/>
    </row>
    <row r="35" spans="2:17" s="217" customFormat="1" ht="38.25" x14ac:dyDescent="0.2">
      <c r="B35" s="225" t="s">
        <v>93</v>
      </c>
      <c r="C35" s="1490" t="s">
        <v>25</v>
      </c>
      <c r="D35" s="1490"/>
      <c r="E35" s="228" t="s">
        <v>65</v>
      </c>
      <c r="F35" s="228" t="s">
        <v>90</v>
      </c>
      <c r="G35" s="228" t="s">
        <v>91</v>
      </c>
      <c r="H35" s="228" t="s">
        <v>92</v>
      </c>
      <c r="I35" s="228" t="s">
        <v>4742</v>
      </c>
      <c r="J35" s="228" t="s">
        <v>4743</v>
      </c>
      <c r="K35" s="228" t="s">
        <v>4744</v>
      </c>
      <c r="L35" s="228" t="s">
        <v>4745</v>
      </c>
      <c r="M35" s="228" t="s">
        <v>4746</v>
      </c>
      <c r="N35" s="228" t="s">
        <v>4747</v>
      </c>
      <c r="O35" s="228" t="s">
        <v>98</v>
      </c>
      <c r="P35" s="175"/>
      <c r="Q35" s="68"/>
    </row>
    <row r="36" spans="2:17" s="217" customFormat="1" ht="5.0999999999999996" customHeight="1" x14ac:dyDescent="0.2">
      <c r="B36" s="195"/>
      <c r="C36" s="111"/>
      <c r="D36" s="111"/>
      <c r="E36" s="218"/>
      <c r="F36" s="218"/>
      <c r="G36" s="218"/>
      <c r="H36" s="218"/>
      <c r="I36" s="218"/>
      <c r="J36" s="218"/>
      <c r="K36" s="218"/>
      <c r="N36" s="218"/>
      <c r="O36" s="218"/>
      <c r="P36" s="175"/>
      <c r="Q36" s="68"/>
    </row>
    <row r="37" spans="2:17" s="217" customFormat="1" ht="153" customHeight="1" x14ac:dyDescent="0.2">
      <c r="B37" s="227" t="s">
        <v>5246</v>
      </c>
      <c r="C37" s="1486" t="s">
        <v>5250</v>
      </c>
      <c r="D37" s="1487"/>
      <c r="E37" s="619" t="s">
        <v>5248</v>
      </c>
      <c r="F37" s="624">
        <f>IFERROR(IF(BalanceHCP!O22="","",BalanceHCP!O22),"")</f>
        <v>0</v>
      </c>
      <c r="G37" s="624">
        <f>IFERROR(IF(F37="","",F37),"")</f>
        <v>0</v>
      </c>
      <c r="H37" s="624">
        <f t="shared" ref="H37:O37" si="2">IFERROR(IF(G37="","",G37),"")</f>
        <v>0</v>
      </c>
      <c r="I37" s="624">
        <f t="shared" si="2"/>
        <v>0</v>
      </c>
      <c r="J37" s="624">
        <f t="shared" si="2"/>
        <v>0</v>
      </c>
      <c r="K37" s="624">
        <f t="shared" si="2"/>
        <v>0</v>
      </c>
      <c r="L37" s="624">
        <f t="shared" si="2"/>
        <v>0</v>
      </c>
      <c r="M37" s="624">
        <f t="shared" si="2"/>
        <v>0</v>
      </c>
      <c r="N37" s="624">
        <f t="shared" si="2"/>
        <v>0</v>
      </c>
      <c r="O37" s="624">
        <f t="shared" si="2"/>
        <v>0</v>
      </c>
      <c r="P37" s="175"/>
      <c r="Q37" s="68"/>
    </row>
    <row r="38" spans="2:17" s="217" customFormat="1" ht="15.75" x14ac:dyDescent="0.2">
      <c r="B38" s="194"/>
      <c r="C38" s="194"/>
      <c r="D38" s="194"/>
      <c r="E38" s="194"/>
      <c r="F38" s="194"/>
      <c r="G38" s="194"/>
      <c r="H38" s="194"/>
      <c r="I38" s="68"/>
      <c r="J38" s="68"/>
      <c r="L38" s="164"/>
      <c r="M38" s="164"/>
      <c r="N38" s="175"/>
      <c r="O38" s="175"/>
      <c r="P38" s="175"/>
      <c r="Q38" s="68"/>
    </row>
    <row r="39" spans="2:17" s="119" customFormat="1" x14ac:dyDescent="0.25">
      <c r="B39" s="189" t="s">
        <v>369</v>
      </c>
      <c r="C39" s="190"/>
      <c r="D39" s="190"/>
      <c r="E39" s="190"/>
      <c r="F39" s="190"/>
      <c r="G39" s="190"/>
      <c r="H39" s="190"/>
      <c r="I39" s="192"/>
      <c r="J39" s="192"/>
      <c r="L39" s="193"/>
      <c r="M39" s="193"/>
      <c r="N39" s="174"/>
      <c r="O39" s="174"/>
      <c r="P39" s="174"/>
      <c r="Q39" s="120"/>
    </row>
    <row r="40" spans="2:17" s="217" customFormat="1" ht="15.75" x14ac:dyDescent="0.2">
      <c r="B40" s="196"/>
      <c r="C40" s="128"/>
      <c r="D40" s="128"/>
      <c r="E40" s="128"/>
      <c r="F40" s="128"/>
      <c r="G40" s="128"/>
      <c r="H40" s="128"/>
      <c r="I40" s="75"/>
      <c r="J40" s="75"/>
      <c r="L40" s="164"/>
      <c r="M40" s="164"/>
      <c r="N40" s="175"/>
      <c r="O40" s="175"/>
      <c r="P40" s="175"/>
      <c r="Q40" s="68"/>
    </row>
    <row r="41" spans="2:17" s="197" customFormat="1" ht="26.1" customHeight="1" x14ac:dyDescent="0.25">
      <c r="B41" s="1498" t="s">
        <v>349</v>
      </c>
      <c r="C41" s="1498"/>
      <c r="D41" s="1498" t="s">
        <v>4792</v>
      </c>
      <c r="E41" s="1498"/>
      <c r="F41" s="404" t="s">
        <v>65</v>
      </c>
      <c r="G41" s="1498" t="s">
        <v>350</v>
      </c>
      <c r="H41" s="1498"/>
      <c r="I41" s="1498" t="s">
        <v>94</v>
      </c>
      <c r="J41" s="1498"/>
      <c r="K41" s="1498"/>
      <c r="L41" s="1498" t="s">
        <v>351</v>
      </c>
      <c r="M41" s="1498"/>
    </row>
    <row r="42" spans="2:17" s="69" customFormat="1" ht="5.0999999999999996" customHeight="1" thickBot="1" x14ac:dyDescent="0.3">
      <c r="B42" s="125"/>
      <c r="C42" s="125"/>
      <c r="E42" s="125"/>
      <c r="F42" s="125"/>
      <c r="G42" s="125"/>
      <c r="I42" s="125"/>
      <c r="L42" s="125"/>
    </row>
    <row r="43" spans="2:17" s="217" customFormat="1" ht="13.5" thickBot="1" x14ac:dyDescent="0.25">
      <c r="B43" s="1501" t="s">
        <v>5246</v>
      </c>
      <c r="C43" s="1501"/>
      <c r="D43" s="1504" t="s">
        <v>5253</v>
      </c>
      <c r="E43" s="1505"/>
      <c r="F43" s="1484" t="str">
        <f>IFERROR(IF(D43="","","m3"),"")</f>
        <v>m3</v>
      </c>
      <c r="G43" s="1499">
        <f>IFERROR(IF(BalanceHSP!$O$58="","",BalanceHSP!$O$58),"")</f>
        <v>0</v>
      </c>
      <c r="H43" s="1500"/>
      <c r="I43" s="1502"/>
      <c r="J43" s="1503"/>
      <c r="K43" s="1503"/>
      <c r="L43" s="1477"/>
      <c r="M43" s="1478"/>
    </row>
    <row r="44" spans="2:17" s="217" customFormat="1" ht="13.5" thickBot="1" x14ac:dyDescent="0.25">
      <c r="B44" s="1501"/>
      <c r="C44" s="1501"/>
      <c r="D44" s="1506"/>
      <c r="E44" s="1507"/>
      <c r="F44" s="1485"/>
      <c r="G44" s="1499"/>
      <c r="H44" s="1500"/>
      <c r="I44" s="1502"/>
      <c r="J44" s="1503"/>
      <c r="K44" s="1503"/>
      <c r="L44" s="1477"/>
      <c r="M44" s="1478"/>
    </row>
    <row r="45" spans="2:17" s="217" customFormat="1" ht="13.5" customHeight="1" thickBot="1" x14ac:dyDescent="0.25">
      <c r="B45" s="1501"/>
      <c r="C45" s="1501"/>
      <c r="D45" s="1504"/>
      <c r="E45" s="1505"/>
      <c r="F45" s="1484" t="str">
        <f>IFERROR(IF(D45="","","m3"),"")</f>
        <v/>
      </c>
      <c r="G45" s="1481"/>
      <c r="H45" s="1482"/>
      <c r="I45" s="1502"/>
      <c r="J45" s="1503"/>
      <c r="K45" s="1503"/>
      <c r="L45" s="1477"/>
      <c r="M45" s="1478"/>
    </row>
    <row r="46" spans="2:17" s="217" customFormat="1" ht="13.5" thickBot="1" x14ac:dyDescent="0.25">
      <c r="B46" s="1501"/>
      <c r="C46" s="1501"/>
      <c r="D46" s="1506"/>
      <c r="E46" s="1507"/>
      <c r="F46" s="1485"/>
      <c r="G46" s="1483"/>
      <c r="H46" s="1482"/>
      <c r="I46" s="1502"/>
      <c r="J46" s="1503"/>
      <c r="K46" s="1503"/>
      <c r="L46" s="1477"/>
      <c r="M46" s="1478"/>
    </row>
    <row r="47" spans="2:17" s="217" customFormat="1" ht="13.5" thickBot="1" x14ac:dyDescent="0.25">
      <c r="D47" s="135"/>
      <c r="E47" s="135"/>
      <c r="G47" s="128"/>
      <c r="K47" s="167"/>
      <c r="L47" s="92"/>
    </row>
    <row r="48" spans="2:17" s="217" customFormat="1" ht="15.95" customHeight="1" thickBot="1" x14ac:dyDescent="0.25">
      <c r="D48" s="1488" t="s">
        <v>95</v>
      </c>
      <c r="E48" s="1488"/>
      <c r="F48" s="1489"/>
      <c r="G48" s="1479">
        <f>IFERROR(G45+G43,"")</f>
        <v>0</v>
      </c>
      <c r="H48" s="1480"/>
      <c r="I48" s="1492" t="s">
        <v>96</v>
      </c>
      <c r="J48" s="1493"/>
      <c r="K48" s="1493"/>
      <c r="L48" s="1479" t="str">
        <f>IFERROR(IF(L43="","",L45+L43),"")</f>
        <v/>
      </c>
      <c r="M48" s="1480"/>
    </row>
    <row r="49" spans="2:17" s="217" customFormat="1" ht="5.0999999999999996" customHeight="1" x14ac:dyDescent="0.25">
      <c r="B49" s="471"/>
      <c r="C49" s="128"/>
      <c r="D49" s="128"/>
      <c r="E49" s="128"/>
      <c r="F49" s="128"/>
      <c r="G49" s="196"/>
      <c r="H49" s="128"/>
      <c r="I49" s="75"/>
      <c r="J49" s="75"/>
      <c r="L49" s="164"/>
      <c r="M49" s="164"/>
      <c r="N49" s="175"/>
      <c r="O49" s="175"/>
      <c r="P49" s="175"/>
      <c r="Q49" s="68"/>
    </row>
    <row r="50" spans="2:17" s="217" customFormat="1" ht="5.0999999999999996" customHeight="1" x14ac:dyDescent="0.25">
      <c r="B50" s="471"/>
      <c r="C50" s="61"/>
      <c r="D50" s="61"/>
      <c r="E50" s="61"/>
      <c r="F50" s="194"/>
      <c r="G50" s="194"/>
      <c r="H50" s="194"/>
      <c r="I50" s="68"/>
      <c r="J50" s="68"/>
      <c r="L50" s="164"/>
      <c r="M50" s="164"/>
      <c r="N50" s="175"/>
      <c r="O50" s="175"/>
      <c r="P50" s="175"/>
      <c r="Q50" s="68"/>
    </row>
    <row r="51" spans="2:17" s="217" customFormat="1" ht="9.9499999999999993" customHeight="1" x14ac:dyDescent="0.25">
      <c r="B51" s="198"/>
      <c r="C51" s="61"/>
      <c r="D51" s="61"/>
      <c r="E51" s="61"/>
      <c r="F51" s="194"/>
      <c r="G51" s="194"/>
      <c r="H51" s="194"/>
      <c r="I51" s="68"/>
      <c r="J51" s="68"/>
      <c r="L51" s="164"/>
      <c r="M51" s="164"/>
      <c r="N51" s="175"/>
      <c r="O51" s="175"/>
      <c r="P51" s="175"/>
      <c r="Q51" s="68"/>
    </row>
    <row r="52" spans="2:17" s="217" customFormat="1" ht="15.75" x14ac:dyDescent="0.2">
      <c r="B52" s="166" t="s">
        <v>383</v>
      </c>
      <c r="C52" s="167"/>
      <c r="D52" s="167"/>
      <c r="E52" s="167"/>
      <c r="F52" s="167"/>
      <c r="G52" s="167"/>
      <c r="H52" s="167"/>
      <c r="I52" s="104"/>
      <c r="J52" s="104"/>
      <c r="K52" s="63"/>
      <c r="L52" s="167"/>
      <c r="M52" s="176"/>
      <c r="N52" s="175"/>
      <c r="O52" s="175"/>
      <c r="P52" s="175"/>
      <c r="Q52" s="68"/>
    </row>
    <row r="53" spans="2:17" s="217" customFormat="1" ht="39.950000000000003" customHeight="1" x14ac:dyDescent="0.2">
      <c r="B53" s="1494" t="s">
        <v>5251</v>
      </c>
      <c r="C53" s="1495"/>
      <c r="D53" s="1495"/>
      <c r="E53" s="1495"/>
      <c r="F53" s="1495"/>
      <c r="G53" s="1495"/>
      <c r="H53" s="1495"/>
      <c r="I53" s="1495"/>
      <c r="J53" s="1495"/>
      <c r="K53" s="1495"/>
      <c r="L53" s="1495"/>
      <c r="M53" s="1495"/>
      <c r="N53" s="1495"/>
      <c r="O53" s="1496"/>
      <c r="P53" s="175"/>
      <c r="Q53" s="68"/>
    </row>
    <row r="54" spans="2:17" s="217" customFormat="1" ht="15.75" x14ac:dyDescent="0.25">
      <c r="B54" s="198"/>
      <c r="C54" s="61"/>
      <c r="D54" s="61"/>
      <c r="E54" s="61"/>
      <c r="F54" s="194"/>
      <c r="G54" s="194"/>
      <c r="H54" s="194"/>
      <c r="I54" s="68"/>
      <c r="J54" s="68"/>
      <c r="L54" s="164"/>
      <c r="M54" s="164"/>
      <c r="N54" s="175"/>
      <c r="O54" s="175"/>
      <c r="P54" s="175"/>
      <c r="Q54" s="68"/>
    </row>
    <row r="55" spans="2:17" s="119" customFormat="1" x14ac:dyDescent="0.25">
      <c r="B55" s="189" t="s">
        <v>413</v>
      </c>
      <c r="C55" s="190"/>
      <c r="D55" s="190"/>
      <c r="E55" s="190"/>
      <c r="F55" s="190"/>
      <c r="G55" s="190"/>
      <c r="H55" s="190"/>
      <c r="I55" s="192"/>
      <c r="J55" s="192"/>
      <c r="L55" s="193"/>
      <c r="M55" s="193"/>
      <c r="N55" s="174"/>
      <c r="O55" s="174"/>
      <c r="P55" s="174"/>
      <c r="Q55" s="120"/>
    </row>
    <row r="56" spans="2:17" s="217" customFormat="1" ht="15.75" x14ac:dyDescent="0.25">
      <c r="B56" s="187"/>
      <c r="C56" s="128"/>
      <c r="D56" s="128"/>
      <c r="E56" s="128"/>
      <c r="F56" s="128"/>
      <c r="G56" s="196"/>
      <c r="H56" s="128"/>
      <c r="I56" s="75"/>
      <c r="J56" s="75"/>
      <c r="L56" s="164"/>
      <c r="M56" s="164"/>
      <c r="N56" s="175"/>
      <c r="O56" s="175"/>
      <c r="P56" s="175"/>
      <c r="Q56" s="68"/>
    </row>
    <row r="57" spans="2:17" s="217" customFormat="1" ht="38.25" x14ac:dyDescent="0.2">
      <c r="B57" s="225" t="s">
        <v>93</v>
      </c>
      <c r="C57" s="1490" t="s">
        <v>25</v>
      </c>
      <c r="D57" s="1490"/>
      <c r="E57" s="228" t="s">
        <v>65</v>
      </c>
      <c r="F57" s="228" t="s">
        <v>90</v>
      </c>
      <c r="G57" s="228" t="s">
        <v>91</v>
      </c>
      <c r="H57" s="228" t="s">
        <v>92</v>
      </c>
      <c r="I57" s="228" t="s">
        <v>4742</v>
      </c>
      <c r="J57" s="228" t="s">
        <v>4743</v>
      </c>
      <c r="K57" s="228" t="s">
        <v>4744</v>
      </c>
      <c r="L57" s="228" t="s">
        <v>4745</v>
      </c>
      <c r="M57" s="228" t="s">
        <v>4746</v>
      </c>
      <c r="N57" s="228" t="s">
        <v>4747</v>
      </c>
      <c r="O57" s="228" t="s">
        <v>98</v>
      </c>
      <c r="P57" s="175"/>
      <c r="Q57" s="68"/>
    </row>
    <row r="58" spans="2:17" s="217" customFormat="1" ht="15.75" x14ac:dyDescent="0.2">
      <c r="B58" s="195"/>
      <c r="C58" s="111"/>
      <c r="D58" s="111"/>
      <c r="E58" s="218"/>
      <c r="F58" s="218"/>
      <c r="G58" s="218"/>
      <c r="H58" s="218"/>
      <c r="I58" s="218"/>
      <c r="J58" s="218"/>
      <c r="K58" s="218"/>
      <c r="N58" s="218"/>
      <c r="O58" s="218"/>
      <c r="P58" s="175"/>
      <c r="Q58" s="68"/>
    </row>
    <row r="59" spans="2:17" s="217" customFormat="1" ht="153" customHeight="1" x14ac:dyDescent="0.2">
      <c r="B59" s="227" t="s">
        <v>5246</v>
      </c>
      <c r="C59" s="1486" t="s">
        <v>5250</v>
      </c>
      <c r="D59" s="1487"/>
      <c r="E59" s="619" t="s">
        <v>5248</v>
      </c>
      <c r="F59" s="625">
        <f>IFERROR(IF(L48="",0,L48),"")</f>
        <v>0</v>
      </c>
      <c r="G59" s="624">
        <f>IFERROR(IF(F59="","",F59),"")</f>
        <v>0</v>
      </c>
      <c r="H59" s="624">
        <f t="shared" ref="H59:O59" si="3">IFERROR(IF(G59="","",G59),"")</f>
        <v>0</v>
      </c>
      <c r="I59" s="624">
        <f t="shared" si="3"/>
        <v>0</v>
      </c>
      <c r="J59" s="624">
        <f t="shared" si="3"/>
        <v>0</v>
      </c>
      <c r="K59" s="624">
        <f t="shared" si="3"/>
        <v>0</v>
      </c>
      <c r="L59" s="624">
        <f t="shared" si="3"/>
        <v>0</v>
      </c>
      <c r="M59" s="624">
        <f t="shared" si="3"/>
        <v>0</v>
      </c>
      <c r="N59" s="624">
        <f t="shared" si="3"/>
        <v>0</v>
      </c>
      <c r="O59" s="624">
        <f t="shared" si="3"/>
        <v>0</v>
      </c>
      <c r="P59" s="175"/>
      <c r="Q59" s="68"/>
    </row>
    <row r="60" spans="2:17" s="217" customFormat="1" ht="15.75" x14ac:dyDescent="0.2">
      <c r="B60" s="194"/>
      <c r="C60" s="194"/>
      <c r="D60" s="194"/>
      <c r="E60" s="194"/>
      <c r="F60" s="194"/>
      <c r="G60" s="194"/>
      <c r="H60" s="194"/>
      <c r="I60" s="68"/>
      <c r="J60" s="68"/>
      <c r="L60" s="164"/>
      <c r="M60" s="164"/>
      <c r="N60" s="175"/>
      <c r="O60" s="175"/>
      <c r="P60" s="175"/>
      <c r="Q60" s="68"/>
    </row>
    <row r="61" spans="2:17" s="119" customFormat="1" x14ac:dyDescent="0.25">
      <c r="B61" s="189" t="s">
        <v>370</v>
      </c>
      <c r="C61" s="190"/>
      <c r="D61" s="190"/>
      <c r="E61" s="190"/>
      <c r="F61" s="190"/>
      <c r="G61" s="190"/>
      <c r="H61" s="190"/>
      <c r="I61" s="192"/>
      <c r="J61" s="192"/>
      <c r="L61" s="193"/>
      <c r="M61" s="193"/>
      <c r="N61" s="174"/>
      <c r="O61" s="174"/>
      <c r="P61" s="174"/>
      <c r="Q61" s="120"/>
    </row>
    <row r="62" spans="2:17" s="217" customFormat="1" ht="15.75" x14ac:dyDescent="0.2">
      <c r="B62" s="194"/>
      <c r="C62" s="194"/>
      <c r="D62" s="1491"/>
      <c r="E62" s="1491"/>
      <c r="F62" s="1491"/>
      <c r="G62" s="1491"/>
      <c r="H62" s="1491"/>
      <c r="I62" s="1491"/>
      <c r="J62" s="68"/>
      <c r="L62" s="164"/>
      <c r="M62" s="164"/>
      <c r="N62" s="175"/>
      <c r="O62" s="175"/>
      <c r="P62" s="175"/>
      <c r="Q62" s="68"/>
    </row>
    <row r="63" spans="2:17" s="217" customFormat="1" ht="39" customHeight="1" x14ac:dyDescent="0.2">
      <c r="B63" s="228" t="s">
        <v>97</v>
      </c>
      <c r="C63" s="1490" t="s">
        <v>25</v>
      </c>
      <c r="D63" s="1490"/>
      <c r="E63" s="228" t="s">
        <v>65</v>
      </c>
      <c r="F63" s="228" t="s">
        <v>90</v>
      </c>
      <c r="G63" s="228" t="s">
        <v>91</v>
      </c>
      <c r="H63" s="228" t="s">
        <v>92</v>
      </c>
      <c r="I63" s="228" t="s">
        <v>4742</v>
      </c>
      <c r="J63" s="228" t="s">
        <v>4743</v>
      </c>
      <c r="K63" s="228" t="s">
        <v>4744</v>
      </c>
      <c r="L63" s="228" t="s">
        <v>4745</v>
      </c>
      <c r="M63" s="228" t="s">
        <v>4746</v>
      </c>
      <c r="N63" s="228" t="s">
        <v>4747</v>
      </c>
      <c r="O63" s="228" t="s">
        <v>98</v>
      </c>
      <c r="P63" s="175"/>
      <c r="Q63" s="68"/>
    </row>
    <row r="64" spans="2:17" s="217" customFormat="1" ht="15.75" x14ac:dyDescent="0.2">
      <c r="B64" s="195"/>
      <c r="C64" s="111"/>
      <c r="D64" s="111"/>
      <c r="E64" s="218"/>
      <c r="F64" s="218"/>
      <c r="G64" s="218"/>
      <c r="H64" s="218"/>
      <c r="I64" s="218"/>
      <c r="J64" s="218"/>
      <c r="K64" s="218"/>
      <c r="N64" s="218"/>
      <c r="O64" s="218"/>
      <c r="P64" s="175"/>
      <c r="Q64" s="68"/>
    </row>
    <row r="65" spans="2:17" s="217" customFormat="1" ht="153" customHeight="1" x14ac:dyDescent="0.2">
      <c r="B65" s="227" t="s">
        <v>5246</v>
      </c>
      <c r="C65" s="1486" t="s">
        <v>5250</v>
      </c>
      <c r="D65" s="1487"/>
      <c r="E65" s="227" t="s">
        <v>5248</v>
      </c>
      <c r="F65" s="625">
        <f>IFERROR(IF(F37="","",F59-F37),"")</f>
        <v>0</v>
      </c>
      <c r="G65" s="625">
        <f t="shared" ref="G65:O65" si="4">IFERROR(IF(G37="","",G59-G37),"")</f>
        <v>0</v>
      </c>
      <c r="H65" s="625">
        <f t="shared" si="4"/>
        <v>0</v>
      </c>
      <c r="I65" s="625">
        <f t="shared" si="4"/>
        <v>0</v>
      </c>
      <c r="J65" s="625">
        <f t="shared" si="4"/>
        <v>0</v>
      </c>
      <c r="K65" s="625">
        <f t="shared" si="4"/>
        <v>0</v>
      </c>
      <c r="L65" s="625">
        <f t="shared" si="4"/>
        <v>0</v>
      </c>
      <c r="M65" s="625">
        <f t="shared" si="4"/>
        <v>0</v>
      </c>
      <c r="N65" s="625">
        <f t="shared" si="4"/>
        <v>0</v>
      </c>
      <c r="O65" s="625">
        <f t="shared" si="4"/>
        <v>0</v>
      </c>
      <c r="P65" s="175"/>
      <c r="Q65" s="68"/>
    </row>
    <row r="66" spans="2:17" s="202" customFormat="1" ht="15.75" x14ac:dyDescent="0.25">
      <c r="B66" s="198" t="s">
        <v>99</v>
      </c>
      <c r="C66" s="199"/>
      <c r="D66" s="199"/>
      <c r="E66" s="200"/>
      <c r="F66" s="200"/>
      <c r="G66" s="200"/>
      <c r="H66" s="200"/>
      <c r="I66" s="201"/>
      <c r="J66" s="201"/>
      <c r="L66" s="203"/>
      <c r="M66" s="203"/>
      <c r="N66" s="204"/>
      <c r="O66" s="204"/>
      <c r="P66" s="204"/>
      <c r="Q66" s="201"/>
    </row>
    <row r="67" spans="2:17" s="217" customFormat="1" ht="15.75" x14ac:dyDescent="0.2">
      <c r="B67" s="194"/>
      <c r="C67" s="226"/>
      <c r="D67" s="226"/>
      <c r="E67" s="194"/>
      <c r="F67" s="194"/>
      <c r="G67" s="194"/>
      <c r="H67" s="194"/>
      <c r="I67" s="68"/>
      <c r="J67" s="68"/>
      <c r="L67" s="164"/>
      <c r="M67" s="164"/>
      <c r="N67" s="175"/>
      <c r="O67" s="175"/>
      <c r="P67" s="175"/>
      <c r="Q67" s="68"/>
    </row>
  </sheetData>
  <sheetProtection algorithmName="SHA-512" hashValue="Ugz8ZHhpfbqtx6P8PfCQ/x5oxB16tvnPsYRk+4k9Uwhkgi+vnQC+vU7AzjHAzm8HcdHfh3lE9qM11bXuAaMryg==" saltValue="fqaGqGGv23n0QB5HOwHRPA==" spinCount="100000" sheet="1" objects="1" scenarios="1"/>
  <mergeCells count="41">
    <mergeCell ref="B15:O15"/>
    <mergeCell ref="B18:O18"/>
    <mergeCell ref="B26:D26"/>
    <mergeCell ref="E26:G26"/>
    <mergeCell ref="H26:J26"/>
    <mergeCell ref="B22:C22"/>
    <mergeCell ref="B24:C24"/>
    <mergeCell ref="C37:D37"/>
    <mergeCell ref="L41:M41"/>
    <mergeCell ref="L43:M44"/>
    <mergeCell ref="G41:H41"/>
    <mergeCell ref="G43:H44"/>
    <mergeCell ref="I41:K41"/>
    <mergeCell ref="B41:C41"/>
    <mergeCell ref="B43:C46"/>
    <mergeCell ref="I43:K43"/>
    <mergeCell ref="I44:K44"/>
    <mergeCell ref="I45:K45"/>
    <mergeCell ref="F43:F44"/>
    <mergeCell ref="D41:E41"/>
    <mergeCell ref="D43:E44"/>
    <mergeCell ref="D45:E46"/>
    <mergeCell ref="I46:K46"/>
    <mergeCell ref="B28:D28"/>
    <mergeCell ref="E28:G28"/>
    <mergeCell ref="B31:O31"/>
    <mergeCell ref="H28:J28"/>
    <mergeCell ref="C35:D35"/>
    <mergeCell ref="L45:M46"/>
    <mergeCell ref="L48:M48"/>
    <mergeCell ref="G45:H46"/>
    <mergeCell ref="F45:F46"/>
    <mergeCell ref="C65:D65"/>
    <mergeCell ref="D48:F48"/>
    <mergeCell ref="C57:D57"/>
    <mergeCell ref="C59:D59"/>
    <mergeCell ref="D62:I62"/>
    <mergeCell ref="C63:D63"/>
    <mergeCell ref="G48:H48"/>
    <mergeCell ref="I48:K48"/>
    <mergeCell ref="B53:O53"/>
  </mergeCells>
  <dataValidations disablePrompts="1" xWindow="170" yWindow="480" count="4">
    <dataValidation type="textLength" operator="lessThan" allowBlank="1" showInputMessage="1" showErrorMessage="1" errorTitle="Error" error="El texto ingresado contienen más de 60 caracteres, los cuales incluyen los espacios en blanco." promptTitle="Acciones" prompt="Ingrese las acciones de optimización que se van a ejecutar a los activos estratégicos esenciales analizados." sqref="I43:K46">
      <formula1>60</formula1>
    </dataValidation>
    <dataValidation type="decimal" operator="greaterThanOrEqual" allowBlank="1" showInputMessage="1" showErrorMessage="1" errorTitle="Error" error="Se ha ingresado un valor no numérico." promptTitle="Optimizada" prompt="Ingresar el volumen de agua que puede proporcionar la fuente  por el activos estratégico esencial de la Unidad Productora del Servicio de Provisión de Agua para Riego,  luego de las acciones de optimización. _x000a_" sqref="L43:M46">
      <formula1>0</formula1>
    </dataValidation>
    <dataValidation allowBlank="1" showInputMessage="1" showErrorMessage="1" promptTitle="Población Total" prompt="Población del área de influencia definida previamente en el_x000a_diagnóstico." sqref="B24:C24"/>
    <dataValidation type="list" allowBlank="1" showInputMessage="1" showErrorMessage="1" promptTitle="Activo" prompt="Seleccionar el activo estratégico esencial que existe actualmente en Unidad Productora del Servicios de Provisión de Agua para Riego a ser analizado._x000a_" sqref="D43:E46">
      <formula1>"Estructura de Captación,Presa"</formula1>
    </dataValidation>
  </dataValidations>
  <pageMargins left="0.70866141732283472" right="0.70866141732283472" top="0.74803149606299213" bottom="0.74803149606299213" header="0.31496062992125984" footer="0.31496062992125984"/>
  <pageSetup paperSize="9" scale="55"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legacyDrawing r:id="rId3"/>
  <controls>
    <mc:AlternateContent xmlns:mc="http://schemas.openxmlformats.org/markup-compatibility/2006">
      <mc:Choice Requires="x14">
        <control shapeId="45060" r:id="rId4" name="Balance_Hidrico">
          <controlPr defaultSize="0" autoLine="0" r:id="rId5">
            <anchor moveWithCells="1">
              <from>
                <xdr:col>13</xdr:col>
                <xdr:colOff>57150</xdr:colOff>
                <xdr:row>19</xdr:row>
                <xdr:rowOff>180975</xdr:rowOff>
              </from>
              <to>
                <xdr:col>14</xdr:col>
                <xdr:colOff>657225</xdr:colOff>
                <xdr:row>22</xdr:row>
                <xdr:rowOff>9525</xdr:rowOff>
              </to>
            </anchor>
          </controlPr>
        </control>
      </mc:Choice>
      <mc:Fallback>
        <control shapeId="45060" r:id="rId4" name="Balance_Hidrico"/>
      </mc:Fallback>
    </mc:AlternateContent>
    <mc:AlternateContent xmlns:mc="http://schemas.openxmlformats.org/markup-compatibility/2006">
      <mc:Choice Requires="x14">
        <control shapeId="45061" r:id="rId6" name="Btn_Ir_a_BalanceHSP">
          <controlPr defaultSize="0" autoLine="0" r:id="rId7">
            <anchor moveWithCells="1">
              <from>
                <xdr:col>13</xdr:col>
                <xdr:colOff>66675</xdr:colOff>
                <xdr:row>22</xdr:row>
                <xdr:rowOff>19050</xdr:rowOff>
              </from>
              <to>
                <xdr:col>14</xdr:col>
                <xdr:colOff>666750</xdr:colOff>
                <xdr:row>23</xdr:row>
                <xdr:rowOff>247650</xdr:rowOff>
              </to>
            </anchor>
          </controlPr>
        </control>
      </mc:Choice>
      <mc:Fallback>
        <control shapeId="45061" r:id="rId6" name="Btn_Ir_a_BalanceHSP"/>
      </mc:Fallback>
    </mc:AlternateContent>
    <mc:AlternateContent xmlns:mc="http://schemas.openxmlformats.org/markup-compatibility/2006">
      <mc:Choice Requires="x14">
        <control shapeId="45062" r:id="rId8" name="Btn_Ir_a_BalanceHCP">
          <controlPr defaultSize="0" autoLine="0" r:id="rId9">
            <anchor moveWithCells="1">
              <from>
                <xdr:col>13</xdr:col>
                <xdr:colOff>57150</xdr:colOff>
                <xdr:row>23</xdr:row>
                <xdr:rowOff>266700</xdr:rowOff>
              </from>
              <to>
                <xdr:col>14</xdr:col>
                <xdr:colOff>657225</xdr:colOff>
                <xdr:row>29</xdr:row>
                <xdr:rowOff>9525</xdr:rowOff>
              </to>
            </anchor>
          </controlPr>
        </control>
      </mc:Choice>
      <mc:Fallback>
        <control shapeId="45062" r:id="rId8" name="Btn_Ir_a_BalanceHCP"/>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C345"/>
  <sheetViews>
    <sheetView showGridLines="0" zoomScale="90" zoomScaleNormal="90" zoomScaleSheetLayoutView="70" workbookViewId="0">
      <pane ySplit="9" topLeftCell="A10" activePane="bottomLeft" state="frozen"/>
      <selection sqref="A1:XFD1048576"/>
      <selection pane="bottomLeft" activeCell="B19" sqref="B19:N19"/>
    </sheetView>
  </sheetViews>
  <sheetFormatPr baseColWidth="10" defaultColWidth="10.5703125" defaultRowHeight="15" x14ac:dyDescent="0.25"/>
  <cols>
    <col min="1" max="1" width="10.5703125" style="50" customWidth="1"/>
    <col min="2" max="2" width="10.5703125" style="50"/>
    <col min="3" max="3" width="14.28515625" style="50" customWidth="1"/>
    <col min="4" max="8" width="10.5703125" style="50"/>
    <col min="9" max="9" width="12.42578125" style="50" customWidth="1"/>
    <col min="10" max="12" width="10.5703125" style="50"/>
    <col min="13" max="13" width="12.7109375" style="50" bestFit="1" customWidth="1"/>
    <col min="14" max="16384" width="10.5703125" style="50"/>
  </cols>
  <sheetData>
    <row r="1" spans="1:29" x14ac:dyDescent="0.25">
      <c r="A1" s="95"/>
      <c r="B1" s="95"/>
      <c r="C1" s="95"/>
      <c r="D1" s="95"/>
      <c r="E1" s="95"/>
      <c r="F1" s="95"/>
      <c r="G1" s="95"/>
      <c r="H1" s="95"/>
      <c r="I1" s="95"/>
      <c r="J1" s="95"/>
      <c r="K1" s="95"/>
      <c r="L1" s="95"/>
      <c r="M1" s="95"/>
      <c r="N1" s="95"/>
      <c r="O1" s="95"/>
    </row>
    <row r="2" spans="1:29" x14ac:dyDescent="0.25">
      <c r="A2" s="95"/>
      <c r="B2" s="95"/>
      <c r="C2" s="95"/>
      <c r="D2" s="95"/>
      <c r="E2" s="95"/>
      <c r="F2" s="95"/>
      <c r="G2" s="95"/>
      <c r="H2" s="95"/>
      <c r="I2" s="95"/>
      <c r="J2" s="95"/>
      <c r="K2" s="95"/>
      <c r="L2" s="95"/>
      <c r="M2" s="95"/>
      <c r="N2" s="95"/>
      <c r="O2" s="95"/>
    </row>
    <row r="3" spans="1:29" x14ac:dyDescent="0.25">
      <c r="A3" s="95"/>
      <c r="B3" s="95"/>
      <c r="C3" s="95"/>
      <c r="D3" s="95"/>
      <c r="E3" s="95"/>
      <c r="F3" s="95"/>
      <c r="G3" s="95"/>
      <c r="H3" s="95"/>
      <c r="I3" s="95"/>
      <c r="J3" s="95"/>
      <c r="K3" s="95"/>
      <c r="L3" s="95"/>
      <c r="M3" s="95"/>
      <c r="N3" s="95"/>
      <c r="O3" s="95"/>
    </row>
    <row r="4" spans="1:29" x14ac:dyDescent="0.25">
      <c r="A4" s="95"/>
      <c r="B4" s="95"/>
      <c r="C4" s="95"/>
      <c r="D4" s="95"/>
      <c r="E4" s="95"/>
      <c r="F4" s="95"/>
      <c r="G4" s="95"/>
      <c r="H4" s="95"/>
      <c r="I4" s="95"/>
      <c r="J4" s="95"/>
      <c r="K4" s="95"/>
      <c r="L4" s="95"/>
      <c r="M4" s="95"/>
      <c r="N4" s="95"/>
      <c r="O4" s="95"/>
    </row>
    <row r="5" spans="1:29" x14ac:dyDescent="0.25">
      <c r="A5" s="95"/>
      <c r="B5" s="95"/>
      <c r="C5" s="95"/>
      <c r="D5" s="95"/>
      <c r="E5" s="95"/>
      <c r="F5" s="95"/>
      <c r="G5" s="95"/>
      <c r="H5" s="95"/>
      <c r="I5" s="95"/>
      <c r="J5" s="95"/>
      <c r="K5" s="95"/>
      <c r="L5" s="95"/>
      <c r="M5" s="95"/>
      <c r="N5" s="95"/>
      <c r="O5" s="95"/>
    </row>
    <row r="6" spans="1:29" x14ac:dyDescent="0.25">
      <c r="A6" s="95"/>
      <c r="B6" s="95"/>
      <c r="C6" s="95"/>
      <c r="D6" s="95"/>
      <c r="E6" s="95"/>
      <c r="F6" s="95"/>
      <c r="G6" s="95"/>
      <c r="H6" s="95"/>
      <c r="I6" s="95"/>
      <c r="J6" s="95"/>
      <c r="K6" s="95"/>
      <c r="L6" s="95"/>
      <c r="M6" s="95"/>
      <c r="N6" s="95"/>
      <c r="O6" s="95"/>
    </row>
    <row r="7" spans="1:29" x14ac:dyDescent="0.25">
      <c r="A7" s="95"/>
      <c r="B7" s="95"/>
      <c r="C7" s="95"/>
      <c r="D7" s="95"/>
      <c r="E7" s="95"/>
      <c r="F7" s="95"/>
      <c r="G7" s="95"/>
      <c r="H7" s="95"/>
      <c r="I7" s="95"/>
      <c r="J7" s="95"/>
      <c r="K7" s="95"/>
      <c r="L7" s="95"/>
      <c r="M7" s="95"/>
      <c r="N7" s="95"/>
      <c r="O7" s="95"/>
    </row>
    <row r="8" spans="1:29" x14ac:dyDescent="0.25">
      <c r="A8" s="95"/>
      <c r="B8" s="95"/>
      <c r="C8" s="95"/>
      <c r="D8" s="95"/>
      <c r="E8" s="95"/>
      <c r="F8" s="95"/>
      <c r="G8" s="95"/>
      <c r="H8" s="95"/>
      <c r="I8" s="95"/>
      <c r="J8" s="95"/>
      <c r="K8" s="95"/>
      <c r="L8" s="95"/>
      <c r="M8" s="95"/>
      <c r="N8" s="95"/>
      <c r="O8" s="95"/>
    </row>
    <row r="9" spans="1:29" x14ac:dyDescent="0.25">
      <c r="A9" s="95"/>
      <c r="B9" s="95"/>
      <c r="C9" s="95"/>
      <c r="D9" s="95"/>
      <c r="E9" s="95"/>
      <c r="F9" s="95"/>
      <c r="G9" s="95"/>
      <c r="H9" s="95"/>
      <c r="I9" s="95"/>
      <c r="J9" s="95"/>
      <c r="K9" s="95"/>
      <c r="L9" s="95"/>
      <c r="M9" s="95"/>
      <c r="N9" s="95"/>
      <c r="O9" s="95"/>
    </row>
    <row r="10" spans="1:29" s="82" customFormat="1" ht="18.75" x14ac:dyDescent="0.3">
      <c r="B10" s="82" t="s">
        <v>355</v>
      </c>
    </row>
    <row r="12" spans="1:29" s="232" customFormat="1" ht="18" customHeight="1" x14ac:dyDescent="0.25">
      <c r="B12" s="233" t="s">
        <v>372</v>
      </c>
      <c r="C12" s="234"/>
      <c r="D12" s="234"/>
      <c r="E12" s="234"/>
      <c r="F12" s="235"/>
      <c r="G12" s="236"/>
      <c r="H12" s="236"/>
      <c r="I12" s="235"/>
      <c r="J12" s="235"/>
      <c r="K12" s="235"/>
      <c r="L12" s="235"/>
      <c r="M12" s="235"/>
      <c r="N12" s="235"/>
      <c r="O12" s="50"/>
      <c r="P12" s="50"/>
      <c r="Q12" s="50"/>
      <c r="R12" s="50"/>
      <c r="S12" s="50"/>
      <c r="T12" s="50"/>
      <c r="U12" s="50"/>
      <c r="V12" s="50"/>
      <c r="W12" s="50"/>
      <c r="X12" s="50"/>
      <c r="Y12" s="50"/>
      <c r="Z12" s="50"/>
      <c r="AA12" s="50"/>
      <c r="AB12" s="50"/>
      <c r="AC12" s="50"/>
    </row>
    <row r="13" spans="1:29" s="217" customFormat="1" ht="25.5" customHeight="1" x14ac:dyDescent="0.25">
      <c r="B13" s="1537" t="s">
        <v>228</v>
      </c>
      <c r="C13" s="1537"/>
      <c r="D13" s="1537"/>
      <c r="E13" s="1537"/>
      <c r="F13" s="1537"/>
      <c r="G13" s="1537"/>
      <c r="H13" s="1537"/>
      <c r="I13" s="1537"/>
      <c r="J13" s="1537"/>
      <c r="K13" s="1537"/>
      <c r="L13" s="1537"/>
      <c r="M13" s="1537"/>
      <c r="N13" s="175"/>
      <c r="O13" s="50"/>
      <c r="P13" s="50"/>
      <c r="Q13" s="50"/>
      <c r="R13" s="50"/>
      <c r="S13" s="50"/>
      <c r="T13" s="50"/>
      <c r="U13" s="50"/>
      <c r="V13" s="50"/>
      <c r="W13" s="50"/>
      <c r="X13" s="50"/>
      <c r="Y13" s="50"/>
      <c r="Z13" s="50"/>
      <c r="AA13" s="50"/>
      <c r="AB13" s="50"/>
      <c r="AC13" s="50"/>
    </row>
    <row r="14" spans="1:29" ht="25.5" customHeight="1" x14ac:dyDescent="0.3">
      <c r="A14" s="237"/>
      <c r="B14" s="1537"/>
      <c r="C14" s="1537"/>
      <c r="D14" s="1537"/>
      <c r="E14" s="1537"/>
      <c r="F14" s="1537"/>
      <c r="G14" s="1537"/>
      <c r="H14" s="1537"/>
      <c r="I14" s="1537"/>
      <c r="J14" s="1537"/>
      <c r="K14" s="1537"/>
      <c r="L14" s="1537"/>
      <c r="M14" s="1537"/>
    </row>
    <row r="15" spans="1:29" s="232" customFormat="1" ht="18.75" x14ac:dyDescent="0.25">
      <c r="B15" s="233" t="s">
        <v>371</v>
      </c>
      <c r="C15" s="238"/>
      <c r="D15" s="238"/>
      <c r="E15" s="238"/>
      <c r="F15" s="239"/>
      <c r="G15" s="240"/>
      <c r="H15" s="240"/>
      <c r="I15" s="239"/>
      <c r="J15" s="241"/>
      <c r="K15" s="242"/>
      <c r="L15" s="241"/>
      <c r="M15" s="241"/>
      <c r="N15" s="243"/>
      <c r="O15" s="243"/>
      <c r="P15" s="243"/>
      <c r="Q15" s="244"/>
    </row>
    <row r="16" spans="1:29" s="217" customFormat="1" ht="12.75" customHeight="1" x14ac:dyDescent="0.2">
      <c r="B16" s="55"/>
      <c r="C16" s="156"/>
      <c r="D16" s="156"/>
      <c r="E16" s="156"/>
      <c r="F16" s="135"/>
      <c r="G16" s="68"/>
      <c r="J16" s="135"/>
      <c r="K16" s="156"/>
      <c r="L16" s="226"/>
      <c r="M16" s="226"/>
      <c r="N16" s="175"/>
      <c r="O16" s="175"/>
      <c r="P16" s="175"/>
      <c r="Q16" s="68"/>
    </row>
    <row r="17" spans="2:17" s="217" customFormat="1" ht="12.75" customHeight="1" x14ac:dyDescent="0.2">
      <c r="B17" s="1537" t="s">
        <v>388</v>
      </c>
      <c r="C17" s="1537"/>
      <c r="D17" s="1537"/>
      <c r="E17" s="1537"/>
      <c r="F17" s="1537"/>
      <c r="G17" s="1537"/>
      <c r="H17" s="1537"/>
      <c r="I17" s="1537"/>
      <c r="J17" s="1537"/>
      <c r="K17" s="1537"/>
      <c r="L17" s="1537"/>
      <c r="M17" s="1537"/>
      <c r="N17" s="1537"/>
      <c r="O17" s="175"/>
      <c r="P17" s="175"/>
      <c r="Q17" s="68"/>
    </row>
    <row r="18" spans="2:17" s="217" customFormat="1" ht="12.75" customHeight="1" x14ac:dyDescent="0.2">
      <c r="B18" s="1549"/>
      <c r="C18" s="1549"/>
      <c r="D18" s="1549"/>
      <c r="E18" s="1549"/>
      <c r="F18" s="1549"/>
      <c r="G18" s="1549"/>
      <c r="H18" s="1549"/>
      <c r="I18" s="1549"/>
      <c r="J18" s="1549"/>
      <c r="K18" s="1549"/>
      <c r="L18" s="1549"/>
      <c r="M18" s="1549"/>
      <c r="N18" s="1549"/>
      <c r="O18" s="175"/>
      <c r="P18" s="175"/>
      <c r="Q18" s="68"/>
    </row>
    <row r="19" spans="2:17" s="217" customFormat="1" ht="51" customHeight="1" x14ac:dyDescent="0.2">
      <c r="B19" s="1562" t="s">
        <v>5333</v>
      </c>
      <c r="C19" s="1563"/>
      <c r="D19" s="1563"/>
      <c r="E19" s="1563"/>
      <c r="F19" s="1563"/>
      <c r="G19" s="1563"/>
      <c r="H19" s="1563"/>
      <c r="I19" s="1563"/>
      <c r="J19" s="1563"/>
      <c r="K19" s="1563"/>
      <c r="L19" s="1563"/>
      <c r="M19" s="1563"/>
      <c r="N19" s="1564"/>
      <c r="O19" s="175"/>
      <c r="P19" s="175"/>
      <c r="Q19" s="68"/>
    </row>
    <row r="20" spans="2:17" s="217" customFormat="1" ht="12.75" customHeight="1" x14ac:dyDescent="0.2">
      <c r="B20" s="245"/>
      <c r="C20" s="246"/>
      <c r="D20" s="246"/>
      <c r="E20" s="247"/>
      <c r="F20" s="135"/>
      <c r="G20" s="68"/>
      <c r="H20" s="68"/>
      <c r="I20" s="135"/>
      <c r="J20" s="135"/>
      <c r="K20" s="156"/>
      <c r="L20" s="226"/>
      <c r="M20" s="226"/>
      <c r="N20" s="175"/>
      <c r="O20" s="175"/>
      <c r="P20" s="175"/>
      <c r="Q20" s="68"/>
    </row>
    <row r="21" spans="2:17" s="232" customFormat="1" ht="21" customHeight="1" x14ac:dyDescent="0.25">
      <c r="B21" s="1512" t="s">
        <v>373</v>
      </c>
      <c r="C21" s="1512"/>
      <c r="D21" s="1512"/>
      <c r="E21" s="1512"/>
      <c r="F21" s="1512"/>
      <c r="G21" s="1512"/>
      <c r="H21" s="1512"/>
      <c r="I21" s="1512"/>
      <c r="J21" s="1512"/>
      <c r="K21" s="1512"/>
      <c r="L21" s="1512"/>
      <c r="M21" s="1512"/>
      <c r="N21" s="1512"/>
      <c r="O21" s="243"/>
      <c r="P21" s="243"/>
      <c r="Q21" s="244"/>
    </row>
    <row r="22" spans="2:17" s="217" customFormat="1" ht="12.75" customHeight="1" x14ac:dyDescent="0.25">
      <c r="B22" s="1572"/>
      <c r="C22" s="1572"/>
      <c r="D22" s="1572"/>
      <c r="E22" s="1572"/>
      <c r="F22" s="1572"/>
      <c r="G22" s="1572"/>
      <c r="H22" s="1572"/>
      <c r="I22" s="1572"/>
      <c r="J22" s="1572"/>
      <c r="K22" s="1572"/>
      <c r="L22" s="1572"/>
      <c r="M22" s="1572"/>
      <c r="N22" s="1572"/>
      <c r="O22" s="175"/>
      <c r="P22" s="175"/>
      <c r="Q22" s="68"/>
    </row>
    <row r="23" spans="2:17" s="217" customFormat="1" ht="12.75" customHeight="1" x14ac:dyDescent="0.2">
      <c r="B23" s="1537" t="s">
        <v>389</v>
      </c>
      <c r="C23" s="1537"/>
      <c r="D23" s="1537"/>
      <c r="E23" s="1537"/>
      <c r="F23" s="1537"/>
      <c r="G23" s="1537"/>
      <c r="H23" s="1537"/>
      <c r="I23" s="1537"/>
      <c r="J23" s="1537"/>
      <c r="K23" s="1537"/>
      <c r="L23" s="1537"/>
      <c r="M23" s="1537"/>
      <c r="N23" s="1537"/>
      <c r="O23" s="175"/>
      <c r="P23" s="175"/>
      <c r="Q23" s="68"/>
    </row>
    <row r="24" spans="2:17" s="217" customFormat="1" ht="12.75" customHeight="1" x14ac:dyDescent="0.2">
      <c r="B24" s="1549"/>
      <c r="C24" s="1549"/>
      <c r="D24" s="1549"/>
      <c r="E24" s="1549"/>
      <c r="F24" s="1549"/>
      <c r="G24" s="1549"/>
      <c r="H24" s="1549"/>
      <c r="I24" s="1549"/>
      <c r="J24" s="1549"/>
      <c r="K24" s="1549"/>
      <c r="L24" s="1549"/>
      <c r="M24" s="1549"/>
      <c r="N24" s="1549"/>
      <c r="O24" s="175"/>
      <c r="P24" s="175"/>
      <c r="Q24" s="68"/>
    </row>
    <row r="25" spans="2:17" s="217" customFormat="1" ht="33.75" customHeight="1" x14ac:dyDescent="0.2">
      <c r="B25" s="1565" t="s">
        <v>5334</v>
      </c>
      <c r="C25" s="1566"/>
      <c r="D25" s="1566"/>
      <c r="E25" s="1566"/>
      <c r="F25" s="1566"/>
      <c r="G25" s="1566"/>
      <c r="H25" s="1566"/>
      <c r="I25" s="1566"/>
      <c r="J25" s="1566"/>
      <c r="K25" s="1566"/>
      <c r="L25" s="1566"/>
      <c r="M25" s="1566"/>
      <c r="N25" s="1567"/>
      <c r="O25" s="175"/>
      <c r="P25" s="175"/>
      <c r="Q25" s="68"/>
    </row>
    <row r="26" spans="2:17" s="217" customFormat="1" ht="27" customHeight="1" x14ac:dyDescent="0.2">
      <c r="B26" s="248"/>
      <c r="C26" s="156"/>
      <c r="D26" s="156"/>
      <c r="E26" s="156"/>
      <c r="F26" s="135"/>
      <c r="G26" s="68"/>
      <c r="J26" s="135"/>
      <c r="K26" s="156"/>
      <c r="L26" s="226"/>
      <c r="M26" s="226"/>
      <c r="N26" s="175"/>
      <c r="O26" s="175"/>
      <c r="P26" s="175"/>
      <c r="Q26" s="68"/>
    </row>
    <row r="27" spans="2:17" s="232" customFormat="1" ht="19.5" customHeight="1" x14ac:dyDescent="0.25">
      <c r="B27" s="1512" t="s">
        <v>424</v>
      </c>
      <c r="C27" s="1512"/>
      <c r="D27" s="1512"/>
      <c r="E27" s="1512"/>
      <c r="F27" s="1512"/>
      <c r="G27" s="1512"/>
      <c r="H27" s="1512"/>
      <c r="I27" s="1512"/>
      <c r="J27" s="1512"/>
      <c r="K27" s="1512"/>
      <c r="L27" s="1512"/>
      <c r="M27" s="1512"/>
      <c r="N27" s="1512"/>
      <c r="O27" s="243"/>
      <c r="P27" s="243"/>
      <c r="Q27" s="244"/>
    </row>
    <row r="28" spans="2:17" s="217" customFormat="1" ht="12.75" customHeight="1" x14ac:dyDescent="0.25">
      <c r="B28" s="249"/>
      <c r="C28" s="226"/>
      <c r="D28" s="226"/>
      <c r="E28" s="194"/>
      <c r="F28" s="194"/>
      <c r="G28" s="194"/>
      <c r="H28" s="194"/>
      <c r="I28" s="68"/>
      <c r="J28" s="68"/>
      <c r="L28" s="164"/>
      <c r="M28" s="164"/>
      <c r="N28" s="175"/>
      <c r="O28" s="175"/>
      <c r="P28" s="175"/>
      <c r="Q28" s="68"/>
    </row>
    <row r="29" spans="2:17" s="217" customFormat="1" ht="12.75" customHeight="1" x14ac:dyDescent="0.2">
      <c r="B29" s="55" t="s">
        <v>414</v>
      </c>
      <c r="C29" s="247"/>
      <c r="D29" s="247"/>
      <c r="E29" s="247"/>
      <c r="F29" s="135"/>
      <c r="G29" s="68"/>
      <c r="H29" s="68"/>
      <c r="I29" s="135"/>
      <c r="J29" s="135"/>
      <c r="K29" s="156"/>
      <c r="L29" s="226"/>
      <c r="M29" s="226"/>
      <c r="N29" s="175"/>
      <c r="O29" s="175"/>
      <c r="P29" s="175"/>
      <c r="Q29" s="68"/>
    </row>
    <row r="30" spans="2:17" s="217" customFormat="1" ht="6.75" customHeight="1" x14ac:dyDescent="0.25">
      <c r="B30" s="249"/>
      <c r="C30" s="226"/>
      <c r="D30" s="226"/>
      <c r="E30" s="194"/>
      <c r="F30" s="194"/>
      <c r="G30" s="194"/>
      <c r="H30" s="194"/>
      <c r="I30" s="68"/>
      <c r="J30" s="68"/>
      <c r="L30" s="164"/>
      <c r="M30" s="164"/>
      <c r="N30" s="175"/>
      <c r="O30" s="175"/>
      <c r="P30" s="175"/>
      <c r="Q30" s="68"/>
    </row>
    <row r="31" spans="2:17" s="217" customFormat="1" ht="37.5" customHeight="1" x14ac:dyDescent="0.2">
      <c r="B31" s="1196" t="s">
        <v>48</v>
      </c>
      <c r="C31" s="1197" t="s">
        <v>49</v>
      </c>
      <c r="D31" s="1197"/>
      <c r="E31" s="1197" t="s">
        <v>4902</v>
      </c>
      <c r="F31" s="1197"/>
      <c r="G31" s="1197" t="s">
        <v>356</v>
      </c>
      <c r="H31" s="1197"/>
      <c r="I31" s="1197" t="s">
        <v>306</v>
      </c>
      <c r="J31" s="1197"/>
      <c r="K31" s="1197"/>
      <c r="L31" s="1197" t="s">
        <v>53</v>
      </c>
      <c r="M31" s="1197"/>
      <c r="N31" s="1197"/>
    </row>
    <row r="32" spans="2:17" s="217" customFormat="1" ht="17.25" customHeight="1" x14ac:dyDescent="0.2">
      <c r="B32" s="1196"/>
      <c r="C32" s="1197"/>
      <c r="D32" s="1197"/>
      <c r="E32" s="1197"/>
      <c r="F32" s="1197"/>
      <c r="G32" s="1197"/>
      <c r="H32" s="1197"/>
      <c r="I32" s="221" t="s">
        <v>303</v>
      </c>
      <c r="J32" s="221" t="s">
        <v>304</v>
      </c>
      <c r="K32" s="221" t="s">
        <v>305</v>
      </c>
      <c r="L32" s="1197"/>
      <c r="M32" s="1197"/>
      <c r="N32" s="1197"/>
    </row>
    <row r="33" spans="2:21" s="75" customFormat="1" ht="10.5" customHeight="1" x14ac:dyDescent="0.2">
      <c r="B33" s="111"/>
      <c r="C33" s="218"/>
      <c r="E33" s="218"/>
      <c r="G33" s="194"/>
      <c r="P33" s="194"/>
      <c r="Q33" s="194"/>
      <c r="S33" s="217"/>
      <c r="T33" s="217"/>
      <c r="U33" s="217"/>
    </row>
    <row r="34" spans="2:21" s="217" customFormat="1" ht="45" customHeight="1" x14ac:dyDescent="0.2">
      <c r="B34" s="1550" t="s">
        <v>5335</v>
      </c>
      <c r="C34" s="1543" t="s">
        <v>54</v>
      </c>
      <c r="D34" s="1544"/>
      <c r="E34" s="1568"/>
      <c r="F34" s="1569"/>
      <c r="G34" s="1531"/>
      <c r="H34" s="1532"/>
      <c r="I34" s="260"/>
      <c r="J34" s="260"/>
      <c r="K34" s="260"/>
      <c r="L34" s="1538"/>
      <c r="M34" s="1539"/>
      <c r="N34" s="1540"/>
    </row>
    <row r="35" spans="2:21" s="217" customFormat="1" ht="45" customHeight="1" x14ac:dyDescent="0.2">
      <c r="B35" s="1551"/>
      <c r="C35" s="1545"/>
      <c r="D35" s="1546"/>
      <c r="E35" s="1186"/>
      <c r="F35" s="1188"/>
      <c r="G35" s="1541"/>
      <c r="H35" s="1542"/>
      <c r="I35" s="260"/>
      <c r="J35" s="260"/>
      <c r="K35" s="260"/>
      <c r="L35" s="1538"/>
      <c r="M35" s="1539"/>
      <c r="N35" s="1540"/>
      <c r="U35" s="250" t="s">
        <v>4757</v>
      </c>
    </row>
    <row r="36" spans="2:21" s="217" customFormat="1" ht="45" customHeight="1" x14ac:dyDescent="0.2">
      <c r="B36" s="1552"/>
      <c r="C36" s="1547"/>
      <c r="D36" s="1548"/>
      <c r="E36" s="1570"/>
      <c r="F36" s="1571"/>
      <c r="G36" s="1531"/>
      <c r="H36" s="1532"/>
      <c r="I36" s="260"/>
      <c r="J36" s="260"/>
      <c r="K36" s="260"/>
      <c r="L36" s="1538"/>
      <c r="M36" s="1539"/>
      <c r="N36" s="1540"/>
      <c r="U36" s="250" t="s">
        <v>4758</v>
      </c>
    </row>
    <row r="37" spans="2:21" s="217" customFormat="1" ht="45" customHeight="1" x14ac:dyDescent="0.2">
      <c r="B37" s="1551" t="s">
        <v>5337</v>
      </c>
      <c r="C37" s="1545" t="s">
        <v>54</v>
      </c>
      <c r="D37" s="1546"/>
      <c r="E37" s="1568"/>
      <c r="F37" s="1569"/>
      <c r="G37" s="1531"/>
      <c r="H37" s="1532"/>
      <c r="I37" s="260"/>
      <c r="J37" s="260"/>
      <c r="K37" s="260"/>
      <c r="L37" s="1538"/>
      <c r="M37" s="1539"/>
      <c r="N37" s="1540"/>
    </row>
    <row r="38" spans="2:21" s="217" customFormat="1" ht="45" customHeight="1" x14ac:dyDescent="0.2">
      <c r="B38" s="1551"/>
      <c r="C38" s="1545"/>
      <c r="D38" s="1546"/>
      <c r="E38" s="1186"/>
      <c r="F38" s="1188"/>
      <c r="G38" s="1531"/>
      <c r="H38" s="1532"/>
      <c r="I38" s="261"/>
      <c r="J38" s="261"/>
      <c r="K38" s="261"/>
      <c r="L38" s="1538"/>
      <c r="M38" s="1539"/>
      <c r="N38" s="1540"/>
    </row>
    <row r="39" spans="2:21" s="217" customFormat="1" ht="45" customHeight="1" x14ac:dyDescent="0.2">
      <c r="B39" s="1551"/>
      <c r="C39" s="1545"/>
      <c r="D39" s="1546"/>
      <c r="E39" s="1186"/>
      <c r="F39" s="1188"/>
      <c r="G39" s="1531"/>
      <c r="H39" s="1532"/>
      <c r="I39" s="261"/>
      <c r="J39" s="261"/>
      <c r="K39" s="261"/>
      <c r="L39" s="1538"/>
      <c r="M39" s="1539"/>
      <c r="N39" s="1540"/>
    </row>
    <row r="40" spans="2:21" s="217" customFormat="1" ht="45" customHeight="1" x14ac:dyDescent="0.2">
      <c r="B40" s="1550" t="s">
        <v>5336</v>
      </c>
      <c r="C40" s="1543" t="s">
        <v>54</v>
      </c>
      <c r="D40" s="1544"/>
      <c r="E40" s="1568"/>
      <c r="F40" s="1569"/>
      <c r="G40" s="1531"/>
      <c r="H40" s="1532"/>
      <c r="I40" s="261"/>
      <c r="J40" s="261"/>
      <c r="K40" s="261"/>
      <c r="L40" s="1538"/>
      <c r="M40" s="1539"/>
      <c r="N40" s="1540"/>
    </row>
    <row r="41" spans="2:21" s="217" customFormat="1" ht="45" customHeight="1" x14ac:dyDescent="0.2">
      <c r="B41" s="1551"/>
      <c r="C41" s="1545"/>
      <c r="D41" s="1546"/>
      <c r="E41" s="1186"/>
      <c r="F41" s="1188"/>
      <c r="G41" s="1531"/>
      <c r="H41" s="1532"/>
      <c r="I41" s="261"/>
      <c r="J41" s="261"/>
      <c r="K41" s="261"/>
      <c r="L41" s="1538"/>
      <c r="M41" s="1539"/>
      <c r="N41" s="1540"/>
    </row>
    <row r="42" spans="2:21" s="217" customFormat="1" ht="45" customHeight="1" x14ac:dyDescent="0.2">
      <c r="B42" s="1551"/>
      <c r="C42" s="1545"/>
      <c r="D42" s="1546"/>
      <c r="E42" s="1186"/>
      <c r="F42" s="1188"/>
      <c r="G42" s="1531"/>
      <c r="H42" s="1532"/>
      <c r="I42" s="261"/>
      <c r="J42" s="261"/>
      <c r="K42" s="261"/>
      <c r="L42" s="1538"/>
      <c r="M42" s="1539"/>
      <c r="N42" s="1540"/>
    </row>
    <row r="43" spans="2:21" s="217" customFormat="1" ht="45" customHeight="1" x14ac:dyDescent="0.2">
      <c r="B43" s="1552"/>
      <c r="C43" s="1547"/>
      <c r="D43" s="1548"/>
      <c r="E43" s="1570"/>
      <c r="F43" s="1571"/>
      <c r="G43" s="1531"/>
      <c r="H43" s="1532"/>
      <c r="I43" s="261"/>
      <c r="J43" s="261"/>
      <c r="K43" s="261"/>
      <c r="L43" s="1538"/>
      <c r="M43" s="1539"/>
      <c r="N43" s="1540"/>
    </row>
    <row r="44" spans="2:21" s="217" customFormat="1" ht="12.75" customHeight="1" x14ac:dyDescent="0.25">
      <c r="B44" s="249"/>
      <c r="C44" s="226"/>
      <c r="D44" s="226"/>
      <c r="E44" s="194"/>
      <c r="F44" s="194"/>
      <c r="G44" s="194"/>
      <c r="H44" s="194"/>
      <c r="I44" s="68"/>
      <c r="J44" s="68"/>
      <c r="L44" s="164"/>
      <c r="M44" s="164"/>
      <c r="N44" s="175"/>
      <c r="O44" s="175"/>
      <c r="P44" s="175"/>
      <c r="Q44" s="68"/>
    </row>
    <row r="45" spans="2:21" s="69" customFormat="1" ht="21" customHeight="1" x14ac:dyDescent="0.25">
      <c r="B45" s="251" t="s">
        <v>402</v>
      </c>
      <c r="C45" s="252"/>
      <c r="D45" s="252"/>
      <c r="E45" s="252"/>
      <c r="F45" s="239"/>
      <c r="G45" s="240"/>
      <c r="H45" s="240"/>
      <c r="I45" s="239"/>
      <c r="J45" s="239"/>
      <c r="K45" s="252"/>
      <c r="L45" s="239"/>
      <c r="M45" s="239"/>
      <c r="N45" s="239"/>
      <c r="O45" s="186"/>
      <c r="P45" s="186"/>
      <c r="Q45" s="136"/>
    </row>
    <row r="46" spans="2:21" s="217" customFormat="1" ht="12.75" customHeight="1" x14ac:dyDescent="0.2">
      <c r="B46" s="84"/>
      <c r="C46" s="156"/>
      <c r="D46" s="156"/>
      <c r="E46" s="156"/>
      <c r="F46" s="135"/>
      <c r="G46" s="68"/>
      <c r="H46" s="68"/>
      <c r="I46" s="135"/>
      <c r="J46" s="135"/>
      <c r="K46" s="156"/>
      <c r="L46" s="226"/>
      <c r="M46" s="226"/>
      <c r="N46" s="175"/>
      <c r="O46" s="175"/>
      <c r="P46" s="175"/>
      <c r="Q46" s="68"/>
    </row>
    <row r="47" spans="2:21" s="217" customFormat="1" ht="27" customHeight="1" x14ac:dyDescent="0.2">
      <c r="B47" s="1533" t="s">
        <v>403</v>
      </c>
      <c r="C47" s="1533"/>
      <c r="D47" s="1533"/>
      <c r="E47" s="1533"/>
      <c r="F47" s="1533"/>
      <c r="G47" s="1533"/>
      <c r="H47" s="1533"/>
      <c r="I47" s="1533"/>
      <c r="J47" s="1533"/>
      <c r="K47" s="1533"/>
      <c r="L47" s="1533"/>
      <c r="M47" s="1533"/>
      <c r="N47" s="1533"/>
      <c r="O47" s="175"/>
      <c r="P47" s="175"/>
      <c r="Q47" s="68"/>
    </row>
    <row r="48" spans="2:21" s="217" customFormat="1" ht="8.25" customHeight="1" x14ac:dyDescent="0.2">
      <c r="B48" s="84"/>
      <c r="C48" s="156"/>
      <c r="D48" s="156"/>
      <c r="E48" s="156"/>
      <c r="F48" s="135"/>
      <c r="G48" s="68"/>
      <c r="H48" s="68"/>
      <c r="I48" s="135"/>
      <c r="J48" s="135"/>
      <c r="K48" s="156"/>
      <c r="L48" s="226"/>
      <c r="M48" s="226"/>
      <c r="N48" s="175"/>
      <c r="O48" s="175"/>
      <c r="P48" s="175"/>
      <c r="Q48" s="68"/>
    </row>
    <row r="49" spans="2:17" s="217" customFormat="1" ht="12.75" customHeight="1" x14ac:dyDescent="0.2">
      <c r="B49" s="1553"/>
      <c r="C49" s="1554"/>
      <c r="D49" s="1554"/>
      <c r="E49" s="1554"/>
      <c r="F49" s="1554"/>
      <c r="G49" s="1554"/>
      <c r="H49" s="1554"/>
      <c r="I49" s="1554"/>
      <c r="J49" s="1554"/>
      <c r="K49" s="1554"/>
      <c r="L49" s="1554"/>
      <c r="M49" s="1554"/>
      <c r="N49" s="1555"/>
      <c r="O49" s="175"/>
      <c r="P49" s="175"/>
      <c r="Q49" s="68"/>
    </row>
    <row r="50" spans="2:17" s="217" customFormat="1" ht="12.75" customHeight="1" x14ac:dyDescent="0.2">
      <c r="B50" s="1556"/>
      <c r="C50" s="1557"/>
      <c r="D50" s="1557"/>
      <c r="E50" s="1557"/>
      <c r="F50" s="1557"/>
      <c r="G50" s="1557"/>
      <c r="H50" s="1557"/>
      <c r="I50" s="1557"/>
      <c r="J50" s="1557"/>
      <c r="K50" s="1557"/>
      <c r="L50" s="1557"/>
      <c r="M50" s="1557"/>
      <c r="N50" s="1558"/>
      <c r="O50" s="175"/>
      <c r="P50" s="175"/>
      <c r="Q50" s="68"/>
    </row>
    <row r="51" spans="2:17" s="217" customFormat="1" ht="12.75" customHeight="1" x14ac:dyDescent="0.2">
      <c r="B51" s="1556"/>
      <c r="C51" s="1557"/>
      <c r="D51" s="1557"/>
      <c r="E51" s="1557"/>
      <c r="F51" s="1557"/>
      <c r="G51" s="1557"/>
      <c r="H51" s="1557"/>
      <c r="I51" s="1557"/>
      <c r="J51" s="1557"/>
      <c r="K51" s="1557"/>
      <c r="L51" s="1557"/>
      <c r="M51" s="1557"/>
      <c r="N51" s="1558"/>
      <c r="O51" s="175"/>
      <c r="P51" s="175"/>
      <c r="Q51" s="68"/>
    </row>
    <row r="52" spans="2:17" s="217" customFormat="1" ht="12.75" customHeight="1" x14ac:dyDescent="0.2">
      <c r="B52" s="1559"/>
      <c r="C52" s="1560"/>
      <c r="D52" s="1560"/>
      <c r="E52" s="1560"/>
      <c r="F52" s="1560"/>
      <c r="G52" s="1560"/>
      <c r="H52" s="1560"/>
      <c r="I52" s="1560"/>
      <c r="J52" s="1560"/>
      <c r="K52" s="1560"/>
      <c r="L52" s="1560"/>
      <c r="M52" s="1560"/>
      <c r="N52" s="1561"/>
      <c r="O52" s="175"/>
      <c r="P52" s="175"/>
      <c r="Q52" s="68"/>
    </row>
    <row r="53" spans="2:17" s="217" customFormat="1" ht="12.75" customHeight="1" x14ac:dyDescent="0.2">
      <c r="B53" s="247"/>
      <c r="C53" s="247"/>
      <c r="D53" s="247"/>
      <c r="E53" s="247"/>
      <c r="F53" s="135"/>
      <c r="G53" s="68"/>
      <c r="H53" s="68"/>
      <c r="I53" s="135"/>
      <c r="J53" s="135"/>
      <c r="K53" s="156"/>
      <c r="L53" s="226"/>
      <c r="M53" s="226"/>
      <c r="N53" s="175"/>
      <c r="O53" s="175"/>
      <c r="P53" s="175"/>
      <c r="Q53" s="68"/>
    </row>
    <row r="54" spans="2:17" s="232" customFormat="1" ht="19.5" customHeight="1" x14ac:dyDescent="0.25">
      <c r="B54" s="1512" t="s">
        <v>401</v>
      </c>
      <c r="C54" s="1512"/>
      <c r="D54" s="1512"/>
      <c r="E54" s="1512"/>
      <c r="F54" s="1512"/>
      <c r="G54" s="1512"/>
      <c r="H54" s="1512"/>
      <c r="I54" s="1512"/>
      <c r="J54" s="1512"/>
      <c r="K54" s="1512"/>
      <c r="L54" s="1512"/>
      <c r="M54" s="1512"/>
      <c r="N54" s="1512"/>
      <c r="O54" s="1512"/>
      <c r="P54" s="243"/>
      <c r="Q54" s="244"/>
    </row>
    <row r="55" spans="2:17" s="217" customFormat="1" ht="12.75" customHeight="1" x14ac:dyDescent="0.25">
      <c r="B55" s="198"/>
      <c r="C55" s="156"/>
      <c r="D55" s="156"/>
      <c r="E55" s="156"/>
      <c r="F55" s="135"/>
      <c r="G55" s="68"/>
      <c r="H55" s="68"/>
      <c r="I55" s="135"/>
      <c r="J55" s="135"/>
      <c r="K55" s="156"/>
      <c r="L55" s="226"/>
      <c r="M55" s="226"/>
      <c r="N55" s="175"/>
      <c r="O55" s="175"/>
      <c r="P55" s="175"/>
      <c r="Q55" s="68"/>
    </row>
    <row r="56" spans="2:17" s="217" customFormat="1" ht="49.5" customHeight="1" x14ac:dyDescent="0.2">
      <c r="B56" s="1535" t="s">
        <v>415</v>
      </c>
      <c r="C56" s="1535"/>
      <c r="D56" s="1535" t="s">
        <v>103</v>
      </c>
      <c r="E56" s="1535"/>
      <c r="F56" s="1535"/>
      <c r="G56" s="1535"/>
      <c r="H56" s="1535"/>
      <c r="I56" s="1535"/>
      <c r="J56" s="1535" t="s">
        <v>394</v>
      </c>
      <c r="K56" s="1535"/>
      <c r="L56" s="1535" t="s">
        <v>416</v>
      </c>
      <c r="M56" s="1535"/>
      <c r="N56" s="1535" t="s">
        <v>307</v>
      </c>
      <c r="O56" s="1535"/>
    </row>
    <row r="57" spans="2:17" s="217" customFormat="1" ht="49.5" customHeight="1" x14ac:dyDescent="0.2">
      <c r="B57" s="1535"/>
      <c r="C57" s="1535"/>
      <c r="D57" s="1196" t="s">
        <v>395</v>
      </c>
      <c r="E57" s="1196"/>
      <c r="F57" s="1196" t="s">
        <v>396</v>
      </c>
      <c r="G57" s="1196"/>
      <c r="H57" s="1196" t="s">
        <v>104</v>
      </c>
      <c r="I57" s="1196"/>
      <c r="J57" s="1535"/>
      <c r="K57" s="1535"/>
      <c r="L57" s="1535"/>
      <c r="M57" s="1535"/>
      <c r="N57" s="1535"/>
      <c r="O57" s="1535"/>
    </row>
    <row r="58" spans="2:17" s="217" customFormat="1" ht="6" customHeight="1" x14ac:dyDescent="0.2">
      <c r="B58" s="135"/>
      <c r="D58" s="135"/>
      <c r="F58" s="135"/>
      <c r="H58" s="135"/>
      <c r="J58" s="68"/>
      <c r="K58" s="68"/>
      <c r="L58" s="68"/>
      <c r="M58" s="68"/>
      <c r="N58" s="68"/>
      <c r="O58" s="68"/>
    </row>
    <row r="59" spans="2:17" s="217" customFormat="1" ht="21" customHeight="1" x14ac:dyDescent="0.2">
      <c r="B59" s="1536" t="str">
        <f>IF('PROBLEMA-OBJETIVO'!B104="","",'PROBLEMA-OBJETIVO'!B104)</f>
        <v>Alternativa 1</v>
      </c>
      <c r="C59" s="1536"/>
      <c r="D59" s="1519"/>
      <c r="E59" s="1520"/>
      <c r="F59" s="1519"/>
      <c r="G59" s="1520"/>
      <c r="H59" s="1222"/>
      <c r="I59" s="1184"/>
      <c r="J59" s="1519"/>
      <c r="K59" s="1520"/>
      <c r="L59" s="1519"/>
      <c r="M59" s="1520"/>
      <c r="N59" s="1519"/>
      <c r="O59" s="1520"/>
    </row>
    <row r="60" spans="2:17" s="217" customFormat="1" ht="21" customHeight="1" x14ac:dyDescent="0.2">
      <c r="B60" s="1536"/>
      <c r="C60" s="1536"/>
      <c r="D60" s="1521"/>
      <c r="E60" s="1522"/>
      <c r="F60" s="1521"/>
      <c r="G60" s="1522"/>
      <c r="H60" s="1184"/>
      <c r="I60" s="1185"/>
      <c r="J60" s="1521"/>
      <c r="K60" s="1522"/>
      <c r="L60" s="1521"/>
      <c r="M60" s="1522"/>
      <c r="N60" s="1521"/>
      <c r="O60" s="1522"/>
    </row>
    <row r="61" spans="2:17" s="217" customFormat="1" ht="21" customHeight="1" x14ac:dyDescent="0.2">
      <c r="B61" s="1536"/>
      <c r="C61" s="1536"/>
      <c r="D61" s="1521"/>
      <c r="E61" s="1522"/>
      <c r="F61" s="1521"/>
      <c r="G61" s="1522"/>
      <c r="H61" s="1184"/>
      <c r="I61" s="1185"/>
      <c r="J61" s="1521"/>
      <c r="K61" s="1522"/>
      <c r="L61" s="1521"/>
      <c r="M61" s="1522"/>
      <c r="N61" s="1521"/>
      <c r="O61" s="1522"/>
    </row>
    <row r="62" spans="2:17" s="217" customFormat="1" ht="21" customHeight="1" x14ac:dyDescent="0.2">
      <c r="B62" s="1536"/>
      <c r="C62" s="1536"/>
      <c r="D62" s="1521"/>
      <c r="E62" s="1522"/>
      <c r="F62" s="1521"/>
      <c r="G62" s="1522"/>
      <c r="H62" s="1184"/>
      <c r="I62" s="1185"/>
      <c r="J62" s="1521"/>
      <c r="K62" s="1522"/>
      <c r="L62" s="1521"/>
      <c r="M62" s="1522"/>
      <c r="N62" s="1521"/>
      <c r="O62" s="1522"/>
    </row>
    <row r="63" spans="2:17" s="217" customFormat="1" ht="21" customHeight="1" x14ac:dyDescent="0.2">
      <c r="B63" s="1536"/>
      <c r="C63" s="1536"/>
      <c r="D63" s="1523"/>
      <c r="E63" s="1524"/>
      <c r="F63" s="1523"/>
      <c r="G63" s="1524"/>
      <c r="H63" s="1222"/>
      <c r="I63" s="1184"/>
      <c r="J63" s="1523"/>
      <c r="K63" s="1524"/>
      <c r="L63" s="1523"/>
      <c r="M63" s="1524"/>
      <c r="N63" s="1523"/>
      <c r="O63" s="1524"/>
    </row>
    <row r="64" spans="2:17" s="217" customFormat="1" ht="21" hidden="1" customHeight="1" x14ac:dyDescent="0.2">
      <c r="B64" s="1525" t="str">
        <f>IF('PROBLEMA-OBJETIVO'!B114="","",'PROBLEMA-OBJETIVO'!B114)</f>
        <v>Alternativa 2</v>
      </c>
      <c r="C64" s="1526"/>
      <c r="D64" s="1519"/>
      <c r="E64" s="1520"/>
      <c r="F64" s="1519"/>
      <c r="G64" s="1520"/>
      <c r="H64" s="1184"/>
      <c r="I64" s="1185"/>
      <c r="J64" s="1519"/>
      <c r="K64" s="1520"/>
      <c r="L64" s="1519"/>
      <c r="M64" s="1520"/>
      <c r="N64" s="1519"/>
      <c r="O64" s="1520"/>
    </row>
    <row r="65" spans="2:15" s="217" customFormat="1" ht="21" hidden="1" customHeight="1" x14ac:dyDescent="0.2">
      <c r="B65" s="1527"/>
      <c r="C65" s="1528"/>
      <c r="D65" s="1521"/>
      <c r="E65" s="1522"/>
      <c r="F65" s="1521"/>
      <c r="G65" s="1522"/>
      <c r="H65" s="1184"/>
      <c r="I65" s="1185"/>
      <c r="J65" s="1521"/>
      <c r="K65" s="1522"/>
      <c r="L65" s="1521"/>
      <c r="M65" s="1522"/>
      <c r="N65" s="1521"/>
      <c r="O65" s="1522"/>
    </row>
    <row r="66" spans="2:15" s="217" customFormat="1" ht="21" hidden="1" customHeight="1" x14ac:dyDescent="0.2">
      <c r="B66" s="1527"/>
      <c r="C66" s="1528"/>
      <c r="D66" s="1521"/>
      <c r="E66" s="1522"/>
      <c r="F66" s="1521"/>
      <c r="G66" s="1522"/>
      <c r="H66" s="1184"/>
      <c r="I66" s="1185"/>
      <c r="J66" s="1521"/>
      <c r="K66" s="1522"/>
      <c r="L66" s="1521"/>
      <c r="M66" s="1522"/>
      <c r="N66" s="1521"/>
      <c r="O66" s="1522"/>
    </row>
    <row r="67" spans="2:15" s="217" customFormat="1" ht="21" hidden="1" customHeight="1" x14ac:dyDescent="0.2">
      <c r="B67" s="1527"/>
      <c r="C67" s="1528"/>
      <c r="D67" s="1521"/>
      <c r="E67" s="1522"/>
      <c r="F67" s="1521"/>
      <c r="G67" s="1522"/>
      <c r="H67" s="1184"/>
      <c r="I67" s="1185"/>
      <c r="J67" s="1521"/>
      <c r="K67" s="1522"/>
      <c r="L67" s="1521"/>
      <c r="M67" s="1522"/>
      <c r="N67" s="1521"/>
      <c r="O67" s="1522"/>
    </row>
    <row r="68" spans="2:15" s="217" customFormat="1" ht="21" hidden="1" customHeight="1" x14ac:dyDescent="0.2">
      <c r="B68" s="1529"/>
      <c r="C68" s="1530"/>
      <c r="D68" s="1523"/>
      <c r="E68" s="1524"/>
      <c r="F68" s="1523"/>
      <c r="G68" s="1524"/>
      <c r="H68" s="1184"/>
      <c r="I68" s="1185"/>
      <c r="J68" s="1523"/>
      <c r="K68" s="1524"/>
      <c r="L68" s="1523"/>
      <c r="M68" s="1524"/>
      <c r="N68" s="1523"/>
      <c r="O68" s="1524"/>
    </row>
    <row r="69" spans="2:15" s="217" customFormat="1" ht="18.95" hidden="1" customHeight="1" x14ac:dyDescent="0.2">
      <c r="B69" s="1525" t="str">
        <f>IF('PROBLEMA-OBJETIVO'!B124="","",'PROBLEMA-OBJETIVO'!B124)</f>
        <v>Alternativa 3</v>
      </c>
      <c r="C69" s="1526"/>
      <c r="D69" s="1519"/>
      <c r="E69" s="1520"/>
      <c r="F69" s="1519"/>
      <c r="G69" s="1520"/>
      <c r="H69" s="1184"/>
      <c r="I69" s="1185"/>
      <c r="J69" s="1519"/>
      <c r="K69" s="1520"/>
      <c r="L69" s="1519"/>
      <c r="M69" s="1520"/>
      <c r="N69" s="1519"/>
      <c r="O69" s="1520"/>
    </row>
    <row r="70" spans="2:15" s="217" customFormat="1" ht="18.95" hidden="1" customHeight="1" x14ac:dyDescent="0.2">
      <c r="B70" s="1527"/>
      <c r="C70" s="1528"/>
      <c r="D70" s="1521"/>
      <c r="E70" s="1522"/>
      <c r="F70" s="1521"/>
      <c r="G70" s="1522"/>
      <c r="H70" s="1184"/>
      <c r="I70" s="1185"/>
      <c r="J70" s="1521"/>
      <c r="K70" s="1522"/>
      <c r="L70" s="1521"/>
      <c r="M70" s="1522"/>
      <c r="N70" s="1521"/>
      <c r="O70" s="1522"/>
    </row>
    <row r="71" spans="2:15" s="217" customFormat="1" ht="18.95" hidden="1" customHeight="1" x14ac:dyDescent="0.2">
      <c r="B71" s="1527"/>
      <c r="C71" s="1528"/>
      <c r="D71" s="1521"/>
      <c r="E71" s="1522"/>
      <c r="F71" s="1521"/>
      <c r="G71" s="1522"/>
      <c r="H71" s="1184"/>
      <c r="I71" s="1185"/>
      <c r="J71" s="1521"/>
      <c r="K71" s="1522"/>
      <c r="L71" s="1521"/>
      <c r="M71" s="1522"/>
      <c r="N71" s="1521"/>
      <c r="O71" s="1522"/>
    </row>
    <row r="72" spans="2:15" s="217" customFormat="1" ht="18.95" hidden="1" customHeight="1" x14ac:dyDescent="0.2">
      <c r="B72" s="1527"/>
      <c r="C72" s="1528"/>
      <c r="D72" s="1521"/>
      <c r="E72" s="1522"/>
      <c r="F72" s="1521"/>
      <c r="G72" s="1522"/>
      <c r="H72" s="1184"/>
      <c r="I72" s="1185"/>
      <c r="J72" s="1521"/>
      <c r="K72" s="1522"/>
      <c r="L72" s="1521"/>
      <c r="M72" s="1522"/>
      <c r="N72" s="1521"/>
      <c r="O72" s="1522"/>
    </row>
    <row r="73" spans="2:15" s="217" customFormat="1" ht="18.95" hidden="1" customHeight="1" x14ac:dyDescent="0.2">
      <c r="B73" s="1527"/>
      <c r="C73" s="1528"/>
      <c r="D73" s="1521"/>
      <c r="E73" s="1522"/>
      <c r="F73" s="1521"/>
      <c r="G73" s="1522"/>
      <c r="H73" s="1184"/>
      <c r="I73" s="1185"/>
      <c r="J73" s="1521"/>
      <c r="K73" s="1522"/>
      <c r="L73" s="1521"/>
      <c r="M73" s="1522"/>
      <c r="N73" s="1521"/>
      <c r="O73" s="1522"/>
    </row>
    <row r="74" spans="2:15" s="217" customFormat="1" ht="18.95" hidden="1" customHeight="1" x14ac:dyDescent="0.2">
      <c r="B74" s="1529"/>
      <c r="C74" s="1530"/>
      <c r="D74" s="1523"/>
      <c r="E74" s="1524"/>
      <c r="F74" s="1523"/>
      <c r="G74" s="1524"/>
      <c r="H74" s="1184"/>
      <c r="I74" s="1185"/>
      <c r="J74" s="1523"/>
      <c r="K74" s="1524"/>
      <c r="L74" s="1523"/>
      <c r="M74" s="1524"/>
      <c r="N74" s="1523"/>
      <c r="O74" s="1524"/>
    </row>
    <row r="75" spans="2:15" s="217" customFormat="1" ht="21.95" hidden="1" customHeight="1" x14ac:dyDescent="0.2">
      <c r="B75" s="1525" t="str">
        <f>IF('PROBLEMA-OBJETIVO'!B134="","",'PROBLEMA-OBJETIVO'!B134)</f>
        <v>Alternativa 4</v>
      </c>
      <c r="C75" s="1526"/>
      <c r="D75" s="1519"/>
      <c r="E75" s="1520"/>
      <c r="F75" s="1519"/>
      <c r="G75" s="1520"/>
      <c r="H75" s="1184"/>
      <c r="I75" s="1185"/>
      <c r="J75" s="1519"/>
      <c r="K75" s="1520"/>
      <c r="L75" s="1519"/>
      <c r="M75" s="1520"/>
      <c r="N75" s="1519"/>
      <c r="O75" s="1520"/>
    </row>
    <row r="76" spans="2:15" s="217" customFormat="1" ht="21.95" hidden="1" customHeight="1" x14ac:dyDescent="0.2">
      <c r="B76" s="1527"/>
      <c r="C76" s="1528"/>
      <c r="D76" s="1521"/>
      <c r="E76" s="1522"/>
      <c r="F76" s="1521"/>
      <c r="G76" s="1522"/>
      <c r="H76" s="1184"/>
      <c r="I76" s="1185"/>
      <c r="J76" s="1521"/>
      <c r="K76" s="1522"/>
      <c r="L76" s="1521"/>
      <c r="M76" s="1522"/>
      <c r="N76" s="1521"/>
      <c r="O76" s="1522"/>
    </row>
    <row r="77" spans="2:15" s="217" customFormat="1" ht="21.95" hidden="1" customHeight="1" x14ac:dyDescent="0.2">
      <c r="B77" s="1527"/>
      <c r="C77" s="1528"/>
      <c r="D77" s="1521"/>
      <c r="E77" s="1522"/>
      <c r="F77" s="1521"/>
      <c r="G77" s="1522"/>
      <c r="H77" s="1184"/>
      <c r="I77" s="1185"/>
      <c r="J77" s="1521"/>
      <c r="K77" s="1522"/>
      <c r="L77" s="1521"/>
      <c r="M77" s="1522"/>
      <c r="N77" s="1521"/>
      <c r="O77" s="1522"/>
    </row>
    <row r="78" spans="2:15" s="217" customFormat="1" ht="21.95" hidden="1" customHeight="1" x14ac:dyDescent="0.2">
      <c r="B78" s="1527"/>
      <c r="C78" s="1528"/>
      <c r="D78" s="1521"/>
      <c r="E78" s="1522"/>
      <c r="F78" s="1521"/>
      <c r="G78" s="1522"/>
      <c r="H78" s="1184"/>
      <c r="I78" s="1185"/>
      <c r="J78" s="1521"/>
      <c r="K78" s="1522"/>
      <c r="L78" s="1521"/>
      <c r="M78" s="1522"/>
      <c r="N78" s="1521"/>
      <c r="O78" s="1522"/>
    </row>
    <row r="79" spans="2:15" s="217" customFormat="1" ht="21.95" hidden="1" customHeight="1" x14ac:dyDescent="0.2">
      <c r="B79" s="1529"/>
      <c r="C79" s="1530"/>
      <c r="D79" s="1523"/>
      <c r="E79" s="1524"/>
      <c r="F79" s="1523"/>
      <c r="G79" s="1524"/>
      <c r="H79" s="1222"/>
      <c r="I79" s="1184"/>
      <c r="J79" s="1523"/>
      <c r="K79" s="1524"/>
      <c r="L79" s="1523"/>
      <c r="M79" s="1524"/>
      <c r="N79" s="1523"/>
      <c r="O79" s="1524"/>
    </row>
    <row r="80" spans="2:15" s="217" customFormat="1" ht="40.5" customHeight="1" x14ac:dyDescent="0.2">
      <c r="B80" s="1534" t="s">
        <v>417</v>
      </c>
      <c r="C80" s="1534"/>
      <c r="D80" s="1534"/>
      <c r="E80" s="1534"/>
      <c r="F80" s="1534"/>
      <c r="G80" s="1534"/>
      <c r="H80" s="1534"/>
      <c r="I80" s="1534"/>
      <c r="J80" s="1534"/>
      <c r="K80" s="1534"/>
      <c r="L80" s="1534"/>
      <c r="M80" s="1534"/>
      <c r="N80" s="1534"/>
      <c r="O80" s="1534"/>
    </row>
    <row r="81" spans="1:25" s="217" customFormat="1" ht="12.75" customHeight="1" x14ac:dyDescent="0.2">
      <c r="K81" s="156"/>
      <c r="L81" s="226"/>
      <c r="M81" s="226"/>
      <c r="N81" s="175"/>
      <c r="O81" s="175"/>
      <c r="P81" s="175"/>
      <c r="Q81" s="68"/>
    </row>
    <row r="82" spans="1:25" s="69" customFormat="1" ht="21" customHeight="1" x14ac:dyDescent="0.25">
      <c r="B82" s="251" t="s">
        <v>400</v>
      </c>
      <c r="C82" s="252"/>
      <c r="D82" s="252"/>
      <c r="E82" s="252"/>
      <c r="F82" s="239"/>
      <c r="G82" s="240"/>
      <c r="H82" s="240"/>
      <c r="I82" s="239"/>
      <c r="J82" s="239"/>
      <c r="K82" s="252"/>
      <c r="L82" s="239"/>
      <c r="M82" s="239"/>
      <c r="N82" s="239"/>
      <c r="O82" s="186"/>
      <c r="P82" s="186"/>
      <c r="Q82" s="136"/>
    </row>
    <row r="83" spans="1:25" s="69" customFormat="1" ht="21" customHeight="1" x14ac:dyDescent="0.25">
      <c r="A83" s="253"/>
      <c r="B83" s="180"/>
      <c r="C83" s="254"/>
      <c r="D83" s="254"/>
      <c r="E83" s="254"/>
      <c r="F83" s="255"/>
      <c r="G83" s="256"/>
      <c r="H83" s="256"/>
      <c r="I83" s="255"/>
      <c r="J83" s="255"/>
      <c r="K83" s="254"/>
      <c r="L83" s="255"/>
      <c r="M83" s="255"/>
      <c r="N83" s="255"/>
      <c r="O83" s="257"/>
      <c r="P83" s="186"/>
      <c r="Q83" s="136"/>
    </row>
    <row r="84" spans="1:25" s="217" customFormat="1" ht="18" customHeight="1" x14ac:dyDescent="0.2">
      <c r="B84" s="258" t="s">
        <v>4771</v>
      </c>
      <c r="C84" s="156"/>
      <c r="D84" s="156"/>
      <c r="E84" s="156"/>
      <c r="F84" s="135"/>
      <c r="G84" s="68"/>
      <c r="H84" s="68"/>
      <c r="I84" s="135"/>
      <c r="J84" s="135"/>
      <c r="K84" s="156"/>
      <c r="L84" s="226"/>
      <c r="M84" s="226"/>
      <c r="N84" s="175"/>
      <c r="O84" s="175"/>
      <c r="P84" s="175"/>
      <c r="Q84" s="68"/>
    </row>
    <row r="85" spans="1:25" s="217" customFormat="1" ht="18" customHeight="1" x14ac:dyDescent="0.2">
      <c r="B85" s="1516" t="s">
        <v>374</v>
      </c>
      <c r="C85" s="1516"/>
      <c r="D85" s="1516"/>
      <c r="E85" s="1516"/>
      <c r="F85" s="1197" t="s">
        <v>4871</v>
      </c>
      <c r="G85" s="1197"/>
      <c r="H85" s="1196" t="s">
        <v>107</v>
      </c>
      <c r="I85" s="1196"/>
      <c r="J85" s="1197" t="s">
        <v>226</v>
      </c>
      <c r="K85" s="1197"/>
    </row>
    <row r="86" spans="1:25" s="217" customFormat="1" ht="31.5" customHeight="1" x14ac:dyDescent="0.2">
      <c r="A86" s="423"/>
      <c r="B86" s="1197" t="s">
        <v>4870</v>
      </c>
      <c r="C86" s="1197"/>
      <c r="D86" s="1197" t="s">
        <v>4792</v>
      </c>
      <c r="E86" s="1197"/>
      <c r="F86" s="1197"/>
      <c r="G86" s="1197"/>
      <c r="H86" s="1196"/>
      <c r="I86" s="1196"/>
      <c r="J86" s="1197"/>
      <c r="K86" s="1197"/>
    </row>
    <row r="87" spans="1:25" s="217" customFormat="1" ht="25.5" x14ac:dyDescent="0.2">
      <c r="A87" s="423"/>
      <c r="B87" s="1197"/>
      <c r="C87" s="1197"/>
      <c r="D87" s="1197"/>
      <c r="E87" s="1197"/>
      <c r="F87" s="1197"/>
      <c r="G87" s="1197"/>
      <c r="H87" s="219" t="s">
        <v>108</v>
      </c>
      <c r="I87" s="221" t="s">
        <v>109</v>
      </c>
      <c r="J87" s="219" t="s">
        <v>108</v>
      </c>
      <c r="K87" s="221" t="s">
        <v>109</v>
      </c>
    </row>
    <row r="88" spans="1:25" s="217" customFormat="1" ht="8.25" customHeight="1" x14ac:dyDescent="0.2">
      <c r="A88" s="423"/>
      <c r="B88" s="156"/>
      <c r="D88" s="156"/>
      <c r="F88" s="156"/>
      <c r="H88" s="156"/>
      <c r="I88" s="156"/>
      <c r="J88" s="156"/>
      <c r="K88" s="156"/>
    </row>
    <row r="89" spans="1:25" s="217" customFormat="1" ht="80.099999999999994" customHeight="1" x14ac:dyDescent="0.2">
      <c r="A89" s="423"/>
      <c r="B89" s="1513" t="str">
        <f>IFERROR(INDEX('PROBLEMA-OBJETIVO'!$G$56:$Q$88,MATCH('PROBLEMA-OBJETIVO'!X104,'PROBLEMA-OBJETIVO'!$Q$56:$Q$88,0),1),"")</f>
        <v/>
      </c>
      <c r="C89" s="1513"/>
      <c r="D89" s="1514" t="str">
        <f>IFERROR(INDEX('PROBLEMA-OBJETIVO'!$G$56:$Q$88,MATCH('PROBLEMA-OBJETIVO'!X104,'PROBLEMA-OBJETIVO'!$Q$56:$Q$88,0),3),"")</f>
        <v/>
      </c>
      <c r="E89" s="1514"/>
      <c r="F89" s="1515" t="str">
        <f t="shared" ref="F89:F118" si="0">IFERROR(IF(D89="","",IF(COUNTIF(Infraestructura,D89)&gt;0,"Infraestructura","Intangibles")),"")</f>
        <v/>
      </c>
      <c r="G89" s="1515"/>
      <c r="H89" s="416" t="str">
        <f>IFERROR(IF(F89="","",IF(F89="Intangibles","Unidad","Unidad")),"")</f>
        <v/>
      </c>
      <c r="I89" s="417"/>
      <c r="J89" s="424" t="str">
        <f>IFERROR(IF(F89="Infraestructura",INDEX('Base de datos'!$Y$127:$Z$142,MATCH(D89,Infraestructura,0),1),""),"")</f>
        <v/>
      </c>
      <c r="K89" s="417"/>
      <c r="M89" s="531" t="str">
        <f>IFERROR(IF(Q89=Q88,"",Q89),"")</f>
        <v/>
      </c>
      <c r="N89" s="531" t="str">
        <f>IFERROR(IF(X89=X88,"",X89),"")</f>
        <v/>
      </c>
      <c r="O89" s="250"/>
      <c r="P89" s="531" t="str">
        <f>IFERROR(IF(OR(B89="Implementación",B89=""),"c","b"),"")</f>
        <v>c</v>
      </c>
      <c r="Q89" s="425">
        <f>IFERROR(COUNTIF($P$88:P89,"b"),"")</f>
        <v>0</v>
      </c>
      <c r="R89" s="530" t="str">
        <f>IFERROR(IF(B89="","",B89),"")</f>
        <v/>
      </c>
      <c r="S89" s="530" t="str">
        <f>IFERROR(IF(D89="","",D89),"")</f>
        <v/>
      </c>
      <c r="T89" s="531">
        <v>1</v>
      </c>
      <c r="U89" s="530" t="str">
        <f>IFERROR(VLOOKUP(T89,$Q$89:$S$118,2,FALSE),"")</f>
        <v/>
      </c>
      <c r="V89" s="530" t="str">
        <f>IFERROR(VLOOKUP(T89,$Q$89:$S$118,3,FALSE),"")</f>
        <v/>
      </c>
      <c r="W89" s="531" t="str">
        <f>IFERROR(IF(OR(B89&lt;&gt;"Implementación",B89=""),"c","b"),"")</f>
        <v>c</v>
      </c>
      <c r="X89" s="531">
        <f>IFERROR(COUNTIF($W$87:W89,"b"),"")</f>
        <v>0</v>
      </c>
      <c r="Y89" s="531">
        <v>1</v>
      </c>
    </row>
    <row r="90" spans="1:25" s="412" customFormat="1" ht="80.099999999999994" hidden="1" customHeight="1" x14ac:dyDescent="0.2">
      <c r="A90" s="423"/>
      <c r="B90" s="1513" t="str">
        <f>IFERROR(INDEX('PROBLEMA-OBJETIVO'!$G$56:$Q$88,MATCH('PROBLEMA-OBJETIVO'!X105,'PROBLEMA-OBJETIVO'!$Q$56:$Q$88,0),1),"")</f>
        <v/>
      </c>
      <c r="C90" s="1513"/>
      <c r="D90" s="1514" t="str">
        <f>IFERROR(INDEX('PROBLEMA-OBJETIVO'!$G$56:$Q$88,MATCH('PROBLEMA-OBJETIVO'!X105,'PROBLEMA-OBJETIVO'!$Q$56:$Q$88,0),3),"")</f>
        <v/>
      </c>
      <c r="E90" s="1514"/>
      <c r="F90" s="1515" t="str">
        <f t="shared" si="0"/>
        <v/>
      </c>
      <c r="G90" s="1515"/>
      <c r="H90" s="416" t="str">
        <f t="shared" ref="H90:H118" si="1">IFERROR(IF(F90="","",IF(F90="Intangibles","Unidad","Unidad")),"")</f>
        <v/>
      </c>
      <c r="I90" s="417"/>
      <c r="J90" s="657" t="str">
        <f>IFERROR(IF(F90="Infraestructura",INDEX('Base de datos'!$Y$127:$Z$142,MATCH(D90,Infraestructura,0),1),""),"")</f>
        <v/>
      </c>
      <c r="K90" s="417"/>
      <c r="M90" s="531" t="str">
        <f t="shared" ref="M90:M118" si="2">IFERROR(IF(Q90=Q89,"",Q90),"")</f>
        <v/>
      </c>
      <c r="N90" s="531" t="str">
        <f t="shared" ref="N90:N118" si="3">IFERROR(IF(X90=X89,"",X90),"")</f>
        <v/>
      </c>
      <c r="O90" s="250"/>
      <c r="P90" s="531" t="str">
        <f t="shared" ref="P90:P118" si="4">IFERROR(IF(OR(B90="Implementación",B90=""),"c","b"),"")</f>
        <v>c</v>
      </c>
      <c r="Q90" s="425">
        <f>IFERROR(COUNTIF($P$88:P90,"b"),"")</f>
        <v>0</v>
      </c>
      <c r="R90" s="530" t="str">
        <f t="shared" ref="R90:R118" si="5">IFERROR(IF(B90="","",B90),"")</f>
        <v/>
      </c>
      <c r="S90" s="530" t="str">
        <f t="shared" ref="S90:S118" si="6">IFERROR(IF(D90="","",D90),"")</f>
        <v/>
      </c>
      <c r="T90" s="531">
        <v>2</v>
      </c>
      <c r="U90" s="530" t="str">
        <f t="shared" ref="U90:U118" si="7">IFERROR(VLOOKUP(T90,$Q$89:$S$118,2,FALSE),"")</f>
        <v/>
      </c>
      <c r="V90" s="530" t="str">
        <f t="shared" ref="V90:V118" si="8">IFERROR(VLOOKUP(T90,$Q$89:$S$118,3,FALSE),"")</f>
        <v/>
      </c>
      <c r="W90" s="531" t="str">
        <f t="shared" ref="W90:W118" si="9">IFERROR(IF(OR(B90&lt;&gt;"Implementación",B90=""),"c","b"),"")</f>
        <v>c</v>
      </c>
      <c r="X90" s="531">
        <f>IFERROR(COUNTIF($W$87:W90,"b"),"")</f>
        <v>0</v>
      </c>
      <c r="Y90" s="531">
        <v>2</v>
      </c>
    </row>
    <row r="91" spans="1:25" s="412" customFormat="1" ht="80.099999999999994" hidden="1" customHeight="1" x14ac:dyDescent="0.2">
      <c r="A91" s="423"/>
      <c r="B91" s="1513" t="str">
        <f>IFERROR(INDEX('PROBLEMA-OBJETIVO'!$G$56:$Q$88,MATCH('PROBLEMA-OBJETIVO'!X106,'PROBLEMA-OBJETIVO'!$Q$56:$Q$88,0),1),"")</f>
        <v/>
      </c>
      <c r="C91" s="1513"/>
      <c r="D91" s="1514" t="str">
        <f>IFERROR(INDEX('PROBLEMA-OBJETIVO'!$G$56:$Q$88,MATCH('PROBLEMA-OBJETIVO'!X106,'PROBLEMA-OBJETIVO'!$Q$56:$Q$88,0),3),"")</f>
        <v/>
      </c>
      <c r="E91" s="1514"/>
      <c r="F91" s="1515" t="str">
        <f t="shared" si="0"/>
        <v/>
      </c>
      <c r="G91" s="1515"/>
      <c r="H91" s="416" t="str">
        <f t="shared" si="1"/>
        <v/>
      </c>
      <c r="I91" s="417"/>
      <c r="J91" s="657" t="str">
        <f>IFERROR(IF(F91="Infraestructura",INDEX('Base de datos'!$Y$127:$Z$142,MATCH(D91,Infraestructura,0),1),""),"")</f>
        <v/>
      </c>
      <c r="K91" s="417"/>
      <c r="M91" s="531" t="str">
        <f t="shared" si="2"/>
        <v/>
      </c>
      <c r="N91" s="531" t="str">
        <f t="shared" si="3"/>
        <v/>
      </c>
      <c r="O91" s="250"/>
      <c r="P91" s="531" t="str">
        <f t="shared" si="4"/>
        <v>c</v>
      </c>
      <c r="Q91" s="425">
        <f>IFERROR(COUNTIF($P$88:P91,"b"),"")</f>
        <v>0</v>
      </c>
      <c r="R91" s="530" t="str">
        <f t="shared" si="5"/>
        <v/>
      </c>
      <c r="S91" s="530" t="str">
        <f t="shared" si="6"/>
        <v/>
      </c>
      <c r="T91" s="531">
        <v>3</v>
      </c>
      <c r="U91" s="530" t="str">
        <f t="shared" si="7"/>
        <v/>
      </c>
      <c r="V91" s="530" t="str">
        <f t="shared" si="8"/>
        <v/>
      </c>
      <c r="W91" s="531" t="str">
        <f t="shared" si="9"/>
        <v>c</v>
      </c>
      <c r="X91" s="531">
        <f>IFERROR(COUNTIF($W$87:W91,"b"),"")</f>
        <v>0</v>
      </c>
      <c r="Y91" s="531">
        <v>3</v>
      </c>
    </row>
    <row r="92" spans="1:25" s="412" customFormat="1" ht="80.099999999999994" hidden="1" customHeight="1" x14ac:dyDescent="0.2">
      <c r="A92" s="423"/>
      <c r="B92" s="1513" t="str">
        <f>IFERROR(INDEX('PROBLEMA-OBJETIVO'!$G$56:$Q$88,MATCH('PROBLEMA-OBJETIVO'!X107,'PROBLEMA-OBJETIVO'!$Q$56:$Q$88,0),1),"")</f>
        <v/>
      </c>
      <c r="C92" s="1513"/>
      <c r="D92" s="1514" t="str">
        <f>IFERROR(INDEX('PROBLEMA-OBJETIVO'!$G$56:$Q$88,MATCH('PROBLEMA-OBJETIVO'!X107,'PROBLEMA-OBJETIVO'!$Q$56:$Q$88,0),3),"")</f>
        <v/>
      </c>
      <c r="E92" s="1514"/>
      <c r="F92" s="1515" t="str">
        <f t="shared" si="0"/>
        <v/>
      </c>
      <c r="G92" s="1515"/>
      <c r="H92" s="416" t="str">
        <f t="shared" si="1"/>
        <v/>
      </c>
      <c r="I92" s="417"/>
      <c r="J92" s="657" t="str">
        <f>IFERROR(IF(F92="Infraestructura",INDEX('Base de datos'!$Y$127:$Z$142,MATCH(D92,Infraestructura,0),1),""),"")</f>
        <v/>
      </c>
      <c r="K92" s="417"/>
      <c r="M92" s="531" t="str">
        <f t="shared" si="2"/>
        <v/>
      </c>
      <c r="N92" s="531" t="str">
        <f t="shared" si="3"/>
        <v/>
      </c>
      <c r="O92" s="250"/>
      <c r="P92" s="531" t="str">
        <f t="shared" si="4"/>
        <v>c</v>
      </c>
      <c r="Q92" s="425">
        <f>IFERROR(COUNTIF($P$88:P92,"b"),"")</f>
        <v>0</v>
      </c>
      <c r="R92" s="530" t="str">
        <f t="shared" si="5"/>
        <v/>
      </c>
      <c r="S92" s="530" t="str">
        <f t="shared" si="6"/>
        <v/>
      </c>
      <c r="T92" s="531">
        <v>4</v>
      </c>
      <c r="U92" s="530" t="str">
        <f t="shared" si="7"/>
        <v/>
      </c>
      <c r="V92" s="530" t="str">
        <f t="shared" si="8"/>
        <v/>
      </c>
      <c r="W92" s="531" t="str">
        <f t="shared" si="9"/>
        <v>c</v>
      </c>
      <c r="X92" s="531">
        <f>IFERROR(COUNTIF($W$87:W92,"b"),"")</f>
        <v>0</v>
      </c>
      <c r="Y92" s="531">
        <v>4</v>
      </c>
    </row>
    <row r="93" spans="1:25" s="412" customFormat="1" ht="80.099999999999994" hidden="1" customHeight="1" x14ac:dyDescent="0.2">
      <c r="A93" s="423"/>
      <c r="B93" s="1513" t="str">
        <f>IFERROR(INDEX('PROBLEMA-OBJETIVO'!$G$56:$Q$88,MATCH('PROBLEMA-OBJETIVO'!X108,'PROBLEMA-OBJETIVO'!$Q$56:$Q$88,0),1),"")</f>
        <v/>
      </c>
      <c r="C93" s="1513"/>
      <c r="D93" s="1514" t="str">
        <f>IFERROR(INDEX('PROBLEMA-OBJETIVO'!$G$56:$Q$88,MATCH('PROBLEMA-OBJETIVO'!X108,'PROBLEMA-OBJETIVO'!$Q$56:$Q$88,0),3),"")</f>
        <v/>
      </c>
      <c r="E93" s="1514"/>
      <c r="F93" s="1515" t="str">
        <f t="shared" si="0"/>
        <v/>
      </c>
      <c r="G93" s="1515"/>
      <c r="H93" s="416" t="str">
        <f t="shared" si="1"/>
        <v/>
      </c>
      <c r="I93" s="417"/>
      <c r="J93" s="657" t="str">
        <f>IFERROR(IF(F93="Infraestructura",INDEX('Base de datos'!$Y$127:$Z$142,MATCH(D93,Infraestructura,0),1),""),"")</f>
        <v/>
      </c>
      <c r="K93" s="417"/>
      <c r="M93" s="531" t="str">
        <f t="shared" si="2"/>
        <v/>
      </c>
      <c r="N93" s="531" t="str">
        <f t="shared" si="3"/>
        <v/>
      </c>
      <c r="O93" s="250"/>
      <c r="P93" s="531" t="str">
        <f t="shared" si="4"/>
        <v>c</v>
      </c>
      <c r="Q93" s="425">
        <f>IFERROR(COUNTIF($P$88:P93,"b"),"")</f>
        <v>0</v>
      </c>
      <c r="R93" s="530" t="str">
        <f t="shared" si="5"/>
        <v/>
      </c>
      <c r="S93" s="530" t="str">
        <f t="shared" si="6"/>
        <v/>
      </c>
      <c r="T93" s="531">
        <v>5</v>
      </c>
      <c r="U93" s="530" t="str">
        <f t="shared" si="7"/>
        <v/>
      </c>
      <c r="V93" s="530" t="str">
        <f t="shared" si="8"/>
        <v/>
      </c>
      <c r="W93" s="531" t="str">
        <f t="shared" si="9"/>
        <v>c</v>
      </c>
      <c r="X93" s="531">
        <f>IFERROR(COUNTIF($W$87:W93,"b"),"")</f>
        <v>0</v>
      </c>
      <c r="Y93" s="531">
        <v>5</v>
      </c>
    </row>
    <row r="94" spans="1:25" s="412" customFormat="1" ht="80.099999999999994" hidden="1" customHeight="1" x14ac:dyDescent="0.2">
      <c r="A94" s="423"/>
      <c r="B94" s="1513" t="str">
        <f>IFERROR(INDEX('PROBLEMA-OBJETIVO'!$G$56:$Q$88,MATCH('PROBLEMA-OBJETIVO'!X109,'PROBLEMA-OBJETIVO'!$Q$56:$Q$88,0),1),"")</f>
        <v/>
      </c>
      <c r="C94" s="1513"/>
      <c r="D94" s="1514" t="str">
        <f>IFERROR(INDEX('PROBLEMA-OBJETIVO'!$G$56:$Q$88,MATCH('PROBLEMA-OBJETIVO'!X109,'PROBLEMA-OBJETIVO'!$Q$56:$Q$88,0),3),"")</f>
        <v/>
      </c>
      <c r="E94" s="1514"/>
      <c r="F94" s="1515" t="str">
        <f t="shared" si="0"/>
        <v/>
      </c>
      <c r="G94" s="1515"/>
      <c r="H94" s="416" t="str">
        <f t="shared" si="1"/>
        <v/>
      </c>
      <c r="I94" s="417"/>
      <c r="J94" s="657" t="str">
        <f>IFERROR(IF(F94="Infraestructura",INDEX('Base de datos'!$Y$127:$Z$142,MATCH(D94,Infraestructura,0),1),""),"")</f>
        <v/>
      </c>
      <c r="K94" s="417"/>
      <c r="M94" s="531" t="str">
        <f t="shared" si="2"/>
        <v/>
      </c>
      <c r="N94" s="531" t="str">
        <f t="shared" si="3"/>
        <v/>
      </c>
      <c r="O94" s="250"/>
      <c r="P94" s="531" t="str">
        <f t="shared" si="4"/>
        <v>c</v>
      </c>
      <c r="Q94" s="425">
        <f>IFERROR(COUNTIF($P$88:P94,"b"),"")</f>
        <v>0</v>
      </c>
      <c r="R94" s="530" t="str">
        <f t="shared" si="5"/>
        <v/>
      </c>
      <c r="S94" s="530" t="str">
        <f t="shared" si="6"/>
        <v/>
      </c>
      <c r="T94" s="531">
        <v>6</v>
      </c>
      <c r="U94" s="530" t="str">
        <f t="shared" si="7"/>
        <v/>
      </c>
      <c r="V94" s="530" t="str">
        <f t="shared" si="8"/>
        <v/>
      </c>
      <c r="W94" s="531" t="str">
        <f t="shared" si="9"/>
        <v>c</v>
      </c>
      <c r="X94" s="531">
        <f>IFERROR(COUNTIF($W$87:W94,"b"),"")</f>
        <v>0</v>
      </c>
      <c r="Y94" s="531">
        <v>6</v>
      </c>
    </row>
    <row r="95" spans="1:25" s="412" customFormat="1" ht="80.099999999999994" hidden="1" customHeight="1" x14ac:dyDescent="0.2">
      <c r="A95" s="423"/>
      <c r="B95" s="1513" t="str">
        <f>IFERROR(INDEX('PROBLEMA-OBJETIVO'!$G$56:$Q$88,MATCH('PROBLEMA-OBJETIVO'!X110,'PROBLEMA-OBJETIVO'!$Q$56:$Q$88,0),1),"")</f>
        <v/>
      </c>
      <c r="C95" s="1513"/>
      <c r="D95" s="1514" t="str">
        <f>IFERROR(INDEX('PROBLEMA-OBJETIVO'!$G$56:$Q$88,MATCH('PROBLEMA-OBJETIVO'!X110,'PROBLEMA-OBJETIVO'!$Q$56:$Q$88,0),3),"")</f>
        <v/>
      </c>
      <c r="E95" s="1514"/>
      <c r="F95" s="1515" t="str">
        <f t="shared" si="0"/>
        <v/>
      </c>
      <c r="G95" s="1515"/>
      <c r="H95" s="416" t="str">
        <f t="shared" si="1"/>
        <v/>
      </c>
      <c r="I95" s="417"/>
      <c r="J95" s="657" t="str">
        <f>IFERROR(IF(F95="Infraestructura",INDEX('Base de datos'!$Y$127:$Z$142,MATCH(D95,Infraestructura,0),1),""),"")</f>
        <v/>
      </c>
      <c r="K95" s="417"/>
      <c r="M95" s="531" t="str">
        <f t="shared" si="2"/>
        <v/>
      </c>
      <c r="N95" s="531" t="str">
        <f t="shared" si="3"/>
        <v/>
      </c>
      <c r="O95" s="250"/>
      <c r="P95" s="531" t="str">
        <f t="shared" si="4"/>
        <v>c</v>
      </c>
      <c r="Q95" s="425">
        <f>IFERROR(COUNTIF($P$88:P95,"b"),"")</f>
        <v>0</v>
      </c>
      <c r="R95" s="530" t="str">
        <f t="shared" si="5"/>
        <v/>
      </c>
      <c r="S95" s="530" t="str">
        <f t="shared" si="6"/>
        <v/>
      </c>
      <c r="T95" s="531">
        <v>7</v>
      </c>
      <c r="U95" s="530" t="str">
        <f t="shared" si="7"/>
        <v/>
      </c>
      <c r="V95" s="530" t="str">
        <f t="shared" si="8"/>
        <v/>
      </c>
      <c r="W95" s="531" t="str">
        <f t="shared" si="9"/>
        <v>c</v>
      </c>
      <c r="X95" s="531">
        <f>IFERROR(COUNTIF($W$87:W95,"b"),"")</f>
        <v>0</v>
      </c>
      <c r="Y95" s="531">
        <v>7</v>
      </c>
    </row>
    <row r="96" spans="1:25" s="412" customFormat="1" ht="80.099999999999994" hidden="1" customHeight="1" x14ac:dyDescent="0.2">
      <c r="A96" s="423"/>
      <c r="B96" s="1513" t="str">
        <f>IFERROR(INDEX('PROBLEMA-OBJETIVO'!$G$56:$Q$88,MATCH('PROBLEMA-OBJETIVO'!X111,'PROBLEMA-OBJETIVO'!$Q$56:$Q$88,0),1),"")</f>
        <v/>
      </c>
      <c r="C96" s="1513"/>
      <c r="D96" s="1514" t="str">
        <f>IFERROR(INDEX('PROBLEMA-OBJETIVO'!$G$56:$Q$88,MATCH('PROBLEMA-OBJETIVO'!X111,'PROBLEMA-OBJETIVO'!$Q$56:$Q$88,0),3),"")</f>
        <v/>
      </c>
      <c r="E96" s="1514"/>
      <c r="F96" s="1515" t="str">
        <f t="shared" si="0"/>
        <v/>
      </c>
      <c r="G96" s="1515"/>
      <c r="H96" s="416" t="str">
        <f t="shared" si="1"/>
        <v/>
      </c>
      <c r="I96" s="417"/>
      <c r="J96" s="657" t="str">
        <f>IFERROR(IF(F96="Infraestructura",INDEX('Base de datos'!$Y$127:$Z$142,MATCH(D96,Infraestructura,0),1),""),"")</f>
        <v/>
      </c>
      <c r="K96" s="417"/>
      <c r="M96" s="531" t="str">
        <f t="shared" si="2"/>
        <v/>
      </c>
      <c r="N96" s="531" t="str">
        <f t="shared" si="3"/>
        <v/>
      </c>
      <c r="O96" s="250"/>
      <c r="P96" s="531" t="str">
        <f t="shared" si="4"/>
        <v>c</v>
      </c>
      <c r="Q96" s="425">
        <f>IFERROR(COUNTIF($P$88:P96,"b"),"")</f>
        <v>0</v>
      </c>
      <c r="R96" s="530" t="str">
        <f t="shared" si="5"/>
        <v/>
      </c>
      <c r="S96" s="530" t="str">
        <f t="shared" si="6"/>
        <v/>
      </c>
      <c r="T96" s="531">
        <v>8</v>
      </c>
      <c r="U96" s="530" t="str">
        <f t="shared" si="7"/>
        <v/>
      </c>
      <c r="V96" s="530" t="str">
        <f t="shared" si="8"/>
        <v/>
      </c>
      <c r="W96" s="531" t="str">
        <f t="shared" si="9"/>
        <v>c</v>
      </c>
      <c r="X96" s="531">
        <f>IFERROR(COUNTIF($W$87:W96,"b"),"")</f>
        <v>0</v>
      </c>
      <c r="Y96" s="531">
        <v>8</v>
      </c>
    </row>
    <row r="97" spans="1:25" s="412" customFormat="1" ht="80.099999999999994" hidden="1" customHeight="1" x14ac:dyDescent="0.2">
      <c r="A97" s="423"/>
      <c r="B97" s="1513" t="str">
        <f>IFERROR(INDEX('PROBLEMA-OBJETIVO'!$G$56:$Q$88,MATCH('PROBLEMA-OBJETIVO'!X112,'PROBLEMA-OBJETIVO'!$Q$56:$Q$88,0),1),"")</f>
        <v/>
      </c>
      <c r="C97" s="1513"/>
      <c r="D97" s="1514" t="str">
        <f>IFERROR(INDEX('PROBLEMA-OBJETIVO'!$G$56:$Q$88,MATCH('PROBLEMA-OBJETIVO'!X112,'PROBLEMA-OBJETIVO'!$Q$56:$Q$88,0),3),"")</f>
        <v/>
      </c>
      <c r="E97" s="1514"/>
      <c r="F97" s="1515" t="str">
        <f t="shared" si="0"/>
        <v/>
      </c>
      <c r="G97" s="1515"/>
      <c r="H97" s="416" t="str">
        <f t="shared" si="1"/>
        <v/>
      </c>
      <c r="I97" s="417"/>
      <c r="J97" s="657" t="str">
        <f>IFERROR(IF(F97="Infraestructura",INDEX('Base de datos'!$Y$127:$Z$142,MATCH(D97,Infraestructura,0),1),""),"")</f>
        <v/>
      </c>
      <c r="K97" s="417"/>
      <c r="M97" s="531" t="str">
        <f t="shared" si="2"/>
        <v/>
      </c>
      <c r="N97" s="531" t="str">
        <f t="shared" si="3"/>
        <v/>
      </c>
      <c r="O97" s="250"/>
      <c r="P97" s="531" t="str">
        <f t="shared" si="4"/>
        <v>c</v>
      </c>
      <c r="Q97" s="425">
        <f>IFERROR(COUNTIF($P$88:P97,"b"),"")</f>
        <v>0</v>
      </c>
      <c r="R97" s="530" t="str">
        <f t="shared" si="5"/>
        <v/>
      </c>
      <c r="S97" s="530" t="str">
        <f t="shared" si="6"/>
        <v/>
      </c>
      <c r="T97" s="531">
        <v>9</v>
      </c>
      <c r="U97" s="530" t="str">
        <f t="shared" si="7"/>
        <v/>
      </c>
      <c r="V97" s="530" t="str">
        <f t="shared" si="8"/>
        <v/>
      </c>
      <c r="W97" s="531" t="str">
        <f t="shared" si="9"/>
        <v>c</v>
      </c>
      <c r="X97" s="531">
        <f>IFERROR(COUNTIF($W$87:W97,"b"),"")</f>
        <v>0</v>
      </c>
      <c r="Y97" s="531">
        <v>9</v>
      </c>
    </row>
    <row r="98" spans="1:25" s="412" customFormat="1" ht="80.099999999999994" hidden="1" customHeight="1" x14ac:dyDescent="0.2">
      <c r="A98" s="423"/>
      <c r="B98" s="1513" t="str">
        <f>IFERROR(INDEX('PROBLEMA-OBJETIVO'!$G$56:$Q$88,MATCH('PROBLEMA-OBJETIVO'!X113,'PROBLEMA-OBJETIVO'!$Q$56:$Q$88,0),1),"")</f>
        <v/>
      </c>
      <c r="C98" s="1513"/>
      <c r="D98" s="1514" t="str">
        <f>IFERROR(INDEX('PROBLEMA-OBJETIVO'!$G$56:$Q$88,MATCH('PROBLEMA-OBJETIVO'!X113,'PROBLEMA-OBJETIVO'!$Q$56:$Q$88,0),3),"")</f>
        <v/>
      </c>
      <c r="E98" s="1514"/>
      <c r="F98" s="1515" t="str">
        <f t="shared" si="0"/>
        <v/>
      </c>
      <c r="G98" s="1515"/>
      <c r="H98" s="416" t="str">
        <f t="shared" si="1"/>
        <v/>
      </c>
      <c r="I98" s="417"/>
      <c r="J98" s="657" t="str">
        <f>IFERROR(IF(F98="Infraestructura",INDEX('Base de datos'!$Y$127:$Z$142,MATCH(D98,Infraestructura,0),1),""),"")</f>
        <v/>
      </c>
      <c r="K98" s="417"/>
      <c r="M98" s="531" t="str">
        <f t="shared" si="2"/>
        <v/>
      </c>
      <c r="N98" s="531" t="str">
        <f t="shared" si="3"/>
        <v/>
      </c>
      <c r="O98" s="250"/>
      <c r="P98" s="531" t="str">
        <f t="shared" si="4"/>
        <v>c</v>
      </c>
      <c r="Q98" s="425">
        <f>IFERROR(COUNTIF($P$88:P98,"b"),"")</f>
        <v>0</v>
      </c>
      <c r="R98" s="530" t="str">
        <f t="shared" si="5"/>
        <v/>
      </c>
      <c r="S98" s="530" t="str">
        <f t="shared" si="6"/>
        <v/>
      </c>
      <c r="T98" s="531">
        <v>10</v>
      </c>
      <c r="U98" s="530" t="str">
        <f t="shared" si="7"/>
        <v/>
      </c>
      <c r="V98" s="530" t="str">
        <f t="shared" si="8"/>
        <v/>
      </c>
      <c r="W98" s="531" t="str">
        <f t="shared" si="9"/>
        <v>c</v>
      </c>
      <c r="X98" s="531">
        <f>IFERROR(COUNTIF($W$87:W98,"b"),"")</f>
        <v>0</v>
      </c>
      <c r="Y98" s="531">
        <v>10</v>
      </c>
    </row>
    <row r="99" spans="1:25" s="412" customFormat="1" ht="80.099999999999994" hidden="1" customHeight="1" x14ac:dyDescent="0.2">
      <c r="A99" s="423"/>
      <c r="B99" s="1513" t="str">
        <f>IFERROR(INDEX('PROBLEMA-OBJETIVO'!$G$56:$Q$88,MATCH('PROBLEMA-OBJETIVO'!X114,'PROBLEMA-OBJETIVO'!$Q$56:$Q$88,0),1),"")</f>
        <v/>
      </c>
      <c r="C99" s="1513"/>
      <c r="D99" s="1514" t="str">
        <f>IFERROR(INDEX('PROBLEMA-OBJETIVO'!$G$56:$Q$88,MATCH('PROBLEMA-OBJETIVO'!X114,'PROBLEMA-OBJETIVO'!$Q$56:$Q$88,0),3),"")</f>
        <v/>
      </c>
      <c r="E99" s="1514"/>
      <c r="F99" s="1515" t="str">
        <f t="shared" si="0"/>
        <v/>
      </c>
      <c r="G99" s="1515"/>
      <c r="H99" s="416" t="str">
        <f t="shared" si="1"/>
        <v/>
      </c>
      <c r="I99" s="417"/>
      <c r="J99" s="657" t="str">
        <f>IFERROR(IF(F99="Infraestructura",INDEX('Base de datos'!$Y$127:$Z$142,MATCH(D99,Infraestructura,0),1),""),"")</f>
        <v/>
      </c>
      <c r="K99" s="417"/>
      <c r="M99" s="531" t="str">
        <f t="shared" si="2"/>
        <v/>
      </c>
      <c r="N99" s="531" t="str">
        <f t="shared" si="3"/>
        <v/>
      </c>
      <c r="O99" s="250"/>
      <c r="P99" s="531" t="str">
        <f t="shared" si="4"/>
        <v>c</v>
      </c>
      <c r="Q99" s="425">
        <f>IFERROR(COUNTIF($P$88:P99,"b"),"")</f>
        <v>0</v>
      </c>
      <c r="R99" s="530" t="str">
        <f t="shared" si="5"/>
        <v/>
      </c>
      <c r="S99" s="530" t="str">
        <f t="shared" si="6"/>
        <v/>
      </c>
      <c r="T99" s="531">
        <v>11</v>
      </c>
      <c r="U99" s="530" t="str">
        <f t="shared" si="7"/>
        <v/>
      </c>
      <c r="V99" s="530" t="str">
        <f t="shared" si="8"/>
        <v/>
      </c>
      <c r="W99" s="531" t="str">
        <f t="shared" si="9"/>
        <v>c</v>
      </c>
      <c r="X99" s="531">
        <f>IFERROR(COUNTIF($W$87:W99,"b"),"")</f>
        <v>0</v>
      </c>
      <c r="Y99" s="531">
        <v>11</v>
      </c>
    </row>
    <row r="100" spans="1:25" s="412" customFormat="1" ht="80.099999999999994" hidden="1" customHeight="1" x14ac:dyDescent="0.2">
      <c r="A100" s="423"/>
      <c r="B100" s="1513" t="str">
        <f>IFERROR(INDEX('PROBLEMA-OBJETIVO'!$G$56:$Q$88,MATCH('PROBLEMA-OBJETIVO'!X115,'PROBLEMA-OBJETIVO'!$Q$56:$Q$88,0),1),"")</f>
        <v/>
      </c>
      <c r="C100" s="1513"/>
      <c r="D100" s="1514" t="str">
        <f>IFERROR(INDEX('PROBLEMA-OBJETIVO'!$G$56:$Q$88,MATCH('PROBLEMA-OBJETIVO'!X115,'PROBLEMA-OBJETIVO'!$Q$56:$Q$88,0),3),"")</f>
        <v/>
      </c>
      <c r="E100" s="1514"/>
      <c r="F100" s="1515" t="str">
        <f t="shared" si="0"/>
        <v/>
      </c>
      <c r="G100" s="1515"/>
      <c r="H100" s="416" t="str">
        <f t="shared" si="1"/>
        <v/>
      </c>
      <c r="I100" s="417"/>
      <c r="J100" s="657" t="str">
        <f>IFERROR(IF(F100="Infraestructura",INDEX('Base de datos'!$Y$127:$Z$142,MATCH(D100,Infraestructura,0),1),""),"")</f>
        <v/>
      </c>
      <c r="K100" s="417"/>
      <c r="M100" s="531" t="str">
        <f t="shared" si="2"/>
        <v/>
      </c>
      <c r="N100" s="531" t="str">
        <f t="shared" si="3"/>
        <v/>
      </c>
      <c r="O100" s="250"/>
      <c r="P100" s="531" t="str">
        <f t="shared" si="4"/>
        <v>c</v>
      </c>
      <c r="Q100" s="425">
        <f>IFERROR(COUNTIF($P$88:P100,"b"),"")</f>
        <v>0</v>
      </c>
      <c r="R100" s="530" t="str">
        <f t="shared" si="5"/>
        <v/>
      </c>
      <c r="S100" s="530" t="str">
        <f t="shared" si="6"/>
        <v/>
      </c>
      <c r="T100" s="531">
        <v>12</v>
      </c>
      <c r="U100" s="530" t="str">
        <f t="shared" si="7"/>
        <v/>
      </c>
      <c r="V100" s="530" t="str">
        <f t="shared" si="8"/>
        <v/>
      </c>
      <c r="W100" s="531" t="str">
        <f t="shared" si="9"/>
        <v>c</v>
      </c>
      <c r="X100" s="531">
        <f>IFERROR(COUNTIF($W$87:W100,"b"),"")</f>
        <v>0</v>
      </c>
      <c r="Y100" s="531">
        <v>12</v>
      </c>
    </row>
    <row r="101" spans="1:25" s="412" customFormat="1" ht="80.099999999999994" hidden="1" customHeight="1" x14ac:dyDescent="0.2">
      <c r="A101" s="423"/>
      <c r="B101" s="1513" t="str">
        <f>IFERROR(INDEX('PROBLEMA-OBJETIVO'!$G$56:$Q$88,MATCH('PROBLEMA-OBJETIVO'!X116,'PROBLEMA-OBJETIVO'!$Q$56:$Q$88,0),1),"")</f>
        <v/>
      </c>
      <c r="C101" s="1513"/>
      <c r="D101" s="1514" t="str">
        <f>IFERROR(INDEX('PROBLEMA-OBJETIVO'!$G$56:$Q$88,MATCH('PROBLEMA-OBJETIVO'!X116,'PROBLEMA-OBJETIVO'!$Q$56:$Q$88,0),3),"")</f>
        <v/>
      </c>
      <c r="E101" s="1514"/>
      <c r="F101" s="1515" t="str">
        <f t="shared" si="0"/>
        <v/>
      </c>
      <c r="G101" s="1515"/>
      <c r="H101" s="416" t="str">
        <f t="shared" si="1"/>
        <v/>
      </c>
      <c r="I101" s="417"/>
      <c r="J101" s="657" t="str">
        <f>IFERROR(IF(F101="Infraestructura",INDEX('Base de datos'!$Y$127:$Z$142,MATCH(D101,Infraestructura,0),1),""),"")</f>
        <v/>
      </c>
      <c r="K101" s="417"/>
      <c r="M101" s="531" t="str">
        <f t="shared" si="2"/>
        <v/>
      </c>
      <c r="N101" s="531" t="str">
        <f t="shared" si="3"/>
        <v/>
      </c>
      <c r="O101" s="250"/>
      <c r="P101" s="531" t="str">
        <f t="shared" si="4"/>
        <v>c</v>
      </c>
      <c r="Q101" s="425">
        <f>IFERROR(COUNTIF($P$88:P101,"b"),"")</f>
        <v>0</v>
      </c>
      <c r="R101" s="530" t="str">
        <f t="shared" si="5"/>
        <v/>
      </c>
      <c r="S101" s="530" t="str">
        <f t="shared" si="6"/>
        <v/>
      </c>
      <c r="T101" s="531">
        <v>13</v>
      </c>
      <c r="U101" s="530" t="str">
        <f t="shared" si="7"/>
        <v/>
      </c>
      <c r="V101" s="530" t="str">
        <f t="shared" si="8"/>
        <v/>
      </c>
      <c r="W101" s="531" t="str">
        <f t="shared" si="9"/>
        <v>c</v>
      </c>
      <c r="X101" s="531">
        <f>IFERROR(COUNTIF($W$87:W101,"b"),"")</f>
        <v>0</v>
      </c>
      <c r="Y101" s="531">
        <v>13</v>
      </c>
    </row>
    <row r="102" spans="1:25" s="412" customFormat="1" ht="80.099999999999994" hidden="1" customHeight="1" x14ac:dyDescent="0.2">
      <c r="A102" s="423"/>
      <c r="B102" s="1513" t="str">
        <f>IFERROR(INDEX('PROBLEMA-OBJETIVO'!$G$56:$Q$88,MATCH('PROBLEMA-OBJETIVO'!X117,'PROBLEMA-OBJETIVO'!$Q$56:$Q$88,0),1),"")</f>
        <v/>
      </c>
      <c r="C102" s="1513"/>
      <c r="D102" s="1514" t="str">
        <f>IFERROR(INDEX('PROBLEMA-OBJETIVO'!$G$56:$Q$88,MATCH('PROBLEMA-OBJETIVO'!X117,'PROBLEMA-OBJETIVO'!$Q$56:$Q$88,0),3),"")</f>
        <v/>
      </c>
      <c r="E102" s="1514"/>
      <c r="F102" s="1515" t="str">
        <f t="shared" si="0"/>
        <v/>
      </c>
      <c r="G102" s="1515"/>
      <c r="H102" s="416" t="str">
        <f t="shared" si="1"/>
        <v/>
      </c>
      <c r="I102" s="417"/>
      <c r="J102" s="657" t="str">
        <f>IFERROR(IF(F102="Infraestructura",INDEX('Base de datos'!$Y$127:$Z$142,MATCH(D102,Infraestructura,0),1),""),"")</f>
        <v/>
      </c>
      <c r="K102" s="417"/>
      <c r="M102" s="531" t="str">
        <f t="shared" si="2"/>
        <v/>
      </c>
      <c r="N102" s="531" t="str">
        <f t="shared" si="3"/>
        <v/>
      </c>
      <c r="O102" s="250"/>
      <c r="P102" s="531" t="str">
        <f t="shared" si="4"/>
        <v>c</v>
      </c>
      <c r="Q102" s="425">
        <f>IFERROR(COUNTIF($P$88:P102,"b"),"")</f>
        <v>0</v>
      </c>
      <c r="R102" s="530" t="str">
        <f t="shared" si="5"/>
        <v/>
      </c>
      <c r="S102" s="530" t="str">
        <f t="shared" si="6"/>
        <v/>
      </c>
      <c r="T102" s="531">
        <v>14</v>
      </c>
      <c r="U102" s="530" t="str">
        <f t="shared" si="7"/>
        <v/>
      </c>
      <c r="V102" s="530" t="str">
        <f t="shared" si="8"/>
        <v/>
      </c>
      <c r="W102" s="531" t="str">
        <f t="shared" si="9"/>
        <v>c</v>
      </c>
      <c r="X102" s="531">
        <f>IFERROR(COUNTIF($W$87:W102,"b"),"")</f>
        <v>0</v>
      </c>
      <c r="Y102" s="531">
        <v>14</v>
      </c>
    </row>
    <row r="103" spans="1:25" s="412" customFormat="1" ht="80.099999999999994" hidden="1" customHeight="1" x14ac:dyDescent="0.2">
      <c r="A103" s="423"/>
      <c r="B103" s="1513" t="str">
        <f>IFERROR(INDEX('PROBLEMA-OBJETIVO'!$G$56:$Q$88,MATCH('PROBLEMA-OBJETIVO'!X118,'PROBLEMA-OBJETIVO'!$Q$56:$Q$88,0),1),"")</f>
        <v/>
      </c>
      <c r="C103" s="1513"/>
      <c r="D103" s="1514" t="str">
        <f>IFERROR(INDEX('PROBLEMA-OBJETIVO'!$G$56:$Q$88,MATCH('PROBLEMA-OBJETIVO'!X118,'PROBLEMA-OBJETIVO'!$Q$56:$Q$88,0),3),"")</f>
        <v/>
      </c>
      <c r="E103" s="1514"/>
      <c r="F103" s="1515" t="str">
        <f t="shared" si="0"/>
        <v/>
      </c>
      <c r="G103" s="1515"/>
      <c r="H103" s="416" t="str">
        <f t="shared" si="1"/>
        <v/>
      </c>
      <c r="I103" s="417"/>
      <c r="J103" s="657" t="str">
        <f>IFERROR(IF(F103="Infraestructura",INDEX('Base de datos'!$Y$127:$Z$142,MATCH(D103,Infraestructura,0),1),""),"")</f>
        <v/>
      </c>
      <c r="K103" s="417"/>
      <c r="M103" s="531" t="str">
        <f t="shared" si="2"/>
        <v/>
      </c>
      <c r="N103" s="531" t="str">
        <f t="shared" si="3"/>
        <v/>
      </c>
      <c r="O103" s="250"/>
      <c r="P103" s="531" t="str">
        <f t="shared" si="4"/>
        <v>c</v>
      </c>
      <c r="Q103" s="425">
        <f>IFERROR(COUNTIF($P$88:P103,"b"),"")</f>
        <v>0</v>
      </c>
      <c r="R103" s="530" t="str">
        <f t="shared" si="5"/>
        <v/>
      </c>
      <c r="S103" s="530" t="str">
        <f t="shared" si="6"/>
        <v/>
      </c>
      <c r="T103" s="531">
        <v>15</v>
      </c>
      <c r="U103" s="530" t="str">
        <f t="shared" si="7"/>
        <v/>
      </c>
      <c r="V103" s="530" t="str">
        <f t="shared" si="8"/>
        <v/>
      </c>
      <c r="W103" s="531" t="str">
        <f t="shared" si="9"/>
        <v>c</v>
      </c>
      <c r="X103" s="531">
        <f>IFERROR(COUNTIF($W$87:W103,"b"),"")</f>
        <v>0</v>
      </c>
      <c r="Y103" s="531">
        <v>15</v>
      </c>
    </row>
    <row r="104" spans="1:25" s="412" customFormat="1" ht="80.099999999999994" hidden="1" customHeight="1" x14ac:dyDescent="0.2">
      <c r="A104" s="423"/>
      <c r="B104" s="1513" t="str">
        <f>IFERROR(INDEX('PROBLEMA-OBJETIVO'!$G$56:$Q$88,MATCH('PROBLEMA-OBJETIVO'!X119,'PROBLEMA-OBJETIVO'!$Q$56:$Q$88,0),1),"")</f>
        <v/>
      </c>
      <c r="C104" s="1513"/>
      <c r="D104" s="1514" t="str">
        <f>IFERROR(INDEX('PROBLEMA-OBJETIVO'!$G$56:$Q$88,MATCH('PROBLEMA-OBJETIVO'!X119,'PROBLEMA-OBJETIVO'!$Q$56:$Q$88,0),3),"")</f>
        <v/>
      </c>
      <c r="E104" s="1514"/>
      <c r="F104" s="1515" t="str">
        <f t="shared" si="0"/>
        <v/>
      </c>
      <c r="G104" s="1515"/>
      <c r="H104" s="416" t="str">
        <f t="shared" si="1"/>
        <v/>
      </c>
      <c r="I104" s="417"/>
      <c r="J104" s="657" t="str">
        <f>IFERROR(IF(F104="Infraestructura",INDEX('Base de datos'!$Y$127:$Z$142,MATCH(D104,Infraestructura,0),1),""),"")</f>
        <v/>
      </c>
      <c r="K104" s="417"/>
      <c r="M104" s="531" t="str">
        <f t="shared" si="2"/>
        <v/>
      </c>
      <c r="N104" s="531" t="str">
        <f t="shared" si="3"/>
        <v/>
      </c>
      <c r="O104" s="250"/>
      <c r="P104" s="531" t="str">
        <f t="shared" si="4"/>
        <v>c</v>
      </c>
      <c r="Q104" s="425">
        <f>IFERROR(COUNTIF($P$88:P104,"b"),"")</f>
        <v>0</v>
      </c>
      <c r="R104" s="530" t="str">
        <f t="shared" si="5"/>
        <v/>
      </c>
      <c r="S104" s="530" t="str">
        <f t="shared" si="6"/>
        <v/>
      </c>
      <c r="T104" s="531">
        <v>16</v>
      </c>
      <c r="U104" s="530" t="str">
        <f t="shared" si="7"/>
        <v/>
      </c>
      <c r="V104" s="530" t="str">
        <f t="shared" si="8"/>
        <v/>
      </c>
      <c r="W104" s="531" t="str">
        <f t="shared" si="9"/>
        <v>c</v>
      </c>
      <c r="X104" s="531">
        <f>IFERROR(COUNTIF($W$87:W104,"b"),"")</f>
        <v>0</v>
      </c>
      <c r="Y104" s="531">
        <v>16</v>
      </c>
    </row>
    <row r="105" spans="1:25" s="412" customFormat="1" ht="80.099999999999994" hidden="1" customHeight="1" x14ac:dyDescent="0.2">
      <c r="A105" s="423"/>
      <c r="B105" s="1513" t="str">
        <f>IFERROR(INDEX('PROBLEMA-OBJETIVO'!$G$56:$Q$88,MATCH('PROBLEMA-OBJETIVO'!X120,'PROBLEMA-OBJETIVO'!$Q$56:$Q$88,0),1),"")</f>
        <v/>
      </c>
      <c r="C105" s="1513"/>
      <c r="D105" s="1514" t="str">
        <f>IFERROR(INDEX('PROBLEMA-OBJETIVO'!$G$56:$Q$88,MATCH('PROBLEMA-OBJETIVO'!X120,'PROBLEMA-OBJETIVO'!$Q$56:$Q$88,0),3),"")</f>
        <v/>
      </c>
      <c r="E105" s="1514"/>
      <c r="F105" s="1515" t="str">
        <f t="shared" si="0"/>
        <v/>
      </c>
      <c r="G105" s="1515"/>
      <c r="H105" s="416" t="str">
        <f t="shared" si="1"/>
        <v/>
      </c>
      <c r="I105" s="417"/>
      <c r="J105" s="657" t="str">
        <f>IFERROR(IF(F105="Infraestructura",INDEX('Base de datos'!$Y$127:$Z$142,MATCH(D105,Infraestructura,0),1),""),"")</f>
        <v/>
      </c>
      <c r="K105" s="417"/>
      <c r="M105" s="531" t="str">
        <f t="shared" si="2"/>
        <v/>
      </c>
      <c r="N105" s="531" t="str">
        <f t="shared" si="3"/>
        <v/>
      </c>
      <c r="O105" s="250"/>
      <c r="P105" s="531" t="str">
        <f t="shared" si="4"/>
        <v>c</v>
      </c>
      <c r="Q105" s="425">
        <f>IFERROR(COUNTIF($P$88:P105,"b"),"")</f>
        <v>0</v>
      </c>
      <c r="R105" s="530" t="str">
        <f t="shared" si="5"/>
        <v/>
      </c>
      <c r="S105" s="530" t="str">
        <f t="shared" si="6"/>
        <v/>
      </c>
      <c r="T105" s="531">
        <v>17</v>
      </c>
      <c r="U105" s="530" t="str">
        <f t="shared" si="7"/>
        <v/>
      </c>
      <c r="V105" s="530" t="str">
        <f t="shared" si="8"/>
        <v/>
      </c>
      <c r="W105" s="531" t="str">
        <f t="shared" si="9"/>
        <v>c</v>
      </c>
      <c r="X105" s="531">
        <f>IFERROR(COUNTIF($W$87:W105,"b"),"")</f>
        <v>0</v>
      </c>
      <c r="Y105" s="531">
        <v>17</v>
      </c>
    </row>
    <row r="106" spans="1:25" s="412" customFormat="1" ht="80.099999999999994" hidden="1" customHeight="1" x14ac:dyDescent="0.2">
      <c r="A106" s="423"/>
      <c r="B106" s="1513" t="str">
        <f>IFERROR(INDEX('PROBLEMA-OBJETIVO'!$G$56:$Q$88,MATCH('PROBLEMA-OBJETIVO'!X121,'PROBLEMA-OBJETIVO'!$Q$56:$Q$88,0),1),"")</f>
        <v/>
      </c>
      <c r="C106" s="1513"/>
      <c r="D106" s="1514" t="str">
        <f>IFERROR(INDEX('PROBLEMA-OBJETIVO'!$G$56:$Q$88,MATCH('PROBLEMA-OBJETIVO'!X121,'PROBLEMA-OBJETIVO'!$Q$56:$Q$88,0),3),"")</f>
        <v/>
      </c>
      <c r="E106" s="1514"/>
      <c r="F106" s="1515" t="str">
        <f t="shared" si="0"/>
        <v/>
      </c>
      <c r="G106" s="1515"/>
      <c r="H106" s="416" t="str">
        <f t="shared" si="1"/>
        <v/>
      </c>
      <c r="I106" s="417"/>
      <c r="J106" s="657" t="str">
        <f>IFERROR(IF(F106="Infraestructura",INDEX('Base de datos'!$Y$127:$Z$142,MATCH(D106,Infraestructura,0),1),""),"")</f>
        <v/>
      </c>
      <c r="K106" s="417"/>
      <c r="M106" s="531" t="str">
        <f t="shared" si="2"/>
        <v/>
      </c>
      <c r="N106" s="531" t="str">
        <f t="shared" si="3"/>
        <v/>
      </c>
      <c r="O106" s="250"/>
      <c r="P106" s="531" t="str">
        <f t="shared" si="4"/>
        <v>c</v>
      </c>
      <c r="Q106" s="425">
        <f>IFERROR(COUNTIF($P$88:P106,"b"),"")</f>
        <v>0</v>
      </c>
      <c r="R106" s="530" t="str">
        <f t="shared" si="5"/>
        <v/>
      </c>
      <c r="S106" s="530" t="str">
        <f t="shared" si="6"/>
        <v/>
      </c>
      <c r="T106" s="531">
        <v>18</v>
      </c>
      <c r="U106" s="530" t="str">
        <f t="shared" si="7"/>
        <v/>
      </c>
      <c r="V106" s="530" t="str">
        <f t="shared" si="8"/>
        <v/>
      </c>
      <c r="W106" s="531" t="str">
        <f t="shared" si="9"/>
        <v>c</v>
      </c>
      <c r="X106" s="531">
        <f>IFERROR(COUNTIF($W$87:W106,"b"),"")</f>
        <v>0</v>
      </c>
      <c r="Y106" s="531">
        <v>18</v>
      </c>
    </row>
    <row r="107" spans="1:25" s="412" customFormat="1" ht="80.099999999999994" hidden="1" customHeight="1" x14ac:dyDescent="0.2">
      <c r="A107" s="423"/>
      <c r="B107" s="1513" t="str">
        <f>IFERROR(INDEX('PROBLEMA-OBJETIVO'!$G$56:$Q$88,MATCH('PROBLEMA-OBJETIVO'!X122,'PROBLEMA-OBJETIVO'!$Q$56:$Q$88,0),1),"")</f>
        <v/>
      </c>
      <c r="C107" s="1513"/>
      <c r="D107" s="1514" t="str">
        <f>IFERROR(INDEX('PROBLEMA-OBJETIVO'!$G$56:$Q$88,MATCH('PROBLEMA-OBJETIVO'!X122,'PROBLEMA-OBJETIVO'!$Q$56:$Q$88,0),3),"")</f>
        <v/>
      </c>
      <c r="E107" s="1514"/>
      <c r="F107" s="1515" t="str">
        <f t="shared" si="0"/>
        <v/>
      </c>
      <c r="G107" s="1515"/>
      <c r="H107" s="416" t="str">
        <f t="shared" si="1"/>
        <v/>
      </c>
      <c r="I107" s="417"/>
      <c r="J107" s="657" t="str">
        <f>IFERROR(IF(F107="Infraestructura",INDEX('Base de datos'!$Y$127:$Z$142,MATCH(D107,Infraestructura,0),1),""),"")</f>
        <v/>
      </c>
      <c r="K107" s="417"/>
      <c r="M107" s="531" t="str">
        <f t="shared" si="2"/>
        <v/>
      </c>
      <c r="N107" s="531" t="str">
        <f t="shared" si="3"/>
        <v/>
      </c>
      <c r="O107" s="250"/>
      <c r="P107" s="531" t="str">
        <f t="shared" si="4"/>
        <v>c</v>
      </c>
      <c r="Q107" s="425">
        <f>IFERROR(COUNTIF($P$88:P107,"b"),"")</f>
        <v>0</v>
      </c>
      <c r="R107" s="530" t="str">
        <f t="shared" si="5"/>
        <v/>
      </c>
      <c r="S107" s="530" t="str">
        <f t="shared" si="6"/>
        <v/>
      </c>
      <c r="T107" s="531">
        <v>19</v>
      </c>
      <c r="U107" s="530" t="str">
        <f t="shared" si="7"/>
        <v/>
      </c>
      <c r="V107" s="530" t="str">
        <f t="shared" si="8"/>
        <v/>
      </c>
      <c r="W107" s="531" t="str">
        <f t="shared" si="9"/>
        <v>c</v>
      </c>
      <c r="X107" s="531">
        <f>IFERROR(COUNTIF($W$87:W107,"b"),"")</f>
        <v>0</v>
      </c>
      <c r="Y107" s="531">
        <v>19</v>
      </c>
    </row>
    <row r="108" spans="1:25" s="412" customFormat="1" ht="80.099999999999994" hidden="1" customHeight="1" x14ac:dyDescent="0.2">
      <c r="A108" s="423"/>
      <c r="B108" s="1513" t="str">
        <f>IFERROR(INDEX('PROBLEMA-OBJETIVO'!$G$56:$Q$88,MATCH('PROBLEMA-OBJETIVO'!X123,'PROBLEMA-OBJETIVO'!$Q$56:$Q$88,0),1),"")</f>
        <v/>
      </c>
      <c r="C108" s="1513"/>
      <c r="D108" s="1514" t="str">
        <f>IFERROR(INDEX('PROBLEMA-OBJETIVO'!$G$56:$Q$88,MATCH('PROBLEMA-OBJETIVO'!X123,'PROBLEMA-OBJETIVO'!$Q$56:$Q$88,0),3),"")</f>
        <v/>
      </c>
      <c r="E108" s="1514"/>
      <c r="F108" s="1515" t="str">
        <f t="shared" si="0"/>
        <v/>
      </c>
      <c r="G108" s="1515"/>
      <c r="H108" s="416" t="str">
        <f t="shared" si="1"/>
        <v/>
      </c>
      <c r="I108" s="417"/>
      <c r="J108" s="657" t="str">
        <f>IFERROR(IF(F108="Infraestructura",INDEX('Base de datos'!$Y$127:$Z$142,MATCH(D108,Infraestructura,0),1),""),"")</f>
        <v/>
      </c>
      <c r="K108" s="417"/>
      <c r="M108" s="531" t="str">
        <f t="shared" si="2"/>
        <v/>
      </c>
      <c r="N108" s="531" t="str">
        <f t="shared" si="3"/>
        <v/>
      </c>
      <c r="O108" s="250"/>
      <c r="P108" s="531" t="str">
        <f t="shared" si="4"/>
        <v>c</v>
      </c>
      <c r="Q108" s="425">
        <f>IFERROR(COUNTIF($P$88:P108,"b"),"")</f>
        <v>0</v>
      </c>
      <c r="R108" s="530" t="str">
        <f t="shared" si="5"/>
        <v/>
      </c>
      <c r="S108" s="530" t="str">
        <f t="shared" si="6"/>
        <v/>
      </c>
      <c r="T108" s="531">
        <v>20</v>
      </c>
      <c r="U108" s="530" t="str">
        <f t="shared" si="7"/>
        <v/>
      </c>
      <c r="V108" s="530" t="str">
        <f t="shared" si="8"/>
        <v/>
      </c>
      <c r="W108" s="531" t="str">
        <f t="shared" si="9"/>
        <v>c</v>
      </c>
      <c r="X108" s="531">
        <f>IFERROR(COUNTIF($W$87:W108,"b"),"")</f>
        <v>0</v>
      </c>
      <c r="Y108" s="531">
        <v>20</v>
      </c>
    </row>
    <row r="109" spans="1:25" s="412" customFormat="1" ht="80.099999999999994" hidden="1" customHeight="1" x14ac:dyDescent="0.2">
      <c r="A109" s="423"/>
      <c r="B109" s="1513" t="str">
        <f>IFERROR(INDEX('PROBLEMA-OBJETIVO'!$G$56:$Q$88,MATCH('PROBLEMA-OBJETIVO'!X124,'PROBLEMA-OBJETIVO'!$Q$56:$Q$88,0),1),"")</f>
        <v/>
      </c>
      <c r="C109" s="1513"/>
      <c r="D109" s="1514" t="str">
        <f>IFERROR(INDEX('PROBLEMA-OBJETIVO'!$G$56:$Q$88,MATCH('PROBLEMA-OBJETIVO'!X124,'PROBLEMA-OBJETIVO'!$Q$56:$Q$88,0),3),"")</f>
        <v/>
      </c>
      <c r="E109" s="1514"/>
      <c r="F109" s="1515" t="str">
        <f t="shared" si="0"/>
        <v/>
      </c>
      <c r="G109" s="1515"/>
      <c r="H109" s="416" t="str">
        <f t="shared" si="1"/>
        <v/>
      </c>
      <c r="I109" s="417"/>
      <c r="J109" s="657" t="str">
        <f>IFERROR(IF(F109="Infraestructura",INDEX('Base de datos'!$Y$127:$Z$142,MATCH(D109,Infraestructura,0),1),""),"")</f>
        <v/>
      </c>
      <c r="K109" s="417"/>
      <c r="M109" s="531" t="str">
        <f t="shared" si="2"/>
        <v/>
      </c>
      <c r="N109" s="531" t="str">
        <f t="shared" si="3"/>
        <v/>
      </c>
      <c r="O109" s="250"/>
      <c r="P109" s="531" t="str">
        <f t="shared" si="4"/>
        <v>c</v>
      </c>
      <c r="Q109" s="425">
        <f>IFERROR(COUNTIF($P$88:P109,"b"),"")</f>
        <v>0</v>
      </c>
      <c r="R109" s="530" t="str">
        <f t="shared" si="5"/>
        <v/>
      </c>
      <c r="S109" s="530" t="str">
        <f t="shared" si="6"/>
        <v/>
      </c>
      <c r="T109" s="531">
        <v>21</v>
      </c>
      <c r="U109" s="530" t="str">
        <f t="shared" si="7"/>
        <v/>
      </c>
      <c r="V109" s="530" t="str">
        <f t="shared" si="8"/>
        <v/>
      </c>
      <c r="W109" s="531" t="str">
        <f t="shared" si="9"/>
        <v>c</v>
      </c>
      <c r="X109" s="531">
        <f>IFERROR(COUNTIF($W$87:W109,"b"),"")</f>
        <v>0</v>
      </c>
      <c r="Y109" s="531">
        <v>21</v>
      </c>
    </row>
    <row r="110" spans="1:25" s="410" customFormat="1" ht="80.099999999999994" hidden="1" customHeight="1" x14ac:dyDescent="0.2">
      <c r="A110" s="423"/>
      <c r="B110" s="1513" t="str">
        <f>IFERROR(INDEX('PROBLEMA-OBJETIVO'!$G$56:$Q$88,MATCH('PROBLEMA-OBJETIVO'!X125,'PROBLEMA-OBJETIVO'!$Q$56:$Q$88,0),1),"")</f>
        <v/>
      </c>
      <c r="C110" s="1513"/>
      <c r="D110" s="1514" t="str">
        <f>IFERROR(INDEX('PROBLEMA-OBJETIVO'!$G$56:$Q$88,MATCH('PROBLEMA-OBJETIVO'!X125,'PROBLEMA-OBJETIVO'!$Q$56:$Q$88,0),3),"")</f>
        <v/>
      </c>
      <c r="E110" s="1514"/>
      <c r="F110" s="1515" t="str">
        <f t="shared" si="0"/>
        <v/>
      </c>
      <c r="G110" s="1515"/>
      <c r="H110" s="416" t="str">
        <f t="shared" si="1"/>
        <v/>
      </c>
      <c r="I110" s="417"/>
      <c r="J110" s="657" t="str">
        <f>IFERROR(IF(F110="Infraestructura",INDEX('Base de datos'!$Y$127:$Z$142,MATCH(D110,Infraestructura,0),1),""),"")</f>
        <v/>
      </c>
      <c r="K110" s="417"/>
      <c r="M110" s="531" t="str">
        <f t="shared" si="2"/>
        <v/>
      </c>
      <c r="N110" s="531" t="str">
        <f t="shared" si="3"/>
        <v/>
      </c>
      <c r="O110" s="250"/>
      <c r="P110" s="531" t="str">
        <f t="shared" si="4"/>
        <v>c</v>
      </c>
      <c r="Q110" s="425">
        <f>IFERROR(COUNTIF($P$88:P110,"b"),"")</f>
        <v>0</v>
      </c>
      <c r="R110" s="530" t="str">
        <f t="shared" si="5"/>
        <v/>
      </c>
      <c r="S110" s="530" t="str">
        <f t="shared" si="6"/>
        <v/>
      </c>
      <c r="T110" s="531">
        <v>22</v>
      </c>
      <c r="U110" s="530" t="str">
        <f t="shared" si="7"/>
        <v/>
      </c>
      <c r="V110" s="530" t="str">
        <f t="shared" si="8"/>
        <v/>
      </c>
      <c r="W110" s="531" t="str">
        <f t="shared" si="9"/>
        <v>c</v>
      </c>
      <c r="X110" s="531">
        <f>IFERROR(COUNTIF($W$87:W110,"b"),"")</f>
        <v>0</v>
      </c>
      <c r="Y110" s="531">
        <v>22</v>
      </c>
    </row>
    <row r="111" spans="1:25" s="410" customFormat="1" ht="80.099999999999994" hidden="1" customHeight="1" x14ac:dyDescent="0.2">
      <c r="A111" s="423"/>
      <c r="B111" s="1513" t="str">
        <f>IFERROR(INDEX('PROBLEMA-OBJETIVO'!$G$56:$Q$88,MATCH('PROBLEMA-OBJETIVO'!X126,'PROBLEMA-OBJETIVO'!$Q$56:$Q$88,0),1),"")</f>
        <v/>
      </c>
      <c r="C111" s="1513"/>
      <c r="D111" s="1514" t="str">
        <f>IFERROR(INDEX('PROBLEMA-OBJETIVO'!$G$56:$Q$88,MATCH('PROBLEMA-OBJETIVO'!X126,'PROBLEMA-OBJETIVO'!$Q$56:$Q$88,0),3),"")</f>
        <v/>
      </c>
      <c r="E111" s="1514"/>
      <c r="F111" s="1515" t="str">
        <f t="shared" si="0"/>
        <v/>
      </c>
      <c r="G111" s="1515"/>
      <c r="H111" s="416" t="str">
        <f t="shared" si="1"/>
        <v/>
      </c>
      <c r="I111" s="417"/>
      <c r="J111" s="657" t="str">
        <f>IFERROR(IF(F111="Infraestructura",INDEX('Base de datos'!$Y$127:$Z$142,MATCH(D111,Infraestructura,0),1),""),"")</f>
        <v/>
      </c>
      <c r="K111" s="417"/>
      <c r="M111" s="531" t="str">
        <f t="shared" si="2"/>
        <v/>
      </c>
      <c r="N111" s="531" t="str">
        <f t="shared" si="3"/>
        <v/>
      </c>
      <c r="O111" s="250"/>
      <c r="P111" s="531" t="str">
        <f t="shared" si="4"/>
        <v>c</v>
      </c>
      <c r="Q111" s="425">
        <f>IFERROR(COUNTIF($P$88:P111,"b"),"")</f>
        <v>0</v>
      </c>
      <c r="R111" s="530" t="str">
        <f t="shared" si="5"/>
        <v/>
      </c>
      <c r="S111" s="530" t="str">
        <f t="shared" si="6"/>
        <v/>
      </c>
      <c r="T111" s="531">
        <v>23</v>
      </c>
      <c r="U111" s="530" t="str">
        <f t="shared" si="7"/>
        <v/>
      </c>
      <c r="V111" s="530" t="str">
        <f t="shared" si="8"/>
        <v/>
      </c>
      <c r="W111" s="531" t="str">
        <f t="shared" si="9"/>
        <v>c</v>
      </c>
      <c r="X111" s="531">
        <f>IFERROR(COUNTIF($W$87:W111,"b"),"")</f>
        <v>0</v>
      </c>
      <c r="Y111" s="531">
        <v>23</v>
      </c>
    </row>
    <row r="112" spans="1:25" s="410" customFormat="1" ht="80.099999999999994" hidden="1" customHeight="1" x14ac:dyDescent="0.2">
      <c r="A112" s="423"/>
      <c r="B112" s="1513" t="str">
        <f>IFERROR(INDEX('PROBLEMA-OBJETIVO'!$G$56:$Q$88,MATCH('PROBLEMA-OBJETIVO'!X127,'PROBLEMA-OBJETIVO'!$Q$56:$Q$88,0),1),"")</f>
        <v/>
      </c>
      <c r="C112" s="1513"/>
      <c r="D112" s="1514" t="str">
        <f>IFERROR(INDEX('PROBLEMA-OBJETIVO'!$G$56:$Q$88,MATCH('PROBLEMA-OBJETIVO'!X127,'PROBLEMA-OBJETIVO'!$Q$56:$Q$88,0),3),"")</f>
        <v/>
      </c>
      <c r="E112" s="1514"/>
      <c r="F112" s="1515" t="str">
        <f t="shared" si="0"/>
        <v/>
      </c>
      <c r="G112" s="1515"/>
      <c r="H112" s="416" t="str">
        <f t="shared" si="1"/>
        <v/>
      </c>
      <c r="I112" s="417"/>
      <c r="J112" s="657" t="str">
        <f>IFERROR(IF(F112="Infraestructura",INDEX('Base de datos'!$Y$127:$Z$142,MATCH(D112,Infraestructura,0),1),""),"")</f>
        <v/>
      </c>
      <c r="K112" s="417"/>
      <c r="M112" s="531" t="str">
        <f t="shared" si="2"/>
        <v/>
      </c>
      <c r="N112" s="531" t="str">
        <f t="shared" si="3"/>
        <v/>
      </c>
      <c r="O112" s="250"/>
      <c r="P112" s="531" t="str">
        <f t="shared" si="4"/>
        <v>c</v>
      </c>
      <c r="Q112" s="425">
        <f>IFERROR(COUNTIF($P$88:P112,"b"),"")</f>
        <v>0</v>
      </c>
      <c r="R112" s="530" t="str">
        <f t="shared" si="5"/>
        <v/>
      </c>
      <c r="S112" s="530" t="str">
        <f t="shared" si="6"/>
        <v/>
      </c>
      <c r="T112" s="531">
        <v>24</v>
      </c>
      <c r="U112" s="530" t="str">
        <f t="shared" si="7"/>
        <v/>
      </c>
      <c r="V112" s="530" t="str">
        <f t="shared" si="8"/>
        <v/>
      </c>
      <c r="W112" s="531" t="str">
        <f t="shared" si="9"/>
        <v>c</v>
      </c>
      <c r="X112" s="531">
        <f>IFERROR(COUNTIF($W$87:W112,"b"),"")</f>
        <v>0</v>
      </c>
      <c r="Y112" s="531">
        <v>24</v>
      </c>
    </row>
    <row r="113" spans="1:25" s="410" customFormat="1" ht="80.099999999999994" hidden="1" customHeight="1" x14ac:dyDescent="0.2">
      <c r="A113" s="423"/>
      <c r="B113" s="1513" t="str">
        <f>IFERROR(INDEX('PROBLEMA-OBJETIVO'!$G$56:$Q$88,MATCH('PROBLEMA-OBJETIVO'!X128,'PROBLEMA-OBJETIVO'!$Q$56:$Q$88,0),1),"")</f>
        <v/>
      </c>
      <c r="C113" s="1513"/>
      <c r="D113" s="1514" t="str">
        <f>IFERROR(INDEX('PROBLEMA-OBJETIVO'!$G$56:$Q$88,MATCH('PROBLEMA-OBJETIVO'!X128,'PROBLEMA-OBJETIVO'!$Q$56:$Q$88,0),3),"")</f>
        <v/>
      </c>
      <c r="E113" s="1514"/>
      <c r="F113" s="1515" t="str">
        <f t="shared" si="0"/>
        <v/>
      </c>
      <c r="G113" s="1515"/>
      <c r="H113" s="416" t="str">
        <f t="shared" si="1"/>
        <v/>
      </c>
      <c r="I113" s="417"/>
      <c r="J113" s="657" t="str">
        <f>IFERROR(IF(F113="Infraestructura",INDEX('Base de datos'!$Y$127:$Z$142,MATCH(D113,Infraestructura,0),1),""),"")</f>
        <v/>
      </c>
      <c r="K113" s="417"/>
      <c r="M113" s="531" t="str">
        <f t="shared" si="2"/>
        <v/>
      </c>
      <c r="N113" s="531" t="str">
        <f t="shared" si="3"/>
        <v/>
      </c>
      <c r="O113" s="250"/>
      <c r="P113" s="531" t="str">
        <f t="shared" si="4"/>
        <v>c</v>
      </c>
      <c r="Q113" s="425">
        <f>IFERROR(COUNTIF($P$88:P113,"b"),"")</f>
        <v>0</v>
      </c>
      <c r="R113" s="530" t="str">
        <f t="shared" si="5"/>
        <v/>
      </c>
      <c r="S113" s="530" t="str">
        <f t="shared" si="6"/>
        <v/>
      </c>
      <c r="T113" s="531">
        <v>25</v>
      </c>
      <c r="U113" s="530" t="str">
        <f t="shared" si="7"/>
        <v/>
      </c>
      <c r="V113" s="530" t="str">
        <f t="shared" si="8"/>
        <v/>
      </c>
      <c r="W113" s="531" t="str">
        <f t="shared" si="9"/>
        <v>c</v>
      </c>
      <c r="X113" s="531">
        <f>IFERROR(COUNTIF($W$87:W113,"b"),"")</f>
        <v>0</v>
      </c>
      <c r="Y113" s="531">
        <v>25</v>
      </c>
    </row>
    <row r="114" spans="1:25" s="410" customFormat="1" ht="80.099999999999994" hidden="1" customHeight="1" x14ac:dyDescent="0.2">
      <c r="A114" s="423"/>
      <c r="B114" s="1513" t="str">
        <f>IFERROR(INDEX('PROBLEMA-OBJETIVO'!$G$56:$Q$88,MATCH('PROBLEMA-OBJETIVO'!X129,'PROBLEMA-OBJETIVO'!$Q$56:$Q$88,0),1),"")</f>
        <v/>
      </c>
      <c r="C114" s="1513"/>
      <c r="D114" s="1514" t="str">
        <f>IFERROR(INDEX('PROBLEMA-OBJETIVO'!$G$56:$Q$88,MATCH('PROBLEMA-OBJETIVO'!X129,'PROBLEMA-OBJETIVO'!$Q$56:$Q$88,0),3),"")</f>
        <v/>
      </c>
      <c r="E114" s="1514"/>
      <c r="F114" s="1515" t="str">
        <f t="shared" si="0"/>
        <v/>
      </c>
      <c r="G114" s="1515"/>
      <c r="H114" s="416" t="str">
        <f t="shared" si="1"/>
        <v/>
      </c>
      <c r="I114" s="417"/>
      <c r="J114" s="657" t="str">
        <f>IFERROR(IF(F114="Infraestructura",INDEX('Base de datos'!$Y$127:$Z$142,MATCH(D114,Infraestructura,0),1),""),"")</f>
        <v/>
      </c>
      <c r="K114" s="417"/>
      <c r="M114" s="531" t="str">
        <f t="shared" si="2"/>
        <v/>
      </c>
      <c r="N114" s="531" t="str">
        <f t="shared" si="3"/>
        <v/>
      </c>
      <c r="O114" s="250"/>
      <c r="P114" s="531" t="str">
        <f t="shared" si="4"/>
        <v>c</v>
      </c>
      <c r="Q114" s="425">
        <f>IFERROR(COUNTIF($P$88:P114,"b"),"")</f>
        <v>0</v>
      </c>
      <c r="R114" s="530" t="str">
        <f t="shared" si="5"/>
        <v/>
      </c>
      <c r="S114" s="530" t="str">
        <f t="shared" si="6"/>
        <v/>
      </c>
      <c r="T114" s="531">
        <v>26</v>
      </c>
      <c r="U114" s="530" t="str">
        <f t="shared" si="7"/>
        <v/>
      </c>
      <c r="V114" s="530" t="str">
        <f t="shared" si="8"/>
        <v/>
      </c>
      <c r="W114" s="531" t="str">
        <f t="shared" si="9"/>
        <v>c</v>
      </c>
      <c r="X114" s="531">
        <f>IFERROR(COUNTIF($W$87:W114,"b"),"")</f>
        <v>0</v>
      </c>
      <c r="Y114" s="531">
        <v>26</v>
      </c>
    </row>
    <row r="115" spans="1:25" s="410" customFormat="1" ht="80.099999999999994" hidden="1" customHeight="1" x14ac:dyDescent="0.2">
      <c r="A115" s="423"/>
      <c r="B115" s="1513" t="str">
        <f>IFERROR(INDEX('PROBLEMA-OBJETIVO'!$G$56:$Q$88,MATCH('PROBLEMA-OBJETIVO'!X130,'PROBLEMA-OBJETIVO'!$Q$56:$Q$88,0),1),"")</f>
        <v/>
      </c>
      <c r="C115" s="1513"/>
      <c r="D115" s="1514" t="str">
        <f>IFERROR(INDEX('PROBLEMA-OBJETIVO'!$G$56:$Q$88,MATCH('PROBLEMA-OBJETIVO'!X130,'PROBLEMA-OBJETIVO'!$Q$56:$Q$88,0),3),"")</f>
        <v/>
      </c>
      <c r="E115" s="1514"/>
      <c r="F115" s="1515" t="str">
        <f t="shared" si="0"/>
        <v/>
      </c>
      <c r="G115" s="1515"/>
      <c r="H115" s="416" t="str">
        <f t="shared" si="1"/>
        <v/>
      </c>
      <c r="I115" s="417"/>
      <c r="J115" s="657" t="str">
        <f>IFERROR(IF(F115="Infraestructura",INDEX('Base de datos'!$Y$127:$Z$142,MATCH(D115,Infraestructura,0),1),""),"")</f>
        <v/>
      </c>
      <c r="K115" s="417"/>
      <c r="M115" s="531" t="str">
        <f t="shared" si="2"/>
        <v/>
      </c>
      <c r="N115" s="531" t="str">
        <f t="shared" si="3"/>
        <v/>
      </c>
      <c r="O115" s="250"/>
      <c r="P115" s="531" t="str">
        <f t="shared" si="4"/>
        <v>c</v>
      </c>
      <c r="Q115" s="425">
        <f>IFERROR(COUNTIF($P$88:P115,"b"),"")</f>
        <v>0</v>
      </c>
      <c r="R115" s="530" t="str">
        <f t="shared" si="5"/>
        <v/>
      </c>
      <c r="S115" s="530" t="str">
        <f t="shared" si="6"/>
        <v/>
      </c>
      <c r="T115" s="531">
        <v>27</v>
      </c>
      <c r="U115" s="530" t="str">
        <f t="shared" si="7"/>
        <v/>
      </c>
      <c r="V115" s="530" t="str">
        <f t="shared" si="8"/>
        <v/>
      </c>
      <c r="W115" s="531" t="str">
        <f t="shared" si="9"/>
        <v>c</v>
      </c>
      <c r="X115" s="531">
        <f>IFERROR(COUNTIF($W$87:W115,"b"),"")</f>
        <v>0</v>
      </c>
      <c r="Y115" s="531">
        <v>27</v>
      </c>
    </row>
    <row r="116" spans="1:25" s="410" customFormat="1" ht="80.099999999999994" hidden="1" customHeight="1" x14ac:dyDescent="0.2">
      <c r="A116" s="423"/>
      <c r="B116" s="1513" t="str">
        <f>IFERROR(INDEX('PROBLEMA-OBJETIVO'!$G$56:$Q$88,MATCH('PROBLEMA-OBJETIVO'!X131,'PROBLEMA-OBJETIVO'!$Q$56:$Q$88,0),1),"")</f>
        <v/>
      </c>
      <c r="C116" s="1513"/>
      <c r="D116" s="1514" t="str">
        <f>IFERROR(INDEX('PROBLEMA-OBJETIVO'!$G$56:$Q$88,MATCH('PROBLEMA-OBJETIVO'!X131,'PROBLEMA-OBJETIVO'!$Q$56:$Q$88,0),3),"")</f>
        <v/>
      </c>
      <c r="E116" s="1514"/>
      <c r="F116" s="1515" t="str">
        <f t="shared" si="0"/>
        <v/>
      </c>
      <c r="G116" s="1515"/>
      <c r="H116" s="416" t="str">
        <f t="shared" si="1"/>
        <v/>
      </c>
      <c r="I116" s="417"/>
      <c r="J116" s="657" t="str">
        <f>IFERROR(IF(F116="Infraestructura",INDEX('Base de datos'!$Y$127:$Z$142,MATCH(D116,Infraestructura,0),1),""),"")</f>
        <v/>
      </c>
      <c r="K116" s="417"/>
      <c r="M116" s="531" t="str">
        <f t="shared" si="2"/>
        <v/>
      </c>
      <c r="N116" s="531" t="str">
        <f t="shared" si="3"/>
        <v/>
      </c>
      <c r="O116" s="250"/>
      <c r="P116" s="531" t="str">
        <f t="shared" si="4"/>
        <v>c</v>
      </c>
      <c r="Q116" s="425">
        <f>IFERROR(COUNTIF($P$88:P116,"b"),"")</f>
        <v>0</v>
      </c>
      <c r="R116" s="530" t="str">
        <f t="shared" si="5"/>
        <v/>
      </c>
      <c r="S116" s="530" t="str">
        <f t="shared" si="6"/>
        <v/>
      </c>
      <c r="T116" s="531">
        <v>28</v>
      </c>
      <c r="U116" s="530" t="str">
        <f t="shared" si="7"/>
        <v/>
      </c>
      <c r="V116" s="530" t="str">
        <f t="shared" si="8"/>
        <v/>
      </c>
      <c r="W116" s="531" t="str">
        <f t="shared" si="9"/>
        <v>c</v>
      </c>
      <c r="X116" s="531">
        <f>IFERROR(COUNTIF($W$87:W116,"b"),"")</f>
        <v>0</v>
      </c>
      <c r="Y116" s="531">
        <v>28</v>
      </c>
    </row>
    <row r="117" spans="1:25" s="410" customFormat="1" ht="80.099999999999994" hidden="1" customHeight="1" x14ac:dyDescent="0.2">
      <c r="A117" s="423"/>
      <c r="B117" s="1513" t="str">
        <f>IFERROR(INDEX('PROBLEMA-OBJETIVO'!$G$56:$Q$88,MATCH('PROBLEMA-OBJETIVO'!X132,'PROBLEMA-OBJETIVO'!$Q$56:$Q$88,0),1),"")</f>
        <v/>
      </c>
      <c r="C117" s="1513"/>
      <c r="D117" s="1514" t="str">
        <f>IFERROR(INDEX('PROBLEMA-OBJETIVO'!$G$56:$Q$88,MATCH('PROBLEMA-OBJETIVO'!X132,'PROBLEMA-OBJETIVO'!$Q$56:$Q$88,0),3),"")</f>
        <v/>
      </c>
      <c r="E117" s="1514"/>
      <c r="F117" s="1515" t="str">
        <f t="shared" si="0"/>
        <v/>
      </c>
      <c r="G117" s="1515"/>
      <c r="H117" s="416" t="str">
        <f t="shared" si="1"/>
        <v/>
      </c>
      <c r="I117" s="417"/>
      <c r="J117" s="657" t="str">
        <f>IFERROR(IF(F117="Infraestructura",INDEX('Base de datos'!$Y$127:$Z$142,MATCH(D117,Infraestructura,0),1),""),"")</f>
        <v/>
      </c>
      <c r="K117" s="417"/>
      <c r="M117" s="531" t="str">
        <f t="shared" si="2"/>
        <v/>
      </c>
      <c r="N117" s="531" t="str">
        <f t="shared" si="3"/>
        <v/>
      </c>
      <c r="O117" s="250"/>
      <c r="P117" s="531" t="str">
        <f t="shared" si="4"/>
        <v>c</v>
      </c>
      <c r="Q117" s="425">
        <f>IFERROR(COUNTIF($P$88:P117,"b"),"")</f>
        <v>0</v>
      </c>
      <c r="R117" s="530" t="str">
        <f t="shared" si="5"/>
        <v/>
      </c>
      <c r="S117" s="530" t="str">
        <f t="shared" si="6"/>
        <v/>
      </c>
      <c r="T117" s="531">
        <v>29</v>
      </c>
      <c r="U117" s="530" t="str">
        <f t="shared" si="7"/>
        <v/>
      </c>
      <c r="V117" s="530" t="str">
        <f t="shared" si="8"/>
        <v/>
      </c>
      <c r="W117" s="531" t="str">
        <f t="shared" si="9"/>
        <v>c</v>
      </c>
      <c r="X117" s="531">
        <f>IFERROR(COUNTIF($W$87:W117,"b"),"")</f>
        <v>0</v>
      </c>
      <c r="Y117" s="531">
        <v>29</v>
      </c>
    </row>
    <row r="118" spans="1:25" s="410" customFormat="1" ht="80.099999999999994" hidden="1" customHeight="1" x14ac:dyDescent="0.2">
      <c r="A118" s="423"/>
      <c r="B118" s="1513" t="str">
        <f>IFERROR(INDEX('PROBLEMA-OBJETIVO'!$G$56:$Q$88,MATCH('PROBLEMA-OBJETIVO'!X133,'PROBLEMA-OBJETIVO'!$Q$56:$Q$88,0),1),"")</f>
        <v/>
      </c>
      <c r="C118" s="1513"/>
      <c r="D118" s="1514" t="str">
        <f>IFERROR(INDEX('PROBLEMA-OBJETIVO'!$G$56:$Q$88,MATCH('PROBLEMA-OBJETIVO'!X133,'PROBLEMA-OBJETIVO'!$Q$56:$Q$88,0),3),"")</f>
        <v/>
      </c>
      <c r="E118" s="1514"/>
      <c r="F118" s="1515" t="str">
        <f t="shared" si="0"/>
        <v/>
      </c>
      <c r="G118" s="1515"/>
      <c r="H118" s="416" t="str">
        <f t="shared" si="1"/>
        <v/>
      </c>
      <c r="I118" s="417"/>
      <c r="J118" s="657" t="str">
        <f>IFERROR(IF(F118="Infraestructura",INDEX('Base de datos'!$Y$127:$Z$142,MATCH(D118,Infraestructura,0),1),""),"")</f>
        <v/>
      </c>
      <c r="K118" s="417"/>
      <c r="M118" s="531" t="str">
        <f t="shared" si="2"/>
        <v/>
      </c>
      <c r="N118" s="531" t="str">
        <f t="shared" si="3"/>
        <v/>
      </c>
      <c r="O118" s="250"/>
      <c r="P118" s="531" t="str">
        <f t="shared" si="4"/>
        <v>c</v>
      </c>
      <c r="Q118" s="425">
        <f>IFERROR(COUNTIF($P$88:P118,"b"),"")</f>
        <v>0</v>
      </c>
      <c r="R118" s="530" t="str">
        <f t="shared" si="5"/>
        <v/>
      </c>
      <c r="S118" s="530" t="str">
        <f t="shared" si="6"/>
        <v/>
      </c>
      <c r="T118" s="531">
        <v>30</v>
      </c>
      <c r="U118" s="530" t="str">
        <f t="shared" si="7"/>
        <v/>
      </c>
      <c r="V118" s="530" t="str">
        <f t="shared" si="8"/>
        <v/>
      </c>
      <c r="W118" s="531" t="str">
        <f t="shared" si="9"/>
        <v>c</v>
      </c>
      <c r="X118" s="531">
        <f>IFERROR(COUNTIF($W$87:W118,"b"),"")</f>
        <v>0</v>
      </c>
      <c r="Y118" s="531">
        <v>30</v>
      </c>
    </row>
    <row r="119" spans="1:25" s="217" customFormat="1" ht="18" customHeight="1" x14ac:dyDescent="0.25">
      <c r="A119" s="770"/>
      <c r="B119" s="259" t="s">
        <v>110</v>
      </c>
      <c r="C119" s="198"/>
      <c r="D119" s="198"/>
      <c r="E119" s="198"/>
      <c r="F119" s="89"/>
      <c r="G119" s="89"/>
      <c r="H119" s="89"/>
      <c r="I119" s="135"/>
      <c r="J119" s="135"/>
      <c r="K119" s="156"/>
      <c r="L119" s="773"/>
      <c r="M119" s="534"/>
      <c r="N119" s="535"/>
      <c r="O119" s="535"/>
      <c r="P119" s="535"/>
      <c r="Q119" s="536"/>
      <c r="R119" s="250"/>
      <c r="S119" s="250"/>
      <c r="T119" s="250"/>
      <c r="U119" s="250"/>
      <c r="V119" s="250"/>
      <c r="W119" s="250"/>
      <c r="X119" s="250"/>
      <c r="Y119" s="250"/>
    </row>
    <row r="120" spans="1:25" s="217" customFormat="1" ht="18" customHeight="1" x14ac:dyDescent="0.25">
      <c r="A120" s="770"/>
      <c r="B120" s="259" t="s">
        <v>111</v>
      </c>
      <c r="C120" s="198"/>
      <c r="D120" s="198"/>
      <c r="E120" s="198"/>
      <c r="F120" s="89"/>
      <c r="G120" s="89"/>
      <c r="H120" s="89"/>
      <c r="I120" s="135"/>
      <c r="J120" s="135"/>
      <c r="K120" s="156"/>
      <c r="L120" s="773"/>
      <c r="M120" s="534"/>
      <c r="N120" s="535"/>
      <c r="O120" s="535"/>
      <c r="P120" s="535"/>
      <c r="Q120" s="536"/>
      <c r="R120" s="250"/>
      <c r="S120" s="250"/>
      <c r="T120" s="250"/>
      <c r="U120" s="250"/>
      <c r="V120" s="250"/>
      <c r="W120" s="250"/>
      <c r="X120" s="250"/>
      <c r="Y120" s="250"/>
    </row>
    <row r="121" spans="1:25" s="217" customFormat="1" ht="18" hidden="1" customHeight="1" x14ac:dyDescent="0.25">
      <c r="A121" s="770"/>
      <c r="B121" s="258" t="s">
        <v>4772</v>
      </c>
      <c r="C121" s="198"/>
      <c r="D121" s="198"/>
      <c r="E121" s="198"/>
      <c r="F121" s="89"/>
      <c r="G121" s="89"/>
      <c r="H121" s="89"/>
      <c r="I121" s="135"/>
      <c r="J121" s="135"/>
      <c r="K121" s="156"/>
      <c r="L121" s="773"/>
      <c r="M121" s="534"/>
      <c r="N121" s="535"/>
      <c r="O121" s="535"/>
      <c r="P121" s="535"/>
      <c r="Q121" s="536"/>
      <c r="R121" s="250"/>
      <c r="S121" s="250"/>
      <c r="T121" s="250"/>
      <c r="U121" s="250"/>
      <c r="V121" s="250"/>
      <c r="W121" s="250"/>
      <c r="X121" s="250"/>
      <c r="Y121" s="250"/>
    </row>
    <row r="122" spans="1:25" s="217" customFormat="1" ht="18" hidden="1" customHeight="1" x14ac:dyDescent="0.2">
      <c r="A122" s="770"/>
      <c r="B122" s="1516" t="s">
        <v>374</v>
      </c>
      <c r="C122" s="1516"/>
      <c r="D122" s="1516"/>
      <c r="E122" s="1516"/>
      <c r="F122" s="1197" t="s">
        <v>4871</v>
      </c>
      <c r="G122" s="1197"/>
      <c r="H122" s="1196" t="s">
        <v>107</v>
      </c>
      <c r="I122" s="1196"/>
      <c r="J122" s="1197" t="s">
        <v>226</v>
      </c>
      <c r="K122" s="1197"/>
      <c r="L122" s="773"/>
      <c r="M122" s="534"/>
      <c r="N122" s="535"/>
      <c r="O122" s="535"/>
      <c r="P122" s="535"/>
      <c r="Q122" s="536"/>
      <c r="R122" s="250"/>
      <c r="S122" s="250"/>
      <c r="T122" s="250"/>
      <c r="U122" s="250"/>
      <c r="V122" s="250"/>
      <c r="W122" s="250"/>
      <c r="X122" s="250"/>
      <c r="Y122" s="250"/>
    </row>
    <row r="123" spans="1:25" hidden="1" x14ac:dyDescent="0.25">
      <c r="B123" s="1197" t="s">
        <v>4872</v>
      </c>
      <c r="C123" s="1197"/>
      <c r="D123" s="1197" t="s">
        <v>4792</v>
      </c>
      <c r="E123" s="1197"/>
      <c r="F123" s="1197"/>
      <c r="G123" s="1197"/>
      <c r="H123" s="1196"/>
      <c r="I123" s="1196"/>
      <c r="J123" s="1197"/>
      <c r="K123" s="1197"/>
      <c r="M123" s="537"/>
      <c r="N123" s="537"/>
      <c r="O123" s="537"/>
      <c r="P123" s="537"/>
      <c r="Q123" s="537"/>
      <c r="R123" s="537"/>
      <c r="S123" s="537"/>
      <c r="T123" s="537"/>
      <c r="U123" s="537"/>
      <c r="V123" s="537"/>
      <c r="W123" s="537"/>
      <c r="X123" s="537"/>
      <c r="Y123" s="537"/>
    </row>
    <row r="124" spans="1:25" ht="25.5" hidden="1" x14ac:dyDescent="0.25">
      <c r="A124" s="770"/>
      <c r="B124" s="1197"/>
      <c r="C124" s="1197"/>
      <c r="D124" s="1197"/>
      <c r="E124" s="1197"/>
      <c r="F124" s="1197"/>
      <c r="G124" s="1197"/>
      <c r="H124" s="772" t="s">
        <v>108</v>
      </c>
      <c r="I124" s="771" t="s">
        <v>109</v>
      </c>
      <c r="J124" s="772" t="s">
        <v>108</v>
      </c>
      <c r="K124" s="771" t="s">
        <v>109</v>
      </c>
      <c r="M124" s="537"/>
      <c r="N124" s="537"/>
      <c r="O124" s="537"/>
      <c r="P124" s="537"/>
      <c r="Q124" s="537"/>
      <c r="R124" s="537"/>
      <c r="S124" s="537"/>
      <c r="T124" s="537"/>
      <c r="U124" s="537"/>
      <c r="V124" s="537"/>
      <c r="W124" s="537"/>
      <c r="X124" s="537"/>
      <c r="Y124" s="537"/>
    </row>
    <row r="125" spans="1:25" ht="8.25" hidden="1" customHeight="1" x14ac:dyDescent="0.25">
      <c r="A125" s="770"/>
      <c r="B125" s="156"/>
      <c r="C125" s="770"/>
      <c r="D125" s="156"/>
      <c r="E125" s="770"/>
      <c r="F125" s="156"/>
      <c r="G125" s="770"/>
      <c r="H125" s="156"/>
      <c r="I125" s="156"/>
      <c r="J125" s="156"/>
      <c r="K125" s="156"/>
      <c r="M125" s="250"/>
      <c r="N125" s="250"/>
      <c r="O125" s="250"/>
      <c r="P125" s="250"/>
      <c r="Q125" s="250"/>
      <c r="R125" s="250"/>
      <c r="S125" s="250"/>
      <c r="T125" s="250"/>
      <c r="U125" s="250"/>
      <c r="V125" s="250"/>
      <c r="W125" s="250"/>
      <c r="X125" s="250"/>
      <c r="Y125" s="250"/>
    </row>
    <row r="126" spans="1:25" ht="80.099999999999994" hidden="1" customHeight="1" x14ac:dyDescent="0.25">
      <c r="B126" s="1513" t="str">
        <f>IFERROR(INDEX('PROBLEMA-OBJETIVO'!$G$56:$Q$88,MATCH('PROBLEMA-OBJETIVO'!AG104,'PROBLEMA-OBJETIVO'!$Q$56:$Q$88,0),1),"")</f>
        <v/>
      </c>
      <c r="C126" s="1513"/>
      <c r="D126" s="1514" t="str">
        <f>IFERROR(INDEX('PROBLEMA-OBJETIVO'!$G$56:$Q$88,MATCH('PROBLEMA-OBJETIVO'!AG104,'PROBLEMA-OBJETIVO'!$Q$56:$Q$88,0),3),"")</f>
        <v/>
      </c>
      <c r="E126" s="1514"/>
      <c r="F126" s="1515" t="str">
        <f t="shared" ref="F126:F155" si="10">IFERROR(IF(D126="","",IF(COUNTIF(Infraestructura,D126)&gt;0,"Infraestructura","Intangibles")),"")</f>
        <v/>
      </c>
      <c r="G126" s="1515"/>
      <c r="H126" s="774" t="str">
        <f>IFERROR(IF(F126="","",IF(F126="Intangibles","Unidad","Unidad")),"")</f>
        <v/>
      </c>
      <c r="I126" s="775"/>
      <c r="J126" s="775" t="str">
        <f>IFERROR(IF(F126="Infraestructura",INDEX('Base de datos'!$Y$63:$Z$68,MATCH(D126,Infraestructura,0),1),""),"")</f>
        <v/>
      </c>
      <c r="K126" s="775"/>
      <c r="M126" s="531" t="str">
        <f>IFERROR(IF(Q126=Q125,"",Q126),"")</f>
        <v/>
      </c>
      <c r="N126" s="531" t="str">
        <f>IFERROR(IF(X126=X125,"",X126),"")</f>
        <v/>
      </c>
      <c r="O126" s="250"/>
      <c r="P126" s="531" t="str">
        <f>IFERROR(IF(OR(B126="Implementación",B126=""),"c","b"),"")</f>
        <v>c</v>
      </c>
      <c r="Q126" s="425">
        <f>IFERROR(COUNTIF($P$125:P126,"b"),"")</f>
        <v>0</v>
      </c>
      <c r="R126" s="530" t="str">
        <f>IFERROR(IF(B126="","",B126),"")</f>
        <v/>
      </c>
      <c r="S126" s="530" t="str">
        <f>IFERROR(IF(D126="","",D126),"")</f>
        <v/>
      </c>
      <c r="T126" s="531">
        <v>1</v>
      </c>
      <c r="U126" s="530" t="str">
        <f>IFERROR(VLOOKUP(T126,$Q$126:$S$155,2,FALSE),"")</f>
        <v/>
      </c>
      <c r="V126" s="530" t="str">
        <f>IFERROR(VLOOKUP(T126,$Q$126:$S$155,3,FALSE),"")</f>
        <v/>
      </c>
      <c r="W126" s="531" t="str">
        <f>IFERROR(IF(OR(B126&lt;&gt;"Implementación",B126=""),"c","b"),"")</f>
        <v>c</v>
      </c>
      <c r="X126" s="531">
        <f>IFERROR(COUNTIF($W$125:W126,"b"),"")</f>
        <v>0</v>
      </c>
      <c r="Y126" s="531">
        <v>1</v>
      </c>
    </row>
    <row r="127" spans="1:25" ht="80.099999999999994" hidden="1" customHeight="1" x14ac:dyDescent="0.25">
      <c r="A127" s="770"/>
      <c r="B127" s="1513" t="str">
        <f>IFERROR(INDEX('PROBLEMA-OBJETIVO'!$G$56:$Q$88,MATCH('PROBLEMA-OBJETIVO'!AG105,'PROBLEMA-OBJETIVO'!$Q$56:$Q$88,0),1),"")</f>
        <v/>
      </c>
      <c r="C127" s="1513"/>
      <c r="D127" s="1514" t="str">
        <f>IFERROR(INDEX('PROBLEMA-OBJETIVO'!$G$56:$Q$88,MATCH('PROBLEMA-OBJETIVO'!AG105,'PROBLEMA-OBJETIVO'!$Q$56:$Q$88,0),3),"")</f>
        <v/>
      </c>
      <c r="E127" s="1514"/>
      <c r="F127" s="1515" t="str">
        <f t="shared" si="10"/>
        <v/>
      </c>
      <c r="G127" s="1515"/>
      <c r="H127" s="774" t="str">
        <f t="shared" ref="H127:H155" si="11">IFERROR(IF(F127="","",IF(F127="Intangibles","Unidad","Unidad")),"")</f>
        <v/>
      </c>
      <c r="I127" s="775"/>
      <c r="J127" s="775" t="str">
        <f>IFERROR(IF(F127="Infraestructura",INDEX('Base de datos'!$Y$63:$Z$68,MATCH(D127,Infraestructura,0),1),""),"")</f>
        <v/>
      </c>
      <c r="K127" s="775"/>
      <c r="M127" s="531" t="str">
        <f t="shared" ref="M127:M155" si="12">IFERROR(IF(Q127=Q126,"",Q127),"")</f>
        <v/>
      </c>
      <c r="N127" s="531" t="str">
        <f t="shared" ref="N127:N155" si="13">IFERROR(IF(X127=X126,"",X127),"")</f>
        <v/>
      </c>
      <c r="O127" s="250"/>
      <c r="P127" s="531" t="str">
        <f t="shared" ref="P127:P155" si="14">IFERROR(IF(OR(B127="Implementación",B127=""),"c","b"),"")</f>
        <v>c</v>
      </c>
      <c r="Q127" s="425">
        <f>IFERROR(COUNTIF($P$125:P127,"b"),"")</f>
        <v>0</v>
      </c>
      <c r="R127" s="530" t="str">
        <f t="shared" ref="R127:R155" si="15">IFERROR(IF(B127="","",B127),"")</f>
        <v/>
      </c>
      <c r="S127" s="530" t="str">
        <f t="shared" ref="S127:S155" si="16">IFERROR(IF(D127="","",D127),"")</f>
        <v/>
      </c>
      <c r="T127" s="531">
        <v>2</v>
      </c>
      <c r="U127" s="530" t="str">
        <f t="shared" ref="U127:U155" si="17">IFERROR(VLOOKUP(T127,$Q$126:$S$155,2,FALSE),"")</f>
        <v/>
      </c>
      <c r="V127" s="530" t="str">
        <f t="shared" ref="V127:V155" si="18">IFERROR(VLOOKUP(T127,$Q$126:$S$155,3,FALSE),"")</f>
        <v/>
      </c>
      <c r="W127" s="531" t="str">
        <f t="shared" ref="W127:W155" si="19">IFERROR(IF(OR(B127&lt;&gt;"Implementación",B127=""),"c","b"),"")</f>
        <v>c</v>
      </c>
      <c r="X127" s="531">
        <f>IFERROR(COUNTIF($W$125:W127,"b"),"")</f>
        <v>0</v>
      </c>
      <c r="Y127" s="531">
        <v>2</v>
      </c>
    </row>
    <row r="128" spans="1:25" ht="80.099999999999994" hidden="1" customHeight="1" x14ac:dyDescent="0.25">
      <c r="A128" s="770"/>
      <c r="B128" s="1513" t="str">
        <f>IFERROR(INDEX('PROBLEMA-OBJETIVO'!$G$56:$Q$88,MATCH('PROBLEMA-OBJETIVO'!AG106,'PROBLEMA-OBJETIVO'!$Q$56:$Q$88,0),1),"")</f>
        <v/>
      </c>
      <c r="C128" s="1513"/>
      <c r="D128" s="1514" t="str">
        <f>IFERROR(INDEX('PROBLEMA-OBJETIVO'!$G$56:$Q$88,MATCH('PROBLEMA-OBJETIVO'!AG106,'PROBLEMA-OBJETIVO'!$Q$56:$Q$88,0),3),"")</f>
        <v/>
      </c>
      <c r="E128" s="1514"/>
      <c r="F128" s="1515" t="str">
        <f t="shared" si="10"/>
        <v/>
      </c>
      <c r="G128" s="1515"/>
      <c r="H128" s="774" t="str">
        <f t="shared" si="11"/>
        <v/>
      </c>
      <c r="I128" s="775"/>
      <c r="J128" s="775" t="str">
        <f>IFERROR(IF(F128="Infraestructura",INDEX('Base de datos'!$Y$63:$Z$68,MATCH(D128,Infraestructura,0),1),""),"")</f>
        <v/>
      </c>
      <c r="K128" s="775"/>
      <c r="M128" s="531" t="str">
        <f t="shared" si="12"/>
        <v/>
      </c>
      <c r="N128" s="531" t="str">
        <f t="shared" si="13"/>
        <v/>
      </c>
      <c r="O128" s="250"/>
      <c r="P128" s="531" t="str">
        <f t="shared" si="14"/>
        <v>c</v>
      </c>
      <c r="Q128" s="425">
        <f>IFERROR(COUNTIF($P$125:P128,"b"),"")</f>
        <v>0</v>
      </c>
      <c r="R128" s="530" t="str">
        <f t="shared" si="15"/>
        <v/>
      </c>
      <c r="S128" s="530" t="str">
        <f t="shared" si="16"/>
        <v/>
      </c>
      <c r="T128" s="531">
        <v>3</v>
      </c>
      <c r="U128" s="530" t="str">
        <f t="shared" si="17"/>
        <v/>
      </c>
      <c r="V128" s="530" t="str">
        <f t="shared" si="18"/>
        <v/>
      </c>
      <c r="W128" s="531" t="str">
        <f t="shared" si="19"/>
        <v>c</v>
      </c>
      <c r="X128" s="531">
        <f>IFERROR(COUNTIF($W$125:W128,"b"),"")</f>
        <v>0</v>
      </c>
      <c r="Y128" s="531">
        <v>3</v>
      </c>
    </row>
    <row r="129" spans="1:25" ht="80.099999999999994" hidden="1" customHeight="1" x14ac:dyDescent="0.25">
      <c r="B129" s="1513" t="str">
        <f>IFERROR(INDEX('PROBLEMA-OBJETIVO'!$G$56:$Q$88,MATCH('PROBLEMA-OBJETIVO'!AG107,'PROBLEMA-OBJETIVO'!$Q$56:$Q$88,0),1),"")</f>
        <v/>
      </c>
      <c r="C129" s="1513"/>
      <c r="D129" s="1514" t="str">
        <f>IFERROR(INDEX('PROBLEMA-OBJETIVO'!$G$56:$Q$88,MATCH('PROBLEMA-OBJETIVO'!AG107,'PROBLEMA-OBJETIVO'!$Q$56:$Q$88,0),3),"")</f>
        <v/>
      </c>
      <c r="E129" s="1514"/>
      <c r="F129" s="1515" t="str">
        <f t="shared" si="10"/>
        <v/>
      </c>
      <c r="G129" s="1515"/>
      <c r="H129" s="774" t="str">
        <f t="shared" si="11"/>
        <v/>
      </c>
      <c r="I129" s="775"/>
      <c r="J129" s="775" t="str">
        <f>IFERROR(IF(F129="Infraestructura",INDEX('Base de datos'!$Y$63:$Z$68,MATCH(D129,Infraestructura,0),1),""),"")</f>
        <v/>
      </c>
      <c r="K129" s="775"/>
      <c r="M129" s="531" t="str">
        <f t="shared" si="12"/>
        <v/>
      </c>
      <c r="N129" s="531" t="str">
        <f t="shared" si="13"/>
        <v/>
      </c>
      <c r="O129" s="250"/>
      <c r="P129" s="531" t="str">
        <f t="shared" si="14"/>
        <v>c</v>
      </c>
      <c r="Q129" s="425">
        <f>IFERROR(COUNTIF($P$125:P129,"b"),"")</f>
        <v>0</v>
      </c>
      <c r="R129" s="530" t="str">
        <f t="shared" si="15"/>
        <v/>
      </c>
      <c r="S129" s="530" t="str">
        <f t="shared" si="16"/>
        <v/>
      </c>
      <c r="T129" s="531">
        <v>4</v>
      </c>
      <c r="U129" s="530" t="str">
        <f t="shared" si="17"/>
        <v/>
      </c>
      <c r="V129" s="530" t="str">
        <f t="shared" si="18"/>
        <v/>
      </c>
      <c r="W129" s="531" t="str">
        <f t="shared" si="19"/>
        <v>c</v>
      </c>
      <c r="X129" s="531">
        <f>IFERROR(COUNTIF($W$125:W129,"b"),"")</f>
        <v>0</v>
      </c>
      <c r="Y129" s="531">
        <v>4</v>
      </c>
    </row>
    <row r="130" spans="1:25" ht="80.099999999999994" hidden="1" customHeight="1" x14ac:dyDescent="0.25">
      <c r="A130" s="770"/>
      <c r="B130" s="1513" t="str">
        <f>IFERROR(INDEX('PROBLEMA-OBJETIVO'!$G$56:$Q$88,MATCH('PROBLEMA-OBJETIVO'!AG108,'PROBLEMA-OBJETIVO'!$Q$56:$Q$88,0),1),"")</f>
        <v/>
      </c>
      <c r="C130" s="1513"/>
      <c r="D130" s="1514" t="str">
        <f>IFERROR(INDEX('PROBLEMA-OBJETIVO'!$G$56:$Q$88,MATCH('PROBLEMA-OBJETIVO'!AG108,'PROBLEMA-OBJETIVO'!$Q$56:$Q$88,0),3),"")</f>
        <v/>
      </c>
      <c r="E130" s="1514"/>
      <c r="F130" s="1515" t="str">
        <f t="shared" si="10"/>
        <v/>
      </c>
      <c r="G130" s="1515"/>
      <c r="H130" s="774" t="str">
        <f t="shared" si="11"/>
        <v/>
      </c>
      <c r="I130" s="775"/>
      <c r="J130" s="775" t="str">
        <f>IFERROR(IF(F130="Infraestructura",INDEX('Base de datos'!$Y$63:$Z$68,MATCH(D130,Infraestructura,0),1),""),"")</f>
        <v/>
      </c>
      <c r="K130" s="775"/>
      <c r="M130" s="531" t="str">
        <f t="shared" si="12"/>
        <v/>
      </c>
      <c r="N130" s="531" t="str">
        <f t="shared" si="13"/>
        <v/>
      </c>
      <c r="O130" s="250"/>
      <c r="P130" s="531" t="str">
        <f t="shared" si="14"/>
        <v>c</v>
      </c>
      <c r="Q130" s="425">
        <f>IFERROR(COUNTIF($P$125:P130,"b"),"")</f>
        <v>0</v>
      </c>
      <c r="R130" s="530" t="str">
        <f t="shared" si="15"/>
        <v/>
      </c>
      <c r="S130" s="530" t="str">
        <f t="shared" si="16"/>
        <v/>
      </c>
      <c r="T130" s="531">
        <v>5</v>
      </c>
      <c r="U130" s="530" t="str">
        <f t="shared" si="17"/>
        <v/>
      </c>
      <c r="V130" s="530" t="str">
        <f t="shared" si="18"/>
        <v/>
      </c>
      <c r="W130" s="531" t="str">
        <f t="shared" si="19"/>
        <v>c</v>
      </c>
      <c r="X130" s="531">
        <f>IFERROR(COUNTIF($W$125:W130,"b"),"")</f>
        <v>0</v>
      </c>
      <c r="Y130" s="531">
        <v>5</v>
      </c>
    </row>
    <row r="131" spans="1:25" ht="80.099999999999994" hidden="1" customHeight="1" x14ac:dyDescent="0.25">
      <c r="A131" s="770"/>
      <c r="B131" s="1513" t="str">
        <f>IFERROR(INDEX('PROBLEMA-OBJETIVO'!$G$56:$Q$88,MATCH('PROBLEMA-OBJETIVO'!AG109,'PROBLEMA-OBJETIVO'!$Q$56:$Q$88,0),1),"")</f>
        <v/>
      </c>
      <c r="C131" s="1513"/>
      <c r="D131" s="1514" t="str">
        <f>IFERROR(INDEX('PROBLEMA-OBJETIVO'!$G$56:$Q$88,MATCH('PROBLEMA-OBJETIVO'!AG109,'PROBLEMA-OBJETIVO'!$Q$56:$Q$88,0),3),"")</f>
        <v/>
      </c>
      <c r="E131" s="1514"/>
      <c r="F131" s="1515" t="str">
        <f t="shared" si="10"/>
        <v/>
      </c>
      <c r="G131" s="1515"/>
      <c r="H131" s="774" t="str">
        <f t="shared" si="11"/>
        <v/>
      </c>
      <c r="I131" s="775"/>
      <c r="J131" s="775" t="str">
        <f>IFERROR(IF(F131="Infraestructura",INDEX('Base de datos'!$Y$63:$Z$68,MATCH(D131,Infraestructura,0),1),""),"")</f>
        <v/>
      </c>
      <c r="K131" s="775"/>
      <c r="M131" s="531" t="str">
        <f t="shared" si="12"/>
        <v/>
      </c>
      <c r="N131" s="531" t="str">
        <f t="shared" si="13"/>
        <v/>
      </c>
      <c r="O131" s="250"/>
      <c r="P131" s="531" t="str">
        <f t="shared" si="14"/>
        <v>c</v>
      </c>
      <c r="Q131" s="425">
        <f>IFERROR(COUNTIF($P$125:P131,"b"),"")</f>
        <v>0</v>
      </c>
      <c r="R131" s="530" t="str">
        <f t="shared" si="15"/>
        <v/>
      </c>
      <c r="S131" s="530" t="str">
        <f t="shared" si="16"/>
        <v/>
      </c>
      <c r="T131" s="531">
        <v>6</v>
      </c>
      <c r="U131" s="530" t="str">
        <f t="shared" si="17"/>
        <v/>
      </c>
      <c r="V131" s="530" t="str">
        <f t="shared" si="18"/>
        <v/>
      </c>
      <c r="W131" s="531" t="str">
        <f t="shared" si="19"/>
        <v>c</v>
      </c>
      <c r="X131" s="531">
        <f>IFERROR(COUNTIF($W$125:W131,"b"),"")</f>
        <v>0</v>
      </c>
      <c r="Y131" s="531">
        <v>6</v>
      </c>
    </row>
    <row r="132" spans="1:25" ht="80.099999999999994" hidden="1" customHeight="1" x14ac:dyDescent="0.25">
      <c r="B132" s="1513" t="str">
        <f>IFERROR(INDEX('PROBLEMA-OBJETIVO'!$G$56:$Q$88,MATCH('PROBLEMA-OBJETIVO'!AG110,'PROBLEMA-OBJETIVO'!$Q$56:$Q$88,0),1),"")</f>
        <v/>
      </c>
      <c r="C132" s="1513"/>
      <c r="D132" s="1514" t="str">
        <f>IFERROR(INDEX('PROBLEMA-OBJETIVO'!$G$56:$Q$88,MATCH('PROBLEMA-OBJETIVO'!AG110,'PROBLEMA-OBJETIVO'!$Q$56:$Q$88,0),3),"")</f>
        <v/>
      </c>
      <c r="E132" s="1514"/>
      <c r="F132" s="1515" t="str">
        <f t="shared" si="10"/>
        <v/>
      </c>
      <c r="G132" s="1515"/>
      <c r="H132" s="774" t="str">
        <f t="shared" si="11"/>
        <v/>
      </c>
      <c r="I132" s="775"/>
      <c r="J132" s="775" t="str">
        <f>IFERROR(IF(F132="Infraestructura",INDEX('Base de datos'!$Y$63:$Z$68,MATCH(D132,Infraestructura,0),1),""),"")</f>
        <v/>
      </c>
      <c r="K132" s="775"/>
      <c r="M132" s="531" t="str">
        <f t="shared" si="12"/>
        <v/>
      </c>
      <c r="N132" s="531" t="str">
        <f t="shared" si="13"/>
        <v/>
      </c>
      <c r="O132" s="250"/>
      <c r="P132" s="531" t="str">
        <f t="shared" si="14"/>
        <v>c</v>
      </c>
      <c r="Q132" s="425">
        <f>IFERROR(COUNTIF($P$125:P132,"b"),"")</f>
        <v>0</v>
      </c>
      <c r="R132" s="530" t="str">
        <f t="shared" si="15"/>
        <v/>
      </c>
      <c r="S132" s="530" t="str">
        <f t="shared" si="16"/>
        <v/>
      </c>
      <c r="T132" s="531">
        <v>7</v>
      </c>
      <c r="U132" s="530" t="str">
        <f t="shared" si="17"/>
        <v/>
      </c>
      <c r="V132" s="530" t="str">
        <f t="shared" si="18"/>
        <v/>
      </c>
      <c r="W132" s="531" t="str">
        <f t="shared" si="19"/>
        <v>c</v>
      </c>
      <c r="X132" s="531">
        <f>IFERROR(COUNTIF($W$125:W132,"b"),"")</f>
        <v>0</v>
      </c>
      <c r="Y132" s="531">
        <v>7</v>
      </c>
    </row>
    <row r="133" spans="1:25" ht="80.099999999999994" hidden="1" customHeight="1" x14ac:dyDescent="0.25">
      <c r="A133" s="770"/>
      <c r="B133" s="1513" t="str">
        <f>IFERROR(INDEX('PROBLEMA-OBJETIVO'!$G$56:$Q$88,MATCH('PROBLEMA-OBJETIVO'!AG111,'PROBLEMA-OBJETIVO'!$Q$56:$Q$88,0),1),"")</f>
        <v/>
      </c>
      <c r="C133" s="1513"/>
      <c r="D133" s="1514" t="str">
        <f>IFERROR(INDEX('PROBLEMA-OBJETIVO'!$G$56:$Q$88,MATCH('PROBLEMA-OBJETIVO'!AG111,'PROBLEMA-OBJETIVO'!$Q$56:$Q$88,0),3),"")</f>
        <v/>
      </c>
      <c r="E133" s="1514"/>
      <c r="F133" s="1515" t="str">
        <f t="shared" si="10"/>
        <v/>
      </c>
      <c r="G133" s="1515"/>
      <c r="H133" s="774" t="str">
        <f t="shared" si="11"/>
        <v/>
      </c>
      <c r="I133" s="775"/>
      <c r="J133" s="775" t="str">
        <f>IFERROR(IF(F133="Infraestructura",INDEX('Base de datos'!$Y$63:$Z$68,MATCH(D133,Infraestructura,0),1),""),"")</f>
        <v/>
      </c>
      <c r="K133" s="775"/>
      <c r="M133" s="531" t="str">
        <f t="shared" si="12"/>
        <v/>
      </c>
      <c r="N133" s="531" t="str">
        <f t="shared" si="13"/>
        <v/>
      </c>
      <c r="O133" s="250"/>
      <c r="P133" s="531" t="str">
        <f t="shared" si="14"/>
        <v>c</v>
      </c>
      <c r="Q133" s="425">
        <f>IFERROR(COUNTIF($P$125:P133,"b"),"")</f>
        <v>0</v>
      </c>
      <c r="R133" s="530" t="str">
        <f t="shared" si="15"/>
        <v/>
      </c>
      <c r="S133" s="530" t="str">
        <f t="shared" si="16"/>
        <v/>
      </c>
      <c r="T133" s="531">
        <v>8</v>
      </c>
      <c r="U133" s="530" t="str">
        <f t="shared" si="17"/>
        <v/>
      </c>
      <c r="V133" s="530" t="str">
        <f t="shared" si="18"/>
        <v/>
      </c>
      <c r="W133" s="531" t="str">
        <f t="shared" si="19"/>
        <v>c</v>
      </c>
      <c r="X133" s="531">
        <f>IFERROR(COUNTIF($W$125:W133,"b"),"")</f>
        <v>0</v>
      </c>
      <c r="Y133" s="531">
        <v>8</v>
      </c>
    </row>
    <row r="134" spans="1:25" ht="80.099999999999994" hidden="1" customHeight="1" x14ac:dyDescent="0.25">
      <c r="A134" s="770"/>
      <c r="B134" s="1513" t="str">
        <f>IFERROR(INDEX('PROBLEMA-OBJETIVO'!$G$56:$Q$88,MATCH('PROBLEMA-OBJETIVO'!AG112,'PROBLEMA-OBJETIVO'!$Q$56:$Q$88,0),1),"")</f>
        <v/>
      </c>
      <c r="C134" s="1513"/>
      <c r="D134" s="1514" t="str">
        <f>IFERROR(INDEX('PROBLEMA-OBJETIVO'!$G$56:$Q$88,MATCH('PROBLEMA-OBJETIVO'!AG112,'PROBLEMA-OBJETIVO'!$Q$56:$Q$88,0),3),"")</f>
        <v/>
      </c>
      <c r="E134" s="1514"/>
      <c r="F134" s="1515" t="str">
        <f t="shared" si="10"/>
        <v/>
      </c>
      <c r="G134" s="1515"/>
      <c r="H134" s="774" t="str">
        <f t="shared" si="11"/>
        <v/>
      </c>
      <c r="I134" s="775"/>
      <c r="J134" s="775" t="str">
        <f>IFERROR(IF(F134="Infraestructura",INDEX('Base de datos'!$Y$63:$Z$68,MATCH(D134,Infraestructura,0),1),""),"")</f>
        <v/>
      </c>
      <c r="K134" s="775"/>
      <c r="M134" s="531" t="str">
        <f t="shared" si="12"/>
        <v/>
      </c>
      <c r="N134" s="531" t="str">
        <f t="shared" si="13"/>
        <v/>
      </c>
      <c r="O134" s="250"/>
      <c r="P134" s="531" t="str">
        <f t="shared" si="14"/>
        <v>c</v>
      </c>
      <c r="Q134" s="425">
        <f>IFERROR(COUNTIF($P$125:P134,"b"),"")</f>
        <v>0</v>
      </c>
      <c r="R134" s="530" t="str">
        <f t="shared" si="15"/>
        <v/>
      </c>
      <c r="S134" s="530" t="str">
        <f t="shared" si="16"/>
        <v/>
      </c>
      <c r="T134" s="531">
        <v>9</v>
      </c>
      <c r="U134" s="530" t="str">
        <f t="shared" si="17"/>
        <v/>
      </c>
      <c r="V134" s="530" t="str">
        <f t="shared" si="18"/>
        <v/>
      </c>
      <c r="W134" s="531" t="str">
        <f t="shared" si="19"/>
        <v>c</v>
      </c>
      <c r="X134" s="531">
        <f>IFERROR(COUNTIF($W$125:W134,"b"),"")</f>
        <v>0</v>
      </c>
      <c r="Y134" s="531">
        <v>9</v>
      </c>
    </row>
    <row r="135" spans="1:25" ht="80.099999999999994" hidden="1" customHeight="1" x14ac:dyDescent="0.25">
      <c r="B135" s="1513" t="str">
        <f>IFERROR(INDEX('PROBLEMA-OBJETIVO'!$G$56:$Q$88,MATCH('PROBLEMA-OBJETIVO'!AG113,'PROBLEMA-OBJETIVO'!$Q$56:$Q$88,0),1),"")</f>
        <v/>
      </c>
      <c r="C135" s="1513"/>
      <c r="D135" s="1514" t="str">
        <f>IFERROR(INDEX('PROBLEMA-OBJETIVO'!$G$56:$Q$88,MATCH('PROBLEMA-OBJETIVO'!AG113,'PROBLEMA-OBJETIVO'!$Q$56:$Q$88,0),3),"")</f>
        <v/>
      </c>
      <c r="E135" s="1514"/>
      <c r="F135" s="1515" t="str">
        <f t="shared" si="10"/>
        <v/>
      </c>
      <c r="G135" s="1515"/>
      <c r="H135" s="774" t="str">
        <f t="shared" si="11"/>
        <v/>
      </c>
      <c r="I135" s="775"/>
      <c r="J135" s="775" t="str">
        <f>IFERROR(IF(F135="Infraestructura",INDEX('Base de datos'!$Y$63:$Z$68,MATCH(D135,Infraestructura,0),1),""),"")</f>
        <v/>
      </c>
      <c r="K135" s="775"/>
      <c r="M135" s="531" t="str">
        <f t="shared" si="12"/>
        <v/>
      </c>
      <c r="N135" s="531" t="str">
        <f t="shared" si="13"/>
        <v/>
      </c>
      <c r="O135" s="250"/>
      <c r="P135" s="531" t="str">
        <f t="shared" si="14"/>
        <v>c</v>
      </c>
      <c r="Q135" s="425">
        <f>IFERROR(COUNTIF($P$125:P135,"b"),"")</f>
        <v>0</v>
      </c>
      <c r="R135" s="530" t="str">
        <f t="shared" si="15"/>
        <v/>
      </c>
      <c r="S135" s="530" t="str">
        <f t="shared" si="16"/>
        <v/>
      </c>
      <c r="T135" s="531">
        <v>10</v>
      </c>
      <c r="U135" s="530" t="str">
        <f t="shared" si="17"/>
        <v/>
      </c>
      <c r="V135" s="530" t="str">
        <f t="shared" si="18"/>
        <v/>
      </c>
      <c r="W135" s="531" t="str">
        <f t="shared" si="19"/>
        <v>c</v>
      </c>
      <c r="X135" s="531">
        <f>IFERROR(COUNTIF($W$125:W135,"b"),"")</f>
        <v>0</v>
      </c>
      <c r="Y135" s="531">
        <v>10</v>
      </c>
    </row>
    <row r="136" spans="1:25" ht="80.099999999999994" hidden="1" customHeight="1" x14ac:dyDescent="0.25">
      <c r="A136" s="770"/>
      <c r="B136" s="1513" t="str">
        <f>IFERROR(INDEX('PROBLEMA-OBJETIVO'!$G$56:$Q$88,MATCH('PROBLEMA-OBJETIVO'!AG114,'PROBLEMA-OBJETIVO'!$Q$56:$Q$88,0),1),"")</f>
        <v/>
      </c>
      <c r="C136" s="1513"/>
      <c r="D136" s="1514" t="str">
        <f>IFERROR(INDEX('PROBLEMA-OBJETIVO'!$G$56:$Q$88,MATCH('PROBLEMA-OBJETIVO'!AG114,'PROBLEMA-OBJETIVO'!$Q$56:$Q$88,0),3),"")</f>
        <v/>
      </c>
      <c r="E136" s="1514"/>
      <c r="F136" s="1515" t="str">
        <f t="shared" si="10"/>
        <v/>
      </c>
      <c r="G136" s="1515"/>
      <c r="H136" s="774" t="str">
        <f t="shared" si="11"/>
        <v/>
      </c>
      <c r="I136" s="775"/>
      <c r="J136" s="775" t="str">
        <f>IFERROR(IF(F136="Infraestructura",INDEX('Base de datos'!$Y$63:$Z$68,MATCH(D136,Infraestructura,0),1),""),"")</f>
        <v/>
      </c>
      <c r="K136" s="775"/>
      <c r="M136" s="531" t="str">
        <f t="shared" si="12"/>
        <v/>
      </c>
      <c r="N136" s="531" t="str">
        <f t="shared" si="13"/>
        <v/>
      </c>
      <c r="O136" s="250"/>
      <c r="P136" s="531" t="str">
        <f t="shared" si="14"/>
        <v>c</v>
      </c>
      <c r="Q136" s="425">
        <f>IFERROR(COUNTIF($P$125:P136,"b"),"")</f>
        <v>0</v>
      </c>
      <c r="R136" s="530" t="str">
        <f t="shared" si="15"/>
        <v/>
      </c>
      <c r="S136" s="530" t="str">
        <f t="shared" si="16"/>
        <v/>
      </c>
      <c r="T136" s="531">
        <v>11</v>
      </c>
      <c r="U136" s="530" t="str">
        <f t="shared" si="17"/>
        <v/>
      </c>
      <c r="V136" s="530" t="str">
        <f t="shared" si="18"/>
        <v/>
      </c>
      <c r="W136" s="531" t="str">
        <f t="shared" si="19"/>
        <v>c</v>
      </c>
      <c r="X136" s="531">
        <f>IFERROR(COUNTIF($W$125:W136,"b"),"")</f>
        <v>0</v>
      </c>
      <c r="Y136" s="531">
        <v>11</v>
      </c>
    </row>
    <row r="137" spans="1:25" ht="80.099999999999994" hidden="1" customHeight="1" x14ac:dyDescent="0.25">
      <c r="A137" s="770"/>
      <c r="B137" s="1513" t="str">
        <f>IFERROR(INDEX('PROBLEMA-OBJETIVO'!$G$56:$Q$88,MATCH('PROBLEMA-OBJETIVO'!AG115,'PROBLEMA-OBJETIVO'!$Q$56:$Q$88,0),1),"")</f>
        <v/>
      </c>
      <c r="C137" s="1513"/>
      <c r="D137" s="1514" t="str">
        <f>IFERROR(INDEX('PROBLEMA-OBJETIVO'!$G$56:$Q$88,MATCH('PROBLEMA-OBJETIVO'!AG115,'PROBLEMA-OBJETIVO'!$Q$56:$Q$88,0),3),"")</f>
        <v/>
      </c>
      <c r="E137" s="1514"/>
      <c r="F137" s="1515" t="str">
        <f t="shared" si="10"/>
        <v/>
      </c>
      <c r="G137" s="1515"/>
      <c r="H137" s="774" t="str">
        <f t="shared" si="11"/>
        <v/>
      </c>
      <c r="I137" s="775"/>
      <c r="J137" s="775" t="str">
        <f>IFERROR(IF(F137="Infraestructura",INDEX('Base de datos'!$Y$63:$Z$68,MATCH(D137,Infraestructura,0),1),""),"")</f>
        <v/>
      </c>
      <c r="K137" s="775"/>
      <c r="M137" s="531" t="str">
        <f t="shared" si="12"/>
        <v/>
      </c>
      <c r="N137" s="531" t="str">
        <f t="shared" si="13"/>
        <v/>
      </c>
      <c r="O137" s="250"/>
      <c r="P137" s="531" t="str">
        <f t="shared" si="14"/>
        <v>c</v>
      </c>
      <c r="Q137" s="425">
        <f>IFERROR(COUNTIF($P$125:P137,"b"),"")</f>
        <v>0</v>
      </c>
      <c r="R137" s="530" t="str">
        <f t="shared" si="15"/>
        <v/>
      </c>
      <c r="S137" s="530" t="str">
        <f t="shared" si="16"/>
        <v/>
      </c>
      <c r="T137" s="531">
        <v>12</v>
      </c>
      <c r="U137" s="530" t="str">
        <f t="shared" si="17"/>
        <v/>
      </c>
      <c r="V137" s="530" t="str">
        <f t="shared" si="18"/>
        <v/>
      </c>
      <c r="W137" s="531" t="str">
        <f t="shared" si="19"/>
        <v>c</v>
      </c>
      <c r="X137" s="531">
        <f>IFERROR(COUNTIF($W$125:W137,"b"),"")</f>
        <v>0</v>
      </c>
      <c r="Y137" s="531">
        <v>12</v>
      </c>
    </row>
    <row r="138" spans="1:25" ht="80.099999999999994" hidden="1" customHeight="1" x14ac:dyDescent="0.25">
      <c r="B138" s="1513" t="str">
        <f>IFERROR(INDEX('PROBLEMA-OBJETIVO'!$G$56:$Q$88,MATCH('PROBLEMA-OBJETIVO'!AG116,'PROBLEMA-OBJETIVO'!$Q$56:$Q$88,0),1),"")</f>
        <v/>
      </c>
      <c r="C138" s="1513"/>
      <c r="D138" s="1514" t="str">
        <f>IFERROR(INDEX('PROBLEMA-OBJETIVO'!$G$56:$Q$88,MATCH('PROBLEMA-OBJETIVO'!AG116,'PROBLEMA-OBJETIVO'!$Q$56:$Q$88,0),3),"")</f>
        <v/>
      </c>
      <c r="E138" s="1514"/>
      <c r="F138" s="1515" t="str">
        <f t="shared" si="10"/>
        <v/>
      </c>
      <c r="G138" s="1515"/>
      <c r="H138" s="774" t="str">
        <f t="shared" si="11"/>
        <v/>
      </c>
      <c r="I138" s="775"/>
      <c r="J138" s="775" t="str">
        <f>IFERROR(IF(F138="Infraestructura",INDEX('Base de datos'!$Y$63:$Z$68,MATCH(D138,Infraestructura,0),1),""),"")</f>
        <v/>
      </c>
      <c r="K138" s="775"/>
      <c r="M138" s="531" t="str">
        <f t="shared" si="12"/>
        <v/>
      </c>
      <c r="N138" s="531" t="str">
        <f t="shared" si="13"/>
        <v/>
      </c>
      <c r="O138" s="250"/>
      <c r="P138" s="531" t="str">
        <f t="shared" si="14"/>
        <v>c</v>
      </c>
      <c r="Q138" s="425">
        <f>IFERROR(COUNTIF($P$125:P138,"b"),"")</f>
        <v>0</v>
      </c>
      <c r="R138" s="530" t="str">
        <f t="shared" si="15"/>
        <v/>
      </c>
      <c r="S138" s="530" t="str">
        <f t="shared" si="16"/>
        <v/>
      </c>
      <c r="T138" s="531">
        <v>13</v>
      </c>
      <c r="U138" s="530" t="str">
        <f t="shared" si="17"/>
        <v/>
      </c>
      <c r="V138" s="530" t="str">
        <f t="shared" si="18"/>
        <v/>
      </c>
      <c r="W138" s="531" t="str">
        <f t="shared" si="19"/>
        <v>c</v>
      </c>
      <c r="X138" s="531">
        <f>IFERROR(COUNTIF($W$125:W138,"b"),"")</f>
        <v>0</v>
      </c>
      <c r="Y138" s="531">
        <v>13</v>
      </c>
    </row>
    <row r="139" spans="1:25" ht="80.099999999999994" hidden="1" customHeight="1" x14ac:dyDescent="0.25">
      <c r="A139" s="770"/>
      <c r="B139" s="1513" t="str">
        <f>IFERROR(INDEX('PROBLEMA-OBJETIVO'!$G$56:$Q$88,MATCH('PROBLEMA-OBJETIVO'!AG117,'PROBLEMA-OBJETIVO'!$Q$56:$Q$88,0),1),"")</f>
        <v/>
      </c>
      <c r="C139" s="1513"/>
      <c r="D139" s="1514" t="str">
        <f>IFERROR(INDEX('PROBLEMA-OBJETIVO'!$G$56:$Q$88,MATCH('PROBLEMA-OBJETIVO'!AG117,'PROBLEMA-OBJETIVO'!$Q$56:$Q$88,0),3),"")</f>
        <v/>
      </c>
      <c r="E139" s="1514"/>
      <c r="F139" s="1515" t="str">
        <f t="shared" si="10"/>
        <v/>
      </c>
      <c r="G139" s="1515"/>
      <c r="H139" s="774" t="str">
        <f t="shared" si="11"/>
        <v/>
      </c>
      <c r="I139" s="775"/>
      <c r="J139" s="775" t="str">
        <f>IFERROR(IF(F139="Infraestructura",INDEX('Base de datos'!$Y$63:$Z$68,MATCH(D139,Infraestructura,0),1),""),"")</f>
        <v/>
      </c>
      <c r="K139" s="775"/>
      <c r="M139" s="531" t="str">
        <f t="shared" si="12"/>
        <v/>
      </c>
      <c r="N139" s="531" t="str">
        <f t="shared" si="13"/>
        <v/>
      </c>
      <c r="O139" s="250"/>
      <c r="P139" s="531" t="str">
        <f t="shared" si="14"/>
        <v>c</v>
      </c>
      <c r="Q139" s="425">
        <f>IFERROR(COUNTIF($P$125:P139,"b"),"")</f>
        <v>0</v>
      </c>
      <c r="R139" s="530" t="str">
        <f t="shared" si="15"/>
        <v/>
      </c>
      <c r="S139" s="530" t="str">
        <f t="shared" si="16"/>
        <v/>
      </c>
      <c r="T139" s="531">
        <v>14</v>
      </c>
      <c r="U139" s="530" t="str">
        <f t="shared" si="17"/>
        <v/>
      </c>
      <c r="V139" s="530" t="str">
        <f t="shared" si="18"/>
        <v/>
      </c>
      <c r="W139" s="531" t="str">
        <f t="shared" si="19"/>
        <v>c</v>
      </c>
      <c r="X139" s="531">
        <f>IFERROR(COUNTIF($W$125:W139,"b"),"")</f>
        <v>0</v>
      </c>
      <c r="Y139" s="531">
        <v>14</v>
      </c>
    </row>
    <row r="140" spans="1:25" ht="80.099999999999994" hidden="1" customHeight="1" x14ac:dyDescent="0.25">
      <c r="A140" s="770"/>
      <c r="B140" s="1513" t="str">
        <f>IFERROR(INDEX('PROBLEMA-OBJETIVO'!$G$56:$Q$88,MATCH('PROBLEMA-OBJETIVO'!AG118,'PROBLEMA-OBJETIVO'!$Q$56:$Q$88,0),1),"")</f>
        <v/>
      </c>
      <c r="C140" s="1513"/>
      <c r="D140" s="1514" t="str">
        <f>IFERROR(INDEX('PROBLEMA-OBJETIVO'!$G$56:$Q$88,MATCH('PROBLEMA-OBJETIVO'!AG118,'PROBLEMA-OBJETIVO'!$Q$56:$Q$88,0),3),"")</f>
        <v/>
      </c>
      <c r="E140" s="1514"/>
      <c r="F140" s="1515" t="str">
        <f t="shared" si="10"/>
        <v/>
      </c>
      <c r="G140" s="1515"/>
      <c r="H140" s="774" t="str">
        <f t="shared" si="11"/>
        <v/>
      </c>
      <c r="I140" s="775"/>
      <c r="J140" s="775" t="str">
        <f>IFERROR(IF(F140="Infraestructura",INDEX('Base de datos'!$Y$63:$Z$68,MATCH(D140,Infraestructura,0),1),""),"")</f>
        <v/>
      </c>
      <c r="K140" s="775"/>
      <c r="M140" s="531" t="str">
        <f t="shared" si="12"/>
        <v/>
      </c>
      <c r="N140" s="531" t="str">
        <f t="shared" si="13"/>
        <v/>
      </c>
      <c r="O140" s="250"/>
      <c r="P140" s="531" t="str">
        <f t="shared" si="14"/>
        <v>c</v>
      </c>
      <c r="Q140" s="425">
        <f>IFERROR(COUNTIF($P$125:P140,"b"),"")</f>
        <v>0</v>
      </c>
      <c r="R140" s="530" t="str">
        <f t="shared" si="15"/>
        <v/>
      </c>
      <c r="S140" s="530" t="str">
        <f t="shared" si="16"/>
        <v/>
      </c>
      <c r="T140" s="531">
        <v>15</v>
      </c>
      <c r="U140" s="530" t="str">
        <f t="shared" si="17"/>
        <v/>
      </c>
      <c r="V140" s="530" t="str">
        <f t="shared" si="18"/>
        <v/>
      </c>
      <c r="W140" s="531" t="str">
        <f t="shared" si="19"/>
        <v>c</v>
      </c>
      <c r="X140" s="531">
        <f>IFERROR(COUNTIF($W$125:W140,"b"),"")</f>
        <v>0</v>
      </c>
      <c r="Y140" s="531">
        <v>15</v>
      </c>
    </row>
    <row r="141" spans="1:25" ht="80.099999999999994" hidden="1" customHeight="1" x14ac:dyDescent="0.25">
      <c r="B141" s="1513" t="str">
        <f>IFERROR(INDEX('PROBLEMA-OBJETIVO'!$G$56:$Q$88,MATCH('PROBLEMA-OBJETIVO'!AG119,'PROBLEMA-OBJETIVO'!$Q$56:$Q$88,0),1),"")</f>
        <v/>
      </c>
      <c r="C141" s="1513"/>
      <c r="D141" s="1514" t="str">
        <f>IFERROR(INDEX('PROBLEMA-OBJETIVO'!$G$56:$Q$88,MATCH('PROBLEMA-OBJETIVO'!AG119,'PROBLEMA-OBJETIVO'!$Q$56:$Q$88,0),3),"")</f>
        <v/>
      </c>
      <c r="E141" s="1514"/>
      <c r="F141" s="1515" t="str">
        <f t="shared" si="10"/>
        <v/>
      </c>
      <c r="G141" s="1515"/>
      <c r="H141" s="774" t="str">
        <f t="shared" si="11"/>
        <v/>
      </c>
      <c r="I141" s="775"/>
      <c r="J141" s="775" t="str">
        <f>IFERROR(IF(F141="Infraestructura",INDEX('Base de datos'!$Y$63:$Z$68,MATCH(D141,Infraestructura,0),1),""),"")</f>
        <v/>
      </c>
      <c r="K141" s="775"/>
      <c r="M141" s="531" t="str">
        <f t="shared" si="12"/>
        <v/>
      </c>
      <c r="N141" s="531" t="str">
        <f t="shared" si="13"/>
        <v/>
      </c>
      <c r="O141" s="250"/>
      <c r="P141" s="531" t="str">
        <f t="shared" si="14"/>
        <v>c</v>
      </c>
      <c r="Q141" s="425">
        <f>IFERROR(COUNTIF($P$125:P141,"b"),"")</f>
        <v>0</v>
      </c>
      <c r="R141" s="530" t="str">
        <f t="shared" si="15"/>
        <v/>
      </c>
      <c r="S141" s="530" t="str">
        <f t="shared" si="16"/>
        <v/>
      </c>
      <c r="T141" s="531">
        <v>16</v>
      </c>
      <c r="U141" s="530" t="str">
        <f t="shared" si="17"/>
        <v/>
      </c>
      <c r="V141" s="530" t="str">
        <f t="shared" si="18"/>
        <v/>
      </c>
      <c r="W141" s="531" t="str">
        <f t="shared" si="19"/>
        <v>c</v>
      </c>
      <c r="X141" s="531">
        <f>IFERROR(COUNTIF($W$125:W141,"b"),"")</f>
        <v>0</v>
      </c>
      <c r="Y141" s="531">
        <v>16</v>
      </c>
    </row>
    <row r="142" spans="1:25" ht="80.099999999999994" hidden="1" customHeight="1" x14ac:dyDescent="0.25">
      <c r="A142" s="770"/>
      <c r="B142" s="1513" t="str">
        <f>IFERROR(INDEX('PROBLEMA-OBJETIVO'!$G$56:$Q$88,MATCH('PROBLEMA-OBJETIVO'!AG120,'PROBLEMA-OBJETIVO'!$Q$56:$Q$88,0),1),"")</f>
        <v/>
      </c>
      <c r="C142" s="1513"/>
      <c r="D142" s="1514" t="str">
        <f>IFERROR(INDEX('PROBLEMA-OBJETIVO'!$G$56:$Q$88,MATCH('PROBLEMA-OBJETIVO'!AG120,'PROBLEMA-OBJETIVO'!$Q$56:$Q$88,0),3),"")</f>
        <v/>
      </c>
      <c r="E142" s="1514"/>
      <c r="F142" s="1515" t="str">
        <f t="shared" si="10"/>
        <v/>
      </c>
      <c r="G142" s="1515"/>
      <c r="H142" s="774" t="str">
        <f t="shared" si="11"/>
        <v/>
      </c>
      <c r="I142" s="775"/>
      <c r="J142" s="775" t="str">
        <f>IFERROR(IF(F142="Infraestructura",INDEX('Base de datos'!$Y$63:$Z$68,MATCH(D142,Infraestructura,0),1),""),"")</f>
        <v/>
      </c>
      <c r="K142" s="775"/>
      <c r="M142" s="531" t="str">
        <f t="shared" si="12"/>
        <v/>
      </c>
      <c r="N142" s="531" t="str">
        <f t="shared" si="13"/>
        <v/>
      </c>
      <c r="O142" s="250"/>
      <c r="P142" s="531" t="str">
        <f t="shared" si="14"/>
        <v>c</v>
      </c>
      <c r="Q142" s="425">
        <f>IFERROR(COUNTIF($P$125:P142,"b"),"")</f>
        <v>0</v>
      </c>
      <c r="R142" s="530" t="str">
        <f t="shared" si="15"/>
        <v/>
      </c>
      <c r="S142" s="530" t="str">
        <f t="shared" si="16"/>
        <v/>
      </c>
      <c r="T142" s="531">
        <v>17</v>
      </c>
      <c r="U142" s="530" t="str">
        <f t="shared" si="17"/>
        <v/>
      </c>
      <c r="V142" s="530" t="str">
        <f t="shared" si="18"/>
        <v/>
      </c>
      <c r="W142" s="531" t="str">
        <f t="shared" si="19"/>
        <v>c</v>
      </c>
      <c r="X142" s="531">
        <f>IFERROR(COUNTIF($W$125:W142,"b"),"")</f>
        <v>0</v>
      </c>
      <c r="Y142" s="531">
        <v>17</v>
      </c>
    </row>
    <row r="143" spans="1:25" ht="80.099999999999994" hidden="1" customHeight="1" x14ac:dyDescent="0.25">
      <c r="A143" s="770"/>
      <c r="B143" s="1513" t="str">
        <f>IFERROR(INDEX('PROBLEMA-OBJETIVO'!$G$56:$Q$88,MATCH('PROBLEMA-OBJETIVO'!AG121,'PROBLEMA-OBJETIVO'!$Q$56:$Q$88,0),1),"")</f>
        <v/>
      </c>
      <c r="C143" s="1513"/>
      <c r="D143" s="1514" t="str">
        <f>IFERROR(INDEX('PROBLEMA-OBJETIVO'!$G$56:$Q$88,MATCH('PROBLEMA-OBJETIVO'!AG121,'PROBLEMA-OBJETIVO'!$Q$56:$Q$88,0),3),"")</f>
        <v/>
      </c>
      <c r="E143" s="1514"/>
      <c r="F143" s="1515" t="str">
        <f t="shared" si="10"/>
        <v/>
      </c>
      <c r="G143" s="1515"/>
      <c r="H143" s="774" t="str">
        <f t="shared" si="11"/>
        <v/>
      </c>
      <c r="I143" s="775"/>
      <c r="J143" s="775" t="str">
        <f>IFERROR(IF(F143="Infraestructura",INDEX('Base de datos'!$Y$63:$Z$68,MATCH(D143,Infraestructura,0),1),""),"")</f>
        <v/>
      </c>
      <c r="K143" s="775"/>
      <c r="M143" s="531" t="str">
        <f t="shared" si="12"/>
        <v/>
      </c>
      <c r="N143" s="531" t="str">
        <f t="shared" si="13"/>
        <v/>
      </c>
      <c r="O143" s="250"/>
      <c r="P143" s="531" t="str">
        <f t="shared" si="14"/>
        <v>c</v>
      </c>
      <c r="Q143" s="425">
        <f>IFERROR(COUNTIF($P$125:P143,"b"),"")</f>
        <v>0</v>
      </c>
      <c r="R143" s="530" t="str">
        <f t="shared" si="15"/>
        <v/>
      </c>
      <c r="S143" s="530" t="str">
        <f t="shared" si="16"/>
        <v/>
      </c>
      <c r="T143" s="531">
        <v>18</v>
      </c>
      <c r="U143" s="530" t="str">
        <f t="shared" si="17"/>
        <v/>
      </c>
      <c r="V143" s="530" t="str">
        <f t="shared" si="18"/>
        <v/>
      </c>
      <c r="W143" s="531" t="str">
        <f t="shared" si="19"/>
        <v>c</v>
      </c>
      <c r="X143" s="531">
        <f>IFERROR(COUNTIF($W$125:W143,"b"),"")</f>
        <v>0</v>
      </c>
      <c r="Y143" s="531">
        <v>18</v>
      </c>
    </row>
    <row r="144" spans="1:25" ht="80.099999999999994" hidden="1" customHeight="1" x14ac:dyDescent="0.25">
      <c r="B144" s="1513" t="str">
        <f>IFERROR(INDEX('PROBLEMA-OBJETIVO'!$G$56:$Q$88,MATCH('PROBLEMA-OBJETIVO'!AG122,'PROBLEMA-OBJETIVO'!$Q$56:$Q$88,0),1),"")</f>
        <v/>
      </c>
      <c r="C144" s="1513"/>
      <c r="D144" s="1514" t="str">
        <f>IFERROR(INDEX('PROBLEMA-OBJETIVO'!$G$56:$Q$88,MATCH('PROBLEMA-OBJETIVO'!AG122,'PROBLEMA-OBJETIVO'!$Q$56:$Q$88,0),3),"")</f>
        <v/>
      </c>
      <c r="E144" s="1514"/>
      <c r="F144" s="1515" t="str">
        <f t="shared" si="10"/>
        <v/>
      </c>
      <c r="G144" s="1515"/>
      <c r="H144" s="774" t="str">
        <f t="shared" si="11"/>
        <v/>
      </c>
      <c r="I144" s="775"/>
      <c r="J144" s="775" t="str">
        <f>IFERROR(IF(F144="Infraestructura",INDEX('Base de datos'!$Y$63:$Z$68,MATCH(D144,Infraestructura,0),1),""),"")</f>
        <v/>
      </c>
      <c r="K144" s="775"/>
      <c r="M144" s="531" t="str">
        <f t="shared" si="12"/>
        <v/>
      </c>
      <c r="N144" s="531" t="str">
        <f t="shared" si="13"/>
        <v/>
      </c>
      <c r="O144" s="250"/>
      <c r="P144" s="531" t="str">
        <f t="shared" si="14"/>
        <v>c</v>
      </c>
      <c r="Q144" s="425">
        <f>IFERROR(COUNTIF($P$125:P144,"b"),"")</f>
        <v>0</v>
      </c>
      <c r="R144" s="530" t="str">
        <f t="shared" si="15"/>
        <v/>
      </c>
      <c r="S144" s="530" t="str">
        <f t="shared" si="16"/>
        <v/>
      </c>
      <c r="T144" s="531">
        <v>19</v>
      </c>
      <c r="U144" s="530" t="str">
        <f t="shared" si="17"/>
        <v/>
      </c>
      <c r="V144" s="530" t="str">
        <f t="shared" si="18"/>
        <v/>
      </c>
      <c r="W144" s="531" t="str">
        <f t="shared" si="19"/>
        <v>c</v>
      </c>
      <c r="X144" s="531">
        <f>IFERROR(COUNTIF($W$125:W144,"b"),"")</f>
        <v>0</v>
      </c>
      <c r="Y144" s="531">
        <v>19</v>
      </c>
    </row>
    <row r="145" spans="1:25" ht="80.099999999999994" hidden="1" customHeight="1" x14ac:dyDescent="0.25">
      <c r="A145" s="770"/>
      <c r="B145" s="1513" t="str">
        <f>IFERROR(INDEX('PROBLEMA-OBJETIVO'!$G$56:$Q$88,MATCH('PROBLEMA-OBJETIVO'!AG123,'PROBLEMA-OBJETIVO'!$Q$56:$Q$88,0),1),"")</f>
        <v/>
      </c>
      <c r="C145" s="1513"/>
      <c r="D145" s="1514" t="str">
        <f>IFERROR(INDEX('PROBLEMA-OBJETIVO'!$G$56:$Q$88,MATCH('PROBLEMA-OBJETIVO'!AG123,'PROBLEMA-OBJETIVO'!$Q$56:$Q$88,0),3),"")</f>
        <v/>
      </c>
      <c r="E145" s="1514"/>
      <c r="F145" s="1515" t="str">
        <f t="shared" si="10"/>
        <v/>
      </c>
      <c r="G145" s="1515"/>
      <c r="H145" s="774" t="str">
        <f t="shared" si="11"/>
        <v/>
      </c>
      <c r="I145" s="775"/>
      <c r="J145" s="775" t="str">
        <f>IFERROR(IF(F145="Infraestructura",INDEX('Base de datos'!$Y$63:$Z$68,MATCH(D145,Infraestructura,0),1),""),"")</f>
        <v/>
      </c>
      <c r="K145" s="775"/>
      <c r="M145" s="531" t="str">
        <f t="shared" si="12"/>
        <v/>
      </c>
      <c r="N145" s="531" t="str">
        <f t="shared" si="13"/>
        <v/>
      </c>
      <c r="O145" s="250"/>
      <c r="P145" s="531" t="str">
        <f t="shared" si="14"/>
        <v>c</v>
      </c>
      <c r="Q145" s="425">
        <f>IFERROR(COUNTIF($P$125:P145,"b"),"")</f>
        <v>0</v>
      </c>
      <c r="R145" s="530" t="str">
        <f t="shared" si="15"/>
        <v/>
      </c>
      <c r="S145" s="530" t="str">
        <f t="shared" si="16"/>
        <v/>
      </c>
      <c r="T145" s="531">
        <v>20</v>
      </c>
      <c r="U145" s="530" t="str">
        <f t="shared" si="17"/>
        <v/>
      </c>
      <c r="V145" s="530" t="str">
        <f t="shared" si="18"/>
        <v/>
      </c>
      <c r="W145" s="531" t="str">
        <f t="shared" si="19"/>
        <v>c</v>
      </c>
      <c r="X145" s="531">
        <f>IFERROR(COUNTIF($W$125:W145,"b"),"")</f>
        <v>0</v>
      </c>
      <c r="Y145" s="531">
        <v>20</v>
      </c>
    </row>
    <row r="146" spans="1:25" ht="80.099999999999994" hidden="1" customHeight="1" x14ac:dyDescent="0.25">
      <c r="A146" s="770"/>
      <c r="B146" s="1513" t="str">
        <f>IFERROR(INDEX('PROBLEMA-OBJETIVO'!$G$56:$Q$88,MATCH('PROBLEMA-OBJETIVO'!AG124,'PROBLEMA-OBJETIVO'!$Q$56:$Q$88,0),1),"")</f>
        <v/>
      </c>
      <c r="C146" s="1513"/>
      <c r="D146" s="1514" t="str">
        <f>IFERROR(INDEX('PROBLEMA-OBJETIVO'!$G$56:$Q$88,MATCH('PROBLEMA-OBJETIVO'!AG124,'PROBLEMA-OBJETIVO'!$Q$56:$Q$88,0),3),"")</f>
        <v/>
      </c>
      <c r="E146" s="1514"/>
      <c r="F146" s="1515" t="str">
        <f t="shared" si="10"/>
        <v/>
      </c>
      <c r="G146" s="1515"/>
      <c r="H146" s="774" t="str">
        <f t="shared" si="11"/>
        <v/>
      </c>
      <c r="I146" s="775"/>
      <c r="J146" s="775" t="str">
        <f>IFERROR(IF(F146="Infraestructura",INDEX('Base de datos'!$Y$63:$Z$68,MATCH(D146,Infraestructura,0),1),""),"")</f>
        <v/>
      </c>
      <c r="K146" s="775"/>
      <c r="M146" s="531" t="str">
        <f t="shared" si="12"/>
        <v/>
      </c>
      <c r="N146" s="531" t="str">
        <f t="shared" si="13"/>
        <v/>
      </c>
      <c r="O146" s="250"/>
      <c r="P146" s="531" t="str">
        <f t="shared" si="14"/>
        <v>c</v>
      </c>
      <c r="Q146" s="425">
        <f>IFERROR(COUNTIF($P$125:P146,"b"),"")</f>
        <v>0</v>
      </c>
      <c r="R146" s="530" t="str">
        <f t="shared" si="15"/>
        <v/>
      </c>
      <c r="S146" s="530" t="str">
        <f t="shared" si="16"/>
        <v/>
      </c>
      <c r="T146" s="531">
        <v>21</v>
      </c>
      <c r="U146" s="530" t="str">
        <f t="shared" si="17"/>
        <v/>
      </c>
      <c r="V146" s="530" t="str">
        <f t="shared" si="18"/>
        <v/>
      </c>
      <c r="W146" s="531" t="str">
        <f t="shared" si="19"/>
        <v>c</v>
      </c>
      <c r="X146" s="531">
        <f>IFERROR(COUNTIF($W$125:W146,"b"),"")</f>
        <v>0</v>
      </c>
      <c r="Y146" s="531">
        <v>21</v>
      </c>
    </row>
    <row r="147" spans="1:25" ht="80.099999999999994" hidden="1" customHeight="1" x14ac:dyDescent="0.25">
      <c r="B147" s="1513" t="str">
        <f>IFERROR(INDEX('PROBLEMA-OBJETIVO'!$G$56:$Q$88,MATCH('PROBLEMA-OBJETIVO'!AG125,'PROBLEMA-OBJETIVO'!$Q$56:$Q$88,0),1),"")</f>
        <v/>
      </c>
      <c r="C147" s="1513"/>
      <c r="D147" s="1514" t="str">
        <f>IFERROR(INDEX('PROBLEMA-OBJETIVO'!$G$56:$Q$88,MATCH('PROBLEMA-OBJETIVO'!AG125,'PROBLEMA-OBJETIVO'!$Q$56:$Q$88,0),3),"")</f>
        <v/>
      </c>
      <c r="E147" s="1514"/>
      <c r="F147" s="1515" t="str">
        <f t="shared" si="10"/>
        <v/>
      </c>
      <c r="G147" s="1515"/>
      <c r="H147" s="774" t="str">
        <f t="shared" si="11"/>
        <v/>
      </c>
      <c r="I147" s="775"/>
      <c r="J147" s="775" t="str">
        <f>IFERROR(IF(F147="Infraestructura",INDEX('Base de datos'!$Y$63:$Z$68,MATCH(D147,Infraestructura,0),1),""),"")</f>
        <v/>
      </c>
      <c r="K147" s="775"/>
      <c r="M147" s="531" t="str">
        <f t="shared" si="12"/>
        <v/>
      </c>
      <c r="N147" s="531" t="str">
        <f t="shared" si="13"/>
        <v/>
      </c>
      <c r="O147" s="250"/>
      <c r="P147" s="531" t="str">
        <f t="shared" si="14"/>
        <v>c</v>
      </c>
      <c r="Q147" s="425">
        <f>IFERROR(COUNTIF($P$125:P147,"b"),"")</f>
        <v>0</v>
      </c>
      <c r="R147" s="530" t="str">
        <f t="shared" si="15"/>
        <v/>
      </c>
      <c r="S147" s="530" t="str">
        <f t="shared" si="16"/>
        <v/>
      </c>
      <c r="T147" s="531">
        <v>22</v>
      </c>
      <c r="U147" s="530" t="str">
        <f t="shared" si="17"/>
        <v/>
      </c>
      <c r="V147" s="530" t="str">
        <f t="shared" si="18"/>
        <v/>
      </c>
      <c r="W147" s="531" t="str">
        <f t="shared" si="19"/>
        <v>c</v>
      </c>
      <c r="X147" s="531">
        <f>IFERROR(COUNTIF($W$125:W147,"b"),"")</f>
        <v>0</v>
      </c>
      <c r="Y147" s="531">
        <v>22</v>
      </c>
    </row>
    <row r="148" spans="1:25" ht="80.099999999999994" hidden="1" customHeight="1" x14ac:dyDescent="0.25">
      <c r="A148" s="770"/>
      <c r="B148" s="1513" t="str">
        <f>IFERROR(INDEX('PROBLEMA-OBJETIVO'!$G$56:$Q$88,MATCH('PROBLEMA-OBJETIVO'!AG126,'PROBLEMA-OBJETIVO'!$Q$56:$Q$88,0),1),"")</f>
        <v/>
      </c>
      <c r="C148" s="1513"/>
      <c r="D148" s="1514" t="str">
        <f>IFERROR(INDEX('PROBLEMA-OBJETIVO'!$G$56:$Q$88,MATCH('PROBLEMA-OBJETIVO'!AG126,'PROBLEMA-OBJETIVO'!$Q$56:$Q$88,0),3),"")</f>
        <v/>
      </c>
      <c r="E148" s="1514"/>
      <c r="F148" s="1515" t="str">
        <f t="shared" si="10"/>
        <v/>
      </c>
      <c r="G148" s="1515"/>
      <c r="H148" s="774" t="str">
        <f t="shared" si="11"/>
        <v/>
      </c>
      <c r="I148" s="775"/>
      <c r="J148" s="775" t="str">
        <f>IFERROR(IF(F148="Infraestructura",INDEX('Base de datos'!$Y$63:$Z$68,MATCH(D148,Infraestructura,0),1),""),"")</f>
        <v/>
      </c>
      <c r="K148" s="775"/>
      <c r="M148" s="531" t="str">
        <f t="shared" si="12"/>
        <v/>
      </c>
      <c r="N148" s="531" t="str">
        <f t="shared" si="13"/>
        <v/>
      </c>
      <c r="O148" s="250"/>
      <c r="P148" s="531" t="str">
        <f t="shared" si="14"/>
        <v>c</v>
      </c>
      <c r="Q148" s="425">
        <f>IFERROR(COUNTIF($P$125:P148,"b"),"")</f>
        <v>0</v>
      </c>
      <c r="R148" s="530" t="str">
        <f t="shared" si="15"/>
        <v/>
      </c>
      <c r="S148" s="530" t="str">
        <f t="shared" si="16"/>
        <v/>
      </c>
      <c r="T148" s="531">
        <v>23</v>
      </c>
      <c r="U148" s="530" t="str">
        <f t="shared" si="17"/>
        <v/>
      </c>
      <c r="V148" s="530" t="str">
        <f t="shared" si="18"/>
        <v/>
      </c>
      <c r="W148" s="531" t="str">
        <f t="shared" si="19"/>
        <v>c</v>
      </c>
      <c r="X148" s="531">
        <f>IFERROR(COUNTIF($W$125:W148,"b"),"")</f>
        <v>0</v>
      </c>
      <c r="Y148" s="531">
        <v>23</v>
      </c>
    </row>
    <row r="149" spans="1:25" ht="80.099999999999994" hidden="1" customHeight="1" x14ac:dyDescent="0.25">
      <c r="A149" s="770"/>
      <c r="B149" s="1513" t="str">
        <f>IFERROR(INDEX('PROBLEMA-OBJETIVO'!$G$56:$Q$88,MATCH('PROBLEMA-OBJETIVO'!AG127,'PROBLEMA-OBJETIVO'!$Q$56:$Q$88,0),1),"")</f>
        <v/>
      </c>
      <c r="C149" s="1513"/>
      <c r="D149" s="1514" t="str">
        <f>IFERROR(INDEX('PROBLEMA-OBJETIVO'!$G$56:$Q$88,MATCH('PROBLEMA-OBJETIVO'!AG127,'PROBLEMA-OBJETIVO'!$Q$56:$Q$88,0),3),"")</f>
        <v/>
      </c>
      <c r="E149" s="1514"/>
      <c r="F149" s="1515" t="str">
        <f t="shared" si="10"/>
        <v/>
      </c>
      <c r="G149" s="1515"/>
      <c r="H149" s="774" t="str">
        <f t="shared" si="11"/>
        <v/>
      </c>
      <c r="I149" s="775"/>
      <c r="J149" s="775" t="str">
        <f>IFERROR(IF(F149="Infraestructura",INDEX('Base de datos'!$Y$63:$Z$68,MATCH(D149,Infraestructura,0),1),""),"")</f>
        <v/>
      </c>
      <c r="K149" s="775"/>
      <c r="M149" s="531" t="str">
        <f t="shared" si="12"/>
        <v/>
      </c>
      <c r="N149" s="531" t="str">
        <f t="shared" si="13"/>
        <v/>
      </c>
      <c r="O149" s="250"/>
      <c r="P149" s="531" t="str">
        <f t="shared" si="14"/>
        <v>c</v>
      </c>
      <c r="Q149" s="425">
        <f>IFERROR(COUNTIF($P$125:P149,"b"),"")</f>
        <v>0</v>
      </c>
      <c r="R149" s="530" t="str">
        <f t="shared" si="15"/>
        <v/>
      </c>
      <c r="S149" s="530" t="str">
        <f t="shared" si="16"/>
        <v/>
      </c>
      <c r="T149" s="531">
        <v>24</v>
      </c>
      <c r="U149" s="530" t="str">
        <f t="shared" si="17"/>
        <v/>
      </c>
      <c r="V149" s="530" t="str">
        <f t="shared" si="18"/>
        <v/>
      </c>
      <c r="W149" s="531" t="str">
        <f t="shared" si="19"/>
        <v>c</v>
      </c>
      <c r="X149" s="531">
        <f>IFERROR(COUNTIF($W$125:W149,"b"),"")</f>
        <v>0</v>
      </c>
      <c r="Y149" s="531">
        <v>24</v>
      </c>
    </row>
    <row r="150" spans="1:25" ht="80.099999999999994" hidden="1" customHeight="1" x14ac:dyDescent="0.25">
      <c r="B150" s="1513" t="str">
        <f>IFERROR(INDEX('PROBLEMA-OBJETIVO'!$G$56:$Q$88,MATCH('PROBLEMA-OBJETIVO'!AG128,'PROBLEMA-OBJETIVO'!$Q$56:$Q$88,0),1),"")</f>
        <v/>
      </c>
      <c r="C150" s="1513"/>
      <c r="D150" s="1514" t="str">
        <f>IFERROR(INDEX('PROBLEMA-OBJETIVO'!$G$56:$Q$88,MATCH('PROBLEMA-OBJETIVO'!AG128,'PROBLEMA-OBJETIVO'!$Q$56:$Q$88,0),3),"")</f>
        <v/>
      </c>
      <c r="E150" s="1514"/>
      <c r="F150" s="1515" t="str">
        <f t="shared" si="10"/>
        <v/>
      </c>
      <c r="G150" s="1515"/>
      <c r="H150" s="774" t="str">
        <f t="shared" si="11"/>
        <v/>
      </c>
      <c r="I150" s="775"/>
      <c r="J150" s="775" t="str">
        <f>IFERROR(IF(F150="Infraestructura",INDEX('Base de datos'!$Y$63:$Z$68,MATCH(D150,Infraestructura,0),1),""),"")</f>
        <v/>
      </c>
      <c r="K150" s="775"/>
      <c r="M150" s="531" t="str">
        <f t="shared" si="12"/>
        <v/>
      </c>
      <c r="N150" s="531" t="str">
        <f t="shared" si="13"/>
        <v/>
      </c>
      <c r="O150" s="250"/>
      <c r="P150" s="531" t="str">
        <f t="shared" si="14"/>
        <v>c</v>
      </c>
      <c r="Q150" s="425">
        <f>IFERROR(COUNTIF($P$125:P150,"b"),"")</f>
        <v>0</v>
      </c>
      <c r="R150" s="530" t="str">
        <f t="shared" si="15"/>
        <v/>
      </c>
      <c r="S150" s="530" t="str">
        <f t="shared" si="16"/>
        <v/>
      </c>
      <c r="T150" s="531">
        <v>25</v>
      </c>
      <c r="U150" s="530" t="str">
        <f t="shared" si="17"/>
        <v/>
      </c>
      <c r="V150" s="530" t="str">
        <f t="shared" si="18"/>
        <v/>
      </c>
      <c r="W150" s="531" t="str">
        <f t="shared" si="19"/>
        <v>c</v>
      </c>
      <c r="X150" s="531">
        <f>IFERROR(COUNTIF($W$125:W150,"b"),"")</f>
        <v>0</v>
      </c>
      <c r="Y150" s="531">
        <v>25</v>
      </c>
    </row>
    <row r="151" spans="1:25" ht="80.099999999999994" hidden="1" customHeight="1" x14ac:dyDescent="0.25">
      <c r="A151" s="770"/>
      <c r="B151" s="1513" t="str">
        <f>IFERROR(INDEX('PROBLEMA-OBJETIVO'!$G$56:$Q$88,MATCH('PROBLEMA-OBJETIVO'!AG129,'PROBLEMA-OBJETIVO'!$Q$56:$Q$88,0),1),"")</f>
        <v/>
      </c>
      <c r="C151" s="1513"/>
      <c r="D151" s="1514" t="str">
        <f>IFERROR(INDEX('PROBLEMA-OBJETIVO'!$G$56:$Q$88,MATCH('PROBLEMA-OBJETIVO'!AG129,'PROBLEMA-OBJETIVO'!$Q$56:$Q$88,0),3),"")</f>
        <v/>
      </c>
      <c r="E151" s="1514"/>
      <c r="F151" s="1515" t="str">
        <f t="shared" si="10"/>
        <v/>
      </c>
      <c r="G151" s="1515"/>
      <c r="H151" s="774" t="str">
        <f t="shared" si="11"/>
        <v/>
      </c>
      <c r="I151" s="775"/>
      <c r="J151" s="775" t="str">
        <f>IFERROR(IF(F151="Infraestructura",INDEX('Base de datos'!$Y$63:$Z$68,MATCH(D151,Infraestructura,0),1),""),"")</f>
        <v/>
      </c>
      <c r="K151" s="775"/>
      <c r="M151" s="531" t="str">
        <f t="shared" si="12"/>
        <v/>
      </c>
      <c r="N151" s="531" t="str">
        <f t="shared" si="13"/>
        <v/>
      </c>
      <c r="O151" s="250"/>
      <c r="P151" s="531" t="str">
        <f t="shared" si="14"/>
        <v>c</v>
      </c>
      <c r="Q151" s="425">
        <f>IFERROR(COUNTIF($P$125:P151,"b"),"")</f>
        <v>0</v>
      </c>
      <c r="R151" s="530" t="str">
        <f t="shared" si="15"/>
        <v/>
      </c>
      <c r="S151" s="530" t="str">
        <f t="shared" si="16"/>
        <v/>
      </c>
      <c r="T151" s="531">
        <v>26</v>
      </c>
      <c r="U151" s="530" t="str">
        <f t="shared" si="17"/>
        <v/>
      </c>
      <c r="V151" s="530" t="str">
        <f t="shared" si="18"/>
        <v/>
      </c>
      <c r="W151" s="531" t="str">
        <f t="shared" si="19"/>
        <v>c</v>
      </c>
      <c r="X151" s="531">
        <f>IFERROR(COUNTIF($W$125:W151,"b"),"")</f>
        <v>0</v>
      </c>
      <c r="Y151" s="531">
        <v>26</v>
      </c>
    </row>
    <row r="152" spans="1:25" ht="80.099999999999994" hidden="1" customHeight="1" x14ac:dyDescent="0.25">
      <c r="A152" s="770"/>
      <c r="B152" s="1513" t="str">
        <f>IFERROR(INDEX('PROBLEMA-OBJETIVO'!$G$56:$Q$88,MATCH('PROBLEMA-OBJETIVO'!AG130,'PROBLEMA-OBJETIVO'!$Q$56:$Q$88,0),1),"")</f>
        <v/>
      </c>
      <c r="C152" s="1513"/>
      <c r="D152" s="1514" t="str">
        <f>IFERROR(INDEX('PROBLEMA-OBJETIVO'!$G$56:$Q$88,MATCH('PROBLEMA-OBJETIVO'!AG130,'PROBLEMA-OBJETIVO'!$Q$56:$Q$88,0),3),"")</f>
        <v/>
      </c>
      <c r="E152" s="1514"/>
      <c r="F152" s="1515" t="str">
        <f t="shared" si="10"/>
        <v/>
      </c>
      <c r="G152" s="1515"/>
      <c r="H152" s="774" t="str">
        <f t="shared" si="11"/>
        <v/>
      </c>
      <c r="I152" s="775"/>
      <c r="J152" s="775" t="str">
        <f>IFERROR(IF(F152="Infraestructura",INDEX('Base de datos'!$Y$63:$Z$68,MATCH(D152,Infraestructura,0),1),""),"")</f>
        <v/>
      </c>
      <c r="K152" s="775"/>
      <c r="M152" s="531" t="str">
        <f t="shared" si="12"/>
        <v/>
      </c>
      <c r="N152" s="531" t="str">
        <f t="shared" si="13"/>
        <v/>
      </c>
      <c r="O152" s="250"/>
      <c r="P152" s="531" t="str">
        <f t="shared" si="14"/>
        <v>c</v>
      </c>
      <c r="Q152" s="425">
        <f>IFERROR(COUNTIF($P$125:P152,"b"),"")</f>
        <v>0</v>
      </c>
      <c r="R152" s="530" t="str">
        <f t="shared" si="15"/>
        <v/>
      </c>
      <c r="S152" s="530" t="str">
        <f t="shared" si="16"/>
        <v/>
      </c>
      <c r="T152" s="531">
        <v>27</v>
      </c>
      <c r="U152" s="530" t="str">
        <f t="shared" si="17"/>
        <v/>
      </c>
      <c r="V152" s="530" t="str">
        <f t="shared" si="18"/>
        <v/>
      </c>
      <c r="W152" s="531" t="str">
        <f t="shared" si="19"/>
        <v>c</v>
      </c>
      <c r="X152" s="531">
        <f>IFERROR(COUNTIF($W$125:W152,"b"),"")</f>
        <v>0</v>
      </c>
      <c r="Y152" s="531">
        <v>27</v>
      </c>
    </row>
    <row r="153" spans="1:25" ht="80.099999999999994" hidden="1" customHeight="1" x14ac:dyDescent="0.25">
      <c r="B153" s="1513" t="str">
        <f>IFERROR(INDEX('PROBLEMA-OBJETIVO'!$G$56:$Q$88,MATCH('PROBLEMA-OBJETIVO'!AG131,'PROBLEMA-OBJETIVO'!$Q$56:$Q$88,0),1),"")</f>
        <v/>
      </c>
      <c r="C153" s="1513"/>
      <c r="D153" s="1514" t="str">
        <f>IFERROR(INDEX('PROBLEMA-OBJETIVO'!$G$56:$Q$88,MATCH('PROBLEMA-OBJETIVO'!AG131,'PROBLEMA-OBJETIVO'!$Q$56:$Q$88,0),3),"")</f>
        <v/>
      </c>
      <c r="E153" s="1514"/>
      <c r="F153" s="1515" t="str">
        <f t="shared" si="10"/>
        <v/>
      </c>
      <c r="G153" s="1515"/>
      <c r="H153" s="774" t="str">
        <f t="shared" si="11"/>
        <v/>
      </c>
      <c r="I153" s="775"/>
      <c r="J153" s="775" t="str">
        <f>IFERROR(IF(F153="Infraestructura",INDEX('Base de datos'!$Y$63:$Z$68,MATCH(D153,Infraestructura,0),1),""),"")</f>
        <v/>
      </c>
      <c r="K153" s="775"/>
      <c r="M153" s="531" t="str">
        <f t="shared" si="12"/>
        <v/>
      </c>
      <c r="N153" s="531" t="str">
        <f t="shared" si="13"/>
        <v/>
      </c>
      <c r="O153" s="250"/>
      <c r="P153" s="531" t="str">
        <f t="shared" si="14"/>
        <v>c</v>
      </c>
      <c r="Q153" s="425">
        <f>IFERROR(COUNTIF($P$125:P153,"b"),"")</f>
        <v>0</v>
      </c>
      <c r="R153" s="530" t="str">
        <f t="shared" si="15"/>
        <v/>
      </c>
      <c r="S153" s="530" t="str">
        <f t="shared" si="16"/>
        <v/>
      </c>
      <c r="T153" s="531">
        <v>28</v>
      </c>
      <c r="U153" s="530" t="str">
        <f t="shared" si="17"/>
        <v/>
      </c>
      <c r="V153" s="530" t="str">
        <f t="shared" si="18"/>
        <v/>
      </c>
      <c r="W153" s="531" t="str">
        <f t="shared" si="19"/>
        <v>c</v>
      </c>
      <c r="X153" s="531">
        <f>IFERROR(COUNTIF($W$125:W153,"b"),"")</f>
        <v>0</v>
      </c>
      <c r="Y153" s="531">
        <v>28</v>
      </c>
    </row>
    <row r="154" spans="1:25" ht="80.099999999999994" hidden="1" customHeight="1" x14ac:dyDescent="0.25">
      <c r="A154" s="770"/>
      <c r="B154" s="1513" t="str">
        <f>IFERROR(INDEX('PROBLEMA-OBJETIVO'!$G$56:$Q$88,MATCH('PROBLEMA-OBJETIVO'!AG132,'PROBLEMA-OBJETIVO'!$Q$56:$Q$88,0),1),"")</f>
        <v/>
      </c>
      <c r="C154" s="1513"/>
      <c r="D154" s="1514" t="str">
        <f>IFERROR(INDEX('PROBLEMA-OBJETIVO'!$G$56:$Q$88,MATCH('PROBLEMA-OBJETIVO'!AG132,'PROBLEMA-OBJETIVO'!$Q$56:$Q$88,0),3),"")</f>
        <v/>
      </c>
      <c r="E154" s="1514"/>
      <c r="F154" s="1515" t="str">
        <f t="shared" si="10"/>
        <v/>
      </c>
      <c r="G154" s="1515"/>
      <c r="H154" s="774" t="str">
        <f t="shared" si="11"/>
        <v/>
      </c>
      <c r="I154" s="775"/>
      <c r="J154" s="775" t="str">
        <f>IFERROR(IF(F154="Infraestructura",INDEX('Base de datos'!$Y$63:$Z$68,MATCH(D154,Infraestructura,0),1),""),"")</f>
        <v/>
      </c>
      <c r="K154" s="775"/>
      <c r="M154" s="531" t="str">
        <f t="shared" si="12"/>
        <v/>
      </c>
      <c r="N154" s="531" t="str">
        <f t="shared" si="13"/>
        <v/>
      </c>
      <c r="O154" s="250"/>
      <c r="P154" s="531" t="str">
        <f t="shared" si="14"/>
        <v>c</v>
      </c>
      <c r="Q154" s="425">
        <f>IFERROR(COUNTIF($P$125:P154,"b"),"")</f>
        <v>0</v>
      </c>
      <c r="R154" s="530" t="str">
        <f t="shared" si="15"/>
        <v/>
      </c>
      <c r="S154" s="530" t="str">
        <f t="shared" si="16"/>
        <v/>
      </c>
      <c r="T154" s="531">
        <v>29</v>
      </c>
      <c r="U154" s="530" t="str">
        <f t="shared" si="17"/>
        <v/>
      </c>
      <c r="V154" s="530" t="str">
        <f t="shared" si="18"/>
        <v/>
      </c>
      <c r="W154" s="531" t="str">
        <f t="shared" si="19"/>
        <v>c</v>
      </c>
      <c r="X154" s="531">
        <f>IFERROR(COUNTIF($W$125:W154,"b"),"")</f>
        <v>0</v>
      </c>
      <c r="Y154" s="531">
        <v>29</v>
      </c>
    </row>
    <row r="155" spans="1:25" ht="80.099999999999994" hidden="1" customHeight="1" x14ac:dyDescent="0.25">
      <c r="A155" s="770"/>
      <c r="B155" s="1513" t="str">
        <f>IFERROR(INDEX('PROBLEMA-OBJETIVO'!$G$56:$Q$88,MATCH('PROBLEMA-OBJETIVO'!AG133,'PROBLEMA-OBJETIVO'!$Q$56:$Q$88,0),1),"")</f>
        <v/>
      </c>
      <c r="C155" s="1513"/>
      <c r="D155" s="1514" t="str">
        <f>IFERROR(INDEX('PROBLEMA-OBJETIVO'!$G$56:$Q$88,MATCH('PROBLEMA-OBJETIVO'!AG133,'PROBLEMA-OBJETIVO'!$Q$56:$Q$88,0),3),"")</f>
        <v/>
      </c>
      <c r="E155" s="1514"/>
      <c r="F155" s="1515" t="str">
        <f t="shared" si="10"/>
        <v/>
      </c>
      <c r="G155" s="1515"/>
      <c r="H155" s="774" t="str">
        <f t="shared" si="11"/>
        <v/>
      </c>
      <c r="I155" s="775"/>
      <c r="J155" s="775" t="str">
        <f>IFERROR(IF(F155="Infraestructura",INDEX('Base de datos'!$Y$63:$Z$68,MATCH(D155,Infraestructura,0),1),""),"")</f>
        <v/>
      </c>
      <c r="K155" s="775"/>
      <c r="M155" s="531" t="str">
        <f t="shared" si="12"/>
        <v/>
      </c>
      <c r="N155" s="531" t="str">
        <f t="shared" si="13"/>
        <v/>
      </c>
      <c r="O155" s="250"/>
      <c r="P155" s="531" t="str">
        <f t="shared" si="14"/>
        <v>c</v>
      </c>
      <c r="Q155" s="425">
        <f>IFERROR(COUNTIF($P$125:P155,"b"),"")</f>
        <v>0</v>
      </c>
      <c r="R155" s="530" t="str">
        <f t="shared" si="15"/>
        <v/>
      </c>
      <c r="S155" s="530" t="str">
        <f t="shared" si="16"/>
        <v/>
      </c>
      <c r="T155" s="531">
        <v>30</v>
      </c>
      <c r="U155" s="530" t="str">
        <f t="shared" si="17"/>
        <v/>
      </c>
      <c r="V155" s="530" t="str">
        <f t="shared" si="18"/>
        <v/>
      </c>
      <c r="W155" s="531" t="str">
        <f t="shared" si="19"/>
        <v>c</v>
      </c>
      <c r="X155" s="531">
        <f>IFERROR(COUNTIF($W$125:W155,"b"),"")</f>
        <v>0</v>
      </c>
      <c r="Y155" s="531">
        <v>30</v>
      </c>
    </row>
    <row r="156" spans="1:25" hidden="1" x14ac:dyDescent="0.25">
      <c r="M156" s="537"/>
      <c r="N156" s="537"/>
      <c r="O156" s="537"/>
      <c r="P156" s="537"/>
      <c r="Q156" s="537"/>
      <c r="R156" s="537"/>
      <c r="S156" s="537"/>
      <c r="T156" s="537"/>
      <c r="U156" s="537"/>
      <c r="V156" s="537"/>
      <c r="W156" s="537"/>
      <c r="X156" s="537"/>
      <c r="Y156" s="537"/>
    </row>
    <row r="157" spans="1:25" hidden="1" x14ac:dyDescent="0.25">
      <c r="A157" s="770"/>
      <c r="M157" s="537"/>
      <c r="N157" s="537"/>
      <c r="O157" s="537"/>
      <c r="P157" s="537"/>
      <c r="Q157" s="537"/>
      <c r="R157" s="537"/>
      <c r="S157" s="537"/>
      <c r="T157" s="537"/>
      <c r="U157" s="537"/>
      <c r="V157" s="537"/>
      <c r="W157" s="537"/>
      <c r="X157" s="537"/>
      <c r="Y157" s="537"/>
    </row>
    <row r="158" spans="1:25" hidden="1" x14ac:dyDescent="0.25">
      <c r="B158" s="258" t="s">
        <v>4774</v>
      </c>
      <c r="M158" s="537"/>
      <c r="N158" s="537"/>
      <c r="O158" s="537"/>
      <c r="P158" s="537"/>
      <c r="Q158" s="537"/>
      <c r="R158" s="537"/>
      <c r="S158" s="537"/>
      <c r="T158" s="537"/>
      <c r="U158" s="537"/>
      <c r="V158" s="537"/>
      <c r="W158" s="537"/>
      <c r="X158" s="537"/>
      <c r="Y158" s="537"/>
    </row>
    <row r="159" spans="1:25" hidden="1" x14ac:dyDescent="0.25">
      <c r="B159" s="1516" t="s">
        <v>374</v>
      </c>
      <c r="C159" s="1516"/>
      <c r="D159" s="1516"/>
      <c r="E159" s="1516"/>
      <c r="F159" s="1197" t="s">
        <v>4871</v>
      </c>
      <c r="G159" s="1197"/>
      <c r="H159" s="1196" t="s">
        <v>107</v>
      </c>
      <c r="I159" s="1196"/>
      <c r="J159" s="1197" t="s">
        <v>226</v>
      </c>
      <c r="K159" s="1197"/>
      <c r="M159" s="537"/>
      <c r="N159" s="537"/>
      <c r="O159" s="537"/>
      <c r="P159" s="537"/>
      <c r="Q159" s="537"/>
      <c r="R159" s="537"/>
      <c r="S159" s="537"/>
      <c r="T159" s="537"/>
      <c r="U159" s="537"/>
      <c r="V159" s="537"/>
      <c r="W159" s="537"/>
      <c r="X159" s="537"/>
      <c r="Y159" s="537"/>
    </row>
    <row r="160" spans="1:25" hidden="1" x14ac:dyDescent="0.25">
      <c r="B160" s="1197" t="s">
        <v>4872</v>
      </c>
      <c r="C160" s="1197"/>
      <c r="D160" s="1197" t="s">
        <v>4792</v>
      </c>
      <c r="E160" s="1197"/>
      <c r="F160" s="1197"/>
      <c r="G160" s="1197"/>
      <c r="H160" s="1196"/>
      <c r="I160" s="1196"/>
      <c r="J160" s="1197"/>
      <c r="K160" s="1197"/>
      <c r="M160" s="537"/>
      <c r="N160" s="537"/>
      <c r="O160" s="537"/>
      <c r="P160" s="537"/>
      <c r="Q160" s="537"/>
      <c r="R160" s="537"/>
      <c r="S160" s="537"/>
      <c r="T160" s="537"/>
      <c r="U160" s="537"/>
      <c r="V160" s="537"/>
      <c r="W160" s="537"/>
      <c r="X160" s="537"/>
      <c r="Y160" s="537"/>
    </row>
    <row r="161" spans="2:25" ht="25.5" hidden="1" x14ac:dyDescent="0.25">
      <c r="B161" s="1197"/>
      <c r="C161" s="1197"/>
      <c r="D161" s="1197"/>
      <c r="E161" s="1197"/>
      <c r="F161" s="1197"/>
      <c r="G161" s="1197"/>
      <c r="H161" s="772" t="s">
        <v>108</v>
      </c>
      <c r="I161" s="771" t="s">
        <v>109</v>
      </c>
      <c r="J161" s="772" t="s">
        <v>108</v>
      </c>
      <c r="K161" s="771" t="s">
        <v>109</v>
      </c>
      <c r="M161" s="537"/>
      <c r="N161" s="537"/>
      <c r="O161" s="537"/>
      <c r="P161" s="537"/>
      <c r="Q161" s="537"/>
      <c r="R161" s="537"/>
      <c r="S161" s="537"/>
      <c r="T161" s="537"/>
      <c r="U161" s="537"/>
      <c r="V161" s="537"/>
      <c r="W161" s="537"/>
      <c r="X161" s="537"/>
      <c r="Y161" s="537"/>
    </row>
    <row r="162" spans="2:25" ht="8.25" hidden="1" customHeight="1" x14ac:dyDescent="0.25">
      <c r="B162" s="156"/>
      <c r="C162" s="770"/>
      <c r="D162" s="156"/>
      <c r="E162" s="770"/>
      <c r="F162" s="156"/>
      <c r="G162" s="770"/>
      <c r="H162" s="156"/>
      <c r="I162" s="156"/>
      <c r="J162" s="156"/>
      <c r="K162" s="156"/>
      <c r="M162" s="250"/>
      <c r="N162" s="250"/>
      <c r="O162" s="250"/>
      <c r="P162" s="250"/>
      <c r="Q162" s="250"/>
      <c r="R162" s="250"/>
      <c r="S162" s="250"/>
      <c r="T162" s="250"/>
      <c r="U162" s="250"/>
      <c r="V162" s="250"/>
      <c r="W162" s="250"/>
      <c r="X162" s="250"/>
      <c r="Y162" s="250"/>
    </row>
    <row r="163" spans="2:25" ht="80.099999999999994" hidden="1" customHeight="1" x14ac:dyDescent="0.25">
      <c r="B163" s="1513" t="str">
        <f>IFERROR(INDEX('PROBLEMA-OBJETIVO'!$G$56:$Q$88,MATCH('PROBLEMA-OBJETIVO'!AP104,'PROBLEMA-OBJETIVO'!$Q$56:$Q$88,0),1),"")</f>
        <v/>
      </c>
      <c r="C163" s="1513"/>
      <c r="D163" s="1514" t="str">
        <f>IFERROR(INDEX('PROBLEMA-OBJETIVO'!$G$56:$Q$88,MATCH('PROBLEMA-OBJETIVO'!AP104,'PROBLEMA-OBJETIVO'!$Q$56:$Q$88,0),3),"")</f>
        <v/>
      </c>
      <c r="E163" s="1514"/>
      <c r="F163" s="1515" t="str">
        <f t="shared" ref="F163:F192" si="20">IFERROR(IF(D163="","",IF(COUNTIF(Infraestructura,D163)&gt;0,"Infraestructura","Intangibles")),"")</f>
        <v/>
      </c>
      <c r="G163" s="1515"/>
      <c r="H163" s="774" t="str">
        <f>IFERROR(IF(F163="","",IF(F163="Intangibles","Unidad","Unidad")),"")</f>
        <v/>
      </c>
      <c r="I163" s="775"/>
      <c r="J163" s="775" t="str">
        <f>IFERROR(IF(F163="Infraestructura",INDEX('Base de datos'!$Y$63:$Z$68,MATCH(D163,Infraestructura,0),1),""),"")</f>
        <v/>
      </c>
      <c r="K163" s="775"/>
      <c r="M163" s="531" t="str">
        <f>IFERROR(IF(Q163=Q162,"",Q163),"")</f>
        <v/>
      </c>
      <c r="N163" s="531" t="str">
        <f>IFERROR(IF(X163=X162,"",X163),"")</f>
        <v/>
      </c>
      <c r="O163" s="250"/>
      <c r="P163" s="531" t="str">
        <f>IFERROR(IF(OR(B163="Implementación",B163=""),"c","b"),"")</f>
        <v>c</v>
      </c>
      <c r="Q163" s="425">
        <f>IFERROR(COUNTIF($P$162:P163,"b"),"")</f>
        <v>0</v>
      </c>
      <c r="R163" s="530" t="str">
        <f>IFERROR(IF(B163="","",B163),"")</f>
        <v/>
      </c>
      <c r="S163" s="530" t="str">
        <f>IFERROR(IF(D163="","",D163),"")</f>
        <v/>
      </c>
      <c r="T163" s="531">
        <v>1</v>
      </c>
      <c r="U163" s="530" t="str">
        <f>IFERROR(VLOOKUP(T163,$Q$163:$S$192,2,FALSE),"")</f>
        <v/>
      </c>
      <c r="V163" s="530" t="str">
        <f>IFERROR(VLOOKUP(T163,$Q$163:$S$192,3,FALSE),"")</f>
        <v/>
      </c>
      <c r="W163" s="531" t="str">
        <f>IFERROR(IF(OR(B163&lt;&gt;"Implementación",B163=""),"c","b"),"")</f>
        <v>c</v>
      </c>
      <c r="X163" s="531">
        <f>IFERROR(COUNTIF($W$162:W163,"b"),"")</f>
        <v>0</v>
      </c>
      <c r="Y163" s="531">
        <v>1</v>
      </c>
    </row>
    <row r="164" spans="2:25" ht="80.099999999999994" hidden="1" customHeight="1" x14ac:dyDescent="0.25">
      <c r="B164" s="1513" t="str">
        <f>IFERROR(INDEX('PROBLEMA-OBJETIVO'!$G$56:$Q$88,MATCH('PROBLEMA-OBJETIVO'!AP105,'PROBLEMA-OBJETIVO'!$Q$56:$Q$88,0),1),"")</f>
        <v/>
      </c>
      <c r="C164" s="1513"/>
      <c r="D164" s="1514" t="str">
        <f>IFERROR(INDEX('PROBLEMA-OBJETIVO'!$G$56:$Q$88,MATCH('PROBLEMA-OBJETIVO'!AP105,'PROBLEMA-OBJETIVO'!$Q$56:$Q$88,0),3),"")</f>
        <v/>
      </c>
      <c r="E164" s="1514"/>
      <c r="F164" s="1515" t="str">
        <f t="shared" si="20"/>
        <v/>
      </c>
      <c r="G164" s="1515"/>
      <c r="H164" s="774" t="str">
        <f t="shared" ref="H164:H192" si="21">IFERROR(IF(F164="","",IF(F164="Intangibles","Unidad","Unidad")),"")</f>
        <v/>
      </c>
      <c r="I164" s="775"/>
      <c r="J164" s="775" t="str">
        <f>IFERROR(IF(F164="Infraestructura",INDEX('Base de datos'!$Y$63:$Z$68,MATCH(D164,Infraestructura,0),1),""),"")</f>
        <v/>
      </c>
      <c r="K164" s="775"/>
      <c r="M164" s="531" t="str">
        <f t="shared" ref="M164:M192" si="22">IFERROR(IF(Q164=Q163,"",Q164),"")</f>
        <v/>
      </c>
      <c r="N164" s="531" t="str">
        <f t="shared" ref="N164:N192" si="23">IFERROR(IF(X164=X163,"",X164),"")</f>
        <v/>
      </c>
      <c r="O164" s="250"/>
      <c r="P164" s="531" t="str">
        <f t="shared" ref="P164:P192" si="24">IFERROR(IF(OR(B164="Implementación",B164=""),"c","b"),"")</f>
        <v>c</v>
      </c>
      <c r="Q164" s="425">
        <f>IFERROR(COUNTIF($P$162:P164,"b"),"")</f>
        <v>0</v>
      </c>
      <c r="R164" s="530" t="str">
        <f t="shared" ref="R164:R192" si="25">IFERROR(IF(B164="","",B164),"")</f>
        <v/>
      </c>
      <c r="S164" s="530" t="str">
        <f t="shared" ref="S164:S192" si="26">IFERROR(IF(D164="","",D164),"")</f>
        <v/>
      </c>
      <c r="T164" s="531">
        <v>2</v>
      </c>
      <c r="U164" s="530" t="str">
        <f t="shared" ref="U164:U192" si="27">IFERROR(VLOOKUP(T164,$Q$163:$S$192,2,FALSE),"")</f>
        <v/>
      </c>
      <c r="V164" s="530" t="str">
        <f t="shared" ref="V164:V192" si="28">IFERROR(VLOOKUP(T164,$Q$163:$S$192,3,FALSE),"")</f>
        <v/>
      </c>
      <c r="W164" s="531" t="str">
        <f t="shared" ref="W164:W192" si="29">IFERROR(IF(OR(B164&lt;&gt;"Implementación",B164=""),"c","b"),"")</f>
        <v>c</v>
      </c>
      <c r="X164" s="531">
        <f>IFERROR(COUNTIF($W$162:W164,"b"),"")</f>
        <v>0</v>
      </c>
      <c r="Y164" s="531">
        <v>2</v>
      </c>
    </row>
    <row r="165" spans="2:25" ht="80.099999999999994" hidden="1" customHeight="1" x14ac:dyDescent="0.25">
      <c r="B165" s="1513" t="str">
        <f>IFERROR(INDEX('PROBLEMA-OBJETIVO'!$G$56:$Q$88,MATCH('PROBLEMA-OBJETIVO'!AP106,'PROBLEMA-OBJETIVO'!$Q$56:$Q$88,0),1),"")</f>
        <v/>
      </c>
      <c r="C165" s="1513"/>
      <c r="D165" s="1514" t="str">
        <f>IFERROR(INDEX('PROBLEMA-OBJETIVO'!$G$56:$Q$88,MATCH('PROBLEMA-OBJETIVO'!AP106,'PROBLEMA-OBJETIVO'!$Q$56:$Q$88,0),3),"")</f>
        <v/>
      </c>
      <c r="E165" s="1514"/>
      <c r="F165" s="1515" t="str">
        <f t="shared" si="20"/>
        <v/>
      </c>
      <c r="G165" s="1515"/>
      <c r="H165" s="774" t="str">
        <f t="shared" si="21"/>
        <v/>
      </c>
      <c r="I165" s="775"/>
      <c r="J165" s="775" t="str">
        <f>IFERROR(IF(F165="Infraestructura",INDEX('Base de datos'!$Y$63:$Z$68,MATCH(D165,Infraestructura,0),1),""),"")</f>
        <v/>
      </c>
      <c r="K165" s="775"/>
      <c r="M165" s="531" t="str">
        <f t="shared" si="22"/>
        <v/>
      </c>
      <c r="N165" s="531" t="str">
        <f t="shared" si="23"/>
        <v/>
      </c>
      <c r="O165" s="250"/>
      <c r="P165" s="531" t="str">
        <f t="shared" si="24"/>
        <v>c</v>
      </c>
      <c r="Q165" s="425">
        <f>IFERROR(COUNTIF($P$162:P165,"b"),"")</f>
        <v>0</v>
      </c>
      <c r="R165" s="530" t="str">
        <f t="shared" si="25"/>
        <v/>
      </c>
      <c r="S165" s="530" t="str">
        <f t="shared" si="26"/>
        <v/>
      </c>
      <c r="T165" s="531">
        <v>3</v>
      </c>
      <c r="U165" s="530" t="str">
        <f t="shared" si="27"/>
        <v/>
      </c>
      <c r="V165" s="530" t="str">
        <f t="shared" si="28"/>
        <v/>
      </c>
      <c r="W165" s="531" t="str">
        <f t="shared" si="29"/>
        <v>c</v>
      </c>
      <c r="X165" s="531">
        <f>IFERROR(COUNTIF($W$162:W165,"b"),"")</f>
        <v>0</v>
      </c>
      <c r="Y165" s="531">
        <v>3</v>
      </c>
    </row>
    <row r="166" spans="2:25" ht="80.099999999999994" hidden="1" customHeight="1" x14ac:dyDescent="0.25">
      <c r="B166" s="1513" t="str">
        <f>IFERROR(INDEX('PROBLEMA-OBJETIVO'!$G$56:$Q$88,MATCH('PROBLEMA-OBJETIVO'!AP107,'PROBLEMA-OBJETIVO'!$Q$56:$Q$88,0),1),"")</f>
        <v/>
      </c>
      <c r="C166" s="1513"/>
      <c r="D166" s="1514" t="str">
        <f>IFERROR(INDEX('PROBLEMA-OBJETIVO'!$G$56:$Q$88,MATCH('PROBLEMA-OBJETIVO'!AP107,'PROBLEMA-OBJETIVO'!$Q$56:$Q$88,0),3),"")</f>
        <v/>
      </c>
      <c r="E166" s="1514"/>
      <c r="F166" s="1515" t="str">
        <f t="shared" si="20"/>
        <v/>
      </c>
      <c r="G166" s="1515"/>
      <c r="H166" s="774" t="str">
        <f t="shared" si="21"/>
        <v/>
      </c>
      <c r="I166" s="775"/>
      <c r="J166" s="775" t="str">
        <f>IFERROR(IF(F166="Infraestructura",INDEX('Base de datos'!$Y$63:$Z$68,MATCH(D166,Infraestructura,0),1),""),"")</f>
        <v/>
      </c>
      <c r="K166" s="775"/>
      <c r="M166" s="531" t="str">
        <f t="shared" si="22"/>
        <v/>
      </c>
      <c r="N166" s="531" t="str">
        <f t="shared" si="23"/>
        <v/>
      </c>
      <c r="O166" s="250"/>
      <c r="P166" s="531" t="str">
        <f t="shared" si="24"/>
        <v>c</v>
      </c>
      <c r="Q166" s="425">
        <f>IFERROR(COUNTIF($P$162:P166,"b"),"")</f>
        <v>0</v>
      </c>
      <c r="R166" s="530" t="str">
        <f t="shared" si="25"/>
        <v/>
      </c>
      <c r="S166" s="530" t="str">
        <f t="shared" si="26"/>
        <v/>
      </c>
      <c r="T166" s="531">
        <v>4</v>
      </c>
      <c r="U166" s="530" t="str">
        <f t="shared" si="27"/>
        <v/>
      </c>
      <c r="V166" s="530" t="str">
        <f t="shared" si="28"/>
        <v/>
      </c>
      <c r="W166" s="531" t="str">
        <f t="shared" si="29"/>
        <v>c</v>
      </c>
      <c r="X166" s="531">
        <f>IFERROR(COUNTIF($W$162:W166,"b"),"")</f>
        <v>0</v>
      </c>
      <c r="Y166" s="531">
        <v>4</v>
      </c>
    </row>
    <row r="167" spans="2:25" ht="80.099999999999994" hidden="1" customHeight="1" x14ac:dyDescent="0.25">
      <c r="B167" s="1513" t="str">
        <f>IFERROR(INDEX('PROBLEMA-OBJETIVO'!$G$56:$Q$88,MATCH('PROBLEMA-OBJETIVO'!AP108,'PROBLEMA-OBJETIVO'!$Q$56:$Q$88,0),1),"")</f>
        <v/>
      </c>
      <c r="C167" s="1513"/>
      <c r="D167" s="1514" t="str">
        <f>IFERROR(INDEX('PROBLEMA-OBJETIVO'!$G$56:$Q$88,MATCH('PROBLEMA-OBJETIVO'!AP108,'PROBLEMA-OBJETIVO'!$Q$56:$Q$88,0),3),"")</f>
        <v/>
      </c>
      <c r="E167" s="1514"/>
      <c r="F167" s="1515" t="str">
        <f t="shared" si="20"/>
        <v/>
      </c>
      <c r="G167" s="1515"/>
      <c r="H167" s="774" t="str">
        <f t="shared" si="21"/>
        <v/>
      </c>
      <c r="I167" s="775"/>
      <c r="J167" s="775" t="str">
        <f>IFERROR(IF(F167="Infraestructura",INDEX('Base de datos'!$Y$63:$Z$68,MATCH(D167,Infraestructura,0),1),""),"")</f>
        <v/>
      </c>
      <c r="K167" s="775"/>
      <c r="M167" s="531" t="str">
        <f t="shared" si="22"/>
        <v/>
      </c>
      <c r="N167" s="531" t="str">
        <f t="shared" si="23"/>
        <v/>
      </c>
      <c r="O167" s="250"/>
      <c r="P167" s="531" t="str">
        <f t="shared" si="24"/>
        <v>c</v>
      </c>
      <c r="Q167" s="425">
        <f>IFERROR(COUNTIF($P$162:P167,"b"),"")</f>
        <v>0</v>
      </c>
      <c r="R167" s="530" t="str">
        <f t="shared" si="25"/>
        <v/>
      </c>
      <c r="S167" s="530" t="str">
        <f t="shared" si="26"/>
        <v/>
      </c>
      <c r="T167" s="531">
        <v>5</v>
      </c>
      <c r="U167" s="530" t="str">
        <f t="shared" si="27"/>
        <v/>
      </c>
      <c r="V167" s="530" t="str">
        <f t="shared" si="28"/>
        <v/>
      </c>
      <c r="W167" s="531" t="str">
        <f t="shared" si="29"/>
        <v>c</v>
      </c>
      <c r="X167" s="531">
        <f>IFERROR(COUNTIF($W$162:W167,"b"),"")</f>
        <v>0</v>
      </c>
      <c r="Y167" s="531">
        <v>5</v>
      </c>
    </row>
    <row r="168" spans="2:25" ht="80.099999999999994" hidden="1" customHeight="1" x14ac:dyDescent="0.25">
      <c r="B168" s="1513" t="str">
        <f>IFERROR(INDEX('PROBLEMA-OBJETIVO'!$G$56:$Q$88,MATCH('PROBLEMA-OBJETIVO'!AP109,'PROBLEMA-OBJETIVO'!$Q$56:$Q$88,0),1),"")</f>
        <v/>
      </c>
      <c r="C168" s="1513"/>
      <c r="D168" s="1514" t="str">
        <f>IFERROR(INDEX('PROBLEMA-OBJETIVO'!$G$56:$Q$88,MATCH('PROBLEMA-OBJETIVO'!AP109,'PROBLEMA-OBJETIVO'!$Q$56:$Q$88,0),3),"")</f>
        <v/>
      </c>
      <c r="E168" s="1514"/>
      <c r="F168" s="1515" t="str">
        <f t="shared" si="20"/>
        <v/>
      </c>
      <c r="G168" s="1515"/>
      <c r="H168" s="774" t="str">
        <f t="shared" si="21"/>
        <v/>
      </c>
      <c r="I168" s="775"/>
      <c r="J168" s="775" t="str">
        <f>IFERROR(IF(F168="Infraestructura",INDEX('Base de datos'!$Y$63:$Z$68,MATCH(D168,Infraestructura,0),1),""),"")</f>
        <v/>
      </c>
      <c r="K168" s="775"/>
      <c r="M168" s="531" t="str">
        <f t="shared" si="22"/>
        <v/>
      </c>
      <c r="N168" s="531" t="str">
        <f t="shared" si="23"/>
        <v/>
      </c>
      <c r="O168" s="250"/>
      <c r="P168" s="531" t="str">
        <f t="shared" si="24"/>
        <v>c</v>
      </c>
      <c r="Q168" s="425">
        <f>IFERROR(COUNTIF($P$162:P168,"b"),"")</f>
        <v>0</v>
      </c>
      <c r="R168" s="530" t="str">
        <f t="shared" si="25"/>
        <v/>
      </c>
      <c r="S168" s="530" t="str">
        <f t="shared" si="26"/>
        <v/>
      </c>
      <c r="T168" s="531">
        <v>6</v>
      </c>
      <c r="U168" s="530" t="str">
        <f t="shared" si="27"/>
        <v/>
      </c>
      <c r="V168" s="530" t="str">
        <f t="shared" si="28"/>
        <v/>
      </c>
      <c r="W168" s="531" t="str">
        <f t="shared" si="29"/>
        <v>c</v>
      </c>
      <c r="X168" s="531">
        <f>IFERROR(COUNTIF($W$162:W168,"b"),"")</f>
        <v>0</v>
      </c>
      <c r="Y168" s="531">
        <v>6</v>
      </c>
    </row>
    <row r="169" spans="2:25" ht="80.099999999999994" hidden="1" customHeight="1" x14ac:dyDescent="0.25">
      <c r="B169" s="1513" t="str">
        <f>IFERROR(INDEX('PROBLEMA-OBJETIVO'!$G$56:$Q$88,MATCH('PROBLEMA-OBJETIVO'!AP110,'PROBLEMA-OBJETIVO'!$Q$56:$Q$88,0),1),"")</f>
        <v/>
      </c>
      <c r="C169" s="1513"/>
      <c r="D169" s="1514" t="str">
        <f>IFERROR(INDEX('PROBLEMA-OBJETIVO'!$G$56:$Q$88,MATCH('PROBLEMA-OBJETIVO'!AP110,'PROBLEMA-OBJETIVO'!$Q$56:$Q$88,0),3),"")</f>
        <v/>
      </c>
      <c r="E169" s="1514"/>
      <c r="F169" s="1515" t="str">
        <f t="shared" si="20"/>
        <v/>
      </c>
      <c r="G169" s="1515"/>
      <c r="H169" s="774" t="str">
        <f t="shared" si="21"/>
        <v/>
      </c>
      <c r="I169" s="775"/>
      <c r="J169" s="775" t="str">
        <f>IFERROR(IF(F169="Infraestructura",INDEX('Base de datos'!$Y$63:$Z$68,MATCH(D169,Infraestructura,0),1),""),"")</f>
        <v/>
      </c>
      <c r="K169" s="775"/>
      <c r="M169" s="531" t="str">
        <f t="shared" si="22"/>
        <v/>
      </c>
      <c r="N169" s="531" t="str">
        <f t="shared" si="23"/>
        <v/>
      </c>
      <c r="O169" s="250"/>
      <c r="P169" s="531" t="str">
        <f t="shared" si="24"/>
        <v>c</v>
      </c>
      <c r="Q169" s="425">
        <f>IFERROR(COUNTIF($P$162:P169,"b"),"")</f>
        <v>0</v>
      </c>
      <c r="R169" s="530" t="str">
        <f t="shared" si="25"/>
        <v/>
      </c>
      <c r="S169" s="530" t="str">
        <f t="shared" si="26"/>
        <v/>
      </c>
      <c r="T169" s="531">
        <v>7</v>
      </c>
      <c r="U169" s="530" t="str">
        <f t="shared" si="27"/>
        <v/>
      </c>
      <c r="V169" s="530" t="str">
        <f t="shared" si="28"/>
        <v/>
      </c>
      <c r="W169" s="531" t="str">
        <f t="shared" si="29"/>
        <v>c</v>
      </c>
      <c r="X169" s="531">
        <f>IFERROR(COUNTIF($W$162:W169,"b"),"")</f>
        <v>0</v>
      </c>
      <c r="Y169" s="531">
        <v>7</v>
      </c>
    </row>
    <row r="170" spans="2:25" ht="80.099999999999994" hidden="1" customHeight="1" x14ac:dyDescent="0.25">
      <c r="B170" s="1513" t="str">
        <f>IFERROR(INDEX('PROBLEMA-OBJETIVO'!$G$56:$Q$88,MATCH('PROBLEMA-OBJETIVO'!AP111,'PROBLEMA-OBJETIVO'!$Q$56:$Q$88,0),1),"")</f>
        <v/>
      </c>
      <c r="C170" s="1513"/>
      <c r="D170" s="1514" t="str">
        <f>IFERROR(INDEX('PROBLEMA-OBJETIVO'!$G$56:$Q$88,MATCH('PROBLEMA-OBJETIVO'!AP111,'PROBLEMA-OBJETIVO'!$Q$56:$Q$88,0),3),"")</f>
        <v/>
      </c>
      <c r="E170" s="1514"/>
      <c r="F170" s="1515" t="str">
        <f t="shared" si="20"/>
        <v/>
      </c>
      <c r="G170" s="1515"/>
      <c r="H170" s="774" t="str">
        <f t="shared" si="21"/>
        <v/>
      </c>
      <c r="I170" s="775"/>
      <c r="J170" s="775" t="str">
        <f>IFERROR(IF(F170="Infraestructura",INDEX('Base de datos'!$Y$63:$Z$68,MATCH(D170,Infraestructura,0),1),""),"")</f>
        <v/>
      </c>
      <c r="K170" s="775"/>
      <c r="M170" s="531" t="str">
        <f t="shared" si="22"/>
        <v/>
      </c>
      <c r="N170" s="531" t="str">
        <f t="shared" si="23"/>
        <v/>
      </c>
      <c r="O170" s="250"/>
      <c r="P170" s="531" t="str">
        <f t="shared" si="24"/>
        <v>c</v>
      </c>
      <c r="Q170" s="425">
        <f>IFERROR(COUNTIF($P$162:P170,"b"),"")</f>
        <v>0</v>
      </c>
      <c r="R170" s="530" t="str">
        <f t="shared" si="25"/>
        <v/>
      </c>
      <c r="S170" s="530" t="str">
        <f t="shared" si="26"/>
        <v/>
      </c>
      <c r="T170" s="531">
        <v>8</v>
      </c>
      <c r="U170" s="530" t="str">
        <f t="shared" si="27"/>
        <v/>
      </c>
      <c r="V170" s="530" t="str">
        <f t="shared" si="28"/>
        <v/>
      </c>
      <c r="W170" s="531" t="str">
        <f t="shared" si="29"/>
        <v>c</v>
      </c>
      <c r="X170" s="531">
        <f>IFERROR(COUNTIF($W$162:W170,"b"),"")</f>
        <v>0</v>
      </c>
      <c r="Y170" s="531">
        <v>8</v>
      </c>
    </row>
    <row r="171" spans="2:25" ht="80.099999999999994" hidden="1" customHeight="1" x14ac:dyDescent="0.25">
      <c r="B171" s="1513" t="str">
        <f>IFERROR(INDEX('PROBLEMA-OBJETIVO'!$G$56:$Q$88,MATCH('PROBLEMA-OBJETIVO'!AP112,'PROBLEMA-OBJETIVO'!$Q$56:$Q$88,0),1),"")</f>
        <v/>
      </c>
      <c r="C171" s="1513"/>
      <c r="D171" s="1514" t="str">
        <f>IFERROR(INDEX('PROBLEMA-OBJETIVO'!$G$56:$Q$88,MATCH('PROBLEMA-OBJETIVO'!AP112,'PROBLEMA-OBJETIVO'!$Q$56:$Q$88,0),3),"")</f>
        <v/>
      </c>
      <c r="E171" s="1514"/>
      <c r="F171" s="1515" t="str">
        <f t="shared" si="20"/>
        <v/>
      </c>
      <c r="G171" s="1515"/>
      <c r="H171" s="774" t="str">
        <f t="shared" si="21"/>
        <v/>
      </c>
      <c r="I171" s="775"/>
      <c r="J171" s="775" t="str">
        <f>IFERROR(IF(F171="Infraestructura",INDEX('Base de datos'!$Y$63:$Z$68,MATCH(D171,Infraestructura,0),1),""),"")</f>
        <v/>
      </c>
      <c r="K171" s="775"/>
      <c r="M171" s="531" t="str">
        <f t="shared" si="22"/>
        <v/>
      </c>
      <c r="N171" s="531" t="str">
        <f t="shared" si="23"/>
        <v/>
      </c>
      <c r="O171" s="250"/>
      <c r="P171" s="531" t="str">
        <f t="shared" si="24"/>
        <v>c</v>
      </c>
      <c r="Q171" s="425">
        <f>IFERROR(COUNTIF($P$162:P171,"b"),"")</f>
        <v>0</v>
      </c>
      <c r="R171" s="530" t="str">
        <f t="shared" si="25"/>
        <v/>
      </c>
      <c r="S171" s="530" t="str">
        <f t="shared" si="26"/>
        <v/>
      </c>
      <c r="T171" s="531">
        <v>9</v>
      </c>
      <c r="U171" s="530" t="str">
        <f t="shared" si="27"/>
        <v/>
      </c>
      <c r="V171" s="530" t="str">
        <f t="shared" si="28"/>
        <v/>
      </c>
      <c r="W171" s="531" t="str">
        <f t="shared" si="29"/>
        <v>c</v>
      </c>
      <c r="X171" s="531">
        <f>IFERROR(COUNTIF($W$162:W171,"b"),"")</f>
        <v>0</v>
      </c>
      <c r="Y171" s="531">
        <v>9</v>
      </c>
    </row>
    <row r="172" spans="2:25" ht="80.099999999999994" hidden="1" customHeight="1" x14ac:dyDescent="0.25">
      <c r="B172" s="1513" t="str">
        <f>IFERROR(INDEX('PROBLEMA-OBJETIVO'!$G$56:$Q$88,MATCH('PROBLEMA-OBJETIVO'!AP113,'PROBLEMA-OBJETIVO'!$Q$56:$Q$88,0),1),"")</f>
        <v/>
      </c>
      <c r="C172" s="1513"/>
      <c r="D172" s="1514" t="str">
        <f>IFERROR(INDEX('PROBLEMA-OBJETIVO'!$G$56:$Q$88,MATCH('PROBLEMA-OBJETIVO'!AP113,'PROBLEMA-OBJETIVO'!$Q$56:$Q$88,0),3),"")</f>
        <v/>
      </c>
      <c r="E172" s="1514"/>
      <c r="F172" s="1515" t="str">
        <f t="shared" si="20"/>
        <v/>
      </c>
      <c r="G172" s="1515"/>
      <c r="H172" s="774" t="str">
        <f t="shared" si="21"/>
        <v/>
      </c>
      <c r="I172" s="775"/>
      <c r="J172" s="775" t="str">
        <f>IFERROR(IF(F172="Infraestructura",INDEX('Base de datos'!$Y$63:$Z$68,MATCH(D172,Infraestructura,0),1),""),"")</f>
        <v/>
      </c>
      <c r="K172" s="775"/>
      <c r="M172" s="531" t="str">
        <f t="shared" si="22"/>
        <v/>
      </c>
      <c r="N172" s="531" t="str">
        <f t="shared" si="23"/>
        <v/>
      </c>
      <c r="O172" s="250"/>
      <c r="P172" s="531" t="str">
        <f t="shared" si="24"/>
        <v>c</v>
      </c>
      <c r="Q172" s="425">
        <f>IFERROR(COUNTIF($P$162:P172,"b"),"")</f>
        <v>0</v>
      </c>
      <c r="R172" s="530" t="str">
        <f t="shared" si="25"/>
        <v/>
      </c>
      <c r="S172" s="530" t="str">
        <f t="shared" si="26"/>
        <v/>
      </c>
      <c r="T172" s="531">
        <v>10</v>
      </c>
      <c r="U172" s="530" t="str">
        <f t="shared" si="27"/>
        <v/>
      </c>
      <c r="V172" s="530" t="str">
        <f t="shared" si="28"/>
        <v/>
      </c>
      <c r="W172" s="531" t="str">
        <f t="shared" si="29"/>
        <v>c</v>
      </c>
      <c r="X172" s="531">
        <f>IFERROR(COUNTIF($W$162:W172,"b"),"")</f>
        <v>0</v>
      </c>
      <c r="Y172" s="531">
        <v>10</v>
      </c>
    </row>
    <row r="173" spans="2:25" ht="80.099999999999994" hidden="1" customHeight="1" x14ac:dyDescent="0.25">
      <c r="B173" s="1513" t="str">
        <f>IFERROR(INDEX('PROBLEMA-OBJETIVO'!$G$56:$Q$88,MATCH('PROBLEMA-OBJETIVO'!AP114,'PROBLEMA-OBJETIVO'!$Q$56:$Q$88,0),1),"")</f>
        <v/>
      </c>
      <c r="C173" s="1513"/>
      <c r="D173" s="1514" t="str">
        <f>IFERROR(INDEX('PROBLEMA-OBJETIVO'!$G$56:$Q$88,MATCH('PROBLEMA-OBJETIVO'!AP114,'PROBLEMA-OBJETIVO'!$Q$56:$Q$88,0),3),"")</f>
        <v/>
      </c>
      <c r="E173" s="1514"/>
      <c r="F173" s="1515" t="str">
        <f t="shared" si="20"/>
        <v/>
      </c>
      <c r="G173" s="1515"/>
      <c r="H173" s="774" t="str">
        <f t="shared" si="21"/>
        <v/>
      </c>
      <c r="I173" s="775"/>
      <c r="J173" s="775" t="str">
        <f>IFERROR(IF(F173="Infraestructura",INDEX('Base de datos'!$Y$63:$Z$68,MATCH(D173,Infraestructura,0),1),""),"")</f>
        <v/>
      </c>
      <c r="K173" s="775"/>
      <c r="M173" s="531" t="str">
        <f t="shared" si="22"/>
        <v/>
      </c>
      <c r="N173" s="531" t="str">
        <f t="shared" si="23"/>
        <v/>
      </c>
      <c r="O173" s="250"/>
      <c r="P173" s="531" t="str">
        <f t="shared" si="24"/>
        <v>c</v>
      </c>
      <c r="Q173" s="425">
        <f>IFERROR(COUNTIF($P$162:P173,"b"),"")</f>
        <v>0</v>
      </c>
      <c r="R173" s="530" t="str">
        <f t="shared" si="25"/>
        <v/>
      </c>
      <c r="S173" s="530" t="str">
        <f t="shared" si="26"/>
        <v/>
      </c>
      <c r="T173" s="531">
        <v>11</v>
      </c>
      <c r="U173" s="530" t="str">
        <f t="shared" si="27"/>
        <v/>
      </c>
      <c r="V173" s="530" t="str">
        <f t="shared" si="28"/>
        <v/>
      </c>
      <c r="W173" s="531" t="str">
        <f t="shared" si="29"/>
        <v>c</v>
      </c>
      <c r="X173" s="531">
        <f>IFERROR(COUNTIF($W$162:W173,"b"),"")</f>
        <v>0</v>
      </c>
      <c r="Y173" s="531">
        <v>11</v>
      </c>
    </row>
    <row r="174" spans="2:25" ht="80.099999999999994" hidden="1" customHeight="1" x14ac:dyDescent="0.25">
      <c r="B174" s="1513" t="str">
        <f>IFERROR(INDEX('PROBLEMA-OBJETIVO'!$G$56:$Q$88,MATCH('PROBLEMA-OBJETIVO'!AP115,'PROBLEMA-OBJETIVO'!$Q$56:$Q$88,0),1),"")</f>
        <v/>
      </c>
      <c r="C174" s="1513"/>
      <c r="D174" s="1514" t="str">
        <f>IFERROR(INDEX('PROBLEMA-OBJETIVO'!$G$56:$Q$88,MATCH('PROBLEMA-OBJETIVO'!AP115,'PROBLEMA-OBJETIVO'!$Q$56:$Q$88,0),3),"")</f>
        <v/>
      </c>
      <c r="E174" s="1514"/>
      <c r="F174" s="1515" t="str">
        <f t="shared" si="20"/>
        <v/>
      </c>
      <c r="G174" s="1515"/>
      <c r="H174" s="774" t="str">
        <f t="shared" si="21"/>
        <v/>
      </c>
      <c r="I174" s="775"/>
      <c r="J174" s="775" t="str">
        <f>IFERROR(IF(F174="Infraestructura",INDEX('Base de datos'!$Y$63:$Z$68,MATCH(D174,Infraestructura,0),1),""),"")</f>
        <v/>
      </c>
      <c r="K174" s="775"/>
      <c r="M174" s="531" t="str">
        <f t="shared" si="22"/>
        <v/>
      </c>
      <c r="N174" s="531" t="str">
        <f t="shared" si="23"/>
        <v/>
      </c>
      <c r="O174" s="250"/>
      <c r="P174" s="531" t="str">
        <f t="shared" si="24"/>
        <v>c</v>
      </c>
      <c r="Q174" s="425">
        <f>IFERROR(COUNTIF($P$162:P174,"b"),"")</f>
        <v>0</v>
      </c>
      <c r="R174" s="530" t="str">
        <f t="shared" si="25"/>
        <v/>
      </c>
      <c r="S174" s="530" t="str">
        <f t="shared" si="26"/>
        <v/>
      </c>
      <c r="T174" s="531">
        <v>12</v>
      </c>
      <c r="U174" s="530" t="str">
        <f t="shared" si="27"/>
        <v/>
      </c>
      <c r="V174" s="530" t="str">
        <f t="shared" si="28"/>
        <v/>
      </c>
      <c r="W174" s="531" t="str">
        <f t="shared" si="29"/>
        <v>c</v>
      </c>
      <c r="X174" s="531">
        <f>IFERROR(COUNTIF($W$162:W174,"b"),"")</f>
        <v>0</v>
      </c>
      <c r="Y174" s="531">
        <v>12</v>
      </c>
    </row>
    <row r="175" spans="2:25" ht="80.099999999999994" hidden="1" customHeight="1" x14ac:dyDescent="0.25">
      <c r="B175" s="1513" t="str">
        <f>IFERROR(INDEX('PROBLEMA-OBJETIVO'!$G$56:$Q$88,MATCH('PROBLEMA-OBJETIVO'!AP116,'PROBLEMA-OBJETIVO'!$Q$56:$Q$88,0),1),"")</f>
        <v/>
      </c>
      <c r="C175" s="1513"/>
      <c r="D175" s="1514" t="str">
        <f>IFERROR(INDEX('PROBLEMA-OBJETIVO'!$G$56:$Q$88,MATCH('PROBLEMA-OBJETIVO'!AP116,'PROBLEMA-OBJETIVO'!$Q$56:$Q$88,0),3),"")</f>
        <v/>
      </c>
      <c r="E175" s="1514"/>
      <c r="F175" s="1515" t="str">
        <f t="shared" si="20"/>
        <v/>
      </c>
      <c r="G175" s="1515"/>
      <c r="H175" s="774" t="str">
        <f t="shared" si="21"/>
        <v/>
      </c>
      <c r="I175" s="775"/>
      <c r="J175" s="775" t="str">
        <f>IFERROR(IF(F175="Infraestructura",INDEX('Base de datos'!$Y$63:$Z$68,MATCH(D175,Infraestructura,0),1),""),"")</f>
        <v/>
      </c>
      <c r="K175" s="775"/>
      <c r="M175" s="531" t="str">
        <f t="shared" si="22"/>
        <v/>
      </c>
      <c r="N175" s="531" t="str">
        <f t="shared" si="23"/>
        <v/>
      </c>
      <c r="O175" s="250"/>
      <c r="P175" s="531" t="str">
        <f t="shared" si="24"/>
        <v>c</v>
      </c>
      <c r="Q175" s="425">
        <f>IFERROR(COUNTIF($P$162:P175,"b"),"")</f>
        <v>0</v>
      </c>
      <c r="R175" s="530" t="str">
        <f t="shared" si="25"/>
        <v/>
      </c>
      <c r="S175" s="530" t="str">
        <f t="shared" si="26"/>
        <v/>
      </c>
      <c r="T175" s="531">
        <v>13</v>
      </c>
      <c r="U175" s="530" t="str">
        <f t="shared" si="27"/>
        <v/>
      </c>
      <c r="V175" s="530" t="str">
        <f t="shared" si="28"/>
        <v/>
      </c>
      <c r="W175" s="531" t="str">
        <f t="shared" si="29"/>
        <v>c</v>
      </c>
      <c r="X175" s="531">
        <f>IFERROR(COUNTIF($W$162:W175,"b"),"")</f>
        <v>0</v>
      </c>
      <c r="Y175" s="531">
        <v>13</v>
      </c>
    </row>
    <row r="176" spans="2:25" ht="80.099999999999994" hidden="1" customHeight="1" x14ac:dyDescent="0.25">
      <c r="B176" s="1513" t="str">
        <f>IFERROR(INDEX('PROBLEMA-OBJETIVO'!$G$56:$Q$88,MATCH('PROBLEMA-OBJETIVO'!AP117,'PROBLEMA-OBJETIVO'!$Q$56:$Q$88,0),1),"")</f>
        <v/>
      </c>
      <c r="C176" s="1513"/>
      <c r="D176" s="1514" t="str">
        <f>IFERROR(INDEX('PROBLEMA-OBJETIVO'!$G$56:$Q$88,MATCH('PROBLEMA-OBJETIVO'!AP117,'PROBLEMA-OBJETIVO'!$Q$56:$Q$88,0),3),"")</f>
        <v/>
      </c>
      <c r="E176" s="1514"/>
      <c r="F176" s="1515" t="str">
        <f t="shared" si="20"/>
        <v/>
      </c>
      <c r="G176" s="1515"/>
      <c r="H176" s="774" t="str">
        <f t="shared" si="21"/>
        <v/>
      </c>
      <c r="I176" s="775"/>
      <c r="J176" s="775" t="str">
        <f>IFERROR(IF(F176="Infraestructura",INDEX('Base de datos'!$Y$63:$Z$68,MATCH(D176,Infraestructura,0),1),""),"")</f>
        <v/>
      </c>
      <c r="K176" s="775"/>
      <c r="M176" s="531" t="str">
        <f t="shared" si="22"/>
        <v/>
      </c>
      <c r="N176" s="531" t="str">
        <f t="shared" si="23"/>
        <v/>
      </c>
      <c r="O176" s="250"/>
      <c r="P176" s="531" t="str">
        <f t="shared" si="24"/>
        <v>c</v>
      </c>
      <c r="Q176" s="425">
        <f>IFERROR(COUNTIF($P$162:P176,"b"),"")</f>
        <v>0</v>
      </c>
      <c r="R176" s="530" t="str">
        <f t="shared" si="25"/>
        <v/>
      </c>
      <c r="S176" s="530" t="str">
        <f t="shared" si="26"/>
        <v/>
      </c>
      <c r="T176" s="531">
        <v>14</v>
      </c>
      <c r="U176" s="530" t="str">
        <f t="shared" si="27"/>
        <v/>
      </c>
      <c r="V176" s="530" t="str">
        <f t="shared" si="28"/>
        <v/>
      </c>
      <c r="W176" s="531" t="str">
        <f t="shared" si="29"/>
        <v>c</v>
      </c>
      <c r="X176" s="531">
        <f>IFERROR(COUNTIF($W$162:W176,"b"),"")</f>
        <v>0</v>
      </c>
      <c r="Y176" s="531">
        <v>14</v>
      </c>
    </row>
    <row r="177" spans="2:25" ht="80.099999999999994" hidden="1" customHeight="1" x14ac:dyDescent="0.25">
      <c r="B177" s="1513" t="str">
        <f>IFERROR(INDEX('PROBLEMA-OBJETIVO'!$G$56:$Q$88,MATCH('PROBLEMA-OBJETIVO'!AP118,'PROBLEMA-OBJETIVO'!$Q$56:$Q$88,0),1),"")</f>
        <v/>
      </c>
      <c r="C177" s="1513"/>
      <c r="D177" s="1514" t="str">
        <f>IFERROR(INDEX('PROBLEMA-OBJETIVO'!$G$56:$Q$88,MATCH('PROBLEMA-OBJETIVO'!AP118,'PROBLEMA-OBJETIVO'!$Q$56:$Q$88,0),3),"")</f>
        <v/>
      </c>
      <c r="E177" s="1514"/>
      <c r="F177" s="1515" t="str">
        <f t="shared" si="20"/>
        <v/>
      </c>
      <c r="G177" s="1515"/>
      <c r="H177" s="774" t="str">
        <f t="shared" si="21"/>
        <v/>
      </c>
      <c r="I177" s="775"/>
      <c r="J177" s="775" t="str">
        <f>IFERROR(IF(F177="Infraestructura",INDEX('Base de datos'!$Y$63:$Z$68,MATCH(D177,Infraestructura,0),1),""),"")</f>
        <v/>
      </c>
      <c r="K177" s="775"/>
      <c r="M177" s="531" t="str">
        <f t="shared" si="22"/>
        <v/>
      </c>
      <c r="N177" s="531" t="str">
        <f t="shared" si="23"/>
        <v/>
      </c>
      <c r="O177" s="250"/>
      <c r="P177" s="531" t="str">
        <f t="shared" si="24"/>
        <v>c</v>
      </c>
      <c r="Q177" s="425">
        <f>IFERROR(COUNTIF($P$162:P177,"b"),"")</f>
        <v>0</v>
      </c>
      <c r="R177" s="530" t="str">
        <f t="shared" si="25"/>
        <v/>
      </c>
      <c r="S177" s="530" t="str">
        <f t="shared" si="26"/>
        <v/>
      </c>
      <c r="T177" s="531">
        <v>15</v>
      </c>
      <c r="U177" s="530" t="str">
        <f t="shared" si="27"/>
        <v/>
      </c>
      <c r="V177" s="530" t="str">
        <f t="shared" si="28"/>
        <v/>
      </c>
      <c r="W177" s="531" t="str">
        <f t="shared" si="29"/>
        <v>c</v>
      </c>
      <c r="X177" s="531">
        <f>IFERROR(COUNTIF($W$162:W177,"b"),"")</f>
        <v>0</v>
      </c>
      <c r="Y177" s="531">
        <v>15</v>
      </c>
    </row>
    <row r="178" spans="2:25" ht="80.099999999999994" hidden="1" customHeight="1" x14ac:dyDescent="0.25">
      <c r="B178" s="1513" t="str">
        <f>IFERROR(INDEX('PROBLEMA-OBJETIVO'!$G$56:$Q$88,MATCH('PROBLEMA-OBJETIVO'!AP119,'PROBLEMA-OBJETIVO'!$Q$56:$Q$88,0),1),"")</f>
        <v/>
      </c>
      <c r="C178" s="1513"/>
      <c r="D178" s="1514" t="str">
        <f>IFERROR(INDEX('PROBLEMA-OBJETIVO'!$G$56:$Q$88,MATCH('PROBLEMA-OBJETIVO'!AP119,'PROBLEMA-OBJETIVO'!$Q$56:$Q$88,0),3),"")</f>
        <v/>
      </c>
      <c r="E178" s="1514"/>
      <c r="F178" s="1515" t="str">
        <f t="shared" si="20"/>
        <v/>
      </c>
      <c r="G178" s="1515"/>
      <c r="H178" s="774" t="str">
        <f t="shared" si="21"/>
        <v/>
      </c>
      <c r="I178" s="775"/>
      <c r="J178" s="775" t="str">
        <f>IFERROR(IF(F178="Infraestructura",INDEX('Base de datos'!$Y$63:$Z$68,MATCH(D178,Infraestructura,0),1),""),"")</f>
        <v/>
      </c>
      <c r="K178" s="775"/>
      <c r="M178" s="531" t="str">
        <f t="shared" si="22"/>
        <v/>
      </c>
      <c r="N178" s="531" t="str">
        <f t="shared" si="23"/>
        <v/>
      </c>
      <c r="O178" s="250"/>
      <c r="P178" s="531" t="str">
        <f t="shared" si="24"/>
        <v>c</v>
      </c>
      <c r="Q178" s="425">
        <f>IFERROR(COUNTIF($P$162:P178,"b"),"")</f>
        <v>0</v>
      </c>
      <c r="R178" s="530" t="str">
        <f t="shared" si="25"/>
        <v/>
      </c>
      <c r="S178" s="530" t="str">
        <f t="shared" si="26"/>
        <v/>
      </c>
      <c r="T178" s="531">
        <v>16</v>
      </c>
      <c r="U178" s="530" t="str">
        <f t="shared" si="27"/>
        <v/>
      </c>
      <c r="V178" s="530" t="str">
        <f t="shared" si="28"/>
        <v/>
      </c>
      <c r="W178" s="531" t="str">
        <f t="shared" si="29"/>
        <v>c</v>
      </c>
      <c r="X178" s="531">
        <f>IFERROR(COUNTIF($W$162:W178,"b"),"")</f>
        <v>0</v>
      </c>
      <c r="Y178" s="531">
        <v>16</v>
      </c>
    </row>
    <row r="179" spans="2:25" ht="80.099999999999994" hidden="1" customHeight="1" x14ac:dyDescent="0.25">
      <c r="B179" s="1513" t="str">
        <f>IFERROR(INDEX('PROBLEMA-OBJETIVO'!$G$56:$Q$88,MATCH('PROBLEMA-OBJETIVO'!AP120,'PROBLEMA-OBJETIVO'!$Q$56:$Q$88,0),1),"")</f>
        <v/>
      </c>
      <c r="C179" s="1513"/>
      <c r="D179" s="1514" t="str">
        <f>IFERROR(INDEX('PROBLEMA-OBJETIVO'!$G$56:$Q$88,MATCH('PROBLEMA-OBJETIVO'!AP120,'PROBLEMA-OBJETIVO'!$Q$56:$Q$88,0),3),"")</f>
        <v/>
      </c>
      <c r="E179" s="1514"/>
      <c r="F179" s="1515" t="str">
        <f t="shared" si="20"/>
        <v/>
      </c>
      <c r="G179" s="1515"/>
      <c r="H179" s="774" t="str">
        <f t="shared" si="21"/>
        <v/>
      </c>
      <c r="I179" s="775"/>
      <c r="J179" s="775" t="str">
        <f>IFERROR(IF(F179="Infraestructura",INDEX('Base de datos'!$Y$63:$Z$68,MATCH(D179,Infraestructura,0),1),""),"")</f>
        <v/>
      </c>
      <c r="K179" s="775"/>
      <c r="M179" s="531" t="str">
        <f t="shared" si="22"/>
        <v/>
      </c>
      <c r="N179" s="531" t="str">
        <f t="shared" si="23"/>
        <v/>
      </c>
      <c r="O179" s="250"/>
      <c r="P179" s="531" t="str">
        <f t="shared" si="24"/>
        <v>c</v>
      </c>
      <c r="Q179" s="425">
        <f>IFERROR(COUNTIF($P$162:P179,"b"),"")</f>
        <v>0</v>
      </c>
      <c r="R179" s="530" t="str">
        <f t="shared" si="25"/>
        <v/>
      </c>
      <c r="S179" s="530" t="str">
        <f t="shared" si="26"/>
        <v/>
      </c>
      <c r="T179" s="531">
        <v>17</v>
      </c>
      <c r="U179" s="530" t="str">
        <f t="shared" si="27"/>
        <v/>
      </c>
      <c r="V179" s="530" t="str">
        <f t="shared" si="28"/>
        <v/>
      </c>
      <c r="W179" s="531" t="str">
        <f t="shared" si="29"/>
        <v>c</v>
      </c>
      <c r="X179" s="531">
        <f>IFERROR(COUNTIF($W$162:W179,"b"),"")</f>
        <v>0</v>
      </c>
      <c r="Y179" s="531">
        <v>17</v>
      </c>
    </row>
    <row r="180" spans="2:25" ht="80.099999999999994" hidden="1" customHeight="1" x14ac:dyDescent="0.25">
      <c r="B180" s="1513" t="str">
        <f>IFERROR(INDEX('PROBLEMA-OBJETIVO'!$G$56:$Q$88,MATCH('PROBLEMA-OBJETIVO'!AP121,'PROBLEMA-OBJETIVO'!$Q$56:$Q$88,0),1),"")</f>
        <v/>
      </c>
      <c r="C180" s="1513"/>
      <c r="D180" s="1514" t="str">
        <f>IFERROR(INDEX('PROBLEMA-OBJETIVO'!$G$56:$Q$88,MATCH('PROBLEMA-OBJETIVO'!AP121,'PROBLEMA-OBJETIVO'!$Q$56:$Q$88,0),3),"")</f>
        <v/>
      </c>
      <c r="E180" s="1514"/>
      <c r="F180" s="1515" t="str">
        <f t="shared" si="20"/>
        <v/>
      </c>
      <c r="G180" s="1515"/>
      <c r="H180" s="774" t="str">
        <f t="shared" si="21"/>
        <v/>
      </c>
      <c r="I180" s="775"/>
      <c r="J180" s="775" t="str">
        <f>IFERROR(IF(F180="Infraestructura",INDEX('Base de datos'!$Y$63:$Z$68,MATCH(D180,Infraestructura,0),1),""),"")</f>
        <v/>
      </c>
      <c r="K180" s="775"/>
      <c r="M180" s="531" t="str">
        <f t="shared" si="22"/>
        <v/>
      </c>
      <c r="N180" s="531" t="str">
        <f t="shared" si="23"/>
        <v/>
      </c>
      <c r="O180" s="250"/>
      <c r="P180" s="531" t="str">
        <f t="shared" si="24"/>
        <v>c</v>
      </c>
      <c r="Q180" s="425">
        <f>IFERROR(COUNTIF($P$162:P180,"b"),"")</f>
        <v>0</v>
      </c>
      <c r="R180" s="530" t="str">
        <f t="shared" si="25"/>
        <v/>
      </c>
      <c r="S180" s="530" t="str">
        <f t="shared" si="26"/>
        <v/>
      </c>
      <c r="T180" s="531">
        <v>18</v>
      </c>
      <c r="U180" s="530" t="str">
        <f t="shared" si="27"/>
        <v/>
      </c>
      <c r="V180" s="530" t="str">
        <f t="shared" si="28"/>
        <v/>
      </c>
      <c r="W180" s="531" t="str">
        <f t="shared" si="29"/>
        <v>c</v>
      </c>
      <c r="X180" s="531">
        <f>IFERROR(COUNTIF($W$162:W180,"b"),"")</f>
        <v>0</v>
      </c>
      <c r="Y180" s="531">
        <v>18</v>
      </c>
    </row>
    <row r="181" spans="2:25" ht="80.099999999999994" hidden="1" customHeight="1" x14ac:dyDescent="0.25">
      <c r="B181" s="1513" t="str">
        <f>IFERROR(INDEX('PROBLEMA-OBJETIVO'!$G$56:$Q$88,MATCH('PROBLEMA-OBJETIVO'!AP122,'PROBLEMA-OBJETIVO'!$Q$56:$Q$88,0),1),"")</f>
        <v/>
      </c>
      <c r="C181" s="1513"/>
      <c r="D181" s="1514" t="str">
        <f>IFERROR(INDEX('PROBLEMA-OBJETIVO'!$G$56:$Q$88,MATCH('PROBLEMA-OBJETIVO'!AP122,'PROBLEMA-OBJETIVO'!$Q$56:$Q$88,0),3),"")</f>
        <v/>
      </c>
      <c r="E181" s="1514"/>
      <c r="F181" s="1515" t="str">
        <f t="shared" si="20"/>
        <v/>
      </c>
      <c r="G181" s="1515"/>
      <c r="H181" s="774" t="str">
        <f t="shared" si="21"/>
        <v/>
      </c>
      <c r="I181" s="775"/>
      <c r="J181" s="775" t="str">
        <f>IFERROR(IF(F181="Infraestructura",INDEX('Base de datos'!$Y$63:$Z$68,MATCH(D181,Infraestructura,0),1),""),"")</f>
        <v/>
      </c>
      <c r="K181" s="775"/>
      <c r="M181" s="531" t="str">
        <f t="shared" si="22"/>
        <v/>
      </c>
      <c r="N181" s="531" t="str">
        <f t="shared" si="23"/>
        <v/>
      </c>
      <c r="O181" s="250"/>
      <c r="P181" s="531" t="str">
        <f t="shared" si="24"/>
        <v>c</v>
      </c>
      <c r="Q181" s="425">
        <f>IFERROR(COUNTIF($P$162:P181,"b"),"")</f>
        <v>0</v>
      </c>
      <c r="R181" s="530" t="str">
        <f t="shared" si="25"/>
        <v/>
      </c>
      <c r="S181" s="530" t="str">
        <f t="shared" si="26"/>
        <v/>
      </c>
      <c r="T181" s="531">
        <v>19</v>
      </c>
      <c r="U181" s="530" t="str">
        <f t="shared" si="27"/>
        <v/>
      </c>
      <c r="V181" s="530" t="str">
        <f t="shared" si="28"/>
        <v/>
      </c>
      <c r="W181" s="531" t="str">
        <f t="shared" si="29"/>
        <v>c</v>
      </c>
      <c r="X181" s="531">
        <f>IFERROR(COUNTIF($W$162:W181,"b"),"")</f>
        <v>0</v>
      </c>
      <c r="Y181" s="531">
        <v>19</v>
      </c>
    </row>
    <row r="182" spans="2:25" ht="80.099999999999994" hidden="1" customHeight="1" x14ac:dyDescent="0.25">
      <c r="B182" s="1513" t="str">
        <f>IFERROR(INDEX('PROBLEMA-OBJETIVO'!$G$56:$Q$88,MATCH('PROBLEMA-OBJETIVO'!AP123,'PROBLEMA-OBJETIVO'!$Q$56:$Q$88,0),1),"")</f>
        <v/>
      </c>
      <c r="C182" s="1513"/>
      <c r="D182" s="1514" t="str">
        <f>IFERROR(INDEX('PROBLEMA-OBJETIVO'!$G$56:$Q$88,MATCH('PROBLEMA-OBJETIVO'!AP123,'PROBLEMA-OBJETIVO'!$Q$56:$Q$88,0),3),"")</f>
        <v/>
      </c>
      <c r="E182" s="1514"/>
      <c r="F182" s="1515" t="str">
        <f t="shared" si="20"/>
        <v/>
      </c>
      <c r="G182" s="1515"/>
      <c r="H182" s="774" t="str">
        <f t="shared" si="21"/>
        <v/>
      </c>
      <c r="I182" s="775"/>
      <c r="J182" s="775" t="str">
        <f>IFERROR(IF(F182="Infraestructura",INDEX('Base de datos'!$Y$63:$Z$68,MATCH(D182,Infraestructura,0),1),""),"")</f>
        <v/>
      </c>
      <c r="K182" s="775"/>
      <c r="M182" s="531" t="str">
        <f t="shared" si="22"/>
        <v/>
      </c>
      <c r="N182" s="531" t="str">
        <f t="shared" si="23"/>
        <v/>
      </c>
      <c r="O182" s="250"/>
      <c r="P182" s="531" t="str">
        <f t="shared" si="24"/>
        <v>c</v>
      </c>
      <c r="Q182" s="425">
        <f>IFERROR(COUNTIF($P$162:P182,"b"),"")</f>
        <v>0</v>
      </c>
      <c r="R182" s="530" t="str">
        <f t="shared" si="25"/>
        <v/>
      </c>
      <c r="S182" s="530" t="str">
        <f t="shared" si="26"/>
        <v/>
      </c>
      <c r="T182" s="531">
        <v>20</v>
      </c>
      <c r="U182" s="530" t="str">
        <f t="shared" si="27"/>
        <v/>
      </c>
      <c r="V182" s="530" t="str">
        <f t="shared" si="28"/>
        <v/>
      </c>
      <c r="W182" s="531" t="str">
        <f t="shared" si="29"/>
        <v>c</v>
      </c>
      <c r="X182" s="531">
        <f>IFERROR(COUNTIF($W$162:W182,"b"),"")</f>
        <v>0</v>
      </c>
      <c r="Y182" s="531">
        <v>20</v>
      </c>
    </row>
    <row r="183" spans="2:25" ht="80.099999999999994" hidden="1" customHeight="1" x14ac:dyDescent="0.25">
      <c r="B183" s="1513" t="str">
        <f>IFERROR(INDEX('PROBLEMA-OBJETIVO'!$G$56:$Q$88,MATCH('PROBLEMA-OBJETIVO'!AP124,'PROBLEMA-OBJETIVO'!$Q$56:$Q$88,0),1),"")</f>
        <v/>
      </c>
      <c r="C183" s="1513"/>
      <c r="D183" s="1514" t="str">
        <f>IFERROR(INDEX('PROBLEMA-OBJETIVO'!$G$56:$Q$88,MATCH('PROBLEMA-OBJETIVO'!AP124,'PROBLEMA-OBJETIVO'!$Q$56:$Q$88,0),3),"")</f>
        <v/>
      </c>
      <c r="E183" s="1514"/>
      <c r="F183" s="1515" t="str">
        <f t="shared" si="20"/>
        <v/>
      </c>
      <c r="G183" s="1515"/>
      <c r="H183" s="774" t="str">
        <f t="shared" si="21"/>
        <v/>
      </c>
      <c r="I183" s="775"/>
      <c r="J183" s="775" t="str">
        <f>IFERROR(IF(F183="Infraestructura",INDEX('Base de datos'!$Y$63:$Z$68,MATCH(D183,Infraestructura,0),1),""),"")</f>
        <v/>
      </c>
      <c r="K183" s="775"/>
      <c r="M183" s="531" t="str">
        <f t="shared" si="22"/>
        <v/>
      </c>
      <c r="N183" s="531" t="str">
        <f t="shared" si="23"/>
        <v/>
      </c>
      <c r="O183" s="250"/>
      <c r="P183" s="531" t="str">
        <f t="shared" si="24"/>
        <v>c</v>
      </c>
      <c r="Q183" s="425">
        <f>IFERROR(COUNTIF($P$162:P183,"b"),"")</f>
        <v>0</v>
      </c>
      <c r="R183" s="530" t="str">
        <f t="shared" si="25"/>
        <v/>
      </c>
      <c r="S183" s="530" t="str">
        <f t="shared" si="26"/>
        <v/>
      </c>
      <c r="T183" s="531">
        <v>21</v>
      </c>
      <c r="U183" s="530" t="str">
        <f t="shared" si="27"/>
        <v/>
      </c>
      <c r="V183" s="530" t="str">
        <f t="shared" si="28"/>
        <v/>
      </c>
      <c r="W183" s="531" t="str">
        <f t="shared" si="29"/>
        <v>c</v>
      </c>
      <c r="X183" s="531">
        <f>IFERROR(COUNTIF($W$162:W183,"b"),"")</f>
        <v>0</v>
      </c>
      <c r="Y183" s="531">
        <v>21</v>
      </c>
    </row>
    <row r="184" spans="2:25" ht="80.099999999999994" hidden="1" customHeight="1" x14ac:dyDescent="0.25">
      <c r="B184" s="1513" t="str">
        <f>IFERROR(INDEX('PROBLEMA-OBJETIVO'!$G$56:$Q$88,MATCH('PROBLEMA-OBJETIVO'!AP125,'PROBLEMA-OBJETIVO'!$Q$56:$Q$88,0),1),"")</f>
        <v/>
      </c>
      <c r="C184" s="1513"/>
      <c r="D184" s="1514" t="str">
        <f>IFERROR(INDEX('PROBLEMA-OBJETIVO'!$G$56:$Q$88,MATCH('PROBLEMA-OBJETIVO'!AP125,'PROBLEMA-OBJETIVO'!$Q$56:$Q$88,0),3),"")</f>
        <v/>
      </c>
      <c r="E184" s="1514"/>
      <c r="F184" s="1515" t="str">
        <f t="shared" si="20"/>
        <v/>
      </c>
      <c r="G184" s="1515"/>
      <c r="H184" s="774" t="str">
        <f t="shared" si="21"/>
        <v/>
      </c>
      <c r="I184" s="775"/>
      <c r="J184" s="775" t="str">
        <f>IFERROR(IF(F184="Infraestructura",INDEX('Base de datos'!$Y$63:$Z$68,MATCH(D184,Infraestructura,0),1),""),"")</f>
        <v/>
      </c>
      <c r="K184" s="775"/>
      <c r="M184" s="531" t="str">
        <f t="shared" si="22"/>
        <v/>
      </c>
      <c r="N184" s="531" t="str">
        <f t="shared" si="23"/>
        <v/>
      </c>
      <c r="O184" s="250"/>
      <c r="P184" s="531" t="str">
        <f t="shared" si="24"/>
        <v>c</v>
      </c>
      <c r="Q184" s="425">
        <f>IFERROR(COUNTIF($P$162:P184,"b"),"")</f>
        <v>0</v>
      </c>
      <c r="R184" s="530" t="str">
        <f t="shared" si="25"/>
        <v/>
      </c>
      <c r="S184" s="530" t="str">
        <f t="shared" si="26"/>
        <v/>
      </c>
      <c r="T184" s="531">
        <v>22</v>
      </c>
      <c r="U184" s="530" t="str">
        <f t="shared" si="27"/>
        <v/>
      </c>
      <c r="V184" s="530" t="str">
        <f t="shared" si="28"/>
        <v/>
      </c>
      <c r="W184" s="531" t="str">
        <f t="shared" si="29"/>
        <v>c</v>
      </c>
      <c r="X184" s="531">
        <f>IFERROR(COUNTIF($W$162:W184,"b"),"")</f>
        <v>0</v>
      </c>
      <c r="Y184" s="531">
        <v>22</v>
      </c>
    </row>
    <row r="185" spans="2:25" ht="80.099999999999994" hidden="1" customHeight="1" x14ac:dyDescent="0.25">
      <c r="B185" s="1513" t="str">
        <f>IFERROR(INDEX('PROBLEMA-OBJETIVO'!$G$56:$Q$88,MATCH('PROBLEMA-OBJETIVO'!AP126,'PROBLEMA-OBJETIVO'!$Q$56:$Q$88,0),1),"")</f>
        <v/>
      </c>
      <c r="C185" s="1513"/>
      <c r="D185" s="1514" t="str">
        <f>IFERROR(INDEX('PROBLEMA-OBJETIVO'!$G$56:$Q$88,MATCH('PROBLEMA-OBJETIVO'!AP126,'PROBLEMA-OBJETIVO'!$Q$56:$Q$88,0),3),"")</f>
        <v/>
      </c>
      <c r="E185" s="1514"/>
      <c r="F185" s="1515" t="str">
        <f t="shared" si="20"/>
        <v/>
      </c>
      <c r="G185" s="1515"/>
      <c r="H185" s="774" t="str">
        <f t="shared" si="21"/>
        <v/>
      </c>
      <c r="I185" s="775"/>
      <c r="J185" s="775" t="str">
        <f>IFERROR(IF(F185="Infraestructura",INDEX('Base de datos'!$Y$63:$Z$68,MATCH(D185,Infraestructura,0),1),""),"")</f>
        <v/>
      </c>
      <c r="K185" s="775"/>
      <c r="M185" s="531" t="str">
        <f t="shared" si="22"/>
        <v/>
      </c>
      <c r="N185" s="531" t="str">
        <f t="shared" si="23"/>
        <v/>
      </c>
      <c r="O185" s="250"/>
      <c r="P185" s="531" t="str">
        <f t="shared" si="24"/>
        <v>c</v>
      </c>
      <c r="Q185" s="425">
        <f>IFERROR(COUNTIF($P$162:P185,"b"),"")</f>
        <v>0</v>
      </c>
      <c r="R185" s="530" t="str">
        <f t="shared" si="25"/>
        <v/>
      </c>
      <c r="S185" s="530" t="str">
        <f t="shared" si="26"/>
        <v/>
      </c>
      <c r="T185" s="531">
        <v>23</v>
      </c>
      <c r="U185" s="530" t="str">
        <f t="shared" si="27"/>
        <v/>
      </c>
      <c r="V185" s="530" t="str">
        <f t="shared" si="28"/>
        <v/>
      </c>
      <c r="W185" s="531" t="str">
        <f t="shared" si="29"/>
        <v>c</v>
      </c>
      <c r="X185" s="531">
        <f>IFERROR(COUNTIF($W$162:W185,"b"),"")</f>
        <v>0</v>
      </c>
      <c r="Y185" s="531">
        <v>23</v>
      </c>
    </row>
    <row r="186" spans="2:25" ht="80.099999999999994" hidden="1" customHeight="1" x14ac:dyDescent="0.25">
      <c r="B186" s="1513" t="str">
        <f>IFERROR(INDEX('PROBLEMA-OBJETIVO'!$G$56:$Q$88,MATCH('PROBLEMA-OBJETIVO'!AP127,'PROBLEMA-OBJETIVO'!$Q$56:$Q$88,0),1),"")</f>
        <v/>
      </c>
      <c r="C186" s="1513"/>
      <c r="D186" s="1514" t="str">
        <f>IFERROR(INDEX('PROBLEMA-OBJETIVO'!$G$56:$Q$88,MATCH('PROBLEMA-OBJETIVO'!AP127,'PROBLEMA-OBJETIVO'!$Q$56:$Q$88,0),3),"")</f>
        <v/>
      </c>
      <c r="E186" s="1514"/>
      <c r="F186" s="1515" t="str">
        <f t="shared" si="20"/>
        <v/>
      </c>
      <c r="G186" s="1515"/>
      <c r="H186" s="774" t="str">
        <f t="shared" si="21"/>
        <v/>
      </c>
      <c r="I186" s="775"/>
      <c r="J186" s="775" t="str">
        <f>IFERROR(IF(F186="Infraestructura",INDEX('Base de datos'!$Y$63:$Z$68,MATCH(D186,Infraestructura,0),1),""),"")</f>
        <v/>
      </c>
      <c r="K186" s="775"/>
      <c r="M186" s="531" t="str">
        <f t="shared" si="22"/>
        <v/>
      </c>
      <c r="N186" s="531" t="str">
        <f t="shared" si="23"/>
        <v/>
      </c>
      <c r="O186" s="250"/>
      <c r="P186" s="531" t="str">
        <f t="shared" si="24"/>
        <v>c</v>
      </c>
      <c r="Q186" s="425">
        <f>IFERROR(COUNTIF($P$162:P186,"b"),"")</f>
        <v>0</v>
      </c>
      <c r="R186" s="530" t="str">
        <f t="shared" si="25"/>
        <v/>
      </c>
      <c r="S186" s="530" t="str">
        <f t="shared" si="26"/>
        <v/>
      </c>
      <c r="T186" s="531">
        <v>24</v>
      </c>
      <c r="U186" s="530" t="str">
        <f t="shared" si="27"/>
        <v/>
      </c>
      <c r="V186" s="530" t="str">
        <f t="shared" si="28"/>
        <v/>
      </c>
      <c r="W186" s="531" t="str">
        <f t="shared" si="29"/>
        <v>c</v>
      </c>
      <c r="X186" s="531">
        <f>IFERROR(COUNTIF($W$162:W186,"b"),"")</f>
        <v>0</v>
      </c>
      <c r="Y186" s="531">
        <v>24</v>
      </c>
    </row>
    <row r="187" spans="2:25" ht="80.099999999999994" hidden="1" customHeight="1" x14ac:dyDescent="0.25">
      <c r="B187" s="1513" t="str">
        <f>IFERROR(INDEX('PROBLEMA-OBJETIVO'!$G$56:$Q$88,MATCH('PROBLEMA-OBJETIVO'!AP128,'PROBLEMA-OBJETIVO'!$Q$56:$Q$88,0),1),"")</f>
        <v/>
      </c>
      <c r="C187" s="1513"/>
      <c r="D187" s="1514" t="str">
        <f>IFERROR(INDEX('PROBLEMA-OBJETIVO'!$G$56:$Q$88,MATCH('PROBLEMA-OBJETIVO'!AP128,'PROBLEMA-OBJETIVO'!$Q$56:$Q$88,0),3),"")</f>
        <v/>
      </c>
      <c r="E187" s="1514"/>
      <c r="F187" s="1515" t="str">
        <f t="shared" si="20"/>
        <v/>
      </c>
      <c r="G187" s="1515"/>
      <c r="H187" s="774" t="str">
        <f t="shared" si="21"/>
        <v/>
      </c>
      <c r="I187" s="775"/>
      <c r="J187" s="775" t="str">
        <f>IFERROR(IF(F187="Infraestructura",INDEX('Base de datos'!$Y$63:$Z$68,MATCH(D187,Infraestructura,0),1),""),"")</f>
        <v/>
      </c>
      <c r="K187" s="775"/>
      <c r="M187" s="531" t="str">
        <f t="shared" si="22"/>
        <v/>
      </c>
      <c r="N187" s="531" t="str">
        <f t="shared" si="23"/>
        <v/>
      </c>
      <c r="O187" s="250"/>
      <c r="P187" s="531" t="str">
        <f t="shared" si="24"/>
        <v>c</v>
      </c>
      <c r="Q187" s="425">
        <f>IFERROR(COUNTIF($P$162:P187,"b"),"")</f>
        <v>0</v>
      </c>
      <c r="R187" s="530" t="str">
        <f t="shared" si="25"/>
        <v/>
      </c>
      <c r="S187" s="530" t="str">
        <f t="shared" si="26"/>
        <v/>
      </c>
      <c r="T187" s="531">
        <v>25</v>
      </c>
      <c r="U187" s="530" t="str">
        <f t="shared" si="27"/>
        <v/>
      </c>
      <c r="V187" s="530" t="str">
        <f t="shared" si="28"/>
        <v/>
      </c>
      <c r="W187" s="531" t="str">
        <f t="shared" si="29"/>
        <v>c</v>
      </c>
      <c r="X187" s="531">
        <f>IFERROR(COUNTIF($W$162:W187,"b"),"")</f>
        <v>0</v>
      </c>
      <c r="Y187" s="531">
        <v>25</v>
      </c>
    </row>
    <row r="188" spans="2:25" ht="80.099999999999994" hidden="1" customHeight="1" x14ac:dyDescent="0.25">
      <c r="B188" s="1513" t="str">
        <f>IFERROR(INDEX('PROBLEMA-OBJETIVO'!$G$56:$Q$88,MATCH('PROBLEMA-OBJETIVO'!AP129,'PROBLEMA-OBJETIVO'!$Q$56:$Q$88,0),1),"")</f>
        <v/>
      </c>
      <c r="C188" s="1513"/>
      <c r="D188" s="1514" t="str">
        <f>IFERROR(INDEX('PROBLEMA-OBJETIVO'!$G$56:$Q$88,MATCH('PROBLEMA-OBJETIVO'!AP129,'PROBLEMA-OBJETIVO'!$Q$56:$Q$88,0),3),"")</f>
        <v/>
      </c>
      <c r="E188" s="1514"/>
      <c r="F188" s="1515" t="str">
        <f t="shared" si="20"/>
        <v/>
      </c>
      <c r="G188" s="1515"/>
      <c r="H188" s="774" t="str">
        <f t="shared" si="21"/>
        <v/>
      </c>
      <c r="I188" s="775"/>
      <c r="J188" s="775" t="str">
        <f>IFERROR(IF(F188="Infraestructura",INDEX('Base de datos'!$Y$63:$Z$68,MATCH(D188,Infraestructura,0),1),""),"")</f>
        <v/>
      </c>
      <c r="K188" s="775"/>
      <c r="M188" s="531" t="str">
        <f t="shared" si="22"/>
        <v/>
      </c>
      <c r="N188" s="531" t="str">
        <f t="shared" si="23"/>
        <v/>
      </c>
      <c r="O188" s="250"/>
      <c r="P188" s="531" t="str">
        <f t="shared" si="24"/>
        <v>c</v>
      </c>
      <c r="Q188" s="425">
        <f>IFERROR(COUNTIF($P$162:P188,"b"),"")</f>
        <v>0</v>
      </c>
      <c r="R188" s="530" t="str">
        <f t="shared" si="25"/>
        <v/>
      </c>
      <c r="S188" s="530" t="str">
        <f t="shared" si="26"/>
        <v/>
      </c>
      <c r="T188" s="531">
        <v>26</v>
      </c>
      <c r="U188" s="530" t="str">
        <f t="shared" si="27"/>
        <v/>
      </c>
      <c r="V188" s="530" t="str">
        <f t="shared" si="28"/>
        <v/>
      </c>
      <c r="W188" s="531" t="str">
        <f t="shared" si="29"/>
        <v>c</v>
      </c>
      <c r="X188" s="531">
        <f>IFERROR(COUNTIF($W$162:W188,"b"),"")</f>
        <v>0</v>
      </c>
      <c r="Y188" s="531">
        <v>26</v>
      </c>
    </row>
    <row r="189" spans="2:25" ht="80.099999999999994" hidden="1" customHeight="1" x14ac:dyDescent="0.25">
      <c r="B189" s="1513" t="str">
        <f>IFERROR(INDEX('PROBLEMA-OBJETIVO'!$G$56:$Q$88,MATCH('PROBLEMA-OBJETIVO'!AP130,'PROBLEMA-OBJETIVO'!$Q$56:$Q$88,0),1),"")</f>
        <v/>
      </c>
      <c r="C189" s="1513"/>
      <c r="D189" s="1514" t="str">
        <f>IFERROR(INDEX('PROBLEMA-OBJETIVO'!$G$56:$Q$88,MATCH('PROBLEMA-OBJETIVO'!AP130,'PROBLEMA-OBJETIVO'!$Q$56:$Q$88,0),3),"")</f>
        <v/>
      </c>
      <c r="E189" s="1514"/>
      <c r="F189" s="1515" t="str">
        <f t="shared" si="20"/>
        <v/>
      </c>
      <c r="G189" s="1515"/>
      <c r="H189" s="774" t="str">
        <f t="shared" si="21"/>
        <v/>
      </c>
      <c r="I189" s="775"/>
      <c r="J189" s="775" t="str">
        <f>IFERROR(IF(F189="Infraestructura",INDEX('Base de datos'!$Y$63:$Z$68,MATCH(D189,Infraestructura,0),1),""),"")</f>
        <v/>
      </c>
      <c r="K189" s="775"/>
      <c r="M189" s="531" t="str">
        <f t="shared" si="22"/>
        <v/>
      </c>
      <c r="N189" s="531" t="str">
        <f t="shared" si="23"/>
        <v/>
      </c>
      <c r="O189" s="250"/>
      <c r="P189" s="531" t="str">
        <f t="shared" si="24"/>
        <v>c</v>
      </c>
      <c r="Q189" s="425">
        <f>IFERROR(COUNTIF($P$162:P189,"b"),"")</f>
        <v>0</v>
      </c>
      <c r="R189" s="530" t="str">
        <f t="shared" si="25"/>
        <v/>
      </c>
      <c r="S189" s="530" t="str">
        <f t="shared" si="26"/>
        <v/>
      </c>
      <c r="T189" s="531">
        <v>27</v>
      </c>
      <c r="U189" s="530" t="str">
        <f t="shared" si="27"/>
        <v/>
      </c>
      <c r="V189" s="530" t="str">
        <f t="shared" si="28"/>
        <v/>
      </c>
      <c r="W189" s="531" t="str">
        <f t="shared" si="29"/>
        <v>c</v>
      </c>
      <c r="X189" s="531">
        <f>IFERROR(COUNTIF($W$162:W189,"b"),"")</f>
        <v>0</v>
      </c>
      <c r="Y189" s="531">
        <v>27</v>
      </c>
    </row>
    <row r="190" spans="2:25" ht="80.099999999999994" hidden="1" customHeight="1" x14ac:dyDescent="0.25">
      <c r="B190" s="1513" t="str">
        <f>IFERROR(INDEX('PROBLEMA-OBJETIVO'!$G$56:$Q$88,MATCH('PROBLEMA-OBJETIVO'!AP131,'PROBLEMA-OBJETIVO'!$Q$56:$Q$88,0),1),"")</f>
        <v/>
      </c>
      <c r="C190" s="1513"/>
      <c r="D190" s="1514" t="str">
        <f>IFERROR(INDEX('PROBLEMA-OBJETIVO'!$G$56:$Q$88,MATCH('PROBLEMA-OBJETIVO'!AP131,'PROBLEMA-OBJETIVO'!$Q$56:$Q$88,0),3),"")</f>
        <v/>
      </c>
      <c r="E190" s="1514"/>
      <c r="F190" s="1515" t="str">
        <f t="shared" si="20"/>
        <v/>
      </c>
      <c r="G190" s="1515"/>
      <c r="H190" s="774" t="str">
        <f t="shared" si="21"/>
        <v/>
      </c>
      <c r="I190" s="775"/>
      <c r="J190" s="775" t="str">
        <f>IFERROR(IF(F190="Infraestructura",INDEX('Base de datos'!$Y$63:$Z$68,MATCH(D190,Infraestructura,0),1),""),"")</f>
        <v/>
      </c>
      <c r="K190" s="775"/>
      <c r="M190" s="531" t="str">
        <f t="shared" si="22"/>
        <v/>
      </c>
      <c r="N190" s="531" t="str">
        <f t="shared" si="23"/>
        <v/>
      </c>
      <c r="O190" s="250"/>
      <c r="P190" s="531" t="str">
        <f t="shared" si="24"/>
        <v>c</v>
      </c>
      <c r="Q190" s="425">
        <f>IFERROR(COUNTIF($P$162:P190,"b"),"")</f>
        <v>0</v>
      </c>
      <c r="R190" s="530" t="str">
        <f t="shared" si="25"/>
        <v/>
      </c>
      <c r="S190" s="530" t="str">
        <f t="shared" si="26"/>
        <v/>
      </c>
      <c r="T190" s="531">
        <v>28</v>
      </c>
      <c r="U190" s="530" t="str">
        <f t="shared" si="27"/>
        <v/>
      </c>
      <c r="V190" s="530" t="str">
        <f t="shared" si="28"/>
        <v/>
      </c>
      <c r="W190" s="531" t="str">
        <f t="shared" si="29"/>
        <v>c</v>
      </c>
      <c r="X190" s="531">
        <f>IFERROR(COUNTIF($W$162:W190,"b"),"")</f>
        <v>0</v>
      </c>
      <c r="Y190" s="531">
        <v>28</v>
      </c>
    </row>
    <row r="191" spans="2:25" ht="80.099999999999994" hidden="1" customHeight="1" x14ac:dyDescent="0.25">
      <c r="B191" s="1513" t="str">
        <f>IFERROR(INDEX('PROBLEMA-OBJETIVO'!$G$56:$Q$88,MATCH('PROBLEMA-OBJETIVO'!AP132,'PROBLEMA-OBJETIVO'!$Q$56:$Q$88,0),1),"")</f>
        <v/>
      </c>
      <c r="C191" s="1513"/>
      <c r="D191" s="1514" t="str">
        <f>IFERROR(INDEX('PROBLEMA-OBJETIVO'!$G$56:$Q$88,MATCH('PROBLEMA-OBJETIVO'!AP132,'PROBLEMA-OBJETIVO'!$Q$56:$Q$88,0),3),"")</f>
        <v/>
      </c>
      <c r="E191" s="1514"/>
      <c r="F191" s="1515" t="str">
        <f t="shared" si="20"/>
        <v/>
      </c>
      <c r="G191" s="1515"/>
      <c r="H191" s="774" t="str">
        <f t="shared" si="21"/>
        <v/>
      </c>
      <c r="I191" s="775"/>
      <c r="J191" s="775" t="str">
        <f>IFERROR(IF(F191="Infraestructura",INDEX('Base de datos'!$Y$63:$Z$68,MATCH(D191,Infraestructura,0),1),""),"")</f>
        <v/>
      </c>
      <c r="K191" s="775"/>
      <c r="M191" s="531" t="str">
        <f t="shared" si="22"/>
        <v/>
      </c>
      <c r="N191" s="531" t="str">
        <f t="shared" si="23"/>
        <v/>
      </c>
      <c r="O191" s="250"/>
      <c r="P191" s="531" t="str">
        <f t="shared" si="24"/>
        <v>c</v>
      </c>
      <c r="Q191" s="425">
        <f>IFERROR(COUNTIF($P$162:P191,"b"),"")</f>
        <v>0</v>
      </c>
      <c r="R191" s="530" t="str">
        <f t="shared" si="25"/>
        <v/>
      </c>
      <c r="S191" s="530" t="str">
        <f t="shared" si="26"/>
        <v/>
      </c>
      <c r="T191" s="531">
        <v>29</v>
      </c>
      <c r="U191" s="530" t="str">
        <f t="shared" si="27"/>
        <v/>
      </c>
      <c r="V191" s="530" t="str">
        <f t="shared" si="28"/>
        <v/>
      </c>
      <c r="W191" s="531" t="str">
        <f t="shared" si="29"/>
        <v>c</v>
      </c>
      <c r="X191" s="531">
        <f>IFERROR(COUNTIF($W$162:W191,"b"),"")</f>
        <v>0</v>
      </c>
      <c r="Y191" s="531">
        <v>29</v>
      </c>
    </row>
    <row r="192" spans="2:25" ht="80.099999999999994" hidden="1" customHeight="1" x14ac:dyDescent="0.25">
      <c r="B192" s="1513" t="str">
        <f>IFERROR(INDEX('PROBLEMA-OBJETIVO'!$G$56:$Q$88,MATCH('PROBLEMA-OBJETIVO'!AP133,'PROBLEMA-OBJETIVO'!$Q$56:$Q$88,0),1),"")</f>
        <v/>
      </c>
      <c r="C192" s="1513"/>
      <c r="D192" s="1514" t="str">
        <f>IFERROR(INDEX('PROBLEMA-OBJETIVO'!$G$56:$Q$88,MATCH('PROBLEMA-OBJETIVO'!AP133,'PROBLEMA-OBJETIVO'!$Q$56:$Q$88,0),3),"")</f>
        <v/>
      </c>
      <c r="E192" s="1514"/>
      <c r="F192" s="1515" t="str">
        <f t="shared" si="20"/>
        <v/>
      </c>
      <c r="G192" s="1515"/>
      <c r="H192" s="774" t="str">
        <f t="shared" si="21"/>
        <v/>
      </c>
      <c r="I192" s="775"/>
      <c r="J192" s="775" t="str">
        <f>IFERROR(IF(F192="Infraestructura",INDEX('Base de datos'!$Y$63:$Z$68,MATCH(D192,Infraestructura,0),1),""),"")</f>
        <v/>
      </c>
      <c r="K192" s="775"/>
      <c r="M192" s="531" t="str">
        <f t="shared" si="22"/>
        <v/>
      </c>
      <c r="N192" s="531" t="str">
        <f t="shared" si="23"/>
        <v/>
      </c>
      <c r="O192" s="250"/>
      <c r="P192" s="531" t="str">
        <f t="shared" si="24"/>
        <v>c</v>
      </c>
      <c r="Q192" s="425">
        <f>IFERROR(COUNTIF($P$162:P192,"b"),"")</f>
        <v>0</v>
      </c>
      <c r="R192" s="530" t="str">
        <f t="shared" si="25"/>
        <v/>
      </c>
      <c r="S192" s="530" t="str">
        <f t="shared" si="26"/>
        <v/>
      </c>
      <c r="T192" s="531">
        <v>30</v>
      </c>
      <c r="U192" s="530" t="str">
        <f t="shared" si="27"/>
        <v/>
      </c>
      <c r="V192" s="530" t="str">
        <f t="shared" si="28"/>
        <v/>
      </c>
      <c r="W192" s="531" t="str">
        <f t="shared" si="29"/>
        <v>c</v>
      </c>
      <c r="X192" s="531">
        <f>IFERROR(COUNTIF($W$162:W192,"b"),"")</f>
        <v>0</v>
      </c>
      <c r="Y192" s="531">
        <v>30</v>
      </c>
    </row>
    <row r="193" spans="2:25" hidden="1" x14ac:dyDescent="0.25">
      <c r="M193" s="537"/>
      <c r="N193" s="537"/>
      <c r="O193" s="537"/>
      <c r="P193" s="537"/>
      <c r="Q193" s="537"/>
      <c r="R193" s="537"/>
      <c r="S193" s="537"/>
      <c r="T193" s="537"/>
      <c r="U193" s="537"/>
      <c r="V193" s="537"/>
      <c r="W193" s="537"/>
      <c r="X193" s="537"/>
      <c r="Y193" s="537"/>
    </row>
    <row r="194" spans="2:25" hidden="1" x14ac:dyDescent="0.25">
      <c r="M194" s="537"/>
      <c r="N194" s="537"/>
      <c r="O194" s="537"/>
      <c r="P194" s="537"/>
      <c r="Q194" s="537"/>
      <c r="R194" s="537"/>
      <c r="S194" s="537"/>
      <c r="T194" s="537"/>
      <c r="U194" s="537"/>
      <c r="V194" s="537"/>
      <c r="W194" s="537"/>
      <c r="X194" s="537"/>
      <c r="Y194" s="537"/>
    </row>
    <row r="195" spans="2:25" hidden="1" x14ac:dyDescent="0.25">
      <c r="B195" s="258" t="s">
        <v>4773</v>
      </c>
      <c r="M195" s="537"/>
      <c r="N195" s="537"/>
      <c r="O195" s="537"/>
      <c r="P195" s="537"/>
      <c r="Q195" s="537"/>
      <c r="R195" s="537"/>
      <c r="S195" s="537"/>
      <c r="T195" s="537"/>
      <c r="U195" s="537"/>
      <c r="V195" s="537"/>
      <c r="W195" s="537"/>
      <c r="X195" s="537"/>
      <c r="Y195" s="537"/>
    </row>
    <row r="196" spans="2:25" hidden="1" x14ac:dyDescent="0.25">
      <c r="B196" s="1516" t="s">
        <v>374</v>
      </c>
      <c r="C196" s="1516"/>
      <c r="D196" s="1516"/>
      <c r="E196" s="1516"/>
      <c r="F196" s="1197" t="s">
        <v>4873</v>
      </c>
      <c r="G196" s="1197"/>
      <c r="H196" s="1196" t="s">
        <v>107</v>
      </c>
      <c r="I196" s="1196"/>
      <c r="J196" s="1197" t="s">
        <v>226</v>
      </c>
      <c r="K196" s="1197"/>
      <c r="M196" s="537"/>
      <c r="N196" s="537"/>
      <c r="O196" s="537"/>
      <c r="P196" s="537"/>
      <c r="Q196" s="537"/>
      <c r="R196" s="537"/>
      <c r="S196" s="537"/>
      <c r="T196" s="537"/>
      <c r="U196" s="537"/>
      <c r="V196" s="537"/>
      <c r="W196" s="537"/>
      <c r="X196" s="537"/>
      <c r="Y196" s="537"/>
    </row>
    <row r="197" spans="2:25" hidden="1" x14ac:dyDescent="0.25">
      <c r="B197" s="1197" t="s">
        <v>4872</v>
      </c>
      <c r="C197" s="1197"/>
      <c r="D197" s="1197" t="s">
        <v>116</v>
      </c>
      <c r="E197" s="1197"/>
      <c r="F197" s="1197"/>
      <c r="G197" s="1197"/>
      <c r="H197" s="1196"/>
      <c r="I197" s="1196"/>
      <c r="J197" s="1197"/>
      <c r="K197" s="1197"/>
      <c r="M197" s="537"/>
      <c r="N197" s="537"/>
      <c r="O197" s="537"/>
      <c r="P197" s="537"/>
      <c r="Q197" s="537"/>
      <c r="R197" s="537"/>
      <c r="S197" s="537"/>
      <c r="T197" s="537"/>
      <c r="U197" s="537"/>
      <c r="V197" s="537"/>
      <c r="W197" s="537"/>
      <c r="X197" s="537"/>
      <c r="Y197" s="537"/>
    </row>
    <row r="198" spans="2:25" ht="25.5" hidden="1" x14ac:dyDescent="0.25">
      <c r="B198" s="1197"/>
      <c r="C198" s="1197"/>
      <c r="D198" s="1197"/>
      <c r="E198" s="1197"/>
      <c r="F198" s="1197"/>
      <c r="G198" s="1197"/>
      <c r="H198" s="772" t="s">
        <v>108</v>
      </c>
      <c r="I198" s="771" t="s">
        <v>109</v>
      </c>
      <c r="J198" s="772" t="s">
        <v>108</v>
      </c>
      <c r="K198" s="771" t="s">
        <v>109</v>
      </c>
      <c r="M198" s="537"/>
      <c r="N198" s="537"/>
      <c r="O198" s="537"/>
      <c r="P198" s="537"/>
      <c r="Q198" s="537"/>
      <c r="R198" s="537"/>
      <c r="S198" s="537"/>
      <c r="T198" s="537"/>
      <c r="U198" s="537"/>
      <c r="V198" s="537"/>
      <c r="W198" s="537"/>
      <c r="X198" s="537"/>
      <c r="Y198" s="537"/>
    </row>
    <row r="199" spans="2:25" ht="8.25" hidden="1" customHeight="1" x14ac:dyDescent="0.25">
      <c r="B199" s="156"/>
      <c r="C199" s="770"/>
      <c r="D199" s="156"/>
      <c r="E199" s="770"/>
      <c r="F199" s="156"/>
      <c r="G199" s="770"/>
      <c r="H199" s="156"/>
      <c r="I199" s="156"/>
      <c r="J199" s="156"/>
      <c r="K199" s="156"/>
      <c r="M199" s="250"/>
      <c r="N199" s="250"/>
      <c r="O199" s="250"/>
      <c r="P199" s="250"/>
      <c r="Q199" s="250"/>
      <c r="R199" s="250"/>
      <c r="S199" s="250"/>
      <c r="T199" s="250"/>
      <c r="U199" s="250"/>
      <c r="V199" s="250"/>
      <c r="W199" s="250"/>
      <c r="X199" s="250"/>
      <c r="Y199" s="250"/>
    </row>
    <row r="200" spans="2:25" ht="80.099999999999994" hidden="1" customHeight="1" x14ac:dyDescent="0.25">
      <c r="B200" s="1513" t="str">
        <f>IFERROR(INDEX('PROBLEMA-OBJETIVO'!$G$56:$Q$88,MATCH('PROBLEMA-OBJETIVO'!AY104,'PROBLEMA-OBJETIVO'!$Q$56:$Q$88,0),1),"")</f>
        <v/>
      </c>
      <c r="C200" s="1513"/>
      <c r="D200" s="1517" t="str">
        <f>IFERROR(INDEX('PROBLEMA-OBJETIVO'!$G$56:$Q$88,MATCH('PROBLEMA-OBJETIVO'!AY104,'PROBLEMA-OBJETIVO'!$Q$56:$Q$88,0),3),"")</f>
        <v/>
      </c>
      <c r="E200" s="1518"/>
      <c r="F200" s="1515" t="str">
        <f t="shared" ref="F200:F229" si="30">IFERROR(IF(D200="","",IF(COUNTIF(Infraestructura,D200)&gt;0,"Infraestructura","Intangibles")),"")</f>
        <v/>
      </c>
      <c r="G200" s="1515"/>
      <c r="H200" s="774" t="str">
        <f>IFERROR(IF(F200="","",IF(F200="Intangibles","Unidad","Unidad")),"")</f>
        <v/>
      </c>
      <c r="I200" s="775"/>
      <c r="J200" s="775" t="str">
        <f>IFERROR(IF(F200="Infraestructura",INDEX('Base de datos'!$Y$63:$Z$68,MATCH(D200,Infraestructura,0),1),""),"")</f>
        <v/>
      </c>
      <c r="K200" s="775"/>
      <c r="M200" s="531" t="str">
        <f>IFERROR(IF(Q200=Q199,"",Q200),"")</f>
        <v/>
      </c>
      <c r="N200" s="531" t="str">
        <f>IFERROR(IF(X200=X199,"",X200),"")</f>
        <v/>
      </c>
      <c r="O200" s="250"/>
      <c r="P200" s="531" t="str">
        <f>IFERROR(IF(OR(B200="Implementación",B200=""),"c","b"),"")</f>
        <v>c</v>
      </c>
      <c r="Q200" s="425">
        <f>IFERROR(COUNTIF($P$199:P200,"b"),"")</f>
        <v>0</v>
      </c>
      <c r="R200" s="530" t="str">
        <f>IFERROR(IF(B200="","",B200),"")</f>
        <v/>
      </c>
      <c r="S200" s="530" t="str">
        <f>IFERROR(IF(D200="","",D200),"")</f>
        <v/>
      </c>
      <c r="T200" s="531">
        <v>1</v>
      </c>
      <c r="U200" s="530" t="str">
        <f>IFERROR(VLOOKUP(T200,$Q$200:$S$229,2,FALSE),"")</f>
        <v/>
      </c>
      <c r="V200" s="530" t="str">
        <f>IFERROR(VLOOKUP(T200,$Q$200:$S$229,3,FALSE),"")</f>
        <v/>
      </c>
      <c r="W200" s="531" t="str">
        <f>IFERROR(IF(OR(B200&lt;&gt;"Implementación",B200=""),"c","b"),"")</f>
        <v>c</v>
      </c>
      <c r="X200" s="531">
        <f>IFERROR(COUNTIF($W$199:W200,"b"),"")</f>
        <v>0</v>
      </c>
      <c r="Y200" s="531">
        <v>1</v>
      </c>
    </row>
    <row r="201" spans="2:25" ht="80.099999999999994" hidden="1" customHeight="1" x14ac:dyDescent="0.25">
      <c r="B201" s="1513" t="str">
        <f>IFERROR(INDEX('PROBLEMA-OBJETIVO'!$G$56:$Q$88,MATCH('PROBLEMA-OBJETIVO'!AY105,'PROBLEMA-OBJETIVO'!$Q$56:$Q$88,0),1),"")</f>
        <v/>
      </c>
      <c r="C201" s="1513"/>
      <c r="D201" s="1517" t="str">
        <f>IFERROR(INDEX('PROBLEMA-OBJETIVO'!$G$56:$Q$88,MATCH('PROBLEMA-OBJETIVO'!AY105,'PROBLEMA-OBJETIVO'!$Q$56:$Q$88,0),3),"")</f>
        <v/>
      </c>
      <c r="E201" s="1518"/>
      <c r="F201" s="1515" t="str">
        <f t="shared" si="30"/>
        <v/>
      </c>
      <c r="G201" s="1515"/>
      <c r="H201" s="774" t="str">
        <f t="shared" ref="H201:H229" si="31">IFERROR(IF(F201="","",IF(F201="Intangibles","Unidad","Unidad")),"")</f>
        <v/>
      </c>
      <c r="I201" s="775"/>
      <c r="J201" s="775" t="str">
        <f>IFERROR(IF(F201="Infraestructura",INDEX('Base de datos'!$Y$63:$Z$68,MATCH(D201,Infraestructura,0),1),""),"")</f>
        <v/>
      </c>
      <c r="K201" s="775"/>
      <c r="M201" s="531" t="str">
        <f t="shared" ref="M201:M229" si="32">IFERROR(IF(Q201=Q200,"",Q201),"")</f>
        <v/>
      </c>
      <c r="N201" s="531" t="str">
        <f t="shared" ref="N201:N229" si="33">IFERROR(IF(X201=X200,"",X201),"")</f>
        <v/>
      </c>
      <c r="O201" s="250"/>
      <c r="P201" s="531" t="str">
        <f t="shared" ref="P201:P229" si="34">IFERROR(IF(OR(B201="Implementación",B201=""),"c","b"),"")</f>
        <v>c</v>
      </c>
      <c r="Q201" s="425">
        <f>IFERROR(COUNTIF($P$199:P201,"b"),"")</f>
        <v>0</v>
      </c>
      <c r="R201" s="530" t="str">
        <f t="shared" ref="R201:R229" si="35">IFERROR(IF(B201="","",B201),"")</f>
        <v/>
      </c>
      <c r="S201" s="530" t="str">
        <f t="shared" ref="S201:S229" si="36">IFERROR(IF(D201="","",D201),"")</f>
        <v/>
      </c>
      <c r="T201" s="531">
        <v>2</v>
      </c>
      <c r="U201" s="530" t="str">
        <f t="shared" ref="U201:U229" si="37">IFERROR(VLOOKUP(T201,$Q$200:$S$229,2,FALSE),"")</f>
        <v/>
      </c>
      <c r="V201" s="530" t="str">
        <f t="shared" ref="V201:V229" si="38">IFERROR(VLOOKUP(T201,$Q$200:$S$229,3,FALSE),"")</f>
        <v/>
      </c>
      <c r="W201" s="531" t="str">
        <f t="shared" ref="W201:W229" si="39">IFERROR(IF(OR(B201&lt;&gt;"Implementación",B201=""),"c","b"),"")</f>
        <v>c</v>
      </c>
      <c r="X201" s="531">
        <f>IFERROR(COUNTIF($W$199:W201,"b"),"")</f>
        <v>0</v>
      </c>
      <c r="Y201" s="531">
        <v>2</v>
      </c>
    </row>
    <row r="202" spans="2:25" ht="80.099999999999994" hidden="1" customHeight="1" x14ac:dyDescent="0.25">
      <c r="B202" s="1513" t="str">
        <f>IFERROR(INDEX('PROBLEMA-OBJETIVO'!$G$56:$Q$88,MATCH('PROBLEMA-OBJETIVO'!AY106,'PROBLEMA-OBJETIVO'!$Q$56:$Q$88,0),1),"")</f>
        <v/>
      </c>
      <c r="C202" s="1513"/>
      <c r="D202" s="1517" t="str">
        <f>IFERROR(INDEX('PROBLEMA-OBJETIVO'!$G$56:$Q$88,MATCH('PROBLEMA-OBJETIVO'!AY106,'PROBLEMA-OBJETIVO'!$Q$56:$Q$88,0),3),"")</f>
        <v/>
      </c>
      <c r="E202" s="1518"/>
      <c r="F202" s="1515" t="str">
        <f t="shared" si="30"/>
        <v/>
      </c>
      <c r="G202" s="1515"/>
      <c r="H202" s="774" t="str">
        <f t="shared" si="31"/>
        <v/>
      </c>
      <c r="I202" s="775"/>
      <c r="J202" s="775" t="str">
        <f>IFERROR(IF(F202="Infraestructura",INDEX('Base de datos'!$Y$63:$Z$68,MATCH(D202,Infraestructura,0),1),""),"")</f>
        <v/>
      </c>
      <c r="K202" s="775"/>
      <c r="M202" s="531" t="str">
        <f t="shared" si="32"/>
        <v/>
      </c>
      <c r="N202" s="531" t="str">
        <f t="shared" si="33"/>
        <v/>
      </c>
      <c r="O202" s="250"/>
      <c r="P202" s="531" t="str">
        <f t="shared" si="34"/>
        <v>c</v>
      </c>
      <c r="Q202" s="425">
        <f>IFERROR(COUNTIF($P$199:P202,"b"),"")</f>
        <v>0</v>
      </c>
      <c r="R202" s="530" t="str">
        <f t="shared" si="35"/>
        <v/>
      </c>
      <c r="S202" s="530" t="str">
        <f t="shared" si="36"/>
        <v/>
      </c>
      <c r="T202" s="531">
        <v>3</v>
      </c>
      <c r="U202" s="530" t="str">
        <f t="shared" si="37"/>
        <v/>
      </c>
      <c r="V202" s="530" t="str">
        <f t="shared" si="38"/>
        <v/>
      </c>
      <c r="W202" s="531" t="str">
        <f t="shared" si="39"/>
        <v>c</v>
      </c>
      <c r="X202" s="531">
        <f>IFERROR(COUNTIF($W$199:W202,"b"),"")</f>
        <v>0</v>
      </c>
      <c r="Y202" s="531">
        <v>3</v>
      </c>
    </row>
    <row r="203" spans="2:25" ht="80.099999999999994" hidden="1" customHeight="1" x14ac:dyDescent="0.25">
      <c r="B203" s="1513" t="str">
        <f>IFERROR(INDEX('PROBLEMA-OBJETIVO'!$G$56:$Q$88,MATCH('PROBLEMA-OBJETIVO'!AY107,'PROBLEMA-OBJETIVO'!$Q$56:$Q$88,0),1),"")</f>
        <v/>
      </c>
      <c r="C203" s="1513"/>
      <c r="D203" s="1517" t="str">
        <f>IFERROR(INDEX('PROBLEMA-OBJETIVO'!$G$56:$Q$88,MATCH('PROBLEMA-OBJETIVO'!AY107,'PROBLEMA-OBJETIVO'!$Q$56:$Q$88,0),3),"")</f>
        <v/>
      </c>
      <c r="E203" s="1518"/>
      <c r="F203" s="1515" t="str">
        <f t="shared" si="30"/>
        <v/>
      </c>
      <c r="G203" s="1515"/>
      <c r="H203" s="774" t="str">
        <f t="shared" si="31"/>
        <v/>
      </c>
      <c r="I203" s="775"/>
      <c r="J203" s="775" t="str">
        <f>IFERROR(IF(F203="Infraestructura",INDEX('Base de datos'!$Y$63:$Z$68,MATCH(D203,Infraestructura,0),1),""),"")</f>
        <v/>
      </c>
      <c r="K203" s="775"/>
      <c r="M203" s="531" t="str">
        <f t="shared" si="32"/>
        <v/>
      </c>
      <c r="N203" s="531" t="str">
        <f t="shared" si="33"/>
        <v/>
      </c>
      <c r="O203" s="250"/>
      <c r="P203" s="531" t="str">
        <f t="shared" si="34"/>
        <v>c</v>
      </c>
      <c r="Q203" s="425">
        <f>IFERROR(COUNTIF($P$199:P203,"b"),"")</f>
        <v>0</v>
      </c>
      <c r="R203" s="530" t="str">
        <f t="shared" si="35"/>
        <v/>
      </c>
      <c r="S203" s="530" t="str">
        <f t="shared" si="36"/>
        <v/>
      </c>
      <c r="T203" s="531">
        <v>4</v>
      </c>
      <c r="U203" s="530" t="str">
        <f t="shared" si="37"/>
        <v/>
      </c>
      <c r="V203" s="530" t="str">
        <f t="shared" si="38"/>
        <v/>
      </c>
      <c r="W203" s="531" t="str">
        <f t="shared" si="39"/>
        <v>c</v>
      </c>
      <c r="X203" s="531">
        <f>IFERROR(COUNTIF($W$199:W203,"b"),"")</f>
        <v>0</v>
      </c>
      <c r="Y203" s="531">
        <v>4</v>
      </c>
    </row>
    <row r="204" spans="2:25" ht="80.099999999999994" hidden="1" customHeight="1" x14ac:dyDescent="0.25">
      <c r="B204" s="1513" t="str">
        <f>IFERROR(INDEX('PROBLEMA-OBJETIVO'!$G$56:$Q$88,MATCH('PROBLEMA-OBJETIVO'!AY108,'PROBLEMA-OBJETIVO'!$Q$56:$Q$88,0),1),"")</f>
        <v/>
      </c>
      <c r="C204" s="1513"/>
      <c r="D204" s="1517" t="str">
        <f>IFERROR(INDEX('PROBLEMA-OBJETIVO'!$G$56:$Q$88,MATCH('PROBLEMA-OBJETIVO'!AY108,'PROBLEMA-OBJETIVO'!$Q$56:$Q$88,0),3),"")</f>
        <v/>
      </c>
      <c r="E204" s="1518"/>
      <c r="F204" s="1515" t="str">
        <f t="shared" si="30"/>
        <v/>
      </c>
      <c r="G204" s="1515"/>
      <c r="H204" s="774" t="str">
        <f t="shared" si="31"/>
        <v/>
      </c>
      <c r="I204" s="775"/>
      <c r="J204" s="775" t="str">
        <f>IFERROR(IF(F204="Infraestructura",INDEX('Base de datos'!$Y$63:$Z$68,MATCH(D204,Infraestructura,0),1),""),"")</f>
        <v/>
      </c>
      <c r="K204" s="775"/>
      <c r="M204" s="531" t="str">
        <f t="shared" si="32"/>
        <v/>
      </c>
      <c r="N204" s="531" t="str">
        <f t="shared" si="33"/>
        <v/>
      </c>
      <c r="O204" s="250"/>
      <c r="P204" s="531" t="str">
        <f t="shared" si="34"/>
        <v>c</v>
      </c>
      <c r="Q204" s="425">
        <f>IFERROR(COUNTIF($P$199:P204,"b"),"")</f>
        <v>0</v>
      </c>
      <c r="R204" s="530" t="str">
        <f t="shared" si="35"/>
        <v/>
      </c>
      <c r="S204" s="530" t="str">
        <f t="shared" si="36"/>
        <v/>
      </c>
      <c r="T204" s="531">
        <v>5</v>
      </c>
      <c r="U204" s="530" t="str">
        <f t="shared" si="37"/>
        <v/>
      </c>
      <c r="V204" s="530" t="str">
        <f t="shared" si="38"/>
        <v/>
      </c>
      <c r="W204" s="531" t="str">
        <f t="shared" si="39"/>
        <v>c</v>
      </c>
      <c r="X204" s="531">
        <f>IFERROR(COUNTIF($W$199:W204,"b"),"")</f>
        <v>0</v>
      </c>
      <c r="Y204" s="531">
        <v>5</v>
      </c>
    </row>
    <row r="205" spans="2:25" ht="80.099999999999994" hidden="1" customHeight="1" x14ac:dyDescent="0.25">
      <c r="B205" s="1513" t="str">
        <f>IFERROR(INDEX('PROBLEMA-OBJETIVO'!$G$56:$Q$88,MATCH('PROBLEMA-OBJETIVO'!AY109,'PROBLEMA-OBJETIVO'!$Q$56:$Q$88,0),1),"")</f>
        <v/>
      </c>
      <c r="C205" s="1513"/>
      <c r="D205" s="1517" t="str">
        <f>IFERROR(INDEX('PROBLEMA-OBJETIVO'!$G$56:$Q$88,MATCH('PROBLEMA-OBJETIVO'!AY109,'PROBLEMA-OBJETIVO'!$Q$56:$Q$88,0),3),"")</f>
        <v/>
      </c>
      <c r="E205" s="1518"/>
      <c r="F205" s="1515" t="str">
        <f t="shared" si="30"/>
        <v/>
      </c>
      <c r="G205" s="1515"/>
      <c r="H205" s="774" t="str">
        <f t="shared" si="31"/>
        <v/>
      </c>
      <c r="I205" s="775"/>
      <c r="J205" s="775" t="str">
        <f>IFERROR(IF(F205="Infraestructura",INDEX('Base de datos'!$Y$63:$Z$68,MATCH(D205,Infraestructura,0),1),""),"")</f>
        <v/>
      </c>
      <c r="K205" s="775"/>
      <c r="M205" s="531" t="str">
        <f t="shared" si="32"/>
        <v/>
      </c>
      <c r="N205" s="531" t="str">
        <f t="shared" si="33"/>
        <v/>
      </c>
      <c r="O205" s="250"/>
      <c r="P205" s="531" t="str">
        <f t="shared" si="34"/>
        <v>c</v>
      </c>
      <c r="Q205" s="425">
        <f>IFERROR(COUNTIF($P$199:P205,"b"),"")</f>
        <v>0</v>
      </c>
      <c r="R205" s="530" t="str">
        <f t="shared" si="35"/>
        <v/>
      </c>
      <c r="S205" s="530" t="str">
        <f t="shared" si="36"/>
        <v/>
      </c>
      <c r="T205" s="531">
        <v>6</v>
      </c>
      <c r="U205" s="530" t="str">
        <f t="shared" si="37"/>
        <v/>
      </c>
      <c r="V205" s="530" t="str">
        <f t="shared" si="38"/>
        <v/>
      </c>
      <c r="W205" s="531" t="str">
        <f t="shared" si="39"/>
        <v>c</v>
      </c>
      <c r="X205" s="531">
        <f>IFERROR(COUNTIF($W$199:W205,"b"),"")</f>
        <v>0</v>
      </c>
      <c r="Y205" s="531">
        <v>6</v>
      </c>
    </row>
    <row r="206" spans="2:25" ht="80.099999999999994" hidden="1" customHeight="1" x14ac:dyDescent="0.25">
      <c r="B206" s="1513" t="str">
        <f>IFERROR(INDEX('PROBLEMA-OBJETIVO'!$G$56:$Q$88,MATCH('PROBLEMA-OBJETIVO'!AY110,'PROBLEMA-OBJETIVO'!$Q$56:$Q$88,0),1),"")</f>
        <v/>
      </c>
      <c r="C206" s="1513"/>
      <c r="D206" s="1517" t="str">
        <f>IFERROR(INDEX('PROBLEMA-OBJETIVO'!$G$56:$Q$88,MATCH('PROBLEMA-OBJETIVO'!AY110,'PROBLEMA-OBJETIVO'!$Q$56:$Q$88,0),3),"")</f>
        <v/>
      </c>
      <c r="E206" s="1518"/>
      <c r="F206" s="1515" t="str">
        <f t="shared" si="30"/>
        <v/>
      </c>
      <c r="G206" s="1515"/>
      <c r="H206" s="774" t="str">
        <f t="shared" si="31"/>
        <v/>
      </c>
      <c r="I206" s="775"/>
      <c r="J206" s="775" t="str">
        <f>IFERROR(IF(F206="Infraestructura",INDEX('Base de datos'!$Y$63:$Z$68,MATCH(D206,Infraestructura,0),1),""),"")</f>
        <v/>
      </c>
      <c r="K206" s="775"/>
      <c r="M206" s="531" t="str">
        <f t="shared" si="32"/>
        <v/>
      </c>
      <c r="N206" s="531" t="str">
        <f t="shared" si="33"/>
        <v/>
      </c>
      <c r="O206" s="250"/>
      <c r="P206" s="531" t="str">
        <f t="shared" si="34"/>
        <v>c</v>
      </c>
      <c r="Q206" s="425">
        <f>IFERROR(COUNTIF($P$199:P206,"b"),"")</f>
        <v>0</v>
      </c>
      <c r="R206" s="530" t="str">
        <f t="shared" si="35"/>
        <v/>
      </c>
      <c r="S206" s="530" t="str">
        <f t="shared" si="36"/>
        <v/>
      </c>
      <c r="T206" s="531">
        <v>7</v>
      </c>
      <c r="U206" s="530" t="str">
        <f t="shared" si="37"/>
        <v/>
      </c>
      <c r="V206" s="530" t="str">
        <f t="shared" si="38"/>
        <v/>
      </c>
      <c r="W206" s="531" t="str">
        <f t="shared" si="39"/>
        <v>c</v>
      </c>
      <c r="X206" s="531">
        <f>IFERROR(COUNTIF($W$199:W206,"b"),"")</f>
        <v>0</v>
      </c>
      <c r="Y206" s="531">
        <v>7</v>
      </c>
    </row>
    <row r="207" spans="2:25" ht="80.099999999999994" hidden="1" customHeight="1" x14ac:dyDescent="0.25">
      <c r="B207" s="1513" t="str">
        <f>IFERROR(INDEX('PROBLEMA-OBJETIVO'!$G$56:$Q$88,MATCH('PROBLEMA-OBJETIVO'!AY111,'PROBLEMA-OBJETIVO'!$Q$56:$Q$88,0),1),"")</f>
        <v/>
      </c>
      <c r="C207" s="1513"/>
      <c r="D207" s="1517" t="str">
        <f>IFERROR(INDEX('PROBLEMA-OBJETIVO'!$G$56:$Q$88,MATCH('PROBLEMA-OBJETIVO'!AY111,'PROBLEMA-OBJETIVO'!$Q$56:$Q$88,0),3),"")</f>
        <v/>
      </c>
      <c r="E207" s="1518"/>
      <c r="F207" s="1515" t="str">
        <f t="shared" si="30"/>
        <v/>
      </c>
      <c r="G207" s="1515"/>
      <c r="H207" s="774" t="str">
        <f t="shared" si="31"/>
        <v/>
      </c>
      <c r="I207" s="775"/>
      <c r="J207" s="775" t="str">
        <f>IFERROR(IF(F207="Infraestructura",INDEX('Base de datos'!$Y$63:$Z$68,MATCH(D207,Infraestructura,0),1),""),"")</f>
        <v/>
      </c>
      <c r="K207" s="775"/>
      <c r="M207" s="531" t="str">
        <f t="shared" si="32"/>
        <v/>
      </c>
      <c r="N207" s="531" t="str">
        <f t="shared" si="33"/>
        <v/>
      </c>
      <c r="O207" s="250"/>
      <c r="P207" s="531" t="str">
        <f t="shared" si="34"/>
        <v>c</v>
      </c>
      <c r="Q207" s="425">
        <f>IFERROR(COUNTIF($P$199:P207,"b"),"")</f>
        <v>0</v>
      </c>
      <c r="R207" s="530" t="str">
        <f t="shared" si="35"/>
        <v/>
      </c>
      <c r="S207" s="530" t="str">
        <f t="shared" si="36"/>
        <v/>
      </c>
      <c r="T207" s="531">
        <v>8</v>
      </c>
      <c r="U207" s="530" t="str">
        <f t="shared" si="37"/>
        <v/>
      </c>
      <c r="V207" s="530" t="str">
        <f t="shared" si="38"/>
        <v/>
      </c>
      <c r="W207" s="531" t="str">
        <f t="shared" si="39"/>
        <v>c</v>
      </c>
      <c r="X207" s="531">
        <f>IFERROR(COUNTIF($W$199:W207,"b"),"")</f>
        <v>0</v>
      </c>
      <c r="Y207" s="531">
        <v>8</v>
      </c>
    </row>
    <row r="208" spans="2:25" ht="80.099999999999994" hidden="1" customHeight="1" x14ac:dyDescent="0.25">
      <c r="B208" s="1513" t="str">
        <f>IFERROR(INDEX('PROBLEMA-OBJETIVO'!$G$56:$Q$88,MATCH('PROBLEMA-OBJETIVO'!AY112,'PROBLEMA-OBJETIVO'!$Q$56:$Q$88,0),1),"")</f>
        <v/>
      </c>
      <c r="C208" s="1513"/>
      <c r="D208" s="1517" t="str">
        <f>IFERROR(INDEX('PROBLEMA-OBJETIVO'!$G$56:$Q$88,MATCH('PROBLEMA-OBJETIVO'!AY112,'PROBLEMA-OBJETIVO'!$Q$56:$Q$88,0),3),"")</f>
        <v/>
      </c>
      <c r="E208" s="1518"/>
      <c r="F208" s="1515" t="str">
        <f t="shared" si="30"/>
        <v/>
      </c>
      <c r="G208" s="1515"/>
      <c r="H208" s="774" t="str">
        <f t="shared" si="31"/>
        <v/>
      </c>
      <c r="I208" s="775"/>
      <c r="J208" s="775" t="str">
        <f>IFERROR(IF(F208="Infraestructura",INDEX('Base de datos'!$Y$63:$Z$68,MATCH(D208,Infraestructura,0),1),""),"")</f>
        <v/>
      </c>
      <c r="K208" s="775"/>
      <c r="M208" s="531" t="str">
        <f t="shared" si="32"/>
        <v/>
      </c>
      <c r="N208" s="531" t="str">
        <f t="shared" si="33"/>
        <v/>
      </c>
      <c r="O208" s="250"/>
      <c r="P208" s="531" t="str">
        <f t="shared" si="34"/>
        <v>c</v>
      </c>
      <c r="Q208" s="425">
        <f>IFERROR(COUNTIF($P$199:P208,"b"),"")</f>
        <v>0</v>
      </c>
      <c r="R208" s="530" t="str">
        <f t="shared" si="35"/>
        <v/>
      </c>
      <c r="S208" s="530" t="str">
        <f t="shared" si="36"/>
        <v/>
      </c>
      <c r="T208" s="531">
        <v>9</v>
      </c>
      <c r="U208" s="530" t="str">
        <f t="shared" si="37"/>
        <v/>
      </c>
      <c r="V208" s="530" t="str">
        <f t="shared" si="38"/>
        <v/>
      </c>
      <c r="W208" s="531" t="str">
        <f t="shared" si="39"/>
        <v>c</v>
      </c>
      <c r="X208" s="531">
        <f>IFERROR(COUNTIF($W$199:W208,"b"),"")</f>
        <v>0</v>
      </c>
      <c r="Y208" s="531">
        <v>9</v>
      </c>
    </row>
    <row r="209" spans="2:25" ht="80.099999999999994" hidden="1" customHeight="1" x14ac:dyDescent="0.25">
      <c r="B209" s="1513" t="str">
        <f>IFERROR(INDEX('PROBLEMA-OBJETIVO'!$G$56:$Q$88,MATCH('PROBLEMA-OBJETIVO'!AY113,'PROBLEMA-OBJETIVO'!$Q$56:$Q$88,0),1),"")</f>
        <v/>
      </c>
      <c r="C209" s="1513"/>
      <c r="D209" s="1517" t="str">
        <f>IFERROR(INDEX('PROBLEMA-OBJETIVO'!$G$56:$Q$88,MATCH('PROBLEMA-OBJETIVO'!AY113,'PROBLEMA-OBJETIVO'!$Q$56:$Q$88,0),3),"")</f>
        <v/>
      </c>
      <c r="E209" s="1518"/>
      <c r="F209" s="1515" t="str">
        <f t="shared" si="30"/>
        <v/>
      </c>
      <c r="G209" s="1515"/>
      <c r="H209" s="774" t="str">
        <f t="shared" si="31"/>
        <v/>
      </c>
      <c r="I209" s="775"/>
      <c r="J209" s="775" t="str">
        <f>IFERROR(IF(F209="Infraestructura",INDEX('Base de datos'!$Y$63:$Z$68,MATCH(D209,Infraestructura,0),1),""),"")</f>
        <v/>
      </c>
      <c r="K209" s="775"/>
      <c r="M209" s="531" t="str">
        <f t="shared" si="32"/>
        <v/>
      </c>
      <c r="N209" s="531" t="str">
        <f t="shared" si="33"/>
        <v/>
      </c>
      <c r="O209" s="250"/>
      <c r="P209" s="531" t="str">
        <f t="shared" si="34"/>
        <v>c</v>
      </c>
      <c r="Q209" s="425">
        <f>IFERROR(COUNTIF($P$199:P209,"b"),"")</f>
        <v>0</v>
      </c>
      <c r="R209" s="530" t="str">
        <f t="shared" si="35"/>
        <v/>
      </c>
      <c r="S209" s="530" t="str">
        <f t="shared" si="36"/>
        <v/>
      </c>
      <c r="T209" s="531">
        <v>10</v>
      </c>
      <c r="U209" s="530" t="str">
        <f t="shared" si="37"/>
        <v/>
      </c>
      <c r="V209" s="530" t="str">
        <f t="shared" si="38"/>
        <v/>
      </c>
      <c r="W209" s="531" t="str">
        <f t="shared" si="39"/>
        <v>c</v>
      </c>
      <c r="X209" s="531">
        <f>IFERROR(COUNTIF($W$199:W209,"b"),"")</f>
        <v>0</v>
      </c>
      <c r="Y209" s="531">
        <v>10</v>
      </c>
    </row>
    <row r="210" spans="2:25" ht="80.099999999999994" hidden="1" customHeight="1" x14ac:dyDescent="0.25">
      <c r="B210" s="1513" t="str">
        <f>IFERROR(INDEX('PROBLEMA-OBJETIVO'!$G$56:$Q$88,MATCH('PROBLEMA-OBJETIVO'!AY114,'PROBLEMA-OBJETIVO'!$Q$56:$Q$88,0),1),"")</f>
        <v/>
      </c>
      <c r="C210" s="1513"/>
      <c r="D210" s="1517" t="str">
        <f>IFERROR(INDEX('PROBLEMA-OBJETIVO'!$G$56:$Q$88,MATCH('PROBLEMA-OBJETIVO'!AY114,'PROBLEMA-OBJETIVO'!$Q$56:$Q$88,0),3),"")</f>
        <v/>
      </c>
      <c r="E210" s="1518"/>
      <c r="F210" s="1515" t="str">
        <f t="shared" si="30"/>
        <v/>
      </c>
      <c r="G210" s="1515"/>
      <c r="H210" s="774" t="str">
        <f t="shared" si="31"/>
        <v/>
      </c>
      <c r="I210" s="775"/>
      <c r="J210" s="775" t="str">
        <f>IFERROR(IF(F210="Infraestructura",INDEX('Base de datos'!$Y$63:$Z$68,MATCH(D210,Infraestructura,0),1),""),"")</f>
        <v/>
      </c>
      <c r="K210" s="775"/>
      <c r="M210" s="531" t="str">
        <f t="shared" si="32"/>
        <v/>
      </c>
      <c r="N210" s="531" t="str">
        <f t="shared" si="33"/>
        <v/>
      </c>
      <c r="O210" s="250"/>
      <c r="P210" s="531" t="str">
        <f t="shared" si="34"/>
        <v>c</v>
      </c>
      <c r="Q210" s="425">
        <f>IFERROR(COUNTIF($P$199:P210,"b"),"")</f>
        <v>0</v>
      </c>
      <c r="R210" s="530" t="str">
        <f t="shared" si="35"/>
        <v/>
      </c>
      <c r="S210" s="530" t="str">
        <f t="shared" si="36"/>
        <v/>
      </c>
      <c r="T210" s="531">
        <v>11</v>
      </c>
      <c r="U210" s="530" t="str">
        <f t="shared" si="37"/>
        <v/>
      </c>
      <c r="V210" s="530" t="str">
        <f t="shared" si="38"/>
        <v/>
      </c>
      <c r="W210" s="531" t="str">
        <f t="shared" si="39"/>
        <v>c</v>
      </c>
      <c r="X210" s="531">
        <f>IFERROR(COUNTIF($W$199:W210,"b"),"")</f>
        <v>0</v>
      </c>
      <c r="Y210" s="531">
        <v>11</v>
      </c>
    </row>
    <row r="211" spans="2:25" ht="80.099999999999994" hidden="1" customHeight="1" x14ac:dyDescent="0.25">
      <c r="B211" s="1513" t="str">
        <f>IFERROR(INDEX('PROBLEMA-OBJETIVO'!$G$56:$Q$88,MATCH('PROBLEMA-OBJETIVO'!AY115,'PROBLEMA-OBJETIVO'!$Q$56:$Q$88,0),1),"")</f>
        <v/>
      </c>
      <c r="C211" s="1513"/>
      <c r="D211" s="1517" t="str">
        <f>IFERROR(INDEX('PROBLEMA-OBJETIVO'!$G$56:$Q$88,MATCH('PROBLEMA-OBJETIVO'!AY115,'PROBLEMA-OBJETIVO'!$Q$56:$Q$88,0),3),"")</f>
        <v/>
      </c>
      <c r="E211" s="1518"/>
      <c r="F211" s="1515" t="str">
        <f t="shared" si="30"/>
        <v/>
      </c>
      <c r="G211" s="1515"/>
      <c r="H211" s="774" t="str">
        <f t="shared" si="31"/>
        <v/>
      </c>
      <c r="I211" s="775"/>
      <c r="J211" s="775" t="str">
        <f>IFERROR(IF(F211="Infraestructura",INDEX('Base de datos'!$Y$63:$Z$68,MATCH(D211,Infraestructura,0),1),""),"")</f>
        <v/>
      </c>
      <c r="K211" s="775"/>
      <c r="M211" s="531" t="str">
        <f t="shared" si="32"/>
        <v/>
      </c>
      <c r="N211" s="531" t="str">
        <f t="shared" si="33"/>
        <v/>
      </c>
      <c r="O211" s="250"/>
      <c r="P211" s="531" t="str">
        <f t="shared" si="34"/>
        <v>c</v>
      </c>
      <c r="Q211" s="425">
        <f>IFERROR(COUNTIF($P$199:P211,"b"),"")</f>
        <v>0</v>
      </c>
      <c r="R211" s="530" t="str">
        <f t="shared" si="35"/>
        <v/>
      </c>
      <c r="S211" s="530" t="str">
        <f t="shared" si="36"/>
        <v/>
      </c>
      <c r="T211" s="531">
        <v>12</v>
      </c>
      <c r="U211" s="530" t="str">
        <f t="shared" si="37"/>
        <v/>
      </c>
      <c r="V211" s="530" t="str">
        <f t="shared" si="38"/>
        <v/>
      </c>
      <c r="W211" s="531" t="str">
        <f t="shared" si="39"/>
        <v>c</v>
      </c>
      <c r="X211" s="531">
        <f>IFERROR(COUNTIF($W$199:W211,"b"),"")</f>
        <v>0</v>
      </c>
      <c r="Y211" s="531">
        <v>12</v>
      </c>
    </row>
    <row r="212" spans="2:25" ht="80.099999999999994" hidden="1" customHeight="1" x14ac:dyDescent="0.25">
      <c r="B212" s="1513" t="str">
        <f>IFERROR(INDEX('PROBLEMA-OBJETIVO'!$G$56:$Q$88,MATCH('PROBLEMA-OBJETIVO'!AY116,'PROBLEMA-OBJETIVO'!$Q$56:$Q$88,0),1),"")</f>
        <v/>
      </c>
      <c r="C212" s="1513"/>
      <c r="D212" s="1517" t="str">
        <f>IFERROR(INDEX('PROBLEMA-OBJETIVO'!$G$56:$Q$88,MATCH('PROBLEMA-OBJETIVO'!AY116,'PROBLEMA-OBJETIVO'!$Q$56:$Q$88,0),3),"")</f>
        <v/>
      </c>
      <c r="E212" s="1518"/>
      <c r="F212" s="1515" t="str">
        <f t="shared" si="30"/>
        <v/>
      </c>
      <c r="G212" s="1515"/>
      <c r="H212" s="774" t="str">
        <f t="shared" si="31"/>
        <v/>
      </c>
      <c r="I212" s="775"/>
      <c r="J212" s="775" t="str">
        <f>IFERROR(IF(F212="Infraestructura",INDEX('Base de datos'!$Y$63:$Z$68,MATCH(D212,Infraestructura,0),1),""),"")</f>
        <v/>
      </c>
      <c r="K212" s="775"/>
      <c r="M212" s="531" t="str">
        <f t="shared" si="32"/>
        <v/>
      </c>
      <c r="N212" s="531" t="str">
        <f t="shared" si="33"/>
        <v/>
      </c>
      <c r="O212" s="250"/>
      <c r="P212" s="531" t="str">
        <f t="shared" si="34"/>
        <v>c</v>
      </c>
      <c r="Q212" s="425">
        <f>IFERROR(COUNTIF($P$199:P212,"b"),"")</f>
        <v>0</v>
      </c>
      <c r="R212" s="530" t="str">
        <f t="shared" si="35"/>
        <v/>
      </c>
      <c r="S212" s="530" t="str">
        <f t="shared" si="36"/>
        <v/>
      </c>
      <c r="T212" s="531">
        <v>13</v>
      </c>
      <c r="U212" s="530" t="str">
        <f t="shared" si="37"/>
        <v/>
      </c>
      <c r="V212" s="530" t="str">
        <f t="shared" si="38"/>
        <v/>
      </c>
      <c r="W212" s="531" t="str">
        <f t="shared" si="39"/>
        <v>c</v>
      </c>
      <c r="X212" s="531">
        <f>IFERROR(COUNTIF($W$199:W212,"b"),"")</f>
        <v>0</v>
      </c>
      <c r="Y212" s="531">
        <v>13</v>
      </c>
    </row>
    <row r="213" spans="2:25" ht="80.099999999999994" hidden="1" customHeight="1" x14ac:dyDescent="0.25">
      <c r="B213" s="1513" t="str">
        <f>IFERROR(INDEX('PROBLEMA-OBJETIVO'!$G$56:$Q$88,MATCH('PROBLEMA-OBJETIVO'!AY117,'PROBLEMA-OBJETIVO'!$Q$56:$Q$88,0),1),"")</f>
        <v/>
      </c>
      <c r="C213" s="1513"/>
      <c r="D213" s="1517" t="str">
        <f>IFERROR(INDEX('PROBLEMA-OBJETIVO'!$G$56:$Q$88,MATCH('PROBLEMA-OBJETIVO'!AY117,'PROBLEMA-OBJETIVO'!$Q$56:$Q$88,0),3),"")</f>
        <v/>
      </c>
      <c r="E213" s="1518"/>
      <c r="F213" s="1515" t="str">
        <f t="shared" si="30"/>
        <v/>
      </c>
      <c r="G213" s="1515"/>
      <c r="H213" s="774" t="str">
        <f t="shared" si="31"/>
        <v/>
      </c>
      <c r="I213" s="775"/>
      <c r="J213" s="775" t="str">
        <f>IFERROR(IF(F213="Infraestructura",INDEX('Base de datos'!$Y$63:$Z$68,MATCH(D213,Infraestructura,0),1),""),"")</f>
        <v/>
      </c>
      <c r="K213" s="775"/>
      <c r="M213" s="531" t="str">
        <f t="shared" si="32"/>
        <v/>
      </c>
      <c r="N213" s="531" t="str">
        <f t="shared" si="33"/>
        <v/>
      </c>
      <c r="O213" s="250"/>
      <c r="P213" s="531" t="str">
        <f t="shared" si="34"/>
        <v>c</v>
      </c>
      <c r="Q213" s="425">
        <f>IFERROR(COUNTIF($P$199:P213,"b"),"")</f>
        <v>0</v>
      </c>
      <c r="R213" s="530" t="str">
        <f t="shared" si="35"/>
        <v/>
      </c>
      <c r="S213" s="530" t="str">
        <f t="shared" si="36"/>
        <v/>
      </c>
      <c r="T213" s="531">
        <v>14</v>
      </c>
      <c r="U213" s="530" t="str">
        <f t="shared" si="37"/>
        <v/>
      </c>
      <c r="V213" s="530" t="str">
        <f t="shared" si="38"/>
        <v/>
      </c>
      <c r="W213" s="531" t="str">
        <f t="shared" si="39"/>
        <v>c</v>
      </c>
      <c r="X213" s="531">
        <f>IFERROR(COUNTIF($W$199:W213,"b"),"")</f>
        <v>0</v>
      </c>
      <c r="Y213" s="531">
        <v>14</v>
      </c>
    </row>
    <row r="214" spans="2:25" ht="80.099999999999994" hidden="1" customHeight="1" x14ac:dyDescent="0.25">
      <c r="B214" s="1513" t="str">
        <f>IFERROR(INDEX('PROBLEMA-OBJETIVO'!$G$56:$Q$88,MATCH('PROBLEMA-OBJETIVO'!AY118,'PROBLEMA-OBJETIVO'!$Q$56:$Q$88,0),1),"")</f>
        <v/>
      </c>
      <c r="C214" s="1513"/>
      <c r="D214" s="1517" t="str">
        <f>IFERROR(INDEX('PROBLEMA-OBJETIVO'!$G$56:$Q$88,MATCH('PROBLEMA-OBJETIVO'!AY118,'PROBLEMA-OBJETIVO'!$Q$56:$Q$88,0),3),"")</f>
        <v/>
      </c>
      <c r="E214" s="1518"/>
      <c r="F214" s="1515" t="str">
        <f t="shared" si="30"/>
        <v/>
      </c>
      <c r="G214" s="1515"/>
      <c r="H214" s="774" t="str">
        <f t="shared" si="31"/>
        <v/>
      </c>
      <c r="I214" s="775"/>
      <c r="J214" s="775" t="str">
        <f>IFERROR(IF(F214="Infraestructura",INDEX('Base de datos'!$Y$63:$Z$68,MATCH(D214,Infraestructura,0),1),""),"")</f>
        <v/>
      </c>
      <c r="K214" s="775"/>
      <c r="M214" s="531" t="str">
        <f t="shared" si="32"/>
        <v/>
      </c>
      <c r="N214" s="531" t="str">
        <f t="shared" si="33"/>
        <v/>
      </c>
      <c r="O214" s="250"/>
      <c r="P214" s="531" t="str">
        <f t="shared" si="34"/>
        <v>c</v>
      </c>
      <c r="Q214" s="425">
        <f>IFERROR(COUNTIF($P$199:P214,"b"),"")</f>
        <v>0</v>
      </c>
      <c r="R214" s="530" t="str">
        <f t="shared" si="35"/>
        <v/>
      </c>
      <c r="S214" s="530" t="str">
        <f t="shared" si="36"/>
        <v/>
      </c>
      <c r="T214" s="531">
        <v>15</v>
      </c>
      <c r="U214" s="530" t="str">
        <f t="shared" si="37"/>
        <v/>
      </c>
      <c r="V214" s="530" t="str">
        <f t="shared" si="38"/>
        <v/>
      </c>
      <c r="W214" s="531" t="str">
        <f t="shared" si="39"/>
        <v>c</v>
      </c>
      <c r="X214" s="531">
        <f>IFERROR(COUNTIF($W$199:W214,"b"),"")</f>
        <v>0</v>
      </c>
      <c r="Y214" s="531">
        <v>15</v>
      </c>
    </row>
    <row r="215" spans="2:25" ht="80.099999999999994" hidden="1" customHeight="1" x14ac:dyDescent="0.25">
      <c r="B215" s="1513" t="str">
        <f>IFERROR(INDEX('PROBLEMA-OBJETIVO'!$G$56:$Q$88,MATCH('PROBLEMA-OBJETIVO'!AY119,'PROBLEMA-OBJETIVO'!$Q$56:$Q$88,0),1),"")</f>
        <v/>
      </c>
      <c r="C215" s="1513"/>
      <c r="D215" s="1517" t="str">
        <f>IFERROR(INDEX('PROBLEMA-OBJETIVO'!$G$56:$Q$88,MATCH('PROBLEMA-OBJETIVO'!AY119,'PROBLEMA-OBJETIVO'!$Q$56:$Q$88,0),3),"")</f>
        <v/>
      </c>
      <c r="E215" s="1518"/>
      <c r="F215" s="1515" t="str">
        <f t="shared" si="30"/>
        <v/>
      </c>
      <c r="G215" s="1515"/>
      <c r="H215" s="774" t="str">
        <f t="shared" si="31"/>
        <v/>
      </c>
      <c r="I215" s="775"/>
      <c r="J215" s="775" t="str">
        <f>IFERROR(IF(F215="Infraestructura",INDEX('Base de datos'!$Y$63:$Z$68,MATCH(D215,Infraestructura,0),1),""),"")</f>
        <v/>
      </c>
      <c r="K215" s="775"/>
      <c r="M215" s="531" t="str">
        <f t="shared" si="32"/>
        <v/>
      </c>
      <c r="N215" s="531" t="str">
        <f t="shared" si="33"/>
        <v/>
      </c>
      <c r="O215" s="250"/>
      <c r="P215" s="531" t="str">
        <f t="shared" si="34"/>
        <v>c</v>
      </c>
      <c r="Q215" s="425">
        <f>IFERROR(COUNTIF($P$199:P215,"b"),"")</f>
        <v>0</v>
      </c>
      <c r="R215" s="530" t="str">
        <f t="shared" si="35"/>
        <v/>
      </c>
      <c r="S215" s="530" t="str">
        <f t="shared" si="36"/>
        <v/>
      </c>
      <c r="T215" s="531">
        <v>16</v>
      </c>
      <c r="U215" s="530" t="str">
        <f t="shared" si="37"/>
        <v/>
      </c>
      <c r="V215" s="530" t="str">
        <f t="shared" si="38"/>
        <v/>
      </c>
      <c r="W215" s="531" t="str">
        <f t="shared" si="39"/>
        <v>c</v>
      </c>
      <c r="X215" s="531">
        <f>IFERROR(COUNTIF($W$199:W215,"b"),"")</f>
        <v>0</v>
      </c>
      <c r="Y215" s="531">
        <v>16</v>
      </c>
    </row>
    <row r="216" spans="2:25" ht="80.099999999999994" hidden="1" customHeight="1" x14ac:dyDescent="0.25">
      <c r="B216" s="1513" t="str">
        <f>IFERROR(INDEX('PROBLEMA-OBJETIVO'!$G$56:$Q$88,MATCH('PROBLEMA-OBJETIVO'!AY120,'PROBLEMA-OBJETIVO'!$Q$56:$Q$88,0),1),"")</f>
        <v/>
      </c>
      <c r="C216" s="1513"/>
      <c r="D216" s="1517" t="str">
        <f>IFERROR(INDEX('PROBLEMA-OBJETIVO'!$G$56:$Q$88,MATCH('PROBLEMA-OBJETIVO'!AY120,'PROBLEMA-OBJETIVO'!$Q$56:$Q$88,0),3),"")</f>
        <v/>
      </c>
      <c r="E216" s="1518"/>
      <c r="F216" s="1515" t="str">
        <f t="shared" si="30"/>
        <v/>
      </c>
      <c r="G216" s="1515"/>
      <c r="H216" s="774" t="str">
        <f t="shared" si="31"/>
        <v/>
      </c>
      <c r="I216" s="775"/>
      <c r="J216" s="775" t="str">
        <f>IFERROR(IF(F216="Infraestructura",INDEX('Base de datos'!$Y$63:$Z$68,MATCH(D216,Infraestructura,0),1),""),"")</f>
        <v/>
      </c>
      <c r="K216" s="775"/>
      <c r="M216" s="531" t="str">
        <f t="shared" si="32"/>
        <v/>
      </c>
      <c r="N216" s="531" t="str">
        <f t="shared" si="33"/>
        <v/>
      </c>
      <c r="O216" s="250"/>
      <c r="P216" s="531" t="str">
        <f t="shared" si="34"/>
        <v>c</v>
      </c>
      <c r="Q216" s="425">
        <f>IFERROR(COUNTIF($P$199:P216,"b"),"")</f>
        <v>0</v>
      </c>
      <c r="R216" s="530" t="str">
        <f t="shared" si="35"/>
        <v/>
      </c>
      <c r="S216" s="530" t="str">
        <f t="shared" si="36"/>
        <v/>
      </c>
      <c r="T216" s="531">
        <v>17</v>
      </c>
      <c r="U216" s="530" t="str">
        <f t="shared" si="37"/>
        <v/>
      </c>
      <c r="V216" s="530" t="str">
        <f t="shared" si="38"/>
        <v/>
      </c>
      <c r="W216" s="531" t="str">
        <f t="shared" si="39"/>
        <v>c</v>
      </c>
      <c r="X216" s="531">
        <f>IFERROR(COUNTIF($W$199:W216,"b"),"")</f>
        <v>0</v>
      </c>
      <c r="Y216" s="531">
        <v>17</v>
      </c>
    </row>
    <row r="217" spans="2:25" ht="80.099999999999994" hidden="1" customHeight="1" x14ac:dyDescent="0.25">
      <c r="B217" s="1513" t="str">
        <f>IFERROR(INDEX('PROBLEMA-OBJETIVO'!$G$56:$Q$88,MATCH('PROBLEMA-OBJETIVO'!AY121,'PROBLEMA-OBJETIVO'!$Q$56:$Q$88,0),1),"")</f>
        <v/>
      </c>
      <c r="C217" s="1513"/>
      <c r="D217" s="1517" t="str">
        <f>IFERROR(INDEX('PROBLEMA-OBJETIVO'!$G$56:$Q$88,MATCH('PROBLEMA-OBJETIVO'!AY121,'PROBLEMA-OBJETIVO'!$Q$56:$Q$88,0),3),"")</f>
        <v/>
      </c>
      <c r="E217" s="1518"/>
      <c r="F217" s="1515" t="str">
        <f t="shared" si="30"/>
        <v/>
      </c>
      <c r="G217" s="1515"/>
      <c r="H217" s="774" t="str">
        <f t="shared" si="31"/>
        <v/>
      </c>
      <c r="I217" s="775"/>
      <c r="J217" s="775" t="str">
        <f>IFERROR(IF(F217="Infraestructura",INDEX('Base de datos'!$Y$63:$Z$68,MATCH(D217,Infraestructura,0),1),""),"")</f>
        <v/>
      </c>
      <c r="K217" s="775"/>
      <c r="M217" s="531" t="str">
        <f t="shared" si="32"/>
        <v/>
      </c>
      <c r="N217" s="531" t="str">
        <f t="shared" si="33"/>
        <v/>
      </c>
      <c r="O217" s="250"/>
      <c r="P217" s="531" t="str">
        <f t="shared" si="34"/>
        <v>c</v>
      </c>
      <c r="Q217" s="425">
        <f>IFERROR(COUNTIF($P$199:P217,"b"),"")</f>
        <v>0</v>
      </c>
      <c r="R217" s="530" t="str">
        <f t="shared" si="35"/>
        <v/>
      </c>
      <c r="S217" s="530" t="str">
        <f t="shared" si="36"/>
        <v/>
      </c>
      <c r="T217" s="531">
        <v>18</v>
      </c>
      <c r="U217" s="530" t="str">
        <f t="shared" si="37"/>
        <v/>
      </c>
      <c r="V217" s="530" t="str">
        <f t="shared" si="38"/>
        <v/>
      </c>
      <c r="W217" s="531" t="str">
        <f t="shared" si="39"/>
        <v>c</v>
      </c>
      <c r="X217" s="531">
        <f>IFERROR(COUNTIF($W$199:W217,"b"),"")</f>
        <v>0</v>
      </c>
      <c r="Y217" s="531">
        <v>18</v>
      </c>
    </row>
    <row r="218" spans="2:25" ht="80.099999999999994" hidden="1" customHeight="1" x14ac:dyDescent="0.25">
      <c r="B218" s="1513" t="str">
        <f>IFERROR(INDEX('PROBLEMA-OBJETIVO'!$G$56:$Q$88,MATCH('PROBLEMA-OBJETIVO'!AY122,'PROBLEMA-OBJETIVO'!$Q$56:$Q$88,0),1),"")</f>
        <v/>
      </c>
      <c r="C218" s="1513"/>
      <c r="D218" s="1517" t="str">
        <f>IFERROR(INDEX('PROBLEMA-OBJETIVO'!$G$56:$Q$88,MATCH('PROBLEMA-OBJETIVO'!AY122,'PROBLEMA-OBJETIVO'!$Q$56:$Q$88,0),3),"")</f>
        <v/>
      </c>
      <c r="E218" s="1518"/>
      <c r="F218" s="1515" t="str">
        <f t="shared" si="30"/>
        <v/>
      </c>
      <c r="G218" s="1515"/>
      <c r="H218" s="774" t="str">
        <f t="shared" si="31"/>
        <v/>
      </c>
      <c r="I218" s="775"/>
      <c r="J218" s="775" t="str">
        <f>IFERROR(IF(F218="Infraestructura",INDEX('Base de datos'!$Y$63:$Z$68,MATCH(D218,Infraestructura,0),1),""),"")</f>
        <v/>
      </c>
      <c r="K218" s="775"/>
      <c r="M218" s="531" t="str">
        <f t="shared" si="32"/>
        <v/>
      </c>
      <c r="N218" s="531" t="str">
        <f t="shared" si="33"/>
        <v/>
      </c>
      <c r="O218" s="250"/>
      <c r="P218" s="531" t="str">
        <f t="shared" si="34"/>
        <v>c</v>
      </c>
      <c r="Q218" s="425">
        <f>IFERROR(COUNTIF($P$199:P218,"b"),"")</f>
        <v>0</v>
      </c>
      <c r="R218" s="530" t="str">
        <f t="shared" si="35"/>
        <v/>
      </c>
      <c r="S218" s="530" t="str">
        <f t="shared" si="36"/>
        <v/>
      </c>
      <c r="T218" s="531">
        <v>19</v>
      </c>
      <c r="U218" s="530" t="str">
        <f t="shared" si="37"/>
        <v/>
      </c>
      <c r="V218" s="530" t="str">
        <f t="shared" si="38"/>
        <v/>
      </c>
      <c r="W218" s="531" t="str">
        <f t="shared" si="39"/>
        <v>c</v>
      </c>
      <c r="X218" s="531">
        <f>IFERROR(COUNTIF($W$199:W218,"b"),"")</f>
        <v>0</v>
      </c>
      <c r="Y218" s="531">
        <v>19</v>
      </c>
    </row>
    <row r="219" spans="2:25" ht="80.099999999999994" hidden="1" customHeight="1" x14ac:dyDescent="0.25">
      <c r="B219" s="1513" t="str">
        <f>IFERROR(INDEX('PROBLEMA-OBJETIVO'!$G$56:$Q$88,MATCH('PROBLEMA-OBJETIVO'!AY123,'PROBLEMA-OBJETIVO'!$Q$56:$Q$88,0),1),"")</f>
        <v/>
      </c>
      <c r="C219" s="1513"/>
      <c r="D219" s="1517" t="str">
        <f>IFERROR(INDEX('PROBLEMA-OBJETIVO'!$G$56:$Q$88,MATCH('PROBLEMA-OBJETIVO'!AY123,'PROBLEMA-OBJETIVO'!$Q$56:$Q$88,0),3),"")</f>
        <v/>
      </c>
      <c r="E219" s="1518"/>
      <c r="F219" s="1515" t="str">
        <f t="shared" si="30"/>
        <v/>
      </c>
      <c r="G219" s="1515"/>
      <c r="H219" s="774" t="str">
        <f t="shared" si="31"/>
        <v/>
      </c>
      <c r="I219" s="775"/>
      <c r="J219" s="775" t="str">
        <f>IFERROR(IF(F219="Infraestructura",INDEX('Base de datos'!$Y$63:$Z$68,MATCH(D219,Infraestructura,0),1),""),"")</f>
        <v/>
      </c>
      <c r="K219" s="775"/>
      <c r="M219" s="531" t="str">
        <f t="shared" si="32"/>
        <v/>
      </c>
      <c r="N219" s="531" t="str">
        <f t="shared" si="33"/>
        <v/>
      </c>
      <c r="O219" s="250"/>
      <c r="P219" s="531" t="str">
        <f t="shared" si="34"/>
        <v>c</v>
      </c>
      <c r="Q219" s="425">
        <f>IFERROR(COUNTIF($P$199:P219,"b"),"")</f>
        <v>0</v>
      </c>
      <c r="R219" s="530" t="str">
        <f t="shared" si="35"/>
        <v/>
      </c>
      <c r="S219" s="530" t="str">
        <f t="shared" si="36"/>
        <v/>
      </c>
      <c r="T219" s="531">
        <v>20</v>
      </c>
      <c r="U219" s="530" t="str">
        <f t="shared" si="37"/>
        <v/>
      </c>
      <c r="V219" s="530" t="str">
        <f t="shared" si="38"/>
        <v/>
      </c>
      <c r="W219" s="531" t="str">
        <f t="shared" si="39"/>
        <v>c</v>
      </c>
      <c r="X219" s="531">
        <f>IFERROR(COUNTIF($W$199:W219,"b"),"")</f>
        <v>0</v>
      </c>
      <c r="Y219" s="531">
        <v>20</v>
      </c>
    </row>
    <row r="220" spans="2:25" ht="80.099999999999994" hidden="1" customHeight="1" x14ac:dyDescent="0.25">
      <c r="B220" s="1513" t="str">
        <f>IFERROR(INDEX('PROBLEMA-OBJETIVO'!$G$56:$Q$88,MATCH('PROBLEMA-OBJETIVO'!AY124,'PROBLEMA-OBJETIVO'!$Q$56:$Q$88,0),1),"")</f>
        <v/>
      </c>
      <c r="C220" s="1513"/>
      <c r="D220" s="1517" t="str">
        <f>IFERROR(INDEX('PROBLEMA-OBJETIVO'!$G$56:$Q$88,MATCH('PROBLEMA-OBJETIVO'!AY124,'PROBLEMA-OBJETIVO'!$Q$56:$Q$88,0),3),"")</f>
        <v/>
      </c>
      <c r="E220" s="1518"/>
      <c r="F220" s="1515" t="str">
        <f t="shared" si="30"/>
        <v/>
      </c>
      <c r="G220" s="1515"/>
      <c r="H220" s="774" t="str">
        <f t="shared" si="31"/>
        <v/>
      </c>
      <c r="I220" s="775"/>
      <c r="J220" s="775" t="str">
        <f>IFERROR(IF(F220="Infraestructura",INDEX('Base de datos'!$Y$63:$Z$68,MATCH(D220,Infraestructura,0),1),""),"")</f>
        <v/>
      </c>
      <c r="K220" s="775"/>
      <c r="M220" s="531" t="str">
        <f t="shared" si="32"/>
        <v/>
      </c>
      <c r="N220" s="531" t="str">
        <f t="shared" si="33"/>
        <v/>
      </c>
      <c r="O220" s="250"/>
      <c r="P220" s="531" t="str">
        <f t="shared" si="34"/>
        <v>c</v>
      </c>
      <c r="Q220" s="425">
        <f>IFERROR(COUNTIF($P$199:P220,"b"),"")</f>
        <v>0</v>
      </c>
      <c r="R220" s="530" t="str">
        <f t="shared" si="35"/>
        <v/>
      </c>
      <c r="S220" s="530" t="str">
        <f t="shared" si="36"/>
        <v/>
      </c>
      <c r="T220" s="531">
        <v>21</v>
      </c>
      <c r="U220" s="530" t="str">
        <f t="shared" si="37"/>
        <v/>
      </c>
      <c r="V220" s="530" t="str">
        <f t="shared" si="38"/>
        <v/>
      </c>
      <c r="W220" s="531" t="str">
        <f t="shared" si="39"/>
        <v>c</v>
      </c>
      <c r="X220" s="531">
        <f>IFERROR(COUNTIF($W$199:W220,"b"),"")</f>
        <v>0</v>
      </c>
      <c r="Y220" s="531">
        <v>21</v>
      </c>
    </row>
    <row r="221" spans="2:25" ht="80.099999999999994" hidden="1" customHeight="1" x14ac:dyDescent="0.25">
      <c r="B221" s="1513" t="str">
        <f>IFERROR(INDEX('PROBLEMA-OBJETIVO'!$G$56:$Q$88,MATCH('PROBLEMA-OBJETIVO'!AY125,'PROBLEMA-OBJETIVO'!$Q$56:$Q$88,0),1),"")</f>
        <v/>
      </c>
      <c r="C221" s="1513"/>
      <c r="D221" s="1517" t="str">
        <f>IFERROR(INDEX('PROBLEMA-OBJETIVO'!$G$56:$Q$88,MATCH('PROBLEMA-OBJETIVO'!AY125,'PROBLEMA-OBJETIVO'!$Q$56:$Q$88,0),3),"")</f>
        <v/>
      </c>
      <c r="E221" s="1518"/>
      <c r="F221" s="1515" t="str">
        <f t="shared" si="30"/>
        <v/>
      </c>
      <c r="G221" s="1515"/>
      <c r="H221" s="774" t="str">
        <f t="shared" si="31"/>
        <v/>
      </c>
      <c r="I221" s="775"/>
      <c r="J221" s="775" t="str">
        <f>IFERROR(IF(F221="Infraestructura",INDEX('Base de datos'!$Y$63:$Z$68,MATCH(D221,Infraestructura,0),1),""),"")</f>
        <v/>
      </c>
      <c r="K221" s="775"/>
      <c r="M221" s="531" t="str">
        <f t="shared" si="32"/>
        <v/>
      </c>
      <c r="N221" s="531" t="str">
        <f t="shared" si="33"/>
        <v/>
      </c>
      <c r="O221" s="250"/>
      <c r="P221" s="531" t="str">
        <f t="shared" si="34"/>
        <v>c</v>
      </c>
      <c r="Q221" s="425">
        <f>IFERROR(COUNTIF($P$199:P221,"b"),"")</f>
        <v>0</v>
      </c>
      <c r="R221" s="530" t="str">
        <f t="shared" si="35"/>
        <v/>
      </c>
      <c r="S221" s="530" t="str">
        <f t="shared" si="36"/>
        <v/>
      </c>
      <c r="T221" s="531">
        <v>22</v>
      </c>
      <c r="U221" s="530" t="str">
        <f t="shared" si="37"/>
        <v/>
      </c>
      <c r="V221" s="530" t="str">
        <f t="shared" si="38"/>
        <v/>
      </c>
      <c r="W221" s="531" t="str">
        <f t="shared" si="39"/>
        <v>c</v>
      </c>
      <c r="X221" s="531">
        <f>IFERROR(COUNTIF($W$199:W221,"b"),"")</f>
        <v>0</v>
      </c>
      <c r="Y221" s="531">
        <v>22</v>
      </c>
    </row>
    <row r="222" spans="2:25" ht="80.099999999999994" hidden="1" customHeight="1" x14ac:dyDescent="0.25">
      <c r="B222" s="1513" t="str">
        <f>IFERROR(INDEX('PROBLEMA-OBJETIVO'!$G$56:$Q$88,MATCH('PROBLEMA-OBJETIVO'!AY126,'PROBLEMA-OBJETIVO'!$Q$56:$Q$88,0),1),"")</f>
        <v/>
      </c>
      <c r="C222" s="1513"/>
      <c r="D222" s="1517" t="str">
        <f>IFERROR(INDEX('PROBLEMA-OBJETIVO'!$G$56:$Q$88,MATCH('PROBLEMA-OBJETIVO'!AY126,'PROBLEMA-OBJETIVO'!$Q$56:$Q$88,0),3),"")</f>
        <v/>
      </c>
      <c r="E222" s="1518"/>
      <c r="F222" s="1515" t="str">
        <f t="shared" si="30"/>
        <v/>
      </c>
      <c r="G222" s="1515"/>
      <c r="H222" s="774" t="str">
        <f t="shared" si="31"/>
        <v/>
      </c>
      <c r="I222" s="775"/>
      <c r="J222" s="775" t="str">
        <f>IFERROR(IF(F222="Infraestructura",INDEX('Base de datos'!$Y$63:$Z$68,MATCH(D222,Infraestructura,0),1),""),"")</f>
        <v/>
      </c>
      <c r="K222" s="775"/>
      <c r="M222" s="531" t="str">
        <f t="shared" si="32"/>
        <v/>
      </c>
      <c r="N222" s="531" t="str">
        <f t="shared" si="33"/>
        <v/>
      </c>
      <c r="O222" s="250"/>
      <c r="P222" s="531" t="str">
        <f t="shared" si="34"/>
        <v>c</v>
      </c>
      <c r="Q222" s="425">
        <f>IFERROR(COUNTIF($P$199:P222,"b"),"")</f>
        <v>0</v>
      </c>
      <c r="R222" s="530" t="str">
        <f t="shared" si="35"/>
        <v/>
      </c>
      <c r="S222" s="530" t="str">
        <f t="shared" si="36"/>
        <v/>
      </c>
      <c r="T222" s="531">
        <v>23</v>
      </c>
      <c r="U222" s="530" t="str">
        <f t="shared" si="37"/>
        <v/>
      </c>
      <c r="V222" s="530" t="str">
        <f t="shared" si="38"/>
        <v/>
      </c>
      <c r="W222" s="531" t="str">
        <f t="shared" si="39"/>
        <v>c</v>
      </c>
      <c r="X222" s="531">
        <f>IFERROR(COUNTIF($W$199:W222,"b"),"")</f>
        <v>0</v>
      </c>
      <c r="Y222" s="531">
        <v>23</v>
      </c>
    </row>
    <row r="223" spans="2:25" ht="80.099999999999994" hidden="1" customHeight="1" x14ac:dyDescent="0.25">
      <c r="B223" s="1513" t="str">
        <f>IFERROR(INDEX('PROBLEMA-OBJETIVO'!$G$56:$Q$88,MATCH('PROBLEMA-OBJETIVO'!AY127,'PROBLEMA-OBJETIVO'!$Q$56:$Q$88,0),1),"")</f>
        <v/>
      </c>
      <c r="C223" s="1513"/>
      <c r="D223" s="1517" t="str">
        <f>IFERROR(INDEX('PROBLEMA-OBJETIVO'!$G$56:$Q$88,MATCH('PROBLEMA-OBJETIVO'!AY127,'PROBLEMA-OBJETIVO'!$Q$56:$Q$88,0),3),"")</f>
        <v/>
      </c>
      <c r="E223" s="1518"/>
      <c r="F223" s="1515" t="str">
        <f t="shared" si="30"/>
        <v/>
      </c>
      <c r="G223" s="1515"/>
      <c r="H223" s="774" t="str">
        <f t="shared" si="31"/>
        <v/>
      </c>
      <c r="I223" s="775"/>
      <c r="J223" s="775" t="str">
        <f>IFERROR(IF(F223="Infraestructura",INDEX('Base de datos'!$Y$63:$Z$68,MATCH(D223,Infraestructura,0),1),""),"")</f>
        <v/>
      </c>
      <c r="K223" s="775"/>
      <c r="M223" s="531" t="str">
        <f t="shared" si="32"/>
        <v/>
      </c>
      <c r="N223" s="531" t="str">
        <f t="shared" si="33"/>
        <v/>
      </c>
      <c r="O223" s="250"/>
      <c r="P223" s="531" t="str">
        <f t="shared" si="34"/>
        <v>c</v>
      </c>
      <c r="Q223" s="425">
        <f>IFERROR(COUNTIF($P$199:P223,"b"),"")</f>
        <v>0</v>
      </c>
      <c r="R223" s="530" t="str">
        <f t="shared" si="35"/>
        <v/>
      </c>
      <c r="S223" s="530" t="str">
        <f t="shared" si="36"/>
        <v/>
      </c>
      <c r="T223" s="531">
        <v>24</v>
      </c>
      <c r="U223" s="530" t="str">
        <f t="shared" si="37"/>
        <v/>
      </c>
      <c r="V223" s="530" t="str">
        <f t="shared" si="38"/>
        <v/>
      </c>
      <c r="W223" s="531" t="str">
        <f t="shared" si="39"/>
        <v>c</v>
      </c>
      <c r="X223" s="531">
        <f>IFERROR(COUNTIF($W$199:W223,"b"),"")</f>
        <v>0</v>
      </c>
      <c r="Y223" s="531">
        <v>24</v>
      </c>
    </row>
    <row r="224" spans="2:25" ht="80.099999999999994" hidden="1" customHeight="1" x14ac:dyDescent="0.25">
      <c r="B224" s="1513" t="str">
        <f>IFERROR(INDEX('PROBLEMA-OBJETIVO'!$G$56:$Q$88,MATCH('PROBLEMA-OBJETIVO'!AY128,'PROBLEMA-OBJETIVO'!$Q$56:$Q$88,0),1),"")</f>
        <v/>
      </c>
      <c r="C224" s="1513"/>
      <c r="D224" s="1517" t="str">
        <f>IFERROR(INDEX('PROBLEMA-OBJETIVO'!$G$56:$Q$88,MATCH('PROBLEMA-OBJETIVO'!AY128,'PROBLEMA-OBJETIVO'!$Q$56:$Q$88,0),3),"")</f>
        <v/>
      </c>
      <c r="E224" s="1518"/>
      <c r="F224" s="1515" t="str">
        <f t="shared" si="30"/>
        <v/>
      </c>
      <c r="G224" s="1515"/>
      <c r="H224" s="774" t="str">
        <f t="shared" si="31"/>
        <v/>
      </c>
      <c r="I224" s="775"/>
      <c r="J224" s="775" t="str">
        <f>IFERROR(IF(F224="Infraestructura",INDEX('Base de datos'!$Y$63:$Z$68,MATCH(D224,Infraestructura,0),1),""),"")</f>
        <v/>
      </c>
      <c r="K224" s="775"/>
      <c r="M224" s="531" t="str">
        <f t="shared" si="32"/>
        <v/>
      </c>
      <c r="N224" s="531" t="str">
        <f t="shared" si="33"/>
        <v/>
      </c>
      <c r="O224" s="250"/>
      <c r="P224" s="531" t="str">
        <f t="shared" si="34"/>
        <v>c</v>
      </c>
      <c r="Q224" s="425">
        <f>IFERROR(COUNTIF($P$199:P224,"b"),"")</f>
        <v>0</v>
      </c>
      <c r="R224" s="530" t="str">
        <f t="shared" si="35"/>
        <v/>
      </c>
      <c r="S224" s="530" t="str">
        <f t="shared" si="36"/>
        <v/>
      </c>
      <c r="T224" s="531">
        <v>25</v>
      </c>
      <c r="U224" s="530" t="str">
        <f t="shared" si="37"/>
        <v/>
      </c>
      <c r="V224" s="530" t="str">
        <f t="shared" si="38"/>
        <v/>
      </c>
      <c r="W224" s="531" t="str">
        <f t="shared" si="39"/>
        <v>c</v>
      </c>
      <c r="X224" s="531">
        <f>IFERROR(COUNTIF($W$199:W224,"b"),"")</f>
        <v>0</v>
      </c>
      <c r="Y224" s="531">
        <v>25</v>
      </c>
    </row>
    <row r="225" spans="2:25" ht="80.099999999999994" hidden="1" customHeight="1" x14ac:dyDescent="0.25">
      <c r="B225" s="1513" t="str">
        <f>IFERROR(INDEX('PROBLEMA-OBJETIVO'!$G$56:$Q$88,MATCH('PROBLEMA-OBJETIVO'!AY129,'PROBLEMA-OBJETIVO'!$Q$56:$Q$88,0),1),"")</f>
        <v/>
      </c>
      <c r="C225" s="1513"/>
      <c r="D225" s="1517" t="str">
        <f>IFERROR(INDEX('PROBLEMA-OBJETIVO'!$G$56:$Q$88,MATCH('PROBLEMA-OBJETIVO'!AY129,'PROBLEMA-OBJETIVO'!$Q$56:$Q$88,0),3),"")</f>
        <v/>
      </c>
      <c r="E225" s="1518"/>
      <c r="F225" s="1515" t="str">
        <f t="shared" si="30"/>
        <v/>
      </c>
      <c r="G225" s="1515"/>
      <c r="H225" s="774" t="str">
        <f t="shared" si="31"/>
        <v/>
      </c>
      <c r="I225" s="775"/>
      <c r="J225" s="775" t="str">
        <f>IFERROR(IF(F225="Infraestructura",INDEX('Base de datos'!$Y$63:$Z$68,MATCH(D225,Infraestructura,0),1),""),"")</f>
        <v/>
      </c>
      <c r="K225" s="775"/>
      <c r="M225" s="531" t="str">
        <f t="shared" si="32"/>
        <v/>
      </c>
      <c r="N225" s="531" t="str">
        <f t="shared" si="33"/>
        <v/>
      </c>
      <c r="O225" s="250"/>
      <c r="P225" s="531" t="str">
        <f t="shared" si="34"/>
        <v>c</v>
      </c>
      <c r="Q225" s="425">
        <f>IFERROR(COUNTIF($P$199:P225,"b"),"")</f>
        <v>0</v>
      </c>
      <c r="R225" s="530" t="str">
        <f t="shared" si="35"/>
        <v/>
      </c>
      <c r="S225" s="530" t="str">
        <f t="shared" si="36"/>
        <v/>
      </c>
      <c r="T225" s="531">
        <v>26</v>
      </c>
      <c r="U225" s="530" t="str">
        <f t="shared" si="37"/>
        <v/>
      </c>
      <c r="V225" s="530" t="str">
        <f t="shared" si="38"/>
        <v/>
      </c>
      <c r="W225" s="531" t="str">
        <f t="shared" si="39"/>
        <v>c</v>
      </c>
      <c r="X225" s="531">
        <f>IFERROR(COUNTIF($W$199:W225,"b"),"")</f>
        <v>0</v>
      </c>
      <c r="Y225" s="531">
        <v>26</v>
      </c>
    </row>
    <row r="226" spans="2:25" ht="80.099999999999994" hidden="1" customHeight="1" x14ac:dyDescent="0.25">
      <c r="B226" s="1513" t="str">
        <f>IFERROR(INDEX('PROBLEMA-OBJETIVO'!$G$56:$Q$88,MATCH('PROBLEMA-OBJETIVO'!AY130,'PROBLEMA-OBJETIVO'!$Q$56:$Q$88,0),1),"")</f>
        <v/>
      </c>
      <c r="C226" s="1513"/>
      <c r="D226" s="1517" t="str">
        <f>IFERROR(INDEX('PROBLEMA-OBJETIVO'!$G$56:$Q$88,MATCH('PROBLEMA-OBJETIVO'!AY130,'PROBLEMA-OBJETIVO'!$Q$56:$Q$88,0),3),"")</f>
        <v/>
      </c>
      <c r="E226" s="1518"/>
      <c r="F226" s="1515" t="str">
        <f t="shared" si="30"/>
        <v/>
      </c>
      <c r="G226" s="1515"/>
      <c r="H226" s="774" t="str">
        <f t="shared" si="31"/>
        <v/>
      </c>
      <c r="I226" s="775"/>
      <c r="J226" s="775" t="str">
        <f>IFERROR(IF(F226="Infraestructura",INDEX('Base de datos'!$Y$63:$Z$68,MATCH(D226,Infraestructura,0),1),""),"")</f>
        <v/>
      </c>
      <c r="K226" s="775"/>
      <c r="M226" s="531" t="str">
        <f t="shared" si="32"/>
        <v/>
      </c>
      <c r="N226" s="531" t="str">
        <f t="shared" si="33"/>
        <v/>
      </c>
      <c r="O226" s="250"/>
      <c r="P226" s="531" t="str">
        <f t="shared" si="34"/>
        <v>c</v>
      </c>
      <c r="Q226" s="425">
        <f>IFERROR(COUNTIF($P$199:P226,"b"),"")</f>
        <v>0</v>
      </c>
      <c r="R226" s="530" t="str">
        <f t="shared" si="35"/>
        <v/>
      </c>
      <c r="S226" s="530" t="str">
        <f t="shared" si="36"/>
        <v/>
      </c>
      <c r="T226" s="531">
        <v>27</v>
      </c>
      <c r="U226" s="530" t="str">
        <f t="shared" si="37"/>
        <v/>
      </c>
      <c r="V226" s="530" t="str">
        <f t="shared" si="38"/>
        <v/>
      </c>
      <c r="W226" s="531" t="str">
        <f t="shared" si="39"/>
        <v>c</v>
      </c>
      <c r="X226" s="531">
        <f>IFERROR(COUNTIF($W$199:W226,"b"),"")</f>
        <v>0</v>
      </c>
      <c r="Y226" s="531">
        <v>27</v>
      </c>
    </row>
    <row r="227" spans="2:25" ht="80.099999999999994" hidden="1" customHeight="1" x14ac:dyDescent="0.25">
      <c r="B227" s="1513" t="str">
        <f>IFERROR(INDEX('PROBLEMA-OBJETIVO'!$G$56:$Q$88,MATCH('PROBLEMA-OBJETIVO'!AY131,'PROBLEMA-OBJETIVO'!$Q$56:$Q$88,0),1),"")</f>
        <v/>
      </c>
      <c r="C227" s="1513"/>
      <c r="D227" s="1517" t="str">
        <f>IFERROR(INDEX('PROBLEMA-OBJETIVO'!$G$56:$Q$88,MATCH('PROBLEMA-OBJETIVO'!AY131,'PROBLEMA-OBJETIVO'!$Q$56:$Q$88,0),3),"")</f>
        <v/>
      </c>
      <c r="E227" s="1518"/>
      <c r="F227" s="1515" t="str">
        <f t="shared" si="30"/>
        <v/>
      </c>
      <c r="G227" s="1515"/>
      <c r="H227" s="774" t="str">
        <f t="shared" si="31"/>
        <v/>
      </c>
      <c r="I227" s="775"/>
      <c r="J227" s="775" t="str">
        <f>IFERROR(IF(F227="Infraestructura",INDEX('Base de datos'!$Y$63:$Z$68,MATCH(D227,Infraestructura,0),1),""),"")</f>
        <v/>
      </c>
      <c r="K227" s="775"/>
      <c r="M227" s="531" t="str">
        <f t="shared" si="32"/>
        <v/>
      </c>
      <c r="N227" s="531" t="str">
        <f t="shared" si="33"/>
        <v/>
      </c>
      <c r="O227" s="250"/>
      <c r="P227" s="531" t="str">
        <f t="shared" si="34"/>
        <v>c</v>
      </c>
      <c r="Q227" s="425">
        <f>IFERROR(COUNTIF($P$199:P227,"b"),"")</f>
        <v>0</v>
      </c>
      <c r="R227" s="530" t="str">
        <f t="shared" si="35"/>
        <v/>
      </c>
      <c r="S227" s="530" t="str">
        <f t="shared" si="36"/>
        <v/>
      </c>
      <c r="T227" s="531">
        <v>28</v>
      </c>
      <c r="U227" s="530" t="str">
        <f t="shared" si="37"/>
        <v/>
      </c>
      <c r="V227" s="530" t="str">
        <f t="shared" si="38"/>
        <v/>
      </c>
      <c r="W227" s="531" t="str">
        <f t="shared" si="39"/>
        <v>c</v>
      </c>
      <c r="X227" s="531">
        <f>IFERROR(COUNTIF($W$199:W227,"b"),"")</f>
        <v>0</v>
      </c>
      <c r="Y227" s="531">
        <v>28</v>
      </c>
    </row>
    <row r="228" spans="2:25" ht="80.099999999999994" hidden="1" customHeight="1" x14ac:dyDescent="0.25">
      <c r="B228" s="1513" t="str">
        <f>IFERROR(INDEX('PROBLEMA-OBJETIVO'!$G$56:$Q$88,MATCH('PROBLEMA-OBJETIVO'!AY132,'PROBLEMA-OBJETIVO'!$Q$56:$Q$88,0),1),"")</f>
        <v/>
      </c>
      <c r="C228" s="1513"/>
      <c r="D228" s="1517" t="str">
        <f>IFERROR(INDEX('PROBLEMA-OBJETIVO'!$G$56:$Q$88,MATCH('PROBLEMA-OBJETIVO'!AY132,'PROBLEMA-OBJETIVO'!$Q$56:$Q$88,0),3),"")</f>
        <v/>
      </c>
      <c r="E228" s="1518"/>
      <c r="F228" s="1515" t="str">
        <f t="shared" si="30"/>
        <v/>
      </c>
      <c r="G228" s="1515"/>
      <c r="H228" s="774" t="str">
        <f t="shared" si="31"/>
        <v/>
      </c>
      <c r="I228" s="775"/>
      <c r="J228" s="775" t="str">
        <f>IFERROR(IF(F228="Infraestructura",INDEX('Base de datos'!$Y$63:$Z$68,MATCH(D228,Infraestructura,0),1),""),"")</f>
        <v/>
      </c>
      <c r="K228" s="775"/>
      <c r="M228" s="531" t="str">
        <f t="shared" si="32"/>
        <v/>
      </c>
      <c r="N228" s="531" t="str">
        <f t="shared" si="33"/>
        <v/>
      </c>
      <c r="O228" s="250"/>
      <c r="P228" s="531" t="str">
        <f t="shared" si="34"/>
        <v>c</v>
      </c>
      <c r="Q228" s="425">
        <f>IFERROR(COUNTIF($P$199:P228,"b"),"")</f>
        <v>0</v>
      </c>
      <c r="R228" s="530" t="str">
        <f t="shared" si="35"/>
        <v/>
      </c>
      <c r="S228" s="530" t="str">
        <f t="shared" si="36"/>
        <v/>
      </c>
      <c r="T228" s="531">
        <v>29</v>
      </c>
      <c r="U228" s="530" t="str">
        <f t="shared" si="37"/>
        <v/>
      </c>
      <c r="V228" s="530" t="str">
        <f t="shared" si="38"/>
        <v/>
      </c>
      <c r="W228" s="531" t="str">
        <f t="shared" si="39"/>
        <v>c</v>
      </c>
      <c r="X228" s="531">
        <f>IFERROR(COUNTIF($W$199:W228,"b"),"")</f>
        <v>0</v>
      </c>
      <c r="Y228" s="531">
        <v>29</v>
      </c>
    </row>
    <row r="229" spans="2:25" ht="80.099999999999994" hidden="1" customHeight="1" x14ac:dyDescent="0.25">
      <c r="B229" s="1513" t="str">
        <f>IFERROR(INDEX('PROBLEMA-OBJETIVO'!$G$56:$Q$88,MATCH('PROBLEMA-OBJETIVO'!AY133,'PROBLEMA-OBJETIVO'!$Q$56:$Q$88,0),1),"")</f>
        <v/>
      </c>
      <c r="C229" s="1513"/>
      <c r="D229" s="1517" t="str">
        <f>IFERROR(INDEX('PROBLEMA-OBJETIVO'!$G$56:$Q$88,MATCH('PROBLEMA-OBJETIVO'!AY133,'PROBLEMA-OBJETIVO'!$Q$56:$Q$88,0),3),"")</f>
        <v/>
      </c>
      <c r="E229" s="1518"/>
      <c r="F229" s="1515" t="str">
        <f t="shared" si="30"/>
        <v/>
      </c>
      <c r="G229" s="1515"/>
      <c r="H229" s="774" t="str">
        <f t="shared" si="31"/>
        <v/>
      </c>
      <c r="I229" s="775"/>
      <c r="J229" s="775" t="str">
        <f>IFERROR(IF(F229="Infraestructura",INDEX('Base de datos'!$Y$63:$Z$68,MATCH(D229,Infraestructura,0),1),""),"")</f>
        <v/>
      </c>
      <c r="K229" s="775"/>
      <c r="M229" s="531" t="str">
        <f t="shared" si="32"/>
        <v/>
      </c>
      <c r="N229" s="531" t="str">
        <f t="shared" si="33"/>
        <v/>
      </c>
      <c r="O229" s="250"/>
      <c r="P229" s="531" t="str">
        <f t="shared" si="34"/>
        <v>c</v>
      </c>
      <c r="Q229" s="425">
        <f>IFERROR(COUNTIF($P$199:P229,"b"),"")</f>
        <v>0</v>
      </c>
      <c r="R229" s="530" t="str">
        <f t="shared" si="35"/>
        <v/>
      </c>
      <c r="S229" s="530" t="str">
        <f t="shared" si="36"/>
        <v/>
      </c>
      <c r="T229" s="531">
        <v>30</v>
      </c>
      <c r="U229" s="530" t="str">
        <f t="shared" si="37"/>
        <v/>
      </c>
      <c r="V229" s="530" t="str">
        <f t="shared" si="38"/>
        <v/>
      </c>
      <c r="W229" s="531" t="str">
        <f t="shared" si="39"/>
        <v>c</v>
      </c>
      <c r="X229" s="531">
        <f>IFERROR(COUNTIF($W$199:W229,"b"),"")</f>
        <v>0</v>
      </c>
      <c r="Y229" s="531">
        <v>30</v>
      </c>
    </row>
    <row r="230" spans="2:25" hidden="1" x14ac:dyDescent="0.25">
      <c r="M230" s="537"/>
      <c r="N230" s="537"/>
      <c r="O230" s="537"/>
      <c r="P230" s="537"/>
      <c r="Q230" s="537"/>
      <c r="R230" s="537"/>
      <c r="S230" s="537"/>
      <c r="T230" s="537"/>
      <c r="U230" s="537"/>
      <c r="V230" s="537"/>
      <c r="W230" s="537"/>
      <c r="X230" s="537"/>
      <c r="Y230" s="537"/>
    </row>
    <row r="231" spans="2:25" hidden="1" x14ac:dyDescent="0.25">
      <c r="M231" s="537"/>
      <c r="N231" s="537"/>
      <c r="O231" s="537"/>
      <c r="P231" s="537"/>
      <c r="Q231" s="537"/>
      <c r="R231" s="537"/>
      <c r="S231" s="537"/>
      <c r="T231" s="537"/>
      <c r="U231" s="537"/>
      <c r="V231" s="537"/>
      <c r="W231" s="537"/>
      <c r="X231" s="537"/>
      <c r="Y231" s="537"/>
    </row>
    <row r="232" spans="2:25" x14ac:dyDescent="0.25">
      <c r="M232" s="537"/>
      <c r="N232" s="537"/>
      <c r="O232" s="537"/>
      <c r="P232" s="537"/>
      <c r="Q232" s="537"/>
      <c r="R232" s="537"/>
      <c r="S232" s="537"/>
      <c r="T232" s="537"/>
      <c r="U232" s="537"/>
      <c r="V232" s="537"/>
      <c r="W232" s="537"/>
      <c r="X232" s="537"/>
      <c r="Y232" s="537"/>
    </row>
    <row r="233" spans="2:25" x14ac:dyDescent="0.25">
      <c r="B233" s="787" t="s">
        <v>5574</v>
      </c>
      <c r="C233" s="788"/>
      <c r="D233" s="788"/>
      <c r="E233" s="788"/>
      <c r="F233" s="789"/>
      <c r="G233" s="790"/>
      <c r="H233" s="790"/>
      <c r="I233" s="789"/>
      <c r="J233" s="789"/>
      <c r="K233" s="788"/>
      <c r="L233" s="789"/>
      <c r="M233" s="537"/>
      <c r="N233" s="537"/>
      <c r="O233" s="537"/>
      <c r="P233" s="537"/>
      <c r="Q233" s="537"/>
      <c r="R233" s="537"/>
      <c r="S233" s="537"/>
      <c r="T233" s="537"/>
      <c r="U233" s="537"/>
      <c r="V233" s="537"/>
      <c r="W233" s="537"/>
      <c r="X233" s="537"/>
      <c r="Y233" s="537"/>
    </row>
    <row r="234" spans="2:25" x14ac:dyDescent="0.25">
      <c r="M234" s="537"/>
      <c r="N234" s="537"/>
      <c r="O234" s="537"/>
      <c r="P234" s="537"/>
      <c r="Q234" s="537"/>
      <c r="R234" s="537"/>
      <c r="S234" s="537"/>
      <c r="T234" s="537"/>
      <c r="U234" s="537"/>
      <c r="V234" s="537"/>
      <c r="W234" s="537"/>
      <c r="X234" s="537"/>
      <c r="Y234" s="537"/>
    </row>
    <row r="235" spans="2:25" x14ac:dyDescent="0.25">
      <c r="M235" s="537"/>
      <c r="N235" s="537"/>
      <c r="O235" s="537"/>
      <c r="P235" s="537"/>
      <c r="Q235" s="537"/>
      <c r="R235" s="537"/>
      <c r="S235" s="537"/>
      <c r="T235" s="537"/>
      <c r="U235" s="537"/>
      <c r="V235" s="537"/>
      <c r="W235" s="537"/>
      <c r="X235" s="537"/>
      <c r="Y235" s="537"/>
    </row>
    <row r="236" spans="2:25" x14ac:dyDescent="0.25">
      <c r="B236" s="114" t="s">
        <v>5570</v>
      </c>
      <c r="C236" s="68"/>
      <c r="D236" s="68"/>
      <c r="E236" s="68"/>
      <c r="F236" s="68"/>
      <c r="G236" s="68"/>
      <c r="H236" s="68"/>
      <c r="I236" s="770"/>
      <c r="J236" s="770"/>
      <c r="K236" s="125"/>
      <c r="L236" s="125"/>
      <c r="M236" s="537"/>
      <c r="N236" s="537"/>
      <c r="O236" s="537"/>
      <c r="P236" s="537"/>
      <c r="Q236" s="537"/>
      <c r="R236" s="537"/>
      <c r="S236" s="537"/>
      <c r="T236" s="537"/>
      <c r="U236" s="537"/>
      <c r="V236" s="537"/>
      <c r="W236" s="537"/>
      <c r="X236" s="537"/>
      <c r="Y236" s="537"/>
    </row>
    <row r="237" spans="2:25" ht="15.75" thickBot="1" x14ac:dyDescent="0.3">
      <c r="B237" s="68"/>
      <c r="C237" s="68"/>
      <c r="D237" s="68"/>
      <c r="E237" s="68"/>
      <c r="F237" s="68"/>
      <c r="G237" s="68"/>
      <c r="H237" s="68"/>
      <c r="I237" s="770"/>
      <c r="J237" s="770"/>
      <c r="K237" s="125"/>
      <c r="L237" s="125"/>
      <c r="M237" s="537"/>
      <c r="N237" s="537"/>
      <c r="O237" s="537"/>
      <c r="P237" s="537"/>
      <c r="Q237" s="537"/>
      <c r="R237" s="537"/>
      <c r="S237" s="537"/>
      <c r="T237" s="537"/>
      <c r="U237" s="537"/>
      <c r="V237" s="537"/>
      <c r="W237" s="537"/>
      <c r="X237" s="537"/>
      <c r="Y237" s="537"/>
    </row>
    <row r="238" spans="2:25" ht="50.1" customHeight="1" thickBot="1" x14ac:dyDescent="0.3">
      <c r="B238" s="1594" t="s">
        <v>5571</v>
      </c>
      <c r="C238" s="1595"/>
      <c r="D238" s="1573" t="s">
        <v>5454</v>
      </c>
      <c r="E238" s="1573"/>
      <c r="F238" s="793" t="s">
        <v>5510</v>
      </c>
      <c r="G238" s="1595" t="s">
        <v>5572</v>
      </c>
      <c r="H238" s="1595"/>
      <c r="I238" s="1573" t="s">
        <v>5549</v>
      </c>
      <c r="J238" s="1573"/>
      <c r="K238" s="1573"/>
      <c r="L238" s="1574"/>
      <c r="M238" s="537"/>
      <c r="N238" s="537"/>
      <c r="O238" s="537"/>
      <c r="P238" s="537"/>
      <c r="Q238" s="537"/>
      <c r="R238" s="537"/>
      <c r="S238" s="537"/>
      <c r="T238" s="537"/>
      <c r="U238" s="537"/>
      <c r="V238" s="537"/>
      <c r="W238" s="537"/>
      <c r="X238" s="537"/>
      <c r="Y238" s="537"/>
    </row>
    <row r="239" spans="2:25" ht="36" customHeight="1" x14ac:dyDescent="0.25">
      <c r="B239" s="1596" t="str">
        <f>IFERROR(IF('UNIDAD PRODUCTORA'!B96="","",'UNIDAD PRODUCTORA'!B96),"")</f>
        <v/>
      </c>
      <c r="C239" s="1597"/>
      <c r="D239" s="1168" t="str">
        <f>IFERROR(IF($B$239="","",'AREA DE ESTUDIO'!B123),"")</f>
        <v/>
      </c>
      <c r="E239" s="1168"/>
      <c r="F239" s="694"/>
      <c r="G239" s="1602"/>
      <c r="H239" s="1603"/>
      <c r="I239" s="1576"/>
      <c r="J239" s="1577"/>
      <c r="K239" s="1577"/>
      <c r="L239" s="1578"/>
      <c r="M239" s="537"/>
      <c r="N239" s="537"/>
      <c r="O239" s="537"/>
      <c r="P239" s="537"/>
      <c r="Q239" s="537"/>
      <c r="R239" s="537"/>
      <c r="S239" s="537"/>
      <c r="T239" s="537"/>
      <c r="U239" s="537"/>
      <c r="V239" s="537"/>
      <c r="W239" s="537"/>
      <c r="X239" s="537"/>
      <c r="Y239" s="537"/>
    </row>
    <row r="240" spans="2:25" ht="36" customHeight="1" x14ac:dyDescent="0.25">
      <c r="B240" s="1598"/>
      <c r="C240" s="1599"/>
      <c r="D240" s="1169" t="str">
        <f>IFERROR(IF($B$239="","",'AREA DE ESTUDIO'!B124),"")</f>
        <v/>
      </c>
      <c r="E240" s="1169"/>
      <c r="F240" s="692"/>
      <c r="G240" s="1608"/>
      <c r="H240" s="1609"/>
      <c r="I240" s="1584"/>
      <c r="J240" s="1585"/>
      <c r="K240" s="1585"/>
      <c r="L240" s="1586"/>
      <c r="M240" s="537"/>
      <c r="N240" s="537"/>
      <c r="O240" s="537"/>
      <c r="P240" s="537"/>
      <c r="Q240" s="537"/>
      <c r="R240" s="537"/>
      <c r="S240" s="537"/>
      <c r="T240" s="537"/>
      <c r="U240" s="537"/>
      <c r="V240" s="537"/>
      <c r="W240" s="537"/>
      <c r="X240" s="537"/>
      <c r="Y240" s="537"/>
    </row>
    <row r="241" spans="2:25" ht="36" customHeight="1" x14ac:dyDescent="0.25">
      <c r="B241" s="1598"/>
      <c r="C241" s="1599"/>
      <c r="D241" s="1169" t="str">
        <f>IFERROR(IF($B$239="","",'AREA DE ESTUDIO'!B125),"")</f>
        <v/>
      </c>
      <c r="E241" s="1169"/>
      <c r="F241" s="692"/>
      <c r="G241" s="1608"/>
      <c r="H241" s="1609"/>
      <c r="I241" s="1584"/>
      <c r="J241" s="1585"/>
      <c r="K241" s="1585"/>
      <c r="L241" s="1586"/>
      <c r="M241" s="537"/>
      <c r="N241" s="537"/>
      <c r="O241" s="537"/>
      <c r="P241" s="537"/>
      <c r="Q241" s="537"/>
      <c r="R241" s="537"/>
      <c r="S241" s="537"/>
      <c r="T241" s="537"/>
      <c r="U241" s="537"/>
      <c r="V241" s="537"/>
      <c r="W241" s="537"/>
      <c r="X241" s="537"/>
      <c r="Y241" s="537"/>
    </row>
    <row r="242" spans="2:25" ht="36" customHeight="1" x14ac:dyDescent="0.25">
      <c r="B242" s="1598"/>
      <c r="C242" s="1599"/>
      <c r="D242" s="1169" t="str">
        <f>IFERROR(IF($B$239="","",'AREA DE ESTUDIO'!B126),"")</f>
        <v/>
      </c>
      <c r="E242" s="1169"/>
      <c r="F242" s="692"/>
      <c r="G242" s="1608"/>
      <c r="H242" s="1609"/>
      <c r="I242" s="1584"/>
      <c r="J242" s="1585"/>
      <c r="K242" s="1585"/>
      <c r="L242" s="1586"/>
      <c r="M242" s="537"/>
      <c r="N242" s="537"/>
      <c r="O242" s="537"/>
      <c r="P242" s="537"/>
      <c r="Q242" s="537"/>
      <c r="R242" s="537"/>
      <c r="S242" s="537"/>
      <c r="T242" s="537"/>
      <c r="U242" s="537"/>
      <c r="V242" s="537"/>
      <c r="W242" s="537"/>
      <c r="X242" s="537"/>
      <c r="Y242" s="537"/>
    </row>
    <row r="243" spans="2:25" ht="36" customHeight="1" x14ac:dyDescent="0.25">
      <c r="B243" s="1598"/>
      <c r="C243" s="1599"/>
      <c r="D243" s="1169" t="str">
        <f>IFERROR(IF($B$239="","",'AREA DE ESTUDIO'!B127),"")</f>
        <v/>
      </c>
      <c r="E243" s="1169"/>
      <c r="F243" s="692"/>
      <c r="G243" s="1587"/>
      <c r="H243" s="1587"/>
      <c r="I243" s="1584"/>
      <c r="J243" s="1585"/>
      <c r="K243" s="1585"/>
      <c r="L243" s="1586"/>
      <c r="M243" s="537"/>
      <c r="N243" s="537"/>
      <c r="O243" s="537"/>
      <c r="P243" s="537"/>
      <c r="Q243" s="537"/>
      <c r="R243" s="537"/>
      <c r="S243" s="537"/>
      <c r="T243" s="537"/>
      <c r="U243" s="537"/>
      <c r="V243" s="537"/>
      <c r="W243" s="537"/>
      <c r="X243" s="537"/>
      <c r="Y243" s="537"/>
    </row>
    <row r="244" spans="2:25" ht="36" customHeight="1" thickBot="1" x14ac:dyDescent="0.3">
      <c r="B244" s="1600"/>
      <c r="C244" s="1601"/>
      <c r="D244" s="1170" t="str">
        <f>IFERROR(IF($B$239="","",'AREA DE ESTUDIO'!B128),"")</f>
        <v/>
      </c>
      <c r="E244" s="1170"/>
      <c r="F244" s="695"/>
      <c r="G244" s="1607"/>
      <c r="H244" s="1607"/>
      <c r="I244" s="1588"/>
      <c r="J244" s="1589"/>
      <c r="K244" s="1589"/>
      <c r="L244" s="1590"/>
      <c r="M244" s="537"/>
      <c r="N244" s="537"/>
      <c r="O244" s="537"/>
      <c r="P244" s="537"/>
      <c r="Q244" s="537"/>
      <c r="R244" s="537"/>
      <c r="S244" s="537"/>
      <c r="T244" s="537"/>
      <c r="U244" s="537"/>
      <c r="V244" s="537"/>
      <c r="W244" s="537"/>
      <c r="X244" s="537"/>
      <c r="Y244" s="537"/>
    </row>
    <row r="245" spans="2:25" ht="36" customHeight="1" x14ac:dyDescent="0.25">
      <c r="B245" s="1610" t="str">
        <f>IFERROR(IF('UNIDAD PRODUCTORA'!B102="","",'UNIDAD PRODUCTORA'!B102),"")</f>
        <v/>
      </c>
      <c r="C245" s="1611"/>
      <c r="D245" s="1614" t="str">
        <f>IFERROR(IF($B$245="","",'AREA DE ESTUDIO'!B123),"")</f>
        <v/>
      </c>
      <c r="E245" s="1324"/>
      <c r="F245" s="691"/>
      <c r="G245" s="1615"/>
      <c r="H245" s="1615"/>
      <c r="I245" s="1616"/>
      <c r="J245" s="1617"/>
      <c r="K245" s="1617"/>
      <c r="L245" s="1618"/>
      <c r="M245" s="537"/>
      <c r="N245" s="537"/>
      <c r="O245" s="537"/>
      <c r="P245" s="537"/>
      <c r="Q245" s="537"/>
      <c r="R245" s="537"/>
      <c r="S245" s="537"/>
      <c r="T245" s="537"/>
      <c r="U245" s="537"/>
      <c r="V245" s="537"/>
      <c r="W245" s="537"/>
      <c r="X245" s="537"/>
      <c r="Y245" s="537"/>
    </row>
    <row r="246" spans="2:25" ht="36" customHeight="1" x14ac:dyDescent="0.25">
      <c r="B246" s="1598"/>
      <c r="C246" s="1599"/>
      <c r="D246" s="1614" t="str">
        <f>IFERROR(IF($B$245="","",'AREA DE ESTUDIO'!B124),"")</f>
        <v/>
      </c>
      <c r="E246" s="1324"/>
      <c r="F246" s="692"/>
      <c r="G246" s="1587"/>
      <c r="H246" s="1587"/>
      <c r="I246" s="1584"/>
      <c r="J246" s="1585"/>
      <c r="K246" s="1585"/>
      <c r="L246" s="1586"/>
      <c r="M246" s="537"/>
      <c r="N246" s="537"/>
      <c r="O246" s="537"/>
      <c r="P246" s="537"/>
      <c r="Q246" s="537"/>
      <c r="R246" s="537"/>
      <c r="S246" s="537"/>
      <c r="T246" s="537"/>
      <c r="U246" s="537"/>
      <c r="V246" s="537"/>
      <c r="W246" s="537"/>
      <c r="X246" s="537"/>
      <c r="Y246" s="537"/>
    </row>
    <row r="247" spans="2:25" ht="36" customHeight="1" x14ac:dyDescent="0.25">
      <c r="B247" s="1598"/>
      <c r="C247" s="1599"/>
      <c r="D247" s="1614" t="str">
        <f>IFERROR(IF($B$245="","",'AREA DE ESTUDIO'!B125),"")</f>
        <v/>
      </c>
      <c r="E247" s="1324"/>
      <c r="F247" s="692"/>
      <c r="G247" s="1587"/>
      <c r="H247" s="1587"/>
      <c r="I247" s="1584"/>
      <c r="J247" s="1585"/>
      <c r="K247" s="1585"/>
      <c r="L247" s="1586"/>
      <c r="M247" s="537"/>
      <c r="N247" s="537"/>
      <c r="O247" s="537"/>
      <c r="P247" s="537"/>
      <c r="Q247" s="537"/>
      <c r="R247" s="537"/>
      <c r="S247" s="537"/>
      <c r="T247" s="537"/>
      <c r="U247" s="537"/>
      <c r="V247" s="537"/>
      <c r="W247" s="537"/>
      <c r="X247" s="537"/>
      <c r="Y247" s="537"/>
    </row>
    <row r="248" spans="2:25" ht="36" customHeight="1" x14ac:dyDescent="0.25">
      <c r="B248" s="1598"/>
      <c r="C248" s="1599"/>
      <c r="D248" s="1614" t="str">
        <f>IFERROR(IF($B$245="","",'AREA DE ESTUDIO'!B126),"")</f>
        <v/>
      </c>
      <c r="E248" s="1324"/>
      <c r="F248" s="692"/>
      <c r="G248" s="1587"/>
      <c r="H248" s="1587"/>
      <c r="I248" s="1584"/>
      <c r="J248" s="1585"/>
      <c r="K248" s="1585"/>
      <c r="L248" s="1586"/>
      <c r="M248" s="537"/>
      <c r="N248" s="537"/>
      <c r="O248" s="537"/>
      <c r="P248" s="537"/>
      <c r="Q248" s="537"/>
      <c r="R248" s="537"/>
      <c r="S248" s="537"/>
      <c r="T248" s="537"/>
      <c r="U248" s="537"/>
      <c r="V248" s="537"/>
      <c r="W248" s="537"/>
      <c r="X248" s="537"/>
      <c r="Y248" s="537"/>
    </row>
    <row r="249" spans="2:25" ht="36" customHeight="1" x14ac:dyDescent="0.25">
      <c r="B249" s="1598"/>
      <c r="C249" s="1599"/>
      <c r="D249" s="1614" t="str">
        <f>IFERROR(IF($B$245="","",'AREA DE ESTUDIO'!B127),"")</f>
        <v/>
      </c>
      <c r="E249" s="1324"/>
      <c r="F249" s="692"/>
      <c r="G249" s="1587"/>
      <c r="H249" s="1587"/>
      <c r="I249" s="1584"/>
      <c r="J249" s="1585"/>
      <c r="K249" s="1585"/>
      <c r="L249" s="1586"/>
      <c r="M249" s="537"/>
      <c r="N249" s="537"/>
      <c r="O249" s="537"/>
      <c r="P249" s="537"/>
      <c r="Q249" s="537"/>
      <c r="R249" s="537"/>
      <c r="S249" s="537"/>
      <c r="T249" s="537"/>
      <c r="U249" s="537"/>
      <c r="V249" s="537"/>
      <c r="W249" s="537"/>
      <c r="X249" s="537"/>
      <c r="Y249" s="537"/>
    </row>
    <row r="250" spans="2:25" ht="36" customHeight="1" thickBot="1" x14ac:dyDescent="0.3">
      <c r="B250" s="1612"/>
      <c r="C250" s="1613"/>
      <c r="D250" s="1614" t="str">
        <f>IFERROR(IF($B$245="","",'AREA DE ESTUDIO'!B128),"")</f>
        <v/>
      </c>
      <c r="E250" s="1324"/>
      <c r="F250" s="693"/>
      <c r="G250" s="1619"/>
      <c r="H250" s="1619"/>
      <c r="I250" s="1581"/>
      <c r="J250" s="1582"/>
      <c r="K250" s="1582"/>
      <c r="L250" s="1583"/>
      <c r="M250" s="537"/>
      <c r="N250" s="537"/>
      <c r="O250" s="537"/>
      <c r="P250" s="537"/>
      <c r="Q250" s="537"/>
      <c r="R250" s="537"/>
      <c r="S250" s="537"/>
      <c r="T250" s="537"/>
      <c r="U250" s="537"/>
      <c r="V250" s="537"/>
      <c r="W250" s="537"/>
      <c r="X250" s="537"/>
      <c r="Y250" s="537"/>
    </row>
    <row r="251" spans="2:25" ht="36" customHeight="1" x14ac:dyDescent="0.25">
      <c r="B251" s="1596" t="str">
        <f>IFERROR(IF('UNIDAD PRODUCTORA'!B108="","",'UNIDAD PRODUCTORA'!B108),"")</f>
        <v/>
      </c>
      <c r="C251" s="1597"/>
      <c r="D251" s="1604" t="str">
        <f>IFERROR(IF($B$251="","",'AREA DE ESTUDIO'!B123),"")</f>
        <v/>
      </c>
      <c r="E251" s="1605"/>
      <c r="F251" s="694"/>
      <c r="G251" s="1575"/>
      <c r="H251" s="1575"/>
      <c r="I251" s="1576"/>
      <c r="J251" s="1577"/>
      <c r="K251" s="1577"/>
      <c r="L251" s="1578"/>
    </row>
    <row r="252" spans="2:25" ht="36" customHeight="1" x14ac:dyDescent="0.25">
      <c r="B252" s="1598"/>
      <c r="C252" s="1599"/>
      <c r="D252" s="1579" t="str">
        <f>IFERROR(IF($B$251="","",'AREA DE ESTUDIO'!B124),"")</f>
        <v/>
      </c>
      <c r="E252" s="1580"/>
      <c r="F252" s="692"/>
      <c r="G252" s="1587"/>
      <c r="H252" s="1587"/>
      <c r="I252" s="1584"/>
      <c r="J252" s="1585"/>
      <c r="K252" s="1585"/>
      <c r="L252" s="1586"/>
    </row>
    <row r="253" spans="2:25" ht="36" customHeight="1" x14ac:dyDescent="0.25">
      <c r="B253" s="1598"/>
      <c r="C253" s="1599"/>
      <c r="D253" s="1579" t="str">
        <f>IFERROR(IF($B$251="","",'AREA DE ESTUDIO'!B125),"")</f>
        <v/>
      </c>
      <c r="E253" s="1580"/>
      <c r="F253" s="692"/>
      <c r="G253" s="1587"/>
      <c r="H253" s="1587"/>
      <c r="I253" s="1584"/>
      <c r="J253" s="1585"/>
      <c r="K253" s="1585"/>
      <c r="L253" s="1586"/>
    </row>
    <row r="254" spans="2:25" ht="36" customHeight="1" x14ac:dyDescent="0.25">
      <c r="B254" s="1598"/>
      <c r="C254" s="1599"/>
      <c r="D254" s="1579" t="str">
        <f>IFERROR(IF($B$251="","",'AREA DE ESTUDIO'!B126),"")</f>
        <v/>
      </c>
      <c r="E254" s="1580"/>
      <c r="F254" s="692"/>
      <c r="G254" s="1587"/>
      <c r="H254" s="1587"/>
      <c r="I254" s="1584"/>
      <c r="J254" s="1585"/>
      <c r="K254" s="1585"/>
      <c r="L254" s="1586"/>
    </row>
    <row r="255" spans="2:25" ht="36" customHeight="1" x14ac:dyDescent="0.25">
      <c r="B255" s="1598"/>
      <c r="C255" s="1599"/>
      <c r="D255" s="1579" t="str">
        <f>IFERROR(IF($B$251="","",'AREA DE ESTUDIO'!B127),"")</f>
        <v/>
      </c>
      <c r="E255" s="1580"/>
      <c r="F255" s="692"/>
      <c r="G255" s="1587"/>
      <c r="H255" s="1587"/>
      <c r="I255" s="1584"/>
      <c r="J255" s="1585"/>
      <c r="K255" s="1585"/>
      <c r="L255" s="1586"/>
    </row>
    <row r="256" spans="2:25" ht="36" customHeight="1" thickBot="1" x14ac:dyDescent="0.3">
      <c r="B256" s="1600"/>
      <c r="C256" s="1601"/>
      <c r="D256" s="1606" t="str">
        <f>IFERROR(IF($B$251="","",'AREA DE ESTUDIO'!B128),"")</f>
        <v/>
      </c>
      <c r="E256" s="1326"/>
      <c r="F256" s="695"/>
      <c r="G256" s="1607"/>
      <c r="H256" s="1607"/>
      <c r="I256" s="1588"/>
      <c r="J256" s="1589"/>
      <c r="K256" s="1589"/>
      <c r="L256" s="1590"/>
    </row>
    <row r="257" spans="2:12" ht="36" customHeight="1" x14ac:dyDescent="0.25">
      <c r="B257" s="1610" t="str">
        <f>IFERROR(IF('UNIDAD PRODUCTORA'!B114="","",'UNIDAD PRODUCTORA'!B114),"")</f>
        <v/>
      </c>
      <c r="C257" s="1611"/>
      <c r="D257" s="1614" t="str">
        <f>IFERROR(IF($B$257="","",'AREA DE ESTUDIO'!B123),"")</f>
        <v/>
      </c>
      <c r="E257" s="1324"/>
      <c r="F257" s="691"/>
      <c r="G257" s="1615"/>
      <c r="H257" s="1615"/>
      <c r="I257" s="1616"/>
      <c r="J257" s="1617"/>
      <c r="K257" s="1617"/>
      <c r="L257" s="1618"/>
    </row>
    <row r="258" spans="2:12" ht="36" customHeight="1" x14ac:dyDescent="0.25">
      <c r="B258" s="1598"/>
      <c r="C258" s="1599"/>
      <c r="D258" s="1614" t="str">
        <f>IFERROR(IF($B$257="","",'AREA DE ESTUDIO'!B124),"")</f>
        <v/>
      </c>
      <c r="E258" s="1324"/>
      <c r="F258" s="692"/>
      <c r="G258" s="1587"/>
      <c r="H258" s="1587"/>
      <c r="I258" s="1584"/>
      <c r="J258" s="1585"/>
      <c r="K258" s="1585"/>
      <c r="L258" s="1586"/>
    </row>
    <row r="259" spans="2:12" ht="36" customHeight="1" x14ac:dyDescent="0.25">
      <c r="B259" s="1598"/>
      <c r="C259" s="1599"/>
      <c r="D259" s="1614" t="str">
        <f>IFERROR(IF($B$257="","",'AREA DE ESTUDIO'!B125),"")</f>
        <v/>
      </c>
      <c r="E259" s="1324"/>
      <c r="F259" s="692"/>
      <c r="G259" s="1587"/>
      <c r="H259" s="1587"/>
      <c r="I259" s="1584"/>
      <c r="J259" s="1585"/>
      <c r="K259" s="1585"/>
      <c r="L259" s="1586"/>
    </row>
    <row r="260" spans="2:12" ht="36" customHeight="1" x14ac:dyDescent="0.25">
      <c r="B260" s="1598"/>
      <c r="C260" s="1599"/>
      <c r="D260" s="1614" t="str">
        <f>IFERROR(IF($B$257="","",'AREA DE ESTUDIO'!B126),"")</f>
        <v/>
      </c>
      <c r="E260" s="1324"/>
      <c r="F260" s="692"/>
      <c r="G260" s="1587"/>
      <c r="H260" s="1587"/>
      <c r="I260" s="1584"/>
      <c r="J260" s="1585"/>
      <c r="K260" s="1585"/>
      <c r="L260" s="1586"/>
    </row>
    <row r="261" spans="2:12" ht="36" customHeight="1" x14ac:dyDescent="0.25">
      <c r="B261" s="1598"/>
      <c r="C261" s="1599"/>
      <c r="D261" s="1614" t="str">
        <f>IFERROR(IF($B$257="","",'AREA DE ESTUDIO'!B127),"")</f>
        <v/>
      </c>
      <c r="E261" s="1324"/>
      <c r="F261" s="692"/>
      <c r="G261" s="1587"/>
      <c r="H261" s="1587"/>
      <c r="I261" s="1584"/>
      <c r="J261" s="1585"/>
      <c r="K261" s="1585"/>
      <c r="L261" s="1586"/>
    </row>
    <row r="262" spans="2:12" ht="36" customHeight="1" thickBot="1" x14ac:dyDescent="0.3">
      <c r="B262" s="1612"/>
      <c r="C262" s="1613"/>
      <c r="D262" s="1614" t="str">
        <f>IFERROR(IF($B$257="","",'AREA DE ESTUDIO'!B128),"")</f>
        <v/>
      </c>
      <c r="E262" s="1324"/>
      <c r="F262" s="693"/>
      <c r="G262" s="1619"/>
      <c r="H262" s="1619"/>
      <c r="I262" s="1581"/>
      <c r="J262" s="1582"/>
      <c r="K262" s="1582"/>
      <c r="L262" s="1583"/>
    </row>
    <row r="263" spans="2:12" ht="36" customHeight="1" x14ac:dyDescent="0.25">
      <c r="B263" s="1596" t="str">
        <f>IFERROR(IF('UNIDAD PRODUCTORA'!B120="","",'UNIDAD PRODUCTORA'!B120),"")</f>
        <v/>
      </c>
      <c r="C263" s="1597"/>
      <c r="D263" s="1604" t="str">
        <f>IFERROR(IF($B$263="","",'AREA DE ESTUDIO'!B123),"")</f>
        <v/>
      </c>
      <c r="E263" s="1605"/>
      <c r="F263" s="694"/>
      <c r="G263" s="1575"/>
      <c r="H263" s="1575"/>
      <c r="I263" s="1576"/>
      <c r="J263" s="1577"/>
      <c r="K263" s="1577"/>
      <c r="L263" s="1578"/>
    </row>
    <row r="264" spans="2:12" ht="36" customHeight="1" x14ac:dyDescent="0.25">
      <c r="B264" s="1598"/>
      <c r="C264" s="1599"/>
      <c r="D264" s="1579" t="str">
        <f>IFERROR(IF($B$263="","",'AREA DE ESTUDIO'!B124),"")</f>
        <v/>
      </c>
      <c r="E264" s="1580"/>
      <c r="F264" s="692"/>
      <c r="G264" s="1587"/>
      <c r="H264" s="1587"/>
      <c r="I264" s="1584"/>
      <c r="J264" s="1585"/>
      <c r="K264" s="1585"/>
      <c r="L264" s="1586"/>
    </row>
    <row r="265" spans="2:12" ht="36" customHeight="1" x14ac:dyDescent="0.25">
      <c r="B265" s="1598"/>
      <c r="C265" s="1599"/>
      <c r="D265" s="1579" t="str">
        <f>IFERROR(IF($B$263="","",'AREA DE ESTUDIO'!B125),"")</f>
        <v/>
      </c>
      <c r="E265" s="1580"/>
      <c r="F265" s="692"/>
      <c r="G265" s="1587"/>
      <c r="H265" s="1587"/>
      <c r="I265" s="1584"/>
      <c r="J265" s="1585"/>
      <c r="K265" s="1585"/>
      <c r="L265" s="1586"/>
    </row>
    <row r="266" spans="2:12" ht="36" customHeight="1" x14ac:dyDescent="0.25">
      <c r="B266" s="1598"/>
      <c r="C266" s="1599"/>
      <c r="D266" s="1579" t="str">
        <f>IFERROR(IF($B$263="","",'AREA DE ESTUDIO'!B126),"")</f>
        <v/>
      </c>
      <c r="E266" s="1580"/>
      <c r="F266" s="692"/>
      <c r="G266" s="1587"/>
      <c r="H266" s="1587"/>
      <c r="I266" s="1584"/>
      <c r="J266" s="1585"/>
      <c r="K266" s="1585"/>
      <c r="L266" s="1586"/>
    </row>
    <row r="267" spans="2:12" ht="36" customHeight="1" x14ac:dyDescent="0.25">
      <c r="B267" s="1598"/>
      <c r="C267" s="1599"/>
      <c r="D267" s="1579" t="str">
        <f>IFERROR(IF($B$263="","",'AREA DE ESTUDIO'!B127),"")</f>
        <v/>
      </c>
      <c r="E267" s="1580"/>
      <c r="F267" s="692"/>
      <c r="G267" s="1587"/>
      <c r="H267" s="1587"/>
      <c r="I267" s="1584"/>
      <c r="J267" s="1585"/>
      <c r="K267" s="1585"/>
      <c r="L267" s="1586"/>
    </row>
    <row r="268" spans="2:12" ht="36" customHeight="1" thickBot="1" x14ac:dyDescent="0.3">
      <c r="B268" s="1600"/>
      <c r="C268" s="1601"/>
      <c r="D268" s="1606" t="str">
        <f>IFERROR(IF($B$263="","",'AREA DE ESTUDIO'!B128),"")</f>
        <v/>
      </c>
      <c r="E268" s="1326"/>
      <c r="F268" s="695"/>
      <c r="G268" s="1607"/>
      <c r="H268" s="1607"/>
      <c r="I268" s="1588"/>
      <c r="J268" s="1589"/>
      <c r="K268" s="1589"/>
      <c r="L268" s="1590"/>
    </row>
    <row r="269" spans="2:12" ht="36" customHeight="1" x14ac:dyDescent="0.25">
      <c r="B269" s="1610" t="str">
        <f>IFERROR(IF('UNIDAD PRODUCTORA'!B126="","",'UNIDAD PRODUCTORA'!B126),"")</f>
        <v/>
      </c>
      <c r="C269" s="1611"/>
      <c r="D269" s="1614" t="str">
        <f>IFERROR(IF($B$269="","",'AREA DE ESTUDIO'!B123),"")</f>
        <v/>
      </c>
      <c r="E269" s="1324"/>
      <c r="F269" s="691"/>
      <c r="G269" s="1615"/>
      <c r="H269" s="1615"/>
      <c r="I269" s="1616"/>
      <c r="J269" s="1617"/>
      <c r="K269" s="1617"/>
      <c r="L269" s="1618"/>
    </row>
    <row r="270" spans="2:12" ht="36" customHeight="1" x14ac:dyDescent="0.25">
      <c r="B270" s="1598"/>
      <c r="C270" s="1599"/>
      <c r="D270" s="1614" t="str">
        <f>IFERROR(IF($B$269="","",'AREA DE ESTUDIO'!B124),"")</f>
        <v/>
      </c>
      <c r="E270" s="1324"/>
      <c r="F270" s="692"/>
      <c r="G270" s="1587"/>
      <c r="H270" s="1587"/>
      <c r="I270" s="1584"/>
      <c r="J270" s="1585"/>
      <c r="K270" s="1585"/>
      <c r="L270" s="1586"/>
    </row>
    <row r="271" spans="2:12" ht="36" customHeight="1" x14ac:dyDescent="0.25">
      <c r="B271" s="1598"/>
      <c r="C271" s="1599"/>
      <c r="D271" s="1614" t="str">
        <f>IFERROR(IF($B$269="","",'AREA DE ESTUDIO'!B125),"")</f>
        <v/>
      </c>
      <c r="E271" s="1324"/>
      <c r="F271" s="692"/>
      <c r="G271" s="1587"/>
      <c r="H271" s="1587"/>
      <c r="I271" s="1584"/>
      <c r="J271" s="1585"/>
      <c r="K271" s="1585"/>
      <c r="L271" s="1586"/>
    </row>
    <row r="272" spans="2:12" ht="36" customHeight="1" x14ac:dyDescent="0.25">
      <c r="B272" s="1598"/>
      <c r="C272" s="1599"/>
      <c r="D272" s="1614" t="str">
        <f>IFERROR(IF($B$269="","",'AREA DE ESTUDIO'!B126),"")</f>
        <v/>
      </c>
      <c r="E272" s="1324"/>
      <c r="F272" s="692"/>
      <c r="G272" s="1587"/>
      <c r="H272" s="1587"/>
      <c r="I272" s="1584"/>
      <c r="J272" s="1585"/>
      <c r="K272" s="1585"/>
      <c r="L272" s="1586"/>
    </row>
    <row r="273" spans="2:12" ht="36" customHeight="1" x14ac:dyDescent="0.25">
      <c r="B273" s="1598"/>
      <c r="C273" s="1599"/>
      <c r="D273" s="1614" t="str">
        <f>IFERROR(IF($B$269="","",'AREA DE ESTUDIO'!B127),"")</f>
        <v/>
      </c>
      <c r="E273" s="1324"/>
      <c r="F273" s="692"/>
      <c r="G273" s="1587"/>
      <c r="H273" s="1587"/>
      <c r="I273" s="1584"/>
      <c r="J273" s="1585"/>
      <c r="K273" s="1585"/>
      <c r="L273" s="1586"/>
    </row>
    <row r="274" spans="2:12" ht="36" customHeight="1" thickBot="1" x14ac:dyDescent="0.3">
      <c r="B274" s="1600"/>
      <c r="C274" s="1601"/>
      <c r="D274" s="1606" t="str">
        <f>IFERROR(IF($B$269="","",'AREA DE ESTUDIO'!B128),"")</f>
        <v/>
      </c>
      <c r="E274" s="1326"/>
      <c r="F274" s="695"/>
      <c r="G274" s="1607"/>
      <c r="H274" s="1607"/>
      <c r="I274" s="1588"/>
      <c r="J274" s="1589"/>
      <c r="K274" s="1589"/>
      <c r="L274" s="1590"/>
    </row>
    <row r="276" spans="2:12" x14ac:dyDescent="0.25">
      <c r="B276" s="787" t="s">
        <v>5575</v>
      </c>
      <c r="C276" s="788"/>
      <c r="D276" s="788"/>
      <c r="E276" s="788"/>
      <c r="F276" s="789"/>
      <c r="G276" s="790"/>
      <c r="H276" s="790"/>
      <c r="I276" s="789"/>
      <c r="J276" s="789"/>
      <c r="K276" s="788"/>
      <c r="L276" s="789"/>
    </row>
    <row r="282" spans="2:12" x14ac:dyDescent="0.25">
      <c r="B282" s="766" t="s">
        <v>5505</v>
      </c>
    </row>
    <row r="284" spans="2:12" x14ac:dyDescent="0.25">
      <c r="B284" s="373" t="s">
        <v>5573</v>
      </c>
    </row>
    <row r="286" spans="2:12" x14ac:dyDescent="0.25">
      <c r="B286" s="1591" t="s">
        <v>27</v>
      </c>
      <c r="C286" s="1591"/>
      <c r="D286" s="1591" t="s">
        <v>5470</v>
      </c>
      <c r="E286" s="1591"/>
      <c r="F286" s="1591" t="s">
        <v>5471</v>
      </c>
      <c r="G286" s="1591"/>
      <c r="H286" s="1591" t="s">
        <v>5502</v>
      </c>
      <c r="I286" s="1591"/>
    </row>
    <row r="287" spans="2:12" x14ac:dyDescent="0.25">
      <c r="B287" s="1591"/>
      <c r="C287" s="1591"/>
      <c r="D287" s="1591"/>
      <c r="E287" s="1591"/>
      <c r="F287" s="1591"/>
      <c r="G287" s="1591"/>
      <c r="H287" s="1591"/>
      <c r="I287" s="1591"/>
    </row>
    <row r="288" spans="2:12" x14ac:dyDescent="0.25">
      <c r="B288" s="1579" t="str">
        <f t="shared" ref="B288:B293" si="40">IFERROR(IF(D239="","",D239),"")</f>
        <v/>
      </c>
      <c r="C288" s="1580"/>
      <c r="D288" s="1592" t="str">
        <f>IFERROR(IF(Vulnerabilidad_AT!D98="","",Vulnerabilidad_AT!D98),"")</f>
        <v/>
      </c>
      <c r="E288" s="1593"/>
      <c r="F288" s="1592" t="str">
        <f>IFERROR(IF(Vulnerabilidad_AT!F98="","",Vulnerabilidad_AT!F98),"")</f>
        <v/>
      </c>
      <c r="G288" s="1593"/>
      <c r="H288" s="1592" t="str">
        <f>IFERROR(IF(Vulnerabilidad_AT!H98="","",Vulnerabilidad_AT!H98),"")</f>
        <v/>
      </c>
      <c r="I288" s="1593"/>
    </row>
    <row r="289" spans="2:12" x14ac:dyDescent="0.25">
      <c r="B289" s="1579" t="str">
        <f t="shared" si="40"/>
        <v/>
      </c>
      <c r="C289" s="1580"/>
      <c r="D289" s="1592" t="str">
        <f>IFERROR(IF(Vulnerabilidad_AT!D99="","",Vulnerabilidad_AT!D99),"")</f>
        <v/>
      </c>
      <c r="E289" s="1593"/>
      <c r="F289" s="1592" t="str">
        <f>IFERROR(IF(Vulnerabilidad_AT!F99="","",Vulnerabilidad_AT!F99),"")</f>
        <v/>
      </c>
      <c r="G289" s="1593"/>
      <c r="H289" s="1592" t="str">
        <f>IFERROR(IF(Vulnerabilidad_AT!H99="","",Vulnerabilidad_AT!H99),"")</f>
        <v/>
      </c>
      <c r="I289" s="1593"/>
    </row>
    <row r="290" spans="2:12" x14ac:dyDescent="0.25">
      <c r="B290" s="1579" t="str">
        <f t="shared" si="40"/>
        <v/>
      </c>
      <c r="C290" s="1580"/>
      <c r="D290" s="1592" t="str">
        <f>IFERROR(IF(Vulnerabilidad_AT!D100="","",Vulnerabilidad_AT!D100),"")</f>
        <v/>
      </c>
      <c r="E290" s="1593"/>
      <c r="F290" s="1592" t="str">
        <f>IFERROR(IF(Vulnerabilidad_AT!F100="","",Vulnerabilidad_AT!F100),"")</f>
        <v/>
      </c>
      <c r="G290" s="1593"/>
      <c r="H290" s="1592" t="str">
        <f>IFERROR(IF(Vulnerabilidad_AT!H100="","",Vulnerabilidad_AT!H100),"")</f>
        <v/>
      </c>
      <c r="I290" s="1593"/>
    </row>
    <row r="291" spans="2:12" x14ac:dyDescent="0.25">
      <c r="B291" s="1579" t="str">
        <f t="shared" si="40"/>
        <v/>
      </c>
      <c r="C291" s="1580"/>
      <c r="D291" s="1592" t="str">
        <f>IFERROR(IF(Vulnerabilidad_AT!D101="","",Vulnerabilidad_AT!D101),"")</f>
        <v/>
      </c>
      <c r="E291" s="1593"/>
      <c r="F291" s="1592" t="str">
        <f>IFERROR(IF(Vulnerabilidad_AT!F101="","",Vulnerabilidad_AT!F101),"")</f>
        <v/>
      </c>
      <c r="G291" s="1593"/>
      <c r="H291" s="1592" t="str">
        <f>IFERROR(IF(Vulnerabilidad_AT!H101="","",Vulnerabilidad_AT!H101),"")</f>
        <v/>
      </c>
      <c r="I291" s="1593"/>
    </row>
    <row r="292" spans="2:12" x14ac:dyDescent="0.25">
      <c r="B292" s="1579" t="str">
        <f t="shared" si="40"/>
        <v/>
      </c>
      <c r="C292" s="1580"/>
      <c r="D292" s="1592" t="str">
        <f>IFERROR(IF(Vulnerabilidad_AT!D102="","",Vulnerabilidad_AT!D102),"")</f>
        <v/>
      </c>
      <c r="E292" s="1593"/>
      <c r="F292" s="1592" t="str">
        <f>IFERROR(IF(Vulnerabilidad_AT!F102="","",Vulnerabilidad_AT!F102),"")</f>
        <v/>
      </c>
      <c r="G292" s="1593"/>
      <c r="H292" s="1592" t="str">
        <f>IFERROR(IF(Vulnerabilidad_AT!H102="","",Vulnerabilidad_AT!H102),"")</f>
        <v/>
      </c>
      <c r="I292" s="1593"/>
    </row>
    <row r="293" spans="2:12" x14ac:dyDescent="0.25">
      <c r="B293" s="1579" t="str">
        <f t="shared" si="40"/>
        <v/>
      </c>
      <c r="C293" s="1580"/>
      <c r="D293" s="1592" t="str">
        <f>IFERROR(IF(Vulnerabilidad_AT!D103="","",Vulnerabilidad_AT!D103),"")</f>
        <v/>
      </c>
      <c r="E293" s="1593"/>
      <c r="F293" s="1592" t="str">
        <f>IFERROR(IF(Vulnerabilidad_AT!F103="","",Vulnerabilidad_AT!F103),"")</f>
        <v/>
      </c>
      <c r="G293" s="1593"/>
      <c r="H293" s="1592" t="str">
        <f>IFERROR(IF(Vulnerabilidad_AT!H103="","",Vulnerabilidad_AT!H103),"")</f>
        <v/>
      </c>
      <c r="I293" s="1593"/>
    </row>
    <row r="295" spans="2:12" x14ac:dyDescent="0.25">
      <c r="B295" s="373" t="s">
        <v>5554</v>
      </c>
      <c r="C295" s="770"/>
      <c r="D295" s="770"/>
      <c r="E295" s="68"/>
      <c r="F295" s="770"/>
      <c r="G295" s="770"/>
      <c r="H295" s="770"/>
      <c r="I295" s="770"/>
      <c r="J295" s="770"/>
      <c r="K295" s="770"/>
      <c r="L295" s="770"/>
    </row>
    <row r="296" spans="2:12" x14ac:dyDescent="0.25">
      <c r="B296" s="91"/>
      <c r="C296" s="770"/>
      <c r="D296" s="770"/>
      <c r="E296" s="68"/>
      <c r="F296" s="770"/>
      <c r="G296" s="770"/>
      <c r="H296" s="770"/>
      <c r="I296" s="770"/>
      <c r="J296" s="770"/>
      <c r="K296" s="770"/>
      <c r="L296" s="770"/>
    </row>
    <row r="297" spans="2:12" x14ac:dyDescent="0.25">
      <c r="B297" s="1591" t="s">
        <v>27</v>
      </c>
      <c r="C297" s="1591"/>
      <c r="D297" s="1591" t="s">
        <v>5501</v>
      </c>
      <c r="E297" s="1591"/>
      <c r="F297" s="1591" t="s">
        <v>4782</v>
      </c>
      <c r="G297" s="1591"/>
      <c r="H297" s="1591" t="s">
        <v>5556</v>
      </c>
      <c r="I297" s="1591"/>
      <c r="J297" s="770"/>
      <c r="K297" s="770"/>
      <c r="L297" s="770"/>
    </row>
    <row r="298" spans="2:12" x14ac:dyDescent="0.25">
      <c r="B298" s="1591"/>
      <c r="C298" s="1591"/>
      <c r="D298" s="1591"/>
      <c r="E298" s="1591"/>
      <c r="F298" s="1591"/>
      <c r="G298" s="1591"/>
      <c r="H298" s="1591"/>
      <c r="I298" s="1591"/>
      <c r="J298" s="770"/>
      <c r="K298" s="770"/>
      <c r="L298" s="770"/>
    </row>
    <row r="299" spans="2:12" x14ac:dyDescent="0.25">
      <c r="B299" s="1579" t="str">
        <f t="shared" ref="B299:B304" si="41">IFERROR(IF(D239="","",D239),"")</f>
        <v/>
      </c>
      <c r="C299" s="1580"/>
      <c r="D299" s="1592" t="str">
        <f>IFERROR(IF(Vulnerabilidad_AT!D125="","",Vulnerabilidad_AT!D125),"")</f>
        <v/>
      </c>
      <c r="E299" s="1593"/>
      <c r="F299" s="1592" t="str">
        <f>IFERROR(IF(Vulnerabilidad_AT!F125="","",Vulnerabilidad_AT!F125),"")</f>
        <v/>
      </c>
      <c r="G299" s="1593"/>
      <c r="H299" s="1592" t="str">
        <f>IFERROR(IF(Vulnerabilidad_AT!H125="","",Vulnerabilidad_AT!H125),"")</f>
        <v/>
      </c>
      <c r="I299" s="1593"/>
      <c r="J299" s="770"/>
      <c r="K299" s="770"/>
      <c r="L299" s="770"/>
    </row>
    <row r="300" spans="2:12" x14ac:dyDescent="0.25">
      <c r="B300" s="1579" t="str">
        <f t="shared" si="41"/>
        <v/>
      </c>
      <c r="C300" s="1580"/>
      <c r="D300" s="1592" t="str">
        <f>IFERROR(IF(Vulnerabilidad_AT!D126="","",Vulnerabilidad_AT!D126),"")</f>
        <v/>
      </c>
      <c r="E300" s="1593"/>
      <c r="F300" s="1592" t="str">
        <f>IFERROR(IF(Vulnerabilidad_AT!F126="","",Vulnerabilidad_AT!F126),"")</f>
        <v/>
      </c>
      <c r="G300" s="1593"/>
      <c r="H300" s="1592" t="str">
        <f>IFERROR(IF(Vulnerabilidad_AT!H126="","",Vulnerabilidad_AT!H126),"")</f>
        <v/>
      </c>
      <c r="I300" s="1593"/>
      <c r="J300" s="770"/>
      <c r="K300" s="770"/>
      <c r="L300" s="770"/>
    </row>
    <row r="301" spans="2:12" x14ac:dyDescent="0.25">
      <c r="B301" s="1579" t="str">
        <f t="shared" si="41"/>
        <v/>
      </c>
      <c r="C301" s="1580"/>
      <c r="D301" s="1592" t="str">
        <f>IFERROR(IF(Vulnerabilidad_AT!D127="","",Vulnerabilidad_AT!D127),"")</f>
        <v/>
      </c>
      <c r="E301" s="1593"/>
      <c r="F301" s="1592" t="str">
        <f>IFERROR(IF(Vulnerabilidad_AT!F127="","",Vulnerabilidad_AT!F127),"")</f>
        <v/>
      </c>
      <c r="G301" s="1593"/>
      <c r="H301" s="1592" t="str">
        <f>IFERROR(IF(Vulnerabilidad_AT!H127="","",Vulnerabilidad_AT!H127),"")</f>
        <v/>
      </c>
      <c r="I301" s="1593"/>
      <c r="J301" s="770"/>
      <c r="K301" s="770"/>
      <c r="L301" s="770"/>
    </row>
    <row r="302" spans="2:12" x14ac:dyDescent="0.25">
      <c r="B302" s="1579" t="str">
        <f t="shared" si="41"/>
        <v/>
      </c>
      <c r="C302" s="1580"/>
      <c r="D302" s="1592" t="str">
        <f>IFERROR(IF(Vulnerabilidad_AT!D128="","",Vulnerabilidad_AT!D128),"")</f>
        <v/>
      </c>
      <c r="E302" s="1593"/>
      <c r="F302" s="1592" t="str">
        <f>IFERROR(IF(Vulnerabilidad_AT!F128="","",Vulnerabilidad_AT!F128),"")</f>
        <v/>
      </c>
      <c r="G302" s="1593"/>
      <c r="H302" s="1592" t="str">
        <f>IFERROR(IF(Vulnerabilidad_AT!H128="","",Vulnerabilidad_AT!H128),"")</f>
        <v/>
      </c>
      <c r="I302" s="1593"/>
      <c r="J302" s="770"/>
      <c r="K302" s="770"/>
      <c r="L302" s="770"/>
    </row>
    <row r="303" spans="2:12" x14ac:dyDescent="0.25">
      <c r="B303" s="1579" t="str">
        <f t="shared" si="41"/>
        <v/>
      </c>
      <c r="C303" s="1580"/>
      <c r="D303" s="1592" t="str">
        <f>IFERROR(IF(Vulnerabilidad_AT!D129="","",Vulnerabilidad_AT!D129),"")</f>
        <v/>
      </c>
      <c r="E303" s="1593"/>
      <c r="F303" s="1592" t="str">
        <f>IFERROR(IF(Vulnerabilidad_AT!F129="","",Vulnerabilidad_AT!F129),"")</f>
        <v/>
      </c>
      <c r="G303" s="1593"/>
      <c r="H303" s="1592" t="str">
        <f>IFERROR(IF(Vulnerabilidad_AT!H129="","",Vulnerabilidad_AT!H129),"")</f>
        <v/>
      </c>
      <c r="I303" s="1593"/>
      <c r="J303" s="770"/>
      <c r="K303" s="770"/>
      <c r="L303" s="770"/>
    </row>
    <row r="304" spans="2:12" x14ac:dyDescent="0.25">
      <c r="B304" s="1579" t="str">
        <f t="shared" si="41"/>
        <v/>
      </c>
      <c r="C304" s="1580"/>
      <c r="D304" s="1592" t="str">
        <f>IFERROR(IF(Vulnerabilidad_AT!D130="","",Vulnerabilidad_AT!D130),"")</f>
        <v/>
      </c>
      <c r="E304" s="1593"/>
      <c r="F304" s="1592" t="str">
        <f>IFERROR(IF(Vulnerabilidad_AT!F130="","",Vulnerabilidad_AT!F130),"")</f>
        <v/>
      </c>
      <c r="G304" s="1593"/>
      <c r="H304" s="1592" t="str">
        <f>IFERROR(IF(Vulnerabilidad_AT!H130="","",Vulnerabilidad_AT!H130),"")</f>
        <v/>
      </c>
      <c r="I304" s="1593"/>
      <c r="J304" s="770"/>
      <c r="K304" s="770"/>
      <c r="L304" s="770"/>
    </row>
    <row r="305" spans="2:15" x14ac:dyDescent="0.25">
      <c r="B305" s="420"/>
      <c r="C305" s="420"/>
      <c r="D305" s="420"/>
      <c r="E305" s="420"/>
      <c r="F305" s="420"/>
      <c r="G305" s="420"/>
      <c r="H305" s="420"/>
      <c r="I305" s="420"/>
      <c r="J305" s="770"/>
      <c r="K305" s="770"/>
      <c r="L305" s="770"/>
    </row>
    <row r="307" spans="2:15" x14ac:dyDescent="0.25">
      <c r="B307" s="787" t="s">
        <v>5576</v>
      </c>
      <c r="C307" s="788"/>
      <c r="D307" s="788"/>
      <c r="E307" s="788"/>
      <c r="F307" s="789"/>
      <c r="G307" s="790"/>
      <c r="H307" s="790"/>
      <c r="I307" s="789"/>
      <c r="J307" s="789"/>
      <c r="K307" s="788"/>
      <c r="L307" s="789"/>
      <c r="M307" s="791"/>
      <c r="N307" s="791"/>
      <c r="O307" s="791"/>
    </row>
    <row r="308" spans="2:15" ht="15.75" thickBot="1" x14ac:dyDescent="0.3">
      <c r="B308" s="91"/>
      <c r="C308" s="770"/>
      <c r="D308" s="770"/>
      <c r="E308" s="68"/>
      <c r="F308" s="770"/>
      <c r="G308" s="770"/>
      <c r="H308" s="770"/>
      <c r="I308" s="770"/>
      <c r="J308" s="770"/>
      <c r="K308" s="770"/>
      <c r="L308" s="770"/>
      <c r="M308" s="770"/>
      <c r="N308" s="770"/>
      <c r="O308" s="770"/>
    </row>
    <row r="309" spans="2:15" ht="15.75" thickBot="1" x14ac:dyDescent="0.3">
      <c r="B309" s="1620" t="s">
        <v>27</v>
      </c>
      <c r="C309" s="1573"/>
      <c r="D309" s="1573" t="s">
        <v>5455</v>
      </c>
      <c r="E309" s="1573"/>
      <c r="F309" s="792" t="s">
        <v>4646</v>
      </c>
      <c r="G309" s="1317" t="s">
        <v>5558</v>
      </c>
      <c r="H309" s="1318"/>
      <c r="I309" s="1621"/>
      <c r="J309" s="792" t="s">
        <v>157</v>
      </c>
      <c r="K309" s="1317" t="s">
        <v>5559</v>
      </c>
      <c r="L309" s="1318"/>
      <c r="M309" s="1318"/>
      <c r="N309" s="1318"/>
      <c r="O309" s="1319"/>
    </row>
    <row r="310" spans="2:15" ht="30" customHeight="1" x14ac:dyDescent="0.25">
      <c r="B310" s="1596" t="str">
        <f>IFERROR(IF('AREA DE ESTUDIO'!B123="","",'AREA DE ESTUDIO'!B123),"")</f>
        <v/>
      </c>
      <c r="C310" s="1597"/>
      <c r="D310" s="1168" t="str">
        <f>IFERROR(IF($B$310="","",IF('UNIDAD PRODUCTORA'!B96="","",'UNIDAD PRODUCTORA'!B96)),"")</f>
        <v/>
      </c>
      <c r="E310" s="1168"/>
      <c r="F310" s="796" t="str">
        <f>IFERROR(INDEX('Base de datos'!$Y$127:$Z$142,MATCH(D310,Infraestructura,0),1),"")</f>
        <v/>
      </c>
      <c r="G310" s="1622"/>
      <c r="H310" s="1622"/>
      <c r="I310" s="1622"/>
      <c r="J310" s="779"/>
      <c r="K310" s="1623"/>
      <c r="L310" s="1623"/>
      <c r="M310" s="1623"/>
      <c r="N310" s="1623"/>
      <c r="O310" s="1624"/>
    </row>
    <row r="311" spans="2:15" ht="30" customHeight="1" x14ac:dyDescent="0.25">
      <c r="B311" s="1598"/>
      <c r="C311" s="1599"/>
      <c r="D311" s="1169" t="str">
        <f>IFERROR(IF($B$310="","",IF('UNIDAD PRODUCTORA'!B102="","",'UNIDAD PRODUCTORA'!B102)),"")</f>
        <v/>
      </c>
      <c r="E311" s="1169"/>
      <c r="F311" s="784" t="str">
        <f>IFERROR(INDEX('Base de datos'!$Y$127:$Z$142,MATCH(D311,Infraestructura,0),1),"")</f>
        <v/>
      </c>
      <c r="G311" s="1625"/>
      <c r="H311" s="1625"/>
      <c r="I311" s="1625"/>
      <c r="J311" s="780"/>
      <c r="K311" s="1626"/>
      <c r="L311" s="1626"/>
      <c r="M311" s="1626"/>
      <c r="N311" s="1626"/>
      <c r="O311" s="1627"/>
    </row>
    <row r="312" spans="2:15" ht="30" customHeight="1" x14ac:dyDescent="0.25">
      <c r="B312" s="1598"/>
      <c r="C312" s="1599"/>
      <c r="D312" s="1169" t="str">
        <f>IFERROR(IF($B$310="","",IF('UNIDAD PRODUCTORA'!B108="","",'UNIDAD PRODUCTORA'!B108)),"")</f>
        <v/>
      </c>
      <c r="E312" s="1169"/>
      <c r="F312" s="784" t="str">
        <f>IFERROR(INDEX('Base de datos'!$Y$127:$Z$142,MATCH(D312,Infraestructura,0),1),"")</f>
        <v/>
      </c>
      <c r="G312" s="1625"/>
      <c r="H312" s="1625"/>
      <c r="I312" s="1625"/>
      <c r="J312" s="780"/>
      <c r="K312" s="1626"/>
      <c r="L312" s="1626"/>
      <c r="M312" s="1626"/>
      <c r="N312" s="1626"/>
      <c r="O312" s="1627"/>
    </row>
    <row r="313" spans="2:15" ht="30" customHeight="1" x14ac:dyDescent="0.25">
      <c r="B313" s="1598"/>
      <c r="C313" s="1599"/>
      <c r="D313" s="1169" t="str">
        <f>IFERROR(IF($B$310="","",IF('UNIDAD PRODUCTORA'!B114="","",'UNIDAD PRODUCTORA'!B114)),"")</f>
        <v/>
      </c>
      <c r="E313" s="1169"/>
      <c r="F313" s="784" t="str">
        <f>IFERROR(INDEX('Base de datos'!$Y$127:$Z$142,MATCH(D313,Infraestructura,0),1),"")</f>
        <v/>
      </c>
      <c r="G313" s="1625"/>
      <c r="H313" s="1625"/>
      <c r="I313" s="1625"/>
      <c r="J313" s="780"/>
      <c r="K313" s="1626"/>
      <c r="L313" s="1626"/>
      <c r="M313" s="1626"/>
      <c r="N313" s="1626"/>
      <c r="O313" s="1627"/>
    </row>
    <row r="314" spans="2:15" ht="30" customHeight="1" x14ac:dyDescent="0.25">
      <c r="B314" s="1598"/>
      <c r="C314" s="1599"/>
      <c r="D314" s="1169" t="str">
        <f>IFERROR(IF($B$310="","",IF('UNIDAD PRODUCTORA'!B120="","",'UNIDAD PRODUCTORA'!B120)),"")</f>
        <v/>
      </c>
      <c r="E314" s="1169"/>
      <c r="F314" s="784" t="str">
        <f>IFERROR(INDEX('Base de datos'!$Y$127:$Z$142,MATCH(D314,Infraestructura,0),1),"")</f>
        <v/>
      </c>
      <c r="G314" s="1625"/>
      <c r="H314" s="1625"/>
      <c r="I314" s="1625"/>
      <c r="J314" s="780"/>
      <c r="K314" s="1626"/>
      <c r="L314" s="1626"/>
      <c r="M314" s="1626"/>
      <c r="N314" s="1626"/>
      <c r="O314" s="1627"/>
    </row>
    <row r="315" spans="2:15" ht="30" customHeight="1" thickBot="1" x14ac:dyDescent="0.3">
      <c r="B315" s="1600"/>
      <c r="C315" s="1601"/>
      <c r="D315" s="1171" t="str">
        <f>IFERROR(IF($B$310="","",IF('UNIDAD PRODUCTORA'!B126="","",'UNIDAD PRODUCTORA'!B126)),"")</f>
        <v/>
      </c>
      <c r="E315" s="1171"/>
      <c r="F315" s="785" t="str">
        <f>IFERROR(INDEX('Base de datos'!$Y$127:$Z$142,MATCH(D315,Infraestructura,0),1),"")</f>
        <v/>
      </c>
      <c r="G315" s="1628"/>
      <c r="H315" s="1628"/>
      <c r="I315" s="1628"/>
      <c r="J315" s="781"/>
      <c r="K315" s="1629"/>
      <c r="L315" s="1629"/>
      <c r="M315" s="1629"/>
      <c r="N315" s="1629"/>
      <c r="O315" s="1630"/>
    </row>
    <row r="316" spans="2:15" ht="30" customHeight="1" x14ac:dyDescent="0.25">
      <c r="B316" s="1610" t="str">
        <f>IFERROR(IF('AREA DE ESTUDIO'!B124="","",'AREA DE ESTUDIO'!B124),"")</f>
        <v/>
      </c>
      <c r="C316" s="1611"/>
      <c r="D316" s="1631" t="str">
        <f>IFERROR(IF($B$316="","",IF('UNIDAD PRODUCTORA'!B96="","",'UNIDAD PRODUCTORA'!B96)),"")</f>
        <v/>
      </c>
      <c r="E316" s="1632"/>
      <c r="F316" s="786" t="str">
        <f>IFERROR(INDEX('Base de datos'!$Y$127:$Z$142,MATCH(D316,Infraestructura,0),1),"")</f>
        <v/>
      </c>
      <c r="G316" s="1633"/>
      <c r="H316" s="1633"/>
      <c r="I316" s="1633"/>
      <c r="J316" s="782"/>
      <c r="K316" s="1634"/>
      <c r="L316" s="1634"/>
      <c r="M316" s="1634"/>
      <c r="N316" s="1634"/>
      <c r="O316" s="1635"/>
    </row>
    <row r="317" spans="2:15" ht="30" customHeight="1" x14ac:dyDescent="0.25">
      <c r="B317" s="1598"/>
      <c r="C317" s="1599"/>
      <c r="D317" s="1579" t="str">
        <f>IFERROR(IF($B$316="","",IF('UNIDAD PRODUCTORA'!B102="","",'UNIDAD PRODUCTORA'!B102)),"")</f>
        <v/>
      </c>
      <c r="E317" s="1580"/>
      <c r="F317" s="786" t="str">
        <f>IFERROR(INDEX('Base de datos'!$Y$127:$Z$142,MATCH(D317,Infraestructura,0),1),"")</f>
        <v/>
      </c>
      <c r="G317" s="1625"/>
      <c r="H317" s="1625"/>
      <c r="I317" s="1625"/>
      <c r="J317" s="780"/>
      <c r="K317" s="1626"/>
      <c r="L317" s="1626"/>
      <c r="M317" s="1626"/>
      <c r="N317" s="1626"/>
      <c r="O317" s="1627"/>
    </row>
    <row r="318" spans="2:15" ht="30" customHeight="1" x14ac:dyDescent="0.25">
      <c r="B318" s="1598"/>
      <c r="C318" s="1599"/>
      <c r="D318" s="1579" t="str">
        <f>IFERROR(IF($B$316="","",IF('UNIDAD PRODUCTORA'!B108="","",'UNIDAD PRODUCTORA'!B108)),"")</f>
        <v/>
      </c>
      <c r="E318" s="1580"/>
      <c r="F318" s="786" t="str">
        <f>IFERROR(INDEX('Base de datos'!$Y$127:$Z$142,MATCH(D318,Infraestructura,0),1),"")</f>
        <v/>
      </c>
      <c r="G318" s="1625"/>
      <c r="H318" s="1625"/>
      <c r="I318" s="1625"/>
      <c r="J318" s="780"/>
      <c r="K318" s="1626"/>
      <c r="L318" s="1626"/>
      <c r="M318" s="1626"/>
      <c r="N318" s="1626"/>
      <c r="O318" s="1627"/>
    </row>
    <row r="319" spans="2:15" ht="30" customHeight="1" x14ac:dyDescent="0.25">
      <c r="B319" s="1598"/>
      <c r="C319" s="1599"/>
      <c r="D319" s="1579" t="str">
        <f>IFERROR(IF($B$316="","",IF('UNIDAD PRODUCTORA'!B114="","",'UNIDAD PRODUCTORA'!B114)),"")</f>
        <v/>
      </c>
      <c r="E319" s="1580"/>
      <c r="F319" s="786" t="str">
        <f>IFERROR(INDEX('Base de datos'!$Y$127:$Z$142,MATCH(D319,Infraestructura,0),1),"")</f>
        <v/>
      </c>
      <c r="G319" s="1625"/>
      <c r="H319" s="1625"/>
      <c r="I319" s="1625"/>
      <c r="J319" s="780"/>
      <c r="K319" s="1626"/>
      <c r="L319" s="1626"/>
      <c r="M319" s="1626"/>
      <c r="N319" s="1626"/>
      <c r="O319" s="1627"/>
    </row>
    <row r="320" spans="2:15" ht="30" customHeight="1" x14ac:dyDescent="0.25">
      <c r="B320" s="1598"/>
      <c r="C320" s="1599"/>
      <c r="D320" s="1579" t="str">
        <f>IFERROR(IF($B$316="","",IF('UNIDAD PRODUCTORA'!B120="","",'UNIDAD PRODUCTORA'!B120)),"")</f>
        <v/>
      </c>
      <c r="E320" s="1580"/>
      <c r="F320" s="786" t="str">
        <f>IFERROR(INDEX('Base de datos'!$Y$127:$Z$142,MATCH(D320,Infraestructura,0),1),"")</f>
        <v/>
      </c>
      <c r="G320" s="1625"/>
      <c r="H320" s="1625"/>
      <c r="I320" s="1625"/>
      <c r="J320" s="780"/>
      <c r="K320" s="1626"/>
      <c r="L320" s="1626"/>
      <c r="M320" s="1626"/>
      <c r="N320" s="1626"/>
      <c r="O320" s="1627"/>
    </row>
    <row r="321" spans="2:15" ht="30" customHeight="1" thickBot="1" x14ac:dyDescent="0.3">
      <c r="B321" s="1612"/>
      <c r="C321" s="1613"/>
      <c r="D321" s="1606" t="str">
        <f>IFERROR(IF($B$316="","",IF('UNIDAD PRODUCTORA'!B126="","",'UNIDAD PRODUCTORA'!B126)),"")</f>
        <v/>
      </c>
      <c r="E321" s="1326"/>
      <c r="F321" s="786" t="str">
        <f>IFERROR(INDEX('Base de datos'!$Y$127:$Z$142,MATCH(D321,Infraestructura,0),1),"")</f>
        <v/>
      </c>
      <c r="G321" s="1636"/>
      <c r="H321" s="1636"/>
      <c r="I321" s="1636"/>
      <c r="J321" s="783"/>
      <c r="K321" s="1637"/>
      <c r="L321" s="1637"/>
      <c r="M321" s="1637"/>
      <c r="N321" s="1637"/>
      <c r="O321" s="1638"/>
    </row>
    <row r="322" spans="2:15" ht="30" customHeight="1" x14ac:dyDescent="0.25">
      <c r="B322" s="1596" t="str">
        <f>IFERROR(IF('AREA DE ESTUDIO'!B125="","",'AREA DE ESTUDIO'!B125),"")</f>
        <v/>
      </c>
      <c r="C322" s="1597"/>
      <c r="D322" s="1631" t="str">
        <f>IFERROR(IF($B$322="","",IF('UNIDAD PRODUCTORA'!B96="","",'UNIDAD PRODUCTORA'!B96)),"")</f>
        <v/>
      </c>
      <c r="E322" s="1632"/>
      <c r="F322" s="796" t="str">
        <f>IFERROR(INDEX('Base de datos'!$Y$127:$Z$142,MATCH(D322,Infraestructura,0),1),"")</f>
        <v/>
      </c>
      <c r="G322" s="1622"/>
      <c r="H322" s="1622"/>
      <c r="I322" s="1622"/>
      <c r="J322" s="779"/>
      <c r="K322" s="1623"/>
      <c r="L322" s="1623"/>
      <c r="M322" s="1623"/>
      <c r="N322" s="1623"/>
      <c r="O322" s="1624"/>
    </row>
    <row r="323" spans="2:15" ht="30" customHeight="1" x14ac:dyDescent="0.25">
      <c r="B323" s="1598"/>
      <c r="C323" s="1599"/>
      <c r="D323" s="1579" t="str">
        <f>IFERROR(IF($B$322="","",IF('UNIDAD PRODUCTORA'!B102="","",'UNIDAD PRODUCTORA'!B102)),"")</f>
        <v/>
      </c>
      <c r="E323" s="1580"/>
      <c r="F323" s="784" t="str">
        <f>IFERROR(INDEX('Base de datos'!$Y$127:$Z$142,MATCH(D323,Infraestructura,0),1),"")</f>
        <v/>
      </c>
      <c r="G323" s="1625"/>
      <c r="H323" s="1625"/>
      <c r="I323" s="1625"/>
      <c r="J323" s="780"/>
      <c r="K323" s="1626"/>
      <c r="L323" s="1626"/>
      <c r="M323" s="1626"/>
      <c r="N323" s="1626"/>
      <c r="O323" s="1627"/>
    </row>
    <row r="324" spans="2:15" ht="30" customHeight="1" x14ac:dyDescent="0.25">
      <c r="B324" s="1598"/>
      <c r="C324" s="1599"/>
      <c r="D324" s="1579" t="str">
        <f>IFERROR(IF($B$322="","",IF('UNIDAD PRODUCTORA'!B108="","",'UNIDAD PRODUCTORA'!B108)),"")</f>
        <v/>
      </c>
      <c r="E324" s="1580"/>
      <c r="F324" s="784" t="str">
        <f>IFERROR(INDEX('Base de datos'!$Y$127:$Z$142,MATCH(D324,Infraestructura,0),1),"")</f>
        <v/>
      </c>
      <c r="G324" s="1625"/>
      <c r="H324" s="1625"/>
      <c r="I324" s="1625"/>
      <c r="J324" s="780"/>
      <c r="K324" s="1626"/>
      <c r="L324" s="1626"/>
      <c r="M324" s="1626"/>
      <c r="N324" s="1626"/>
      <c r="O324" s="1627"/>
    </row>
    <row r="325" spans="2:15" ht="30" customHeight="1" x14ac:dyDescent="0.25">
      <c r="B325" s="1598"/>
      <c r="C325" s="1599"/>
      <c r="D325" s="1579" t="str">
        <f>IFERROR(IF($B$322="","",IF('UNIDAD PRODUCTORA'!B114="","",'UNIDAD PRODUCTORA'!B114)),"")</f>
        <v/>
      </c>
      <c r="E325" s="1580"/>
      <c r="F325" s="784" t="str">
        <f>IFERROR(INDEX('Base de datos'!$Y$127:$Z$142,MATCH(D325,Infraestructura,0),1),"")</f>
        <v/>
      </c>
      <c r="G325" s="1625"/>
      <c r="H325" s="1625"/>
      <c r="I325" s="1625"/>
      <c r="J325" s="780"/>
      <c r="K325" s="1626"/>
      <c r="L325" s="1626"/>
      <c r="M325" s="1626"/>
      <c r="N325" s="1626"/>
      <c r="O325" s="1627"/>
    </row>
    <row r="326" spans="2:15" ht="30" customHeight="1" x14ac:dyDescent="0.25">
      <c r="B326" s="1598"/>
      <c r="C326" s="1599"/>
      <c r="D326" s="1579" t="str">
        <f>IFERROR(IF($B$322="","",IF('UNIDAD PRODUCTORA'!B120="","",'UNIDAD PRODUCTORA'!B120)),"")</f>
        <v/>
      </c>
      <c r="E326" s="1580"/>
      <c r="F326" s="784" t="str">
        <f>IFERROR(INDEX('Base de datos'!$Y$127:$Z$142,MATCH(D326,Infraestructura,0),1),"")</f>
        <v/>
      </c>
      <c r="G326" s="1625"/>
      <c r="H326" s="1625"/>
      <c r="I326" s="1625"/>
      <c r="J326" s="780"/>
      <c r="K326" s="1626"/>
      <c r="L326" s="1626"/>
      <c r="M326" s="1626"/>
      <c r="N326" s="1626"/>
      <c r="O326" s="1627"/>
    </row>
    <row r="327" spans="2:15" ht="30" customHeight="1" thickBot="1" x14ac:dyDescent="0.3">
      <c r="B327" s="1600"/>
      <c r="C327" s="1601"/>
      <c r="D327" s="1606" t="str">
        <f>IFERROR(IF($B$322="","",IF('UNIDAD PRODUCTORA'!B126="","",'UNIDAD PRODUCTORA'!B126)),"")</f>
        <v/>
      </c>
      <c r="E327" s="1326"/>
      <c r="F327" s="785" t="str">
        <f>IFERROR(INDEX('Base de datos'!$Y$127:$Z$142,MATCH(D327,Infraestructura,0),1),"")</f>
        <v/>
      </c>
      <c r="G327" s="1628"/>
      <c r="H327" s="1628"/>
      <c r="I327" s="1628"/>
      <c r="J327" s="781"/>
      <c r="K327" s="1629"/>
      <c r="L327" s="1629"/>
      <c r="M327" s="1629"/>
      <c r="N327" s="1629"/>
      <c r="O327" s="1630"/>
    </row>
    <row r="328" spans="2:15" ht="30" customHeight="1" x14ac:dyDescent="0.25">
      <c r="B328" s="1610" t="str">
        <f>IFERROR(IF('AREA DE ESTUDIO'!B126="","",'AREA DE ESTUDIO'!B126),"")</f>
        <v/>
      </c>
      <c r="C328" s="1611"/>
      <c r="D328" s="1631" t="str">
        <f>IFERROR(IF($B$328="","",IF('UNIDAD PRODUCTORA'!B96="","",'UNIDAD PRODUCTORA'!B96)),"")</f>
        <v/>
      </c>
      <c r="E328" s="1632"/>
      <c r="F328" s="786" t="str">
        <f>IFERROR(INDEX('Base de datos'!$Y$127:$Z$142,MATCH(D328,Infraestructura,0),1),"")</f>
        <v/>
      </c>
      <c r="G328" s="1633"/>
      <c r="H328" s="1633"/>
      <c r="I328" s="1633"/>
      <c r="J328" s="782"/>
      <c r="K328" s="1634"/>
      <c r="L328" s="1634"/>
      <c r="M328" s="1634"/>
      <c r="N328" s="1634"/>
      <c r="O328" s="1635"/>
    </row>
    <row r="329" spans="2:15" ht="30" customHeight="1" x14ac:dyDescent="0.25">
      <c r="B329" s="1598"/>
      <c r="C329" s="1599"/>
      <c r="D329" s="1579" t="str">
        <f>IFERROR(IF($B$328="","",IF('UNIDAD PRODUCTORA'!B102="","",'UNIDAD PRODUCTORA'!B102)),"")</f>
        <v/>
      </c>
      <c r="E329" s="1580"/>
      <c r="F329" s="786" t="str">
        <f>IFERROR(INDEX('Base de datos'!$Y$127:$Z$142,MATCH(D329,Infraestructura,0),1),"")</f>
        <v/>
      </c>
      <c r="G329" s="1625"/>
      <c r="H329" s="1625"/>
      <c r="I329" s="1625"/>
      <c r="J329" s="780"/>
      <c r="K329" s="1626"/>
      <c r="L329" s="1626"/>
      <c r="M329" s="1626"/>
      <c r="N329" s="1626"/>
      <c r="O329" s="1627"/>
    </row>
    <row r="330" spans="2:15" ht="30" customHeight="1" x14ac:dyDescent="0.25">
      <c r="B330" s="1598"/>
      <c r="C330" s="1599"/>
      <c r="D330" s="1579" t="str">
        <f>IFERROR(IF($B$328="","",IF('UNIDAD PRODUCTORA'!B108="","",'UNIDAD PRODUCTORA'!B108)),"")</f>
        <v/>
      </c>
      <c r="E330" s="1580"/>
      <c r="F330" s="786" t="str">
        <f>IFERROR(INDEX('Base de datos'!$Y$127:$Z$142,MATCH(D330,Infraestructura,0),1),"")</f>
        <v/>
      </c>
      <c r="G330" s="1625"/>
      <c r="H330" s="1625"/>
      <c r="I330" s="1625"/>
      <c r="J330" s="780"/>
      <c r="K330" s="1626"/>
      <c r="L330" s="1626"/>
      <c r="M330" s="1626"/>
      <c r="N330" s="1626"/>
      <c r="O330" s="1627"/>
    </row>
    <row r="331" spans="2:15" ht="30" customHeight="1" x14ac:dyDescent="0.25">
      <c r="B331" s="1598"/>
      <c r="C331" s="1599"/>
      <c r="D331" s="1579" t="str">
        <f>IFERROR(IF($B$328="","",IF('UNIDAD PRODUCTORA'!B114="","",'UNIDAD PRODUCTORA'!B114)),"")</f>
        <v/>
      </c>
      <c r="E331" s="1580"/>
      <c r="F331" s="786" t="str">
        <f>IFERROR(INDEX('Base de datos'!$Y$127:$Z$142,MATCH(D331,Infraestructura,0),1),"")</f>
        <v/>
      </c>
      <c r="G331" s="1625"/>
      <c r="H331" s="1625"/>
      <c r="I331" s="1625"/>
      <c r="J331" s="780"/>
      <c r="K331" s="1626"/>
      <c r="L331" s="1626"/>
      <c r="M331" s="1626"/>
      <c r="N331" s="1626"/>
      <c r="O331" s="1627"/>
    </row>
    <row r="332" spans="2:15" ht="30" customHeight="1" x14ac:dyDescent="0.25">
      <c r="B332" s="1598"/>
      <c r="C332" s="1599"/>
      <c r="D332" s="1579" t="str">
        <f>IFERROR(IF($B$328="","",IF('UNIDAD PRODUCTORA'!B120="","",'UNIDAD PRODUCTORA'!B120)),"")</f>
        <v/>
      </c>
      <c r="E332" s="1580"/>
      <c r="F332" s="786" t="str">
        <f>IFERROR(INDEX('Base de datos'!$Y$127:$Z$142,MATCH(D332,Infraestructura,0),1),"")</f>
        <v/>
      </c>
      <c r="G332" s="1625"/>
      <c r="H332" s="1625"/>
      <c r="I332" s="1625"/>
      <c r="J332" s="780"/>
      <c r="K332" s="1626"/>
      <c r="L332" s="1626"/>
      <c r="M332" s="1626"/>
      <c r="N332" s="1626"/>
      <c r="O332" s="1627"/>
    </row>
    <row r="333" spans="2:15" ht="30" customHeight="1" thickBot="1" x14ac:dyDescent="0.3">
      <c r="B333" s="1612"/>
      <c r="C333" s="1613"/>
      <c r="D333" s="1606" t="str">
        <f>IFERROR(IF($B$328="","",IF('UNIDAD PRODUCTORA'!B126="","",'UNIDAD PRODUCTORA'!B126)),"")</f>
        <v/>
      </c>
      <c r="E333" s="1326"/>
      <c r="F333" s="786" t="str">
        <f>IFERROR(INDEX('Base de datos'!$Y$127:$Z$142,MATCH(D333,Infraestructura,0),1),"")</f>
        <v/>
      </c>
      <c r="G333" s="1636"/>
      <c r="H333" s="1636"/>
      <c r="I333" s="1636"/>
      <c r="J333" s="783"/>
      <c r="K333" s="1637"/>
      <c r="L333" s="1637"/>
      <c r="M333" s="1637"/>
      <c r="N333" s="1637"/>
      <c r="O333" s="1638"/>
    </row>
    <row r="334" spans="2:15" ht="30" customHeight="1" x14ac:dyDescent="0.25">
      <c r="B334" s="1596" t="str">
        <f>IFERROR(IF('AREA DE ESTUDIO'!B127="","",'AREA DE ESTUDIO'!B127),"")</f>
        <v/>
      </c>
      <c r="C334" s="1597"/>
      <c r="D334" s="1631" t="str">
        <f>IFERROR(IF($B$334="","",IF('UNIDAD PRODUCTORA'!B96="","",'UNIDAD PRODUCTORA'!B96)),"")</f>
        <v/>
      </c>
      <c r="E334" s="1632"/>
      <c r="F334" s="796" t="str">
        <f>IFERROR(INDEX('Base de datos'!$Y$127:$Z$142,MATCH(D334,Infraestructura,0),1),"")</f>
        <v/>
      </c>
      <c r="G334" s="1622"/>
      <c r="H334" s="1622"/>
      <c r="I334" s="1622"/>
      <c r="J334" s="779"/>
      <c r="K334" s="1623"/>
      <c r="L334" s="1623"/>
      <c r="M334" s="1623"/>
      <c r="N334" s="1623"/>
      <c r="O334" s="1624"/>
    </row>
    <row r="335" spans="2:15" ht="30" customHeight="1" x14ac:dyDescent="0.25">
      <c r="B335" s="1598"/>
      <c r="C335" s="1599"/>
      <c r="D335" s="1579" t="str">
        <f>IFERROR(IF($B$334="","",IF('UNIDAD PRODUCTORA'!B102="","",'UNIDAD PRODUCTORA'!B102)),"")</f>
        <v/>
      </c>
      <c r="E335" s="1580"/>
      <c r="F335" s="784" t="str">
        <f>IFERROR(INDEX('Base de datos'!$Y$127:$Z$142,MATCH(D335,Infraestructura,0),1),"")</f>
        <v/>
      </c>
      <c r="G335" s="1625"/>
      <c r="H335" s="1625"/>
      <c r="I335" s="1625"/>
      <c r="J335" s="780"/>
      <c r="K335" s="1626"/>
      <c r="L335" s="1626"/>
      <c r="M335" s="1626"/>
      <c r="N335" s="1626"/>
      <c r="O335" s="1627"/>
    </row>
    <row r="336" spans="2:15" ht="30" customHeight="1" x14ac:dyDescent="0.25">
      <c r="B336" s="1598"/>
      <c r="C336" s="1599"/>
      <c r="D336" s="1579" t="str">
        <f>IFERROR(IF($B$334="","",IF('UNIDAD PRODUCTORA'!B108="","",'UNIDAD PRODUCTORA'!B108)),"")</f>
        <v/>
      </c>
      <c r="E336" s="1580"/>
      <c r="F336" s="784" t="str">
        <f>IFERROR(INDEX('Base de datos'!$Y$127:$Z$142,MATCH(D336,Infraestructura,0),1),"")</f>
        <v/>
      </c>
      <c r="G336" s="1625"/>
      <c r="H336" s="1625"/>
      <c r="I336" s="1625"/>
      <c r="J336" s="780"/>
      <c r="K336" s="1626"/>
      <c r="L336" s="1626"/>
      <c r="M336" s="1626"/>
      <c r="N336" s="1626"/>
      <c r="O336" s="1627"/>
    </row>
    <row r="337" spans="2:15" ht="30" customHeight="1" x14ac:dyDescent="0.25">
      <c r="B337" s="1598"/>
      <c r="C337" s="1599"/>
      <c r="D337" s="1579" t="str">
        <f>IFERROR(IF($B$334="","",IF('UNIDAD PRODUCTORA'!B114="","",'UNIDAD PRODUCTORA'!B114)),"")</f>
        <v/>
      </c>
      <c r="E337" s="1580"/>
      <c r="F337" s="784" t="str">
        <f>IFERROR(INDEX('Base de datos'!$Y$127:$Z$142,MATCH(D337,Infraestructura,0),1),"")</f>
        <v/>
      </c>
      <c r="G337" s="1625"/>
      <c r="H337" s="1625"/>
      <c r="I337" s="1625"/>
      <c r="J337" s="780"/>
      <c r="K337" s="1626"/>
      <c r="L337" s="1626"/>
      <c r="M337" s="1626"/>
      <c r="N337" s="1626"/>
      <c r="O337" s="1627"/>
    </row>
    <row r="338" spans="2:15" ht="30" customHeight="1" x14ac:dyDescent="0.25">
      <c r="B338" s="1598"/>
      <c r="C338" s="1599"/>
      <c r="D338" s="1579" t="str">
        <f>IFERROR(IF($B$334="","",IF('UNIDAD PRODUCTORA'!B120="","",'UNIDAD PRODUCTORA'!B120)),"")</f>
        <v/>
      </c>
      <c r="E338" s="1580"/>
      <c r="F338" s="784" t="str">
        <f>IFERROR(INDEX('Base de datos'!$Y$127:$Z$142,MATCH(D338,Infraestructura,0),1),"")</f>
        <v/>
      </c>
      <c r="G338" s="1625"/>
      <c r="H338" s="1625"/>
      <c r="I338" s="1625"/>
      <c r="J338" s="780"/>
      <c r="K338" s="1626"/>
      <c r="L338" s="1626"/>
      <c r="M338" s="1626"/>
      <c r="N338" s="1626"/>
      <c r="O338" s="1627"/>
    </row>
    <row r="339" spans="2:15" ht="30" customHeight="1" thickBot="1" x14ac:dyDescent="0.3">
      <c r="B339" s="1600"/>
      <c r="C339" s="1601"/>
      <c r="D339" s="1606" t="str">
        <f>IFERROR(IF($B$334="","",IF('UNIDAD PRODUCTORA'!B126="","",'UNIDAD PRODUCTORA'!B126)),"")</f>
        <v/>
      </c>
      <c r="E339" s="1326"/>
      <c r="F339" s="785" t="str">
        <f>IFERROR(INDEX('Base de datos'!$Y$127:$Z$142,MATCH(D339,Infraestructura,0),1),"")</f>
        <v/>
      </c>
      <c r="G339" s="1628"/>
      <c r="H339" s="1628"/>
      <c r="I339" s="1628"/>
      <c r="J339" s="781"/>
      <c r="K339" s="1629"/>
      <c r="L339" s="1629"/>
      <c r="M339" s="1629"/>
      <c r="N339" s="1629"/>
      <c r="O339" s="1630"/>
    </row>
    <row r="340" spans="2:15" ht="30" customHeight="1" x14ac:dyDescent="0.25">
      <c r="B340" s="1610" t="str">
        <f>IFERROR(IF('AREA DE ESTUDIO'!B128="","",'AREA DE ESTUDIO'!B128),"")</f>
        <v/>
      </c>
      <c r="C340" s="1611"/>
      <c r="D340" s="1631" t="str">
        <f>IFERROR(IF($B$340="","",IF('UNIDAD PRODUCTORA'!B96="","",'UNIDAD PRODUCTORA'!B96)),"")</f>
        <v/>
      </c>
      <c r="E340" s="1632"/>
      <c r="F340" s="786" t="str">
        <f>IFERROR(INDEX('Base de datos'!$Y$127:$Z$142,MATCH(D340,Infraestructura,0),1),"")</f>
        <v/>
      </c>
      <c r="G340" s="1633"/>
      <c r="H340" s="1633"/>
      <c r="I340" s="1633"/>
      <c r="J340" s="782"/>
      <c r="K340" s="1634"/>
      <c r="L340" s="1634"/>
      <c r="M340" s="1634"/>
      <c r="N340" s="1634"/>
      <c r="O340" s="1635"/>
    </row>
    <row r="341" spans="2:15" ht="30" customHeight="1" x14ac:dyDescent="0.25">
      <c r="B341" s="1598"/>
      <c r="C341" s="1599"/>
      <c r="D341" s="1579" t="str">
        <f>IFERROR(IF($B$340="","",IF('UNIDAD PRODUCTORA'!B102="","",'UNIDAD PRODUCTORA'!B102)),"")</f>
        <v/>
      </c>
      <c r="E341" s="1580"/>
      <c r="F341" s="786" t="str">
        <f>IFERROR(INDEX('Base de datos'!$Y$127:$Z$142,MATCH(D341,Infraestructura,0),1),"")</f>
        <v/>
      </c>
      <c r="G341" s="1625"/>
      <c r="H341" s="1625"/>
      <c r="I341" s="1625"/>
      <c r="J341" s="780"/>
      <c r="K341" s="1626"/>
      <c r="L341" s="1626"/>
      <c r="M341" s="1626"/>
      <c r="N341" s="1626"/>
      <c r="O341" s="1627"/>
    </row>
    <row r="342" spans="2:15" ht="30" customHeight="1" x14ac:dyDescent="0.25">
      <c r="B342" s="1598"/>
      <c r="C342" s="1599"/>
      <c r="D342" s="1579" t="str">
        <f>IFERROR(IF($B$340="","",IF('UNIDAD PRODUCTORA'!B108="","",'UNIDAD PRODUCTORA'!B108)),"")</f>
        <v/>
      </c>
      <c r="E342" s="1580"/>
      <c r="F342" s="786" t="str">
        <f>IFERROR(INDEX('Base de datos'!$Y$127:$Z$142,MATCH(D342,Infraestructura,0),1),"")</f>
        <v/>
      </c>
      <c r="G342" s="1625"/>
      <c r="H342" s="1625"/>
      <c r="I342" s="1625"/>
      <c r="J342" s="780"/>
      <c r="K342" s="1626"/>
      <c r="L342" s="1626"/>
      <c r="M342" s="1626"/>
      <c r="N342" s="1626"/>
      <c r="O342" s="1627"/>
    </row>
    <row r="343" spans="2:15" ht="30" customHeight="1" x14ac:dyDescent="0.25">
      <c r="B343" s="1598"/>
      <c r="C343" s="1599"/>
      <c r="D343" s="1579" t="str">
        <f>IFERROR(IF($B$340="","",IF('UNIDAD PRODUCTORA'!B114="","",'UNIDAD PRODUCTORA'!B114)),"")</f>
        <v/>
      </c>
      <c r="E343" s="1580"/>
      <c r="F343" s="786" t="str">
        <f>IFERROR(INDEX('Base de datos'!$Y$127:$Z$142,MATCH(D343,Infraestructura,0),1),"")</f>
        <v/>
      </c>
      <c r="G343" s="1625"/>
      <c r="H343" s="1625"/>
      <c r="I343" s="1625"/>
      <c r="J343" s="780"/>
      <c r="K343" s="1626"/>
      <c r="L343" s="1626"/>
      <c r="M343" s="1626"/>
      <c r="N343" s="1626"/>
      <c r="O343" s="1627"/>
    </row>
    <row r="344" spans="2:15" ht="30" customHeight="1" x14ac:dyDescent="0.25">
      <c r="B344" s="1598"/>
      <c r="C344" s="1599"/>
      <c r="D344" s="1579" t="str">
        <f>IFERROR(IF($B$340="","",IF('UNIDAD PRODUCTORA'!B120="","",'UNIDAD PRODUCTORA'!B120)),"")</f>
        <v/>
      </c>
      <c r="E344" s="1580"/>
      <c r="F344" s="786" t="str">
        <f>IFERROR(INDEX('Base de datos'!$Y$127:$Z$142,MATCH(D344,Infraestructura,0),1),"")</f>
        <v/>
      </c>
      <c r="G344" s="1625"/>
      <c r="H344" s="1625"/>
      <c r="I344" s="1625"/>
      <c r="J344" s="780"/>
      <c r="K344" s="1626"/>
      <c r="L344" s="1626"/>
      <c r="M344" s="1626"/>
      <c r="N344" s="1626"/>
      <c r="O344" s="1627"/>
    </row>
    <row r="345" spans="2:15" ht="30" customHeight="1" thickBot="1" x14ac:dyDescent="0.3">
      <c r="B345" s="1600"/>
      <c r="C345" s="1601"/>
      <c r="D345" s="1606" t="str">
        <f>IFERROR(IF($B$340="","",IF('UNIDAD PRODUCTORA'!B126="","",'UNIDAD PRODUCTORA'!B126)),"")</f>
        <v/>
      </c>
      <c r="E345" s="1326"/>
      <c r="F345" s="785" t="str">
        <f>IFERROR(INDEX('Base de datos'!$Y$127:$Z$142,MATCH(D345,Infraestructura,0),1),"")</f>
        <v/>
      </c>
      <c r="G345" s="1628"/>
      <c r="H345" s="1628"/>
      <c r="I345" s="1628"/>
      <c r="J345" s="781"/>
      <c r="K345" s="1629"/>
      <c r="L345" s="1629"/>
      <c r="M345" s="1629"/>
      <c r="N345" s="1629"/>
      <c r="O345" s="1630"/>
    </row>
  </sheetData>
  <sheetProtection algorithmName="SHA-512" hashValue="XeNT5emT8qFwFcc87iaN4yzpancOO3tYPtTZdnvhzmyMCCRQHegs9B+DyRAcnW1boNionL7t6PihV83huUHp0A==" saltValue="iLDhzqtCGW2Vc2uecPkwdw==" spinCount="100000" sheet="1" objects="1" scenarios="1"/>
  <dataConsolidate/>
  <mergeCells count="783">
    <mergeCell ref="B340:C345"/>
    <mergeCell ref="D340:E340"/>
    <mergeCell ref="G340:I340"/>
    <mergeCell ref="K340:O340"/>
    <mergeCell ref="D341:E341"/>
    <mergeCell ref="G341:I341"/>
    <mergeCell ref="K341:O341"/>
    <mergeCell ref="D342:E342"/>
    <mergeCell ref="G342:I342"/>
    <mergeCell ref="K342:O342"/>
    <mergeCell ref="D343:E343"/>
    <mergeCell ref="G343:I343"/>
    <mergeCell ref="K343:O343"/>
    <mergeCell ref="D344:E344"/>
    <mergeCell ref="G344:I344"/>
    <mergeCell ref="K344:O344"/>
    <mergeCell ref="D345:E345"/>
    <mergeCell ref="G345:I345"/>
    <mergeCell ref="K345:O345"/>
    <mergeCell ref="B334:C339"/>
    <mergeCell ref="D334:E334"/>
    <mergeCell ref="G334:I334"/>
    <mergeCell ref="K334:O334"/>
    <mergeCell ref="D335:E335"/>
    <mergeCell ref="G335:I335"/>
    <mergeCell ref="K335:O335"/>
    <mergeCell ref="D336:E336"/>
    <mergeCell ref="G336:I336"/>
    <mergeCell ref="K336:O336"/>
    <mergeCell ref="D337:E337"/>
    <mergeCell ref="G337:I337"/>
    <mergeCell ref="K337:O337"/>
    <mergeCell ref="D338:E338"/>
    <mergeCell ref="G338:I338"/>
    <mergeCell ref="K338:O338"/>
    <mergeCell ref="D339:E339"/>
    <mergeCell ref="G339:I339"/>
    <mergeCell ref="K339:O339"/>
    <mergeCell ref="B328:C333"/>
    <mergeCell ref="D328:E328"/>
    <mergeCell ref="G328:I328"/>
    <mergeCell ref="K328:O328"/>
    <mergeCell ref="D329:E329"/>
    <mergeCell ref="G329:I329"/>
    <mergeCell ref="K329:O329"/>
    <mergeCell ref="D330:E330"/>
    <mergeCell ref="G330:I330"/>
    <mergeCell ref="K330:O330"/>
    <mergeCell ref="D331:E331"/>
    <mergeCell ref="G331:I331"/>
    <mergeCell ref="K331:O331"/>
    <mergeCell ref="D332:E332"/>
    <mergeCell ref="G332:I332"/>
    <mergeCell ref="K332:O332"/>
    <mergeCell ref="D333:E333"/>
    <mergeCell ref="G333:I333"/>
    <mergeCell ref="K333:O333"/>
    <mergeCell ref="B322:C327"/>
    <mergeCell ref="D322:E322"/>
    <mergeCell ref="G322:I322"/>
    <mergeCell ref="K322:O322"/>
    <mergeCell ref="D323:E323"/>
    <mergeCell ref="G323:I323"/>
    <mergeCell ref="K323:O323"/>
    <mergeCell ref="D324:E324"/>
    <mergeCell ref="G324:I324"/>
    <mergeCell ref="K324:O324"/>
    <mergeCell ref="D325:E325"/>
    <mergeCell ref="G325:I325"/>
    <mergeCell ref="K325:O325"/>
    <mergeCell ref="D326:E326"/>
    <mergeCell ref="G326:I326"/>
    <mergeCell ref="K326:O326"/>
    <mergeCell ref="D327:E327"/>
    <mergeCell ref="G327:I327"/>
    <mergeCell ref="K327:O327"/>
    <mergeCell ref="B316:C321"/>
    <mergeCell ref="D316:E316"/>
    <mergeCell ref="G316:I316"/>
    <mergeCell ref="K316:O316"/>
    <mergeCell ref="D317:E317"/>
    <mergeCell ref="G317:I317"/>
    <mergeCell ref="K317:O317"/>
    <mergeCell ref="D318:E318"/>
    <mergeCell ref="G318:I318"/>
    <mergeCell ref="K318:O318"/>
    <mergeCell ref="D319:E319"/>
    <mergeCell ref="G319:I319"/>
    <mergeCell ref="K319:O319"/>
    <mergeCell ref="D320:E320"/>
    <mergeCell ref="G320:I320"/>
    <mergeCell ref="K320:O320"/>
    <mergeCell ref="D321:E321"/>
    <mergeCell ref="G321:I321"/>
    <mergeCell ref="K321:O321"/>
    <mergeCell ref="K309:O309"/>
    <mergeCell ref="B310:C315"/>
    <mergeCell ref="D310:E310"/>
    <mergeCell ref="G310:I310"/>
    <mergeCell ref="K310:O310"/>
    <mergeCell ref="D311:E311"/>
    <mergeCell ref="G311:I311"/>
    <mergeCell ref="K311:O311"/>
    <mergeCell ref="D312:E312"/>
    <mergeCell ref="G312:I312"/>
    <mergeCell ref="K312:O312"/>
    <mergeCell ref="D313:E313"/>
    <mergeCell ref="G313:I313"/>
    <mergeCell ref="K313:O313"/>
    <mergeCell ref="D314:E314"/>
    <mergeCell ref="G314:I314"/>
    <mergeCell ref="K314:O314"/>
    <mergeCell ref="D315:E315"/>
    <mergeCell ref="G315:I315"/>
    <mergeCell ref="K315:O315"/>
    <mergeCell ref="B303:C303"/>
    <mergeCell ref="D303:E303"/>
    <mergeCell ref="F303:G303"/>
    <mergeCell ref="H303:I303"/>
    <mergeCell ref="B304:C304"/>
    <mergeCell ref="D304:E304"/>
    <mergeCell ref="F304:G304"/>
    <mergeCell ref="H304:I304"/>
    <mergeCell ref="B309:C309"/>
    <mergeCell ref="D309:E309"/>
    <mergeCell ref="G309:I309"/>
    <mergeCell ref="D268:E268"/>
    <mergeCell ref="G268:H268"/>
    <mergeCell ref="I268:L268"/>
    <mergeCell ref="B269:C274"/>
    <mergeCell ref="D269:E269"/>
    <mergeCell ref="G269:H269"/>
    <mergeCell ref="I269:L269"/>
    <mergeCell ref="D270:E270"/>
    <mergeCell ref="G270:H270"/>
    <mergeCell ref="I270:L270"/>
    <mergeCell ref="D271:E271"/>
    <mergeCell ref="G271:H271"/>
    <mergeCell ref="I271:L271"/>
    <mergeCell ref="D272:E272"/>
    <mergeCell ref="G272:H272"/>
    <mergeCell ref="I272:L272"/>
    <mergeCell ref="D273:E273"/>
    <mergeCell ref="G273:H273"/>
    <mergeCell ref="I273:L273"/>
    <mergeCell ref="D274:E274"/>
    <mergeCell ref="G274:H274"/>
    <mergeCell ref="I274:L274"/>
    <mergeCell ref="B263:C268"/>
    <mergeCell ref="D263:E263"/>
    <mergeCell ref="D265:E265"/>
    <mergeCell ref="G265:H265"/>
    <mergeCell ref="I265:L265"/>
    <mergeCell ref="D266:E266"/>
    <mergeCell ref="G266:H266"/>
    <mergeCell ref="I266:L266"/>
    <mergeCell ref="D267:E267"/>
    <mergeCell ref="G267:H267"/>
    <mergeCell ref="I267:L267"/>
    <mergeCell ref="B257:C262"/>
    <mergeCell ref="D257:E257"/>
    <mergeCell ref="G257:H257"/>
    <mergeCell ref="I257:L257"/>
    <mergeCell ref="D258:E258"/>
    <mergeCell ref="G258:H258"/>
    <mergeCell ref="I258:L258"/>
    <mergeCell ref="D259:E259"/>
    <mergeCell ref="G259:H259"/>
    <mergeCell ref="I259:L259"/>
    <mergeCell ref="D260:E260"/>
    <mergeCell ref="G260:H260"/>
    <mergeCell ref="I260:L260"/>
    <mergeCell ref="D261:E261"/>
    <mergeCell ref="G261:H261"/>
    <mergeCell ref="I261:L261"/>
    <mergeCell ref="D262:E262"/>
    <mergeCell ref="G262:H262"/>
    <mergeCell ref="I243:L243"/>
    <mergeCell ref="D244:E244"/>
    <mergeCell ref="G244:H244"/>
    <mergeCell ref="I244:L244"/>
    <mergeCell ref="B245:C250"/>
    <mergeCell ref="D245:E245"/>
    <mergeCell ref="G245:H245"/>
    <mergeCell ref="I245:L245"/>
    <mergeCell ref="D246:E246"/>
    <mergeCell ref="G246:H246"/>
    <mergeCell ref="I246:L246"/>
    <mergeCell ref="D247:E247"/>
    <mergeCell ref="G247:H247"/>
    <mergeCell ref="I247:L247"/>
    <mergeCell ref="D248:E248"/>
    <mergeCell ref="G248:H248"/>
    <mergeCell ref="I248:L248"/>
    <mergeCell ref="D249:E249"/>
    <mergeCell ref="G249:H249"/>
    <mergeCell ref="I249:L249"/>
    <mergeCell ref="D250:E250"/>
    <mergeCell ref="G250:H250"/>
    <mergeCell ref="I250:L250"/>
    <mergeCell ref="I239:L239"/>
    <mergeCell ref="D240:E240"/>
    <mergeCell ref="G240:H240"/>
    <mergeCell ref="I240:L240"/>
    <mergeCell ref="D241:E241"/>
    <mergeCell ref="G241:H241"/>
    <mergeCell ref="I241:L241"/>
    <mergeCell ref="D242:E242"/>
    <mergeCell ref="G242:H242"/>
    <mergeCell ref="I242:L242"/>
    <mergeCell ref="B238:C238"/>
    <mergeCell ref="D238:E238"/>
    <mergeCell ref="G238:H238"/>
    <mergeCell ref="B239:C244"/>
    <mergeCell ref="D239:E239"/>
    <mergeCell ref="G239:H239"/>
    <mergeCell ref="D243:E243"/>
    <mergeCell ref="G243:H243"/>
    <mergeCell ref="B251:C256"/>
    <mergeCell ref="D251:E251"/>
    <mergeCell ref="G251:H251"/>
    <mergeCell ref="D252:E252"/>
    <mergeCell ref="G252:H252"/>
    <mergeCell ref="D253:E253"/>
    <mergeCell ref="G253:H253"/>
    <mergeCell ref="D254:E254"/>
    <mergeCell ref="D255:E255"/>
    <mergeCell ref="G255:H255"/>
    <mergeCell ref="D256:E256"/>
    <mergeCell ref="G256:H256"/>
    <mergeCell ref="B300:C300"/>
    <mergeCell ref="D300:E300"/>
    <mergeCell ref="F300:G300"/>
    <mergeCell ref="H300:I300"/>
    <mergeCell ref="B301:C301"/>
    <mergeCell ref="D301:E301"/>
    <mergeCell ref="F301:G301"/>
    <mergeCell ref="H301:I301"/>
    <mergeCell ref="B302:C302"/>
    <mergeCell ref="D302:E302"/>
    <mergeCell ref="F302:G302"/>
    <mergeCell ref="H302:I302"/>
    <mergeCell ref="B293:C293"/>
    <mergeCell ref="D293:E293"/>
    <mergeCell ref="F293:G293"/>
    <mergeCell ref="H293:I293"/>
    <mergeCell ref="B297:C298"/>
    <mergeCell ref="D297:E298"/>
    <mergeCell ref="F297:G298"/>
    <mergeCell ref="H297:I298"/>
    <mergeCell ref="B299:C299"/>
    <mergeCell ref="D299:E299"/>
    <mergeCell ref="F299:G299"/>
    <mergeCell ref="H299:I299"/>
    <mergeCell ref="B290:C290"/>
    <mergeCell ref="D290:E290"/>
    <mergeCell ref="F290:G290"/>
    <mergeCell ref="H290:I290"/>
    <mergeCell ref="B291:C291"/>
    <mergeCell ref="D291:E291"/>
    <mergeCell ref="F291:G291"/>
    <mergeCell ref="H291:I291"/>
    <mergeCell ref="B292:C292"/>
    <mergeCell ref="D292:E292"/>
    <mergeCell ref="F292:G292"/>
    <mergeCell ref="H292:I292"/>
    <mergeCell ref="B286:C287"/>
    <mergeCell ref="D286:E287"/>
    <mergeCell ref="F286:G287"/>
    <mergeCell ref="H286:I287"/>
    <mergeCell ref="B288:C288"/>
    <mergeCell ref="D288:E288"/>
    <mergeCell ref="F288:G288"/>
    <mergeCell ref="H288:I288"/>
    <mergeCell ref="B289:C289"/>
    <mergeCell ref="D289:E289"/>
    <mergeCell ref="F289:G289"/>
    <mergeCell ref="H289:I289"/>
    <mergeCell ref="G263:H263"/>
    <mergeCell ref="I263:L263"/>
    <mergeCell ref="D264:E264"/>
    <mergeCell ref="I262:L262"/>
    <mergeCell ref="I251:L251"/>
    <mergeCell ref="I252:L252"/>
    <mergeCell ref="I253:L253"/>
    <mergeCell ref="G254:H254"/>
    <mergeCell ref="I254:L254"/>
    <mergeCell ref="I255:L255"/>
    <mergeCell ref="I256:L256"/>
    <mergeCell ref="G264:H264"/>
    <mergeCell ref="I264:L264"/>
    <mergeCell ref="I238:L238"/>
    <mergeCell ref="F203:G203"/>
    <mergeCell ref="F202:G202"/>
    <mergeCell ref="F201:G201"/>
    <mergeCell ref="D207:E207"/>
    <mergeCell ref="D208:E208"/>
    <mergeCell ref="D209:E209"/>
    <mergeCell ref="F209:G209"/>
    <mergeCell ref="F208:G208"/>
    <mergeCell ref="F207:G207"/>
    <mergeCell ref="F206:G206"/>
    <mergeCell ref="F205:G205"/>
    <mergeCell ref="F204:G204"/>
    <mergeCell ref="D186:E186"/>
    <mergeCell ref="D187:E187"/>
    <mergeCell ref="D188:E188"/>
    <mergeCell ref="D189:E189"/>
    <mergeCell ref="D190:E190"/>
    <mergeCell ref="D191:E191"/>
    <mergeCell ref="D192:E192"/>
    <mergeCell ref="F184:G184"/>
    <mergeCell ref="F185:G185"/>
    <mergeCell ref="F186:G186"/>
    <mergeCell ref="F187:G187"/>
    <mergeCell ref="F188:G188"/>
    <mergeCell ref="F189:G189"/>
    <mergeCell ref="F190:G190"/>
    <mergeCell ref="F191:G191"/>
    <mergeCell ref="F192:G192"/>
    <mergeCell ref="F135:G135"/>
    <mergeCell ref="F134:G134"/>
    <mergeCell ref="F133:G133"/>
    <mergeCell ref="F132:G132"/>
    <mergeCell ref="F131:G131"/>
    <mergeCell ref="F130:G130"/>
    <mergeCell ref="F129:G129"/>
    <mergeCell ref="F128:G128"/>
    <mergeCell ref="B129:C129"/>
    <mergeCell ref="B130:C130"/>
    <mergeCell ref="B131:C131"/>
    <mergeCell ref="B132:C132"/>
    <mergeCell ref="B133:C133"/>
    <mergeCell ref="B134:C134"/>
    <mergeCell ref="B135:C135"/>
    <mergeCell ref="D127:E127"/>
    <mergeCell ref="D128:E128"/>
    <mergeCell ref="D129:E129"/>
    <mergeCell ref="D130:E130"/>
    <mergeCell ref="D131:E131"/>
    <mergeCell ref="D132:E132"/>
    <mergeCell ref="D133:E133"/>
    <mergeCell ref="D134:E134"/>
    <mergeCell ref="D135:E135"/>
    <mergeCell ref="B212:C212"/>
    <mergeCell ref="D212:E212"/>
    <mergeCell ref="F212:G212"/>
    <mergeCell ref="D112:E112"/>
    <mergeCell ref="D111:E111"/>
    <mergeCell ref="D110:E110"/>
    <mergeCell ref="F110:G110"/>
    <mergeCell ref="F111:G111"/>
    <mergeCell ref="F112:G112"/>
    <mergeCell ref="F113:G113"/>
    <mergeCell ref="B127:C127"/>
    <mergeCell ref="B128:C128"/>
    <mergeCell ref="F127:G127"/>
    <mergeCell ref="B116:C116"/>
    <mergeCell ref="B117:C117"/>
    <mergeCell ref="B118:C118"/>
    <mergeCell ref="D116:E116"/>
    <mergeCell ref="D117:E117"/>
    <mergeCell ref="D118:E118"/>
    <mergeCell ref="F116:G116"/>
    <mergeCell ref="F117:G117"/>
    <mergeCell ref="F118:G118"/>
    <mergeCell ref="B122:E122"/>
    <mergeCell ref="F122:G124"/>
    <mergeCell ref="B200:C200"/>
    <mergeCell ref="D200:E200"/>
    <mergeCell ref="F200:G200"/>
    <mergeCell ref="B210:C210"/>
    <mergeCell ref="D210:E210"/>
    <mergeCell ref="F210:G210"/>
    <mergeCell ref="B211:C211"/>
    <mergeCell ref="D211:E211"/>
    <mergeCell ref="F211:G211"/>
    <mergeCell ref="B201:C201"/>
    <mergeCell ref="B202:C202"/>
    <mergeCell ref="B203:C203"/>
    <mergeCell ref="B204:C204"/>
    <mergeCell ref="B205:C205"/>
    <mergeCell ref="B206:C206"/>
    <mergeCell ref="B207:C207"/>
    <mergeCell ref="B208:C208"/>
    <mergeCell ref="B209:C209"/>
    <mergeCell ref="D201:E201"/>
    <mergeCell ref="D202:E202"/>
    <mergeCell ref="D203:E203"/>
    <mergeCell ref="D204:E204"/>
    <mergeCell ref="D205:E205"/>
    <mergeCell ref="D206:E206"/>
    <mergeCell ref="H159:I160"/>
    <mergeCell ref="J159:K160"/>
    <mergeCell ref="B160:C161"/>
    <mergeCell ref="D160:E161"/>
    <mergeCell ref="B163:C163"/>
    <mergeCell ref="D163:E163"/>
    <mergeCell ref="F163:G163"/>
    <mergeCell ref="B196:E196"/>
    <mergeCell ref="F196:G198"/>
    <mergeCell ref="H196:I197"/>
    <mergeCell ref="J196:K197"/>
    <mergeCell ref="B197:C198"/>
    <mergeCell ref="D197:E198"/>
    <mergeCell ref="B184:C184"/>
    <mergeCell ref="B185:C185"/>
    <mergeCell ref="B186:C186"/>
    <mergeCell ref="B187:C187"/>
    <mergeCell ref="B188:C188"/>
    <mergeCell ref="B189:C189"/>
    <mergeCell ref="B190:C190"/>
    <mergeCell ref="B191:C191"/>
    <mergeCell ref="B192:C192"/>
    <mergeCell ref="D184:E184"/>
    <mergeCell ref="D185:E185"/>
    <mergeCell ref="B136:C136"/>
    <mergeCell ref="D136:E136"/>
    <mergeCell ref="F136:G136"/>
    <mergeCell ref="B137:C137"/>
    <mergeCell ref="D137:E137"/>
    <mergeCell ref="F137:G137"/>
    <mergeCell ref="B138:C138"/>
    <mergeCell ref="D138:E138"/>
    <mergeCell ref="F138:G138"/>
    <mergeCell ref="H122:I123"/>
    <mergeCell ref="J122:K123"/>
    <mergeCell ref="B123:C124"/>
    <mergeCell ref="D123:E124"/>
    <mergeCell ref="B126:C126"/>
    <mergeCell ref="D126:E126"/>
    <mergeCell ref="F126:G126"/>
    <mergeCell ref="B21:N21"/>
    <mergeCell ref="B22:N22"/>
    <mergeCell ref="L31:N32"/>
    <mergeCell ref="G36:H36"/>
    <mergeCell ref="D86:E87"/>
    <mergeCell ref="D89:E89"/>
    <mergeCell ref="F89:G89"/>
    <mergeCell ref="F85:G87"/>
    <mergeCell ref="B114:C114"/>
    <mergeCell ref="B115:C115"/>
    <mergeCell ref="D114:E114"/>
    <mergeCell ref="D115:E115"/>
    <mergeCell ref="F114:G114"/>
    <mergeCell ref="F115:G115"/>
    <mergeCell ref="B110:C110"/>
    <mergeCell ref="B111:C111"/>
    <mergeCell ref="B112:C112"/>
    <mergeCell ref="B49:N52"/>
    <mergeCell ref="B19:N19"/>
    <mergeCell ref="B25:N25"/>
    <mergeCell ref="B23:N24"/>
    <mergeCell ref="G43:H43"/>
    <mergeCell ref="G37:H37"/>
    <mergeCell ref="G38:H38"/>
    <mergeCell ref="E34:F34"/>
    <mergeCell ref="E35:F35"/>
    <mergeCell ref="E36:F36"/>
    <mergeCell ref="E37:F37"/>
    <mergeCell ref="E38:F38"/>
    <mergeCell ref="E39:F39"/>
    <mergeCell ref="E40:F40"/>
    <mergeCell ref="E41:F41"/>
    <mergeCell ref="E42:F42"/>
    <mergeCell ref="E43:F43"/>
    <mergeCell ref="B37:B39"/>
    <mergeCell ref="B40:B43"/>
    <mergeCell ref="C34:D36"/>
    <mergeCell ref="C37:D39"/>
    <mergeCell ref="B13:M14"/>
    <mergeCell ref="G41:H41"/>
    <mergeCell ref="G42:H42"/>
    <mergeCell ref="B31:B32"/>
    <mergeCell ref="C31:D32"/>
    <mergeCell ref="E31:F32"/>
    <mergeCell ref="G31:H32"/>
    <mergeCell ref="L37:N37"/>
    <mergeCell ref="L38:N38"/>
    <mergeCell ref="L39:N39"/>
    <mergeCell ref="L40:N40"/>
    <mergeCell ref="L41:N41"/>
    <mergeCell ref="L34:N34"/>
    <mergeCell ref="L35:N35"/>
    <mergeCell ref="L36:N36"/>
    <mergeCell ref="I31:K31"/>
    <mergeCell ref="G34:H34"/>
    <mergeCell ref="G35:H35"/>
    <mergeCell ref="B27:N27"/>
    <mergeCell ref="L42:N42"/>
    <mergeCell ref="C40:D43"/>
    <mergeCell ref="L43:N43"/>
    <mergeCell ref="B17:N18"/>
    <mergeCell ref="B34:B36"/>
    <mergeCell ref="B113:C113"/>
    <mergeCell ref="D113:E113"/>
    <mergeCell ref="G39:H39"/>
    <mergeCell ref="G40:H40"/>
    <mergeCell ref="H63:I63"/>
    <mergeCell ref="B47:N47"/>
    <mergeCell ref="H85:I86"/>
    <mergeCell ref="J85:K86"/>
    <mergeCell ref="B86:C87"/>
    <mergeCell ref="B89:C89"/>
    <mergeCell ref="B85:E85"/>
    <mergeCell ref="B80:O80"/>
    <mergeCell ref="L56:M57"/>
    <mergeCell ref="N56:O57"/>
    <mergeCell ref="B56:C57"/>
    <mergeCell ref="B59:C63"/>
    <mergeCell ref="F57:G57"/>
    <mergeCell ref="J56:K57"/>
    <mergeCell ref="D57:E57"/>
    <mergeCell ref="H79:I79"/>
    <mergeCell ref="D56:I56"/>
    <mergeCell ref="H57:I57"/>
    <mergeCell ref="H59:I59"/>
    <mergeCell ref="D59:E63"/>
    <mergeCell ref="F59:G63"/>
    <mergeCell ref="D64:E68"/>
    <mergeCell ref="F64:G68"/>
    <mergeCell ref="J59:K63"/>
    <mergeCell ref="H60:I60"/>
    <mergeCell ref="H61:I61"/>
    <mergeCell ref="H62:I62"/>
    <mergeCell ref="B69:C74"/>
    <mergeCell ref="H64:I64"/>
    <mergeCell ref="H69:I69"/>
    <mergeCell ref="H73:I73"/>
    <mergeCell ref="H72:I72"/>
    <mergeCell ref="H71:I71"/>
    <mergeCell ref="H70:I70"/>
    <mergeCell ref="B75:C79"/>
    <mergeCell ref="H75:I75"/>
    <mergeCell ref="H74:I74"/>
    <mergeCell ref="B64:C68"/>
    <mergeCell ref="H68:I68"/>
    <mergeCell ref="H65:I65"/>
    <mergeCell ref="H66:I66"/>
    <mergeCell ref="H67:I67"/>
    <mergeCell ref="D69:E74"/>
    <mergeCell ref="D75:E79"/>
    <mergeCell ref="F69:G74"/>
    <mergeCell ref="F75:G79"/>
    <mergeCell ref="H76:I76"/>
    <mergeCell ref="H77:I77"/>
    <mergeCell ref="H78:I78"/>
    <mergeCell ref="L59:M63"/>
    <mergeCell ref="N59:O63"/>
    <mergeCell ref="J64:K68"/>
    <mergeCell ref="L64:M68"/>
    <mergeCell ref="N64:O68"/>
    <mergeCell ref="J69:K74"/>
    <mergeCell ref="L69:M74"/>
    <mergeCell ref="N69:O74"/>
    <mergeCell ref="J75:K79"/>
    <mergeCell ref="L75:M79"/>
    <mergeCell ref="N75:O79"/>
    <mergeCell ref="B100:C100"/>
    <mergeCell ref="B101:C101"/>
    <mergeCell ref="B102:C102"/>
    <mergeCell ref="B103:C103"/>
    <mergeCell ref="B104:C104"/>
    <mergeCell ref="B105:C105"/>
    <mergeCell ref="B106:C106"/>
    <mergeCell ref="B107:C107"/>
    <mergeCell ref="B108:C108"/>
    <mergeCell ref="B109:C109"/>
    <mergeCell ref="D109:E109"/>
    <mergeCell ref="D108:E108"/>
    <mergeCell ref="D107:E107"/>
    <mergeCell ref="D106:E106"/>
    <mergeCell ref="D105:E105"/>
    <mergeCell ref="D104:E104"/>
    <mergeCell ref="D103:E103"/>
    <mergeCell ref="D102:E102"/>
    <mergeCell ref="D101:E101"/>
    <mergeCell ref="D100:E100"/>
    <mergeCell ref="F100:G100"/>
    <mergeCell ref="F101:G101"/>
    <mergeCell ref="F102:G102"/>
    <mergeCell ref="F103:G103"/>
    <mergeCell ref="F104:G104"/>
    <mergeCell ref="F105:G105"/>
    <mergeCell ref="F106:G106"/>
    <mergeCell ref="F107:G107"/>
    <mergeCell ref="F108:G108"/>
    <mergeCell ref="F109:G109"/>
    <mergeCell ref="B90:C90"/>
    <mergeCell ref="B91:C91"/>
    <mergeCell ref="B92:C92"/>
    <mergeCell ref="B93:C93"/>
    <mergeCell ref="B94:C94"/>
    <mergeCell ref="B95:C95"/>
    <mergeCell ref="B96:C96"/>
    <mergeCell ref="B97:C97"/>
    <mergeCell ref="B98:C98"/>
    <mergeCell ref="B99:C99"/>
    <mergeCell ref="D99:E99"/>
    <mergeCell ref="D98:E98"/>
    <mergeCell ref="D97:E97"/>
    <mergeCell ref="D96:E96"/>
    <mergeCell ref="D95:E95"/>
    <mergeCell ref="D94:E94"/>
    <mergeCell ref="D93:E93"/>
    <mergeCell ref="D92:E92"/>
    <mergeCell ref="D91:E91"/>
    <mergeCell ref="D90:E90"/>
    <mergeCell ref="F90:G90"/>
    <mergeCell ref="F91:G91"/>
    <mergeCell ref="F92:G92"/>
    <mergeCell ref="F93:G93"/>
    <mergeCell ref="F94:G94"/>
    <mergeCell ref="F95:G95"/>
    <mergeCell ref="F96:G96"/>
    <mergeCell ref="F97:G97"/>
    <mergeCell ref="F98:G98"/>
    <mergeCell ref="F99:G99"/>
    <mergeCell ref="B213:C213"/>
    <mergeCell ref="D213:E213"/>
    <mergeCell ref="F213:G213"/>
    <mergeCell ref="B214:C214"/>
    <mergeCell ref="D214:E214"/>
    <mergeCell ref="F214:G214"/>
    <mergeCell ref="B215:C215"/>
    <mergeCell ref="D215:E215"/>
    <mergeCell ref="F215:G215"/>
    <mergeCell ref="B216:C216"/>
    <mergeCell ref="D216:E216"/>
    <mergeCell ref="F216:G216"/>
    <mergeCell ref="B217:C217"/>
    <mergeCell ref="D217:E217"/>
    <mergeCell ref="F217:G217"/>
    <mergeCell ref="B218:C218"/>
    <mergeCell ref="D218:E218"/>
    <mergeCell ref="F218:G218"/>
    <mergeCell ref="B219:C219"/>
    <mergeCell ref="D219:E219"/>
    <mergeCell ref="F219:G219"/>
    <mergeCell ref="B220:C220"/>
    <mergeCell ref="D220:E220"/>
    <mergeCell ref="F220:G220"/>
    <mergeCell ref="B221:C221"/>
    <mergeCell ref="D221:E221"/>
    <mergeCell ref="F221:G221"/>
    <mergeCell ref="B222:C222"/>
    <mergeCell ref="D222:E222"/>
    <mergeCell ref="F222:G222"/>
    <mergeCell ref="B223:C223"/>
    <mergeCell ref="D223:E223"/>
    <mergeCell ref="F223:G223"/>
    <mergeCell ref="B224:C224"/>
    <mergeCell ref="D224:E224"/>
    <mergeCell ref="F224:G224"/>
    <mergeCell ref="B228:C228"/>
    <mergeCell ref="D228:E228"/>
    <mergeCell ref="F228:G228"/>
    <mergeCell ref="B229:C229"/>
    <mergeCell ref="D229:E229"/>
    <mergeCell ref="F229:G229"/>
    <mergeCell ref="B225:C225"/>
    <mergeCell ref="D225:E225"/>
    <mergeCell ref="F225:G225"/>
    <mergeCell ref="B226:C226"/>
    <mergeCell ref="D226:E226"/>
    <mergeCell ref="F226:G226"/>
    <mergeCell ref="B227:C227"/>
    <mergeCell ref="D227:E227"/>
    <mergeCell ref="F227:G227"/>
    <mergeCell ref="B142:C142"/>
    <mergeCell ref="D142:E142"/>
    <mergeCell ref="F142:G142"/>
    <mergeCell ref="B143:C143"/>
    <mergeCell ref="D143:E143"/>
    <mergeCell ref="F143:G143"/>
    <mergeCell ref="B144:C144"/>
    <mergeCell ref="D144:E144"/>
    <mergeCell ref="F144:G144"/>
    <mergeCell ref="B139:C139"/>
    <mergeCell ref="D139:E139"/>
    <mergeCell ref="F139:G139"/>
    <mergeCell ref="B140:C140"/>
    <mergeCell ref="D140:E140"/>
    <mergeCell ref="F140:G140"/>
    <mergeCell ref="B141:C141"/>
    <mergeCell ref="D141:E141"/>
    <mergeCell ref="F141:G141"/>
    <mergeCell ref="B145:C145"/>
    <mergeCell ref="D145:E145"/>
    <mergeCell ref="F145:G145"/>
    <mergeCell ref="B146:C146"/>
    <mergeCell ref="D146:E146"/>
    <mergeCell ref="F146:G146"/>
    <mergeCell ref="B147:C147"/>
    <mergeCell ref="D147:E147"/>
    <mergeCell ref="F147:G147"/>
    <mergeCell ref="B148:C148"/>
    <mergeCell ref="D148:E148"/>
    <mergeCell ref="F148:G148"/>
    <mergeCell ref="B149:C149"/>
    <mergeCell ref="D149:E149"/>
    <mergeCell ref="F149:G149"/>
    <mergeCell ref="B150:C150"/>
    <mergeCell ref="D150:E150"/>
    <mergeCell ref="F150:G150"/>
    <mergeCell ref="B151:C151"/>
    <mergeCell ref="D151:E151"/>
    <mergeCell ref="F151:G151"/>
    <mergeCell ref="B152:C152"/>
    <mergeCell ref="D152:E152"/>
    <mergeCell ref="F152:G152"/>
    <mergeCell ref="B153:C153"/>
    <mergeCell ref="D153:E153"/>
    <mergeCell ref="F153:G153"/>
    <mergeCell ref="B164:C164"/>
    <mergeCell ref="D164:E164"/>
    <mergeCell ref="F164:G164"/>
    <mergeCell ref="B154:C154"/>
    <mergeCell ref="D154:E154"/>
    <mergeCell ref="F154:G154"/>
    <mergeCell ref="B155:C155"/>
    <mergeCell ref="D155:E155"/>
    <mergeCell ref="F155:G155"/>
    <mergeCell ref="B159:E159"/>
    <mergeCell ref="F159:G161"/>
    <mergeCell ref="B165:C165"/>
    <mergeCell ref="D165:E165"/>
    <mergeCell ref="F165:G165"/>
    <mergeCell ref="B166:C166"/>
    <mergeCell ref="D166:E166"/>
    <mergeCell ref="F166:G166"/>
    <mergeCell ref="B167:C167"/>
    <mergeCell ref="D167:E167"/>
    <mergeCell ref="F167:G167"/>
    <mergeCell ref="B168:C168"/>
    <mergeCell ref="D168:E168"/>
    <mergeCell ref="F168:G168"/>
    <mergeCell ref="B169:C169"/>
    <mergeCell ref="D169:E169"/>
    <mergeCell ref="F169:G169"/>
    <mergeCell ref="B170:C170"/>
    <mergeCell ref="D170:E170"/>
    <mergeCell ref="F170:G170"/>
    <mergeCell ref="F174:G174"/>
    <mergeCell ref="B175:C175"/>
    <mergeCell ref="D175:E175"/>
    <mergeCell ref="F175:G175"/>
    <mergeCell ref="B176:C176"/>
    <mergeCell ref="D176:E176"/>
    <mergeCell ref="F176:G176"/>
    <mergeCell ref="B171:C171"/>
    <mergeCell ref="D171:E171"/>
    <mergeCell ref="F171:G171"/>
    <mergeCell ref="B172:C172"/>
    <mergeCell ref="D172:E172"/>
    <mergeCell ref="F172:G172"/>
    <mergeCell ref="B173:C173"/>
    <mergeCell ref="D173:E173"/>
    <mergeCell ref="F173:G173"/>
    <mergeCell ref="B54:O54"/>
    <mergeCell ref="B183:C183"/>
    <mergeCell ref="D183:E183"/>
    <mergeCell ref="F183:G183"/>
    <mergeCell ref="B180:C180"/>
    <mergeCell ref="D180:E180"/>
    <mergeCell ref="F180:G180"/>
    <mergeCell ref="B181:C181"/>
    <mergeCell ref="D181:E181"/>
    <mergeCell ref="F181:G181"/>
    <mergeCell ref="B182:C182"/>
    <mergeCell ref="D182:E182"/>
    <mergeCell ref="F182:G182"/>
    <mergeCell ref="B177:C177"/>
    <mergeCell ref="D177:E177"/>
    <mergeCell ref="F177:G177"/>
    <mergeCell ref="B178:C178"/>
    <mergeCell ref="D178:E178"/>
    <mergeCell ref="F178:G178"/>
    <mergeCell ref="B179:C179"/>
    <mergeCell ref="D179:E179"/>
    <mergeCell ref="F179:G179"/>
    <mergeCell ref="B174:C174"/>
    <mergeCell ref="D174:E174"/>
  </mergeCells>
  <conditionalFormatting sqref="J89:K89">
    <cfRule type="expression" dxfId="442" priority="167">
      <formula>$F$89="Intangibles"</formula>
    </cfRule>
  </conditionalFormatting>
  <conditionalFormatting sqref="J90:K90">
    <cfRule type="expression" dxfId="441" priority="147">
      <formula>$F$90="Intangibles"</formula>
    </cfRule>
  </conditionalFormatting>
  <conditionalFormatting sqref="J118:K118">
    <cfRule type="expression" dxfId="440" priority="146">
      <formula>$F$118="Intangibles"</formula>
    </cfRule>
  </conditionalFormatting>
  <conditionalFormatting sqref="J117:K117">
    <cfRule type="expression" dxfId="439" priority="145">
      <formula>$F$117="Intangibles"</formula>
    </cfRule>
  </conditionalFormatting>
  <conditionalFormatting sqref="J116:K116">
    <cfRule type="expression" dxfId="438" priority="144">
      <formula>$F$116="Intangibles"</formula>
    </cfRule>
  </conditionalFormatting>
  <conditionalFormatting sqref="J115:K115">
    <cfRule type="expression" dxfId="437" priority="143">
      <formula>$F$115="Intangibles"</formula>
    </cfRule>
  </conditionalFormatting>
  <conditionalFormatting sqref="J114:K114">
    <cfRule type="expression" dxfId="436" priority="142">
      <formula>$F$114="Intangibles"</formula>
    </cfRule>
  </conditionalFormatting>
  <conditionalFormatting sqref="J113:K113">
    <cfRule type="expression" dxfId="435" priority="141">
      <formula>$F$113="Intangibles"</formula>
    </cfRule>
  </conditionalFormatting>
  <conditionalFormatting sqref="J112:K112">
    <cfRule type="expression" dxfId="434" priority="140">
      <formula>$F$112="Intangibles"</formula>
    </cfRule>
  </conditionalFormatting>
  <conditionalFormatting sqref="J111:K111">
    <cfRule type="expression" dxfId="433" priority="139">
      <formula>$F$111="Intangibles"</formula>
    </cfRule>
  </conditionalFormatting>
  <conditionalFormatting sqref="J110:K110">
    <cfRule type="expression" dxfId="432" priority="138">
      <formula>$F$110="Intangibles"</formula>
    </cfRule>
  </conditionalFormatting>
  <conditionalFormatting sqref="J109:K109">
    <cfRule type="expression" dxfId="431" priority="137">
      <formula>$F$109="Intangibles"</formula>
    </cfRule>
  </conditionalFormatting>
  <conditionalFormatting sqref="J108:K108">
    <cfRule type="expression" dxfId="430" priority="136">
      <formula>$F$108="Intangibles"</formula>
    </cfRule>
  </conditionalFormatting>
  <conditionalFormatting sqref="J107:K107">
    <cfRule type="expression" dxfId="429" priority="135">
      <formula>$F$107="Intangibles"</formula>
    </cfRule>
  </conditionalFormatting>
  <conditionalFormatting sqref="J106:K106">
    <cfRule type="expression" dxfId="428" priority="134">
      <formula>$F$106="Intangibles"</formula>
    </cfRule>
  </conditionalFormatting>
  <conditionalFormatting sqref="J105:K105">
    <cfRule type="expression" dxfId="427" priority="133">
      <formula>$F$105="Intangibles"</formula>
    </cfRule>
  </conditionalFormatting>
  <conditionalFormatting sqref="J104:K104">
    <cfRule type="expression" dxfId="426" priority="132">
      <formula>$F$104="Intangibles"</formula>
    </cfRule>
  </conditionalFormatting>
  <conditionalFormatting sqref="J103:K103">
    <cfRule type="expression" dxfId="425" priority="131">
      <formula>$F$103="Intangibles"</formula>
    </cfRule>
  </conditionalFormatting>
  <conditionalFormatting sqref="J102:K102">
    <cfRule type="expression" dxfId="424" priority="130">
      <formula>$F$102="Intangibles"</formula>
    </cfRule>
  </conditionalFormatting>
  <conditionalFormatting sqref="J101:K101">
    <cfRule type="expression" dxfId="423" priority="129">
      <formula>$F$101="Intangibles"</formula>
    </cfRule>
  </conditionalFormatting>
  <conditionalFormatting sqref="J100:K100">
    <cfRule type="expression" dxfId="422" priority="128">
      <formula>$F$100="Intangibles"</formula>
    </cfRule>
  </conditionalFormatting>
  <conditionalFormatting sqref="J99:K99">
    <cfRule type="expression" dxfId="421" priority="127">
      <formula>$F$99="Intangibles"</formula>
    </cfRule>
  </conditionalFormatting>
  <conditionalFormatting sqref="J91:K91">
    <cfRule type="expression" dxfId="420" priority="126">
      <formula>$F$91="Intangibles"</formula>
    </cfRule>
  </conditionalFormatting>
  <conditionalFormatting sqref="J92:K92">
    <cfRule type="expression" dxfId="419" priority="125">
      <formula>$F$92="Intangibles"</formula>
    </cfRule>
  </conditionalFormatting>
  <conditionalFormatting sqref="J93:K93">
    <cfRule type="expression" dxfId="418" priority="124">
      <formula>$F$93="Intangibles"</formula>
    </cfRule>
  </conditionalFormatting>
  <conditionalFormatting sqref="J94:K94">
    <cfRule type="expression" dxfId="417" priority="123">
      <formula>$F$94="Intangibles"</formula>
    </cfRule>
  </conditionalFormatting>
  <conditionalFormatting sqref="J95:K95">
    <cfRule type="expression" dxfId="416" priority="122">
      <formula>$F$95="Intangibles"</formula>
    </cfRule>
  </conditionalFormatting>
  <conditionalFormatting sqref="J96:K96">
    <cfRule type="expression" dxfId="415" priority="121">
      <formula>$F$96="Intangibles"</formula>
    </cfRule>
  </conditionalFormatting>
  <conditionalFormatting sqref="J97:K97">
    <cfRule type="expression" dxfId="414" priority="120">
      <formula>$F$97="Intangibles"</formula>
    </cfRule>
  </conditionalFormatting>
  <conditionalFormatting sqref="J98:K98">
    <cfRule type="expression" dxfId="413" priority="119">
      <formula>$F$98="Intangibles"</formula>
    </cfRule>
  </conditionalFormatting>
  <conditionalFormatting sqref="J200:K200">
    <cfRule type="expression" dxfId="412" priority="118">
      <formula>$F$200="Intangibles"</formula>
    </cfRule>
  </conditionalFormatting>
  <conditionalFormatting sqref="J201:K201">
    <cfRule type="expression" dxfId="411" priority="113">
      <formula>$F$201="Intangibles"</formula>
    </cfRule>
  </conditionalFormatting>
  <conditionalFormatting sqref="J229:K229">
    <cfRule type="expression" dxfId="410" priority="112">
      <formula>$F$229="Intangibles"</formula>
    </cfRule>
  </conditionalFormatting>
  <conditionalFormatting sqref="J228:K228">
    <cfRule type="expression" dxfId="409" priority="111">
      <formula>$F$228="Intangibles"</formula>
    </cfRule>
  </conditionalFormatting>
  <conditionalFormatting sqref="J227:K227">
    <cfRule type="expression" dxfId="408" priority="110">
      <formula>$F$227="Intangibles"</formula>
    </cfRule>
  </conditionalFormatting>
  <conditionalFormatting sqref="J226:K226">
    <cfRule type="expression" dxfId="407" priority="109">
      <formula>$F$226="Intangibles"</formula>
    </cfRule>
  </conditionalFormatting>
  <conditionalFormatting sqref="J225:K225">
    <cfRule type="expression" dxfId="406" priority="108">
      <formula>$F$225="Intangibles"</formula>
    </cfRule>
  </conditionalFormatting>
  <conditionalFormatting sqref="J224:K224">
    <cfRule type="expression" dxfId="405" priority="107">
      <formula>$F$224="Intangibles"</formula>
    </cfRule>
  </conditionalFormatting>
  <conditionalFormatting sqref="J223:K223">
    <cfRule type="expression" dxfId="404" priority="106">
      <formula>$F$223="Intangibles"</formula>
    </cfRule>
  </conditionalFormatting>
  <conditionalFormatting sqref="J222:K222">
    <cfRule type="expression" dxfId="403" priority="105">
      <formula>$F$222="Intangibles"</formula>
    </cfRule>
  </conditionalFormatting>
  <conditionalFormatting sqref="J221:K221">
    <cfRule type="expression" dxfId="402" priority="104">
      <formula>$F$221="Intangibles"</formula>
    </cfRule>
  </conditionalFormatting>
  <conditionalFormatting sqref="J220:K220">
    <cfRule type="expression" dxfId="401" priority="103">
      <formula>$F$220="Intangibles"</formula>
    </cfRule>
  </conditionalFormatting>
  <conditionalFormatting sqref="J219:K219">
    <cfRule type="expression" dxfId="400" priority="102">
      <formula>$F$219="Intangibles"</formula>
    </cfRule>
  </conditionalFormatting>
  <conditionalFormatting sqref="J218:K218">
    <cfRule type="expression" dxfId="399" priority="101">
      <formula>$F$218="Intangibles"</formula>
    </cfRule>
  </conditionalFormatting>
  <conditionalFormatting sqref="J217:K217">
    <cfRule type="expression" dxfId="398" priority="100">
      <formula>$F$217="Intangibles"</formula>
    </cfRule>
  </conditionalFormatting>
  <conditionalFormatting sqref="J216:K216">
    <cfRule type="expression" dxfId="397" priority="99">
      <formula>$F$216="Intangibles"</formula>
    </cfRule>
  </conditionalFormatting>
  <conditionalFormatting sqref="J215:K215">
    <cfRule type="expression" dxfId="396" priority="98">
      <formula>$F$215="Intangibles"</formula>
    </cfRule>
  </conditionalFormatting>
  <conditionalFormatting sqref="J214:K214">
    <cfRule type="expression" dxfId="395" priority="97">
      <formula>$F$214="Intangibles"</formula>
    </cfRule>
  </conditionalFormatting>
  <conditionalFormatting sqref="J213:K213">
    <cfRule type="expression" dxfId="394" priority="96">
      <formula>$F$213="Intangibles"</formula>
    </cfRule>
  </conditionalFormatting>
  <conditionalFormatting sqref="J212:K212">
    <cfRule type="expression" dxfId="393" priority="95">
      <formula>$F$212="Intangibles"</formula>
    </cfRule>
  </conditionalFormatting>
  <conditionalFormatting sqref="J211:K211">
    <cfRule type="expression" dxfId="392" priority="94">
      <formula>$F$211="Intangibles"</formula>
    </cfRule>
  </conditionalFormatting>
  <conditionalFormatting sqref="J210:K210">
    <cfRule type="expression" dxfId="391" priority="84">
      <formula>$F$210="Intangibles"</formula>
    </cfRule>
  </conditionalFormatting>
  <conditionalFormatting sqref="J202:K202">
    <cfRule type="expression" dxfId="390" priority="92">
      <formula>$F$202="Intangibles"</formula>
    </cfRule>
  </conditionalFormatting>
  <conditionalFormatting sqref="J203:K203">
    <cfRule type="expression" dxfId="389" priority="91">
      <formula>$F$203="Intangibles"</formula>
    </cfRule>
  </conditionalFormatting>
  <conditionalFormatting sqref="J204:K204">
    <cfRule type="expression" dxfId="388" priority="90">
      <formula>$F$204="Intangibles"</formula>
    </cfRule>
  </conditionalFormatting>
  <conditionalFormatting sqref="J205:K205">
    <cfRule type="expression" dxfId="387" priority="89">
      <formula>$F$205="Intangibles"</formula>
    </cfRule>
  </conditionalFormatting>
  <conditionalFormatting sqref="J206:K206">
    <cfRule type="expression" dxfId="386" priority="88">
      <formula>$F$206="Intangibles"</formula>
    </cfRule>
  </conditionalFormatting>
  <conditionalFormatting sqref="J207:K207">
    <cfRule type="expression" dxfId="385" priority="87">
      <formula>$F$207="Intangibles"</formula>
    </cfRule>
  </conditionalFormatting>
  <conditionalFormatting sqref="J208:K208">
    <cfRule type="expression" dxfId="384" priority="86">
      <formula>$F$208="Intangibles"</formula>
    </cfRule>
  </conditionalFormatting>
  <conditionalFormatting sqref="J209:K209">
    <cfRule type="expression" dxfId="383" priority="85">
      <formula>$F$209="Intangibles"</formula>
    </cfRule>
  </conditionalFormatting>
  <conditionalFormatting sqref="J126:K126">
    <cfRule type="expression" dxfId="382" priority="83">
      <formula>$F$126="Intangibles"</formula>
    </cfRule>
  </conditionalFormatting>
  <conditionalFormatting sqref="J127:K127">
    <cfRule type="expression" dxfId="381" priority="78">
      <formula>$F$127="Intangibles"</formula>
    </cfRule>
  </conditionalFormatting>
  <conditionalFormatting sqref="J155:K155">
    <cfRule type="expression" dxfId="380" priority="77">
      <formula>$F$155="Intangibles"</formula>
    </cfRule>
  </conditionalFormatting>
  <conditionalFormatting sqref="J154:K154">
    <cfRule type="expression" dxfId="379" priority="76">
      <formula>$F$154="Intangibles"</formula>
    </cfRule>
  </conditionalFormatting>
  <conditionalFormatting sqref="J153:K153">
    <cfRule type="expression" dxfId="378" priority="75">
      <formula>$F$153="Intangibles"</formula>
    </cfRule>
  </conditionalFormatting>
  <conditionalFormatting sqref="J152:K152">
    <cfRule type="expression" dxfId="377" priority="74">
      <formula>$F$152="Intangibles"</formula>
    </cfRule>
  </conditionalFormatting>
  <conditionalFormatting sqref="J151:K151">
    <cfRule type="expression" dxfId="376" priority="73">
      <formula>$F$151="Intangibles"</formula>
    </cfRule>
  </conditionalFormatting>
  <conditionalFormatting sqref="J150:K150">
    <cfRule type="expression" dxfId="375" priority="72">
      <formula>$F$150="Intangibles"</formula>
    </cfRule>
  </conditionalFormatting>
  <conditionalFormatting sqref="J149:K149">
    <cfRule type="expression" dxfId="374" priority="71">
      <formula>$F$149="Intangibles"</formula>
    </cfRule>
  </conditionalFormatting>
  <conditionalFormatting sqref="J148:K148">
    <cfRule type="expression" dxfId="373" priority="70">
      <formula>$F$148="Intangibles"</formula>
    </cfRule>
  </conditionalFormatting>
  <conditionalFormatting sqref="J147:K147">
    <cfRule type="expression" dxfId="372" priority="69">
      <formula>$F$147="Intangibles"</formula>
    </cfRule>
  </conditionalFormatting>
  <conditionalFormatting sqref="J146:K146">
    <cfRule type="expression" dxfId="371" priority="68">
      <formula>$F$146="Intangibles"</formula>
    </cfRule>
  </conditionalFormatting>
  <conditionalFormatting sqref="J145:K145">
    <cfRule type="expression" dxfId="370" priority="67">
      <formula>$F$145="Intangibles"</formula>
    </cfRule>
  </conditionalFormatting>
  <conditionalFormatting sqref="J144:K144">
    <cfRule type="expression" dxfId="369" priority="66">
      <formula>$F$144="Intangibles"</formula>
    </cfRule>
  </conditionalFormatting>
  <conditionalFormatting sqref="J143:K143">
    <cfRule type="expression" dxfId="368" priority="65">
      <formula>$F$143="Intangibles"</formula>
    </cfRule>
  </conditionalFormatting>
  <conditionalFormatting sqref="J142:K142">
    <cfRule type="expression" dxfId="367" priority="64">
      <formula>$F$142="Intangibles"</formula>
    </cfRule>
  </conditionalFormatting>
  <conditionalFormatting sqref="J141:K141">
    <cfRule type="expression" dxfId="366" priority="63">
      <formula>$F$141="Intangibles"</formula>
    </cfRule>
  </conditionalFormatting>
  <conditionalFormatting sqref="J140:K140">
    <cfRule type="expression" dxfId="365" priority="62">
      <formula>$F$140="Intangibles"</formula>
    </cfRule>
  </conditionalFormatting>
  <conditionalFormatting sqref="J139:K139">
    <cfRule type="expression" dxfId="364" priority="61">
      <formula>$F$139="Intangibles"</formula>
    </cfRule>
  </conditionalFormatting>
  <conditionalFormatting sqref="J138:K138">
    <cfRule type="expression" dxfId="363" priority="60">
      <formula>$F$138="Intangibles"</formula>
    </cfRule>
  </conditionalFormatting>
  <conditionalFormatting sqref="J137:K137">
    <cfRule type="expression" dxfId="362" priority="59">
      <formula>$F$137="Intangibles"</formula>
    </cfRule>
  </conditionalFormatting>
  <conditionalFormatting sqref="J136:K136">
    <cfRule type="expression" dxfId="361" priority="58">
      <formula>$F$136="Intangibles"</formula>
    </cfRule>
  </conditionalFormatting>
  <conditionalFormatting sqref="J128:K128">
    <cfRule type="expression" dxfId="360" priority="57">
      <formula>$F$128="Intangibles"</formula>
    </cfRule>
  </conditionalFormatting>
  <conditionalFormatting sqref="J129:K129">
    <cfRule type="expression" dxfId="359" priority="56">
      <formula>$F$129="Intangibles"</formula>
    </cfRule>
  </conditionalFormatting>
  <conditionalFormatting sqref="J130:K130">
    <cfRule type="expression" dxfId="358" priority="55">
      <formula>$F$130="Intangibles"</formula>
    </cfRule>
  </conditionalFormatting>
  <conditionalFormatting sqref="J131:K131">
    <cfRule type="expression" dxfId="357" priority="54">
      <formula>$F$131="Intangibles"</formula>
    </cfRule>
  </conditionalFormatting>
  <conditionalFormatting sqref="J132:K132">
    <cfRule type="expression" dxfId="356" priority="53">
      <formula>$F$132="Intangibles"</formula>
    </cfRule>
  </conditionalFormatting>
  <conditionalFormatting sqref="J133:K133">
    <cfRule type="expression" dxfId="355" priority="52">
      <formula>$F$133="Intangibles"</formula>
    </cfRule>
  </conditionalFormatting>
  <conditionalFormatting sqref="J134:K134">
    <cfRule type="expression" dxfId="354" priority="51">
      <formula>$F$134="Intangibles"</formula>
    </cfRule>
  </conditionalFormatting>
  <conditionalFormatting sqref="J135:K135">
    <cfRule type="expression" dxfId="353" priority="50">
      <formula>$F$135="Intangibles"</formula>
    </cfRule>
  </conditionalFormatting>
  <conditionalFormatting sqref="J163:K163">
    <cfRule type="expression" dxfId="352" priority="49">
      <formula>$F$163="Intangibles"</formula>
    </cfRule>
  </conditionalFormatting>
  <conditionalFormatting sqref="J164:K164">
    <cfRule type="expression" dxfId="351" priority="44">
      <formula>$F$164="Intangibles"</formula>
    </cfRule>
  </conditionalFormatting>
  <conditionalFormatting sqref="J192:K192">
    <cfRule type="expression" dxfId="350" priority="43">
      <formula>$F$192="Intangibles"</formula>
    </cfRule>
  </conditionalFormatting>
  <conditionalFormatting sqref="J191:K191">
    <cfRule type="expression" dxfId="349" priority="42">
      <formula>$F$191="Intangibles"</formula>
    </cfRule>
  </conditionalFormatting>
  <conditionalFormatting sqref="J190:K190">
    <cfRule type="expression" dxfId="348" priority="41">
      <formula>$F$190="Intangibles"</formula>
    </cfRule>
  </conditionalFormatting>
  <conditionalFormatting sqref="J189:K189">
    <cfRule type="expression" dxfId="347" priority="40">
      <formula>$F$189="Intangibles"</formula>
    </cfRule>
  </conditionalFormatting>
  <conditionalFormatting sqref="J188:K188">
    <cfRule type="expression" dxfId="346" priority="39">
      <formula>$F$188="Intangibles"</formula>
    </cfRule>
  </conditionalFormatting>
  <conditionalFormatting sqref="J187:K187">
    <cfRule type="expression" dxfId="345" priority="38">
      <formula>$F$187="Intangibles"</formula>
    </cfRule>
  </conditionalFormatting>
  <conditionalFormatting sqref="J186:K186">
    <cfRule type="expression" dxfId="344" priority="37">
      <formula>$F$186="Intangibles"</formula>
    </cfRule>
  </conditionalFormatting>
  <conditionalFormatting sqref="J185:K185">
    <cfRule type="expression" dxfId="343" priority="36">
      <formula>$F$185="Intangibles"</formula>
    </cfRule>
  </conditionalFormatting>
  <conditionalFormatting sqref="J184:K184">
    <cfRule type="expression" dxfId="342" priority="35">
      <formula>$F$184="Intangibles"</formula>
    </cfRule>
  </conditionalFormatting>
  <conditionalFormatting sqref="J183:K183">
    <cfRule type="expression" dxfId="341" priority="34">
      <formula>$F$183="Intangibles"</formula>
    </cfRule>
  </conditionalFormatting>
  <conditionalFormatting sqref="J182:K182">
    <cfRule type="expression" dxfId="340" priority="33">
      <formula>$F$182="Intangibles"</formula>
    </cfRule>
  </conditionalFormatting>
  <conditionalFormatting sqref="J181:K181">
    <cfRule type="expression" dxfId="339" priority="32">
      <formula>$F$181="Intangibles"</formula>
    </cfRule>
  </conditionalFormatting>
  <conditionalFormatting sqref="J180:K180">
    <cfRule type="expression" dxfId="338" priority="31">
      <formula>$F$180="Intangibles"</formula>
    </cfRule>
  </conditionalFormatting>
  <conditionalFormatting sqref="J179:K179">
    <cfRule type="expression" dxfId="337" priority="30">
      <formula>$F$179="Intangibles"</formula>
    </cfRule>
  </conditionalFormatting>
  <conditionalFormatting sqref="J178:K178">
    <cfRule type="expression" dxfId="336" priority="29">
      <formula>$F$178="Intangibles"</formula>
    </cfRule>
  </conditionalFormatting>
  <conditionalFormatting sqref="J177:K177">
    <cfRule type="expression" dxfId="335" priority="28">
      <formula>$F$177="Intangibles"</formula>
    </cfRule>
  </conditionalFormatting>
  <conditionalFormatting sqref="J176:K176">
    <cfRule type="expression" dxfId="334" priority="27">
      <formula>$F$176="Intangibles"</formula>
    </cfRule>
  </conditionalFormatting>
  <conditionalFormatting sqref="J175:K175">
    <cfRule type="expression" dxfId="333" priority="26">
      <formula>$F$175="Intangibles"</formula>
    </cfRule>
  </conditionalFormatting>
  <conditionalFormatting sqref="J174:K174">
    <cfRule type="expression" dxfId="332" priority="25">
      <formula>$F$174="Intangibles"</formula>
    </cfRule>
  </conditionalFormatting>
  <conditionalFormatting sqref="J173:K173">
    <cfRule type="expression" dxfId="331" priority="24">
      <formula>$F$173="Intangibles"</formula>
    </cfRule>
  </conditionalFormatting>
  <conditionalFormatting sqref="J165:K165">
    <cfRule type="expression" dxfId="330" priority="23">
      <formula>$F$165="Intangibles"</formula>
    </cfRule>
  </conditionalFormatting>
  <conditionalFormatting sqref="J166:K166">
    <cfRule type="expression" dxfId="329" priority="22">
      <formula>$F$166="Intangibles"</formula>
    </cfRule>
  </conditionalFormatting>
  <conditionalFormatting sqref="J167:K167">
    <cfRule type="expression" dxfId="328" priority="21">
      <formula>$F$167="Intangibles"</formula>
    </cfRule>
  </conditionalFormatting>
  <conditionalFormatting sqref="J168:K168">
    <cfRule type="expression" dxfId="327" priority="20">
      <formula>$F$168="Intangibles"</formula>
    </cfRule>
  </conditionalFormatting>
  <conditionalFormatting sqref="J169:K169">
    <cfRule type="expression" dxfId="326" priority="19">
      <formula>$F$169="Intangibles"</formula>
    </cfRule>
  </conditionalFormatting>
  <conditionalFormatting sqref="J170:K170">
    <cfRule type="expression" dxfId="325" priority="18">
      <formula>$F$170="Intangibles"</formula>
    </cfRule>
  </conditionalFormatting>
  <conditionalFormatting sqref="J171:K171">
    <cfRule type="expression" dxfId="324" priority="17">
      <formula>$F$171="Intangibles"</formula>
    </cfRule>
  </conditionalFormatting>
  <conditionalFormatting sqref="J172:K172">
    <cfRule type="expression" dxfId="323" priority="16">
      <formula>$F$172="Intangibles"</formula>
    </cfRule>
  </conditionalFormatting>
  <conditionalFormatting sqref="H299:I305">
    <cfRule type="expression" dxfId="322" priority="1">
      <formula>$H299="Baja"</formula>
    </cfRule>
    <cfRule type="expression" dxfId="321" priority="2">
      <formula>$H299="Media"</formula>
    </cfRule>
    <cfRule type="expression" dxfId="320" priority="3">
      <formula>$H299="Alta"</formula>
    </cfRule>
    <cfRule type="expression" dxfId="319" priority="4">
      <formula>$H299="Muy alta"</formula>
    </cfRule>
  </conditionalFormatting>
  <conditionalFormatting sqref="H288:I293">
    <cfRule type="expression" dxfId="318" priority="5">
      <formula>$H288="Baja"</formula>
    </cfRule>
    <cfRule type="expression" dxfId="317" priority="6">
      <formula>$H288="Media"</formula>
    </cfRule>
    <cfRule type="expression" dxfId="316" priority="7">
      <formula>$H288="Alta"</formula>
    </cfRule>
    <cfRule type="expression" dxfId="315" priority="8">
      <formula>$H288="Muy alta"</formula>
    </cfRule>
  </conditionalFormatting>
  <dataValidations xWindow="170" yWindow="429" count="29">
    <dataValidation type="textLength" operator="lessThan" allowBlank="1" showInputMessage="1" showErrorMessage="1" errorTitle="Error" error="Ingrese un valor erróneo. Vuelva a intentarlo." promptTitle="Sustento" prompt="Ingrese el sutento de los factores relevantes que condicionan la tecnología del ipo de tecnología del activos estratégico esencial que se está evaluando._x000a_El texto no debe contener más de 100 caracteres." sqref="L34:N36">
      <formula1>100</formula1>
    </dataValidation>
    <dataValidation type="textLength" operator="lessThan" allowBlank="1" showInputMessage="1" showErrorMessage="1" errorTitle="Error" error="Ingerso un valor erróneo. Vuelva a intentarlo." promptTitle="Sustento" prompt="Ingrese el sutento de los factores relevantes que condicionan la tecnología del ipo de tecnología del activos estratégico esencial que se está evaluando._x000a_El texto no debe contener más de 100 caracteres." sqref="L37:N43">
      <formula1>100</formula1>
    </dataValidation>
    <dataValidation type="textLength" operator="lessThan" allowBlank="1" showInputMessage="1" showErrorMessage="1" errorTitle="Error" error="ha Ingresado un valor incorrecto. Vuelva ha intentarlo." promptTitle="Riesgos" prompt="Ingrese la Descripción de las medidas de reducción del riesgos de desastres. Asociadas al análisis de exposición y fragilidad de la Unidad Productora sujeta de intervención y de la resiliencia de la población afectada._x000a_No debe ser mayor a 400 caracteres." sqref="B49:N52">
      <formula1>800</formula1>
    </dataValidation>
    <dataValidation type="list" allowBlank="1" showInputMessage="1" showErrorMessage="1" promptTitle="Tecnología" prompt="Seleccione la alternativa de tecnología que va a ser analizada." sqref="H64:I79">
      <formula1>Tecnologia</formula1>
    </dataValidation>
    <dataValidation type="textLength" operator="lessThan" allowBlank="1" showInputMessage="1" showErrorMessage="1" errorTitle="Error" error="Ha ingresado un valor incorrecto. Vuelha ha intentar." promptTitle="Documentos" prompt="Ingrese la descripción de los documentos que respaldan el planteamiento del diseño técnico preliminar._x000a_El texto no debe contener más de 80 caracteres." sqref="N69 N59 N64 N75">
      <formula1>80</formula1>
    </dataValidation>
    <dataValidation type="whole" allowBlank="1" showInputMessage="1" showErrorMessage="1" errorTitle="Error" error="Ha ingresado un valor erróneo. Vuelva intentar." promptTitle="Unidad Física" prompt="Ingrese el valor numérico de las unidades de activos estratéigcos que se busca crear o intervenir con el Proyecto de Inversión._x000a_El máximo valor es 50." sqref="I200:I229 I126:I155 I163:I192">
      <formula1>0</formula1>
      <formula2>50</formula2>
    </dataValidation>
    <dataValidation type="decimal" operator="greaterThan" allowBlank="1" showInputMessage="1" showErrorMessage="1" errorTitle="Error" error="Ha ingresado un valor incorrecto, vuelva a intentarlo." promptTitle="Dimensión" prompt="Ingrese el valor de la dimensión física del activo que se busca crear o intervenir con el Proyecto" sqref="K89:K118 K126:K155 K200:K229 K163:K192">
      <formula1>0</formula1>
    </dataValidation>
    <dataValidation type="textLength" operator="lessThan" allowBlank="1" showInputMessage="1" showErrorMessage="1" errorTitle="Error" error="El texto ingresado tiene más de 250 caracteres." promptTitle="Tamaño" prompt="Ingrese el criterio de tamaño utilizado para la alternativa que se está analizando._x000a_Dicha descripción no debe contener más de 250 caracteres." sqref="D59:E79">
      <formula1>250</formula1>
    </dataValidation>
    <dataValidation type="textLength" operator="lessThan" allowBlank="1" showInputMessage="1" showErrorMessage="1" errorTitle="Error" error="El texto ingresado tiene más de 250 caracteres." promptTitle="Localización" prompt="Ingrese el criterio de localización utilizado para la alternativa que se está analizando._x000a_Dicha descripción no debe contener más de 250 caracteres." sqref="F59:G79">
      <formula1>250</formula1>
    </dataValidation>
    <dataValidation type="whole" allowBlank="1" showInputMessage="1" showErrorMessage="1" errorTitle="Error" error="Ha ingresado un valor erróneo. Vuelva intentar." promptTitle="Unidad Física" prompt="Ingrese el valor numérico de las unidades del activo que se busca crear o intervenir con el Proyecto de Inversión._x000a_El máximo valor es 50." sqref="I89:I118">
      <formula1>0</formula1>
      <formula2>50</formula2>
    </dataValidation>
    <dataValidation type="list" allowBlank="1" showInputMessage="1" showErrorMessage="1" promptTitle="Activo" prompt="Seleccione el activo de la Unidad Productora ha desarrollar." sqref="E40:F43">
      <formula1>Infraestructura_Distribucion</formula1>
    </dataValidation>
    <dataValidation type="list" allowBlank="1" showInputMessage="1" showErrorMessage="1" errorTitle="Error" error="Ha ingresado un valor erróneo. Vuelva a seleccionar." promptTitle="Tipo" prompt="Seleccionar el tipo de tecnología a utilizar del activo estratégico que se encuentra analizando." sqref="G34:H43">
      <formula1>Inf_tecnologia</formula1>
    </dataValidation>
    <dataValidation type="textLength" operator="lessThan" allowBlank="1" showInputMessage="1" showErrorMessage="1" errorTitle="Error" error="Ha ingresado texto con más de 150 caracteres." promptTitle="Resultado Final" prompt="Ingrese la descripción de la alternativa de solución al que se le agreha cada uno de los aspectos técnicos analizados y que será evaluavda en la Evaluación Social._x000a_El texto no debe contener más de 150 caracteres." sqref="J59:K79">
      <formula1>150</formula1>
    </dataValidation>
    <dataValidation type="textLength" operator="lessThan" allowBlank="1" showInputMessage="1" showErrorMessage="1" errorTitle="Error" error="Ha ingresado un texto con más de 180 caracteres." promptTitle="Resumen" prompt="Ingrese el resumen de las características relevantes del diseño técnico preliminar._x000a_No debe contener más de 180 caracteres." sqref="L59:M79">
      <formula1>180</formula1>
    </dataValidation>
    <dataValidation type="list" allowBlank="1" showInputMessage="1" showErrorMessage="1" promptTitle="Activos" prompt="Seleccione el activo de la Unidad Productora ha desarrollar." sqref="E34:F36">
      <formula1>Infraestructura_Captacion</formula1>
    </dataValidation>
    <dataValidation type="list" allowBlank="1" showInputMessage="1" showErrorMessage="1" promptTitle="Activo" prompt="Seleccione el activo de la Unidad Productora ha desarrollar." sqref="E37:F39">
      <formula1>Infraestructura_Conduccion</formula1>
    </dataValidation>
    <dataValidation allowBlank="1" showInputMessage="1" showErrorMessage="1" promptTitle="Peligros:" prompt="Corresponden a los peligros establecidos en la Sección de Área de Estudio." sqref="B288:C293 B299:C305 B310:C345"/>
    <dataValidation allowBlank="1" showInputMessage="1" showErrorMessage="1" prompt="Los valores se obtienen de forma automática despues de haber realizado el análsis de vulnerabilidad." sqref="D288:I293 D299:I305"/>
    <dataValidation type="list" allowBlank="1" showInputMessage="1" showErrorMessage="1" promptTitle="Sí o No:" prompt="Seleccinar &quot;Sí&quot;, en el caso que el elemento (activo) se puede cambiar de localización a otra que disminuya la exposición, caso contrario seleccionar &quot;No&quot;." sqref="G239:G274 H243:H274">
      <formula1>"Si,No"</formula1>
    </dataValidation>
    <dataValidation allowBlank="1" showInputMessage="1" showErrorMessage="1" promptTitle="Comentario:" prompt="Consignar un comentario, donde justifique la exposición de cada peligro al elemento seleccionado. Del mismo modo se puede proponer soluciones con el objetivo de disminuir la exposición reapecto a cada elemento (activo)." sqref="I239:I274 J240:L274"/>
    <dataValidation allowBlank="1" showInputMessage="1" showErrorMessage="1" promptTitle="Peligro:" prompt="Se seleccionan de forma automática con la información proporcionada en el Área de Estudio." sqref="D239:E274"/>
    <dataValidation allowBlank="1" showInputMessage="1" showErrorMessage="1" promptTitle="Elemento / Activo:" prompt="Se seleccionan de forma automática con la información proporcionada en el Área de Estudio." sqref="B239:C274"/>
    <dataValidation type="list" allowBlank="1" showInputMessage="1" showErrorMessage="1" promptTitle="Exposición:" prompt="Seleccionar &quot;Sí&quot; en el caso que el elemento (activo) presente exposición frente a los peligros correspondientes." sqref="F239:F274">
      <formula1>"Si,No"</formula1>
    </dataValidation>
    <dataValidation allowBlank="1" showInputMessage="1" showErrorMessage="1" promptTitle="Tramo:" prompt="Consignar el tramo correspondiente al elemento (activo) establecido." sqref="G310:I345"/>
    <dataValidation allowBlank="1" showInputMessage="1" showErrorMessage="1" promptTitle="Daños y pérdidas:" prompt="Describir los daños y pérdidas que pueden esperarse en los elementos (activos), dado un nivel de riesgo." sqref="K310:O345"/>
    <dataValidation allowBlank="1" showInputMessage="1" showErrorMessage="1" promptTitle="unidad:" prompt="Se consignará la unidad de medida del elemento (activo) en forma automática." sqref="F310:F345"/>
    <dataValidation allowBlank="1" showInputMessage="1" showErrorMessage="1" promptTitle="Total:" prompt="Consignar el total del elemento que será analizado, cabe precisar que debe estar relacionado a la unidad de medida establecida." sqref="J310:J345"/>
    <dataValidation allowBlank="1" showInputMessage="1" showErrorMessage="1" promptTitle="Elemento / Activo:" prompt="Los elementos se han generado de forma automática a partir del Análisis de Exposición." sqref="D310:E345"/>
    <dataValidation type="list" allowBlank="1" showInputMessage="1" showErrorMessage="1" promptTitle="Tecnología" prompt="Seleccione la alternativa de tecnología que va a ser analizada." sqref="H59:I63">
      <formula1>Inf_tecnologia</formula1>
    </dataValidation>
  </dataValidations>
  <pageMargins left="0.70866141732283472" right="0.70866141732283472" top="0.74803149606299213" bottom="0.74803149606299213" header="0.31496062992125984" footer="0.31496062992125984"/>
  <pageSetup paperSize="9" scale="55"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extLst>
    <ext xmlns:x14="http://schemas.microsoft.com/office/spreadsheetml/2009/9/main" uri="{CCE6A557-97BC-4b89-ADB6-D9C93CAAB3DF}">
      <x14:dataValidations xmlns:xm="http://schemas.microsoft.com/office/excel/2006/main" xWindow="170" yWindow="429" count="1">
        <x14:dataValidation type="list" allowBlank="1" showInputMessage="1" showErrorMessage="1" promptTitle="Factores " prompt="Seleccione el factor relevante que condiciona la tecnología, deberá tener en cuenta, si tiene más de un factor, no duplicar la selección.">
          <x14:formula1>
            <xm:f>'Base de datos'!$Z$117:$Z$124</xm:f>
          </x14:formula1>
          <xm:sqref>I34:K43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dimension ref="A1:XFD91"/>
  <sheetViews>
    <sheetView showGridLines="0" zoomScaleNormal="100" zoomScaleSheetLayoutView="40" workbookViewId="0">
      <pane ySplit="9" topLeftCell="A10" activePane="bottomLeft" state="frozen"/>
      <selection sqref="A1:XFD1048576"/>
      <selection pane="bottomLeft" activeCell="D15" sqref="D15"/>
    </sheetView>
  </sheetViews>
  <sheetFormatPr baseColWidth="10" defaultColWidth="11.42578125" defaultRowHeight="15" x14ac:dyDescent="0.25"/>
  <cols>
    <col min="1" max="16384" width="11.42578125" style="50"/>
  </cols>
  <sheetData>
    <row r="1" spans="1:14" x14ac:dyDescent="0.25">
      <c r="A1" s="275"/>
      <c r="B1" s="275"/>
      <c r="C1" s="275"/>
      <c r="D1" s="275"/>
      <c r="E1" s="275"/>
      <c r="F1" s="275"/>
      <c r="G1" s="275"/>
      <c r="H1" s="275"/>
      <c r="I1" s="275"/>
      <c r="J1" s="275"/>
      <c r="K1" s="275"/>
      <c r="L1" s="275"/>
      <c r="M1" s="275"/>
      <c r="N1" s="275"/>
    </row>
    <row r="2" spans="1:14" x14ac:dyDescent="0.25">
      <c r="A2" s="275"/>
      <c r="B2" s="275"/>
      <c r="C2" s="275"/>
      <c r="D2" s="275"/>
      <c r="E2" s="275"/>
      <c r="F2" s="275"/>
      <c r="G2" s="275"/>
      <c r="H2" s="275"/>
      <c r="I2" s="275"/>
      <c r="J2" s="275"/>
      <c r="K2" s="275"/>
      <c r="L2" s="275"/>
      <c r="M2" s="275"/>
      <c r="N2" s="275"/>
    </row>
    <row r="3" spans="1:14" x14ac:dyDescent="0.25">
      <c r="A3" s="275"/>
      <c r="B3" s="275"/>
      <c r="C3" s="275"/>
      <c r="D3" s="275"/>
      <c r="E3" s="275"/>
      <c r="F3" s="275"/>
      <c r="G3" s="275"/>
      <c r="H3" s="275"/>
      <c r="I3" s="275"/>
      <c r="J3" s="275"/>
      <c r="K3" s="275"/>
      <c r="L3" s="275"/>
      <c r="M3" s="275"/>
      <c r="N3" s="275"/>
    </row>
    <row r="4" spans="1:14" x14ac:dyDescent="0.25">
      <c r="A4" s="275"/>
      <c r="B4" s="275"/>
      <c r="C4" s="275"/>
      <c r="D4" s="275"/>
      <c r="E4" s="275"/>
      <c r="F4" s="275"/>
      <c r="G4" s="275"/>
      <c r="H4" s="275"/>
      <c r="I4" s="275"/>
      <c r="J4" s="275"/>
      <c r="K4" s="275"/>
      <c r="L4" s="275"/>
      <c r="M4" s="275"/>
      <c r="N4" s="275"/>
    </row>
    <row r="5" spans="1:14" x14ac:dyDescent="0.25">
      <c r="A5" s="275"/>
      <c r="B5" s="275"/>
      <c r="C5" s="275"/>
      <c r="D5" s="275"/>
      <c r="E5" s="275"/>
      <c r="F5" s="275"/>
      <c r="G5" s="275"/>
      <c r="H5" s="275"/>
      <c r="I5" s="275"/>
      <c r="J5" s="275"/>
      <c r="K5" s="275"/>
      <c r="L5" s="275"/>
      <c r="M5" s="275"/>
      <c r="N5" s="275"/>
    </row>
    <row r="6" spans="1:14" x14ac:dyDescent="0.25">
      <c r="A6" s="275"/>
      <c r="B6" s="275"/>
      <c r="C6" s="275"/>
      <c r="D6" s="275"/>
      <c r="E6" s="275"/>
      <c r="F6" s="275"/>
      <c r="G6" s="275"/>
      <c r="H6" s="275"/>
      <c r="I6" s="275"/>
      <c r="J6" s="275"/>
      <c r="K6" s="275"/>
      <c r="L6" s="275"/>
      <c r="M6" s="275"/>
      <c r="N6" s="275"/>
    </row>
    <row r="7" spans="1:14" x14ac:dyDescent="0.25">
      <c r="A7" s="275"/>
      <c r="B7" s="275"/>
      <c r="C7" s="275"/>
      <c r="D7" s="275"/>
      <c r="E7" s="275"/>
      <c r="F7" s="275"/>
      <c r="G7" s="275"/>
      <c r="H7" s="275"/>
      <c r="I7" s="275"/>
      <c r="J7" s="275"/>
      <c r="K7" s="275"/>
      <c r="L7" s="275"/>
      <c r="M7" s="275"/>
      <c r="N7" s="275"/>
    </row>
    <row r="8" spans="1:14" x14ac:dyDescent="0.25">
      <c r="A8" s="275"/>
      <c r="B8" s="275"/>
      <c r="C8" s="275"/>
      <c r="D8" s="275"/>
      <c r="E8" s="275"/>
      <c r="F8" s="275"/>
      <c r="G8" s="275"/>
      <c r="H8" s="275"/>
      <c r="I8" s="275"/>
      <c r="J8" s="275"/>
      <c r="K8" s="275"/>
      <c r="L8" s="275"/>
      <c r="M8" s="275"/>
      <c r="N8" s="275"/>
    </row>
    <row r="9" spans="1:14" x14ac:dyDescent="0.25">
      <c r="A9" s="275"/>
      <c r="B9" s="275"/>
      <c r="C9" s="275"/>
      <c r="D9" s="275"/>
      <c r="E9" s="275"/>
      <c r="F9" s="275"/>
      <c r="G9" s="275"/>
      <c r="H9" s="275"/>
      <c r="I9" s="275"/>
      <c r="J9" s="275"/>
      <c r="K9" s="275"/>
      <c r="L9" s="275"/>
      <c r="M9" s="275"/>
      <c r="N9" s="275"/>
    </row>
    <row r="10" spans="1:14" s="82" customFormat="1" ht="18.75" x14ac:dyDescent="0.3">
      <c r="B10" s="82" t="s">
        <v>4908</v>
      </c>
    </row>
    <row r="11" spans="1:14" x14ac:dyDescent="0.25">
      <c r="B11" s="395"/>
      <c r="C11" s="395"/>
      <c r="D11" s="395"/>
      <c r="E11" s="278"/>
      <c r="F11" s="395"/>
      <c r="G11" s="395"/>
      <c r="H11" s="395"/>
      <c r="I11" s="395"/>
      <c r="J11" s="395"/>
      <c r="K11" s="277"/>
      <c r="L11" s="277"/>
      <c r="M11" s="277"/>
    </row>
    <row r="12" spans="1:14" x14ac:dyDescent="0.25">
      <c r="B12" s="395"/>
      <c r="C12" s="395"/>
      <c r="D12" s="395"/>
      <c r="E12" s="278"/>
      <c r="J12" s="395"/>
      <c r="K12" s="277"/>
      <c r="L12" s="277"/>
      <c r="M12" s="277"/>
    </row>
    <row r="13" spans="1:14" x14ac:dyDescent="0.25">
      <c r="B13" s="366" t="s">
        <v>4909</v>
      </c>
      <c r="C13" s="367"/>
      <c r="D13" s="367"/>
      <c r="E13" s="278"/>
      <c r="J13" s="395"/>
      <c r="K13" s="277"/>
      <c r="L13" s="277"/>
      <c r="M13" s="277"/>
    </row>
    <row r="14" spans="1:14" x14ac:dyDescent="0.25">
      <c r="B14" s="418"/>
      <c r="C14" s="418"/>
      <c r="D14" s="565" t="s">
        <v>163</v>
      </c>
      <c r="E14" s="565" t="s">
        <v>313</v>
      </c>
      <c r="F14" s="418"/>
      <c r="G14" s="418"/>
      <c r="H14" s="418"/>
      <c r="I14" s="418"/>
      <c r="J14" s="418"/>
      <c r="K14" s="277"/>
      <c r="L14" s="277"/>
      <c r="M14" s="277"/>
    </row>
    <row r="15" spans="1:14" x14ac:dyDescent="0.25">
      <c r="B15" s="494" t="s">
        <v>79</v>
      </c>
      <c r="C15" s="418"/>
      <c r="D15" s="374" t="s">
        <v>4943</v>
      </c>
      <c r="E15" s="374" t="s">
        <v>4943</v>
      </c>
      <c r="F15" s="418"/>
      <c r="G15" s="418"/>
      <c r="H15" s="418"/>
      <c r="I15" s="418"/>
      <c r="J15" s="418"/>
      <c r="K15" s="277"/>
      <c r="L15" s="277"/>
      <c r="M15" s="277"/>
    </row>
    <row r="16" spans="1:14" x14ac:dyDescent="0.25">
      <c r="B16" s="418"/>
      <c r="C16" s="418"/>
      <c r="D16" s="418"/>
      <c r="E16" s="278"/>
      <c r="F16" s="418"/>
      <c r="G16" s="418"/>
      <c r="H16" s="418"/>
      <c r="I16" s="418"/>
      <c r="J16" s="418"/>
      <c r="K16" s="277"/>
      <c r="L16" s="277"/>
      <c r="M16" s="277"/>
    </row>
    <row r="17" spans="2:24" ht="15" customHeight="1" x14ac:dyDescent="0.25">
      <c r="B17" s="1653" t="s">
        <v>408</v>
      </c>
      <c r="C17" s="1653"/>
      <c r="D17" s="1653"/>
      <c r="E17" s="1653"/>
      <c r="F17" s="1653" t="s">
        <v>185</v>
      </c>
      <c r="G17" s="1653"/>
      <c r="H17" s="1655" t="s">
        <v>419</v>
      </c>
      <c r="I17" s="1656"/>
      <c r="J17" s="1653" t="str">
        <f>IF(T19=0,"",IF(AND(T19&gt;0,T19&lt;=150),"Mes",IF(AND(T19&gt;150,T19&lt;=300),"Bimestre",IF(AND(T19&gt;300,T19&lt;=450),"Trimestre",IF(AND(T19&gt;450,T19&lt;=900),"Semestre","Año")))))</f>
        <v/>
      </c>
      <c r="K17" s="1653"/>
      <c r="L17" s="1653"/>
      <c r="M17" s="1653"/>
      <c r="N17" s="1653"/>
    </row>
    <row r="18" spans="2:24" x14ac:dyDescent="0.25">
      <c r="B18" s="1653"/>
      <c r="C18" s="1653"/>
      <c r="D18" s="1653"/>
      <c r="E18" s="1653"/>
      <c r="F18" s="563" t="s">
        <v>186</v>
      </c>
      <c r="G18" s="563" t="s">
        <v>187</v>
      </c>
      <c r="H18" s="1657"/>
      <c r="I18" s="1658"/>
      <c r="J18" s="563">
        <v>1</v>
      </c>
      <c r="K18" s="563">
        <v>2</v>
      </c>
      <c r="L18" s="563">
        <v>3</v>
      </c>
      <c r="M18" s="563">
        <v>4</v>
      </c>
      <c r="N18" s="563">
        <v>5</v>
      </c>
      <c r="R18" s="447"/>
      <c r="S18" s="447"/>
      <c r="T18" s="447"/>
      <c r="U18" s="447"/>
      <c r="V18" s="447"/>
      <c r="W18" s="447"/>
      <c r="X18" s="447"/>
    </row>
    <row r="19" spans="2:24" x14ac:dyDescent="0.25">
      <c r="R19" s="537">
        <f>IFERROR(IF(OR(D15="",D15="-"),0,D15*360),"")</f>
        <v>0</v>
      </c>
      <c r="S19" s="537">
        <f>IFERROR(IF(OR(E15="",E15="-"),0,E15*30),"")</f>
        <v>0</v>
      </c>
      <c r="T19" s="537">
        <f>R19+S19</f>
        <v>0</v>
      </c>
      <c r="U19" s="566">
        <f>F21+T19</f>
        <v>0</v>
      </c>
      <c r="V19" s="537"/>
      <c r="W19" s="537"/>
      <c r="X19" s="537"/>
    </row>
    <row r="20" spans="2:24" x14ac:dyDescent="0.25">
      <c r="B20" s="1648" t="s">
        <v>188</v>
      </c>
      <c r="C20" s="1648"/>
      <c r="D20" s="1648"/>
      <c r="E20" s="1648"/>
      <c r="F20" s="564"/>
      <c r="G20" s="564"/>
      <c r="H20" s="1654"/>
      <c r="I20" s="1654"/>
      <c r="J20" s="564"/>
      <c r="K20" s="564"/>
      <c r="L20" s="564"/>
      <c r="M20" s="564"/>
      <c r="N20" s="564"/>
      <c r="R20" s="567" t="s">
        <v>4944</v>
      </c>
      <c r="S20" s="567" t="s">
        <v>4945</v>
      </c>
      <c r="T20" s="567" t="s">
        <v>4945</v>
      </c>
      <c r="U20" s="537"/>
      <c r="V20" s="537"/>
      <c r="W20" s="537"/>
      <c r="X20" s="537"/>
    </row>
    <row r="21" spans="2:24" x14ac:dyDescent="0.25">
      <c r="B21" s="1639" t="s">
        <v>189</v>
      </c>
      <c r="C21" s="1639"/>
      <c r="D21" s="1639"/>
      <c r="E21" s="1639"/>
      <c r="F21" s="397"/>
      <c r="G21" s="397"/>
      <c r="H21" s="1640"/>
      <c r="I21" s="1640"/>
      <c r="J21" s="561"/>
      <c r="K21" s="561"/>
      <c r="L21" s="561"/>
      <c r="M21" s="561"/>
      <c r="N21" s="561"/>
      <c r="R21" s="537">
        <f t="shared" ref="R21:R26" si="0">G21-F21</f>
        <v>0</v>
      </c>
      <c r="S21" s="537">
        <f>IF($J$17="",0,IF($J$17="Mes",150,IF($J$17="Bimestre",300,IF($J$17="Trimestre",450,IF($J$17="Semestre",900,1800)))))</f>
        <v>0</v>
      </c>
      <c r="T21" s="537" t="e">
        <f t="shared" ref="T21:T26" si="1">R21/S21</f>
        <v>#DIV/0!</v>
      </c>
      <c r="U21" s="568" t="e">
        <f>DAY(F21)/S21</f>
        <v>#DIV/0!</v>
      </c>
      <c r="V21" s="568" t="e">
        <f>U21</f>
        <v>#DIV/0!</v>
      </c>
      <c r="W21" s="537" t="e">
        <f t="shared" ref="W21:W26" si="2">T21</f>
        <v>#DIV/0!</v>
      </c>
      <c r="X21" s="537" t="e">
        <f t="shared" ref="X21:X26" si="3">1-(V21+W21)</f>
        <v>#DIV/0!</v>
      </c>
    </row>
    <row r="22" spans="2:24" x14ac:dyDescent="0.25">
      <c r="B22" s="1639" t="s">
        <v>190</v>
      </c>
      <c r="C22" s="1639"/>
      <c r="D22" s="1639"/>
      <c r="E22" s="1639"/>
      <c r="F22" s="397"/>
      <c r="G22" s="397"/>
      <c r="H22" s="1640"/>
      <c r="I22" s="1640"/>
      <c r="J22" s="561"/>
      <c r="K22" s="561"/>
      <c r="L22" s="561"/>
      <c r="M22" s="561"/>
      <c r="N22" s="561"/>
      <c r="R22" s="537">
        <f t="shared" si="0"/>
        <v>0</v>
      </c>
      <c r="S22" s="537">
        <f t="shared" ref="S22:S45" si="4">IF($J$17="",0,IF($J$17="Mes",150,IF($J$17="Bimestre",300,IF($J$17="Trimestre",450,IF($J$17="Semestre",900,1800)))))</f>
        <v>0</v>
      </c>
      <c r="T22" s="537" t="e">
        <f t="shared" si="1"/>
        <v>#DIV/0!</v>
      </c>
      <c r="U22" s="568" t="e">
        <f>IF(F22&gt;G21,(F22-G21-1)/S22,-(G21-F22)/S22)</f>
        <v>#DIV/0!</v>
      </c>
      <c r="V22" s="568" t="e">
        <f>V21+W21+U22</f>
        <v>#DIV/0!</v>
      </c>
      <c r="W22" s="537" t="e">
        <f t="shared" si="2"/>
        <v>#DIV/0!</v>
      </c>
      <c r="X22" s="537" t="e">
        <f t="shared" si="3"/>
        <v>#DIV/0!</v>
      </c>
    </row>
    <row r="23" spans="2:24" x14ac:dyDescent="0.25">
      <c r="B23" s="1639" t="s">
        <v>191</v>
      </c>
      <c r="C23" s="1639"/>
      <c r="D23" s="1639"/>
      <c r="E23" s="1639"/>
      <c r="F23" s="397"/>
      <c r="G23" s="397"/>
      <c r="H23" s="1640"/>
      <c r="I23" s="1640"/>
      <c r="J23" s="561"/>
      <c r="K23" s="561"/>
      <c r="L23" s="561"/>
      <c r="M23" s="561"/>
      <c r="N23" s="561"/>
      <c r="R23" s="537">
        <f t="shared" si="0"/>
        <v>0</v>
      </c>
      <c r="S23" s="537">
        <f t="shared" si="4"/>
        <v>0</v>
      </c>
      <c r="T23" s="537" t="e">
        <f t="shared" si="1"/>
        <v>#DIV/0!</v>
      </c>
      <c r="U23" s="568" t="e">
        <f t="shared" ref="U23:U40" si="5">IF(F23&gt;G22,(F23-G22-1)/S23,-(G22-F23)/S23)</f>
        <v>#DIV/0!</v>
      </c>
      <c r="V23" s="568" t="e">
        <f>V22+W22+U23</f>
        <v>#DIV/0!</v>
      </c>
      <c r="W23" s="537" t="e">
        <f t="shared" si="2"/>
        <v>#DIV/0!</v>
      </c>
      <c r="X23" s="537" t="e">
        <f t="shared" si="3"/>
        <v>#DIV/0!</v>
      </c>
    </row>
    <row r="24" spans="2:24" x14ac:dyDescent="0.25">
      <c r="B24" s="1639" t="s">
        <v>192</v>
      </c>
      <c r="C24" s="1639"/>
      <c r="D24" s="1639"/>
      <c r="E24" s="1639"/>
      <c r="F24" s="397"/>
      <c r="G24" s="397"/>
      <c r="H24" s="1640"/>
      <c r="I24" s="1640"/>
      <c r="J24" s="561"/>
      <c r="K24" s="561"/>
      <c r="L24" s="561"/>
      <c r="M24" s="561"/>
      <c r="N24" s="561"/>
      <c r="R24" s="537">
        <f t="shared" si="0"/>
        <v>0</v>
      </c>
      <c r="S24" s="537">
        <f t="shared" si="4"/>
        <v>0</v>
      </c>
      <c r="T24" s="537" t="e">
        <f t="shared" si="1"/>
        <v>#DIV/0!</v>
      </c>
      <c r="U24" s="568" t="e">
        <f t="shared" si="5"/>
        <v>#DIV/0!</v>
      </c>
      <c r="V24" s="568" t="e">
        <f>V23+W23+U24</f>
        <v>#DIV/0!</v>
      </c>
      <c r="W24" s="537" t="e">
        <f t="shared" si="2"/>
        <v>#DIV/0!</v>
      </c>
      <c r="X24" s="537" t="e">
        <f t="shared" si="3"/>
        <v>#DIV/0!</v>
      </c>
    </row>
    <row r="25" spans="2:24" x14ac:dyDescent="0.25">
      <c r="B25" s="1639" t="s">
        <v>193</v>
      </c>
      <c r="C25" s="1639"/>
      <c r="D25" s="1639"/>
      <c r="E25" s="1639"/>
      <c r="F25" s="397"/>
      <c r="G25" s="397"/>
      <c r="H25" s="1640"/>
      <c r="I25" s="1640"/>
      <c r="J25" s="561"/>
      <c r="K25" s="561"/>
      <c r="L25" s="561"/>
      <c r="M25" s="561"/>
      <c r="N25" s="561"/>
      <c r="R25" s="537">
        <f t="shared" si="0"/>
        <v>0</v>
      </c>
      <c r="S25" s="537">
        <f t="shared" si="4"/>
        <v>0</v>
      </c>
      <c r="T25" s="537" t="e">
        <f t="shared" si="1"/>
        <v>#DIV/0!</v>
      </c>
      <c r="U25" s="568" t="e">
        <f t="shared" si="5"/>
        <v>#DIV/0!</v>
      </c>
      <c r="V25" s="568" t="e">
        <f>V24+W24+U25</f>
        <v>#DIV/0!</v>
      </c>
      <c r="W25" s="537" t="e">
        <f t="shared" si="2"/>
        <v>#DIV/0!</v>
      </c>
      <c r="X25" s="537" t="e">
        <f t="shared" si="3"/>
        <v>#DIV/0!</v>
      </c>
    </row>
    <row r="26" spans="2:24" x14ac:dyDescent="0.25">
      <c r="B26" s="1639" t="s">
        <v>194</v>
      </c>
      <c r="C26" s="1639"/>
      <c r="D26" s="1639"/>
      <c r="E26" s="1639"/>
      <c r="F26" s="397"/>
      <c r="G26" s="397"/>
      <c r="H26" s="1640"/>
      <c r="I26" s="1640"/>
      <c r="J26" s="561"/>
      <c r="K26" s="561"/>
      <c r="L26" s="561"/>
      <c r="M26" s="561"/>
      <c r="N26" s="561"/>
      <c r="R26" s="537">
        <f t="shared" si="0"/>
        <v>0</v>
      </c>
      <c r="S26" s="537">
        <f t="shared" si="4"/>
        <v>0</v>
      </c>
      <c r="T26" s="537" t="e">
        <f t="shared" si="1"/>
        <v>#DIV/0!</v>
      </c>
      <c r="U26" s="568" t="e">
        <f t="shared" si="5"/>
        <v>#DIV/0!</v>
      </c>
      <c r="V26" s="568" t="e">
        <f>V25+W25+U26</f>
        <v>#DIV/0!</v>
      </c>
      <c r="W26" s="537" t="e">
        <f t="shared" si="2"/>
        <v>#DIV/0!</v>
      </c>
      <c r="X26" s="537" t="e">
        <f t="shared" si="3"/>
        <v>#DIV/0!</v>
      </c>
    </row>
    <row r="27" spans="2:24" x14ac:dyDescent="0.25">
      <c r="B27" s="1648" t="s">
        <v>114</v>
      </c>
      <c r="C27" s="1648"/>
      <c r="D27" s="1648"/>
      <c r="E27" s="1648"/>
      <c r="F27" s="398"/>
      <c r="G27" s="398"/>
      <c r="H27" s="1649"/>
      <c r="I27" s="1649"/>
      <c r="J27" s="562"/>
      <c r="K27" s="562"/>
      <c r="L27" s="562"/>
      <c r="M27" s="562"/>
      <c r="N27" s="562"/>
      <c r="R27" s="537"/>
      <c r="S27" s="537"/>
      <c r="T27" s="537"/>
      <c r="U27" s="537"/>
      <c r="V27" s="537"/>
      <c r="W27" s="537"/>
      <c r="X27" s="537"/>
    </row>
    <row r="28" spans="2:24" x14ac:dyDescent="0.25">
      <c r="B28" s="1639" t="s">
        <v>189</v>
      </c>
      <c r="C28" s="1639"/>
      <c r="D28" s="1639"/>
      <c r="E28" s="1639"/>
      <c r="F28" s="397"/>
      <c r="G28" s="397"/>
      <c r="H28" s="1640"/>
      <c r="I28" s="1640"/>
      <c r="J28" s="561"/>
      <c r="K28" s="561"/>
      <c r="L28" s="561"/>
      <c r="M28" s="561"/>
      <c r="N28" s="561"/>
      <c r="R28" s="537">
        <f t="shared" ref="R28:R33" si="6">G28-F28</f>
        <v>0</v>
      </c>
      <c r="S28" s="537">
        <f t="shared" si="4"/>
        <v>0</v>
      </c>
      <c r="T28" s="537" t="e">
        <f t="shared" ref="T28:T33" si="7">R28/S28</f>
        <v>#DIV/0!</v>
      </c>
      <c r="U28" s="568" t="e">
        <f>IF(F28&gt;G26,(F28-G26-1)/S28,-(G26-F28)/S28)</f>
        <v>#DIV/0!</v>
      </c>
      <c r="V28" s="568" t="e">
        <f>V26+W26+U28</f>
        <v>#DIV/0!</v>
      </c>
      <c r="W28" s="537" t="e">
        <f t="shared" ref="W28:W33" si="8">T28</f>
        <v>#DIV/0!</v>
      </c>
      <c r="X28" s="537" t="e">
        <f t="shared" ref="X28:X33" si="9">1-(V28+W28)</f>
        <v>#DIV/0!</v>
      </c>
    </row>
    <row r="29" spans="2:24" x14ac:dyDescent="0.25">
      <c r="B29" s="1639" t="s">
        <v>190</v>
      </c>
      <c r="C29" s="1639"/>
      <c r="D29" s="1639"/>
      <c r="E29" s="1639"/>
      <c r="F29" s="397"/>
      <c r="G29" s="397"/>
      <c r="H29" s="1640"/>
      <c r="I29" s="1640"/>
      <c r="J29" s="561"/>
      <c r="K29" s="561"/>
      <c r="L29" s="561"/>
      <c r="M29" s="561"/>
      <c r="N29" s="561"/>
      <c r="R29" s="537">
        <f t="shared" si="6"/>
        <v>0</v>
      </c>
      <c r="S29" s="537">
        <f t="shared" si="4"/>
        <v>0</v>
      </c>
      <c r="T29" s="537" t="e">
        <f t="shared" si="7"/>
        <v>#DIV/0!</v>
      </c>
      <c r="U29" s="568" t="e">
        <f t="shared" si="5"/>
        <v>#DIV/0!</v>
      </c>
      <c r="V29" s="568" t="e">
        <f>V28+W28+U29</f>
        <v>#DIV/0!</v>
      </c>
      <c r="W29" s="537" t="e">
        <f t="shared" si="8"/>
        <v>#DIV/0!</v>
      </c>
      <c r="X29" s="537" t="e">
        <f t="shared" si="9"/>
        <v>#DIV/0!</v>
      </c>
    </row>
    <row r="30" spans="2:24" x14ac:dyDescent="0.25">
      <c r="B30" s="1639" t="s">
        <v>191</v>
      </c>
      <c r="C30" s="1639"/>
      <c r="D30" s="1639"/>
      <c r="E30" s="1639"/>
      <c r="F30" s="397"/>
      <c r="G30" s="397"/>
      <c r="H30" s="1640"/>
      <c r="I30" s="1640"/>
      <c r="J30" s="561"/>
      <c r="K30" s="561"/>
      <c r="L30" s="561"/>
      <c r="M30" s="561"/>
      <c r="N30" s="561"/>
      <c r="R30" s="537">
        <f t="shared" si="6"/>
        <v>0</v>
      </c>
      <c r="S30" s="537">
        <f t="shared" si="4"/>
        <v>0</v>
      </c>
      <c r="T30" s="537" t="e">
        <f t="shared" si="7"/>
        <v>#DIV/0!</v>
      </c>
      <c r="U30" s="568" t="e">
        <f t="shared" si="5"/>
        <v>#DIV/0!</v>
      </c>
      <c r="V30" s="568" t="e">
        <f>V29+W29+U30</f>
        <v>#DIV/0!</v>
      </c>
      <c r="W30" s="537" t="e">
        <f t="shared" si="8"/>
        <v>#DIV/0!</v>
      </c>
      <c r="X30" s="537" t="e">
        <f t="shared" si="9"/>
        <v>#DIV/0!</v>
      </c>
    </row>
    <row r="31" spans="2:24" x14ac:dyDescent="0.25">
      <c r="B31" s="1639" t="s">
        <v>192</v>
      </c>
      <c r="C31" s="1639"/>
      <c r="D31" s="1639"/>
      <c r="E31" s="1639"/>
      <c r="F31" s="397"/>
      <c r="G31" s="397"/>
      <c r="H31" s="1640"/>
      <c r="I31" s="1640"/>
      <c r="J31" s="561"/>
      <c r="K31" s="561"/>
      <c r="L31" s="561"/>
      <c r="M31" s="561"/>
      <c r="N31" s="561"/>
      <c r="R31" s="537">
        <f t="shared" si="6"/>
        <v>0</v>
      </c>
      <c r="S31" s="537">
        <f t="shared" si="4"/>
        <v>0</v>
      </c>
      <c r="T31" s="537" t="e">
        <f t="shared" si="7"/>
        <v>#DIV/0!</v>
      </c>
      <c r="U31" s="568" t="e">
        <f t="shared" si="5"/>
        <v>#DIV/0!</v>
      </c>
      <c r="V31" s="568" t="e">
        <f>V30+W30+U31</f>
        <v>#DIV/0!</v>
      </c>
      <c r="W31" s="537" t="e">
        <f t="shared" si="8"/>
        <v>#DIV/0!</v>
      </c>
      <c r="X31" s="537" t="e">
        <f t="shared" si="9"/>
        <v>#DIV/0!</v>
      </c>
    </row>
    <row r="32" spans="2:24" x14ac:dyDescent="0.25">
      <c r="B32" s="1639" t="s">
        <v>193</v>
      </c>
      <c r="C32" s="1639"/>
      <c r="D32" s="1639"/>
      <c r="E32" s="1639"/>
      <c r="F32" s="397"/>
      <c r="G32" s="397"/>
      <c r="H32" s="1640"/>
      <c r="I32" s="1640"/>
      <c r="J32" s="561"/>
      <c r="K32" s="561"/>
      <c r="L32" s="561"/>
      <c r="M32" s="561"/>
      <c r="N32" s="561"/>
      <c r="R32" s="537">
        <f t="shared" si="6"/>
        <v>0</v>
      </c>
      <c r="S32" s="537">
        <f t="shared" si="4"/>
        <v>0</v>
      </c>
      <c r="T32" s="537" t="e">
        <f t="shared" si="7"/>
        <v>#DIV/0!</v>
      </c>
      <c r="U32" s="568" t="e">
        <f t="shared" si="5"/>
        <v>#DIV/0!</v>
      </c>
      <c r="V32" s="568" t="e">
        <f>V31+W31+U32</f>
        <v>#DIV/0!</v>
      </c>
      <c r="W32" s="537" t="e">
        <f t="shared" si="8"/>
        <v>#DIV/0!</v>
      </c>
      <c r="X32" s="537" t="e">
        <f t="shared" si="9"/>
        <v>#DIV/0!</v>
      </c>
    </row>
    <row r="33" spans="2:24" x14ac:dyDescent="0.25">
      <c r="B33" s="1639" t="s">
        <v>195</v>
      </c>
      <c r="C33" s="1639"/>
      <c r="D33" s="1639"/>
      <c r="E33" s="1639"/>
      <c r="F33" s="397"/>
      <c r="G33" s="397"/>
      <c r="H33" s="1640"/>
      <c r="I33" s="1640"/>
      <c r="J33" s="561"/>
      <c r="K33" s="561"/>
      <c r="L33" s="561"/>
      <c r="M33" s="561"/>
      <c r="N33" s="561"/>
      <c r="R33" s="537">
        <f t="shared" si="6"/>
        <v>0</v>
      </c>
      <c r="S33" s="537">
        <f t="shared" si="4"/>
        <v>0</v>
      </c>
      <c r="T33" s="537" t="e">
        <f t="shared" si="7"/>
        <v>#DIV/0!</v>
      </c>
      <c r="U33" s="568" t="e">
        <f t="shared" si="5"/>
        <v>#DIV/0!</v>
      </c>
      <c r="V33" s="568" t="e">
        <f>V32+W32+U33</f>
        <v>#DIV/0!</v>
      </c>
      <c r="W33" s="537" t="e">
        <f t="shared" si="8"/>
        <v>#DIV/0!</v>
      </c>
      <c r="X33" s="537" t="e">
        <f t="shared" si="9"/>
        <v>#DIV/0!</v>
      </c>
    </row>
    <row r="34" spans="2:24" x14ac:dyDescent="0.25">
      <c r="B34" s="1648" t="s">
        <v>196</v>
      </c>
      <c r="C34" s="1648"/>
      <c r="D34" s="1648"/>
      <c r="E34" s="1648"/>
      <c r="F34" s="398"/>
      <c r="G34" s="398"/>
      <c r="H34" s="1649"/>
      <c r="I34" s="1649"/>
      <c r="J34" s="562"/>
      <c r="K34" s="562"/>
      <c r="L34" s="562"/>
      <c r="M34" s="562"/>
      <c r="N34" s="562"/>
      <c r="R34" s="537"/>
      <c r="S34" s="537"/>
      <c r="T34" s="537"/>
      <c r="U34" s="537"/>
      <c r="V34" s="537"/>
      <c r="W34" s="537"/>
      <c r="X34" s="537"/>
    </row>
    <row r="35" spans="2:24" x14ac:dyDescent="0.25">
      <c r="B35" s="1641" t="s">
        <v>390</v>
      </c>
      <c r="C35" s="1641"/>
      <c r="D35" s="1641"/>
      <c r="E35" s="1641"/>
      <c r="F35" s="397"/>
      <c r="G35" s="397"/>
      <c r="H35" s="1640"/>
      <c r="I35" s="1640"/>
      <c r="J35" s="561"/>
      <c r="K35" s="561"/>
      <c r="L35" s="561"/>
      <c r="M35" s="561"/>
      <c r="N35" s="561"/>
      <c r="R35" s="537">
        <f t="shared" ref="R35:R45" si="10">G35-F35</f>
        <v>0</v>
      </c>
      <c r="S35" s="537">
        <f t="shared" si="4"/>
        <v>0</v>
      </c>
      <c r="T35" s="537" t="e">
        <f t="shared" ref="T35:T45" si="11">R35/S35</f>
        <v>#DIV/0!</v>
      </c>
      <c r="U35" s="568" t="e">
        <f>IF(F35&gt;G26,(F35-G26-1)/S35,-(G26-F35)/S35)</f>
        <v>#DIV/0!</v>
      </c>
      <c r="V35" s="568" t="e">
        <f>V26+W26+U35</f>
        <v>#DIV/0!</v>
      </c>
      <c r="W35" s="537" t="e">
        <f t="shared" ref="W35:W45" si="12">T35</f>
        <v>#DIV/0!</v>
      </c>
      <c r="X35" s="537" t="e">
        <f t="shared" ref="X35:X45" si="13">1-(V35+W35)</f>
        <v>#DIV/0!</v>
      </c>
    </row>
    <row r="36" spans="2:24" x14ac:dyDescent="0.25">
      <c r="B36" s="1641" t="s">
        <v>190</v>
      </c>
      <c r="C36" s="1641"/>
      <c r="D36" s="1641"/>
      <c r="E36" s="1641"/>
      <c r="F36" s="397"/>
      <c r="G36" s="397"/>
      <c r="H36" s="1640"/>
      <c r="I36" s="1640"/>
      <c r="J36" s="561"/>
      <c r="K36" s="561"/>
      <c r="L36" s="561"/>
      <c r="M36" s="561"/>
      <c r="N36" s="561"/>
      <c r="R36" s="537">
        <f t="shared" si="10"/>
        <v>0</v>
      </c>
      <c r="S36" s="537">
        <f t="shared" si="4"/>
        <v>0</v>
      </c>
      <c r="T36" s="537" t="e">
        <f t="shared" si="11"/>
        <v>#DIV/0!</v>
      </c>
      <c r="U36" s="568" t="e">
        <f>IF(F36&gt;G35,(F36-G35-1)/S36,-(G35-F36)/S36)</f>
        <v>#DIV/0!</v>
      </c>
      <c r="V36" s="568" t="e">
        <f t="shared" ref="V36:V45" si="14">V35+W35+U36</f>
        <v>#DIV/0!</v>
      </c>
      <c r="W36" s="537" t="e">
        <f t="shared" si="12"/>
        <v>#DIV/0!</v>
      </c>
      <c r="X36" s="537" t="e">
        <f t="shared" si="13"/>
        <v>#DIV/0!</v>
      </c>
    </row>
    <row r="37" spans="2:24" x14ac:dyDescent="0.25">
      <c r="B37" s="1641" t="s">
        <v>191</v>
      </c>
      <c r="C37" s="1641"/>
      <c r="D37" s="1641"/>
      <c r="E37" s="1641"/>
      <c r="F37" s="397"/>
      <c r="G37" s="397"/>
      <c r="H37" s="1640"/>
      <c r="I37" s="1640"/>
      <c r="J37" s="561"/>
      <c r="K37" s="561"/>
      <c r="L37" s="561"/>
      <c r="M37" s="561"/>
      <c r="N37" s="561"/>
      <c r="R37" s="537">
        <f t="shared" si="10"/>
        <v>0</v>
      </c>
      <c r="S37" s="537">
        <f t="shared" si="4"/>
        <v>0</v>
      </c>
      <c r="T37" s="537" t="e">
        <f t="shared" si="11"/>
        <v>#DIV/0!</v>
      </c>
      <c r="U37" s="568" t="e">
        <f t="shared" si="5"/>
        <v>#DIV/0!</v>
      </c>
      <c r="V37" s="568" t="e">
        <f t="shared" si="14"/>
        <v>#DIV/0!</v>
      </c>
      <c r="W37" s="537" t="e">
        <f t="shared" si="12"/>
        <v>#DIV/0!</v>
      </c>
      <c r="X37" s="537" t="e">
        <f t="shared" si="13"/>
        <v>#DIV/0!</v>
      </c>
    </row>
    <row r="38" spans="2:24" x14ac:dyDescent="0.25">
      <c r="B38" s="1641" t="s">
        <v>192</v>
      </c>
      <c r="C38" s="1641"/>
      <c r="D38" s="1641"/>
      <c r="E38" s="1641"/>
      <c r="F38" s="397"/>
      <c r="G38" s="397"/>
      <c r="H38" s="1640"/>
      <c r="I38" s="1640"/>
      <c r="J38" s="561"/>
      <c r="K38" s="561"/>
      <c r="L38" s="561"/>
      <c r="M38" s="561"/>
      <c r="N38" s="561"/>
      <c r="R38" s="537">
        <f t="shared" si="10"/>
        <v>0</v>
      </c>
      <c r="S38" s="537">
        <f t="shared" si="4"/>
        <v>0</v>
      </c>
      <c r="T38" s="537" t="e">
        <f t="shared" si="11"/>
        <v>#DIV/0!</v>
      </c>
      <c r="U38" s="568" t="e">
        <f t="shared" si="5"/>
        <v>#DIV/0!</v>
      </c>
      <c r="V38" s="568" t="e">
        <f t="shared" si="14"/>
        <v>#DIV/0!</v>
      </c>
      <c r="W38" s="537" t="e">
        <f t="shared" si="12"/>
        <v>#DIV/0!</v>
      </c>
      <c r="X38" s="537" t="e">
        <f t="shared" si="13"/>
        <v>#DIV/0!</v>
      </c>
    </row>
    <row r="39" spans="2:24" x14ac:dyDescent="0.25">
      <c r="B39" s="1641" t="s">
        <v>193</v>
      </c>
      <c r="C39" s="1641"/>
      <c r="D39" s="1641"/>
      <c r="E39" s="1641"/>
      <c r="F39" s="397"/>
      <c r="G39" s="397"/>
      <c r="H39" s="1640"/>
      <c r="I39" s="1640"/>
      <c r="J39" s="561"/>
      <c r="K39" s="561"/>
      <c r="L39" s="561"/>
      <c r="M39" s="561"/>
      <c r="N39" s="561"/>
      <c r="R39" s="537">
        <f t="shared" si="10"/>
        <v>0</v>
      </c>
      <c r="S39" s="537">
        <f t="shared" si="4"/>
        <v>0</v>
      </c>
      <c r="T39" s="537" t="e">
        <f t="shared" si="11"/>
        <v>#DIV/0!</v>
      </c>
      <c r="U39" s="568" t="e">
        <f t="shared" si="5"/>
        <v>#DIV/0!</v>
      </c>
      <c r="V39" s="568" t="e">
        <f t="shared" si="14"/>
        <v>#DIV/0!</v>
      </c>
      <c r="W39" s="537" t="e">
        <f>T39</f>
        <v>#DIV/0!</v>
      </c>
      <c r="X39" s="537" t="e">
        <f t="shared" si="13"/>
        <v>#DIV/0!</v>
      </c>
    </row>
    <row r="40" spans="2:24" ht="15" customHeight="1" x14ac:dyDescent="0.25">
      <c r="B40" s="1641" t="s">
        <v>4914</v>
      </c>
      <c r="C40" s="1641"/>
      <c r="D40" s="1641"/>
      <c r="E40" s="1641"/>
      <c r="F40" s="397"/>
      <c r="G40" s="397"/>
      <c r="H40" s="1640"/>
      <c r="I40" s="1640"/>
      <c r="J40" s="561"/>
      <c r="K40" s="561"/>
      <c r="L40" s="561"/>
      <c r="M40" s="561"/>
      <c r="N40" s="561"/>
      <c r="R40" s="537">
        <f t="shared" si="10"/>
        <v>0</v>
      </c>
      <c r="S40" s="537">
        <f t="shared" si="4"/>
        <v>0</v>
      </c>
      <c r="T40" s="537" t="e">
        <f t="shared" si="11"/>
        <v>#DIV/0!</v>
      </c>
      <c r="U40" s="568" t="e">
        <f t="shared" si="5"/>
        <v>#DIV/0!</v>
      </c>
      <c r="V40" s="568" t="e">
        <f t="shared" si="14"/>
        <v>#DIV/0!</v>
      </c>
      <c r="W40" s="537" t="e">
        <f t="shared" si="12"/>
        <v>#DIV/0!</v>
      </c>
      <c r="X40" s="537" t="e">
        <f t="shared" si="13"/>
        <v>#DIV/0!</v>
      </c>
    </row>
    <row r="41" spans="2:24" ht="15" customHeight="1" x14ac:dyDescent="0.25">
      <c r="B41" s="1645" t="s">
        <v>227</v>
      </c>
      <c r="C41" s="1645"/>
      <c r="D41" s="1645"/>
      <c r="E41" s="1645"/>
      <c r="F41" s="397"/>
      <c r="G41" s="397"/>
      <c r="H41" s="1646"/>
      <c r="I41" s="1647"/>
      <c r="J41" s="561"/>
      <c r="K41" s="561"/>
      <c r="L41" s="561"/>
      <c r="M41" s="561"/>
      <c r="N41" s="561"/>
      <c r="R41" s="537">
        <f t="shared" si="10"/>
        <v>0</v>
      </c>
      <c r="S41" s="537">
        <f t="shared" si="4"/>
        <v>0</v>
      </c>
      <c r="T41" s="537" t="e">
        <f t="shared" si="11"/>
        <v>#DIV/0!</v>
      </c>
      <c r="U41" s="568" t="e">
        <f>IF(F41&gt;G40,(F41-G40-1)/S41,-(G40-F41)/S41)</f>
        <v>#DIV/0!</v>
      </c>
      <c r="V41" s="568" t="e">
        <f t="shared" si="14"/>
        <v>#DIV/0!</v>
      </c>
      <c r="W41" s="537" t="e">
        <f t="shared" si="12"/>
        <v>#DIV/0!</v>
      </c>
      <c r="X41" s="537" t="e">
        <f t="shared" si="13"/>
        <v>#DIV/0!</v>
      </c>
    </row>
    <row r="42" spans="2:24" x14ac:dyDescent="0.25">
      <c r="B42" s="1642" t="s">
        <v>4852</v>
      </c>
      <c r="C42" s="1643"/>
      <c r="D42" s="1643"/>
      <c r="E42" s="1644"/>
      <c r="F42" s="397"/>
      <c r="G42" s="397"/>
      <c r="H42" s="1640"/>
      <c r="I42" s="1640"/>
      <c r="J42" s="561"/>
      <c r="K42" s="561"/>
      <c r="L42" s="561"/>
      <c r="M42" s="561"/>
      <c r="N42" s="561"/>
      <c r="R42" s="537">
        <f t="shared" si="10"/>
        <v>0</v>
      </c>
      <c r="S42" s="537">
        <f t="shared" si="4"/>
        <v>0</v>
      </c>
      <c r="T42" s="537" t="e">
        <f t="shared" si="11"/>
        <v>#DIV/0!</v>
      </c>
      <c r="U42" s="568" t="e">
        <f>IF(F42&gt;G41,(F42-G41-1)/S42,-(G41-F42)/S42)</f>
        <v>#DIV/0!</v>
      </c>
      <c r="V42" s="568" t="e">
        <f t="shared" si="14"/>
        <v>#DIV/0!</v>
      </c>
      <c r="W42" s="537" t="e">
        <f t="shared" si="12"/>
        <v>#DIV/0!</v>
      </c>
      <c r="X42" s="537" t="e">
        <f t="shared" si="13"/>
        <v>#DIV/0!</v>
      </c>
    </row>
    <row r="43" spans="2:24" x14ac:dyDescent="0.25">
      <c r="B43" s="1639" t="s">
        <v>197</v>
      </c>
      <c r="C43" s="1639"/>
      <c r="D43" s="1639"/>
      <c r="E43" s="1639"/>
      <c r="F43" s="397"/>
      <c r="G43" s="397"/>
      <c r="H43" s="1640"/>
      <c r="I43" s="1640"/>
      <c r="J43" s="561"/>
      <c r="K43" s="561"/>
      <c r="L43" s="561"/>
      <c r="M43" s="561"/>
      <c r="N43" s="561"/>
      <c r="R43" s="537">
        <f t="shared" si="10"/>
        <v>0</v>
      </c>
      <c r="S43" s="537">
        <f t="shared" si="4"/>
        <v>0</v>
      </c>
      <c r="T43" s="537" t="e">
        <f t="shared" si="11"/>
        <v>#DIV/0!</v>
      </c>
      <c r="U43" s="568" t="e">
        <f>IF(F43&gt;G42,(F43-G42-1)/S43,-(G42-F43)/S43)</f>
        <v>#DIV/0!</v>
      </c>
      <c r="V43" s="568" t="e">
        <f t="shared" si="14"/>
        <v>#DIV/0!</v>
      </c>
      <c r="W43" s="537" t="e">
        <f t="shared" si="12"/>
        <v>#DIV/0!</v>
      </c>
      <c r="X43" s="537" t="e">
        <f t="shared" si="13"/>
        <v>#DIV/0!</v>
      </c>
    </row>
    <row r="44" spans="2:24" x14ac:dyDescent="0.25">
      <c r="B44" s="1639" t="s">
        <v>198</v>
      </c>
      <c r="C44" s="1639"/>
      <c r="D44" s="1639"/>
      <c r="E44" s="1639"/>
      <c r="F44" s="397"/>
      <c r="G44" s="397"/>
      <c r="H44" s="1640"/>
      <c r="I44" s="1640"/>
      <c r="J44" s="561"/>
      <c r="K44" s="561"/>
      <c r="L44" s="561"/>
      <c r="M44" s="561"/>
      <c r="N44" s="561"/>
      <c r="R44" s="537">
        <f t="shared" si="10"/>
        <v>0</v>
      </c>
      <c r="S44" s="537">
        <f t="shared" si="4"/>
        <v>0</v>
      </c>
      <c r="T44" s="537" t="e">
        <f t="shared" si="11"/>
        <v>#DIV/0!</v>
      </c>
      <c r="U44" s="568" t="e">
        <f>IF(F44&gt;G43,(F44-G43-1)/S44,-(G43-F44)/S44)</f>
        <v>#DIV/0!</v>
      </c>
      <c r="V44" s="568" t="e">
        <f t="shared" si="14"/>
        <v>#DIV/0!</v>
      </c>
      <c r="W44" s="537" t="e">
        <f t="shared" si="12"/>
        <v>#DIV/0!</v>
      </c>
      <c r="X44" s="537" t="e">
        <f t="shared" si="13"/>
        <v>#DIV/0!</v>
      </c>
    </row>
    <row r="45" spans="2:24" x14ac:dyDescent="0.25">
      <c r="B45" s="1639" t="s">
        <v>199</v>
      </c>
      <c r="C45" s="1639"/>
      <c r="D45" s="1639"/>
      <c r="E45" s="1639"/>
      <c r="F45" s="397"/>
      <c r="G45" s="397"/>
      <c r="H45" s="1640"/>
      <c r="I45" s="1640"/>
      <c r="J45" s="561"/>
      <c r="K45" s="561"/>
      <c r="L45" s="561"/>
      <c r="M45" s="561"/>
      <c r="N45" s="561"/>
      <c r="R45" s="537">
        <f t="shared" si="10"/>
        <v>0</v>
      </c>
      <c r="S45" s="537">
        <f t="shared" si="4"/>
        <v>0</v>
      </c>
      <c r="T45" s="537" t="e">
        <f t="shared" si="11"/>
        <v>#DIV/0!</v>
      </c>
      <c r="U45" s="568" t="e">
        <f>IF(F45&gt;G44,(F45-G44-1)/S45,-(G44-F45)/S45)</f>
        <v>#DIV/0!</v>
      </c>
      <c r="V45" s="568" t="e">
        <f t="shared" si="14"/>
        <v>#DIV/0!</v>
      </c>
      <c r="W45" s="537" t="e">
        <f t="shared" si="12"/>
        <v>#DIV/0!</v>
      </c>
      <c r="X45" s="537" t="e">
        <f t="shared" si="13"/>
        <v>#DIV/0!</v>
      </c>
    </row>
    <row r="46" spans="2:24" x14ac:dyDescent="0.25">
      <c r="B46" s="418"/>
      <c r="C46" s="418"/>
      <c r="D46" s="418"/>
      <c r="E46" s="278"/>
      <c r="F46" s="418"/>
      <c r="G46" s="418"/>
      <c r="H46" s="418"/>
      <c r="I46" s="418"/>
      <c r="J46" s="418"/>
      <c r="K46" s="277"/>
      <c r="L46" s="277"/>
      <c r="M46" s="277"/>
      <c r="R46" s="537"/>
      <c r="S46" s="537"/>
      <c r="T46" s="537"/>
      <c r="U46" s="537"/>
      <c r="V46" s="537"/>
      <c r="W46" s="537"/>
      <c r="X46" s="537"/>
    </row>
    <row r="47" spans="2:24" x14ac:dyDescent="0.25">
      <c r="B47" s="366" t="s">
        <v>4910</v>
      </c>
      <c r="C47" s="418"/>
      <c r="D47" s="418"/>
      <c r="E47" s="278"/>
      <c r="F47" s="418"/>
      <c r="G47" s="418"/>
      <c r="H47" s="418"/>
      <c r="I47" s="418"/>
      <c r="J47" s="418"/>
      <c r="K47" s="277"/>
      <c r="L47" s="277"/>
      <c r="M47" s="277"/>
      <c r="R47" s="537"/>
      <c r="S47" s="537"/>
      <c r="T47" s="537"/>
      <c r="U47" s="537"/>
      <c r="V47" s="537"/>
      <c r="W47" s="537"/>
      <c r="X47" s="537"/>
    </row>
    <row r="48" spans="2:24" x14ac:dyDescent="0.25">
      <c r="B48" s="366"/>
      <c r="C48" s="418"/>
      <c r="D48" s="418"/>
      <c r="E48" s="278"/>
      <c r="F48" s="418"/>
      <c r="G48" s="418"/>
      <c r="H48" s="418"/>
      <c r="I48" s="418"/>
      <c r="J48" s="418"/>
      <c r="K48" s="277"/>
      <c r="L48" s="277"/>
      <c r="M48" s="277"/>
    </row>
    <row r="49" spans="2:15 16383:16384" x14ac:dyDescent="0.25">
      <c r="B49" s="494" t="s">
        <v>79</v>
      </c>
      <c r="C49" s="418"/>
      <c r="D49" s="418"/>
      <c r="E49" s="278"/>
      <c r="F49" s="418"/>
      <c r="G49" s="418"/>
      <c r="H49" s="418"/>
      <c r="I49" s="418"/>
      <c r="J49" s="418"/>
      <c r="K49" s="277"/>
      <c r="L49" s="277"/>
      <c r="M49" s="277"/>
    </row>
    <row r="50" spans="2:15 16383:16384" ht="15" customHeight="1" x14ac:dyDescent="0.25">
      <c r="B50" s="1659" t="s">
        <v>200</v>
      </c>
      <c r="C50" s="1660"/>
      <c r="D50" s="1660"/>
      <c r="E50" s="1660"/>
      <c r="F50" s="1661"/>
      <c r="G50" s="368" t="s">
        <v>201</v>
      </c>
      <c r="I50" s="418"/>
      <c r="J50" s="418"/>
      <c r="K50" s="277"/>
      <c r="L50" s="277"/>
      <c r="M50" s="277"/>
    </row>
    <row r="51" spans="2:15 16383:16384" ht="5.0999999999999996" customHeight="1" x14ac:dyDescent="0.25"/>
    <row r="52" spans="2:15 16383:16384" x14ac:dyDescent="0.25">
      <c r="B52" s="1650" t="s">
        <v>202</v>
      </c>
      <c r="C52" s="1651"/>
      <c r="D52" s="1651"/>
      <c r="E52" s="1651"/>
      <c r="F52" s="1652"/>
      <c r="G52" s="369"/>
      <c r="I52" s="418"/>
      <c r="J52" s="418"/>
      <c r="K52" s="277"/>
      <c r="L52" s="277"/>
      <c r="M52" s="277"/>
      <c r="XFD52" s="551" t="b">
        <v>0</v>
      </c>
    </row>
    <row r="53" spans="2:15 16383:16384" x14ac:dyDescent="0.25">
      <c r="B53" s="1650" t="s">
        <v>203</v>
      </c>
      <c r="C53" s="1651"/>
      <c r="D53" s="1651"/>
      <c r="E53" s="1651"/>
      <c r="F53" s="1652"/>
      <c r="G53" s="369"/>
      <c r="I53" s="418"/>
      <c r="J53" s="418"/>
      <c r="K53" s="277"/>
      <c r="L53" s="277"/>
      <c r="M53" s="277"/>
      <c r="XFD53" s="551" t="b">
        <v>0</v>
      </c>
    </row>
    <row r="54" spans="2:15 16383:16384" x14ac:dyDescent="0.25">
      <c r="B54" s="1650" t="s">
        <v>429</v>
      </c>
      <c r="C54" s="1651"/>
      <c r="D54" s="1651"/>
      <c r="E54" s="1651"/>
      <c r="F54" s="1652"/>
      <c r="G54" s="369"/>
      <c r="I54" s="418"/>
      <c r="J54" s="418"/>
      <c r="K54" s="277"/>
      <c r="L54" s="277"/>
      <c r="M54" s="277"/>
      <c r="XFD54" s="551" t="b">
        <v>0</v>
      </c>
    </row>
    <row r="55" spans="2:15 16383:16384" x14ac:dyDescent="0.25">
      <c r="B55" s="1650" t="s">
        <v>204</v>
      </c>
      <c r="C55" s="1651"/>
      <c r="D55" s="1651"/>
      <c r="E55" s="1651"/>
      <c r="F55" s="1652"/>
      <c r="G55" s="369"/>
      <c r="I55" s="418"/>
      <c r="J55" s="418"/>
      <c r="K55" s="277"/>
      <c r="L55" s="277"/>
      <c r="M55" s="277"/>
      <c r="XFD55" s="551" t="b">
        <v>0</v>
      </c>
    </row>
    <row r="56" spans="2:15 16383:16384" x14ac:dyDescent="0.25">
      <c r="B56" s="1650" t="s">
        <v>430</v>
      </c>
      <c r="C56" s="1651"/>
      <c r="D56" s="1651"/>
      <c r="E56" s="1651"/>
      <c r="F56" s="1652"/>
      <c r="G56" s="369"/>
      <c r="I56" s="418"/>
      <c r="J56" s="418"/>
      <c r="K56" s="277"/>
      <c r="L56" s="277"/>
      <c r="M56" s="277"/>
      <c r="XFD56" s="551" t="b">
        <v>0</v>
      </c>
    </row>
    <row r="57" spans="2:15 16383:16384" x14ac:dyDescent="0.25">
      <c r="B57" s="418"/>
      <c r="C57" s="418"/>
      <c r="D57" s="418"/>
      <c r="E57" s="278"/>
      <c r="F57" s="418"/>
      <c r="G57" s="418"/>
      <c r="H57" s="418"/>
      <c r="I57" s="418"/>
      <c r="J57" s="418"/>
      <c r="K57" s="277"/>
      <c r="L57" s="277"/>
      <c r="M57" s="277"/>
    </row>
    <row r="58" spans="2:15 16383:16384" ht="21" customHeight="1" x14ac:dyDescent="0.25">
      <c r="B58" s="366" t="s">
        <v>4911</v>
      </c>
      <c r="C58" s="395"/>
      <c r="D58" s="395"/>
      <c r="E58" s="278"/>
      <c r="F58" s="395"/>
      <c r="G58" s="395"/>
      <c r="H58" s="395"/>
      <c r="I58" s="395"/>
      <c r="J58" s="395"/>
      <c r="K58" s="277"/>
      <c r="L58" s="277"/>
      <c r="M58" s="277"/>
    </row>
    <row r="59" spans="2:15 16383:16384" ht="15" customHeight="1" x14ac:dyDescent="0.25">
      <c r="B59" s="1662" t="s">
        <v>205</v>
      </c>
      <c r="C59" s="1662"/>
      <c r="D59" s="1662"/>
      <c r="E59" s="1662"/>
      <c r="F59" s="1662"/>
      <c r="G59" s="1662"/>
      <c r="H59" s="1662"/>
      <c r="I59" s="1662"/>
      <c r="J59" s="1662"/>
      <c r="K59" s="1662"/>
      <c r="L59" s="370"/>
      <c r="M59" s="370"/>
    </row>
    <row r="60" spans="2:15 16383:16384" x14ac:dyDescent="0.25">
      <c r="B60" s="277"/>
      <c r="C60" s="287"/>
      <c r="D60" s="287"/>
      <c r="E60" s="371"/>
      <c r="F60" s="287"/>
      <c r="G60" s="287"/>
      <c r="H60" s="372"/>
      <c r="I60" s="372"/>
      <c r="J60" s="372"/>
      <c r="K60" s="372"/>
      <c r="L60" s="372"/>
      <c r="M60" s="372"/>
    </row>
    <row r="61" spans="2:15 16383:16384" s="354" customFormat="1" ht="15" customHeight="1" x14ac:dyDescent="0.25">
      <c r="B61" s="1663" t="s">
        <v>206</v>
      </c>
      <c r="C61" s="1663"/>
      <c r="D61" s="1663"/>
      <c r="E61" s="1663"/>
      <c r="F61" s="1663"/>
      <c r="G61" s="1663"/>
      <c r="H61" s="1663"/>
      <c r="I61" s="1663"/>
      <c r="J61" s="1663"/>
      <c r="L61" s="372"/>
      <c r="M61" s="372"/>
      <c r="N61" s="50"/>
      <c r="O61" s="50"/>
    </row>
    <row r="62" spans="2:15 16383:16384" ht="6" customHeight="1" x14ac:dyDescent="0.25">
      <c r="L62" s="372"/>
      <c r="M62" s="372"/>
    </row>
    <row r="63" spans="2:15 16383:16384" ht="16.5" customHeight="1" x14ac:dyDescent="0.25">
      <c r="B63" s="373" t="s">
        <v>4912</v>
      </c>
      <c r="G63" s="396" t="s">
        <v>201</v>
      </c>
      <c r="H63" s="1670" t="s">
        <v>407</v>
      </c>
      <c r="I63" s="1670"/>
      <c r="J63" s="1670"/>
      <c r="L63" s="372"/>
      <c r="M63" s="372"/>
    </row>
    <row r="64" spans="2:15 16383:16384" s="355" customFormat="1" x14ac:dyDescent="0.25">
      <c r="B64" s="1650" t="s">
        <v>207</v>
      </c>
      <c r="C64" s="1651"/>
      <c r="D64" s="1651"/>
      <c r="E64" s="1651"/>
      <c r="F64" s="1652"/>
      <c r="G64" s="430"/>
      <c r="H64" s="1664"/>
      <c r="I64" s="1665"/>
      <c r="J64" s="1666"/>
      <c r="L64" s="372"/>
      <c r="M64" s="372"/>
      <c r="N64" s="50"/>
      <c r="O64" s="50"/>
      <c r="XFC64" s="569" t="b">
        <v>0</v>
      </c>
      <c r="XFD64" s="632">
        <f>IF(XFC64=TRUE,1,0)</f>
        <v>0</v>
      </c>
    </row>
    <row r="65" spans="2:15 16383:16384" s="355" customFormat="1" x14ac:dyDescent="0.25">
      <c r="B65" s="1650" t="s">
        <v>208</v>
      </c>
      <c r="C65" s="1651"/>
      <c r="D65" s="1651"/>
      <c r="E65" s="1651"/>
      <c r="F65" s="1652"/>
      <c r="G65" s="430"/>
      <c r="H65" s="1664"/>
      <c r="I65" s="1665"/>
      <c r="J65" s="1666"/>
      <c r="L65" s="372"/>
      <c r="M65" s="372"/>
      <c r="N65" s="50"/>
      <c r="O65" s="50"/>
      <c r="XFC65" s="569" t="b">
        <v>0</v>
      </c>
      <c r="XFD65" s="632">
        <f t="shared" ref="XFD65:XFD74" si="15">IF(XFC65=TRUE,1,0)</f>
        <v>0</v>
      </c>
    </row>
    <row r="66" spans="2:15 16383:16384" s="355" customFormat="1" x14ac:dyDescent="0.25">
      <c r="B66" s="1650" t="s">
        <v>209</v>
      </c>
      <c r="C66" s="1651"/>
      <c r="D66" s="1651"/>
      <c r="E66" s="1651"/>
      <c r="F66" s="1652"/>
      <c r="G66" s="430"/>
      <c r="H66" s="1664"/>
      <c r="I66" s="1665"/>
      <c r="J66" s="1666"/>
      <c r="L66" s="372"/>
      <c r="M66" s="372"/>
      <c r="N66" s="50"/>
      <c r="O66" s="50"/>
      <c r="XFC66" s="569" t="b">
        <v>0</v>
      </c>
      <c r="XFD66" s="632">
        <f t="shared" si="15"/>
        <v>0</v>
      </c>
    </row>
    <row r="67" spans="2:15 16383:16384" s="355" customFormat="1" x14ac:dyDescent="0.25">
      <c r="B67" s="1650" t="s">
        <v>210</v>
      </c>
      <c r="C67" s="1651"/>
      <c r="D67" s="1651"/>
      <c r="E67" s="1651"/>
      <c r="F67" s="1652"/>
      <c r="G67" s="430"/>
      <c r="H67" s="1664"/>
      <c r="I67" s="1665"/>
      <c r="J67" s="1666"/>
      <c r="L67" s="372"/>
      <c r="M67" s="372"/>
      <c r="N67" s="50"/>
      <c r="O67" s="50"/>
      <c r="XFC67" s="569" t="b">
        <v>0</v>
      </c>
      <c r="XFD67" s="632">
        <f t="shared" si="15"/>
        <v>0</v>
      </c>
    </row>
    <row r="68" spans="2:15 16383:16384" s="355" customFormat="1" x14ac:dyDescent="0.25">
      <c r="B68" s="1650" t="s">
        <v>71</v>
      </c>
      <c r="C68" s="1651"/>
      <c r="D68" s="1651"/>
      <c r="E68" s="1651"/>
      <c r="F68" s="1652"/>
      <c r="G68" s="430"/>
      <c r="H68" s="1664"/>
      <c r="I68" s="1665"/>
      <c r="J68" s="1666"/>
      <c r="L68" s="372"/>
      <c r="M68" s="372"/>
      <c r="N68" s="50"/>
      <c r="O68" s="50"/>
      <c r="XFC68" s="569" t="b">
        <v>0</v>
      </c>
      <c r="XFD68" s="632">
        <f t="shared" si="15"/>
        <v>0</v>
      </c>
    </row>
    <row r="69" spans="2:15 16383:16384" ht="16.5" customHeight="1" x14ac:dyDescent="0.25">
      <c r="B69" s="373" t="s">
        <v>404</v>
      </c>
      <c r="XFC69" s="550"/>
    </row>
    <row r="70" spans="2:15 16383:16384" s="355" customFormat="1" x14ac:dyDescent="0.25">
      <c r="B70" s="1650" t="s">
        <v>207</v>
      </c>
      <c r="C70" s="1651"/>
      <c r="D70" s="1651"/>
      <c r="E70" s="1651"/>
      <c r="F70" s="1652"/>
      <c r="G70" s="430"/>
      <c r="H70" s="1664"/>
      <c r="I70" s="1665"/>
      <c r="J70" s="1666"/>
      <c r="L70" s="372"/>
      <c r="M70" s="372"/>
      <c r="N70" s="50"/>
      <c r="O70" s="50"/>
      <c r="XFC70" s="569" t="b">
        <v>0</v>
      </c>
      <c r="XFD70" s="632">
        <f t="shared" si="15"/>
        <v>0</v>
      </c>
    </row>
    <row r="71" spans="2:15 16383:16384" s="355" customFormat="1" x14ac:dyDescent="0.25">
      <c r="B71" s="1650" t="s">
        <v>208</v>
      </c>
      <c r="C71" s="1651"/>
      <c r="D71" s="1651"/>
      <c r="E71" s="1651"/>
      <c r="F71" s="1652"/>
      <c r="G71" s="430"/>
      <c r="H71" s="1667"/>
      <c r="I71" s="1668"/>
      <c r="J71" s="1669"/>
      <c r="L71" s="372"/>
      <c r="M71" s="372"/>
      <c r="N71" s="50"/>
      <c r="O71" s="50"/>
      <c r="XFC71" s="569" t="b">
        <v>0</v>
      </c>
      <c r="XFD71" s="632">
        <f t="shared" si="15"/>
        <v>0</v>
      </c>
    </row>
    <row r="72" spans="2:15 16383:16384" s="355" customFormat="1" x14ac:dyDescent="0.25">
      <c r="B72" s="1650" t="s">
        <v>209</v>
      </c>
      <c r="C72" s="1651"/>
      <c r="D72" s="1651"/>
      <c r="E72" s="1651"/>
      <c r="F72" s="1652"/>
      <c r="G72" s="430"/>
      <c r="H72" s="1664"/>
      <c r="I72" s="1665"/>
      <c r="J72" s="1666"/>
      <c r="L72" s="372"/>
      <c r="M72" s="372"/>
      <c r="N72" s="50"/>
      <c r="O72" s="50"/>
      <c r="XFC72" s="569" t="b">
        <v>0</v>
      </c>
      <c r="XFD72" s="632">
        <f t="shared" si="15"/>
        <v>0</v>
      </c>
    </row>
    <row r="73" spans="2:15 16383:16384" s="355" customFormat="1" x14ac:dyDescent="0.25">
      <c r="B73" s="1650" t="s">
        <v>210</v>
      </c>
      <c r="C73" s="1651"/>
      <c r="D73" s="1651"/>
      <c r="E73" s="1651"/>
      <c r="F73" s="1652"/>
      <c r="G73" s="430"/>
      <c r="H73" s="1664"/>
      <c r="I73" s="1665"/>
      <c r="J73" s="1666"/>
      <c r="L73" s="372"/>
      <c r="M73" s="372"/>
      <c r="N73" s="50"/>
      <c r="O73" s="50"/>
      <c r="XFC73" s="569" t="b">
        <v>0</v>
      </c>
      <c r="XFD73" s="632">
        <f t="shared" si="15"/>
        <v>0</v>
      </c>
    </row>
    <row r="74" spans="2:15 16383:16384" s="355" customFormat="1" x14ac:dyDescent="0.25">
      <c r="B74" s="1650" t="s">
        <v>71</v>
      </c>
      <c r="C74" s="1651"/>
      <c r="D74" s="1651"/>
      <c r="E74" s="1651"/>
      <c r="F74" s="1652"/>
      <c r="G74" s="430"/>
      <c r="H74" s="1664"/>
      <c r="I74" s="1665"/>
      <c r="J74" s="1666"/>
      <c r="L74" s="372"/>
      <c r="M74" s="372"/>
      <c r="N74" s="50"/>
      <c r="O74" s="50"/>
      <c r="XFC74" s="569" t="b">
        <v>0</v>
      </c>
      <c r="XFD74" s="632">
        <f t="shared" si="15"/>
        <v>0</v>
      </c>
    </row>
    <row r="75" spans="2:15 16383:16384" x14ac:dyDescent="0.25">
      <c r="B75" s="395"/>
      <c r="C75" s="395"/>
      <c r="D75" s="395"/>
      <c r="E75" s="278"/>
      <c r="F75" s="395"/>
      <c r="G75" s="395"/>
      <c r="H75" s="395"/>
      <c r="I75" s="395"/>
      <c r="J75" s="395"/>
      <c r="K75" s="277"/>
      <c r="L75" s="277"/>
      <c r="M75" s="277"/>
      <c r="XFC75" s="431"/>
    </row>
    <row r="76" spans="2:15 16383:16384" ht="21" customHeight="1" x14ac:dyDescent="0.25">
      <c r="B76" s="366" t="s">
        <v>4913</v>
      </c>
      <c r="C76" s="395"/>
      <c r="D76" s="395"/>
      <c r="E76" s="278"/>
      <c r="F76" s="395"/>
      <c r="G76" s="395"/>
      <c r="H76" s="395"/>
      <c r="I76" s="395"/>
      <c r="J76" s="395"/>
      <c r="K76" s="277"/>
      <c r="L76" s="277"/>
      <c r="M76" s="277"/>
      <c r="XFC76" s="431"/>
    </row>
    <row r="77" spans="2:15 16383:16384" ht="7.5" customHeight="1" x14ac:dyDescent="0.25">
      <c r="XFC77" s="431"/>
    </row>
    <row r="78" spans="2:15 16383:16384" x14ac:dyDescent="0.25">
      <c r="B78" s="1671"/>
      <c r="C78" s="1672"/>
      <c r="D78" s="1672"/>
      <c r="E78" s="1672"/>
      <c r="F78" s="1672"/>
      <c r="G78" s="1672"/>
      <c r="H78" s="1672"/>
      <c r="I78" s="1672"/>
      <c r="J78" s="1672"/>
      <c r="K78" s="1672"/>
      <c r="L78" s="1672"/>
      <c r="M78" s="1673"/>
      <c r="XFC78" s="431"/>
    </row>
    <row r="79" spans="2:15 16383:16384" x14ac:dyDescent="0.25">
      <c r="B79" s="395"/>
      <c r="C79" s="395"/>
      <c r="D79" s="395"/>
      <c r="E79" s="278"/>
      <c r="F79" s="395"/>
      <c r="G79" s="395"/>
      <c r="H79" s="395"/>
      <c r="I79" s="395"/>
      <c r="J79" s="395"/>
      <c r="K79" s="277"/>
      <c r="L79" s="277"/>
      <c r="M79" s="277"/>
      <c r="XFC79" s="431"/>
    </row>
    <row r="80" spans="2:15 16383:16384" ht="21" customHeight="1" x14ac:dyDescent="0.25">
      <c r="B80" s="366" t="s">
        <v>4915</v>
      </c>
      <c r="C80" s="395"/>
      <c r="D80" s="395"/>
      <c r="E80" s="278"/>
      <c r="F80" s="395"/>
      <c r="G80" s="395"/>
      <c r="H80" s="395"/>
      <c r="I80" s="395"/>
      <c r="J80" s="395"/>
      <c r="K80" s="277"/>
      <c r="L80" s="277"/>
      <c r="M80" s="277"/>
      <c r="XFC80" s="431"/>
    </row>
    <row r="81" spans="2:13 16383:16384" ht="15" customHeight="1" x14ac:dyDescent="0.25">
      <c r="B81" s="366"/>
      <c r="C81" s="418"/>
      <c r="D81" s="418"/>
      <c r="E81" s="278"/>
      <c r="F81" s="418"/>
      <c r="G81" s="418"/>
      <c r="H81" s="418"/>
      <c r="I81" s="418"/>
      <c r="J81" s="418"/>
      <c r="K81" s="277"/>
      <c r="L81" s="277"/>
      <c r="M81" s="277"/>
      <c r="XFC81" s="431"/>
    </row>
    <row r="82" spans="2:13 16383:16384" x14ac:dyDescent="0.25">
      <c r="B82" s="494" t="s">
        <v>79</v>
      </c>
      <c r="C82" s="395"/>
      <c r="D82" s="395"/>
      <c r="E82" s="395"/>
      <c r="F82" s="395"/>
      <c r="G82" s="395"/>
      <c r="H82" s="395"/>
      <c r="I82" s="395"/>
      <c r="J82" s="395"/>
      <c r="K82" s="277"/>
      <c r="L82" s="277"/>
      <c r="M82" s="277"/>
      <c r="XFC82" s="431"/>
    </row>
    <row r="83" spans="2:13 16383:16384" x14ac:dyDescent="0.25">
      <c r="B83" s="1659" t="s">
        <v>211</v>
      </c>
      <c r="C83" s="1660" t="s">
        <v>201</v>
      </c>
      <c r="D83" s="1660"/>
      <c r="E83" s="1660"/>
      <c r="F83" s="1661"/>
      <c r="G83" s="368" t="s">
        <v>201</v>
      </c>
      <c r="H83" s="395"/>
      <c r="I83" s="395"/>
      <c r="J83" s="395"/>
      <c r="K83" s="277"/>
      <c r="L83" s="277"/>
      <c r="M83" s="277"/>
      <c r="XFC83" s="431"/>
    </row>
    <row r="84" spans="2:13 16383:16384" ht="5.0999999999999996" customHeight="1" x14ac:dyDescent="0.25">
      <c r="XFC84" s="431"/>
    </row>
    <row r="85" spans="2:13 16383:16384" x14ac:dyDescent="0.25">
      <c r="B85" s="1650" t="s">
        <v>212</v>
      </c>
      <c r="C85" s="1651"/>
      <c r="D85" s="1651"/>
      <c r="E85" s="1651"/>
      <c r="F85" s="1652"/>
      <c r="G85" s="369"/>
      <c r="H85" s="395"/>
      <c r="I85" s="395"/>
      <c r="J85" s="395"/>
      <c r="K85" s="277"/>
      <c r="L85" s="277"/>
      <c r="M85" s="277"/>
      <c r="XFC85" s="431"/>
      <c r="XFD85" s="551" t="b">
        <v>0</v>
      </c>
    </row>
    <row r="86" spans="2:13 16383:16384" x14ac:dyDescent="0.25">
      <c r="B86" s="1650" t="s">
        <v>213</v>
      </c>
      <c r="C86" s="1651"/>
      <c r="D86" s="1651"/>
      <c r="E86" s="1651"/>
      <c r="F86" s="1652"/>
      <c r="G86" s="369"/>
      <c r="H86" s="395"/>
      <c r="I86" s="395"/>
      <c r="J86" s="395"/>
      <c r="K86" s="277"/>
      <c r="L86" s="277"/>
      <c r="M86" s="277"/>
      <c r="XFC86" s="431"/>
      <c r="XFD86" s="551" t="b">
        <v>0</v>
      </c>
    </row>
    <row r="87" spans="2:13 16383:16384" x14ac:dyDescent="0.25">
      <c r="B87" s="1650" t="s">
        <v>214</v>
      </c>
      <c r="C87" s="1651"/>
      <c r="D87" s="1651"/>
      <c r="E87" s="1651"/>
      <c r="F87" s="1652"/>
      <c r="G87" s="369"/>
      <c r="H87" s="395"/>
      <c r="I87" s="395"/>
      <c r="J87" s="395"/>
      <c r="K87" s="277"/>
      <c r="L87" s="277"/>
      <c r="M87" s="277"/>
      <c r="XFD87" s="551" t="b">
        <v>0</v>
      </c>
    </row>
    <row r="88" spans="2:13 16383:16384" x14ac:dyDescent="0.25">
      <c r="B88" s="1650" t="s">
        <v>215</v>
      </c>
      <c r="C88" s="1651"/>
      <c r="D88" s="1651"/>
      <c r="E88" s="1651"/>
      <c r="F88" s="1652"/>
      <c r="G88" s="369"/>
      <c r="H88" s="395"/>
      <c r="I88" s="395"/>
      <c r="J88" s="395"/>
      <c r="K88" s="277"/>
      <c r="L88" s="277"/>
      <c r="M88" s="277"/>
      <c r="XFD88" s="551" t="b">
        <v>0</v>
      </c>
    </row>
    <row r="89" spans="2:13 16383:16384" x14ac:dyDescent="0.25">
      <c r="B89" s="1650" t="s">
        <v>216</v>
      </c>
      <c r="C89" s="1651"/>
      <c r="D89" s="1651"/>
      <c r="E89" s="1651"/>
      <c r="F89" s="1652"/>
      <c r="G89" s="369"/>
      <c r="H89" s="395"/>
      <c r="I89" s="395"/>
      <c r="J89" s="395"/>
      <c r="K89" s="277"/>
      <c r="L89" s="277"/>
      <c r="M89" s="277"/>
      <c r="XFD89" s="551" t="b">
        <v>0</v>
      </c>
    </row>
    <row r="90" spans="2:13 16383:16384" x14ac:dyDescent="0.25">
      <c r="B90" s="1662" t="s">
        <v>217</v>
      </c>
      <c r="C90" s="1662"/>
      <c r="D90" s="1662"/>
      <c r="E90" s="1662"/>
      <c r="F90" s="1662"/>
      <c r="G90" s="1662"/>
      <c r="H90" s="1662"/>
      <c r="I90" s="1662"/>
      <c r="J90" s="395"/>
      <c r="K90" s="277"/>
      <c r="L90" s="277"/>
      <c r="M90" s="277"/>
    </row>
    <row r="91" spans="2:13 16383:16384" x14ac:dyDescent="0.25">
      <c r="J91" s="395"/>
      <c r="K91" s="277"/>
      <c r="L91" s="277"/>
      <c r="M91" s="277"/>
    </row>
  </sheetData>
  <sheetProtection password="9AA6" sheet="1" objects="1" scenarios="1"/>
  <dataConsolidate/>
  <mergeCells count="93">
    <mergeCell ref="B78:M78"/>
    <mergeCell ref="B74:F74"/>
    <mergeCell ref="H74:J74"/>
    <mergeCell ref="B70:F70"/>
    <mergeCell ref="B68:F68"/>
    <mergeCell ref="B73:F73"/>
    <mergeCell ref="H72:J72"/>
    <mergeCell ref="H73:J73"/>
    <mergeCell ref="B72:F72"/>
    <mergeCell ref="B89:F89"/>
    <mergeCell ref="B90:I90"/>
    <mergeCell ref="B83:F83"/>
    <mergeCell ref="B85:F85"/>
    <mergeCell ref="B86:F86"/>
    <mergeCell ref="B87:F87"/>
    <mergeCell ref="B88:F88"/>
    <mergeCell ref="B59:K59"/>
    <mergeCell ref="B61:J61"/>
    <mergeCell ref="H68:J68"/>
    <mergeCell ref="H70:J70"/>
    <mergeCell ref="H71:J71"/>
    <mergeCell ref="H63:J63"/>
    <mergeCell ref="H64:J64"/>
    <mergeCell ref="H65:J65"/>
    <mergeCell ref="H66:J66"/>
    <mergeCell ref="H67:J67"/>
    <mergeCell ref="B64:F64"/>
    <mergeCell ref="B65:F65"/>
    <mergeCell ref="B66:F66"/>
    <mergeCell ref="B67:F67"/>
    <mergeCell ref="B50:F50"/>
    <mergeCell ref="B52:F52"/>
    <mergeCell ref="B53:F53"/>
    <mergeCell ref="B54:F54"/>
    <mergeCell ref="B55:F55"/>
    <mergeCell ref="B56:F56"/>
    <mergeCell ref="J17:N17"/>
    <mergeCell ref="B20:E20"/>
    <mergeCell ref="H20:I20"/>
    <mergeCell ref="B71:F71"/>
    <mergeCell ref="B27:E27"/>
    <mergeCell ref="H27:I27"/>
    <mergeCell ref="B28:E28"/>
    <mergeCell ref="B17:E18"/>
    <mergeCell ref="F17:G17"/>
    <mergeCell ref="H17:I18"/>
    <mergeCell ref="B24:E24"/>
    <mergeCell ref="H24:I24"/>
    <mergeCell ref="B25:E25"/>
    <mergeCell ref="H25:I25"/>
    <mergeCell ref="B26:E26"/>
    <mergeCell ref="B21:E21"/>
    <mergeCell ref="H21:I21"/>
    <mergeCell ref="B22:E22"/>
    <mergeCell ref="B41:E41"/>
    <mergeCell ref="H41:I41"/>
    <mergeCell ref="H33:I33"/>
    <mergeCell ref="B34:E34"/>
    <mergeCell ref="H34:I34"/>
    <mergeCell ref="B35:E35"/>
    <mergeCell ref="H35:I35"/>
    <mergeCell ref="B36:E36"/>
    <mergeCell ref="B39:E39"/>
    <mergeCell ref="H39:I39"/>
    <mergeCell ref="B40:E40"/>
    <mergeCell ref="H40:I40"/>
    <mergeCell ref="H36:I36"/>
    <mergeCell ref="B33:E33"/>
    <mergeCell ref="H22:I22"/>
    <mergeCell ref="B23:E23"/>
    <mergeCell ref="H23:I23"/>
    <mergeCell ref="H28:I28"/>
    <mergeCell ref="B29:E29"/>
    <mergeCell ref="H29:I29"/>
    <mergeCell ref="H26:I26"/>
    <mergeCell ref="B30:E30"/>
    <mergeCell ref="H30:I30"/>
    <mergeCell ref="B31:E31"/>
    <mergeCell ref="H31:I31"/>
    <mergeCell ref="B32:E32"/>
    <mergeCell ref="H32:I32"/>
    <mergeCell ref="B44:E44"/>
    <mergeCell ref="H44:I44"/>
    <mergeCell ref="B45:E45"/>
    <mergeCell ref="H45:I45"/>
    <mergeCell ref="B37:E37"/>
    <mergeCell ref="H37:I37"/>
    <mergeCell ref="B38:E38"/>
    <mergeCell ref="H38:I38"/>
    <mergeCell ref="H42:I42"/>
    <mergeCell ref="B42:E42"/>
    <mergeCell ref="B43:E43"/>
    <mergeCell ref="H43:I43"/>
  </mergeCells>
  <dataValidations xWindow="786" yWindow="461" count="11">
    <dataValidation type="textLength" operator="lessThan" allowBlank="1" showInputMessage="1" showErrorMessage="1" errorTitle="Error" error="Ha ingresado un valor incorrecto. Vuelva ha intentar." promptTitle="Entidad u Órgano" prompt="Ingresar el nombre de la Entidad u Órgano responsable de la operación y mantenimiento de la infraestructura de Protección._x000a_El texto no debe ser mayor a 150 caracteres." sqref="B78:M78">
      <formula1>150</formula1>
    </dataValidation>
    <dataValidation type="textLength" operator="lessThan" allowBlank="1" showInputMessage="1" showErrorMessage="1" errorTitle="Error" error="Ha ingresado un valor incorrecto. Vuelva ha intentar." promptTitle="Estado Situacional" prompt="Ingrese el Estado Situacional de la Condición de la columna izquierda que se usted ha seleccionado._x000a_El texto no debe contener más de 50 caracteres." sqref="H64:J68 H70:J74">
      <formula1>50</formula1>
    </dataValidation>
    <dataValidation type="custom" allowBlank="1" showInputMessage="1" showErrorMessage="1" errorTitle="Error" error="Ha ingresado un dato incorrecto. Vuelva ha intentarlo" promptTitle="Inicio" prompt="Ingrese la fecha iniciall propuesta para el proceso de descrito en la columna izquierda._x000a_Haga DOBLE CLICK para seleccionar la fecha." sqref="F35:F45">
      <formula1>AND(F35&lt;=$U$19,F35&gt;=$F$21)</formula1>
    </dataValidation>
    <dataValidation type="custom" allowBlank="1" showInputMessage="1" showErrorMessage="1" errorTitle="Error" error="Ha ingresado un dato incorrecto. Vuelva ha intentarlo" promptTitle="Inicio" prompt="Ingrese la fecha inicial propuesta para el proceso de descrito en la columna izquierda._x000a_Haga DOBLE CLICK para seleccionar la fecha." sqref="F28:F33 F22:F26">
      <formula1>AND(F22&lt;=$U$19,F22&gt;=$F$21)</formula1>
    </dataValidation>
    <dataValidation type="custom" allowBlank="1" showInputMessage="1" showErrorMessage="1" errorTitle="Error" error="Ha ingresado un dato incorrecto. Vuelva ha intentarlo" promptTitle="Fín" prompt="Ingrese la fecha final propuesta para el proceso de descrito en la columna izquierda._x000a_Haga DOBLE CLICK para seleccionar la fecha." sqref="G28:G33 G35:G45 G21:G26">
      <formula1>AND(G21&lt;=$U$19,G21&gt;=$F$21)</formula1>
    </dataValidation>
    <dataValidation type="list" allowBlank="1" showInputMessage="1" showErrorMessage="1" errorTitle="Error" error="Ha ingresado un valor no válido." promptTitle="Meses" prompt="Seleccione el número de meses que durará la fase de ejecución del proyecto de inversión." sqref="E15">
      <formula1>"-,1,2,3,4,5,6,7,8,9,10,11,12"</formula1>
    </dataValidation>
    <dataValidation type="list" allowBlank="1" showInputMessage="1" showErrorMessage="1" errorTitle="Error" error="Ha ingresado un valor no válido." promptTitle="Años" prompt="Seleccione el número de años que durará la fase de ejecución del proyecto de inversión." sqref="D15">
      <formula1>"-,1,2,3,4"</formula1>
    </dataValidation>
    <dataValidation type="date" operator="greaterThan" allowBlank="1" showInputMessage="1" showErrorMessage="1" errorTitle="Error" error="Ha ingresado un dato incorrecto. Vuelva a intentar." promptTitle="Inicio" prompt="Ingrese la fecha de Inicio propuesta para el proceso de descrito en la columna izquierda._x000a_Haga DOBLE CLICK para seleccionar la fecha." sqref="F21">
      <formula1>43466</formula1>
    </dataValidation>
    <dataValidation type="textLength" operator="lessThan" allowBlank="1" showInputMessage="1" showErrorMessage="1" errorTitle="Error" error="Ha ingresado un valor incorrecto. Vuelva a intentar." promptTitle="Órgano Responsable" prompt="Ingrese el nombre del Órgano Responsable de la Actividad del Plan de Implementación descrito en la columna de la izquierda._x000a_La longitud del texto no debe ser mayor a 50 caracteres." sqref="H21:I26">
      <formula1>50</formula1>
    </dataValidation>
    <dataValidation type="textLength" operator="lessThan" allowBlank="1" showInputMessage="1" showErrorMessage="1" errorTitle="Error" error="ha ingresado un vaor incorrecto. Vuelva ha intentar." promptTitle="Órgano Responsable" prompt="Ingrese el nombre del Órgano Responsable de la Actividad del Plan de Implementación descrito en la columna de la izquierda._x000a_La longitud del texto no debe ser mayor a 50 caracteres." sqref="H28:I33">
      <formula1>50</formula1>
    </dataValidation>
    <dataValidation type="textLength" operator="lessThan" allowBlank="1" showInputMessage="1" showErrorMessage="1" errorTitle="Error" error="Ha ingresado un valor incorrecto. Vuelva ha intentarlo." promptTitle="Órgano Responsable" prompt="Ingrese el nombre del Órgano Responsable de la Actividad del Plan de Implementación descrito en la columna de la izquierda._x000a_La longitud del texto no debe ser mayor a 50 caracteres." sqref="I35:I40 I43:I45 H35:H45">
      <formula1>50</formula1>
    </dataValidation>
  </dataValidations>
  <pageMargins left="0.70866141732283472" right="0.70866141732283472" top="0.74803149606299213" bottom="0.74803149606299213" header="0.31496062992125984" footer="0.31496062992125984"/>
  <pageSetup paperSize="9" scale="58"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69" r:id="rId4" name="Check Box 1">
              <controlPr defaultSize="0" autoFill="0" autoLine="0" autoPict="0">
                <anchor moveWithCells="1">
                  <from>
                    <xdr:col>6</xdr:col>
                    <xdr:colOff>276225</xdr:colOff>
                    <xdr:row>51</xdr:row>
                    <xdr:rowOff>28575</xdr:rowOff>
                  </from>
                  <to>
                    <xdr:col>6</xdr:col>
                    <xdr:colOff>438150</xdr:colOff>
                    <xdr:row>51</xdr:row>
                    <xdr:rowOff>171450</xdr:rowOff>
                  </to>
                </anchor>
              </controlPr>
            </control>
          </mc:Choice>
        </mc:AlternateContent>
        <mc:AlternateContent xmlns:mc="http://schemas.openxmlformats.org/markup-compatibility/2006">
          <mc:Choice Requires="x14">
            <control shapeId="58370" r:id="rId5" name="Check Box 2">
              <controlPr defaultSize="0" autoFill="0" autoLine="0" autoPict="0">
                <anchor moveWithCells="1">
                  <from>
                    <xdr:col>6</xdr:col>
                    <xdr:colOff>285750</xdr:colOff>
                    <xdr:row>52</xdr:row>
                    <xdr:rowOff>28575</xdr:rowOff>
                  </from>
                  <to>
                    <xdr:col>6</xdr:col>
                    <xdr:colOff>447675</xdr:colOff>
                    <xdr:row>52</xdr:row>
                    <xdr:rowOff>161925</xdr:rowOff>
                  </to>
                </anchor>
              </controlPr>
            </control>
          </mc:Choice>
        </mc:AlternateContent>
        <mc:AlternateContent xmlns:mc="http://schemas.openxmlformats.org/markup-compatibility/2006">
          <mc:Choice Requires="x14">
            <control shapeId="58371" r:id="rId6" name="Check Box 3">
              <controlPr defaultSize="0" autoFill="0" autoLine="0" autoPict="0">
                <anchor moveWithCells="1">
                  <from>
                    <xdr:col>6</xdr:col>
                    <xdr:colOff>285750</xdr:colOff>
                    <xdr:row>53</xdr:row>
                    <xdr:rowOff>38100</xdr:rowOff>
                  </from>
                  <to>
                    <xdr:col>6</xdr:col>
                    <xdr:colOff>447675</xdr:colOff>
                    <xdr:row>53</xdr:row>
                    <xdr:rowOff>171450</xdr:rowOff>
                  </to>
                </anchor>
              </controlPr>
            </control>
          </mc:Choice>
        </mc:AlternateContent>
        <mc:AlternateContent xmlns:mc="http://schemas.openxmlformats.org/markup-compatibility/2006">
          <mc:Choice Requires="x14">
            <control shapeId="58372" r:id="rId7" name="Check Box 4">
              <controlPr defaultSize="0" autoFill="0" autoLine="0" autoPict="0">
                <anchor moveWithCells="1">
                  <from>
                    <xdr:col>6</xdr:col>
                    <xdr:colOff>285750</xdr:colOff>
                    <xdr:row>54</xdr:row>
                    <xdr:rowOff>28575</xdr:rowOff>
                  </from>
                  <to>
                    <xdr:col>6</xdr:col>
                    <xdr:colOff>447675</xdr:colOff>
                    <xdr:row>54</xdr:row>
                    <xdr:rowOff>161925</xdr:rowOff>
                  </to>
                </anchor>
              </controlPr>
            </control>
          </mc:Choice>
        </mc:AlternateContent>
        <mc:AlternateContent xmlns:mc="http://schemas.openxmlformats.org/markup-compatibility/2006">
          <mc:Choice Requires="x14">
            <control shapeId="58373" r:id="rId8" name="Check Box 5">
              <controlPr defaultSize="0" autoFill="0" autoLine="0" autoPict="0">
                <anchor moveWithCells="1">
                  <from>
                    <xdr:col>6</xdr:col>
                    <xdr:colOff>295275</xdr:colOff>
                    <xdr:row>55</xdr:row>
                    <xdr:rowOff>28575</xdr:rowOff>
                  </from>
                  <to>
                    <xdr:col>6</xdr:col>
                    <xdr:colOff>457200</xdr:colOff>
                    <xdr:row>55</xdr:row>
                    <xdr:rowOff>161925</xdr:rowOff>
                  </to>
                </anchor>
              </controlPr>
            </control>
          </mc:Choice>
        </mc:AlternateContent>
        <mc:AlternateContent xmlns:mc="http://schemas.openxmlformats.org/markup-compatibility/2006">
          <mc:Choice Requires="x14">
            <control shapeId="58374" r:id="rId9" name="Check Box 6">
              <controlPr locked="0" defaultSize="0" autoFill="0" autoLine="0" autoPict="0" macro="[0]!Casilla6_Haga_clic_en">
                <anchor moveWithCells="1">
                  <from>
                    <xdr:col>6</xdr:col>
                    <xdr:colOff>304800</xdr:colOff>
                    <xdr:row>63</xdr:row>
                    <xdr:rowOff>28575</xdr:rowOff>
                  </from>
                  <to>
                    <xdr:col>6</xdr:col>
                    <xdr:colOff>466725</xdr:colOff>
                    <xdr:row>63</xdr:row>
                    <xdr:rowOff>161925</xdr:rowOff>
                  </to>
                </anchor>
              </controlPr>
            </control>
          </mc:Choice>
        </mc:AlternateContent>
        <mc:AlternateContent xmlns:mc="http://schemas.openxmlformats.org/markup-compatibility/2006">
          <mc:Choice Requires="x14">
            <control shapeId="58375" r:id="rId10" name="Check Box 7">
              <controlPr locked="0" defaultSize="0" autoFill="0" autoLine="0" autoPict="0" macro="[0]!Casilla7_Haga_clic_en">
                <anchor moveWithCells="1">
                  <from>
                    <xdr:col>6</xdr:col>
                    <xdr:colOff>304800</xdr:colOff>
                    <xdr:row>64</xdr:row>
                    <xdr:rowOff>19050</xdr:rowOff>
                  </from>
                  <to>
                    <xdr:col>6</xdr:col>
                    <xdr:colOff>466725</xdr:colOff>
                    <xdr:row>64</xdr:row>
                    <xdr:rowOff>152400</xdr:rowOff>
                  </to>
                </anchor>
              </controlPr>
            </control>
          </mc:Choice>
        </mc:AlternateContent>
        <mc:AlternateContent xmlns:mc="http://schemas.openxmlformats.org/markup-compatibility/2006">
          <mc:Choice Requires="x14">
            <control shapeId="58376" r:id="rId11" name="Check Box 8">
              <controlPr locked="0" defaultSize="0" autoFill="0" autoLine="0" autoPict="0" macro="[0]!Casilla8_Haga_clic_en">
                <anchor moveWithCells="1">
                  <from>
                    <xdr:col>6</xdr:col>
                    <xdr:colOff>304800</xdr:colOff>
                    <xdr:row>65</xdr:row>
                    <xdr:rowOff>28575</xdr:rowOff>
                  </from>
                  <to>
                    <xdr:col>6</xdr:col>
                    <xdr:colOff>466725</xdr:colOff>
                    <xdr:row>65</xdr:row>
                    <xdr:rowOff>161925</xdr:rowOff>
                  </to>
                </anchor>
              </controlPr>
            </control>
          </mc:Choice>
        </mc:AlternateContent>
        <mc:AlternateContent xmlns:mc="http://schemas.openxmlformats.org/markup-compatibility/2006">
          <mc:Choice Requires="x14">
            <control shapeId="58377" r:id="rId12" name="Check Box 9">
              <controlPr locked="0" defaultSize="0" autoFill="0" autoLine="0" autoPict="0" macro="[0]!Casilla9_Haga_clic_en">
                <anchor moveWithCells="1">
                  <from>
                    <xdr:col>6</xdr:col>
                    <xdr:colOff>304800</xdr:colOff>
                    <xdr:row>66</xdr:row>
                    <xdr:rowOff>28575</xdr:rowOff>
                  </from>
                  <to>
                    <xdr:col>6</xdr:col>
                    <xdr:colOff>466725</xdr:colOff>
                    <xdr:row>66</xdr:row>
                    <xdr:rowOff>161925</xdr:rowOff>
                  </to>
                </anchor>
              </controlPr>
            </control>
          </mc:Choice>
        </mc:AlternateContent>
        <mc:AlternateContent xmlns:mc="http://schemas.openxmlformats.org/markup-compatibility/2006">
          <mc:Choice Requires="x14">
            <control shapeId="58378" r:id="rId13" name="Check Box 10">
              <controlPr locked="0" defaultSize="0" autoFill="0" autoLine="0" autoPict="0" macro="[0]!Casilla10_Haga_clic_en">
                <anchor moveWithCells="1">
                  <from>
                    <xdr:col>6</xdr:col>
                    <xdr:colOff>304800</xdr:colOff>
                    <xdr:row>67</xdr:row>
                    <xdr:rowOff>28575</xdr:rowOff>
                  </from>
                  <to>
                    <xdr:col>6</xdr:col>
                    <xdr:colOff>466725</xdr:colOff>
                    <xdr:row>67</xdr:row>
                    <xdr:rowOff>161925</xdr:rowOff>
                  </to>
                </anchor>
              </controlPr>
            </control>
          </mc:Choice>
        </mc:AlternateContent>
        <mc:AlternateContent xmlns:mc="http://schemas.openxmlformats.org/markup-compatibility/2006">
          <mc:Choice Requires="x14">
            <control shapeId="58383" r:id="rId14" name="Check Box 15">
              <controlPr defaultSize="0" autoFill="0" autoLine="0" autoPict="0">
                <anchor moveWithCells="1">
                  <from>
                    <xdr:col>6</xdr:col>
                    <xdr:colOff>285750</xdr:colOff>
                    <xdr:row>84</xdr:row>
                    <xdr:rowOff>28575</xdr:rowOff>
                  </from>
                  <to>
                    <xdr:col>6</xdr:col>
                    <xdr:colOff>447675</xdr:colOff>
                    <xdr:row>84</xdr:row>
                    <xdr:rowOff>171450</xdr:rowOff>
                  </to>
                </anchor>
              </controlPr>
            </control>
          </mc:Choice>
        </mc:AlternateContent>
        <mc:AlternateContent xmlns:mc="http://schemas.openxmlformats.org/markup-compatibility/2006">
          <mc:Choice Requires="x14">
            <control shapeId="58384" r:id="rId15" name="Check Box 16">
              <controlPr defaultSize="0" autoFill="0" autoLine="0" autoPict="0">
                <anchor moveWithCells="1">
                  <from>
                    <xdr:col>6</xdr:col>
                    <xdr:colOff>276225</xdr:colOff>
                    <xdr:row>85</xdr:row>
                    <xdr:rowOff>19050</xdr:rowOff>
                  </from>
                  <to>
                    <xdr:col>6</xdr:col>
                    <xdr:colOff>438150</xdr:colOff>
                    <xdr:row>85</xdr:row>
                    <xdr:rowOff>152400</xdr:rowOff>
                  </to>
                </anchor>
              </controlPr>
            </control>
          </mc:Choice>
        </mc:AlternateContent>
        <mc:AlternateContent xmlns:mc="http://schemas.openxmlformats.org/markup-compatibility/2006">
          <mc:Choice Requires="x14">
            <control shapeId="58385" r:id="rId16" name="Check Box 17">
              <controlPr defaultSize="0" autoFill="0" autoLine="0" autoPict="0">
                <anchor moveWithCells="1">
                  <from>
                    <xdr:col>6</xdr:col>
                    <xdr:colOff>285750</xdr:colOff>
                    <xdr:row>86</xdr:row>
                    <xdr:rowOff>28575</xdr:rowOff>
                  </from>
                  <to>
                    <xdr:col>6</xdr:col>
                    <xdr:colOff>447675</xdr:colOff>
                    <xdr:row>86</xdr:row>
                    <xdr:rowOff>161925</xdr:rowOff>
                  </to>
                </anchor>
              </controlPr>
            </control>
          </mc:Choice>
        </mc:AlternateContent>
        <mc:AlternateContent xmlns:mc="http://schemas.openxmlformats.org/markup-compatibility/2006">
          <mc:Choice Requires="x14">
            <control shapeId="58386" r:id="rId17" name="Check Box 18">
              <controlPr defaultSize="0" autoFill="0" autoLine="0" autoPict="0">
                <anchor moveWithCells="1">
                  <from>
                    <xdr:col>6</xdr:col>
                    <xdr:colOff>285750</xdr:colOff>
                    <xdr:row>87</xdr:row>
                    <xdr:rowOff>19050</xdr:rowOff>
                  </from>
                  <to>
                    <xdr:col>6</xdr:col>
                    <xdr:colOff>447675</xdr:colOff>
                    <xdr:row>87</xdr:row>
                    <xdr:rowOff>152400</xdr:rowOff>
                  </to>
                </anchor>
              </controlPr>
            </control>
          </mc:Choice>
        </mc:AlternateContent>
        <mc:AlternateContent xmlns:mc="http://schemas.openxmlformats.org/markup-compatibility/2006">
          <mc:Choice Requires="x14">
            <control shapeId="58387" r:id="rId18" name="Check Box 19">
              <controlPr defaultSize="0" autoFill="0" autoLine="0" autoPict="0">
                <anchor moveWithCells="1">
                  <from>
                    <xdr:col>6</xdr:col>
                    <xdr:colOff>285750</xdr:colOff>
                    <xdr:row>88</xdr:row>
                    <xdr:rowOff>28575</xdr:rowOff>
                  </from>
                  <to>
                    <xdr:col>6</xdr:col>
                    <xdr:colOff>447675</xdr:colOff>
                    <xdr:row>88</xdr:row>
                    <xdr:rowOff>161925</xdr:rowOff>
                  </to>
                </anchor>
              </controlPr>
            </control>
          </mc:Choice>
        </mc:AlternateContent>
        <mc:AlternateContent xmlns:mc="http://schemas.openxmlformats.org/markup-compatibility/2006">
          <mc:Choice Requires="x14">
            <control shapeId="58393" r:id="rId19" name="Check Box 25">
              <controlPr locked="0" defaultSize="0" autoFill="0" autoLine="0" autoPict="0" macro="[0]!Casilla25_Haga_clic_en">
                <anchor moveWithCells="1">
                  <from>
                    <xdr:col>6</xdr:col>
                    <xdr:colOff>295275</xdr:colOff>
                    <xdr:row>69</xdr:row>
                    <xdr:rowOff>19050</xdr:rowOff>
                  </from>
                  <to>
                    <xdr:col>6</xdr:col>
                    <xdr:colOff>457200</xdr:colOff>
                    <xdr:row>69</xdr:row>
                    <xdr:rowOff>152400</xdr:rowOff>
                  </to>
                </anchor>
              </controlPr>
            </control>
          </mc:Choice>
        </mc:AlternateContent>
        <mc:AlternateContent xmlns:mc="http://schemas.openxmlformats.org/markup-compatibility/2006">
          <mc:Choice Requires="x14">
            <control shapeId="58394" r:id="rId20" name="Check Box 26">
              <controlPr locked="0" defaultSize="0" autoFill="0" autoLine="0" autoPict="0" macro="[0]!Casilla26_Haga_clic_en">
                <anchor moveWithCells="1">
                  <from>
                    <xdr:col>6</xdr:col>
                    <xdr:colOff>285750</xdr:colOff>
                    <xdr:row>70</xdr:row>
                    <xdr:rowOff>28575</xdr:rowOff>
                  </from>
                  <to>
                    <xdr:col>6</xdr:col>
                    <xdr:colOff>447675</xdr:colOff>
                    <xdr:row>70</xdr:row>
                    <xdr:rowOff>161925</xdr:rowOff>
                  </to>
                </anchor>
              </controlPr>
            </control>
          </mc:Choice>
        </mc:AlternateContent>
        <mc:AlternateContent xmlns:mc="http://schemas.openxmlformats.org/markup-compatibility/2006">
          <mc:Choice Requires="x14">
            <control shapeId="58395" r:id="rId21" name="Check Box 27">
              <controlPr locked="0" defaultSize="0" autoFill="0" autoLine="0" autoPict="0" macro="[0]!Casilla27_Haga_clic_en">
                <anchor moveWithCells="1">
                  <from>
                    <xdr:col>6</xdr:col>
                    <xdr:colOff>285750</xdr:colOff>
                    <xdr:row>71</xdr:row>
                    <xdr:rowOff>47625</xdr:rowOff>
                  </from>
                  <to>
                    <xdr:col>6</xdr:col>
                    <xdr:colOff>447675</xdr:colOff>
                    <xdr:row>71</xdr:row>
                    <xdr:rowOff>180975</xdr:rowOff>
                  </to>
                </anchor>
              </controlPr>
            </control>
          </mc:Choice>
        </mc:AlternateContent>
        <mc:AlternateContent xmlns:mc="http://schemas.openxmlformats.org/markup-compatibility/2006">
          <mc:Choice Requires="x14">
            <control shapeId="58396" r:id="rId22" name="Check Box 28">
              <controlPr locked="0" defaultSize="0" autoFill="0" autoLine="0" autoPict="0" macro="[0]!Casilla28_Haga_clic_en">
                <anchor moveWithCells="1">
                  <from>
                    <xdr:col>6</xdr:col>
                    <xdr:colOff>285750</xdr:colOff>
                    <xdr:row>72</xdr:row>
                    <xdr:rowOff>28575</xdr:rowOff>
                  </from>
                  <to>
                    <xdr:col>6</xdr:col>
                    <xdr:colOff>447675</xdr:colOff>
                    <xdr:row>72</xdr:row>
                    <xdr:rowOff>161925</xdr:rowOff>
                  </to>
                </anchor>
              </controlPr>
            </control>
          </mc:Choice>
        </mc:AlternateContent>
        <mc:AlternateContent xmlns:mc="http://schemas.openxmlformats.org/markup-compatibility/2006">
          <mc:Choice Requires="x14">
            <control shapeId="58397" r:id="rId23" name="Check Box 29">
              <controlPr locked="0" defaultSize="0" autoFill="0" autoLine="0" autoPict="0" macro="[0]!Casilla29_Haga_clic_en">
                <anchor moveWithCells="1">
                  <from>
                    <xdr:col>6</xdr:col>
                    <xdr:colOff>295275</xdr:colOff>
                    <xdr:row>73</xdr:row>
                    <xdr:rowOff>28575</xdr:rowOff>
                  </from>
                  <to>
                    <xdr:col>6</xdr:col>
                    <xdr:colOff>457200</xdr:colOff>
                    <xdr:row>73</xdr:row>
                    <xdr:rowOff>161925</xdr:rowOff>
                  </to>
                </anchor>
              </controlPr>
            </control>
          </mc:Choice>
        </mc:AlternateContent>
        <mc:AlternateContent xmlns:mc="http://schemas.openxmlformats.org/markup-compatibility/2006">
          <mc:Choice Requires="x14">
            <control shapeId="58399" r:id="rId24" name="Check Box 31">
              <controlPr defaultSize="0" autoFill="0" autoLine="0" autoPict="0">
                <anchor moveWithCells="1">
                  <from>
                    <xdr:col>3</xdr:col>
                    <xdr:colOff>542925</xdr:colOff>
                    <xdr:row>13</xdr:row>
                    <xdr:rowOff>0</xdr:rowOff>
                  </from>
                  <to>
                    <xdr:col>3</xdr:col>
                    <xdr:colOff>704850</xdr:colOff>
                    <xdr:row>13</xdr:row>
                    <xdr:rowOff>142875</xdr:rowOff>
                  </to>
                </anchor>
              </controlPr>
            </control>
          </mc:Choice>
        </mc:AlternateContent>
        <mc:AlternateContent xmlns:mc="http://schemas.openxmlformats.org/markup-compatibility/2006">
          <mc:Choice Requires="x14">
            <control shapeId="58400" r:id="rId25" name="Check Box 32">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01" r:id="rId26" name="Check Box 33">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02" r:id="rId27" name="Check Box 34">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03" r:id="rId28" name="Check Box 35">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04" r:id="rId29" name="Check Box 36">
              <controlPr defaultSize="0" autoFill="0" autoLine="0" autoPict="0">
                <anchor moveWithCells="1">
                  <from>
                    <xdr:col>3</xdr:col>
                    <xdr:colOff>542925</xdr:colOff>
                    <xdr:row>13</xdr:row>
                    <xdr:rowOff>0</xdr:rowOff>
                  </from>
                  <to>
                    <xdr:col>3</xdr:col>
                    <xdr:colOff>704850</xdr:colOff>
                    <xdr:row>13</xdr:row>
                    <xdr:rowOff>142875</xdr:rowOff>
                  </to>
                </anchor>
              </controlPr>
            </control>
          </mc:Choice>
        </mc:AlternateContent>
        <mc:AlternateContent xmlns:mc="http://schemas.openxmlformats.org/markup-compatibility/2006">
          <mc:Choice Requires="x14">
            <control shapeId="58405" r:id="rId30" name="Check Box 37">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06" r:id="rId31" name="Check Box 38">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07" r:id="rId32" name="Check Box 39">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08" r:id="rId33" name="Check Box 40">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09" r:id="rId34" name="Check Box 41">
              <controlPr defaultSize="0" autoFill="0" autoLine="0" autoPict="0">
                <anchor moveWithCells="1">
                  <from>
                    <xdr:col>3</xdr:col>
                    <xdr:colOff>542925</xdr:colOff>
                    <xdr:row>13</xdr:row>
                    <xdr:rowOff>0</xdr:rowOff>
                  </from>
                  <to>
                    <xdr:col>3</xdr:col>
                    <xdr:colOff>704850</xdr:colOff>
                    <xdr:row>13</xdr:row>
                    <xdr:rowOff>142875</xdr:rowOff>
                  </to>
                </anchor>
              </controlPr>
            </control>
          </mc:Choice>
        </mc:AlternateContent>
        <mc:AlternateContent xmlns:mc="http://schemas.openxmlformats.org/markup-compatibility/2006">
          <mc:Choice Requires="x14">
            <control shapeId="58410" r:id="rId35" name="Check Box 42">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11" r:id="rId36" name="Check Box 43">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12" r:id="rId37" name="Check Box 44">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13" r:id="rId38" name="Check Box 45">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14" r:id="rId39" name="Check Box 46">
              <controlPr defaultSize="0" autoFill="0" autoLine="0" autoPict="0">
                <anchor moveWithCells="1">
                  <from>
                    <xdr:col>3</xdr:col>
                    <xdr:colOff>533400</xdr:colOff>
                    <xdr:row>13</xdr:row>
                    <xdr:rowOff>0</xdr:rowOff>
                  </from>
                  <to>
                    <xdr:col>3</xdr:col>
                    <xdr:colOff>695325</xdr:colOff>
                    <xdr:row>13</xdr:row>
                    <xdr:rowOff>142875</xdr:rowOff>
                  </to>
                </anchor>
              </controlPr>
            </control>
          </mc:Choice>
        </mc:AlternateContent>
        <mc:AlternateContent xmlns:mc="http://schemas.openxmlformats.org/markup-compatibility/2006">
          <mc:Choice Requires="x14">
            <control shapeId="58415" r:id="rId40" name="Check Box 47">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16" r:id="rId41" name="Check Box 48">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17" r:id="rId42" name="Check Box 49">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18" r:id="rId43" name="Check Box 50">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19" r:id="rId44" name="Check Box 51">
              <controlPr defaultSize="0" autoFill="0" autoLine="0" autoPict="0">
                <anchor moveWithCells="1">
                  <from>
                    <xdr:col>3</xdr:col>
                    <xdr:colOff>533400</xdr:colOff>
                    <xdr:row>13</xdr:row>
                    <xdr:rowOff>0</xdr:rowOff>
                  </from>
                  <to>
                    <xdr:col>3</xdr:col>
                    <xdr:colOff>695325</xdr:colOff>
                    <xdr:row>13</xdr:row>
                    <xdr:rowOff>142875</xdr:rowOff>
                  </to>
                </anchor>
              </controlPr>
            </control>
          </mc:Choice>
        </mc:AlternateContent>
        <mc:AlternateContent xmlns:mc="http://schemas.openxmlformats.org/markup-compatibility/2006">
          <mc:Choice Requires="x14">
            <control shapeId="58420" r:id="rId45" name="Check Box 52">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21" r:id="rId46" name="Check Box 53">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22" r:id="rId47" name="Check Box 54">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23" r:id="rId48" name="Check Box 55">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24" r:id="rId49" name="Check Box 56">
              <controlPr defaultSize="0" autoFill="0" autoLine="0" autoPict="0">
                <anchor moveWithCells="1">
                  <from>
                    <xdr:col>3</xdr:col>
                    <xdr:colOff>542925</xdr:colOff>
                    <xdr:row>13</xdr:row>
                    <xdr:rowOff>0</xdr:rowOff>
                  </from>
                  <to>
                    <xdr:col>3</xdr:col>
                    <xdr:colOff>704850</xdr:colOff>
                    <xdr:row>13</xdr:row>
                    <xdr:rowOff>142875</xdr:rowOff>
                  </to>
                </anchor>
              </controlPr>
            </control>
          </mc:Choice>
        </mc:AlternateContent>
        <mc:AlternateContent xmlns:mc="http://schemas.openxmlformats.org/markup-compatibility/2006">
          <mc:Choice Requires="x14">
            <control shapeId="58425" r:id="rId50" name="Check Box 57">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26" r:id="rId51" name="Check Box 58">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27" r:id="rId52" name="Check Box 59">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mc:AlternateContent xmlns:mc="http://schemas.openxmlformats.org/markup-compatibility/2006">
          <mc:Choice Requires="x14">
            <control shapeId="58428" r:id="rId53" name="Check Box 60">
              <controlPr defaultSize="0" autoFill="0" autoLine="0" autoPict="0">
                <anchor moveWithCells="1">
                  <from>
                    <xdr:col>3</xdr:col>
                    <xdr:colOff>542925</xdr:colOff>
                    <xdr:row>13</xdr:row>
                    <xdr:rowOff>0</xdr:rowOff>
                  </from>
                  <to>
                    <xdr:col>3</xdr:col>
                    <xdr:colOff>704850</xdr:colOff>
                    <xdr:row>13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XFD75"/>
  <sheetViews>
    <sheetView showGridLines="0" zoomScaleNormal="100" zoomScaleSheetLayoutView="85" workbookViewId="0">
      <pane ySplit="9" topLeftCell="A22" activePane="bottomLeft" state="frozen"/>
      <selection sqref="A1:XFD1048576"/>
      <selection pane="bottomLeft" activeCell="E20" sqref="E20"/>
    </sheetView>
  </sheetViews>
  <sheetFormatPr baseColWidth="10" defaultColWidth="10.85546875" defaultRowHeight="15" x14ac:dyDescent="0.25"/>
  <cols>
    <col min="1" max="16384" width="10.85546875" style="50"/>
  </cols>
  <sheetData>
    <row r="1" spans="1:15" x14ac:dyDescent="0.25">
      <c r="A1" s="275"/>
      <c r="B1" s="275"/>
      <c r="C1" s="275"/>
      <c r="D1" s="275"/>
      <c r="E1" s="275"/>
      <c r="F1" s="275"/>
      <c r="G1" s="275"/>
      <c r="H1" s="275"/>
      <c r="I1" s="275"/>
      <c r="J1" s="275"/>
      <c r="K1" s="275"/>
      <c r="L1" s="275"/>
      <c r="M1" s="275"/>
      <c r="N1" s="275"/>
      <c r="O1" s="275"/>
    </row>
    <row r="2" spans="1:15" x14ac:dyDescent="0.25">
      <c r="A2" s="275"/>
      <c r="B2" s="275"/>
      <c r="C2" s="275"/>
      <c r="D2" s="275"/>
      <c r="E2" s="275"/>
      <c r="F2" s="275"/>
      <c r="G2" s="275"/>
      <c r="H2" s="275"/>
      <c r="I2" s="275"/>
      <c r="J2" s="275"/>
      <c r="K2" s="275"/>
      <c r="L2" s="275"/>
      <c r="M2" s="275"/>
      <c r="N2" s="275"/>
      <c r="O2" s="275"/>
    </row>
    <row r="3" spans="1:15" x14ac:dyDescent="0.25">
      <c r="A3" s="275"/>
      <c r="B3" s="275"/>
      <c r="C3" s="275"/>
      <c r="D3" s="275"/>
      <c r="E3" s="275"/>
      <c r="F3" s="275"/>
      <c r="G3" s="275"/>
      <c r="H3" s="275"/>
      <c r="I3" s="275"/>
      <c r="J3" s="275"/>
      <c r="K3" s="275"/>
      <c r="L3" s="275"/>
      <c r="M3" s="275"/>
      <c r="N3" s="275"/>
      <c r="O3" s="275"/>
    </row>
    <row r="4" spans="1:15" x14ac:dyDescent="0.25">
      <c r="A4" s="275"/>
      <c r="B4" s="275"/>
      <c r="C4" s="275"/>
      <c r="D4" s="275"/>
      <c r="E4" s="275"/>
      <c r="F4" s="275"/>
      <c r="G4" s="275"/>
      <c r="H4" s="275"/>
      <c r="I4" s="275"/>
      <c r="J4" s="275"/>
      <c r="K4" s="275"/>
      <c r="L4" s="275"/>
      <c r="M4" s="275"/>
      <c r="N4" s="275"/>
      <c r="O4" s="275"/>
    </row>
    <row r="5" spans="1:15" x14ac:dyDescent="0.25">
      <c r="A5" s="275"/>
      <c r="B5" s="275"/>
      <c r="C5" s="275"/>
      <c r="D5" s="275"/>
      <c r="E5" s="275"/>
      <c r="F5" s="275"/>
      <c r="G5" s="275"/>
      <c r="H5" s="275"/>
      <c r="I5" s="275"/>
      <c r="J5" s="275"/>
      <c r="K5" s="275"/>
      <c r="L5" s="275"/>
      <c r="M5" s="275"/>
      <c r="N5" s="275"/>
      <c r="O5" s="275"/>
    </row>
    <row r="6" spans="1:15" x14ac:dyDescent="0.25">
      <c r="A6" s="275"/>
      <c r="B6" s="275"/>
      <c r="C6" s="275"/>
      <c r="D6" s="275"/>
      <c r="E6" s="275"/>
      <c r="F6" s="275"/>
      <c r="G6" s="275"/>
      <c r="H6" s="275"/>
      <c r="I6" s="275"/>
      <c r="J6" s="275"/>
      <c r="K6" s="275"/>
      <c r="L6" s="275"/>
      <c r="M6" s="275"/>
      <c r="N6" s="275"/>
      <c r="O6" s="275"/>
    </row>
    <row r="7" spans="1:15" x14ac:dyDescent="0.25">
      <c r="A7" s="275"/>
      <c r="B7" s="275"/>
      <c r="C7" s="275"/>
      <c r="D7" s="275"/>
      <c r="E7" s="275"/>
      <c r="F7" s="275"/>
      <c r="G7" s="275"/>
      <c r="H7" s="275"/>
      <c r="I7" s="275"/>
      <c r="J7" s="275"/>
      <c r="K7" s="275"/>
      <c r="L7" s="275"/>
      <c r="M7" s="275"/>
      <c r="N7" s="275"/>
      <c r="O7" s="275"/>
    </row>
    <row r="8" spans="1:15" x14ac:dyDescent="0.25">
      <c r="A8" s="275"/>
      <c r="B8" s="275"/>
      <c r="C8" s="275"/>
      <c r="D8" s="275"/>
      <c r="E8" s="275"/>
      <c r="F8" s="275"/>
      <c r="G8" s="275"/>
      <c r="H8" s="275"/>
      <c r="I8" s="275"/>
      <c r="J8" s="275"/>
      <c r="K8" s="275"/>
      <c r="L8" s="275"/>
      <c r="M8" s="275"/>
      <c r="N8" s="275"/>
      <c r="O8" s="275"/>
    </row>
    <row r="9" spans="1:15" x14ac:dyDescent="0.25">
      <c r="A9" s="275"/>
      <c r="B9" s="275"/>
      <c r="C9" s="275"/>
      <c r="D9" s="275"/>
      <c r="E9" s="275"/>
      <c r="F9" s="275"/>
      <c r="G9" s="275"/>
      <c r="H9" s="275"/>
      <c r="I9" s="275"/>
      <c r="J9" s="275"/>
      <c r="K9" s="275"/>
      <c r="L9" s="275"/>
      <c r="M9" s="275"/>
      <c r="N9" s="275"/>
      <c r="O9" s="275"/>
    </row>
    <row r="10" spans="1:15" s="82" customFormat="1" ht="18.75" x14ac:dyDescent="0.3">
      <c r="B10" s="82" t="s">
        <v>4916</v>
      </c>
    </row>
    <row r="12" spans="1:15" ht="23.45" customHeight="1" x14ac:dyDescent="0.25">
      <c r="A12" s="631"/>
      <c r="B12" s="633" t="s">
        <v>5318</v>
      </c>
      <c r="C12" s="634"/>
      <c r="D12" s="647"/>
      <c r="E12" s="635"/>
      <c r="F12" s="634"/>
      <c r="G12" s="648"/>
      <c r="H12" s="636"/>
      <c r="I12" s="649"/>
      <c r="J12" s="637" t="s">
        <v>28</v>
      </c>
      <c r="K12" s="650" t="s">
        <v>29</v>
      </c>
      <c r="L12" s="638"/>
      <c r="M12" s="638"/>
      <c r="N12" s="631"/>
      <c r="O12" s="631"/>
    </row>
    <row r="13" spans="1:15" ht="9" customHeight="1" x14ac:dyDescent="0.25">
      <c r="A13" s="631"/>
      <c r="B13" s="638"/>
      <c r="C13" s="638"/>
      <c r="D13" s="638"/>
      <c r="E13" s="639"/>
      <c r="F13" s="638"/>
      <c r="G13" s="638"/>
      <c r="H13" s="638"/>
      <c r="I13" s="638"/>
      <c r="J13" s="638"/>
      <c r="K13" s="638"/>
      <c r="L13" s="638"/>
      <c r="M13" s="638"/>
      <c r="N13" s="631"/>
      <c r="O13" s="631"/>
    </row>
    <row r="14" spans="1:15" ht="27" customHeight="1" x14ac:dyDescent="0.25">
      <c r="A14" s="631"/>
      <c r="B14" s="1678" t="s">
        <v>5319</v>
      </c>
      <c r="C14" s="1678"/>
      <c r="D14" s="1678"/>
      <c r="E14" s="1678"/>
      <c r="F14" s="1678"/>
      <c r="G14" s="1678"/>
      <c r="H14" s="1678"/>
      <c r="I14" s="1678"/>
      <c r="J14" s="1678"/>
      <c r="K14" s="1678"/>
      <c r="L14" s="1678"/>
      <c r="M14" s="1678"/>
      <c r="N14" s="631"/>
      <c r="O14" s="631"/>
    </row>
    <row r="15" spans="1:15" ht="9" customHeight="1" x14ac:dyDescent="0.25">
      <c r="A15" s="631"/>
      <c r="B15" s="640"/>
      <c r="C15" s="640"/>
      <c r="D15" s="640"/>
      <c r="E15" s="640"/>
      <c r="F15" s="640"/>
      <c r="G15" s="640"/>
      <c r="H15" s="640"/>
      <c r="I15" s="640"/>
      <c r="J15" s="640"/>
      <c r="K15" s="640"/>
      <c r="L15" s="640"/>
      <c r="M15" s="640"/>
      <c r="N15" s="631"/>
      <c r="O15" s="631"/>
    </row>
    <row r="16" spans="1:15" x14ac:dyDescent="0.25">
      <c r="A16" s="631"/>
      <c r="B16" s="641" t="s">
        <v>5320</v>
      </c>
      <c r="C16" s="641"/>
      <c r="D16" s="640"/>
      <c r="E16" s="640"/>
      <c r="F16" s="640"/>
      <c r="G16" s="640"/>
      <c r="H16" s="640"/>
      <c r="I16" s="640"/>
      <c r="J16" s="640"/>
      <c r="K16" s="640"/>
      <c r="L16" s="640"/>
      <c r="M16" s="640"/>
      <c r="N16" s="631"/>
      <c r="O16" s="631"/>
    </row>
    <row r="17" spans="1:15" ht="9" customHeight="1" x14ac:dyDescent="0.25">
      <c r="A17" s="631"/>
      <c r="B17" s="640"/>
      <c r="C17" s="640"/>
      <c r="D17" s="640"/>
      <c r="E17" s="640"/>
      <c r="F17" s="640"/>
      <c r="G17" s="640"/>
      <c r="H17" s="640"/>
      <c r="I17" s="640"/>
      <c r="J17" s="640"/>
      <c r="K17" s="640"/>
      <c r="L17" s="640"/>
      <c r="M17" s="640"/>
      <c r="N17" s="631"/>
      <c r="O17" s="631"/>
    </row>
    <row r="18" spans="1:15" ht="63.75" x14ac:dyDescent="0.25">
      <c r="A18" s="631"/>
      <c r="B18" s="1679" t="s">
        <v>64</v>
      </c>
      <c r="C18" s="1679"/>
      <c r="D18" s="1679"/>
      <c r="E18" s="642" t="s">
        <v>5321</v>
      </c>
      <c r="F18" s="642" t="s">
        <v>5331</v>
      </c>
      <c r="G18" s="640"/>
      <c r="H18" s="642" t="s">
        <v>5332</v>
      </c>
      <c r="I18" s="640"/>
      <c r="J18" s="640"/>
      <c r="K18" s="640"/>
      <c r="L18" s="640"/>
      <c r="M18" s="640"/>
      <c r="N18" s="631"/>
      <c r="O18" s="631"/>
    </row>
    <row r="19" spans="1:15" ht="9" customHeight="1" x14ac:dyDescent="0.25">
      <c r="A19" s="631"/>
      <c r="B19" s="638"/>
      <c r="C19" s="638"/>
      <c r="D19" s="638"/>
      <c r="E19" s="639"/>
      <c r="F19" s="639"/>
      <c r="G19" s="638"/>
      <c r="H19" s="639"/>
      <c r="I19" s="638"/>
      <c r="J19" s="638"/>
      <c r="K19" s="638"/>
      <c r="L19" s="638"/>
      <c r="M19" s="638"/>
      <c r="N19" s="631"/>
      <c r="O19" s="631"/>
    </row>
    <row r="20" spans="1:15" ht="34.5" customHeight="1" x14ac:dyDescent="0.25">
      <c r="A20" s="631"/>
      <c r="B20" s="1674" t="s">
        <v>5621</v>
      </c>
      <c r="C20" s="1674"/>
      <c r="D20" s="1674"/>
      <c r="E20" s="656"/>
      <c r="F20" s="656">
        <v>22825259</v>
      </c>
      <c r="G20" s="640"/>
      <c r="H20" s="656">
        <f>'UNIDAD PRODUCTORA'!F45</f>
        <v>0</v>
      </c>
      <c r="I20" s="640"/>
      <c r="J20" s="640"/>
      <c r="K20" s="640"/>
      <c r="L20" s="640"/>
      <c r="M20" s="640"/>
      <c r="N20" s="631"/>
      <c r="O20" s="631"/>
    </row>
    <row r="21" spans="1:15" x14ac:dyDescent="0.25">
      <c r="A21" s="631"/>
      <c r="B21" s="640"/>
      <c r="C21" s="640"/>
      <c r="D21" s="640"/>
      <c r="E21" s="640"/>
      <c r="F21" s="640"/>
      <c r="G21" s="640"/>
      <c r="H21" s="640"/>
      <c r="I21" s="640"/>
      <c r="J21" s="640"/>
      <c r="K21" s="640"/>
      <c r="L21" s="640"/>
      <c r="M21" s="640"/>
      <c r="N21" s="631"/>
      <c r="O21" s="631"/>
    </row>
    <row r="22" spans="1:15" x14ac:dyDescent="0.25">
      <c r="A22" s="631"/>
      <c r="B22" s="641" t="s">
        <v>5322</v>
      </c>
      <c r="C22" s="10"/>
      <c r="D22" s="10"/>
      <c r="E22" s="4"/>
      <c r="F22" s="10"/>
      <c r="G22" s="10"/>
      <c r="H22" s="10"/>
      <c r="I22" s="10"/>
      <c r="J22" s="643"/>
      <c r="K22" s="10"/>
      <c r="L22" s="3"/>
      <c r="M22" s="644"/>
      <c r="N22" s="631"/>
      <c r="O22" s="631"/>
    </row>
    <row r="23" spans="1:15" ht="9" customHeight="1" x14ac:dyDescent="0.25">
      <c r="A23" s="631"/>
      <c r="B23" s="10"/>
      <c r="C23" s="10"/>
      <c r="D23" s="10"/>
      <c r="E23" s="4"/>
      <c r="F23" s="10"/>
      <c r="G23" s="10"/>
      <c r="H23" s="10"/>
      <c r="I23" s="10"/>
      <c r="J23" s="643"/>
      <c r="K23" s="10"/>
      <c r="L23" s="3"/>
      <c r="M23" s="644"/>
      <c r="N23" s="631"/>
      <c r="O23" s="631"/>
    </row>
    <row r="24" spans="1:15" x14ac:dyDescent="0.25">
      <c r="A24" s="6"/>
      <c r="B24" s="1680" t="s">
        <v>5323</v>
      </c>
      <c r="C24" s="1680"/>
      <c r="D24" s="1680"/>
      <c r="E24" s="645">
        <v>0</v>
      </c>
      <c r="F24" s="645">
        <v>1</v>
      </c>
      <c r="G24" s="645">
        <v>2</v>
      </c>
      <c r="H24" s="645">
        <v>3</v>
      </c>
      <c r="I24" s="645">
        <v>4</v>
      </c>
      <c r="J24" s="645">
        <v>5</v>
      </c>
      <c r="K24" s="645">
        <v>6</v>
      </c>
      <c r="L24" s="645">
        <v>7</v>
      </c>
      <c r="M24" s="645">
        <v>8</v>
      </c>
      <c r="N24" s="645">
        <v>9</v>
      </c>
      <c r="O24" s="645">
        <v>10</v>
      </c>
    </row>
    <row r="25" spans="1:15" ht="9" customHeight="1" x14ac:dyDescent="0.25">
      <c r="A25" s="631"/>
      <c r="B25" s="638"/>
      <c r="C25" s="638"/>
      <c r="D25" s="638"/>
      <c r="E25" s="639"/>
      <c r="F25" s="638"/>
      <c r="G25" s="638"/>
      <c r="H25" s="638"/>
      <c r="I25" s="638"/>
      <c r="J25" s="638"/>
      <c r="K25" s="638"/>
      <c r="L25" s="638"/>
      <c r="M25" s="638"/>
      <c r="N25" s="631"/>
      <c r="O25" s="631"/>
    </row>
    <row r="26" spans="1:15" ht="33" customHeight="1" x14ac:dyDescent="0.25">
      <c r="A26" s="631"/>
      <c r="B26" s="1674" t="s">
        <v>5324</v>
      </c>
      <c r="C26" s="1674"/>
      <c r="D26" s="1674"/>
      <c r="E26" s="655">
        <f>H20*F20</f>
        <v>0</v>
      </c>
      <c r="F26" s="655">
        <f>E20*F20</f>
        <v>0</v>
      </c>
      <c r="G26" s="655">
        <f>F26</f>
        <v>0</v>
      </c>
      <c r="H26" s="655">
        <f t="shared" ref="H26:O26" si="0">G26</f>
        <v>0</v>
      </c>
      <c r="I26" s="655">
        <f t="shared" si="0"/>
        <v>0</v>
      </c>
      <c r="J26" s="655">
        <f t="shared" si="0"/>
        <v>0</v>
      </c>
      <c r="K26" s="655">
        <f t="shared" si="0"/>
        <v>0</v>
      </c>
      <c r="L26" s="655">
        <f t="shared" si="0"/>
        <v>0</v>
      </c>
      <c r="M26" s="655">
        <f t="shared" si="0"/>
        <v>0</v>
      </c>
      <c r="N26" s="655">
        <f t="shared" si="0"/>
        <v>0</v>
      </c>
      <c r="O26" s="655">
        <f t="shared" si="0"/>
        <v>0</v>
      </c>
    </row>
    <row r="27" spans="1:15" ht="33" customHeight="1" x14ac:dyDescent="0.25">
      <c r="A27" s="631"/>
      <c r="B27" s="1674" t="s">
        <v>5325</v>
      </c>
      <c r="C27" s="1674"/>
      <c r="D27" s="1674"/>
      <c r="E27" s="655"/>
      <c r="F27" s="655"/>
      <c r="G27" s="655">
        <f>F27</f>
        <v>0</v>
      </c>
      <c r="H27" s="655">
        <f t="shared" ref="H27:O27" si="1">G27</f>
        <v>0</v>
      </c>
      <c r="I27" s="655">
        <f t="shared" si="1"/>
        <v>0</v>
      </c>
      <c r="J27" s="655">
        <f t="shared" si="1"/>
        <v>0</v>
      </c>
      <c r="K27" s="655">
        <f t="shared" si="1"/>
        <v>0</v>
      </c>
      <c r="L27" s="655">
        <f t="shared" si="1"/>
        <v>0</v>
      </c>
      <c r="M27" s="655">
        <f t="shared" si="1"/>
        <v>0</v>
      </c>
      <c r="N27" s="655">
        <f t="shared" si="1"/>
        <v>0</v>
      </c>
      <c r="O27" s="655">
        <f t="shared" si="1"/>
        <v>0</v>
      </c>
    </row>
    <row r="28" spans="1:15" ht="33" customHeight="1" x14ac:dyDescent="0.25">
      <c r="A28" s="631"/>
      <c r="B28" s="1674" t="s">
        <v>5326</v>
      </c>
      <c r="C28" s="1674"/>
      <c r="D28" s="1674"/>
      <c r="E28" s="655">
        <f t="shared" ref="E28:O28" si="2">+E26-E27</f>
        <v>0</v>
      </c>
      <c r="F28" s="655">
        <f t="shared" si="2"/>
        <v>0</v>
      </c>
      <c r="G28" s="655">
        <f t="shared" si="2"/>
        <v>0</v>
      </c>
      <c r="H28" s="655">
        <f t="shared" si="2"/>
        <v>0</v>
      </c>
      <c r="I28" s="655">
        <f t="shared" si="2"/>
        <v>0</v>
      </c>
      <c r="J28" s="655">
        <f t="shared" si="2"/>
        <v>0</v>
      </c>
      <c r="K28" s="655">
        <f t="shared" si="2"/>
        <v>0</v>
      </c>
      <c r="L28" s="655">
        <f t="shared" si="2"/>
        <v>0</v>
      </c>
      <c r="M28" s="655">
        <f t="shared" si="2"/>
        <v>0</v>
      </c>
      <c r="N28" s="655">
        <f t="shared" si="2"/>
        <v>0</v>
      </c>
      <c r="O28" s="655">
        <f t="shared" si="2"/>
        <v>0</v>
      </c>
    </row>
    <row r="29" spans="1:15" ht="33" customHeight="1" x14ac:dyDescent="0.25">
      <c r="A29" s="631"/>
      <c r="B29" s="1674" t="s">
        <v>5327</v>
      </c>
      <c r="C29" s="1674"/>
      <c r="D29" s="1674"/>
      <c r="E29" s="655" t="str">
        <f>+IFERROR(E26/E27,"")</f>
        <v/>
      </c>
      <c r="F29" s="655" t="str">
        <f>+IFERROR(F26/F27,"")</f>
        <v/>
      </c>
      <c r="G29" s="655" t="str">
        <f t="shared" ref="G29:O29" si="3">+IFERROR(G26/G27,"")</f>
        <v/>
      </c>
      <c r="H29" s="655" t="str">
        <f t="shared" si="3"/>
        <v/>
      </c>
      <c r="I29" s="655" t="str">
        <f t="shared" si="3"/>
        <v/>
      </c>
      <c r="J29" s="655" t="str">
        <f t="shared" si="3"/>
        <v/>
      </c>
      <c r="K29" s="655" t="str">
        <f t="shared" si="3"/>
        <v/>
      </c>
      <c r="L29" s="655" t="str">
        <f t="shared" si="3"/>
        <v/>
      </c>
      <c r="M29" s="655" t="str">
        <f t="shared" si="3"/>
        <v/>
      </c>
      <c r="N29" s="655" t="str">
        <f t="shared" si="3"/>
        <v/>
      </c>
      <c r="O29" s="655" t="str">
        <f t="shared" si="3"/>
        <v/>
      </c>
    </row>
    <row r="30" spans="1:15" x14ac:dyDescent="0.25">
      <c r="A30" s="631"/>
      <c r="B30" s="10"/>
      <c r="C30" s="10"/>
      <c r="D30" s="10"/>
      <c r="E30" s="4"/>
      <c r="F30" s="10"/>
      <c r="G30" s="10"/>
      <c r="H30" s="10"/>
      <c r="I30" s="10"/>
      <c r="J30" s="643"/>
      <c r="K30" s="10"/>
      <c r="L30" s="3"/>
      <c r="M30" s="644"/>
      <c r="N30" s="631"/>
      <c r="O30" s="631"/>
    </row>
    <row r="31" spans="1:15" x14ac:dyDescent="0.25">
      <c r="A31" s="631"/>
      <c r="B31" s="646" t="s">
        <v>5328</v>
      </c>
      <c r="C31" s="10"/>
      <c r="D31" s="10"/>
      <c r="E31" s="4"/>
      <c r="F31" s="10"/>
      <c r="G31" s="10"/>
      <c r="H31" s="10"/>
      <c r="I31" s="10"/>
      <c r="J31" s="643"/>
      <c r="K31" s="10"/>
      <c r="L31" s="3"/>
      <c r="M31" s="644"/>
      <c r="N31" s="631"/>
      <c r="O31" s="631"/>
    </row>
    <row r="32" spans="1:15" ht="9" customHeight="1" x14ac:dyDescent="0.25">
      <c r="A32" s="631"/>
      <c r="B32" s="638"/>
      <c r="C32" s="638"/>
      <c r="D32" s="638"/>
      <c r="E32" s="639"/>
      <c r="F32" s="638"/>
      <c r="G32" s="638"/>
      <c r="H32" s="638"/>
      <c r="I32" s="638"/>
      <c r="J32" s="638"/>
      <c r="K32" s="638"/>
      <c r="L32" s="638"/>
      <c r="M32" s="638"/>
      <c r="N32" s="631"/>
      <c r="O32" s="631"/>
    </row>
    <row r="33" spans="1:16" ht="42" customHeight="1" x14ac:dyDescent="0.25">
      <c r="A33" s="631"/>
      <c r="B33" s="1675" t="s">
        <v>5329</v>
      </c>
      <c r="C33" s="1676"/>
      <c r="D33" s="1676"/>
      <c r="E33" s="1676"/>
      <c r="F33" s="1676"/>
      <c r="G33" s="1676"/>
      <c r="H33" s="1676"/>
      <c r="I33" s="1676"/>
      <c r="J33" s="1676"/>
      <c r="K33" s="1676"/>
      <c r="L33" s="1676"/>
      <c r="M33" s="1676"/>
      <c r="N33" s="1677"/>
      <c r="O33" s="631"/>
    </row>
    <row r="35" spans="1:16" ht="23.45" customHeight="1" x14ac:dyDescent="0.25">
      <c r="B35" s="349" t="s">
        <v>5330</v>
      </c>
      <c r="C35" s="350"/>
      <c r="D35" s="350"/>
      <c r="E35" s="651"/>
      <c r="F35" s="350"/>
      <c r="G35" s="352"/>
      <c r="H35" s="652"/>
      <c r="I35" s="352"/>
      <c r="J35" s="653"/>
      <c r="K35" s="350"/>
      <c r="L35" s="654"/>
      <c r="M35" s="350"/>
      <c r="N35" s="153"/>
    </row>
    <row r="36" spans="1:16" ht="18" customHeight="1" x14ac:dyDescent="0.25">
      <c r="K36" s="276"/>
      <c r="L36" s="331"/>
      <c r="M36" s="331"/>
    </row>
    <row r="37" spans="1:16" s="358" customFormat="1" ht="24.75" customHeight="1" x14ac:dyDescent="0.25">
      <c r="B37" s="1686" t="s">
        <v>325</v>
      </c>
      <c r="C37" s="1686"/>
      <c r="D37" s="1686"/>
      <c r="E37" s="1686"/>
      <c r="F37" s="1686"/>
      <c r="G37" s="1686" t="s">
        <v>25</v>
      </c>
      <c r="H37" s="1686"/>
      <c r="I37" s="1686"/>
      <c r="J37" s="1686"/>
      <c r="K37" s="1686" t="s">
        <v>26</v>
      </c>
      <c r="L37" s="1686"/>
      <c r="M37" s="1686"/>
      <c r="N37" s="1686"/>
    </row>
    <row r="38" spans="1:16" ht="5.25" customHeight="1" x14ac:dyDescent="0.25"/>
    <row r="39" spans="1:16" ht="90" customHeight="1" x14ac:dyDescent="0.25">
      <c r="B39" s="1699" t="s">
        <v>322</v>
      </c>
      <c r="C39" s="1699"/>
      <c r="D39" s="1699"/>
      <c r="E39" s="1699"/>
      <c r="F39" s="1699"/>
      <c r="G39" s="1690"/>
      <c r="H39" s="1691"/>
      <c r="I39" s="1691"/>
      <c r="J39" s="1692"/>
      <c r="K39" s="1687"/>
      <c r="L39" s="1688"/>
      <c r="M39" s="1688"/>
      <c r="N39" s="1689"/>
    </row>
    <row r="40" spans="1:16" ht="90" customHeight="1" x14ac:dyDescent="0.25">
      <c r="B40" s="1699" t="s">
        <v>323</v>
      </c>
      <c r="C40" s="1699"/>
      <c r="D40" s="1699"/>
      <c r="E40" s="1699"/>
      <c r="F40" s="1699"/>
      <c r="G40" s="1690"/>
      <c r="H40" s="1691"/>
      <c r="I40" s="1691"/>
      <c r="J40" s="1692"/>
      <c r="K40" s="1687"/>
      <c r="L40" s="1688"/>
      <c r="M40" s="1688"/>
      <c r="N40" s="1689"/>
    </row>
    <row r="41" spans="1:16" ht="90" customHeight="1" x14ac:dyDescent="0.25">
      <c r="B41" s="1699" t="s">
        <v>428</v>
      </c>
      <c r="C41" s="1699"/>
      <c r="D41" s="1699"/>
      <c r="E41" s="1699"/>
      <c r="F41" s="1699"/>
      <c r="G41" s="1690"/>
      <c r="H41" s="1691"/>
      <c r="I41" s="1691"/>
      <c r="J41" s="1692"/>
      <c r="K41" s="1687"/>
      <c r="L41" s="1688"/>
      <c r="M41" s="1688"/>
      <c r="N41" s="1689"/>
    </row>
    <row r="42" spans="1:16" ht="90" customHeight="1" x14ac:dyDescent="0.25">
      <c r="B42" s="1699" t="s">
        <v>324</v>
      </c>
      <c r="C42" s="1699"/>
      <c r="D42" s="1699"/>
      <c r="E42" s="1699"/>
      <c r="F42" s="1699"/>
      <c r="G42" s="1690"/>
      <c r="H42" s="1700"/>
      <c r="I42" s="1700"/>
      <c r="J42" s="1701"/>
      <c r="K42" s="1687"/>
      <c r="L42" s="1688"/>
      <c r="M42" s="1688"/>
      <c r="N42" s="1689"/>
    </row>
    <row r="43" spans="1:16" ht="6.75" customHeight="1" x14ac:dyDescent="0.25"/>
    <row r="44" spans="1:16" ht="9" customHeight="1" x14ac:dyDescent="0.25"/>
    <row r="45" spans="1:16" ht="15.75" thickBot="1" x14ac:dyDescent="0.3">
      <c r="B45" s="279"/>
      <c r="C45" s="278"/>
      <c r="D45" s="279"/>
      <c r="E45" s="278"/>
      <c r="F45" s="279"/>
      <c r="G45" s="279"/>
      <c r="H45" s="279"/>
      <c r="I45" s="279"/>
      <c r="J45" s="279"/>
      <c r="K45" s="276"/>
      <c r="L45" s="331"/>
      <c r="M45" s="331"/>
    </row>
    <row r="46" spans="1:16" ht="23.45" customHeight="1" thickBot="1" x14ac:dyDescent="0.3">
      <c r="B46" s="349" t="s">
        <v>5608</v>
      </c>
      <c r="C46" s="350"/>
      <c r="D46" s="350"/>
      <c r="E46" s="351"/>
      <c r="F46" s="350"/>
      <c r="G46" s="352"/>
      <c r="H46" s="352"/>
      <c r="I46" s="352"/>
      <c r="J46" s="357"/>
      <c r="K46" s="351"/>
      <c r="L46" s="350"/>
      <c r="M46" s="359" t="s">
        <v>4756</v>
      </c>
      <c r="N46" s="365"/>
    </row>
    <row r="47" spans="1:16" x14ac:dyDescent="0.25">
      <c r="B47" s="277"/>
      <c r="C47" s="277"/>
      <c r="D47" s="277"/>
      <c r="E47" s="329"/>
      <c r="F47" s="277"/>
      <c r="G47" s="277"/>
      <c r="H47" s="277"/>
      <c r="I47" s="279"/>
      <c r="J47" s="330"/>
      <c r="K47" s="277"/>
      <c r="L47" s="277"/>
      <c r="M47" s="277"/>
    </row>
    <row r="48" spans="1:16" ht="63" customHeight="1" x14ac:dyDescent="0.25">
      <c r="B48" s="1702" t="s">
        <v>180</v>
      </c>
      <c r="C48" s="1702"/>
      <c r="D48" s="1702"/>
      <c r="E48" s="1702" t="s">
        <v>181</v>
      </c>
      <c r="F48" s="1702"/>
      <c r="G48" s="1702"/>
      <c r="H48" s="1702" t="s">
        <v>182</v>
      </c>
      <c r="I48" s="1702"/>
      <c r="J48" s="1702" t="s">
        <v>4789</v>
      </c>
      <c r="K48" s="1702"/>
      <c r="L48" s="1702" t="s">
        <v>183</v>
      </c>
      <c r="M48" s="1702"/>
      <c r="N48" s="1702"/>
      <c r="O48" s="360"/>
      <c r="P48" s="361"/>
    </row>
    <row r="49" spans="2:16 16384:16384" ht="5.25" customHeight="1" x14ac:dyDescent="0.25"/>
    <row r="50" spans="2:16 16384:16384" ht="99.95" hidden="1" customHeight="1" x14ac:dyDescent="0.25">
      <c r="B50" s="1690"/>
      <c r="C50" s="1691"/>
      <c r="D50" s="1692"/>
      <c r="E50" s="1693"/>
      <c r="F50" s="1694"/>
      <c r="G50" s="1695"/>
      <c r="H50" s="1681"/>
      <c r="I50" s="1682"/>
      <c r="J50" s="1681"/>
      <c r="K50" s="1682"/>
      <c r="L50" s="1693"/>
      <c r="M50" s="1694"/>
      <c r="N50" s="1695"/>
      <c r="O50" s="429"/>
      <c r="P50" s="362"/>
      <c r="XFD50" s="50" t="s">
        <v>4860</v>
      </c>
    </row>
    <row r="51" spans="2:16 16384:16384" ht="99.95" hidden="1" customHeight="1" x14ac:dyDescent="0.25">
      <c r="B51" s="1690"/>
      <c r="C51" s="1691"/>
      <c r="D51" s="1692"/>
      <c r="E51" s="1693"/>
      <c r="F51" s="1694"/>
      <c r="G51" s="1695"/>
      <c r="H51" s="1681"/>
      <c r="I51" s="1682"/>
      <c r="J51" s="1681"/>
      <c r="K51" s="1682"/>
      <c r="L51" s="1693"/>
      <c r="M51" s="1694"/>
      <c r="N51" s="1695"/>
      <c r="O51" s="429"/>
      <c r="P51" s="362"/>
      <c r="XFD51" s="50" t="s">
        <v>4940</v>
      </c>
    </row>
    <row r="52" spans="2:16 16384:16384" ht="99.95" hidden="1" customHeight="1" x14ac:dyDescent="0.25">
      <c r="B52" s="1690"/>
      <c r="C52" s="1691"/>
      <c r="D52" s="1692"/>
      <c r="E52" s="1693"/>
      <c r="F52" s="1694"/>
      <c r="G52" s="1695"/>
      <c r="H52" s="1681"/>
      <c r="I52" s="1682"/>
      <c r="J52" s="1681"/>
      <c r="K52" s="1682"/>
      <c r="L52" s="1693"/>
      <c r="M52" s="1694"/>
      <c r="N52" s="1695"/>
      <c r="O52" s="429"/>
      <c r="P52" s="362"/>
      <c r="XFD52" s="50" t="s">
        <v>4754</v>
      </c>
    </row>
    <row r="53" spans="2:16 16384:16384" ht="99.95" hidden="1" customHeight="1" x14ac:dyDescent="0.25">
      <c r="B53" s="1690"/>
      <c r="C53" s="1691"/>
      <c r="D53" s="1692"/>
      <c r="E53" s="1693"/>
      <c r="F53" s="1694"/>
      <c r="G53" s="1695"/>
      <c r="H53" s="1681"/>
      <c r="I53" s="1682"/>
      <c r="J53" s="1681"/>
      <c r="K53" s="1682"/>
      <c r="L53" s="1693"/>
      <c r="M53" s="1694"/>
      <c r="N53" s="1695"/>
      <c r="O53" s="429"/>
      <c r="P53" s="362"/>
      <c r="XFD53" s="50" t="s">
        <v>4941</v>
      </c>
    </row>
    <row r="54" spans="2:16 16384:16384" ht="99.95" hidden="1" customHeight="1" x14ac:dyDescent="0.25">
      <c r="B54" s="1690"/>
      <c r="C54" s="1691"/>
      <c r="D54" s="1692"/>
      <c r="E54" s="1693"/>
      <c r="F54" s="1694"/>
      <c r="G54" s="1695"/>
      <c r="H54" s="1681"/>
      <c r="I54" s="1682"/>
      <c r="J54" s="1681"/>
      <c r="K54" s="1682"/>
      <c r="L54" s="1693"/>
      <c r="M54" s="1694"/>
      <c r="N54" s="1695"/>
      <c r="O54" s="429"/>
      <c r="P54" s="362"/>
      <c r="XFD54" s="50" t="s">
        <v>4755</v>
      </c>
    </row>
    <row r="55" spans="2:16 16384:16384" ht="99.95" hidden="1" customHeight="1" x14ac:dyDescent="0.25">
      <c r="B55" s="1690"/>
      <c r="C55" s="1691"/>
      <c r="D55" s="1692"/>
      <c r="E55" s="1693"/>
      <c r="F55" s="1694"/>
      <c r="G55" s="1695"/>
      <c r="H55" s="1681"/>
      <c r="I55" s="1682"/>
      <c r="J55" s="1681"/>
      <c r="K55" s="1682"/>
      <c r="L55" s="1693"/>
      <c r="M55" s="1694"/>
      <c r="N55" s="1695"/>
      <c r="O55" s="429"/>
      <c r="P55" s="362"/>
      <c r="XFD55" s="50" t="s">
        <v>4942</v>
      </c>
    </row>
    <row r="56" spans="2:16 16384:16384" ht="99.95" hidden="1" customHeight="1" x14ac:dyDescent="0.25">
      <c r="B56" s="1687"/>
      <c r="C56" s="1688"/>
      <c r="D56" s="1689"/>
      <c r="E56" s="1696"/>
      <c r="F56" s="1697"/>
      <c r="G56" s="1698"/>
      <c r="H56" s="1681"/>
      <c r="I56" s="1682"/>
      <c r="J56" s="1681"/>
      <c r="K56" s="1682"/>
      <c r="L56" s="1696"/>
      <c r="M56" s="1697"/>
      <c r="N56" s="1698"/>
      <c r="O56" s="429"/>
      <c r="P56" s="362"/>
      <c r="XFD56" s="50" t="s">
        <v>71</v>
      </c>
    </row>
    <row r="57" spans="2:16 16384:16384" ht="99.95" hidden="1" customHeight="1" x14ac:dyDescent="0.25">
      <c r="B57" s="1704"/>
      <c r="C57" s="1705"/>
      <c r="D57" s="1706"/>
      <c r="E57" s="1683"/>
      <c r="F57" s="1684"/>
      <c r="G57" s="1685"/>
      <c r="H57" s="1683"/>
      <c r="I57" s="1685"/>
      <c r="J57" s="1683"/>
      <c r="K57" s="1685"/>
      <c r="L57" s="1683"/>
      <c r="M57" s="1684"/>
      <c r="N57" s="1685"/>
      <c r="O57" s="429"/>
      <c r="P57" s="362"/>
    </row>
    <row r="58" spans="2:16 16384:16384" ht="99.95" hidden="1" customHeight="1" x14ac:dyDescent="0.25">
      <c r="B58" s="1704"/>
      <c r="C58" s="1705"/>
      <c r="D58" s="1706"/>
      <c r="E58" s="1683"/>
      <c r="F58" s="1684"/>
      <c r="G58" s="1685"/>
      <c r="H58" s="1683"/>
      <c r="I58" s="1685"/>
      <c r="J58" s="1683"/>
      <c r="K58" s="1685"/>
      <c r="L58" s="1683"/>
      <c r="M58" s="1684"/>
      <c r="N58" s="1685"/>
      <c r="O58" s="429"/>
      <c r="P58" s="362"/>
    </row>
    <row r="59" spans="2:16 16384:16384" ht="99.95" hidden="1" customHeight="1" x14ac:dyDescent="0.25">
      <c r="B59" s="1704"/>
      <c r="C59" s="1705"/>
      <c r="D59" s="1706"/>
      <c r="E59" s="1683"/>
      <c r="F59" s="1684"/>
      <c r="G59" s="1685"/>
      <c r="H59" s="1683"/>
      <c r="I59" s="1685"/>
      <c r="J59" s="1683"/>
      <c r="K59" s="1685"/>
      <c r="L59" s="1683"/>
      <c r="M59" s="1684"/>
      <c r="N59" s="1685"/>
      <c r="O59" s="429"/>
      <c r="P59" s="363"/>
    </row>
    <row r="60" spans="2:16 16384:16384" ht="24" customHeight="1" x14ac:dyDescent="0.25">
      <c r="B60" s="1703" t="s">
        <v>184</v>
      </c>
      <c r="C60" s="1703"/>
      <c r="D60" s="1703"/>
      <c r="E60" s="1703"/>
      <c r="F60" s="1703"/>
      <c r="G60" s="1703"/>
      <c r="H60" s="1703"/>
      <c r="I60" s="1703"/>
      <c r="J60" s="1703"/>
      <c r="K60" s="1703"/>
      <c r="L60" s="1703"/>
      <c r="M60" s="1703"/>
      <c r="N60" s="1703"/>
      <c r="O60" s="364"/>
      <c r="P60" s="364"/>
    </row>
    <row r="61" spans="2:16 16384:16384" x14ac:dyDescent="0.25">
      <c r="B61" s="279"/>
      <c r="C61" s="279"/>
      <c r="D61" s="279"/>
      <c r="E61" s="278"/>
      <c r="F61" s="279"/>
      <c r="G61" s="279"/>
      <c r="H61" s="279"/>
      <c r="I61" s="279"/>
      <c r="J61" s="279"/>
      <c r="K61" s="277"/>
      <c r="L61" s="277"/>
      <c r="M61" s="277"/>
    </row>
    <row r="62" spans="2:16 16384:16384" ht="25.5" customHeight="1" x14ac:dyDescent="0.25"/>
    <row r="63" spans="2:16 16384:16384" ht="6.75" customHeight="1" x14ac:dyDescent="0.25"/>
    <row r="64" spans="2:16 16384:16384" ht="32.25" customHeight="1" x14ac:dyDescent="0.25"/>
    <row r="65" spans="2:13" ht="32.25" customHeight="1" x14ac:dyDescent="0.25"/>
    <row r="66" spans="2:13" ht="32.25" customHeight="1" x14ac:dyDescent="0.25"/>
    <row r="67" spans="2:13" ht="32.25" customHeight="1" x14ac:dyDescent="0.25"/>
    <row r="68" spans="2:13" ht="32.25" customHeight="1" x14ac:dyDescent="0.25"/>
    <row r="69" spans="2:13" ht="32.25" customHeight="1" x14ac:dyDescent="0.25"/>
    <row r="70" spans="2:13" x14ac:dyDescent="0.25">
      <c r="B70" s="279"/>
      <c r="C70" s="279"/>
      <c r="D70" s="279"/>
      <c r="E70" s="278"/>
      <c r="F70" s="279"/>
      <c r="G70" s="279"/>
      <c r="H70" s="279"/>
      <c r="I70" s="279"/>
      <c r="J70" s="279"/>
      <c r="K70" s="277"/>
      <c r="L70" s="277"/>
      <c r="M70" s="277"/>
    </row>
    <row r="71" spans="2:13" x14ac:dyDescent="0.25">
      <c r="B71" s="279"/>
      <c r="C71" s="279"/>
      <c r="D71" s="279"/>
      <c r="E71" s="278"/>
      <c r="F71" s="356"/>
      <c r="G71" s="356"/>
      <c r="H71" s="356"/>
      <c r="I71" s="356"/>
      <c r="J71" s="277"/>
      <c r="K71" s="277"/>
      <c r="L71" s="277"/>
      <c r="M71" s="277"/>
    </row>
    <row r="75" spans="2:13" x14ac:dyDescent="0.25">
      <c r="B75" s="279"/>
      <c r="C75" s="356"/>
      <c r="D75" s="356"/>
      <c r="E75" s="278"/>
      <c r="F75" s="356"/>
      <c r="G75" s="356"/>
      <c r="H75" s="356"/>
      <c r="I75" s="356"/>
      <c r="J75" s="277"/>
      <c r="K75" s="277"/>
      <c r="L75" s="277"/>
      <c r="M75" s="277"/>
    </row>
  </sheetData>
  <sheetProtection password="9AA6" sheet="1" objects="1" scenarios="1"/>
  <dataConsolidate/>
  <mergeCells count="80">
    <mergeCell ref="B60:N60"/>
    <mergeCell ref="E54:G54"/>
    <mergeCell ref="E55:G55"/>
    <mergeCell ref="E56:G56"/>
    <mergeCell ref="B42:F42"/>
    <mergeCell ref="B50:D50"/>
    <mergeCell ref="B57:D57"/>
    <mergeCell ref="B58:D58"/>
    <mergeCell ref="B59:D59"/>
    <mergeCell ref="E50:G50"/>
    <mergeCell ref="E57:G57"/>
    <mergeCell ref="E58:G58"/>
    <mergeCell ref="E59:G59"/>
    <mergeCell ref="B51:D51"/>
    <mergeCell ref="B52:D52"/>
    <mergeCell ref="B56:D56"/>
    <mergeCell ref="B37:F37"/>
    <mergeCell ref="G39:J39"/>
    <mergeCell ref="B39:F39"/>
    <mergeCell ref="G42:J42"/>
    <mergeCell ref="B48:D48"/>
    <mergeCell ref="E48:G48"/>
    <mergeCell ref="H48:I48"/>
    <mergeCell ref="J48:K48"/>
    <mergeCell ref="K42:N42"/>
    <mergeCell ref="B40:F40"/>
    <mergeCell ref="B41:F41"/>
    <mergeCell ref="L48:N48"/>
    <mergeCell ref="B53:D53"/>
    <mergeCell ref="B54:D54"/>
    <mergeCell ref="B55:D55"/>
    <mergeCell ref="E51:G51"/>
    <mergeCell ref="E52:G52"/>
    <mergeCell ref="E53:G53"/>
    <mergeCell ref="L59:N59"/>
    <mergeCell ref="H50:I50"/>
    <mergeCell ref="H57:I57"/>
    <mergeCell ref="H58:I58"/>
    <mergeCell ref="H59:I59"/>
    <mergeCell ref="J50:K50"/>
    <mergeCell ref="J57:K57"/>
    <mergeCell ref="L51:N51"/>
    <mergeCell ref="L52:N52"/>
    <mergeCell ref="L53:N53"/>
    <mergeCell ref="L54:N54"/>
    <mergeCell ref="L55:N55"/>
    <mergeCell ref="L56:N56"/>
    <mergeCell ref="L50:N50"/>
    <mergeCell ref="L57:N57"/>
    <mergeCell ref="J59:K59"/>
    <mergeCell ref="H51:I51"/>
    <mergeCell ref="H52:I52"/>
    <mergeCell ref="H53:I53"/>
    <mergeCell ref="H54:I54"/>
    <mergeCell ref="H55:I55"/>
    <mergeCell ref="H56:I56"/>
    <mergeCell ref="J56:K56"/>
    <mergeCell ref="L58:N58"/>
    <mergeCell ref="G37:J37"/>
    <mergeCell ref="K37:N37"/>
    <mergeCell ref="K39:N39"/>
    <mergeCell ref="K40:N40"/>
    <mergeCell ref="K41:N41"/>
    <mergeCell ref="G40:J40"/>
    <mergeCell ref="G41:J41"/>
    <mergeCell ref="J55:K55"/>
    <mergeCell ref="J54:K54"/>
    <mergeCell ref="J53:K53"/>
    <mergeCell ref="J52:K52"/>
    <mergeCell ref="J51:K51"/>
    <mergeCell ref="J58:K58"/>
    <mergeCell ref="B27:D27"/>
    <mergeCell ref="B28:D28"/>
    <mergeCell ref="B29:D29"/>
    <mergeCell ref="B33:N33"/>
    <mergeCell ref="B14:M14"/>
    <mergeCell ref="B18:D18"/>
    <mergeCell ref="B20:D20"/>
    <mergeCell ref="B24:D24"/>
    <mergeCell ref="B26:D26"/>
  </mergeCells>
  <conditionalFormatting sqref="H20">
    <cfRule type="expression" dxfId="314" priority="1">
      <formula>$H$20&lt;$E$20</formula>
    </cfRule>
    <cfRule type="expression" dxfId="313" priority="2">
      <formula>$H$20&gt;$E$20</formula>
    </cfRule>
  </conditionalFormatting>
  <dataValidations xWindow="536" yWindow="571" count="12">
    <dataValidation type="textLength" operator="lessThan" allowBlank="1" showInputMessage="1" showErrorMessage="1" errorTitle="Error" error="Ha ingresado un dato errado, por favor intente de nuevo." promptTitle="Descripción" prompt="Ingrese la descripción de la capaidad institucional en la sostenibilidad del proyecto, con respecto a la descripción del item de la columna de la izquierda._x000a_El texto no debe contener más 500 caracteres." sqref="G39:J42">
      <formula1>500</formula1>
    </dataValidation>
    <dataValidation type="textLength" operator="lessThan" allowBlank="1" showInputMessage="1" showErrorMessage="1" errorTitle="Error" error="Ha ingresado un dato errado, por facvor intente de nuevo." promptTitle="Fuente de Información" prompt="Ingrese la fuente de información que ha utilizado para la descripción del item de la columna de izquierda, referente a la capacidad institucional en la sostenibilidad del proyecto._x000a_El texto debe contener un máximo de 200 caracteres." sqref="K39:N42">
      <formula1>200</formula1>
    </dataValidation>
    <dataValidation type="list" allowBlank="1" showInputMessage="1" showErrorMessage="1" promptTitle="Probabilidad" prompt="Seleccione la probabilidad de ocurrencia del Riesgo descrito en la columna de la izquierda." sqref="H50:I59">
      <formula1>"Baja,Media,Alta"</formula1>
    </dataValidation>
    <dataValidation type="list" allowBlank="1" showInputMessage="1" showErrorMessage="1" promptTitle="Impacto" prompt="Selecciones el nivel de impacto que ocasionaría el riesgo que ha descrito dos columnas de la izaquierda." sqref="J50:K59">
      <formula1>"Bajo,Medio,Alto"</formula1>
    </dataValidation>
    <dataValidation type="list" allowBlank="1" showInputMessage="1" showErrorMessage="1" promptTitle="Tipo de Riesgo" prompt="Seleccione el tipo de riesgo que va analizar." sqref="B56:D59">
      <formula1>$XFD$49:$XFD$56</formula1>
    </dataValidation>
    <dataValidation type="textLength" operator="lessThan" allowBlank="1" showInputMessage="1" showErrorMessage="1" errorTitle="Error" error="Ha ingresado un valor errado. Intente de nuevo." promptTitle="Descripción" prompt="Realice la descripción del riesgo que va a analizar._x000a_EL texto no debe contener más de 250 caracteres" sqref="E50:G59">
      <formula1>250</formula1>
    </dataValidation>
    <dataValidation type="textLength" operator="lessThan" allowBlank="1" showInputMessage="1" showErrorMessage="1" errorTitle="Error" error="Ha ingresado un dato errado, por favor intente de nuevo." promptTitle="Medidas" prompt="Realice la descripción de las medidas de mitigación, que se tomarán en cuenta para mitigar los posibles daños que ocasionaría el riesgo que se está analizando._x000a_El texto no debe contener más de 250 caracteres." sqref="L50:N59">
      <formula1>250</formula1>
    </dataValidation>
    <dataValidation type="list" allowBlank="1" showInputMessage="1" showErrorMessage="1" sqref="N46">
      <formula1>"1,2,3,4,5,6,7,8,9,10"</formula1>
    </dataValidation>
    <dataValidation type="list" allowBlank="1" showInputMessage="1" showErrorMessage="1" promptTitle="Tipo de Riesgo" prompt="Seleccione el tipo de riesgo que va analizar." sqref="B50:D55">
      <formula1>$XFD$49:$XFD$60</formula1>
    </dataValidation>
    <dataValidation allowBlank="1" showInputMessage="1" showErrorMessage="1" promptTitle="Tarifa/tasa" prompt="Seleccionar &quot;Sí&quot;, si la tarifa o tasa está predeterminada, caso contrario seleccionar la opción &quot;No&quot;." sqref="J12:K12"/>
    <dataValidation allowBlank="1" showInputMessage="1" showErrorMessage="1" promptTitle="Costos de O&amp;M" prompt="Ingresar los costos de operación y mantenimiento con proyectos." sqref="E27:O27"/>
    <dataValidation allowBlank="1" showInputMessage="1" showErrorMessage="1" promptTitle="TarifaxCantidad" prompt="En esta celda se deberá de ingresar el valor de la multiplicación de la tarifa que se cobra a los usuarios por el servicio y la cantidad de usuarios que hacen uso del servicio." sqref="E26:O26"/>
  </dataValidations>
  <pageMargins left="0.70866141732283472" right="0.70866141732283472" top="0.74803149606299213" bottom="0.74803149606299213" header="0.31496062992125984" footer="0.31496062992125984"/>
  <pageSetup paperSize="9" scale="55"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4" r:id="rId4" name="Check Box 2">
              <controlPr defaultSize="0" autoFill="0" autoLine="0" autoPict="0">
                <anchor moveWithCells="1">
                  <from>
                    <xdr:col>9</xdr:col>
                    <xdr:colOff>285750</xdr:colOff>
                    <xdr:row>11</xdr:row>
                    <xdr:rowOff>66675</xdr:rowOff>
                  </from>
                  <to>
                    <xdr:col>9</xdr:col>
                    <xdr:colOff>485775</xdr:colOff>
                    <xdr:row>11</xdr:row>
                    <xdr:rowOff>190500</xdr:rowOff>
                  </to>
                </anchor>
              </controlPr>
            </control>
          </mc:Choice>
        </mc:AlternateContent>
        <mc:AlternateContent xmlns:mc="http://schemas.openxmlformats.org/markup-compatibility/2006">
          <mc:Choice Requires="x14">
            <control shapeId="59395" r:id="rId5" name="Check Box 3">
              <controlPr defaultSize="0" autoFill="0" autoLine="0" autoPict="0">
                <anchor moveWithCells="1">
                  <from>
                    <xdr:col>10</xdr:col>
                    <xdr:colOff>361950</xdr:colOff>
                    <xdr:row>11</xdr:row>
                    <xdr:rowOff>66675</xdr:rowOff>
                  </from>
                  <to>
                    <xdr:col>10</xdr:col>
                    <xdr:colOff>561975</xdr:colOff>
                    <xdr:row>11</xdr:row>
                    <xdr:rowOff>209550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1:AH1026"/>
  <sheetViews>
    <sheetView showGridLines="0" zoomScale="85" zoomScaleNormal="85" zoomScaleSheetLayoutView="70" workbookViewId="0">
      <pane ySplit="9" topLeftCell="A10" activePane="bottomLeft" state="frozen"/>
      <selection sqref="A1:XFD1048576"/>
      <selection pane="bottomLeft" activeCell="M21" sqref="M21"/>
    </sheetView>
  </sheetViews>
  <sheetFormatPr baseColWidth="10" defaultColWidth="10.28515625" defaultRowHeight="15" x14ac:dyDescent="0.25"/>
  <cols>
    <col min="1" max="3" width="10.28515625" style="50"/>
    <col min="4" max="4" width="15.85546875" style="50" customWidth="1"/>
    <col min="5" max="5" width="12.140625" style="50" customWidth="1"/>
    <col min="6" max="6" width="15.28515625" style="50" customWidth="1"/>
    <col min="7" max="7" width="12.5703125" style="50" customWidth="1"/>
    <col min="8" max="8" width="13.5703125" style="50" customWidth="1"/>
    <col min="9" max="9" width="14.140625" style="50" customWidth="1"/>
    <col min="10" max="10" width="13.28515625" style="50" customWidth="1"/>
    <col min="11" max="11" width="12.7109375" style="50" customWidth="1"/>
    <col min="12" max="12" width="13.7109375" style="50" customWidth="1"/>
    <col min="13" max="13" width="12.5703125" style="50" customWidth="1"/>
    <col min="14" max="14" width="14" style="50" customWidth="1"/>
    <col min="15" max="15" width="13.28515625" style="50" customWidth="1"/>
    <col min="16" max="16" width="14.140625" style="50" customWidth="1"/>
    <col min="17" max="17" width="11.140625" style="50" customWidth="1"/>
    <col min="18" max="18" width="10.28515625" style="50" customWidth="1"/>
    <col min="19" max="19" width="10.28515625" style="50"/>
    <col min="20" max="20" width="10.28515625" style="50" customWidth="1"/>
    <col min="21" max="21" width="10.28515625" style="50"/>
    <col min="22" max="22" width="11.7109375" style="50" bestFit="1" customWidth="1"/>
    <col min="23" max="23" width="12.7109375" style="50" bestFit="1" customWidth="1"/>
    <col min="24" max="16384" width="10.28515625" style="50"/>
  </cols>
  <sheetData>
    <row r="1" spans="1:29" x14ac:dyDescent="0.25">
      <c r="A1" s="95"/>
      <c r="B1" s="95"/>
      <c r="C1" s="95"/>
      <c r="D1" s="95"/>
      <c r="E1" s="95"/>
      <c r="F1" s="95"/>
      <c r="G1" s="95"/>
      <c r="H1" s="95"/>
      <c r="I1" s="95"/>
      <c r="J1" s="95"/>
      <c r="K1" s="95"/>
      <c r="L1" s="95"/>
      <c r="M1" s="95"/>
      <c r="N1" s="95"/>
      <c r="O1" s="95"/>
      <c r="P1" s="95"/>
      <c r="Q1" s="95"/>
      <c r="R1" s="95"/>
      <c r="S1" s="41"/>
      <c r="T1" s="503"/>
      <c r="U1" s="503"/>
      <c r="V1" s="503"/>
      <c r="W1" s="503"/>
      <c r="X1" s="503"/>
      <c r="Y1" s="503"/>
      <c r="Z1" s="503"/>
      <c r="AA1" s="503"/>
      <c r="AB1" s="503"/>
      <c r="AC1" s="503"/>
    </row>
    <row r="2" spans="1:29" x14ac:dyDescent="0.25">
      <c r="A2" s="95"/>
      <c r="B2" s="95"/>
      <c r="C2" s="95"/>
      <c r="D2" s="95"/>
      <c r="E2" s="95"/>
      <c r="F2" s="95"/>
      <c r="G2" s="95"/>
      <c r="H2" s="95"/>
      <c r="I2" s="95"/>
      <c r="J2" s="95"/>
      <c r="K2" s="95"/>
      <c r="L2" s="95"/>
      <c r="M2" s="95"/>
      <c r="N2" s="95"/>
      <c r="O2" s="95"/>
      <c r="P2" s="95"/>
      <c r="Q2" s="95"/>
      <c r="R2" s="95"/>
      <c r="S2" s="41"/>
    </row>
    <row r="3" spans="1:29" x14ac:dyDescent="0.25">
      <c r="A3" s="95"/>
      <c r="B3" s="95"/>
      <c r="C3" s="95"/>
      <c r="D3" s="95"/>
      <c r="E3" s="95"/>
      <c r="F3" s="95"/>
      <c r="G3" s="95"/>
      <c r="H3" s="95"/>
      <c r="I3" s="95"/>
      <c r="J3" s="95"/>
      <c r="K3" s="95"/>
      <c r="L3" s="95"/>
      <c r="M3" s="95"/>
      <c r="N3" s="95"/>
      <c r="O3" s="95"/>
      <c r="P3" s="95"/>
      <c r="Q3" s="95"/>
      <c r="R3" s="95"/>
      <c r="S3" s="41"/>
      <c r="T3" s="503"/>
      <c r="U3" s="503"/>
      <c r="V3" s="503"/>
      <c r="W3" s="503"/>
      <c r="X3" s="503"/>
      <c r="Y3" s="503"/>
      <c r="Z3" s="503"/>
      <c r="AA3" s="503"/>
      <c r="AB3" s="503"/>
      <c r="AC3" s="503"/>
    </row>
    <row r="4" spans="1:29" x14ac:dyDescent="0.25">
      <c r="A4" s="95"/>
      <c r="B4" s="95"/>
      <c r="C4" s="95"/>
      <c r="D4" s="95"/>
      <c r="E4" s="95"/>
      <c r="F4" s="95"/>
      <c r="G4" s="95"/>
      <c r="H4" s="95"/>
      <c r="I4" s="95"/>
      <c r="J4" s="95"/>
      <c r="K4" s="95"/>
      <c r="L4" s="95"/>
      <c r="M4" s="95"/>
      <c r="N4" s="95"/>
      <c r="O4" s="95"/>
      <c r="P4" s="95"/>
      <c r="Q4" s="95"/>
      <c r="R4" s="95"/>
      <c r="S4" s="41"/>
    </row>
    <row r="5" spans="1:29" x14ac:dyDescent="0.25">
      <c r="A5" s="95"/>
      <c r="B5" s="95"/>
      <c r="C5" s="95"/>
      <c r="D5" s="95"/>
      <c r="E5" s="95"/>
      <c r="F5" s="95"/>
      <c r="G5" s="95"/>
      <c r="H5" s="95"/>
      <c r="I5" s="95"/>
      <c r="J5" s="95"/>
      <c r="K5" s="95"/>
      <c r="L5" s="95"/>
      <c r="M5" s="95"/>
      <c r="N5" s="95"/>
      <c r="O5" s="95"/>
      <c r="P5" s="95"/>
      <c r="Q5" s="95"/>
      <c r="R5" s="95"/>
      <c r="S5" s="41"/>
      <c r="T5" s="503"/>
      <c r="U5" s="503"/>
      <c r="V5" s="503"/>
      <c r="W5" s="503"/>
      <c r="X5" s="503"/>
      <c r="Y5" s="503"/>
      <c r="Z5" s="503"/>
      <c r="AA5" s="503"/>
      <c r="AB5" s="503"/>
      <c r="AC5" s="503"/>
    </row>
    <row r="6" spans="1:29" x14ac:dyDescent="0.25">
      <c r="A6" s="95"/>
      <c r="B6" s="95"/>
      <c r="C6" s="95"/>
      <c r="D6" s="95"/>
      <c r="E6" s="95"/>
      <c r="F6" s="95"/>
      <c r="G6" s="95"/>
      <c r="H6" s="95"/>
      <c r="I6" s="95"/>
      <c r="J6" s="95"/>
      <c r="K6" s="95"/>
      <c r="L6" s="95"/>
      <c r="M6" s="95"/>
      <c r="N6" s="95"/>
      <c r="O6" s="95"/>
      <c r="P6" s="95"/>
      <c r="Q6" s="95"/>
      <c r="R6" s="95"/>
      <c r="S6" s="41"/>
    </row>
    <row r="7" spans="1:29" x14ac:dyDescent="0.25">
      <c r="A7" s="95"/>
      <c r="B7" s="95"/>
      <c r="C7" s="95"/>
      <c r="D7" s="95"/>
      <c r="E7" s="95"/>
      <c r="F7" s="95"/>
      <c r="G7" s="95"/>
      <c r="H7" s="95"/>
      <c r="I7" s="95"/>
      <c r="J7" s="95"/>
      <c r="K7" s="95"/>
      <c r="L7" s="95"/>
      <c r="M7" s="95"/>
      <c r="N7" s="95"/>
      <c r="O7" s="95"/>
      <c r="P7" s="95"/>
      <c r="Q7" s="95"/>
      <c r="R7" s="95"/>
      <c r="S7" s="41"/>
      <c r="T7" s="503"/>
      <c r="U7" s="503"/>
      <c r="V7" s="503"/>
      <c r="W7" s="503"/>
      <c r="X7" s="503"/>
      <c r="Y7" s="503"/>
      <c r="Z7" s="503"/>
      <c r="AA7" s="503"/>
      <c r="AB7" s="503"/>
      <c r="AC7" s="503"/>
    </row>
    <row r="8" spans="1:29" x14ac:dyDescent="0.25">
      <c r="A8" s="95"/>
      <c r="B8" s="95"/>
      <c r="C8" s="95"/>
      <c r="D8" s="95"/>
      <c r="E8" s="95"/>
      <c r="F8" s="95"/>
      <c r="G8" s="95"/>
      <c r="H8" s="95"/>
      <c r="I8" s="95"/>
      <c r="J8" s="95"/>
      <c r="K8" s="95"/>
      <c r="L8" s="95"/>
      <c r="M8" s="95"/>
      <c r="N8" s="95"/>
      <c r="O8" s="95"/>
      <c r="P8" s="95"/>
      <c r="Q8" s="95"/>
      <c r="R8" s="95"/>
      <c r="S8" s="41"/>
    </row>
    <row r="9" spans="1:29" x14ac:dyDescent="0.25">
      <c r="A9" s="95"/>
      <c r="B9" s="95"/>
      <c r="C9" s="95"/>
      <c r="D9" s="95"/>
      <c r="E9" s="95"/>
      <c r="F9" s="95"/>
      <c r="G9" s="95"/>
      <c r="H9" s="95"/>
      <c r="I9" s="95"/>
      <c r="J9" s="95"/>
      <c r="K9" s="95"/>
      <c r="L9" s="95"/>
      <c r="M9" s="95"/>
      <c r="N9" s="95"/>
      <c r="O9" s="95"/>
      <c r="P9" s="95"/>
      <c r="Q9" s="95"/>
      <c r="R9" s="95"/>
      <c r="S9" s="41"/>
      <c r="T9" s="503"/>
      <c r="U9" s="503"/>
      <c r="V9" s="503"/>
      <c r="W9" s="503"/>
      <c r="X9" s="503"/>
      <c r="Y9" s="503"/>
      <c r="Z9" s="503"/>
      <c r="AA9" s="503"/>
      <c r="AB9" s="503"/>
      <c r="AC9" s="503"/>
    </row>
    <row r="10" spans="1:29" s="82" customFormat="1" ht="18.75" x14ac:dyDescent="0.3">
      <c r="B10" s="82" t="s">
        <v>4918</v>
      </c>
    </row>
    <row r="12" spans="1:29" ht="21.6" customHeight="1" x14ac:dyDescent="0.25">
      <c r="B12" s="262" t="s">
        <v>397</v>
      </c>
      <c r="C12" s="263"/>
      <c r="D12" s="41"/>
      <c r="E12" s="41"/>
      <c r="F12" s="41"/>
      <c r="G12" s="41"/>
      <c r="H12" s="41"/>
      <c r="I12" s="41"/>
      <c r="J12" s="41"/>
      <c r="K12" s="41"/>
      <c r="L12" s="41"/>
      <c r="M12" s="41"/>
      <c r="N12" s="41"/>
    </row>
    <row r="13" spans="1:29" s="503" customFormat="1" ht="12.75" x14ac:dyDescent="0.2">
      <c r="B13" s="264"/>
      <c r="C13" s="56"/>
      <c r="D13" s="56"/>
      <c r="E13" s="56"/>
      <c r="F13" s="56"/>
      <c r="G13" s="56"/>
      <c r="H13" s="56"/>
      <c r="I13" s="56"/>
      <c r="J13" s="56"/>
      <c r="K13" s="56"/>
      <c r="L13" s="56"/>
      <c r="M13" s="56"/>
      <c r="N13" s="56"/>
    </row>
    <row r="14" spans="1:29" s="69" customFormat="1" ht="34.5" customHeight="1" x14ac:dyDescent="0.25">
      <c r="B14" s="1766" t="s">
        <v>4917</v>
      </c>
      <c r="C14" s="1766"/>
      <c r="D14" s="1766"/>
      <c r="E14" s="1766"/>
      <c r="F14" s="1766"/>
      <c r="G14" s="253"/>
      <c r="H14" s="253"/>
      <c r="I14" s="253"/>
      <c r="J14" s="253"/>
      <c r="K14" s="253"/>
      <c r="L14" s="253"/>
      <c r="M14" s="253"/>
    </row>
    <row r="15" spans="1:29" s="69" customFormat="1" ht="18" hidden="1" customHeight="1" x14ac:dyDescent="0.25">
      <c r="A15" s="136"/>
      <c r="B15" s="265" t="s">
        <v>4771</v>
      </c>
      <c r="C15" s="265"/>
      <c r="D15" s="265"/>
      <c r="E15" s="265"/>
      <c r="F15" s="265"/>
      <c r="G15" s="253"/>
      <c r="H15" s="253"/>
      <c r="I15" s="253"/>
      <c r="J15" s="253"/>
      <c r="K15" s="253"/>
      <c r="L15" s="253"/>
      <c r="M15" s="253"/>
    </row>
    <row r="16" spans="1:29" s="503" customFormat="1" ht="23.25" hidden="1" customHeight="1" x14ac:dyDescent="0.2">
      <c r="B16" s="1196" t="s">
        <v>378</v>
      </c>
      <c r="C16" s="1196"/>
      <c r="D16" s="1196"/>
      <c r="E16" s="1196"/>
      <c r="F16" s="1196"/>
      <c r="G16" s="1197" t="s">
        <v>4871</v>
      </c>
      <c r="H16" s="1197"/>
      <c r="I16" s="1196" t="s">
        <v>107</v>
      </c>
      <c r="J16" s="1196"/>
      <c r="K16" s="1197" t="s">
        <v>398</v>
      </c>
      <c r="L16" s="1197"/>
      <c r="M16" s="1197" t="s">
        <v>4759</v>
      </c>
      <c r="N16" s="1197" t="s">
        <v>4760</v>
      </c>
    </row>
    <row r="17" spans="1:34" s="503" customFormat="1" ht="27" hidden="1" customHeight="1" x14ac:dyDescent="0.2">
      <c r="A17" s="136"/>
      <c r="B17" s="1197" t="s">
        <v>4872</v>
      </c>
      <c r="C17" s="1197"/>
      <c r="D17" s="1197"/>
      <c r="E17" s="1197" t="s">
        <v>116</v>
      </c>
      <c r="F17" s="1197"/>
      <c r="G17" s="1197"/>
      <c r="H17" s="1197"/>
      <c r="I17" s="1197" t="s">
        <v>108</v>
      </c>
      <c r="J17" s="1196" t="s">
        <v>109</v>
      </c>
      <c r="K17" s="1197" t="s">
        <v>108</v>
      </c>
      <c r="L17" s="1197" t="s">
        <v>109</v>
      </c>
      <c r="M17" s="1197"/>
      <c r="N17" s="1197"/>
      <c r="S17" s="250"/>
      <c r="T17" s="250"/>
      <c r="U17" s="250"/>
      <c r="V17" s="250"/>
      <c r="W17" s="250"/>
      <c r="X17" s="250"/>
      <c r="Y17" s="250"/>
      <c r="Z17" s="250"/>
      <c r="AA17" s="250"/>
      <c r="AB17" s="250"/>
      <c r="AC17" s="250"/>
      <c r="AD17" s="250"/>
      <c r="AE17" s="250"/>
      <c r="AF17" s="250"/>
      <c r="AG17" s="250"/>
      <c r="AH17" s="250"/>
    </row>
    <row r="18" spans="1:34" s="503" customFormat="1" ht="12.75" hidden="1" customHeight="1" x14ac:dyDescent="0.2">
      <c r="B18" s="1197"/>
      <c r="C18" s="1197"/>
      <c r="D18" s="1197"/>
      <c r="E18" s="1197"/>
      <c r="F18" s="1197"/>
      <c r="G18" s="1197"/>
      <c r="H18" s="1197"/>
      <c r="I18" s="1197"/>
      <c r="J18" s="1196"/>
      <c r="K18" s="1197"/>
      <c r="L18" s="1197"/>
      <c r="M18" s="1197"/>
      <c r="N18" s="1197"/>
      <c r="S18" s="250"/>
      <c r="T18" s="250"/>
      <c r="U18" s="250"/>
      <c r="V18" s="250"/>
      <c r="W18" s="250"/>
      <c r="X18" s="250"/>
      <c r="Y18" s="250"/>
      <c r="Z18" s="250"/>
      <c r="AA18" s="250"/>
      <c r="AB18" s="250"/>
      <c r="AC18" s="250"/>
      <c r="AD18" s="250"/>
      <c r="AE18" s="250"/>
      <c r="AF18" s="250"/>
      <c r="AG18" s="250"/>
      <c r="AH18" s="250"/>
    </row>
    <row r="19" spans="1:34" s="503" customFormat="1" ht="8.1" hidden="1" customHeight="1" x14ac:dyDescent="0.2">
      <c r="A19" s="136"/>
      <c r="S19" s="250"/>
      <c r="T19" s="250"/>
      <c r="U19" s="250"/>
      <c r="V19" s="250"/>
      <c r="W19" s="250"/>
      <c r="X19" s="250"/>
      <c r="Y19" s="250"/>
      <c r="Z19" s="250"/>
      <c r="AA19" s="250"/>
      <c r="AB19" s="250"/>
      <c r="AC19" s="250"/>
      <c r="AD19" s="250"/>
      <c r="AE19" s="250"/>
      <c r="AF19" s="250"/>
      <c r="AG19" s="250"/>
      <c r="AH19" s="250"/>
    </row>
    <row r="20" spans="1:34" s="69" customFormat="1" ht="24.95" customHeight="1" x14ac:dyDescent="0.2">
      <c r="A20" s="503"/>
      <c r="B20" s="448" t="s">
        <v>4874</v>
      </c>
      <c r="C20" s="449"/>
      <c r="D20" s="449" t="s">
        <v>54</v>
      </c>
      <c r="E20" s="449"/>
      <c r="F20" s="449"/>
      <c r="G20" s="449"/>
      <c r="H20" s="449"/>
      <c r="I20" s="449"/>
      <c r="J20" s="449"/>
      <c r="K20" s="449"/>
      <c r="L20" s="449"/>
      <c r="M20" s="449"/>
      <c r="N20" s="450">
        <f>COUNTIF('ANALISIS TÉCNICO'!F89:G118,'COSTO TOTAL'!D20)</f>
        <v>0</v>
      </c>
      <c r="O20" s="503"/>
      <c r="P20" s="503"/>
      <c r="Q20" s="503"/>
      <c r="R20" s="503"/>
      <c r="S20" s="425"/>
      <c r="T20" s="425"/>
      <c r="U20" s="425"/>
      <c r="V20" s="425"/>
      <c r="W20" s="425"/>
      <c r="X20" s="425"/>
      <c r="Y20" s="425" t="s">
        <v>4787</v>
      </c>
      <c r="Z20" s="425"/>
      <c r="AA20" s="425"/>
      <c r="AF20" s="425"/>
      <c r="AG20" s="425"/>
      <c r="AH20" s="425"/>
    </row>
    <row r="21" spans="1:34" s="69" customFormat="1" ht="60" customHeight="1" x14ac:dyDescent="0.2">
      <c r="A21" s="136"/>
      <c r="B21" s="1248" t="str">
        <f>IFERROR(INDEX('ANALISIS TÉCNICO'!$B$89:$M$118,MATCH(1,'ANALISIS TÉCNICO'!$M$89:$M$118,0),1),"")</f>
        <v/>
      </c>
      <c r="C21" s="1248"/>
      <c r="D21" s="1248"/>
      <c r="E21" s="1250" t="str">
        <f>IFERROR(INDEX('ANALISIS TÉCNICO'!$B$89:$M$118,MATCH(1,'ANALISIS TÉCNICO'!$M$89:$M$118,0),3),"")</f>
        <v/>
      </c>
      <c r="F21" s="1252"/>
      <c r="G21" s="1250" t="str">
        <f>IFERROR(IF(B21="","",$D$20),"")</f>
        <v/>
      </c>
      <c r="H21" s="1252"/>
      <c r="I21" s="457" t="str">
        <f>IFERROR(INDEX('ANALISIS TÉCNICO'!$B$89:$M$118,MATCH(1,'ANALISIS TÉCNICO'!$M$89:$M$118,0),7),"")</f>
        <v/>
      </c>
      <c r="J21" s="457" t="str">
        <f>IFERROR(INDEX('ANALISIS TÉCNICO'!$B$89:$M$118,MATCH(1,'ANALISIS TÉCNICO'!$M$89:$M$118,0),8),"")</f>
        <v/>
      </c>
      <c r="K21" s="457" t="str">
        <f>IFERROR(INDEX('ANALISIS TÉCNICO'!$B$89:$M$118,MATCH(1,'ANALISIS TÉCNICO'!$M$89:$M$118,0),9),"")</f>
        <v/>
      </c>
      <c r="L21" s="266" t="str">
        <f>IFERROR(INDEX('ANALISIS TÉCNICO'!$B$89:$M$118,MATCH(1,'ANALISIS TÉCNICO'!$M$89:$M$118,0),10),"")</f>
        <v/>
      </c>
      <c r="M21" s="273"/>
      <c r="N21" s="266" t="str">
        <f t="shared" ref="N21:N29" si="0">IFERROR(IF(G21="","",IF(G21="Infraestructura",M21*L21,M21*J21)),"")</f>
        <v/>
      </c>
      <c r="O21" s="503"/>
      <c r="P21" s="503"/>
      <c r="Q21" s="503"/>
      <c r="R21" s="503"/>
      <c r="S21" s="425"/>
      <c r="T21" s="530" t="str">
        <f>IFERROR(IF(B21="","b","c"),"")</f>
        <v>b</v>
      </c>
      <c r="U21" s="425">
        <f>IFERROR(COUNTIF($T$20:T21,$T$21),"")</f>
        <v>1</v>
      </c>
      <c r="V21" s="425" t="str">
        <f t="shared" ref="V21:V28" si="1">IFERROR(B21&amp;" "&amp;E21,"")</f>
        <v xml:space="preserve"> </v>
      </c>
      <c r="W21" s="538" t="str">
        <f>IFERROR(AA21,"")</f>
        <v/>
      </c>
      <c r="X21" s="425">
        <v>1</v>
      </c>
      <c r="Y21" s="425" t="str">
        <f>IFERROR(VLOOKUP(X21,$U$21:$W$62,2,FALSE),"")</f>
        <v xml:space="preserve"> </v>
      </c>
      <c r="Z21" s="425" t="str">
        <f>IFERROR(VLOOKUP(X21,$U$21:$W$62,3,FALSE),"")</f>
        <v/>
      </c>
      <c r="AA21" s="425" t="str">
        <f>IFERROR(N21/$N$37*$M$45+N21,"")</f>
        <v/>
      </c>
      <c r="AF21" s="425"/>
      <c r="AG21" s="425"/>
      <c r="AH21" s="425"/>
    </row>
    <row r="22" spans="1:34" s="69" customFormat="1" ht="60" hidden="1" customHeight="1" x14ac:dyDescent="0.2">
      <c r="A22" s="136"/>
      <c r="B22" s="1248" t="str">
        <f>IFERROR(INDEX('ANALISIS TÉCNICO'!$B$89:$M$118,MATCH(2,'ANALISIS TÉCNICO'!$M$89:$M$118,0),1),"")</f>
        <v/>
      </c>
      <c r="C22" s="1248"/>
      <c r="D22" s="1248"/>
      <c r="E22" s="1250" t="str">
        <f>IFERROR(INDEX('ANALISIS TÉCNICO'!$B$89:$M$118,MATCH(2,'ANALISIS TÉCNICO'!$M$89:$M$118,0),3),"")</f>
        <v/>
      </c>
      <c r="F22" s="1252"/>
      <c r="G22" s="1250" t="str">
        <f t="shared" ref="G22:G29" si="2">IFERROR(IF(B22="","",$D$20),"")</f>
        <v/>
      </c>
      <c r="H22" s="1252"/>
      <c r="I22" s="457" t="str">
        <f>IFERROR(INDEX('ANALISIS TÉCNICO'!$B$89:$M$118,MATCH(2,'ANALISIS TÉCNICO'!$M$89:$M$118,0),7),"")</f>
        <v/>
      </c>
      <c r="J22" s="457" t="str">
        <f>IFERROR(INDEX('ANALISIS TÉCNICO'!$B$89:$M$118,MATCH(2,'ANALISIS TÉCNICO'!$M$89:$M$118,0),8),"")</f>
        <v/>
      </c>
      <c r="K22" s="457" t="str">
        <f>IFERROR(INDEX('ANALISIS TÉCNICO'!$B$89:$M$118,MATCH(2,'ANALISIS TÉCNICO'!$M$89:$M$118,0),9),"")</f>
        <v/>
      </c>
      <c r="L22" s="266" t="str">
        <f>IFERROR(INDEX('ANALISIS TÉCNICO'!$B$89:$M$118,MATCH(2,'ANALISIS TÉCNICO'!$M$89:$M$118,0),10),"")</f>
        <v/>
      </c>
      <c r="M22" s="273"/>
      <c r="N22" s="266" t="str">
        <f t="shared" si="0"/>
        <v/>
      </c>
      <c r="O22" s="503"/>
      <c r="P22" s="503"/>
      <c r="Q22" s="503"/>
      <c r="R22" s="503"/>
      <c r="S22" s="425"/>
      <c r="T22" s="530" t="str">
        <f t="shared" ref="T22:T29" si="3">IFERROR(IF(B22="","b","c"),"")</f>
        <v>b</v>
      </c>
      <c r="U22" s="425">
        <f>IFERROR(COUNTIF($T$20:T22,$T$21),"")</f>
        <v>2</v>
      </c>
      <c r="V22" s="425" t="str">
        <f t="shared" si="1"/>
        <v xml:space="preserve"> </v>
      </c>
      <c r="W22" s="538" t="str">
        <f t="shared" ref="W22:W62" si="4">IFERROR(AA22,"")</f>
        <v/>
      </c>
      <c r="X22" s="425">
        <v>2</v>
      </c>
      <c r="Y22" s="425" t="str">
        <f t="shared" ref="Y22:Y50" si="5">IFERROR(VLOOKUP(X22,$U$21:$W$62,2,FALSE),"")</f>
        <v xml:space="preserve"> </v>
      </c>
      <c r="Z22" s="425" t="str">
        <f t="shared" ref="Z22:Z50" si="6">IFERROR(VLOOKUP(X22,$U$21:$W$62,3,FALSE),"")</f>
        <v/>
      </c>
      <c r="AA22" s="425" t="str">
        <f t="shared" ref="AA22:AA29" si="7">IFERROR(N22/$N$37*$M$45+N22,"")</f>
        <v/>
      </c>
      <c r="AF22" s="425"/>
      <c r="AG22" s="425"/>
      <c r="AH22" s="425"/>
    </row>
    <row r="23" spans="1:34" s="69" customFormat="1" ht="60" hidden="1" customHeight="1" x14ac:dyDescent="0.2">
      <c r="A23" s="136"/>
      <c r="B23" s="1248" t="str">
        <f>IFERROR(INDEX('ANALISIS TÉCNICO'!$B$89:$M$118,MATCH(3,'ANALISIS TÉCNICO'!$M$89:$M$118,0),1),"")</f>
        <v/>
      </c>
      <c r="C23" s="1248"/>
      <c r="D23" s="1248"/>
      <c r="E23" s="1250" t="str">
        <f>IFERROR(INDEX('ANALISIS TÉCNICO'!$B$89:$M$118,MATCH(3,'ANALISIS TÉCNICO'!$M$89:$M$118,0),3),"")</f>
        <v/>
      </c>
      <c r="F23" s="1252"/>
      <c r="G23" s="1250" t="str">
        <f t="shared" si="2"/>
        <v/>
      </c>
      <c r="H23" s="1252"/>
      <c r="I23" s="457" t="str">
        <f>IFERROR(INDEX('ANALISIS TÉCNICO'!$B$89:$M$118,MATCH(3,'ANALISIS TÉCNICO'!$M$89:$M$118,0),7),"")</f>
        <v/>
      </c>
      <c r="J23" s="457" t="str">
        <f>IFERROR(INDEX('ANALISIS TÉCNICO'!$B$89:$M$118,MATCH(3,'ANALISIS TÉCNICO'!$M$89:$M$118,0),8),"")</f>
        <v/>
      </c>
      <c r="K23" s="457" t="str">
        <f>IFERROR(INDEX('ANALISIS TÉCNICO'!$B$89:$M$118,MATCH(3,'ANALISIS TÉCNICO'!$M$89:$M$118,0),9),"")</f>
        <v/>
      </c>
      <c r="L23" s="266" t="str">
        <f>IFERROR(INDEX('ANALISIS TÉCNICO'!$B$89:$M$118,MATCH(3,'ANALISIS TÉCNICO'!$M$89:$M$118,0),10),"")</f>
        <v/>
      </c>
      <c r="M23" s="273"/>
      <c r="N23" s="266" t="str">
        <f t="shared" si="0"/>
        <v/>
      </c>
      <c r="O23" s="503"/>
      <c r="P23" s="503"/>
      <c r="Q23" s="503"/>
      <c r="R23" s="503"/>
      <c r="S23" s="425"/>
      <c r="T23" s="530" t="str">
        <f t="shared" si="3"/>
        <v>b</v>
      </c>
      <c r="U23" s="425">
        <f>IFERROR(COUNTIF($T$20:T23,$T$21),"")</f>
        <v>3</v>
      </c>
      <c r="V23" s="425" t="str">
        <f t="shared" si="1"/>
        <v xml:space="preserve"> </v>
      </c>
      <c r="W23" s="538" t="str">
        <f t="shared" si="4"/>
        <v/>
      </c>
      <c r="X23" s="425">
        <v>3</v>
      </c>
      <c r="Y23" s="425" t="str">
        <f t="shared" si="5"/>
        <v xml:space="preserve"> </v>
      </c>
      <c r="Z23" s="425" t="str">
        <f t="shared" si="6"/>
        <v/>
      </c>
      <c r="AA23" s="425" t="str">
        <f t="shared" si="7"/>
        <v/>
      </c>
      <c r="AF23" s="425"/>
      <c r="AG23" s="425"/>
      <c r="AH23" s="425"/>
    </row>
    <row r="24" spans="1:34" s="69" customFormat="1" ht="60" hidden="1" customHeight="1" x14ac:dyDescent="0.2">
      <c r="A24" s="136"/>
      <c r="B24" s="1248" t="str">
        <f>IFERROR(INDEX('ANALISIS TÉCNICO'!$B$89:$M$118,MATCH(4,'ANALISIS TÉCNICO'!$M$89:$M$118,0),1),"")</f>
        <v/>
      </c>
      <c r="C24" s="1248"/>
      <c r="D24" s="1248"/>
      <c r="E24" s="1250" t="str">
        <f>IFERROR(INDEX('ANALISIS TÉCNICO'!$B$89:$M$118,MATCH(4,'ANALISIS TÉCNICO'!$M$89:$M$118,0),3),"")</f>
        <v/>
      </c>
      <c r="F24" s="1252"/>
      <c r="G24" s="1250" t="str">
        <f t="shared" si="2"/>
        <v/>
      </c>
      <c r="H24" s="1252"/>
      <c r="I24" s="457" t="str">
        <f>IFERROR(INDEX('ANALISIS TÉCNICO'!$B$89:$M$118,MATCH(4,'ANALISIS TÉCNICO'!$M$89:$M$118,0),7),"")</f>
        <v/>
      </c>
      <c r="J24" s="457" t="str">
        <f>IFERROR(INDEX('ANALISIS TÉCNICO'!$B$89:$M$118,MATCH(4,'ANALISIS TÉCNICO'!$M$89:$M$118,0),8),"")</f>
        <v/>
      </c>
      <c r="K24" s="457" t="str">
        <f>IFERROR(INDEX('ANALISIS TÉCNICO'!$B$89:$M$118,MATCH(4,'ANALISIS TÉCNICO'!$M$89:$M$118,0),9),"")</f>
        <v/>
      </c>
      <c r="L24" s="266" t="str">
        <f>IFERROR(INDEX('ANALISIS TÉCNICO'!$B$89:$M$118,MATCH(4,'ANALISIS TÉCNICO'!$M$89:$M$118,0),10),"")</f>
        <v/>
      </c>
      <c r="M24" s="273"/>
      <c r="N24" s="266" t="str">
        <f t="shared" si="0"/>
        <v/>
      </c>
      <c r="O24" s="503"/>
      <c r="P24" s="503"/>
      <c r="Q24" s="503"/>
      <c r="R24" s="503"/>
      <c r="S24" s="425"/>
      <c r="T24" s="530" t="str">
        <f t="shared" si="3"/>
        <v>b</v>
      </c>
      <c r="U24" s="425">
        <f>IFERROR(COUNTIF($T$20:T24,$T$21),"")</f>
        <v>4</v>
      </c>
      <c r="V24" s="425" t="str">
        <f t="shared" si="1"/>
        <v xml:space="preserve"> </v>
      </c>
      <c r="W24" s="538" t="str">
        <f t="shared" si="4"/>
        <v/>
      </c>
      <c r="X24" s="425">
        <v>4</v>
      </c>
      <c r="Y24" s="425" t="str">
        <f t="shared" si="5"/>
        <v xml:space="preserve"> </v>
      </c>
      <c r="Z24" s="425" t="str">
        <f t="shared" si="6"/>
        <v/>
      </c>
      <c r="AA24" s="425" t="str">
        <f t="shared" si="7"/>
        <v/>
      </c>
      <c r="AF24" s="425"/>
      <c r="AG24" s="425"/>
      <c r="AH24" s="425"/>
    </row>
    <row r="25" spans="1:34" s="69" customFormat="1" ht="60" hidden="1" customHeight="1" x14ac:dyDescent="0.2">
      <c r="A25" s="136"/>
      <c r="B25" s="1248" t="str">
        <f>IFERROR(INDEX('ANALISIS TÉCNICO'!$B$89:$M$118,MATCH(5,'ANALISIS TÉCNICO'!$M$89:$M$118,0),1),"")</f>
        <v/>
      </c>
      <c r="C25" s="1248"/>
      <c r="D25" s="1248"/>
      <c r="E25" s="1250" t="str">
        <f>IFERROR(INDEX('ANALISIS TÉCNICO'!$B$89:$M$118,MATCH(5,'ANALISIS TÉCNICO'!$M$89:$M$118,0),3),"")</f>
        <v/>
      </c>
      <c r="F25" s="1252"/>
      <c r="G25" s="1250" t="str">
        <f t="shared" si="2"/>
        <v/>
      </c>
      <c r="H25" s="1252"/>
      <c r="I25" s="457" t="str">
        <f>IFERROR(INDEX('ANALISIS TÉCNICO'!$B$89:$M$118,MATCH(5,'ANALISIS TÉCNICO'!$M$89:$M$118,0),7),"")</f>
        <v/>
      </c>
      <c r="J25" s="457" t="str">
        <f>IFERROR(INDEX('ANALISIS TÉCNICO'!$B$89:$M$118,MATCH(5,'ANALISIS TÉCNICO'!$M$89:$M$118,0),8),"")</f>
        <v/>
      </c>
      <c r="K25" s="457" t="str">
        <f>IFERROR(INDEX('ANALISIS TÉCNICO'!$B$89:$M$118,MATCH(5,'ANALISIS TÉCNICO'!$M$89:$M$118,0),9),"")</f>
        <v/>
      </c>
      <c r="L25" s="266" t="str">
        <f>IFERROR(INDEX('ANALISIS TÉCNICO'!$B$89:$M$118,MATCH(5,'ANALISIS TÉCNICO'!$M$89:$M$118,0),10),"")</f>
        <v/>
      </c>
      <c r="M25" s="273"/>
      <c r="N25" s="266" t="str">
        <f t="shared" si="0"/>
        <v/>
      </c>
      <c r="O25" s="503"/>
      <c r="P25" s="503"/>
      <c r="Q25" s="503"/>
      <c r="R25" s="503"/>
      <c r="S25" s="425"/>
      <c r="T25" s="530" t="str">
        <f t="shared" si="3"/>
        <v>b</v>
      </c>
      <c r="U25" s="425">
        <f>IFERROR(COUNTIF($T$20:T25,$T$21),"")</f>
        <v>5</v>
      </c>
      <c r="V25" s="425" t="str">
        <f t="shared" si="1"/>
        <v xml:space="preserve"> </v>
      </c>
      <c r="W25" s="538" t="str">
        <f t="shared" si="4"/>
        <v/>
      </c>
      <c r="X25" s="425">
        <v>5</v>
      </c>
      <c r="Y25" s="425" t="str">
        <f t="shared" si="5"/>
        <v xml:space="preserve"> </v>
      </c>
      <c r="Z25" s="425" t="str">
        <f t="shared" si="6"/>
        <v/>
      </c>
      <c r="AA25" s="425" t="str">
        <f t="shared" si="7"/>
        <v/>
      </c>
      <c r="AF25" s="425"/>
      <c r="AG25" s="425"/>
      <c r="AH25" s="425"/>
    </row>
    <row r="26" spans="1:34" s="69" customFormat="1" ht="60" hidden="1" customHeight="1" x14ac:dyDescent="0.2">
      <c r="A26" s="136"/>
      <c r="B26" s="1248" t="str">
        <f>IFERROR(INDEX('ANALISIS TÉCNICO'!$B$89:$M$118,MATCH(6,'ANALISIS TÉCNICO'!$M$89:$M$118,0),1),"")</f>
        <v/>
      </c>
      <c r="C26" s="1248"/>
      <c r="D26" s="1248"/>
      <c r="E26" s="1250" t="str">
        <f>IFERROR(INDEX('ANALISIS TÉCNICO'!$B$89:$M$118,MATCH(6,'ANALISIS TÉCNICO'!$M$89:$M$118,0),3),"")</f>
        <v/>
      </c>
      <c r="F26" s="1252"/>
      <c r="G26" s="1250" t="str">
        <f t="shared" si="2"/>
        <v/>
      </c>
      <c r="H26" s="1252"/>
      <c r="I26" s="457" t="str">
        <f>IFERROR(INDEX('ANALISIS TÉCNICO'!$B$89:$M$118,MATCH(6,'ANALISIS TÉCNICO'!$M$89:$M$118,0),7),"")</f>
        <v/>
      </c>
      <c r="J26" s="457" t="str">
        <f>IFERROR(INDEX('ANALISIS TÉCNICO'!$B$89:$M$118,MATCH(6,'ANALISIS TÉCNICO'!$M$89:$M$118,0),8),"")</f>
        <v/>
      </c>
      <c r="K26" s="457" t="str">
        <f>IFERROR(INDEX('ANALISIS TÉCNICO'!$B$89:$M$118,MATCH(6,'ANALISIS TÉCNICO'!$M$89:$M$118,0),9),"")</f>
        <v/>
      </c>
      <c r="L26" s="266" t="str">
        <f>IFERROR(INDEX('ANALISIS TÉCNICO'!$B$89:$M$118,MATCH(6,'ANALISIS TÉCNICO'!$M$89:$M$118,0),10),"")</f>
        <v/>
      </c>
      <c r="M26" s="273"/>
      <c r="N26" s="266" t="str">
        <f t="shared" si="0"/>
        <v/>
      </c>
      <c r="O26" s="503"/>
      <c r="P26" s="503"/>
      <c r="Q26" s="503"/>
      <c r="R26" s="503"/>
      <c r="S26" s="425"/>
      <c r="T26" s="530" t="str">
        <f t="shared" si="3"/>
        <v>b</v>
      </c>
      <c r="U26" s="425">
        <f>IFERROR(COUNTIF($T$20:T26,$T$21),"")</f>
        <v>6</v>
      </c>
      <c r="V26" s="425" t="str">
        <f t="shared" si="1"/>
        <v xml:space="preserve"> </v>
      </c>
      <c r="W26" s="538" t="str">
        <f t="shared" si="4"/>
        <v/>
      </c>
      <c r="X26" s="425">
        <v>6</v>
      </c>
      <c r="Y26" s="425" t="str">
        <f t="shared" si="5"/>
        <v xml:space="preserve"> </v>
      </c>
      <c r="Z26" s="425" t="str">
        <f t="shared" si="6"/>
        <v/>
      </c>
      <c r="AA26" s="425" t="str">
        <f t="shared" si="7"/>
        <v/>
      </c>
      <c r="AF26" s="425"/>
      <c r="AG26" s="425"/>
      <c r="AH26" s="425"/>
    </row>
    <row r="27" spans="1:34" s="69" customFormat="1" ht="60" hidden="1" customHeight="1" x14ac:dyDescent="0.2">
      <c r="A27" s="136"/>
      <c r="B27" s="1248" t="str">
        <f>IFERROR(INDEX('ANALISIS TÉCNICO'!$B$89:$M$118,MATCH(7,'ANALISIS TÉCNICO'!$M$89:$M$118,0),1),"")</f>
        <v/>
      </c>
      <c r="C27" s="1248"/>
      <c r="D27" s="1248"/>
      <c r="E27" s="1250" t="str">
        <f>IFERROR(INDEX('ANALISIS TÉCNICO'!$B$89:$M$118,MATCH(7,'ANALISIS TÉCNICO'!$M$89:$M$118,0),3),"")</f>
        <v/>
      </c>
      <c r="F27" s="1252"/>
      <c r="G27" s="1250" t="str">
        <f t="shared" si="2"/>
        <v/>
      </c>
      <c r="H27" s="1252"/>
      <c r="I27" s="457" t="str">
        <f>IFERROR(INDEX('ANALISIS TÉCNICO'!$B$89:$M$118,MATCH(7,'ANALISIS TÉCNICO'!$M$89:$M$118,0),7),"")</f>
        <v/>
      </c>
      <c r="J27" s="457" t="str">
        <f>IFERROR(INDEX('ANALISIS TÉCNICO'!$B$89:$M$118,MATCH(7,'ANALISIS TÉCNICO'!$M$89:$M$118,0),8),"")</f>
        <v/>
      </c>
      <c r="K27" s="457" t="str">
        <f>IFERROR(INDEX('ANALISIS TÉCNICO'!$B$89:$M$118,MATCH(7,'ANALISIS TÉCNICO'!$M$89:$M$118,0),9),"")</f>
        <v/>
      </c>
      <c r="L27" s="266" t="str">
        <f>IFERROR(INDEX('ANALISIS TÉCNICO'!$B$89:$M$118,MATCH(7,'ANALISIS TÉCNICO'!$M$89:$M$118,0),10),"")</f>
        <v/>
      </c>
      <c r="M27" s="273"/>
      <c r="N27" s="266" t="str">
        <f t="shared" si="0"/>
        <v/>
      </c>
      <c r="O27" s="503"/>
      <c r="P27" s="503"/>
      <c r="Q27" s="503"/>
      <c r="R27" s="503"/>
      <c r="S27" s="425"/>
      <c r="T27" s="530" t="str">
        <f t="shared" si="3"/>
        <v>b</v>
      </c>
      <c r="U27" s="425">
        <f>IFERROR(COUNTIF($T$20:T27,$T$21),"")</f>
        <v>7</v>
      </c>
      <c r="V27" s="425" t="str">
        <f t="shared" si="1"/>
        <v xml:space="preserve"> </v>
      </c>
      <c r="W27" s="538" t="str">
        <f t="shared" si="4"/>
        <v/>
      </c>
      <c r="X27" s="425">
        <v>7</v>
      </c>
      <c r="Y27" s="425" t="str">
        <f t="shared" si="5"/>
        <v xml:space="preserve"> </v>
      </c>
      <c r="Z27" s="425" t="str">
        <f t="shared" si="6"/>
        <v/>
      </c>
      <c r="AA27" s="425" t="str">
        <f t="shared" si="7"/>
        <v/>
      </c>
      <c r="AF27" s="425"/>
      <c r="AG27" s="425"/>
      <c r="AH27" s="425"/>
    </row>
    <row r="28" spans="1:34" s="69" customFormat="1" ht="60" hidden="1" customHeight="1" x14ac:dyDescent="0.2">
      <c r="A28" s="503"/>
      <c r="B28" s="1248" t="str">
        <f>IFERROR(INDEX('ANALISIS TÉCNICO'!$B$89:$M$118,MATCH(8,'ANALISIS TÉCNICO'!$M$89:$M$118,0),1),"")</f>
        <v/>
      </c>
      <c r="C28" s="1248"/>
      <c r="D28" s="1248"/>
      <c r="E28" s="1250" t="str">
        <f>IFERROR(INDEX('ANALISIS TÉCNICO'!$B$89:$M$118,MATCH(8,'ANALISIS TÉCNICO'!$M$89:$M$118,0),3),"")</f>
        <v/>
      </c>
      <c r="F28" s="1252"/>
      <c r="G28" s="1250" t="str">
        <f t="shared" si="2"/>
        <v/>
      </c>
      <c r="H28" s="1252"/>
      <c r="I28" s="457" t="str">
        <f>IFERROR(INDEX('ANALISIS TÉCNICO'!$B$89:$M$118,MATCH(8,'ANALISIS TÉCNICO'!$M$89:$M$118,0),7),"")</f>
        <v/>
      </c>
      <c r="J28" s="457" t="str">
        <f>IFERROR(INDEX('ANALISIS TÉCNICO'!$B$89:$M$118,MATCH(8,'ANALISIS TÉCNICO'!$M$89:$M$118,0),8),"")</f>
        <v/>
      </c>
      <c r="K28" s="457" t="str">
        <f>IFERROR(INDEX('ANALISIS TÉCNICO'!$B$89:$M$118,MATCH(8,'ANALISIS TÉCNICO'!$M$89:$M$118,0),9),"")</f>
        <v/>
      </c>
      <c r="L28" s="266" t="str">
        <f>IFERROR(INDEX('ANALISIS TÉCNICO'!$B$89:$M$118,MATCH(8,'ANALISIS TÉCNICO'!$M$89:$M$118,0),10),"")</f>
        <v/>
      </c>
      <c r="M28" s="273"/>
      <c r="N28" s="266" t="str">
        <f t="shared" si="0"/>
        <v/>
      </c>
      <c r="O28" s="503"/>
      <c r="P28" s="503"/>
      <c r="Q28" s="503"/>
      <c r="R28" s="503"/>
      <c r="S28" s="425"/>
      <c r="T28" s="530" t="str">
        <f t="shared" si="3"/>
        <v>b</v>
      </c>
      <c r="U28" s="425">
        <f>IFERROR(COUNTIF($T$20:T28,$T$21),"")</f>
        <v>8</v>
      </c>
      <c r="V28" s="425" t="str">
        <f t="shared" si="1"/>
        <v xml:space="preserve"> </v>
      </c>
      <c r="W28" s="538" t="str">
        <f t="shared" si="4"/>
        <v/>
      </c>
      <c r="X28" s="425">
        <v>8</v>
      </c>
      <c r="Y28" s="425" t="str">
        <f t="shared" si="5"/>
        <v xml:space="preserve"> </v>
      </c>
      <c r="Z28" s="425" t="str">
        <f t="shared" si="6"/>
        <v/>
      </c>
      <c r="AA28" s="425" t="str">
        <f t="shared" si="7"/>
        <v/>
      </c>
      <c r="AF28" s="425"/>
      <c r="AG28" s="425"/>
      <c r="AH28" s="425"/>
    </row>
    <row r="29" spans="1:34" s="69" customFormat="1" ht="60" hidden="1" customHeight="1" x14ac:dyDescent="0.2">
      <c r="A29" s="136"/>
      <c r="B29" s="1248" t="str">
        <f>IFERROR(INDEX('ANALISIS TÉCNICO'!$B$89:$M$118,MATCH(9,'ANALISIS TÉCNICO'!$M$89:$M$118,0),1),"")</f>
        <v/>
      </c>
      <c r="C29" s="1248"/>
      <c r="D29" s="1248"/>
      <c r="E29" s="1250" t="str">
        <f>IFERROR(INDEX('ANALISIS TÉCNICO'!$B$89:$M$118,MATCH(9,'ANALISIS TÉCNICO'!$M$89:$M$118,0),3),"")</f>
        <v/>
      </c>
      <c r="F29" s="1252"/>
      <c r="G29" s="1250" t="str">
        <f t="shared" si="2"/>
        <v/>
      </c>
      <c r="H29" s="1252"/>
      <c r="I29" s="457" t="str">
        <f>IFERROR(INDEX('ANALISIS TÉCNICO'!$B$89:$M$118,MATCH(9,'ANALISIS TÉCNICO'!$M$89:$M$118,0),7),"")</f>
        <v/>
      </c>
      <c r="J29" s="457" t="str">
        <f>IFERROR(INDEX('ANALISIS TÉCNICO'!$B$89:$M$118,MATCH(9,'ANALISIS TÉCNICO'!$M$89:$M$118,0),8),"")</f>
        <v/>
      </c>
      <c r="K29" s="457" t="str">
        <f>IFERROR(INDEX('ANALISIS TÉCNICO'!$B$89:$M$118,MATCH(9,'ANALISIS TÉCNICO'!$M$89:$M$118,0),9),"")</f>
        <v/>
      </c>
      <c r="L29" s="266" t="str">
        <f>IFERROR(INDEX('ANALISIS TÉCNICO'!$B$89:$M$118,MATCH(9,'ANALISIS TÉCNICO'!$M$89:$M$118,0),10),"")</f>
        <v/>
      </c>
      <c r="M29" s="273"/>
      <c r="N29" s="266" t="str">
        <f t="shared" si="0"/>
        <v/>
      </c>
      <c r="O29" s="503"/>
      <c r="P29" s="503"/>
      <c r="Q29" s="503"/>
      <c r="R29" s="503"/>
      <c r="S29" s="425"/>
      <c r="T29" s="530" t="str">
        <f t="shared" si="3"/>
        <v>b</v>
      </c>
      <c r="U29" s="425">
        <f>IFERROR(COUNTIF($T$20:T29,$T$21),"")</f>
        <v>9</v>
      </c>
      <c r="V29" s="425" t="str">
        <f>IFERROR(B29&amp;" "&amp;E29,"")</f>
        <v xml:space="preserve"> </v>
      </c>
      <c r="W29" s="538" t="str">
        <f t="shared" si="4"/>
        <v/>
      </c>
      <c r="X29" s="425">
        <v>9</v>
      </c>
      <c r="Y29" s="425" t="str">
        <f t="shared" si="5"/>
        <v xml:space="preserve"> </v>
      </c>
      <c r="Z29" s="425" t="str">
        <f t="shared" si="6"/>
        <v/>
      </c>
      <c r="AA29" s="425" t="str">
        <f t="shared" si="7"/>
        <v/>
      </c>
      <c r="AF29" s="425"/>
      <c r="AG29" s="425"/>
      <c r="AH29" s="425"/>
    </row>
    <row r="30" spans="1:34" s="69" customFormat="1" ht="24.95" customHeight="1" x14ac:dyDescent="0.2">
      <c r="A30" s="503"/>
      <c r="B30" s="448" t="s">
        <v>4875</v>
      </c>
      <c r="C30" s="449"/>
      <c r="D30" s="449"/>
      <c r="E30" s="449"/>
      <c r="F30" s="449"/>
      <c r="G30" s="449"/>
      <c r="H30" s="449"/>
      <c r="I30" s="449"/>
      <c r="J30" s="449"/>
      <c r="K30" s="449"/>
      <c r="L30" s="496" t="s">
        <v>4922</v>
      </c>
      <c r="M30" s="555"/>
      <c r="N30" s="459"/>
      <c r="O30" s="503"/>
      <c r="P30" s="503"/>
      <c r="Q30" s="503"/>
      <c r="R30" s="503"/>
      <c r="S30" s="425"/>
      <c r="T30" s="530" t="str">
        <f t="shared" ref="T30:T35" si="8">IFERROR(IF(B31="","b","c"),"")</f>
        <v>b</v>
      </c>
      <c r="U30" s="425">
        <f>IFERROR(COUNTIF($T$20:T30,$T$21),"")</f>
        <v>10</v>
      </c>
      <c r="V30" s="425" t="str">
        <f t="shared" ref="V30:V35" si="9">IFERROR(B31&amp;" "&amp;E31,"")</f>
        <v xml:space="preserve"> </v>
      </c>
      <c r="W30" s="538" t="str">
        <f t="shared" si="4"/>
        <v/>
      </c>
      <c r="X30" s="425">
        <v>10</v>
      </c>
      <c r="Y30" s="425" t="str">
        <f t="shared" si="5"/>
        <v xml:space="preserve"> </v>
      </c>
      <c r="Z30" s="425" t="str">
        <f t="shared" si="6"/>
        <v/>
      </c>
      <c r="AA30" s="425" t="str">
        <f t="shared" ref="AA30:AA35" si="10">IFERROR(N31/$N$37*$M$45+N31,"")</f>
        <v/>
      </c>
      <c r="AF30" s="425"/>
      <c r="AG30" s="425"/>
      <c r="AH30" s="425"/>
    </row>
    <row r="31" spans="1:34" s="69" customFormat="1" ht="60" hidden="1" customHeight="1" x14ac:dyDescent="0.2">
      <c r="A31" s="136"/>
      <c r="B31" s="1759"/>
      <c r="C31" s="1759"/>
      <c r="D31" s="1759"/>
      <c r="E31" s="1186"/>
      <c r="F31" s="1188"/>
      <c r="G31" s="1250" t="str">
        <f t="shared" ref="G31:G36" si="11">IFERROR(IF(B31="","",$D$20),"")</f>
        <v/>
      </c>
      <c r="H31" s="1252"/>
      <c r="I31" s="457" t="str">
        <f t="shared" ref="I31:I36" si="12">IFERROR(IF(B31="","","Unidad"),"")</f>
        <v/>
      </c>
      <c r="J31" s="505"/>
      <c r="K31" s="457" t="str">
        <f t="shared" ref="K31:K36" si="13">IFERROR(IF(B31="","","ml"),"")</f>
        <v/>
      </c>
      <c r="L31" s="273"/>
      <c r="M31" s="273"/>
      <c r="N31" s="266" t="str">
        <f t="shared" ref="N31:N36" si="14">IFERROR(IF(G31="","",IF(G31="Infraestructura",M31*L31,M31*J31)),"")</f>
        <v/>
      </c>
      <c r="O31" s="503"/>
      <c r="P31" s="503"/>
      <c r="Q31" s="503"/>
      <c r="R31" s="503"/>
      <c r="S31" s="425"/>
      <c r="T31" s="530" t="str">
        <f t="shared" si="8"/>
        <v>b</v>
      </c>
      <c r="U31" s="425">
        <f>IFERROR(COUNTIF($T$20:T31,$T$21),"")</f>
        <v>11</v>
      </c>
      <c r="V31" s="425" t="str">
        <f t="shared" si="9"/>
        <v xml:space="preserve"> </v>
      </c>
      <c r="W31" s="538" t="str">
        <f t="shared" si="4"/>
        <v/>
      </c>
      <c r="X31" s="425">
        <v>11</v>
      </c>
      <c r="Y31" s="425" t="str">
        <f t="shared" si="5"/>
        <v xml:space="preserve"> </v>
      </c>
      <c r="Z31" s="425" t="str">
        <f t="shared" si="6"/>
        <v/>
      </c>
      <c r="AA31" s="425" t="str">
        <f t="shared" si="10"/>
        <v/>
      </c>
      <c r="AF31" s="425"/>
      <c r="AG31" s="425"/>
      <c r="AH31" s="425"/>
    </row>
    <row r="32" spans="1:34" s="69" customFormat="1" ht="60" hidden="1" customHeight="1" x14ac:dyDescent="0.2">
      <c r="A32" s="503"/>
      <c r="B32" s="1759"/>
      <c r="C32" s="1759"/>
      <c r="D32" s="1759"/>
      <c r="E32" s="1186"/>
      <c r="F32" s="1188"/>
      <c r="G32" s="1250" t="str">
        <f t="shared" si="11"/>
        <v/>
      </c>
      <c r="H32" s="1252"/>
      <c r="I32" s="457" t="str">
        <f t="shared" si="12"/>
        <v/>
      </c>
      <c r="J32" s="505"/>
      <c r="K32" s="457" t="str">
        <f t="shared" si="13"/>
        <v/>
      </c>
      <c r="L32" s="273"/>
      <c r="M32" s="273"/>
      <c r="N32" s="266" t="str">
        <f t="shared" si="14"/>
        <v/>
      </c>
      <c r="O32" s="503"/>
      <c r="P32" s="503"/>
      <c r="Q32" s="503"/>
      <c r="R32" s="503"/>
      <c r="S32" s="425"/>
      <c r="T32" s="530" t="str">
        <f t="shared" si="8"/>
        <v>b</v>
      </c>
      <c r="U32" s="425">
        <f>IFERROR(COUNTIF($T$20:T32,$T$21),"")</f>
        <v>12</v>
      </c>
      <c r="V32" s="425" t="str">
        <f t="shared" si="9"/>
        <v xml:space="preserve"> </v>
      </c>
      <c r="W32" s="538" t="str">
        <f t="shared" si="4"/>
        <v/>
      </c>
      <c r="X32" s="425">
        <v>12</v>
      </c>
      <c r="Y32" s="425" t="str">
        <f t="shared" si="5"/>
        <v xml:space="preserve"> </v>
      </c>
      <c r="Z32" s="425" t="str">
        <f t="shared" si="6"/>
        <v/>
      </c>
      <c r="AA32" s="425" t="str">
        <f t="shared" si="10"/>
        <v/>
      </c>
      <c r="AF32" s="425"/>
      <c r="AG32" s="425"/>
      <c r="AH32" s="425"/>
    </row>
    <row r="33" spans="1:34" s="69" customFormat="1" ht="60" hidden="1" customHeight="1" x14ac:dyDescent="0.2">
      <c r="A33" s="136"/>
      <c r="B33" s="1759"/>
      <c r="C33" s="1759"/>
      <c r="D33" s="1759"/>
      <c r="E33" s="1186"/>
      <c r="F33" s="1188"/>
      <c r="G33" s="1250" t="str">
        <f t="shared" si="11"/>
        <v/>
      </c>
      <c r="H33" s="1252"/>
      <c r="I33" s="457" t="str">
        <f t="shared" si="12"/>
        <v/>
      </c>
      <c r="J33" s="505"/>
      <c r="K33" s="457" t="str">
        <f t="shared" si="13"/>
        <v/>
      </c>
      <c r="L33" s="273"/>
      <c r="M33" s="273"/>
      <c r="N33" s="266" t="str">
        <f t="shared" si="14"/>
        <v/>
      </c>
      <c r="O33" s="503"/>
      <c r="P33" s="503"/>
      <c r="Q33" s="503"/>
      <c r="R33" s="503"/>
      <c r="S33" s="425"/>
      <c r="T33" s="530" t="str">
        <f t="shared" si="8"/>
        <v>b</v>
      </c>
      <c r="U33" s="425">
        <f>IFERROR(COUNTIF($T$20:T33,$T$21),"")</f>
        <v>13</v>
      </c>
      <c r="V33" s="425" t="str">
        <f t="shared" si="9"/>
        <v xml:space="preserve"> </v>
      </c>
      <c r="W33" s="538" t="str">
        <f t="shared" si="4"/>
        <v/>
      </c>
      <c r="X33" s="425">
        <v>13</v>
      </c>
      <c r="Y33" s="425" t="str">
        <f t="shared" si="5"/>
        <v xml:space="preserve"> </v>
      </c>
      <c r="Z33" s="425" t="str">
        <f t="shared" si="6"/>
        <v/>
      </c>
      <c r="AA33" s="425" t="str">
        <f t="shared" si="10"/>
        <v/>
      </c>
      <c r="AF33" s="425"/>
      <c r="AG33" s="425"/>
      <c r="AH33" s="425"/>
    </row>
    <row r="34" spans="1:34" s="69" customFormat="1" ht="60" hidden="1" customHeight="1" x14ac:dyDescent="0.2">
      <c r="A34" s="136"/>
      <c r="B34" s="1204"/>
      <c r="C34" s="1249"/>
      <c r="D34" s="1249"/>
      <c r="E34" s="1224"/>
      <c r="F34" s="1224"/>
      <c r="G34" s="1250" t="str">
        <f t="shared" si="11"/>
        <v/>
      </c>
      <c r="H34" s="1252"/>
      <c r="I34" s="457" t="str">
        <f t="shared" si="12"/>
        <v/>
      </c>
      <c r="J34" s="505"/>
      <c r="K34" s="457" t="str">
        <f t="shared" si="13"/>
        <v/>
      </c>
      <c r="L34" s="273"/>
      <c r="M34" s="451"/>
      <c r="N34" s="266" t="str">
        <f t="shared" si="14"/>
        <v/>
      </c>
      <c r="O34" s="503"/>
      <c r="P34" s="503"/>
      <c r="Q34" s="503"/>
      <c r="R34" s="503"/>
      <c r="S34" s="425"/>
      <c r="T34" s="530" t="str">
        <f t="shared" si="8"/>
        <v>b</v>
      </c>
      <c r="U34" s="425">
        <f>IFERROR(COUNTIF($T$20:T34,$T$21),"")</f>
        <v>14</v>
      </c>
      <c r="V34" s="425" t="str">
        <f t="shared" si="9"/>
        <v xml:space="preserve"> </v>
      </c>
      <c r="W34" s="538" t="str">
        <f t="shared" si="4"/>
        <v/>
      </c>
      <c r="X34" s="425">
        <v>14</v>
      </c>
      <c r="Y34" s="425" t="str">
        <f t="shared" si="5"/>
        <v xml:space="preserve"> </v>
      </c>
      <c r="Z34" s="425" t="str">
        <f t="shared" si="6"/>
        <v/>
      </c>
      <c r="AA34" s="425" t="str">
        <f t="shared" si="10"/>
        <v/>
      </c>
      <c r="AF34" s="425"/>
      <c r="AG34" s="425"/>
      <c r="AH34" s="425"/>
    </row>
    <row r="35" spans="1:34" s="69" customFormat="1" ht="60" hidden="1" customHeight="1" x14ac:dyDescent="0.2">
      <c r="A35" s="136"/>
      <c r="B35" s="1204"/>
      <c r="C35" s="1249"/>
      <c r="D35" s="1249"/>
      <c r="E35" s="1224"/>
      <c r="F35" s="1224"/>
      <c r="G35" s="1250" t="str">
        <f t="shared" si="11"/>
        <v/>
      </c>
      <c r="H35" s="1252"/>
      <c r="I35" s="457" t="str">
        <f t="shared" si="12"/>
        <v/>
      </c>
      <c r="J35" s="505"/>
      <c r="K35" s="457" t="str">
        <f t="shared" si="13"/>
        <v/>
      </c>
      <c r="L35" s="273"/>
      <c r="M35" s="451"/>
      <c r="N35" s="266" t="str">
        <f t="shared" si="14"/>
        <v/>
      </c>
      <c r="O35" s="503"/>
      <c r="P35" s="503"/>
      <c r="Q35" s="503"/>
      <c r="R35" s="503"/>
      <c r="S35" s="425"/>
      <c r="T35" s="530" t="str">
        <f t="shared" si="8"/>
        <v>b</v>
      </c>
      <c r="U35" s="425">
        <f>IFERROR(COUNTIF($T$20:T35,$T$21),"")</f>
        <v>15</v>
      </c>
      <c r="V35" s="425" t="str">
        <f t="shared" si="9"/>
        <v xml:space="preserve"> </v>
      </c>
      <c r="W35" s="538" t="str">
        <f t="shared" si="4"/>
        <v/>
      </c>
      <c r="X35" s="425">
        <v>15</v>
      </c>
      <c r="Y35" s="425" t="str">
        <f t="shared" si="5"/>
        <v xml:space="preserve"> </v>
      </c>
      <c r="Z35" s="425" t="str">
        <f t="shared" si="6"/>
        <v/>
      </c>
      <c r="AA35" s="425" t="str">
        <f t="shared" si="10"/>
        <v/>
      </c>
      <c r="AF35" s="425"/>
      <c r="AG35" s="425"/>
      <c r="AH35" s="425"/>
    </row>
    <row r="36" spans="1:34" s="69" customFormat="1" ht="60" hidden="1" customHeight="1" x14ac:dyDescent="0.2">
      <c r="A36" s="136"/>
      <c r="B36" s="1204"/>
      <c r="C36" s="1249"/>
      <c r="D36" s="1249"/>
      <c r="E36" s="1224"/>
      <c r="F36" s="1224"/>
      <c r="G36" s="1250" t="str">
        <f t="shared" si="11"/>
        <v/>
      </c>
      <c r="H36" s="1252"/>
      <c r="I36" s="457" t="str">
        <f t="shared" si="12"/>
        <v/>
      </c>
      <c r="J36" s="505"/>
      <c r="K36" s="457" t="str">
        <f t="shared" si="13"/>
        <v/>
      </c>
      <c r="L36" s="273"/>
      <c r="M36" s="451"/>
      <c r="N36" s="266" t="str">
        <f t="shared" si="14"/>
        <v/>
      </c>
      <c r="O36" s="503"/>
      <c r="P36" s="503"/>
      <c r="Q36" s="503"/>
      <c r="R36" s="503"/>
      <c r="S36" s="425"/>
      <c r="T36" s="530" t="str">
        <f>IFERROR(IF(B54="","b","c"),"")</f>
        <v>b</v>
      </c>
      <c r="U36" s="425">
        <f>IFERROR(COUNTIF($T$20:T36,$T$21),"")</f>
        <v>16</v>
      </c>
      <c r="V36" s="425" t="str">
        <f>IFERROR(B54&amp;" "&amp;E54,"")</f>
        <v xml:space="preserve"> </v>
      </c>
      <c r="W36" s="538" t="str">
        <f t="shared" si="4"/>
        <v/>
      </c>
      <c r="X36" s="425">
        <v>16</v>
      </c>
      <c r="Y36" s="425" t="str">
        <f t="shared" si="5"/>
        <v xml:space="preserve"> </v>
      </c>
      <c r="Z36" s="425" t="str">
        <f t="shared" si="6"/>
        <v/>
      </c>
      <c r="AA36" s="425" t="str">
        <f>IFERROR(N54/$N$82*$M$90+N54,"")</f>
        <v/>
      </c>
      <c r="AF36" s="425"/>
      <c r="AG36" s="425"/>
      <c r="AH36" s="425"/>
    </row>
    <row r="37" spans="1:34" s="69" customFormat="1" ht="30" customHeight="1" x14ac:dyDescent="0.2">
      <c r="A37" s="136"/>
      <c r="B37" s="1756" t="s">
        <v>4876</v>
      </c>
      <c r="C37" s="1757"/>
      <c r="D37" s="1757"/>
      <c r="E37" s="1757"/>
      <c r="F37" s="1757"/>
      <c r="G37" s="1757"/>
      <c r="H37" s="1757"/>
      <c r="I37" s="1757"/>
      <c r="J37" s="1757"/>
      <c r="K37" s="1757"/>
      <c r="L37" s="1757"/>
      <c r="M37" s="1757"/>
      <c r="N37" s="454">
        <f>IFERROR(SUM(N31:N36,N21:N29),"")</f>
        <v>0</v>
      </c>
      <c r="O37" s="503"/>
      <c r="P37" s="503"/>
      <c r="Q37" s="503"/>
      <c r="R37" s="503"/>
      <c r="S37" s="425"/>
      <c r="T37" s="530" t="str">
        <f t="shared" ref="T37:T56" si="15">IFERROR(IF(B55="","b","c"),"")</f>
        <v>b</v>
      </c>
      <c r="U37" s="425">
        <f>IFERROR(COUNTIF($T$20:T37,$T$21),"")</f>
        <v>17</v>
      </c>
      <c r="V37" s="425" t="str">
        <f t="shared" ref="V37:V56" si="16">IFERROR(B55&amp;" "&amp;E55,"")</f>
        <v xml:space="preserve"> </v>
      </c>
      <c r="W37" s="538" t="str">
        <f t="shared" si="4"/>
        <v/>
      </c>
      <c r="X37" s="425">
        <v>17</v>
      </c>
      <c r="Y37" s="425" t="str">
        <f t="shared" si="5"/>
        <v xml:space="preserve"> </v>
      </c>
      <c r="Z37" s="425" t="str">
        <f t="shared" si="6"/>
        <v/>
      </c>
      <c r="AA37" s="425" t="str">
        <f t="shared" ref="AA37:AA56" si="17">IFERROR(N55/$N$82*$M$90+N55,"")</f>
        <v/>
      </c>
      <c r="AF37" s="425"/>
      <c r="AG37" s="425"/>
      <c r="AH37" s="425"/>
    </row>
    <row r="38" spans="1:34" s="69" customFormat="1" ht="8.1" customHeight="1" x14ac:dyDescent="0.2">
      <c r="A38" s="136"/>
      <c r="B38" s="511"/>
      <c r="C38" s="511"/>
      <c r="D38" s="511"/>
      <c r="E38" s="511"/>
      <c r="F38" s="511"/>
      <c r="G38" s="511"/>
      <c r="H38" s="511"/>
      <c r="I38" s="511"/>
      <c r="J38" s="511"/>
      <c r="K38" s="511"/>
      <c r="L38" s="511"/>
      <c r="M38" s="511"/>
      <c r="N38" s="453"/>
      <c r="O38" s="503"/>
      <c r="P38" s="503"/>
      <c r="Q38" s="503"/>
      <c r="R38" s="503"/>
      <c r="S38" s="425"/>
      <c r="T38" s="530" t="str">
        <f t="shared" si="15"/>
        <v>b</v>
      </c>
      <c r="U38" s="425">
        <f>IFERROR(COUNTIF($T$20:T38,$T$21),"")</f>
        <v>18</v>
      </c>
      <c r="V38" s="425" t="str">
        <f t="shared" si="16"/>
        <v xml:space="preserve"> </v>
      </c>
      <c r="W38" s="538" t="str">
        <f t="shared" si="4"/>
        <v/>
      </c>
      <c r="X38" s="425">
        <v>18</v>
      </c>
      <c r="Y38" s="425" t="str">
        <f t="shared" si="5"/>
        <v xml:space="preserve"> </v>
      </c>
      <c r="Z38" s="425" t="str">
        <f t="shared" si="6"/>
        <v/>
      </c>
      <c r="AA38" s="425" t="str">
        <f t="shared" si="17"/>
        <v/>
      </c>
      <c r="AF38" s="425"/>
      <c r="AG38" s="425"/>
      <c r="AH38" s="425"/>
    </row>
    <row r="39" spans="1:34" s="69" customFormat="1" ht="30" customHeight="1" x14ac:dyDescent="0.2">
      <c r="A39" s="136"/>
      <c r="B39" s="1444" t="s">
        <v>4880</v>
      </c>
      <c r="C39" s="1445"/>
      <c r="D39" s="1445"/>
      <c r="E39" s="1445"/>
      <c r="F39" s="1445"/>
      <c r="G39" s="1445"/>
      <c r="H39" s="1445"/>
      <c r="I39" s="1445"/>
      <c r="J39" s="1445"/>
      <c r="K39" s="1445"/>
      <c r="L39" s="1446"/>
      <c r="M39" s="1445" t="s">
        <v>4881</v>
      </c>
      <c r="N39" s="1446"/>
      <c r="O39" s="503"/>
      <c r="P39" s="503"/>
      <c r="Q39" s="503"/>
      <c r="R39" s="503"/>
      <c r="S39" s="425"/>
      <c r="T39" s="530" t="str">
        <f t="shared" si="15"/>
        <v>b</v>
      </c>
      <c r="U39" s="425">
        <f>IFERROR(COUNTIF($T$20:T39,$T$21),"")</f>
        <v>19</v>
      </c>
      <c r="V39" s="425" t="str">
        <f t="shared" si="16"/>
        <v xml:space="preserve"> </v>
      </c>
      <c r="W39" s="538" t="str">
        <f t="shared" si="4"/>
        <v/>
      </c>
      <c r="X39" s="425">
        <v>19</v>
      </c>
      <c r="Y39" s="425" t="str">
        <f t="shared" si="5"/>
        <v xml:space="preserve"> </v>
      </c>
      <c r="Z39" s="425" t="str">
        <f t="shared" si="6"/>
        <v/>
      </c>
      <c r="AA39" s="425" t="str">
        <f t="shared" si="17"/>
        <v/>
      </c>
      <c r="AF39" s="425"/>
      <c r="AG39" s="425"/>
      <c r="AH39" s="425"/>
    </row>
    <row r="40" spans="1:34" s="69" customFormat="1" ht="5.0999999999999996" customHeight="1" x14ac:dyDescent="0.2">
      <c r="A40" s="136"/>
      <c r="B40" s="512"/>
      <c r="C40" s="512"/>
      <c r="D40" s="512"/>
      <c r="E40" s="512"/>
      <c r="F40" s="512"/>
      <c r="G40" s="512"/>
      <c r="H40" s="512"/>
      <c r="I40" s="512"/>
      <c r="J40" s="512"/>
      <c r="K40" s="512"/>
      <c r="L40" s="512"/>
      <c r="M40" s="512"/>
      <c r="N40" s="512"/>
      <c r="O40" s="75"/>
      <c r="P40" s="503"/>
      <c r="Q40" s="503"/>
      <c r="R40" s="503"/>
      <c r="S40" s="425"/>
      <c r="T40" s="530" t="str">
        <f t="shared" si="15"/>
        <v>b</v>
      </c>
      <c r="U40" s="425">
        <f>IFERROR(COUNTIF($T$20:T40,$T$21),"")</f>
        <v>20</v>
      </c>
      <c r="V40" s="425" t="str">
        <f t="shared" si="16"/>
        <v xml:space="preserve"> </v>
      </c>
      <c r="W40" s="538" t="str">
        <f t="shared" si="4"/>
        <v/>
      </c>
      <c r="X40" s="425">
        <v>20</v>
      </c>
      <c r="Y40" s="425" t="str">
        <f t="shared" si="5"/>
        <v xml:space="preserve"> </v>
      </c>
      <c r="Z40" s="425" t="str">
        <f t="shared" si="6"/>
        <v/>
      </c>
      <c r="AA40" s="425" t="str">
        <f t="shared" si="17"/>
        <v/>
      </c>
      <c r="AF40" s="425"/>
      <c r="AG40" s="425"/>
      <c r="AH40" s="425"/>
    </row>
    <row r="41" spans="1:34" s="69" customFormat="1" ht="30" customHeight="1" x14ac:dyDescent="0.2">
      <c r="A41" s="136"/>
      <c r="B41" s="1751" t="s">
        <v>4877</v>
      </c>
      <c r="C41" s="1752"/>
      <c r="D41" s="1752"/>
      <c r="E41" s="1752"/>
      <c r="F41" s="1752"/>
      <c r="G41" s="1752"/>
      <c r="H41" s="1752"/>
      <c r="I41" s="1752"/>
      <c r="J41" s="1752"/>
      <c r="K41" s="1752"/>
      <c r="L41" s="1753"/>
      <c r="M41" s="1758"/>
      <c r="N41" s="1755"/>
      <c r="O41" s="503"/>
      <c r="P41" s="503"/>
      <c r="Q41" s="503"/>
      <c r="R41" s="503"/>
      <c r="S41" s="425"/>
      <c r="T41" s="530" t="str">
        <f t="shared" si="15"/>
        <v>b</v>
      </c>
      <c r="U41" s="425">
        <f>IFERROR(COUNTIF($T$20:T41,$T$21),"")</f>
        <v>21</v>
      </c>
      <c r="V41" s="425" t="str">
        <f t="shared" si="16"/>
        <v xml:space="preserve"> </v>
      </c>
      <c r="W41" s="538" t="str">
        <f t="shared" si="4"/>
        <v/>
      </c>
      <c r="X41" s="425">
        <v>21</v>
      </c>
      <c r="Y41" s="425" t="str">
        <f t="shared" si="5"/>
        <v xml:space="preserve"> </v>
      </c>
      <c r="Z41" s="425" t="str">
        <f t="shared" si="6"/>
        <v/>
      </c>
      <c r="AA41" s="425" t="str">
        <f t="shared" si="17"/>
        <v/>
      </c>
      <c r="AF41" s="425"/>
      <c r="AG41" s="425"/>
      <c r="AH41" s="425"/>
    </row>
    <row r="42" spans="1:34" s="69" customFormat="1" ht="30" customHeight="1" x14ac:dyDescent="0.2">
      <c r="A42" s="136"/>
      <c r="B42" s="1751" t="s">
        <v>4878</v>
      </c>
      <c r="C42" s="1752"/>
      <c r="D42" s="1752"/>
      <c r="E42" s="1752"/>
      <c r="F42" s="1752"/>
      <c r="G42" s="1752"/>
      <c r="H42" s="1752"/>
      <c r="I42" s="1752"/>
      <c r="J42" s="1752"/>
      <c r="K42" s="1752"/>
      <c r="L42" s="1753"/>
      <c r="M42" s="1758"/>
      <c r="N42" s="1755"/>
      <c r="O42" s="503"/>
      <c r="P42" s="503"/>
      <c r="Q42" s="503"/>
      <c r="R42" s="503"/>
      <c r="S42" s="425"/>
      <c r="T42" s="530" t="str">
        <f t="shared" si="15"/>
        <v>b</v>
      </c>
      <c r="U42" s="425">
        <f>IFERROR(COUNTIF($T$20:T42,$T$21),"")</f>
        <v>22</v>
      </c>
      <c r="V42" s="425" t="str">
        <f t="shared" si="16"/>
        <v xml:space="preserve"> </v>
      </c>
      <c r="W42" s="538" t="str">
        <f t="shared" si="4"/>
        <v/>
      </c>
      <c r="X42" s="425">
        <v>22</v>
      </c>
      <c r="Y42" s="425" t="str">
        <f t="shared" si="5"/>
        <v xml:space="preserve"> </v>
      </c>
      <c r="Z42" s="425" t="str">
        <f t="shared" si="6"/>
        <v/>
      </c>
      <c r="AA42" s="425" t="str">
        <f t="shared" si="17"/>
        <v/>
      </c>
      <c r="AB42" s="425"/>
      <c r="AC42" s="425"/>
      <c r="AD42" s="425"/>
      <c r="AE42" s="425"/>
      <c r="AF42" s="425"/>
      <c r="AG42" s="425"/>
      <c r="AH42" s="425"/>
    </row>
    <row r="43" spans="1:34" s="69" customFormat="1" ht="30" customHeight="1" x14ac:dyDescent="0.2">
      <c r="A43" s="136"/>
      <c r="B43" s="1751" t="s">
        <v>4879</v>
      </c>
      <c r="C43" s="1752"/>
      <c r="D43" s="1752"/>
      <c r="E43" s="1752"/>
      <c r="F43" s="1752"/>
      <c r="G43" s="1752"/>
      <c r="H43" s="1752"/>
      <c r="I43" s="1752"/>
      <c r="J43" s="1752"/>
      <c r="K43" s="1752"/>
      <c r="L43" s="1753"/>
      <c r="M43" s="1758"/>
      <c r="N43" s="1755"/>
      <c r="O43" s="503"/>
      <c r="P43" s="503"/>
      <c r="Q43" s="503"/>
      <c r="R43" s="503"/>
      <c r="S43" s="425"/>
      <c r="T43" s="530" t="str">
        <f t="shared" si="15"/>
        <v>b</v>
      </c>
      <c r="U43" s="425">
        <f>IFERROR(COUNTIF($T$20:T43,$T$21),"")</f>
        <v>23</v>
      </c>
      <c r="V43" s="425" t="str">
        <f t="shared" si="16"/>
        <v xml:space="preserve"> </v>
      </c>
      <c r="W43" s="538" t="str">
        <f t="shared" si="4"/>
        <v/>
      </c>
      <c r="X43" s="425">
        <v>23</v>
      </c>
      <c r="Y43" s="425" t="str">
        <f t="shared" si="5"/>
        <v xml:space="preserve"> </v>
      </c>
      <c r="Z43" s="425" t="str">
        <f t="shared" si="6"/>
        <v/>
      </c>
      <c r="AA43" s="425" t="str">
        <f t="shared" si="17"/>
        <v/>
      </c>
      <c r="AB43" s="425"/>
      <c r="AC43" s="425"/>
      <c r="AD43" s="425"/>
      <c r="AE43" s="425"/>
      <c r="AF43" s="425"/>
      <c r="AG43" s="425"/>
      <c r="AH43" s="425"/>
    </row>
    <row r="44" spans="1:34" s="69" customFormat="1" ht="8.1" customHeight="1" x14ac:dyDescent="0.2">
      <c r="A44" s="136"/>
      <c r="B44" s="513"/>
      <c r="C44" s="513"/>
      <c r="D44" s="513"/>
      <c r="E44" s="513"/>
      <c r="F44" s="513"/>
      <c r="G44" s="513"/>
      <c r="H44" s="513"/>
      <c r="I44" s="513"/>
      <c r="J44" s="513"/>
      <c r="K44" s="513"/>
      <c r="L44" s="513"/>
      <c r="M44" s="514"/>
      <c r="N44" s="452"/>
      <c r="O44" s="503"/>
      <c r="P44" s="503"/>
      <c r="Q44" s="503"/>
      <c r="R44" s="503"/>
      <c r="S44" s="425"/>
      <c r="T44" s="530" t="str">
        <f t="shared" si="15"/>
        <v>b</v>
      </c>
      <c r="U44" s="425">
        <f>IFERROR(COUNTIF($T$20:T44,$T$21),"")</f>
        <v>24</v>
      </c>
      <c r="V44" s="425" t="str">
        <f t="shared" si="16"/>
        <v xml:space="preserve"> </v>
      </c>
      <c r="W44" s="538" t="str">
        <f t="shared" si="4"/>
        <v/>
      </c>
      <c r="X44" s="425">
        <v>24</v>
      </c>
      <c r="Y44" s="425" t="str">
        <f t="shared" si="5"/>
        <v xml:space="preserve"> </v>
      </c>
      <c r="Z44" s="425" t="str">
        <f t="shared" si="6"/>
        <v/>
      </c>
      <c r="AA44" s="425" t="str">
        <f t="shared" si="17"/>
        <v/>
      </c>
      <c r="AB44" s="425"/>
      <c r="AC44" s="425"/>
      <c r="AD44" s="425"/>
      <c r="AE44" s="425"/>
      <c r="AF44" s="425"/>
      <c r="AG44" s="425"/>
      <c r="AH44" s="425"/>
    </row>
    <row r="45" spans="1:34" s="69" customFormat="1" ht="30" customHeight="1" x14ac:dyDescent="0.2">
      <c r="A45" s="136"/>
      <c r="B45" s="1746" t="s">
        <v>4882</v>
      </c>
      <c r="C45" s="1747"/>
      <c r="D45" s="1747"/>
      <c r="E45" s="1747"/>
      <c r="F45" s="1747"/>
      <c r="G45" s="1747"/>
      <c r="H45" s="1747"/>
      <c r="I45" s="1747"/>
      <c r="J45" s="1747"/>
      <c r="K45" s="1747"/>
      <c r="L45" s="1748"/>
      <c r="M45" s="1749" t="str">
        <f>IFERROR(IF(OR(M41="",M42="",M43=""),"",SUM(M41:N43)),"")</f>
        <v/>
      </c>
      <c r="N45" s="1750"/>
      <c r="O45" s="503"/>
      <c r="P45" s="503"/>
      <c r="Q45" s="503"/>
      <c r="R45" s="503"/>
      <c r="S45" s="425"/>
      <c r="T45" s="530" t="str">
        <f t="shared" si="15"/>
        <v>b</v>
      </c>
      <c r="U45" s="425">
        <f>IFERROR(COUNTIF($T$20:T45,$T$21),"")</f>
        <v>25</v>
      </c>
      <c r="V45" s="425" t="str">
        <f t="shared" si="16"/>
        <v xml:space="preserve"> </v>
      </c>
      <c r="W45" s="538" t="str">
        <f t="shared" si="4"/>
        <v/>
      </c>
      <c r="X45" s="425">
        <v>25</v>
      </c>
      <c r="Y45" s="425" t="str">
        <f t="shared" si="5"/>
        <v xml:space="preserve"> </v>
      </c>
      <c r="Z45" s="425" t="str">
        <f t="shared" si="6"/>
        <v/>
      </c>
      <c r="AA45" s="425" t="str">
        <f t="shared" si="17"/>
        <v/>
      </c>
      <c r="AB45" s="425"/>
      <c r="AC45" s="425"/>
      <c r="AD45" s="425"/>
      <c r="AE45" s="425"/>
      <c r="AF45" s="425"/>
      <c r="AG45" s="425"/>
      <c r="AH45" s="425"/>
    </row>
    <row r="46" spans="1:34" s="69" customFormat="1" ht="8.1" customHeight="1" x14ac:dyDescent="0.2">
      <c r="A46" s="136"/>
      <c r="B46" s="513"/>
      <c r="C46" s="513"/>
      <c r="D46" s="513"/>
      <c r="E46" s="513"/>
      <c r="F46" s="513"/>
      <c r="G46" s="513"/>
      <c r="H46" s="513"/>
      <c r="I46" s="513"/>
      <c r="J46" s="513"/>
      <c r="K46" s="513"/>
      <c r="L46" s="513"/>
      <c r="M46" s="514"/>
      <c r="N46" s="452"/>
      <c r="O46" s="503"/>
      <c r="P46" s="503"/>
      <c r="Q46" s="503"/>
      <c r="R46" s="503"/>
      <c r="S46" s="425"/>
      <c r="T46" s="530" t="str">
        <f t="shared" si="15"/>
        <v>b</v>
      </c>
      <c r="U46" s="425">
        <f>IFERROR(COUNTIF($T$20:T46,$T$21),"")</f>
        <v>26</v>
      </c>
      <c r="V46" s="425" t="str">
        <f t="shared" si="16"/>
        <v xml:space="preserve"> </v>
      </c>
      <c r="W46" s="538" t="str">
        <f t="shared" si="4"/>
        <v/>
      </c>
      <c r="X46" s="425">
        <v>26</v>
      </c>
      <c r="Y46" s="425" t="str">
        <f t="shared" si="5"/>
        <v xml:space="preserve"> </v>
      </c>
      <c r="Z46" s="425" t="str">
        <f t="shared" si="6"/>
        <v/>
      </c>
      <c r="AA46" s="425" t="str">
        <f t="shared" si="17"/>
        <v/>
      </c>
      <c r="AB46" s="425"/>
      <c r="AC46" s="425"/>
      <c r="AD46" s="425"/>
      <c r="AE46" s="425"/>
      <c r="AF46" s="425"/>
      <c r="AG46" s="425"/>
      <c r="AH46" s="425"/>
    </row>
    <row r="47" spans="1:34" s="69" customFormat="1" ht="30" customHeight="1" x14ac:dyDescent="0.2">
      <c r="A47" s="136"/>
      <c r="B47" s="1746" t="s">
        <v>4883</v>
      </c>
      <c r="C47" s="1747"/>
      <c r="D47" s="1747"/>
      <c r="E47" s="1747"/>
      <c r="F47" s="1747"/>
      <c r="G47" s="1747"/>
      <c r="H47" s="1747"/>
      <c r="I47" s="1747"/>
      <c r="J47" s="1747"/>
      <c r="K47" s="1747"/>
      <c r="L47" s="1748"/>
      <c r="M47" s="1749" t="str">
        <f>IFERROR(IF(OR(M45="",N37=""),"",N37+M45),"")</f>
        <v/>
      </c>
      <c r="N47" s="1750"/>
      <c r="O47" s="503"/>
      <c r="P47" s="503"/>
      <c r="Q47" s="503"/>
      <c r="R47" s="503"/>
      <c r="S47" s="425"/>
      <c r="T47" s="530" t="str">
        <f t="shared" si="15"/>
        <v>b</v>
      </c>
      <c r="U47" s="425">
        <f>IFERROR(COUNTIF($T$20:T47,$T$21),"")</f>
        <v>27</v>
      </c>
      <c r="V47" s="425" t="str">
        <f t="shared" si="16"/>
        <v xml:space="preserve"> </v>
      </c>
      <c r="W47" s="538" t="str">
        <f t="shared" si="4"/>
        <v/>
      </c>
      <c r="X47" s="425">
        <v>27</v>
      </c>
      <c r="Y47" s="425" t="str">
        <f t="shared" si="5"/>
        <v xml:space="preserve"> </v>
      </c>
      <c r="Z47" s="425" t="str">
        <f t="shared" si="6"/>
        <v/>
      </c>
      <c r="AA47" s="425" t="str">
        <f t="shared" si="17"/>
        <v/>
      </c>
      <c r="AB47" s="425"/>
      <c r="AC47" s="425"/>
      <c r="AD47" s="425"/>
      <c r="AE47" s="425"/>
      <c r="AF47" s="425"/>
      <c r="AG47" s="425"/>
      <c r="AH47" s="425"/>
    </row>
    <row r="48" spans="1:34" s="69" customFormat="1" ht="20.100000000000001" customHeight="1" x14ac:dyDescent="0.2">
      <c r="A48" s="136"/>
      <c r="B48" s="514"/>
      <c r="C48" s="514"/>
      <c r="D48" s="514"/>
      <c r="E48" s="514"/>
      <c r="F48" s="514"/>
      <c r="G48" s="514"/>
      <c r="H48" s="514"/>
      <c r="I48" s="514"/>
      <c r="J48" s="514"/>
      <c r="K48" s="514"/>
      <c r="L48" s="514"/>
      <c r="M48" s="514"/>
      <c r="N48" s="452"/>
      <c r="O48" s="503"/>
      <c r="P48" s="503"/>
      <c r="Q48" s="503"/>
      <c r="R48" s="503"/>
      <c r="S48" s="425"/>
      <c r="T48" s="530" t="str">
        <f t="shared" si="15"/>
        <v>b</v>
      </c>
      <c r="U48" s="425">
        <f>IFERROR(COUNTIF($T$20:T48,$T$21),"")</f>
        <v>28</v>
      </c>
      <c r="V48" s="425" t="str">
        <f t="shared" si="16"/>
        <v xml:space="preserve"> </v>
      </c>
      <c r="W48" s="538" t="str">
        <f t="shared" si="4"/>
        <v/>
      </c>
      <c r="X48" s="425">
        <v>28</v>
      </c>
      <c r="Y48" s="425" t="str">
        <f t="shared" si="5"/>
        <v xml:space="preserve"> </v>
      </c>
      <c r="Z48" s="425" t="str">
        <f t="shared" si="6"/>
        <v/>
      </c>
      <c r="AA48" s="425" t="str">
        <f t="shared" si="17"/>
        <v/>
      </c>
      <c r="AB48" s="425"/>
      <c r="AC48" s="425"/>
      <c r="AD48" s="425"/>
      <c r="AE48" s="425"/>
      <c r="AF48" s="425"/>
      <c r="AG48" s="425"/>
      <c r="AH48" s="425"/>
    </row>
    <row r="49" spans="1:34" s="69" customFormat="1" ht="23.25" customHeight="1" x14ac:dyDescent="0.2">
      <c r="A49" s="503"/>
      <c r="B49" s="1196" t="s">
        <v>378</v>
      </c>
      <c r="C49" s="1196"/>
      <c r="D49" s="1196"/>
      <c r="E49" s="1196"/>
      <c r="F49" s="1196"/>
      <c r="G49" s="1197" t="s">
        <v>4871</v>
      </c>
      <c r="H49" s="1197"/>
      <c r="I49" s="1196" t="s">
        <v>107</v>
      </c>
      <c r="J49" s="1196"/>
      <c r="K49" s="1197" t="s">
        <v>398</v>
      </c>
      <c r="L49" s="1197"/>
      <c r="M49" s="1197" t="s">
        <v>4759</v>
      </c>
      <c r="N49" s="1197" t="s">
        <v>4760</v>
      </c>
      <c r="O49" s="503"/>
      <c r="P49" s="503"/>
      <c r="Q49" s="503"/>
      <c r="R49" s="503"/>
      <c r="S49" s="425"/>
      <c r="T49" s="530" t="str">
        <f t="shared" si="15"/>
        <v>b</v>
      </c>
      <c r="U49" s="425">
        <f>IFERROR(COUNTIF($T$20:T49,$T$21),"")</f>
        <v>29</v>
      </c>
      <c r="V49" s="425" t="str">
        <f t="shared" si="16"/>
        <v xml:space="preserve"> </v>
      </c>
      <c r="W49" s="538" t="str">
        <f t="shared" si="4"/>
        <v/>
      </c>
      <c r="X49" s="425">
        <v>29</v>
      </c>
      <c r="Y49" s="425" t="str">
        <f t="shared" si="5"/>
        <v xml:space="preserve"> </v>
      </c>
      <c r="Z49" s="425" t="str">
        <f t="shared" si="6"/>
        <v/>
      </c>
      <c r="AA49" s="425" t="str">
        <f t="shared" si="17"/>
        <v/>
      </c>
      <c r="AB49" s="425"/>
      <c r="AC49" s="425"/>
      <c r="AD49" s="425"/>
      <c r="AE49" s="425"/>
      <c r="AF49" s="425"/>
      <c r="AG49" s="425"/>
      <c r="AH49" s="425"/>
    </row>
    <row r="50" spans="1:34" s="69" customFormat="1" ht="27" customHeight="1" x14ac:dyDescent="0.2">
      <c r="A50" s="136"/>
      <c r="B50" s="1197" t="s">
        <v>4872</v>
      </c>
      <c r="C50" s="1197"/>
      <c r="D50" s="1197"/>
      <c r="E50" s="1197" t="s">
        <v>116</v>
      </c>
      <c r="F50" s="1197"/>
      <c r="G50" s="1197"/>
      <c r="H50" s="1197"/>
      <c r="I50" s="1197" t="s">
        <v>108</v>
      </c>
      <c r="J50" s="1196" t="s">
        <v>109</v>
      </c>
      <c r="K50" s="1197" t="s">
        <v>108</v>
      </c>
      <c r="L50" s="1197" t="s">
        <v>109</v>
      </c>
      <c r="M50" s="1197"/>
      <c r="N50" s="1197"/>
      <c r="O50" s="503"/>
      <c r="P50" s="503"/>
      <c r="Q50" s="503"/>
      <c r="R50" s="503"/>
      <c r="S50" s="425"/>
      <c r="T50" s="530" t="str">
        <f t="shared" si="15"/>
        <v>b</v>
      </c>
      <c r="U50" s="425">
        <f>IFERROR(COUNTIF($T$20:T50,$T$21),"")</f>
        <v>30</v>
      </c>
      <c r="V50" s="425" t="str">
        <f t="shared" si="16"/>
        <v xml:space="preserve"> </v>
      </c>
      <c r="W50" s="538" t="str">
        <f t="shared" si="4"/>
        <v/>
      </c>
      <c r="X50" s="425">
        <v>30</v>
      </c>
      <c r="Y50" s="425" t="str">
        <f t="shared" si="5"/>
        <v xml:space="preserve"> </v>
      </c>
      <c r="Z50" s="425" t="str">
        <f t="shared" si="6"/>
        <v/>
      </c>
      <c r="AA50" s="425" t="str">
        <f t="shared" si="17"/>
        <v/>
      </c>
      <c r="AB50" s="425"/>
      <c r="AC50" s="425"/>
      <c r="AD50" s="425"/>
      <c r="AE50" s="425"/>
      <c r="AF50" s="425"/>
      <c r="AG50" s="425"/>
      <c r="AH50" s="425"/>
    </row>
    <row r="51" spans="1:34" s="69" customFormat="1" ht="12.75" customHeight="1" x14ac:dyDescent="0.2">
      <c r="A51" s="503"/>
      <c r="B51" s="1197"/>
      <c r="C51" s="1197"/>
      <c r="D51" s="1197"/>
      <c r="E51" s="1197"/>
      <c r="F51" s="1197"/>
      <c r="G51" s="1197"/>
      <c r="H51" s="1197"/>
      <c r="I51" s="1197"/>
      <c r="J51" s="1196"/>
      <c r="K51" s="1197"/>
      <c r="L51" s="1197"/>
      <c r="M51" s="1197"/>
      <c r="N51" s="1197"/>
      <c r="O51" s="503"/>
      <c r="P51" s="503"/>
      <c r="Q51" s="503"/>
      <c r="R51" s="503"/>
      <c r="S51" s="425"/>
      <c r="T51" s="530" t="str">
        <f t="shared" si="15"/>
        <v>b</v>
      </c>
      <c r="U51" s="425">
        <f>IFERROR(COUNTIF($T$20:T51,$T$21),"")</f>
        <v>31</v>
      </c>
      <c r="V51" s="425" t="str">
        <f t="shared" si="16"/>
        <v xml:space="preserve"> </v>
      </c>
      <c r="W51" s="538" t="str">
        <f t="shared" si="4"/>
        <v/>
      </c>
      <c r="X51" s="425"/>
      <c r="Y51" s="425" t="str">
        <f t="shared" ref="Y51:Y109" si="18">IF(U51="","1","2")</f>
        <v>2</v>
      </c>
      <c r="Z51" s="425">
        <f>COUNTIF($Y$20:Y51,$Y$21)</f>
        <v>30</v>
      </c>
      <c r="AA51" s="425" t="str">
        <f t="shared" si="17"/>
        <v/>
      </c>
      <c r="AB51" s="425"/>
      <c r="AC51" s="425"/>
      <c r="AD51" s="425"/>
      <c r="AE51" s="425"/>
      <c r="AF51" s="425"/>
      <c r="AG51" s="425"/>
      <c r="AH51" s="425"/>
    </row>
    <row r="52" spans="1:34" s="69" customFormat="1" ht="8.1" customHeight="1" x14ac:dyDescent="0.2">
      <c r="A52" s="136"/>
      <c r="B52" s="503"/>
      <c r="C52" s="503"/>
      <c r="D52" s="503"/>
      <c r="E52" s="503"/>
      <c r="F52" s="503"/>
      <c r="G52" s="503"/>
      <c r="H52" s="503"/>
      <c r="I52" s="503"/>
      <c r="J52" s="503"/>
      <c r="K52" s="503"/>
      <c r="L52" s="503"/>
      <c r="M52" s="503"/>
      <c r="N52" s="503"/>
      <c r="O52" s="503"/>
      <c r="P52" s="503"/>
      <c r="Q52" s="503"/>
      <c r="R52" s="503"/>
      <c r="S52" s="425"/>
      <c r="T52" s="530" t="str">
        <f t="shared" si="15"/>
        <v>b</v>
      </c>
      <c r="U52" s="425">
        <f>IFERROR(COUNTIF($T$20:T52,$T$21),"")</f>
        <v>32</v>
      </c>
      <c r="V52" s="425" t="str">
        <f t="shared" si="16"/>
        <v xml:space="preserve"> </v>
      </c>
      <c r="W52" s="538" t="str">
        <f t="shared" si="4"/>
        <v/>
      </c>
      <c r="X52" s="425"/>
      <c r="Y52" s="425" t="str">
        <f t="shared" si="18"/>
        <v>2</v>
      </c>
      <c r="Z52" s="425">
        <f>COUNTIF($Y$20:Y52,$Y$21)</f>
        <v>30</v>
      </c>
      <c r="AA52" s="425" t="str">
        <f t="shared" si="17"/>
        <v/>
      </c>
      <c r="AB52" s="425"/>
      <c r="AC52" s="425"/>
      <c r="AD52" s="425"/>
      <c r="AE52" s="425"/>
      <c r="AF52" s="425"/>
      <c r="AG52" s="425"/>
      <c r="AH52" s="425"/>
    </row>
    <row r="53" spans="1:34" s="69" customFormat="1" ht="24.95" customHeight="1" x14ac:dyDescent="0.2">
      <c r="A53" s="503"/>
      <c r="B53" s="448" t="s">
        <v>4874</v>
      </c>
      <c r="C53" s="449"/>
      <c r="D53" s="449" t="s">
        <v>227</v>
      </c>
      <c r="E53" s="449"/>
      <c r="F53" s="449"/>
      <c r="G53" s="449"/>
      <c r="H53" s="449"/>
      <c r="I53" s="449"/>
      <c r="J53" s="449"/>
      <c r="K53" s="449"/>
      <c r="L53" s="449"/>
      <c r="M53" s="449"/>
      <c r="N53" s="450">
        <f>COUNTIF('ANALISIS TÉCNICO'!F89:G118,'COSTO TOTAL'!D53)</f>
        <v>0</v>
      </c>
      <c r="O53" s="503"/>
      <c r="P53" s="503"/>
      <c r="Q53" s="503"/>
      <c r="R53" s="503"/>
      <c r="S53" s="425"/>
      <c r="T53" s="530" t="str">
        <f t="shared" si="15"/>
        <v>b</v>
      </c>
      <c r="U53" s="425">
        <f>IFERROR(COUNTIF($T$20:T53,$T$21),"")</f>
        <v>33</v>
      </c>
      <c r="V53" s="425" t="str">
        <f t="shared" si="16"/>
        <v xml:space="preserve"> </v>
      </c>
      <c r="W53" s="538" t="str">
        <f t="shared" si="4"/>
        <v/>
      </c>
      <c r="X53" s="425"/>
      <c r="Y53" s="425" t="str">
        <f t="shared" si="18"/>
        <v>2</v>
      </c>
      <c r="Z53" s="425">
        <f>COUNTIF($Y$20:Y53,$Y$21)</f>
        <v>30</v>
      </c>
      <c r="AA53" s="425" t="str">
        <f t="shared" si="17"/>
        <v/>
      </c>
      <c r="AB53" s="425"/>
      <c r="AC53" s="425"/>
      <c r="AD53" s="425"/>
      <c r="AE53" s="425"/>
      <c r="AF53" s="425"/>
      <c r="AG53" s="425"/>
      <c r="AH53" s="425"/>
    </row>
    <row r="54" spans="1:34" s="69" customFormat="1" ht="60" customHeight="1" x14ac:dyDescent="0.2">
      <c r="A54" s="136"/>
      <c r="B54" s="1248" t="str">
        <f>IFERROR(INDEX('ANALISIS TÉCNICO'!$B$89:$N$118,MATCH(1,'ANALISIS TÉCNICO'!$N$89:$N$118,0),1),"")</f>
        <v/>
      </c>
      <c r="C54" s="1248"/>
      <c r="D54" s="1248"/>
      <c r="E54" s="1250" t="str">
        <f>IFERROR(INDEX('ANALISIS TÉCNICO'!$B$89:$N$118,MATCH(1,'ANALISIS TÉCNICO'!$N$89:$N$118,0),3),"")</f>
        <v/>
      </c>
      <c r="F54" s="1252"/>
      <c r="G54" s="1250" t="str">
        <f>IFERROR(IF(B54="","",$D$53),"")</f>
        <v/>
      </c>
      <c r="H54" s="1252"/>
      <c r="I54" s="457" t="str">
        <f>IFERROR(INDEX('ANALISIS TÉCNICO'!$B$89:$N$118,MATCH(1,'ANALISIS TÉCNICO'!$N$89:$N$118,0),7),"")</f>
        <v/>
      </c>
      <c r="J54" s="457" t="str">
        <f>IFERROR(INDEX('ANALISIS TÉCNICO'!$B$89:$N$118,MATCH(1,'ANALISIS TÉCNICO'!$N$89:$N$118,0),8),"")</f>
        <v/>
      </c>
      <c r="K54" s="504"/>
      <c r="L54" s="515"/>
      <c r="M54" s="273"/>
      <c r="N54" s="266" t="str">
        <f t="shared" ref="N54:N81" si="19">IFERROR(IF(G54="","",IF(G54="Infraestructura",M54*L54,M54*J54)),"")</f>
        <v/>
      </c>
      <c r="O54" s="503"/>
      <c r="P54" s="503"/>
      <c r="Q54" s="503"/>
      <c r="R54" s="503"/>
      <c r="S54" s="425"/>
      <c r="T54" s="530" t="str">
        <f t="shared" si="15"/>
        <v>b</v>
      </c>
      <c r="U54" s="425">
        <f>IFERROR(COUNTIF($T$20:T54,$T$21),"")</f>
        <v>34</v>
      </c>
      <c r="V54" s="425" t="str">
        <f t="shared" si="16"/>
        <v xml:space="preserve"> </v>
      </c>
      <c r="W54" s="538" t="str">
        <f t="shared" si="4"/>
        <v/>
      </c>
      <c r="X54" s="425"/>
      <c r="Y54" s="425" t="str">
        <f t="shared" si="18"/>
        <v>2</v>
      </c>
      <c r="Z54" s="425">
        <f>COUNTIF($Y$20:Y54,$Y$21)</f>
        <v>30</v>
      </c>
      <c r="AA54" s="425" t="str">
        <f t="shared" si="17"/>
        <v/>
      </c>
      <c r="AB54" s="425"/>
      <c r="AC54" s="425"/>
      <c r="AD54" s="425"/>
      <c r="AE54" s="425"/>
      <c r="AF54" s="425"/>
      <c r="AG54" s="425"/>
      <c r="AH54" s="425"/>
    </row>
    <row r="55" spans="1:34" s="69" customFormat="1" ht="60" hidden="1" customHeight="1" x14ac:dyDescent="0.2">
      <c r="A55" s="503"/>
      <c r="B55" s="1248" t="str">
        <f>IFERROR(INDEX('ANALISIS TÉCNICO'!$B$89:$N$118,MATCH(2,'ANALISIS TÉCNICO'!$N$89:$N$118,0),1),"")</f>
        <v/>
      </c>
      <c r="C55" s="1248"/>
      <c r="D55" s="1248"/>
      <c r="E55" s="1250" t="str">
        <f>IFERROR(INDEX('ANALISIS TÉCNICO'!$B$89:$N$118,MATCH(2,'ANALISIS TÉCNICO'!$N$89:$N$118,0),3),"")</f>
        <v/>
      </c>
      <c r="F55" s="1252"/>
      <c r="G55" s="1250" t="str">
        <f>IFERROR(IF(B55="","",$D$53),"")</f>
        <v/>
      </c>
      <c r="H55" s="1252"/>
      <c r="I55" s="457" t="str">
        <f>IFERROR(INDEX('ANALISIS TÉCNICO'!$B$89:$N$118,MATCH(2,'ANALISIS TÉCNICO'!$N$89:$N$118,0),7),"")</f>
        <v/>
      </c>
      <c r="J55" s="457" t="str">
        <f>IFERROR(INDEX('ANALISIS TÉCNICO'!$B$89:$N$118,MATCH(2,'ANALISIS TÉCNICO'!$N$89:$N$118,0),8),"")</f>
        <v/>
      </c>
      <c r="K55" s="504"/>
      <c r="L55" s="515"/>
      <c r="M55" s="273"/>
      <c r="N55" s="266" t="str">
        <f t="shared" si="19"/>
        <v/>
      </c>
      <c r="O55" s="503"/>
      <c r="P55" s="503"/>
      <c r="Q55" s="503"/>
      <c r="R55" s="503"/>
      <c r="S55" s="425"/>
      <c r="T55" s="530" t="str">
        <f t="shared" si="15"/>
        <v>b</v>
      </c>
      <c r="U55" s="425">
        <f>IFERROR(COUNTIF($T$20:T55,$T$21),"")</f>
        <v>35</v>
      </c>
      <c r="V55" s="425" t="str">
        <f t="shared" si="16"/>
        <v xml:space="preserve"> </v>
      </c>
      <c r="W55" s="538" t="str">
        <f t="shared" si="4"/>
        <v/>
      </c>
      <c r="X55" s="425"/>
      <c r="Y55" s="425" t="str">
        <f t="shared" si="18"/>
        <v>2</v>
      </c>
      <c r="Z55" s="425">
        <f>COUNTIF($Y$20:Y55,$Y$21)</f>
        <v>30</v>
      </c>
      <c r="AA55" s="425" t="str">
        <f t="shared" si="17"/>
        <v/>
      </c>
      <c r="AB55" s="425"/>
      <c r="AC55" s="425"/>
      <c r="AD55" s="425"/>
      <c r="AE55" s="425"/>
      <c r="AF55" s="425"/>
      <c r="AG55" s="425"/>
      <c r="AH55" s="425"/>
    </row>
    <row r="56" spans="1:34" s="69" customFormat="1" ht="60" hidden="1" customHeight="1" x14ac:dyDescent="0.2">
      <c r="A56" s="136"/>
      <c r="B56" s="1248" t="str">
        <f>IFERROR(INDEX('ANALISIS TÉCNICO'!$B$89:$N$118,MATCH(3,'ANALISIS TÉCNICO'!$N$89:$N$118,0),1),"")</f>
        <v/>
      </c>
      <c r="C56" s="1248"/>
      <c r="D56" s="1248"/>
      <c r="E56" s="1250" t="str">
        <f>IFERROR(INDEX('ANALISIS TÉCNICO'!$B$89:$N$118,MATCH(3,'ANALISIS TÉCNICO'!$N$89:$N$118,0),3),"")</f>
        <v/>
      </c>
      <c r="F56" s="1252"/>
      <c r="G56" s="1250" t="str">
        <f>IFERROR(IF(B56="","",$D$53),"")</f>
        <v/>
      </c>
      <c r="H56" s="1252"/>
      <c r="I56" s="457" t="str">
        <f>IFERROR(INDEX('ANALISIS TÉCNICO'!$B$89:$N$118,MATCH(3,'ANALISIS TÉCNICO'!$N$89:$N$118,0),7),"")</f>
        <v/>
      </c>
      <c r="J56" s="457" t="str">
        <f>IFERROR(INDEX('ANALISIS TÉCNICO'!$B$89:$N$118,MATCH(3,'ANALISIS TÉCNICO'!$N$89:$N$118,0),8),"")</f>
        <v/>
      </c>
      <c r="K56" s="504"/>
      <c r="L56" s="515"/>
      <c r="M56" s="273"/>
      <c r="N56" s="266" t="str">
        <f t="shared" si="19"/>
        <v/>
      </c>
      <c r="O56" s="503"/>
      <c r="P56" s="503"/>
      <c r="Q56" s="503"/>
      <c r="R56" s="503"/>
      <c r="S56" s="425"/>
      <c r="T56" s="530" t="str">
        <f t="shared" si="15"/>
        <v>b</v>
      </c>
      <c r="U56" s="425">
        <f>IFERROR(COUNTIF($T$20:T56,$T$21),"")</f>
        <v>36</v>
      </c>
      <c r="V56" s="425" t="str">
        <f t="shared" si="16"/>
        <v xml:space="preserve"> </v>
      </c>
      <c r="W56" s="538" t="str">
        <f t="shared" si="4"/>
        <v/>
      </c>
      <c r="X56" s="425"/>
      <c r="Y56" s="425" t="str">
        <f t="shared" si="18"/>
        <v>2</v>
      </c>
      <c r="Z56" s="425">
        <f>COUNTIF($Y$20:Y56,$Y$21)</f>
        <v>30</v>
      </c>
      <c r="AA56" s="425" t="str">
        <f t="shared" si="17"/>
        <v/>
      </c>
      <c r="AB56" s="425"/>
      <c r="AC56" s="425"/>
      <c r="AD56" s="425"/>
      <c r="AE56" s="425"/>
      <c r="AF56" s="425"/>
      <c r="AG56" s="425"/>
      <c r="AH56" s="425"/>
    </row>
    <row r="57" spans="1:34" s="69" customFormat="1" ht="60" hidden="1" customHeight="1" x14ac:dyDescent="0.2">
      <c r="A57" s="136"/>
      <c r="B57" s="1248" t="str">
        <f>IFERROR(INDEX('ANALISIS TÉCNICO'!$B$89:$N$118,MATCH(4,'ANALISIS TÉCNICO'!$N$89:$N$118,0),1),"")</f>
        <v/>
      </c>
      <c r="C57" s="1248"/>
      <c r="D57" s="1248"/>
      <c r="E57" s="1250" t="str">
        <f>IFERROR(INDEX('ANALISIS TÉCNICO'!$B$89:$N$118,MATCH(4,'ANALISIS TÉCNICO'!$N$89:$N$118,0),3),"")</f>
        <v/>
      </c>
      <c r="F57" s="1252"/>
      <c r="G57" s="1250" t="str">
        <f t="shared" ref="G57:G74" si="20">IFERROR(IF(B57="","",$D$53),"")</f>
        <v/>
      </c>
      <c r="H57" s="1252"/>
      <c r="I57" s="457" t="str">
        <f>IFERROR(INDEX('ANALISIS TÉCNICO'!$B$89:$N$118,MATCH(4,'ANALISIS TÉCNICO'!$N$89:$N$118,0),7),"")</f>
        <v/>
      </c>
      <c r="J57" s="457" t="str">
        <f>IFERROR(INDEX('ANALISIS TÉCNICO'!$B$89:$N$118,MATCH(4,'ANALISIS TÉCNICO'!$N$89:$N$118,0),8),"")</f>
        <v/>
      </c>
      <c r="K57" s="504"/>
      <c r="L57" s="515"/>
      <c r="M57" s="273"/>
      <c r="N57" s="266" t="str">
        <f t="shared" si="19"/>
        <v/>
      </c>
      <c r="O57" s="503"/>
      <c r="P57" s="503"/>
      <c r="Q57" s="503"/>
      <c r="R57" s="503"/>
      <c r="S57" s="425"/>
      <c r="T57" s="530" t="str">
        <f t="shared" ref="T57:T62" si="21">IFERROR(IF(B76="","b","c"),"")</f>
        <v>b</v>
      </c>
      <c r="U57" s="425">
        <f>IFERROR(COUNTIF($T$20:T57,$T$21),"")</f>
        <v>37</v>
      </c>
      <c r="V57" s="571" t="str">
        <f t="shared" ref="V57:V62" si="22">IFERROR(B76&amp;" "&amp;E76,"")</f>
        <v xml:space="preserve"> </v>
      </c>
      <c r="W57" s="538" t="str">
        <f t="shared" si="4"/>
        <v/>
      </c>
      <c r="X57" s="425"/>
      <c r="Y57" s="425"/>
      <c r="Z57" s="425"/>
      <c r="AA57" s="425" t="str">
        <f t="shared" ref="AA57:AA62" si="23">IFERROR(N76/$N$82*$M$90+N76,"")</f>
        <v/>
      </c>
      <c r="AB57" s="425"/>
      <c r="AC57" s="425"/>
      <c r="AD57" s="425"/>
      <c r="AE57" s="425"/>
      <c r="AF57" s="425"/>
      <c r="AG57" s="425"/>
      <c r="AH57" s="425"/>
    </row>
    <row r="58" spans="1:34" s="69" customFormat="1" ht="60" hidden="1" customHeight="1" x14ac:dyDescent="0.2">
      <c r="A58" s="136"/>
      <c r="B58" s="1248" t="str">
        <f>IFERROR(INDEX('ANALISIS TÉCNICO'!$B$89:$N$118,MATCH(5,'ANALISIS TÉCNICO'!$N$89:$N$118,0),1),"")</f>
        <v/>
      </c>
      <c r="C58" s="1248"/>
      <c r="D58" s="1248"/>
      <c r="E58" s="1250" t="str">
        <f>IFERROR(INDEX('ANALISIS TÉCNICO'!$B$89:$N$118,MATCH(5,'ANALISIS TÉCNICO'!$N$89:$N$118,0),3),"")</f>
        <v/>
      </c>
      <c r="F58" s="1252"/>
      <c r="G58" s="1250" t="str">
        <f t="shared" si="20"/>
        <v/>
      </c>
      <c r="H58" s="1252"/>
      <c r="I58" s="457" t="str">
        <f>IFERROR(INDEX('ANALISIS TÉCNICO'!$B$89:$N$118,MATCH(5,'ANALISIS TÉCNICO'!$N$89:$N$118,0),7),"")</f>
        <v/>
      </c>
      <c r="J58" s="457" t="str">
        <f>IFERROR(INDEX('ANALISIS TÉCNICO'!$B$89:$N$118,MATCH(5,'ANALISIS TÉCNICO'!$N$89:$N$118,0),8),"")</f>
        <v/>
      </c>
      <c r="K58" s="504"/>
      <c r="L58" s="515"/>
      <c r="M58" s="273"/>
      <c r="N58" s="266" t="str">
        <f t="shared" si="19"/>
        <v/>
      </c>
      <c r="O58" s="503"/>
      <c r="P58" s="503"/>
      <c r="Q58" s="503"/>
      <c r="R58" s="503"/>
      <c r="S58" s="425"/>
      <c r="T58" s="530" t="str">
        <f t="shared" si="21"/>
        <v>b</v>
      </c>
      <c r="U58" s="425">
        <f>IFERROR(COUNTIF($T$20:T58,$T$21),"")</f>
        <v>38</v>
      </c>
      <c r="V58" s="425" t="str">
        <f t="shared" si="22"/>
        <v xml:space="preserve"> </v>
      </c>
      <c r="W58" s="538" t="str">
        <f t="shared" si="4"/>
        <v/>
      </c>
      <c r="X58" s="425"/>
      <c r="Y58" s="425"/>
      <c r="Z58" s="425"/>
      <c r="AA58" s="425" t="str">
        <f t="shared" si="23"/>
        <v/>
      </c>
      <c r="AB58" s="425"/>
      <c r="AC58" s="425"/>
      <c r="AD58" s="425"/>
      <c r="AE58" s="425"/>
      <c r="AF58" s="425"/>
      <c r="AG58" s="425"/>
      <c r="AH58" s="425"/>
    </row>
    <row r="59" spans="1:34" s="69" customFormat="1" ht="60" hidden="1" customHeight="1" x14ac:dyDescent="0.2">
      <c r="A59" s="136"/>
      <c r="B59" s="1248" t="str">
        <f>IFERROR(INDEX('ANALISIS TÉCNICO'!$B$89:$N$118,MATCH(6,'ANALISIS TÉCNICO'!$N$89:$N$118,0),1),"")</f>
        <v/>
      </c>
      <c r="C59" s="1248"/>
      <c r="D59" s="1248"/>
      <c r="E59" s="1250" t="str">
        <f>IFERROR(INDEX('ANALISIS TÉCNICO'!$B$89:$N$118,MATCH(6,'ANALISIS TÉCNICO'!$N$89:$N$118,0),3),"")</f>
        <v/>
      </c>
      <c r="F59" s="1252"/>
      <c r="G59" s="1250" t="str">
        <f t="shared" si="20"/>
        <v/>
      </c>
      <c r="H59" s="1252"/>
      <c r="I59" s="457" t="str">
        <f>IFERROR(INDEX('ANALISIS TÉCNICO'!$B$89:$N$118,MATCH(6,'ANALISIS TÉCNICO'!$N$89:$N$118,0),7),"")</f>
        <v/>
      </c>
      <c r="J59" s="457" t="str">
        <f>IFERROR(INDEX('ANALISIS TÉCNICO'!$B$89:$N$118,MATCH(6,'ANALISIS TÉCNICO'!$N$89:$N$118,0),8),"")</f>
        <v/>
      </c>
      <c r="K59" s="504"/>
      <c r="L59" s="515"/>
      <c r="M59" s="273"/>
      <c r="N59" s="266" t="str">
        <f t="shared" si="19"/>
        <v/>
      </c>
      <c r="O59" s="503"/>
      <c r="P59" s="503"/>
      <c r="Q59" s="503"/>
      <c r="R59" s="503"/>
      <c r="S59" s="425"/>
      <c r="T59" s="530" t="str">
        <f t="shared" si="21"/>
        <v>b</v>
      </c>
      <c r="U59" s="425">
        <f>IFERROR(COUNTIF($T$20:T59,$T$21),"")</f>
        <v>39</v>
      </c>
      <c r="V59" s="425" t="str">
        <f t="shared" si="22"/>
        <v xml:space="preserve"> </v>
      </c>
      <c r="W59" s="538" t="str">
        <f t="shared" si="4"/>
        <v/>
      </c>
      <c r="X59" s="425"/>
      <c r="Y59" s="425"/>
      <c r="Z59" s="425"/>
      <c r="AA59" s="425" t="str">
        <f t="shared" si="23"/>
        <v/>
      </c>
      <c r="AB59" s="425"/>
      <c r="AC59" s="425"/>
      <c r="AD59" s="425"/>
      <c r="AE59" s="425"/>
      <c r="AF59" s="425"/>
      <c r="AG59" s="425"/>
      <c r="AH59" s="425"/>
    </row>
    <row r="60" spans="1:34" s="69" customFormat="1" ht="60" hidden="1" customHeight="1" x14ac:dyDescent="0.2">
      <c r="A60" s="136"/>
      <c r="B60" s="1248" t="str">
        <f>IFERROR(INDEX('ANALISIS TÉCNICO'!$B$89:$N$118,MATCH(7,'ANALISIS TÉCNICO'!$N$89:$N$118,0),1),"")</f>
        <v/>
      </c>
      <c r="C60" s="1248"/>
      <c r="D60" s="1248"/>
      <c r="E60" s="1250" t="str">
        <f>IFERROR(INDEX('ANALISIS TÉCNICO'!$B$89:$N$118,MATCH(7,'ANALISIS TÉCNICO'!$N$89:$N$118,0),3),"")</f>
        <v/>
      </c>
      <c r="F60" s="1252"/>
      <c r="G60" s="1250" t="str">
        <f t="shared" si="20"/>
        <v/>
      </c>
      <c r="H60" s="1252"/>
      <c r="I60" s="457" t="str">
        <f>IFERROR(INDEX('ANALISIS TÉCNICO'!$B$89:$N$118,MATCH(7,'ANALISIS TÉCNICO'!$N$89:$N$118,0),7),"")</f>
        <v/>
      </c>
      <c r="J60" s="457" t="str">
        <f>IFERROR(INDEX('ANALISIS TÉCNICO'!$B$89:$N$118,MATCH(7,'ANALISIS TÉCNICO'!$N$89:$N$118,0),8),"")</f>
        <v/>
      </c>
      <c r="K60" s="504"/>
      <c r="L60" s="515"/>
      <c r="M60" s="273"/>
      <c r="N60" s="266" t="str">
        <f t="shared" si="19"/>
        <v/>
      </c>
      <c r="O60" s="503"/>
      <c r="P60" s="503"/>
      <c r="Q60" s="503"/>
      <c r="R60" s="503"/>
      <c r="S60" s="425"/>
      <c r="T60" s="530" t="str">
        <f t="shared" si="21"/>
        <v>b</v>
      </c>
      <c r="U60" s="425">
        <f>IFERROR(COUNTIF($T$20:T60,$T$21),"")</f>
        <v>40</v>
      </c>
      <c r="V60" s="425" t="str">
        <f t="shared" si="22"/>
        <v xml:space="preserve"> </v>
      </c>
      <c r="W60" s="538" t="str">
        <f t="shared" si="4"/>
        <v/>
      </c>
      <c r="X60" s="425"/>
      <c r="Y60" s="425"/>
      <c r="Z60" s="425"/>
      <c r="AA60" s="425" t="str">
        <f t="shared" si="23"/>
        <v/>
      </c>
      <c r="AB60" s="425"/>
      <c r="AC60" s="425"/>
      <c r="AD60" s="425"/>
      <c r="AE60" s="425"/>
      <c r="AF60" s="425"/>
      <c r="AG60" s="425"/>
      <c r="AH60" s="425"/>
    </row>
    <row r="61" spans="1:34" s="69" customFormat="1" ht="60" hidden="1" customHeight="1" x14ac:dyDescent="0.2">
      <c r="A61" s="136"/>
      <c r="B61" s="1248" t="str">
        <f>IFERROR(INDEX('ANALISIS TÉCNICO'!$B$89:$N$118,MATCH(8,'ANALISIS TÉCNICO'!$N$89:$N$118,0),1),"")</f>
        <v/>
      </c>
      <c r="C61" s="1248"/>
      <c r="D61" s="1248"/>
      <c r="E61" s="1250" t="str">
        <f>IFERROR(INDEX('ANALISIS TÉCNICO'!$B$89:$N$118,MATCH(8,'ANALISIS TÉCNICO'!$N$89:$N$118,0),3),"")</f>
        <v/>
      </c>
      <c r="F61" s="1252"/>
      <c r="G61" s="1250" t="str">
        <f t="shared" si="20"/>
        <v/>
      </c>
      <c r="H61" s="1252"/>
      <c r="I61" s="457" t="str">
        <f>IFERROR(INDEX('ANALISIS TÉCNICO'!$B$89:$N$118,MATCH(8,'ANALISIS TÉCNICO'!$N$89:$N$118,0),7),"")</f>
        <v/>
      </c>
      <c r="J61" s="457" t="str">
        <f>IFERROR(INDEX('ANALISIS TÉCNICO'!$B$89:$N$118,MATCH(8,'ANALISIS TÉCNICO'!$N$89:$N$118,0),8),"")</f>
        <v/>
      </c>
      <c r="K61" s="504"/>
      <c r="L61" s="515"/>
      <c r="M61" s="273"/>
      <c r="N61" s="266" t="str">
        <f t="shared" si="19"/>
        <v/>
      </c>
      <c r="O61" s="503"/>
      <c r="P61" s="503"/>
      <c r="Q61" s="503"/>
      <c r="R61" s="503"/>
      <c r="S61" s="425"/>
      <c r="T61" s="530" t="str">
        <f t="shared" si="21"/>
        <v>b</v>
      </c>
      <c r="U61" s="425">
        <f>IFERROR(COUNTIF($T$20:T61,$T$21),"")</f>
        <v>41</v>
      </c>
      <c r="V61" s="425" t="str">
        <f t="shared" si="22"/>
        <v xml:space="preserve"> </v>
      </c>
      <c r="W61" s="538" t="str">
        <f t="shared" si="4"/>
        <v/>
      </c>
      <c r="X61" s="425"/>
      <c r="Y61" s="425"/>
      <c r="Z61" s="425"/>
      <c r="AA61" s="425" t="str">
        <f t="shared" si="23"/>
        <v/>
      </c>
      <c r="AB61" s="425"/>
      <c r="AC61" s="425"/>
      <c r="AD61" s="425"/>
      <c r="AE61" s="425"/>
      <c r="AF61" s="425"/>
      <c r="AG61" s="425"/>
      <c r="AH61" s="425"/>
    </row>
    <row r="62" spans="1:34" s="69" customFormat="1" ht="60" hidden="1" customHeight="1" x14ac:dyDescent="0.2">
      <c r="A62" s="136"/>
      <c r="B62" s="1248" t="str">
        <f>IFERROR(INDEX('ANALISIS TÉCNICO'!$B$89:$N$118,MATCH(9,'ANALISIS TÉCNICO'!$N$89:$N$118,0),1),"")</f>
        <v/>
      </c>
      <c r="C62" s="1248"/>
      <c r="D62" s="1248"/>
      <c r="E62" s="1250" t="str">
        <f>IFERROR(INDEX('ANALISIS TÉCNICO'!$B$89:$N$118,MATCH(9,'ANALISIS TÉCNICO'!$N$89:$N$118,0),3),"")</f>
        <v/>
      </c>
      <c r="F62" s="1252"/>
      <c r="G62" s="1250" t="str">
        <f t="shared" si="20"/>
        <v/>
      </c>
      <c r="H62" s="1252"/>
      <c r="I62" s="457" t="str">
        <f>IFERROR(INDEX('ANALISIS TÉCNICO'!$B$89:$N$118,MATCH(9,'ANALISIS TÉCNICO'!$N$89:$N$118,0),7),"")</f>
        <v/>
      </c>
      <c r="J62" s="457" t="str">
        <f>IFERROR(INDEX('ANALISIS TÉCNICO'!$B$89:$N$118,MATCH(9,'ANALISIS TÉCNICO'!$N$89:$N$118,0),8),"")</f>
        <v/>
      </c>
      <c r="K62" s="504"/>
      <c r="L62" s="515"/>
      <c r="M62" s="273"/>
      <c r="N62" s="266" t="str">
        <f t="shared" si="19"/>
        <v/>
      </c>
      <c r="O62" s="503"/>
      <c r="P62" s="503"/>
      <c r="Q62" s="503"/>
      <c r="R62" s="503"/>
      <c r="S62" s="425"/>
      <c r="T62" s="530" t="str">
        <f t="shared" si="21"/>
        <v>b</v>
      </c>
      <c r="U62" s="425">
        <f>IFERROR(COUNTIF($T$20:T62,$T$21),"")</f>
        <v>42</v>
      </c>
      <c r="V62" s="425" t="str">
        <f t="shared" si="22"/>
        <v xml:space="preserve"> </v>
      </c>
      <c r="W62" s="538" t="str">
        <f t="shared" si="4"/>
        <v/>
      </c>
      <c r="X62" s="425"/>
      <c r="Y62" s="425"/>
      <c r="Z62" s="425"/>
      <c r="AA62" s="425" t="str">
        <f t="shared" si="23"/>
        <v/>
      </c>
      <c r="AB62" s="425"/>
      <c r="AC62" s="425"/>
      <c r="AD62" s="425"/>
      <c r="AE62" s="425"/>
      <c r="AF62" s="425"/>
      <c r="AG62" s="425"/>
      <c r="AH62" s="425"/>
    </row>
    <row r="63" spans="1:34" s="69" customFormat="1" ht="60" hidden="1" customHeight="1" x14ac:dyDescent="0.2">
      <c r="A63" s="136"/>
      <c r="B63" s="1248" t="str">
        <f>IFERROR(INDEX('ANALISIS TÉCNICO'!$B$89:$N$118,MATCH(10,'ANALISIS TÉCNICO'!$N$89:$N$118,0),1),"")</f>
        <v/>
      </c>
      <c r="C63" s="1248"/>
      <c r="D63" s="1248"/>
      <c r="E63" s="1250" t="str">
        <f>IFERROR(INDEX('ANALISIS TÉCNICO'!$B$89:$N$118,MATCH(10,'ANALISIS TÉCNICO'!$N$89:$N$118,0),3),"")</f>
        <v/>
      </c>
      <c r="F63" s="1252"/>
      <c r="G63" s="1250" t="str">
        <f t="shared" si="20"/>
        <v/>
      </c>
      <c r="H63" s="1252"/>
      <c r="I63" s="457" t="str">
        <f>IFERROR(INDEX('ANALISIS TÉCNICO'!$B$89:$N$118,MATCH(10,'ANALISIS TÉCNICO'!$N$89:$N$118,0),7),"")</f>
        <v/>
      </c>
      <c r="J63" s="457" t="str">
        <f>IFERROR(INDEX('ANALISIS TÉCNICO'!$B$89:$N$118,MATCH(10,'ANALISIS TÉCNICO'!$N$89:$N$118,0),8),"")</f>
        <v/>
      </c>
      <c r="K63" s="504"/>
      <c r="L63" s="515"/>
      <c r="M63" s="273"/>
      <c r="N63" s="266" t="str">
        <f t="shared" si="19"/>
        <v/>
      </c>
      <c r="O63" s="503"/>
      <c r="P63" s="503"/>
      <c r="Q63" s="503"/>
      <c r="R63" s="503"/>
      <c r="S63" s="425"/>
      <c r="T63" s="425"/>
      <c r="U63" s="425"/>
      <c r="V63" s="425"/>
      <c r="W63" s="425"/>
      <c r="X63" s="425"/>
      <c r="Y63" s="425"/>
      <c r="Z63" s="425"/>
      <c r="AA63" s="425"/>
      <c r="AB63" s="425"/>
      <c r="AC63" s="425"/>
      <c r="AD63" s="425"/>
      <c r="AE63" s="425"/>
      <c r="AF63" s="425"/>
      <c r="AG63" s="425"/>
      <c r="AH63" s="425"/>
    </row>
    <row r="64" spans="1:34" s="69" customFormat="1" ht="60" hidden="1" customHeight="1" x14ac:dyDescent="0.2">
      <c r="A64" s="136"/>
      <c r="B64" s="1248" t="str">
        <f>IFERROR(INDEX('ANALISIS TÉCNICO'!$B$89:$N$118,MATCH(11,'ANALISIS TÉCNICO'!$N$89:$N$118,0),1),"")</f>
        <v/>
      </c>
      <c r="C64" s="1248"/>
      <c r="D64" s="1248"/>
      <c r="E64" s="1250" t="str">
        <f>IFERROR(INDEX('ANALISIS TÉCNICO'!$B$89:$N$118,MATCH(11,'ANALISIS TÉCNICO'!$N$89:$N$118,0),3),"")</f>
        <v/>
      </c>
      <c r="F64" s="1252"/>
      <c r="G64" s="1250" t="str">
        <f t="shared" si="20"/>
        <v/>
      </c>
      <c r="H64" s="1252"/>
      <c r="I64" s="457" t="str">
        <f>IFERROR(INDEX('ANALISIS TÉCNICO'!$B$89:$N$118,MATCH(11,'ANALISIS TÉCNICO'!$N$89:$N$118,0),7),"")</f>
        <v/>
      </c>
      <c r="J64" s="457" t="str">
        <f>IFERROR(INDEX('ANALISIS TÉCNICO'!$B$89:$N$118,MATCH(11,'ANALISIS TÉCNICO'!$N$89:$N$118,0),8),"")</f>
        <v/>
      </c>
      <c r="K64" s="504"/>
      <c r="L64" s="515"/>
      <c r="M64" s="273"/>
      <c r="N64" s="266" t="str">
        <f t="shared" si="19"/>
        <v/>
      </c>
      <c r="O64" s="503"/>
      <c r="P64" s="503"/>
      <c r="Q64" s="503"/>
      <c r="R64" s="503"/>
      <c r="S64" s="425"/>
      <c r="T64" s="530"/>
      <c r="U64" s="425"/>
      <c r="V64" s="425"/>
      <c r="W64" s="425"/>
      <c r="X64" s="425"/>
      <c r="Y64" s="425"/>
      <c r="Z64" s="425"/>
      <c r="AA64" s="425"/>
      <c r="AB64" s="425"/>
      <c r="AC64" s="425"/>
      <c r="AD64" s="425"/>
      <c r="AE64" s="425"/>
      <c r="AF64" s="425"/>
      <c r="AG64" s="425"/>
      <c r="AH64" s="425"/>
    </row>
    <row r="65" spans="1:34" s="69" customFormat="1" ht="60" hidden="1" customHeight="1" x14ac:dyDescent="0.2">
      <c r="A65" s="136"/>
      <c r="B65" s="1248" t="str">
        <f>IFERROR(INDEX('ANALISIS TÉCNICO'!$B$89:$N$118,MATCH(12,'ANALISIS TÉCNICO'!$N$89:$N$118,0),1),"")</f>
        <v/>
      </c>
      <c r="C65" s="1248"/>
      <c r="D65" s="1248"/>
      <c r="E65" s="1250" t="str">
        <f>IFERROR(INDEX('ANALISIS TÉCNICO'!$B$89:$N$118,MATCH(12,'ANALISIS TÉCNICO'!$N$89:$N$118,0),3),"")</f>
        <v/>
      </c>
      <c r="F65" s="1252"/>
      <c r="G65" s="1250" t="str">
        <f t="shared" si="20"/>
        <v/>
      </c>
      <c r="H65" s="1252"/>
      <c r="I65" s="457" t="str">
        <f>IFERROR(INDEX('ANALISIS TÉCNICO'!$B$89:$N$118,MATCH(12,'ANALISIS TÉCNICO'!$N$89:$N$118,0),7),"")</f>
        <v/>
      </c>
      <c r="J65" s="457" t="str">
        <f>IFERROR(INDEX('ANALISIS TÉCNICO'!$B$89:$N$118,MATCH(12,'ANALISIS TÉCNICO'!$N$89:$N$118,0),8),"")</f>
        <v/>
      </c>
      <c r="K65" s="504"/>
      <c r="L65" s="515"/>
      <c r="M65" s="273"/>
      <c r="N65" s="266" t="str">
        <f t="shared" si="19"/>
        <v/>
      </c>
      <c r="O65" s="503"/>
      <c r="P65" s="503"/>
      <c r="Q65" s="503"/>
      <c r="R65" s="503"/>
      <c r="S65" s="425"/>
      <c r="T65" s="530"/>
      <c r="U65" s="425"/>
      <c r="V65" s="425"/>
      <c r="W65" s="425"/>
      <c r="X65" s="425"/>
      <c r="Y65" s="425"/>
      <c r="Z65" s="425"/>
      <c r="AA65" s="425"/>
      <c r="AB65" s="425"/>
      <c r="AC65" s="425"/>
      <c r="AD65" s="425"/>
      <c r="AE65" s="425"/>
      <c r="AF65" s="425"/>
      <c r="AG65" s="425"/>
      <c r="AH65" s="425"/>
    </row>
    <row r="66" spans="1:34" s="69" customFormat="1" ht="60" hidden="1" customHeight="1" x14ac:dyDescent="0.2">
      <c r="A66" s="136"/>
      <c r="B66" s="1248" t="str">
        <f>IFERROR(INDEX('ANALISIS TÉCNICO'!$B$89:$N$118,MATCH(13,'ANALISIS TÉCNICO'!$N$89:$N$118,0),1),"")</f>
        <v/>
      </c>
      <c r="C66" s="1248"/>
      <c r="D66" s="1248"/>
      <c r="E66" s="1250" t="str">
        <f>IFERROR(INDEX('ANALISIS TÉCNICO'!$B$89:$N$118,MATCH(13,'ANALISIS TÉCNICO'!$N$89:$N$118,0),3),"")</f>
        <v/>
      </c>
      <c r="F66" s="1252"/>
      <c r="G66" s="1250" t="str">
        <f t="shared" si="20"/>
        <v/>
      </c>
      <c r="H66" s="1252"/>
      <c r="I66" s="457" t="str">
        <f>IFERROR(INDEX('ANALISIS TÉCNICO'!$B$89:$N$118,MATCH(13,'ANALISIS TÉCNICO'!$N$89:$N$118,0),7),"")</f>
        <v/>
      </c>
      <c r="J66" s="457" t="str">
        <f>IFERROR(INDEX('ANALISIS TÉCNICO'!$B$89:$N$118,MATCH(13,'ANALISIS TÉCNICO'!$N$89:$N$118,0),8),"")</f>
        <v/>
      </c>
      <c r="K66" s="504"/>
      <c r="L66" s="515"/>
      <c r="M66" s="273"/>
      <c r="N66" s="266" t="str">
        <f t="shared" si="19"/>
        <v/>
      </c>
      <c r="O66" s="503"/>
      <c r="P66" s="503"/>
      <c r="Q66" s="503"/>
      <c r="R66" s="503"/>
      <c r="S66" s="425"/>
      <c r="T66" s="530"/>
      <c r="U66" s="425"/>
      <c r="V66" s="425"/>
      <c r="W66" s="425"/>
      <c r="X66" s="425"/>
      <c r="Y66" s="425"/>
      <c r="Z66" s="425"/>
      <c r="AA66" s="425"/>
      <c r="AB66" s="425"/>
      <c r="AC66" s="425"/>
      <c r="AD66" s="425"/>
      <c r="AE66" s="425"/>
      <c r="AF66" s="425"/>
      <c r="AG66" s="425"/>
      <c r="AH66" s="425"/>
    </row>
    <row r="67" spans="1:34" s="69" customFormat="1" ht="60" hidden="1" customHeight="1" x14ac:dyDescent="0.2">
      <c r="A67" s="136"/>
      <c r="B67" s="1248" t="str">
        <f>IFERROR(INDEX('ANALISIS TÉCNICO'!$B$89:$N$118,MATCH(14,'ANALISIS TÉCNICO'!$N$89:$N$118,0),1),"")</f>
        <v/>
      </c>
      <c r="C67" s="1248"/>
      <c r="D67" s="1248"/>
      <c r="E67" s="1250" t="str">
        <f>IFERROR(INDEX('ANALISIS TÉCNICO'!$B$89:$N$118,MATCH(14,'ANALISIS TÉCNICO'!$N$89:$N$118,0),3),"")</f>
        <v/>
      </c>
      <c r="F67" s="1252"/>
      <c r="G67" s="1250" t="str">
        <f t="shared" si="20"/>
        <v/>
      </c>
      <c r="H67" s="1252"/>
      <c r="I67" s="457" t="str">
        <f>IFERROR(INDEX('ANALISIS TÉCNICO'!$B$89:$N$118,MATCH(14,'ANALISIS TÉCNICO'!$N$89:$N$118,0),7),"")</f>
        <v/>
      </c>
      <c r="J67" s="457" t="str">
        <f>IFERROR(INDEX('ANALISIS TÉCNICO'!$B$89:$N$118,MATCH(14,'ANALISIS TÉCNICO'!$N$89:$N$118,0),8),"")</f>
        <v/>
      </c>
      <c r="K67" s="504"/>
      <c r="L67" s="515"/>
      <c r="M67" s="273"/>
      <c r="N67" s="266" t="str">
        <f t="shared" si="19"/>
        <v/>
      </c>
      <c r="O67" s="503"/>
      <c r="P67" s="503"/>
      <c r="Q67" s="503"/>
      <c r="R67" s="503"/>
      <c r="S67" s="425"/>
      <c r="T67" s="530"/>
      <c r="U67" s="425"/>
      <c r="V67" s="425"/>
      <c r="W67" s="425"/>
      <c r="X67" s="425"/>
      <c r="Y67" s="425"/>
      <c r="Z67" s="425"/>
      <c r="AA67" s="425"/>
      <c r="AB67" s="425"/>
      <c r="AC67" s="425"/>
      <c r="AD67" s="425"/>
      <c r="AE67" s="425"/>
      <c r="AF67" s="425"/>
      <c r="AG67" s="425"/>
      <c r="AH67" s="425"/>
    </row>
    <row r="68" spans="1:34" s="69" customFormat="1" ht="60" hidden="1" customHeight="1" x14ac:dyDescent="0.2">
      <c r="A68" s="136"/>
      <c r="B68" s="1248" t="str">
        <f>IFERROR(INDEX('ANALISIS TÉCNICO'!$B$89:$N$118,MATCH(15,'ANALISIS TÉCNICO'!$N$89:$N$118,0),1),"")</f>
        <v/>
      </c>
      <c r="C68" s="1248"/>
      <c r="D68" s="1248"/>
      <c r="E68" s="1250" t="str">
        <f>IFERROR(INDEX('ANALISIS TÉCNICO'!$B$89:$N$118,MATCH(15,'ANALISIS TÉCNICO'!$N$89:$N$118,0),3),"")</f>
        <v/>
      </c>
      <c r="F68" s="1252"/>
      <c r="G68" s="1250" t="str">
        <f t="shared" si="20"/>
        <v/>
      </c>
      <c r="H68" s="1252"/>
      <c r="I68" s="457" t="str">
        <f>IFERROR(INDEX('ANALISIS TÉCNICO'!$B$89:$N$118,MATCH(15,'ANALISIS TÉCNICO'!$N$89:$N$118,0),7),"")</f>
        <v/>
      </c>
      <c r="J68" s="457" t="str">
        <f>IFERROR(INDEX('ANALISIS TÉCNICO'!$B$89:$N$118,MATCH(15,'ANALISIS TÉCNICO'!$N$89:$N$118,0),8),"")</f>
        <v/>
      </c>
      <c r="K68" s="504"/>
      <c r="L68" s="515"/>
      <c r="M68" s="273"/>
      <c r="N68" s="266" t="str">
        <f t="shared" si="19"/>
        <v/>
      </c>
      <c r="O68" s="503"/>
      <c r="P68" s="503"/>
      <c r="Q68" s="503"/>
      <c r="R68" s="503"/>
      <c r="S68" s="425"/>
      <c r="T68" s="530"/>
      <c r="U68" s="425"/>
      <c r="V68" s="425"/>
      <c r="W68" s="425"/>
      <c r="X68" s="425"/>
      <c r="Y68" s="425"/>
      <c r="Z68" s="425"/>
      <c r="AA68" s="425"/>
      <c r="AB68" s="425"/>
      <c r="AC68" s="425"/>
      <c r="AD68" s="425"/>
      <c r="AE68" s="425"/>
      <c r="AF68" s="425"/>
      <c r="AG68" s="425"/>
      <c r="AH68" s="425"/>
    </row>
    <row r="69" spans="1:34" s="69" customFormat="1" ht="60" hidden="1" customHeight="1" x14ac:dyDescent="0.2">
      <c r="A69" s="503"/>
      <c r="B69" s="1248" t="str">
        <f>IFERROR(INDEX('ANALISIS TÉCNICO'!$B$89:$N$118,MATCH(16,'ANALISIS TÉCNICO'!$N$89:$N$118,0),1),"")</f>
        <v/>
      </c>
      <c r="C69" s="1248"/>
      <c r="D69" s="1248"/>
      <c r="E69" s="1250" t="str">
        <f>IFERROR(INDEX('ANALISIS TÉCNICO'!$B$89:$N$118,MATCH(16,'ANALISIS TÉCNICO'!$N$89:$N$118,0),3),"")</f>
        <v/>
      </c>
      <c r="F69" s="1252"/>
      <c r="G69" s="1250" t="str">
        <f t="shared" si="20"/>
        <v/>
      </c>
      <c r="H69" s="1252"/>
      <c r="I69" s="457" t="str">
        <f>IFERROR(INDEX('ANALISIS TÉCNICO'!$B$89:$N$118,MATCH(16,'ANALISIS TÉCNICO'!$N$89:$N$118,0),7),"")</f>
        <v/>
      </c>
      <c r="J69" s="457" t="str">
        <f>IFERROR(INDEX('ANALISIS TÉCNICO'!$B$89:$N$118,MATCH(16,'ANALISIS TÉCNICO'!$N$89:$N$118,0),8),"")</f>
        <v/>
      </c>
      <c r="K69" s="504"/>
      <c r="L69" s="515"/>
      <c r="M69" s="273"/>
      <c r="N69" s="266" t="str">
        <f t="shared" si="19"/>
        <v/>
      </c>
      <c r="O69" s="503"/>
      <c r="P69" s="503"/>
      <c r="Q69" s="503"/>
      <c r="R69" s="503"/>
      <c r="S69" s="425"/>
      <c r="T69" s="530"/>
      <c r="U69" s="425"/>
      <c r="V69" s="425"/>
      <c r="W69" s="425"/>
      <c r="X69" s="425"/>
      <c r="Y69" s="425" t="str">
        <f t="shared" si="18"/>
        <v>1</v>
      </c>
      <c r="Z69" s="425">
        <f>COUNTIF($Y$20:Y69,$Y$21)</f>
        <v>30</v>
      </c>
      <c r="AA69" s="425"/>
      <c r="AB69" s="425"/>
      <c r="AC69" s="425"/>
      <c r="AD69" s="425"/>
      <c r="AE69" s="425"/>
      <c r="AF69" s="425"/>
      <c r="AG69" s="425"/>
      <c r="AH69" s="425"/>
    </row>
    <row r="70" spans="1:34" s="69" customFormat="1" ht="60" hidden="1" customHeight="1" x14ac:dyDescent="0.2">
      <c r="A70" s="136"/>
      <c r="B70" s="1248" t="str">
        <f>IFERROR(INDEX('ANALISIS TÉCNICO'!$B$89:$N$118,MATCH(17,'ANALISIS TÉCNICO'!$N$89:$N$118,0),1),"")</f>
        <v/>
      </c>
      <c r="C70" s="1248"/>
      <c r="D70" s="1248"/>
      <c r="E70" s="1250" t="str">
        <f>IFERROR(INDEX('ANALISIS TÉCNICO'!$B$89:$N$118,MATCH(17,'ANALISIS TÉCNICO'!$N$89:$N$118,0),3),"")</f>
        <v/>
      </c>
      <c r="F70" s="1252"/>
      <c r="G70" s="1250" t="str">
        <f t="shared" si="20"/>
        <v/>
      </c>
      <c r="H70" s="1252"/>
      <c r="I70" s="457" t="str">
        <f>IFERROR(INDEX('ANALISIS TÉCNICO'!$B$89:$N$118,MATCH(17,'ANALISIS TÉCNICO'!$N$89:$N$118,0),7),"")</f>
        <v/>
      </c>
      <c r="J70" s="457" t="str">
        <f>IFERROR(INDEX('ANALISIS TÉCNICO'!$B$89:$N$118,MATCH(17,'ANALISIS TÉCNICO'!$N$89:$N$118,0),8),"")</f>
        <v/>
      </c>
      <c r="K70" s="504"/>
      <c r="L70" s="515"/>
      <c r="M70" s="273"/>
      <c r="N70" s="266" t="str">
        <f t="shared" si="19"/>
        <v/>
      </c>
      <c r="O70" s="503"/>
      <c r="P70" s="503"/>
      <c r="Q70" s="503"/>
      <c r="R70" s="503"/>
      <c r="S70" s="425"/>
      <c r="T70" s="530"/>
      <c r="U70" s="425">
        <f>IF(AND(T70="",T71=""),T72,IF(T70="",T71,T70))</f>
        <v>0</v>
      </c>
      <c r="V70" s="425"/>
      <c r="W70" s="425"/>
      <c r="X70" s="425"/>
      <c r="Y70" s="425" t="str">
        <f t="shared" si="18"/>
        <v>2</v>
      </c>
      <c r="Z70" s="425">
        <f>COUNTIF($Y$20:Y70,$Y$21)</f>
        <v>30</v>
      </c>
      <c r="AA70" s="425"/>
      <c r="AB70" s="425"/>
      <c r="AC70" s="425"/>
      <c r="AD70" s="425"/>
      <c r="AE70" s="425"/>
      <c r="AF70" s="425"/>
      <c r="AG70" s="425"/>
      <c r="AH70" s="425"/>
    </row>
    <row r="71" spans="1:34" s="69" customFormat="1" ht="60" hidden="1" customHeight="1" x14ac:dyDescent="0.2">
      <c r="A71" s="503"/>
      <c r="B71" s="1248" t="str">
        <f>IFERROR(INDEX('ANALISIS TÉCNICO'!$B$89:$N$118,MATCH(18,'ANALISIS TÉCNICO'!$N$89:$N$118,0),1),"")</f>
        <v/>
      </c>
      <c r="C71" s="1248"/>
      <c r="D71" s="1248"/>
      <c r="E71" s="1250" t="str">
        <f>IFERROR(INDEX('ANALISIS TÉCNICO'!$B$89:$N$118,MATCH(18,'ANALISIS TÉCNICO'!$N$89:$N$118,0),3),"")</f>
        <v/>
      </c>
      <c r="F71" s="1252"/>
      <c r="G71" s="1250" t="str">
        <f t="shared" si="20"/>
        <v/>
      </c>
      <c r="H71" s="1252"/>
      <c r="I71" s="457" t="str">
        <f>IFERROR(INDEX('ANALISIS TÉCNICO'!$B$89:$N$118,MATCH(18,'ANALISIS TÉCNICO'!$N$89:$N$118,0),7),"")</f>
        <v/>
      </c>
      <c r="J71" s="457" t="str">
        <f>IFERROR(INDEX('ANALISIS TÉCNICO'!$B$89:$N$118,MATCH(18,'ANALISIS TÉCNICO'!$N$89:$N$118,0),8),"")</f>
        <v/>
      </c>
      <c r="K71" s="504"/>
      <c r="L71" s="515"/>
      <c r="M71" s="273"/>
      <c r="N71" s="266" t="str">
        <f t="shared" si="19"/>
        <v/>
      </c>
      <c r="O71" s="503"/>
      <c r="P71" s="503"/>
      <c r="Q71" s="503"/>
      <c r="R71" s="503"/>
      <c r="S71" s="425"/>
      <c r="T71" s="530"/>
      <c r="U71" s="425" t="str">
        <f>IF(AND(T70="",T71=""),"",IF(T70="",T72,IF(T71="",T72,T71)))</f>
        <v/>
      </c>
      <c r="V71" s="425"/>
      <c r="W71" s="425"/>
      <c r="X71" s="425"/>
      <c r="Y71" s="425" t="str">
        <f t="shared" si="18"/>
        <v>1</v>
      </c>
      <c r="Z71" s="425">
        <f>COUNTIF($Y$20:Y71,$Y$21)</f>
        <v>30</v>
      </c>
      <c r="AA71" s="425"/>
      <c r="AB71" s="425"/>
      <c r="AC71" s="425"/>
      <c r="AD71" s="425"/>
      <c r="AE71" s="425"/>
      <c r="AF71" s="425"/>
      <c r="AG71" s="425"/>
      <c r="AH71" s="425"/>
    </row>
    <row r="72" spans="1:34" s="69" customFormat="1" ht="60" hidden="1" customHeight="1" x14ac:dyDescent="0.2">
      <c r="A72" s="136"/>
      <c r="B72" s="1248" t="str">
        <f>IFERROR(INDEX('ANALISIS TÉCNICO'!$B$89:$N$118,MATCH(19,'ANALISIS TÉCNICO'!$N$89:$N$118,0),1),"")</f>
        <v/>
      </c>
      <c r="C72" s="1248"/>
      <c r="D72" s="1248"/>
      <c r="E72" s="1250" t="str">
        <f>IFERROR(INDEX('ANALISIS TÉCNICO'!$B$89:$N$118,MATCH(19,'ANALISIS TÉCNICO'!$N$89:$N$118,0),3),"")</f>
        <v/>
      </c>
      <c r="F72" s="1252"/>
      <c r="G72" s="1250" t="str">
        <f t="shared" si="20"/>
        <v/>
      </c>
      <c r="H72" s="1252"/>
      <c r="I72" s="457" t="str">
        <f>IFERROR(INDEX('ANALISIS TÉCNICO'!$B$89:$N$118,MATCH(19,'ANALISIS TÉCNICO'!$N$89:$N$118,0),7),"")</f>
        <v/>
      </c>
      <c r="J72" s="457" t="str">
        <f>IFERROR(INDEX('ANALISIS TÉCNICO'!$B$89:$N$118,MATCH(19,'ANALISIS TÉCNICO'!$N$89:$N$118,0),8),"")</f>
        <v/>
      </c>
      <c r="K72" s="504"/>
      <c r="L72" s="515"/>
      <c r="M72" s="273"/>
      <c r="N72" s="266" t="str">
        <f t="shared" si="19"/>
        <v/>
      </c>
      <c r="O72" s="503"/>
      <c r="P72" s="503"/>
      <c r="Q72" s="503"/>
      <c r="R72" s="503"/>
      <c r="S72" s="425"/>
      <c r="T72" s="530"/>
      <c r="U72" s="425" t="str">
        <f>IF(AND(T70="",T71=""),"",IF(T71="","",IF(T70="","",T72)))</f>
        <v/>
      </c>
      <c r="V72" s="425"/>
      <c r="W72" s="425"/>
      <c r="X72" s="425"/>
      <c r="Y72" s="425" t="str">
        <f t="shared" si="18"/>
        <v>1</v>
      </c>
      <c r="Z72" s="425">
        <f>COUNTIF($Y$20:Y72,$Y$21)</f>
        <v>30</v>
      </c>
      <c r="AA72" s="425"/>
      <c r="AB72" s="425"/>
      <c r="AC72" s="425"/>
      <c r="AD72" s="425"/>
      <c r="AE72" s="425"/>
      <c r="AF72" s="425"/>
      <c r="AG72" s="425"/>
      <c r="AH72" s="425"/>
    </row>
    <row r="73" spans="1:34" s="69" customFormat="1" ht="60" hidden="1" customHeight="1" x14ac:dyDescent="0.2">
      <c r="A73" s="503"/>
      <c r="B73" s="1248" t="str">
        <f>IFERROR(INDEX('ANALISIS TÉCNICO'!$B$89:$N$118,MATCH(20,'ANALISIS TÉCNICO'!$N$89:$N$118,0),1),"")</f>
        <v/>
      </c>
      <c r="C73" s="1248"/>
      <c r="D73" s="1248"/>
      <c r="E73" s="1250" t="str">
        <f>IFERROR(INDEX('ANALISIS TÉCNICO'!$B$89:$N$118,MATCH(20,'ANALISIS TÉCNICO'!$N$89:$N$118,0),3),"")</f>
        <v/>
      </c>
      <c r="F73" s="1252"/>
      <c r="G73" s="1250" t="str">
        <f t="shared" si="20"/>
        <v/>
      </c>
      <c r="H73" s="1252"/>
      <c r="I73" s="457" t="str">
        <f>IFERROR(INDEX('ANALISIS TÉCNICO'!$B$89:$N$118,MATCH(20,'ANALISIS TÉCNICO'!$N$89:$N$118,0),7),"")</f>
        <v/>
      </c>
      <c r="J73" s="457" t="str">
        <f>IFERROR(INDEX('ANALISIS TÉCNICO'!$B$89:$N$118,MATCH(20,'ANALISIS TÉCNICO'!$N$89:$N$118,0),8),"")</f>
        <v/>
      </c>
      <c r="K73" s="504"/>
      <c r="L73" s="515"/>
      <c r="M73" s="273"/>
      <c r="N73" s="266" t="str">
        <f t="shared" si="19"/>
        <v/>
      </c>
      <c r="O73" s="503"/>
      <c r="P73" s="503"/>
      <c r="Q73" s="503"/>
      <c r="R73" s="503"/>
      <c r="S73" s="425"/>
      <c r="T73" s="530"/>
      <c r="U73" s="425"/>
      <c r="V73" s="425"/>
      <c r="W73" s="425"/>
      <c r="X73" s="425"/>
      <c r="Y73" s="425" t="str">
        <f t="shared" si="18"/>
        <v>1</v>
      </c>
      <c r="Z73" s="425">
        <f>COUNTIF($Y$20:Y73,$Y$21)</f>
        <v>30</v>
      </c>
      <c r="AA73" s="425"/>
      <c r="AB73" s="425"/>
      <c r="AC73" s="425"/>
      <c r="AD73" s="425"/>
      <c r="AE73" s="425"/>
      <c r="AF73" s="425"/>
      <c r="AG73" s="425"/>
      <c r="AH73" s="425"/>
    </row>
    <row r="74" spans="1:34" s="69" customFormat="1" ht="60" hidden="1" customHeight="1" x14ac:dyDescent="0.2">
      <c r="A74" s="136"/>
      <c r="B74" s="1248" t="str">
        <f>IFERROR(INDEX('ANALISIS TÉCNICO'!$B$89:$N$118,MATCH(21,'ANALISIS TÉCNICO'!$N$89:$N$118,0),1),"")</f>
        <v/>
      </c>
      <c r="C74" s="1248"/>
      <c r="D74" s="1248"/>
      <c r="E74" s="1250" t="str">
        <f>IFERROR(INDEX('ANALISIS TÉCNICO'!$B$89:$N$118,MATCH(21,'ANALISIS TÉCNICO'!$N$89:$N$118,0),3),"")</f>
        <v/>
      </c>
      <c r="F74" s="1252"/>
      <c r="G74" s="1250" t="str">
        <f t="shared" si="20"/>
        <v/>
      </c>
      <c r="H74" s="1252"/>
      <c r="I74" s="457" t="str">
        <f>IFERROR(INDEX('ANALISIS TÉCNICO'!$B$89:$N$118,MATCH(21,'ANALISIS TÉCNICO'!$N$89:$N$118,0),7),"")</f>
        <v/>
      </c>
      <c r="J74" s="457" t="str">
        <f>IFERROR(INDEX('ANALISIS TÉCNICO'!$B$89:$N$118,MATCH(21,'ANALISIS TÉCNICO'!$N$89:$N$118,0),8),"")</f>
        <v/>
      </c>
      <c r="K74" s="504"/>
      <c r="L74" s="515"/>
      <c r="M74" s="273"/>
      <c r="N74" s="266" t="str">
        <f t="shared" si="19"/>
        <v/>
      </c>
      <c r="O74" s="503"/>
      <c r="P74" s="503"/>
      <c r="Q74" s="503"/>
      <c r="R74" s="503"/>
      <c r="S74" s="425"/>
      <c r="T74" s="530"/>
      <c r="U74" s="425">
        <f>IF(AND(T74="",T75=""),T76,IF(T74="",T75,T74))</f>
        <v>0</v>
      </c>
      <c r="V74" s="425"/>
      <c r="W74" s="425"/>
      <c r="X74" s="425"/>
      <c r="Y74" s="425" t="str">
        <f t="shared" si="18"/>
        <v>2</v>
      </c>
      <c r="Z74" s="425">
        <f>COUNTIF($Y$20:Y74,$Y$21)</f>
        <v>30</v>
      </c>
      <c r="AA74" s="425"/>
      <c r="AB74" s="425"/>
      <c r="AC74" s="425"/>
      <c r="AD74" s="425"/>
      <c r="AE74" s="425"/>
      <c r="AF74" s="425"/>
      <c r="AG74" s="425"/>
      <c r="AH74" s="425"/>
    </row>
    <row r="75" spans="1:34" s="69" customFormat="1" ht="24.95" customHeight="1" x14ac:dyDescent="0.2">
      <c r="A75" s="503"/>
      <c r="B75" s="448" t="s">
        <v>4875</v>
      </c>
      <c r="C75" s="449"/>
      <c r="D75" s="449"/>
      <c r="E75" s="449"/>
      <c r="F75" s="449"/>
      <c r="G75" s="449"/>
      <c r="H75" s="449"/>
      <c r="I75" s="449"/>
      <c r="J75" s="449"/>
      <c r="K75" s="449"/>
      <c r="L75" s="496" t="s">
        <v>4922</v>
      </c>
      <c r="M75" s="555"/>
      <c r="N75" s="459"/>
      <c r="O75" s="503"/>
      <c r="P75" s="503"/>
      <c r="Q75" s="503"/>
      <c r="R75" s="503"/>
      <c r="S75" s="425"/>
      <c r="T75" s="530"/>
      <c r="U75" s="425" t="str">
        <f>IF(AND(T74="",T75=""),"",IF(T74="",T76,IF(T75="",T76,T75)))</f>
        <v/>
      </c>
      <c r="V75" s="425"/>
      <c r="W75" s="425"/>
      <c r="X75" s="425"/>
      <c r="Y75" s="425" t="str">
        <f t="shared" si="18"/>
        <v>1</v>
      </c>
      <c r="Z75" s="425">
        <f>COUNTIF($Y$20:Y75,$Y$21)</f>
        <v>30</v>
      </c>
      <c r="AA75" s="425"/>
      <c r="AB75" s="425"/>
      <c r="AC75" s="425"/>
      <c r="AD75" s="425"/>
      <c r="AE75" s="425"/>
      <c r="AF75" s="425"/>
      <c r="AG75" s="425"/>
      <c r="AH75" s="425"/>
    </row>
    <row r="76" spans="1:34" s="69" customFormat="1" ht="60" hidden="1" customHeight="1" x14ac:dyDescent="0.2">
      <c r="A76" s="136"/>
      <c r="B76" s="1759"/>
      <c r="C76" s="1759"/>
      <c r="D76" s="1759"/>
      <c r="E76" s="1186"/>
      <c r="F76" s="1188"/>
      <c r="G76" s="1250" t="str">
        <f t="shared" ref="G76:G81" si="24">IFERROR(IF(B76="","",$D$53),"")</f>
        <v/>
      </c>
      <c r="H76" s="1252"/>
      <c r="I76" s="457" t="str">
        <f t="shared" ref="I76:I81" si="25">IFERROR(IF(B76="","","Unidad"),"")</f>
        <v/>
      </c>
      <c r="J76" s="505"/>
      <c r="K76" s="504"/>
      <c r="L76" s="515"/>
      <c r="M76" s="273"/>
      <c r="N76" s="266" t="str">
        <f t="shared" si="19"/>
        <v/>
      </c>
      <c r="O76" s="503"/>
      <c r="P76" s="503"/>
      <c r="Q76" s="503"/>
      <c r="R76" s="503"/>
      <c r="S76" s="425"/>
      <c r="T76" s="530"/>
      <c r="U76" s="425" t="str">
        <f>IF(AND(T74="",T75=""),"",IF(T75="","",IF(T74="","",T76)))</f>
        <v/>
      </c>
      <c r="V76" s="425"/>
      <c r="W76" s="425"/>
      <c r="X76" s="425"/>
      <c r="Y76" s="425" t="str">
        <f t="shared" si="18"/>
        <v>1</v>
      </c>
      <c r="Z76" s="425">
        <f>COUNTIF($Y$20:Y76,$Y$21)</f>
        <v>30</v>
      </c>
      <c r="AA76" s="425"/>
      <c r="AB76" s="425"/>
      <c r="AC76" s="425"/>
      <c r="AD76" s="425"/>
      <c r="AE76" s="425"/>
      <c r="AF76" s="425"/>
      <c r="AG76" s="425"/>
      <c r="AH76" s="425"/>
    </row>
    <row r="77" spans="1:34" s="69" customFormat="1" ht="60" hidden="1" customHeight="1" x14ac:dyDescent="0.2">
      <c r="A77" s="503"/>
      <c r="B77" s="1759"/>
      <c r="C77" s="1759"/>
      <c r="D77" s="1759"/>
      <c r="E77" s="1186"/>
      <c r="F77" s="1188"/>
      <c r="G77" s="1250" t="str">
        <f t="shared" si="24"/>
        <v/>
      </c>
      <c r="H77" s="1252"/>
      <c r="I77" s="457" t="str">
        <f t="shared" si="25"/>
        <v/>
      </c>
      <c r="J77" s="505"/>
      <c r="K77" s="504"/>
      <c r="L77" s="515"/>
      <c r="M77" s="273"/>
      <c r="N77" s="266" t="str">
        <f t="shared" si="19"/>
        <v/>
      </c>
      <c r="O77" s="503"/>
      <c r="P77" s="503"/>
      <c r="Q77" s="503"/>
      <c r="R77" s="503"/>
      <c r="S77" s="425"/>
      <c r="T77" s="425"/>
      <c r="U77" s="425"/>
      <c r="V77" s="425"/>
      <c r="W77" s="425"/>
      <c r="X77" s="425"/>
      <c r="Y77" s="425" t="str">
        <f t="shared" si="18"/>
        <v>1</v>
      </c>
      <c r="Z77" s="425">
        <f>COUNTIF($Y$20:Y77,$Y$21)</f>
        <v>30</v>
      </c>
      <c r="AA77" s="425"/>
      <c r="AB77" s="425"/>
      <c r="AC77" s="425"/>
      <c r="AD77" s="425"/>
      <c r="AE77" s="425"/>
      <c r="AF77" s="425"/>
      <c r="AG77" s="425"/>
      <c r="AH77" s="425"/>
    </row>
    <row r="78" spans="1:34" s="69" customFormat="1" ht="60" hidden="1" customHeight="1" x14ac:dyDescent="0.2">
      <c r="A78" s="136"/>
      <c r="B78" s="1759"/>
      <c r="C78" s="1759"/>
      <c r="D78" s="1759"/>
      <c r="E78" s="1186"/>
      <c r="F78" s="1188"/>
      <c r="G78" s="1250" t="str">
        <f t="shared" si="24"/>
        <v/>
      </c>
      <c r="H78" s="1252"/>
      <c r="I78" s="457" t="str">
        <f t="shared" si="25"/>
        <v/>
      </c>
      <c r="J78" s="505"/>
      <c r="K78" s="504"/>
      <c r="L78" s="515"/>
      <c r="M78" s="273"/>
      <c r="N78" s="266" t="str">
        <f t="shared" si="19"/>
        <v/>
      </c>
      <c r="O78" s="503"/>
      <c r="P78" s="503"/>
      <c r="Q78" s="503"/>
      <c r="R78" s="503"/>
      <c r="S78" s="425"/>
      <c r="T78" s="425" t="s">
        <v>5620</v>
      </c>
      <c r="U78" s="425" t="str">
        <f>IF(AND(T78="",T79=""),T80,IF(T78="",T79,T78))</f>
        <v/>
      </c>
      <c r="V78" s="425"/>
      <c r="W78" s="425"/>
      <c r="X78" s="425"/>
      <c r="Y78" s="425" t="str">
        <f t="shared" si="18"/>
        <v>1</v>
      </c>
      <c r="Z78" s="425">
        <f>COUNTIF($Y$20:Y78,$Y$21)</f>
        <v>30</v>
      </c>
      <c r="AA78" s="425"/>
      <c r="AB78" s="425"/>
      <c r="AC78" s="425"/>
      <c r="AD78" s="425"/>
      <c r="AE78" s="425"/>
      <c r="AF78" s="425"/>
      <c r="AG78" s="425"/>
      <c r="AH78" s="425"/>
    </row>
    <row r="79" spans="1:34" s="69" customFormat="1" ht="60" hidden="1" customHeight="1" x14ac:dyDescent="0.2">
      <c r="A79" s="503"/>
      <c r="B79" s="1204"/>
      <c r="C79" s="1249"/>
      <c r="D79" s="1249"/>
      <c r="E79" s="1224"/>
      <c r="F79" s="1224"/>
      <c r="G79" s="1250" t="str">
        <f t="shared" si="24"/>
        <v/>
      </c>
      <c r="H79" s="1252"/>
      <c r="I79" s="457" t="str">
        <f t="shared" si="25"/>
        <v/>
      </c>
      <c r="J79" s="505"/>
      <c r="K79" s="504"/>
      <c r="L79" s="515"/>
      <c r="M79" s="451"/>
      <c r="N79" s="266" t="str">
        <f t="shared" si="19"/>
        <v/>
      </c>
      <c r="O79" s="503"/>
      <c r="P79" s="503"/>
      <c r="Q79" s="503"/>
      <c r="R79" s="503"/>
      <c r="S79" s="425"/>
      <c r="T79" s="425" t="s">
        <v>5620</v>
      </c>
      <c r="U79" s="425" t="str">
        <f>IF(AND(T78="",T79=""),"",IF(T78="",T80,IF(T79="",T80,T79)))</f>
        <v/>
      </c>
      <c r="V79" s="425"/>
      <c r="W79" s="425"/>
      <c r="X79" s="425"/>
      <c r="Y79" s="425" t="str">
        <f t="shared" si="18"/>
        <v>1</v>
      </c>
      <c r="Z79" s="425">
        <f>COUNTIF($Y$20:Y79,$Y$21)</f>
        <v>30</v>
      </c>
      <c r="AA79" s="425"/>
      <c r="AB79" s="425"/>
      <c r="AC79" s="425"/>
      <c r="AD79" s="425"/>
      <c r="AE79" s="425"/>
      <c r="AF79" s="425"/>
      <c r="AG79" s="425"/>
      <c r="AH79" s="425"/>
    </row>
    <row r="80" spans="1:34" s="69" customFormat="1" ht="60" hidden="1" customHeight="1" x14ac:dyDescent="0.2">
      <c r="A80" s="136"/>
      <c r="B80" s="1204"/>
      <c r="C80" s="1249"/>
      <c r="D80" s="1249"/>
      <c r="E80" s="1224"/>
      <c r="F80" s="1224"/>
      <c r="G80" s="1250" t="str">
        <f t="shared" si="24"/>
        <v/>
      </c>
      <c r="H80" s="1252"/>
      <c r="I80" s="457" t="str">
        <f t="shared" si="25"/>
        <v/>
      </c>
      <c r="J80" s="505"/>
      <c r="K80" s="504"/>
      <c r="L80" s="515"/>
      <c r="M80" s="451"/>
      <c r="N80" s="266" t="str">
        <f t="shared" si="19"/>
        <v/>
      </c>
      <c r="O80" s="503"/>
      <c r="P80" s="503"/>
      <c r="Q80" s="503"/>
      <c r="R80" s="503"/>
      <c r="S80" s="425"/>
      <c r="T80" s="425" t="s">
        <v>5620</v>
      </c>
      <c r="U80" s="425" t="str">
        <f>IF(AND(T78="",T79=""),"",IF(T79="","",IF(T78="","",T80)))</f>
        <v/>
      </c>
      <c r="V80" s="425"/>
      <c r="W80" s="425"/>
      <c r="X80" s="425"/>
      <c r="Y80" s="425" t="str">
        <f t="shared" si="18"/>
        <v>1</v>
      </c>
      <c r="Z80" s="425">
        <f>COUNTIF($Y$20:Y80,$Y$21)</f>
        <v>30</v>
      </c>
      <c r="AA80" s="425"/>
      <c r="AB80" s="425"/>
      <c r="AC80" s="425"/>
      <c r="AD80" s="425"/>
      <c r="AE80" s="425"/>
      <c r="AF80" s="425"/>
      <c r="AG80" s="425"/>
      <c r="AH80" s="425"/>
    </row>
    <row r="81" spans="1:34" s="69" customFormat="1" ht="60" hidden="1" customHeight="1" x14ac:dyDescent="0.2">
      <c r="A81" s="503"/>
      <c r="B81" s="1204"/>
      <c r="C81" s="1249"/>
      <c r="D81" s="1249"/>
      <c r="E81" s="1224"/>
      <c r="F81" s="1224"/>
      <c r="G81" s="1250" t="str">
        <f t="shared" si="24"/>
        <v/>
      </c>
      <c r="H81" s="1252"/>
      <c r="I81" s="457" t="str">
        <f t="shared" si="25"/>
        <v/>
      </c>
      <c r="J81" s="505"/>
      <c r="K81" s="504"/>
      <c r="L81" s="515"/>
      <c r="M81" s="451"/>
      <c r="N81" s="266" t="str">
        <f t="shared" si="19"/>
        <v/>
      </c>
      <c r="O81" s="503"/>
      <c r="P81" s="503"/>
      <c r="Q81" s="503"/>
      <c r="R81" s="503"/>
      <c r="S81" s="425"/>
      <c r="T81" s="425"/>
      <c r="U81" s="425"/>
      <c r="V81" s="425"/>
      <c r="W81" s="425"/>
      <c r="X81" s="425"/>
      <c r="Y81" s="425" t="str">
        <f t="shared" si="18"/>
        <v>1</v>
      </c>
      <c r="Z81" s="425">
        <f>COUNTIF($Y$20:Y81,$Y$21)</f>
        <v>30</v>
      </c>
      <c r="AA81" s="425"/>
      <c r="AB81" s="425"/>
      <c r="AC81" s="425"/>
      <c r="AD81" s="425"/>
      <c r="AE81" s="425"/>
      <c r="AF81" s="425"/>
      <c r="AG81" s="425"/>
      <c r="AH81" s="425"/>
    </row>
    <row r="82" spans="1:34" s="69" customFormat="1" ht="30" customHeight="1" x14ac:dyDescent="0.2">
      <c r="A82" s="136"/>
      <c r="B82" s="1756" t="s">
        <v>4876</v>
      </c>
      <c r="C82" s="1757"/>
      <c r="D82" s="1757"/>
      <c r="E82" s="1757"/>
      <c r="F82" s="1757"/>
      <c r="G82" s="1757"/>
      <c r="H82" s="1757"/>
      <c r="I82" s="1757"/>
      <c r="J82" s="1757"/>
      <c r="K82" s="1757"/>
      <c r="L82" s="1757"/>
      <c r="M82" s="1757"/>
      <c r="N82" s="454">
        <f>IFERROR(SUM(N76:N81,N54:N74),"")</f>
        <v>0</v>
      </c>
      <c r="O82" s="503"/>
      <c r="P82" s="503"/>
      <c r="Q82" s="503"/>
      <c r="R82" s="503"/>
      <c r="S82" s="425"/>
      <c r="T82" s="425" t="s">
        <v>5620</v>
      </c>
      <c r="U82" s="425" t="str">
        <f>IF(AND(T82="",T83=""),T84,IF(T82="",T83,T82))</f>
        <v/>
      </c>
      <c r="V82" s="425"/>
      <c r="W82" s="425"/>
      <c r="X82" s="425"/>
      <c r="Y82" s="425" t="str">
        <f t="shared" si="18"/>
        <v>1</v>
      </c>
      <c r="Z82" s="425">
        <f>COUNTIF($Y$20:Y82,$Y$21)</f>
        <v>30</v>
      </c>
      <c r="AA82" s="425"/>
      <c r="AB82" s="425"/>
      <c r="AC82" s="425"/>
      <c r="AD82" s="425"/>
      <c r="AE82" s="425"/>
      <c r="AF82" s="425"/>
      <c r="AG82" s="425"/>
      <c r="AH82" s="425"/>
    </row>
    <row r="83" spans="1:34" s="69" customFormat="1" ht="8.1" customHeight="1" x14ac:dyDescent="0.2">
      <c r="A83" s="503"/>
      <c r="B83" s="511"/>
      <c r="C83" s="511"/>
      <c r="D83" s="511"/>
      <c r="E83" s="511"/>
      <c r="F83" s="511"/>
      <c r="G83" s="511"/>
      <c r="H83" s="511"/>
      <c r="I83" s="511"/>
      <c r="J83" s="511"/>
      <c r="K83" s="511"/>
      <c r="L83" s="511"/>
      <c r="M83" s="511"/>
      <c r="N83" s="453"/>
      <c r="O83" s="503"/>
      <c r="P83" s="503"/>
      <c r="Q83" s="503"/>
      <c r="R83" s="503"/>
      <c r="S83" s="425"/>
      <c r="T83" s="425" t="s">
        <v>5620</v>
      </c>
      <c r="U83" s="425" t="str">
        <f>IF(AND(T82="",T83=""),"",IF(T82="",T84,IF(T83="",T84,T83)))</f>
        <v/>
      </c>
      <c r="V83" s="425"/>
      <c r="W83" s="425"/>
      <c r="X83" s="425"/>
      <c r="Y83" s="425" t="str">
        <f t="shared" si="18"/>
        <v>1</v>
      </c>
      <c r="Z83" s="425">
        <f>COUNTIF($Y$20:Y83,$Y$21)</f>
        <v>30</v>
      </c>
      <c r="AA83" s="425"/>
      <c r="AB83" s="425"/>
      <c r="AC83" s="425"/>
      <c r="AD83" s="425"/>
      <c r="AE83" s="425"/>
      <c r="AF83" s="425"/>
      <c r="AG83" s="425"/>
      <c r="AH83" s="425"/>
    </row>
    <row r="84" spans="1:34" s="69" customFormat="1" ht="30" customHeight="1" x14ac:dyDescent="0.2">
      <c r="A84" s="136"/>
      <c r="B84" s="1444" t="s">
        <v>4880</v>
      </c>
      <c r="C84" s="1445"/>
      <c r="D84" s="1445"/>
      <c r="E84" s="1445"/>
      <c r="F84" s="1445"/>
      <c r="G84" s="1445"/>
      <c r="H84" s="1445"/>
      <c r="I84" s="1445"/>
      <c r="J84" s="1445"/>
      <c r="K84" s="1445"/>
      <c r="L84" s="1446"/>
      <c r="M84" s="1445" t="s">
        <v>4881</v>
      </c>
      <c r="N84" s="1446"/>
      <c r="O84" s="503"/>
      <c r="P84" s="503"/>
      <c r="Q84" s="503"/>
      <c r="R84" s="503"/>
      <c r="S84" s="425"/>
      <c r="T84" s="425" t="s">
        <v>5620</v>
      </c>
      <c r="U84" s="425" t="str">
        <f>IF(AND(T82="",T83=""),"",IF(T83="","",IF(T82="","",T84)))</f>
        <v/>
      </c>
      <c r="V84" s="425"/>
      <c r="W84" s="425"/>
      <c r="X84" s="425"/>
      <c r="Y84" s="425" t="str">
        <f t="shared" si="18"/>
        <v>1</v>
      </c>
      <c r="Z84" s="425">
        <f>COUNTIF($Y$20:Y84,$Y$21)</f>
        <v>30</v>
      </c>
      <c r="AA84" s="425"/>
      <c r="AB84" s="425"/>
      <c r="AC84" s="425"/>
      <c r="AD84" s="425"/>
      <c r="AE84" s="425"/>
      <c r="AF84" s="425"/>
      <c r="AG84" s="425"/>
      <c r="AH84" s="425"/>
    </row>
    <row r="85" spans="1:34" s="69" customFormat="1" ht="8.1" customHeight="1" x14ac:dyDescent="0.2">
      <c r="A85" s="503"/>
      <c r="B85" s="512"/>
      <c r="C85" s="512"/>
      <c r="D85" s="512"/>
      <c r="E85" s="512"/>
      <c r="F85" s="512"/>
      <c r="G85" s="512"/>
      <c r="H85" s="512"/>
      <c r="I85" s="512"/>
      <c r="J85" s="512"/>
      <c r="K85" s="512"/>
      <c r="L85" s="512"/>
      <c r="M85" s="512"/>
      <c r="N85" s="512"/>
      <c r="O85" s="503"/>
      <c r="P85" s="503"/>
      <c r="Q85" s="503"/>
      <c r="R85" s="503"/>
      <c r="S85" s="425"/>
      <c r="T85" s="425"/>
      <c r="U85" s="425"/>
      <c r="V85" s="425"/>
      <c r="W85" s="425"/>
      <c r="X85" s="425"/>
      <c r="Y85" s="425" t="str">
        <f t="shared" si="18"/>
        <v>1</v>
      </c>
      <c r="Z85" s="425">
        <f>COUNTIF($Y$20:Y85,$Y$21)</f>
        <v>30</v>
      </c>
      <c r="AA85" s="425"/>
      <c r="AB85" s="425"/>
      <c r="AC85" s="425"/>
      <c r="AD85" s="425"/>
      <c r="AE85" s="425"/>
      <c r="AF85" s="425"/>
      <c r="AG85" s="425"/>
      <c r="AH85" s="425"/>
    </row>
    <row r="86" spans="1:34" s="69" customFormat="1" ht="30" customHeight="1" x14ac:dyDescent="0.2">
      <c r="A86" s="136"/>
      <c r="B86" s="1751" t="s">
        <v>4877</v>
      </c>
      <c r="C86" s="1752"/>
      <c r="D86" s="1752"/>
      <c r="E86" s="1752"/>
      <c r="F86" s="1752"/>
      <c r="G86" s="1752"/>
      <c r="H86" s="1752"/>
      <c r="I86" s="1752"/>
      <c r="J86" s="1752"/>
      <c r="K86" s="1752"/>
      <c r="L86" s="1753"/>
      <c r="M86" s="1758"/>
      <c r="N86" s="1755"/>
      <c r="O86" s="503"/>
      <c r="P86" s="503"/>
      <c r="Q86" s="503"/>
      <c r="R86" s="503"/>
      <c r="S86" s="425"/>
      <c r="T86" s="425" t="s">
        <v>5620</v>
      </c>
      <c r="U86" s="425" t="str">
        <f>IF(AND(T86="",T87=""),T88,IF(T86="",T87,T86))</f>
        <v/>
      </c>
      <c r="V86" s="425"/>
      <c r="W86" s="425"/>
      <c r="X86" s="425"/>
      <c r="Y86" s="425" t="str">
        <f t="shared" si="18"/>
        <v>1</v>
      </c>
      <c r="Z86" s="425">
        <f>COUNTIF($Y$20:Y86,$Y$21)</f>
        <v>30</v>
      </c>
      <c r="AA86" s="425"/>
      <c r="AB86" s="425"/>
      <c r="AC86" s="425"/>
      <c r="AD86" s="425"/>
      <c r="AE86" s="425"/>
      <c r="AF86" s="425"/>
      <c r="AG86" s="425"/>
      <c r="AH86" s="425"/>
    </row>
    <row r="87" spans="1:34" s="69" customFormat="1" ht="30" customHeight="1" x14ac:dyDescent="0.2">
      <c r="A87" s="503"/>
      <c r="B87" s="1751" t="s">
        <v>4878</v>
      </c>
      <c r="C87" s="1752"/>
      <c r="D87" s="1752"/>
      <c r="E87" s="1752"/>
      <c r="F87" s="1752"/>
      <c r="G87" s="1752"/>
      <c r="H87" s="1752"/>
      <c r="I87" s="1752"/>
      <c r="J87" s="1752"/>
      <c r="K87" s="1752"/>
      <c r="L87" s="1753"/>
      <c r="M87" s="1758"/>
      <c r="N87" s="1755"/>
      <c r="O87" s="503"/>
      <c r="P87" s="503"/>
      <c r="Q87" s="503"/>
      <c r="R87" s="503"/>
      <c r="S87" s="425"/>
      <c r="T87" s="425" t="s">
        <v>5620</v>
      </c>
      <c r="U87" s="425" t="str">
        <f>IF(AND(T86="",T87=""),"",IF(T86="",T88,IF(T87="",T88,T87)))</f>
        <v/>
      </c>
      <c r="V87" s="425"/>
      <c r="W87" s="425"/>
      <c r="X87" s="425"/>
      <c r="Y87" s="425" t="str">
        <f t="shared" si="18"/>
        <v>1</v>
      </c>
      <c r="Z87" s="425">
        <f>COUNTIF($Y$20:Y87,$Y$21)</f>
        <v>30</v>
      </c>
      <c r="AA87" s="425"/>
      <c r="AB87" s="425"/>
      <c r="AC87" s="425"/>
      <c r="AD87" s="425"/>
      <c r="AE87" s="425"/>
      <c r="AF87" s="425"/>
      <c r="AG87" s="425"/>
      <c r="AH87" s="425"/>
    </row>
    <row r="88" spans="1:34" s="69" customFormat="1" ht="30" customHeight="1" x14ac:dyDescent="0.2">
      <c r="A88" s="136"/>
      <c r="B88" s="1751" t="s">
        <v>4879</v>
      </c>
      <c r="C88" s="1752"/>
      <c r="D88" s="1752"/>
      <c r="E88" s="1752"/>
      <c r="F88" s="1752"/>
      <c r="G88" s="1752"/>
      <c r="H88" s="1752"/>
      <c r="I88" s="1752"/>
      <c r="J88" s="1752"/>
      <c r="K88" s="1752"/>
      <c r="L88" s="1753"/>
      <c r="M88" s="1758"/>
      <c r="N88" s="1755"/>
      <c r="O88" s="503"/>
      <c r="P88" s="503"/>
      <c r="Q88" s="503"/>
      <c r="R88" s="503"/>
      <c r="S88" s="425"/>
      <c r="T88" s="425" t="s">
        <v>5620</v>
      </c>
      <c r="U88" s="425" t="str">
        <f>IF(AND(T86="",T87=""),"",IF(T87="","",IF(T86="","",T88)))</f>
        <v/>
      </c>
      <c r="V88" s="425"/>
      <c r="W88" s="425"/>
      <c r="X88" s="425"/>
      <c r="Y88" s="425" t="str">
        <f t="shared" si="18"/>
        <v>1</v>
      </c>
      <c r="Z88" s="425">
        <f>COUNTIF($Y$20:Y88,$Y$21)</f>
        <v>30</v>
      </c>
      <c r="AA88" s="425"/>
      <c r="AB88" s="425"/>
      <c r="AC88" s="425"/>
      <c r="AD88" s="425"/>
      <c r="AE88" s="425"/>
      <c r="AF88" s="425"/>
      <c r="AG88" s="425"/>
      <c r="AH88" s="425"/>
    </row>
    <row r="89" spans="1:34" s="69" customFormat="1" ht="8.1" customHeight="1" x14ac:dyDescent="0.2">
      <c r="A89" s="503"/>
      <c r="B89" s="513"/>
      <c r="C89" s="513"/>
      <c r="D89" s="513"/>
      <c r="E89" s="513"/>
      <c r="F89" s="513"/>
      <c r="G89" s="513"/>
      <c r="H89" s="513"/>
      <c r="I89" s="513"/>
      <c r="J89" s="513"/>
      <c r="K89" s="513"/>
      <c r="L89" s="513"/>
      <c r="M89" s="514"/>
      <c r="N89" s="452"/>
      <c r="O89" s="503"/>
      <c r="P89" s="503"/>
      <c r="Q89" s="503"/>
      <c r="R89" s="503"/>
      <c r="S89" s="425"/>
      <c r="T89" s="425"/>
      <c r="U89" s="425"/>
      <c r="V89" s="425"/>
      <c r="W89" s="425"/>
      <c r="X89" s="425"/>
      <c r="Y89" s="425" t="str">
        <f t="shared" si="18"/>
        <v>1</v>
      </c>
      <c r="Z89" s="425">
        <f>COUNTIF($Y$20:Y89,$Y$21)</f>
        <v>30</v>
      </c>
      <c r="AA89" s="425"/>
      <c r="AB89" s="425"/>
      <c r="AC89" s="425"/>
      <c r="AD89" s="425"/>
      <c r="AE89" s="425"/>
      <c r="AF89" s="425"/>
      <c r="AG89" s="425"/>
      <c r="AH89" s="425"/>
    </row>
    <row r="90" spans="1:34" s="69" customFormat="1" ht="30" customHeight="1" x14ac:dyDescent="0.2">
      <c r="A90" s="136"/>
      <c r="B90" s="1746" t="s">
        <v>4882</v>
      </c>
      <c r="C90" s="1747"/>
      <c r="D90" s="1747"/>
      <c r="E90" s="1747"/>
      <c r="F90" s="1747"/>
      <c r="G90" s="1747"/>
      <c r="H90" s="1747"/>
      <c r="I90" s="1747"/>
      <c r="J90" s="1747"/>
      <c r="K90" s="1747"/>
      <c r="L90" s="1748"/>
      <c r="M90" s="1749" t="str">
        <f>IFERROR(IF(OR(M86="",M87="",M88=""),"",SUM(M86:N88)),"")</f>
        <v/>
      </c>
      <c r="N90" s="1750"/>
      <c r="O90" s="503"/>
      <c r="P90" s="503"/>
      <c r="Q90" s="503"/>
      <c r="R90" s="503"/>
      <c r="S90" s="425"/>
      <c r="T90" s="425" t="s">
        <v>5620</v>
      </c>
      <c r="U90" s="425" t="str">
        <f>IF(AND(T90="",T91=""),T92,IF(T90="",T91,T90))</f>
        <v/>
      </c>
      <c r="V90" s="425"/>
      <c r="W90" s="425"/>
      <c r="X90" s="425"/>
      <c r="Y90" s="425" t="str">
        <f t="shared" si="18"/>
        <v>1</v>
      </c>
      <c r="Z90" s="425">
        <f>COUNTIF($Y$20:Y90,$Y$21)</f>
        <v>30</v>
      </c>
      <c r="AA90" s="425"/>
      <c r="AB90" s="425"/>
      <c r="AC90" s="425"/>
      <c r="AD90" s="425"/>
      <c r="AE90" s="425"/>
      <c r="AF90" s="425"/>
      <c r="AG90" s="425"/>
      <c r="AH90" s="425"/>
    </row>
    <row r="91" spans="1:34" s="69" customFormat="1" ht="8.1" customHeight="1" x14ac:dyDescent="0.2">
      <c r="A91" s="503"/>
      <c r="B91" s="513"/>
      <c r="C91" s="513"/>
      <c r="D91" s="513"/>
      <c r="E91" s="513"/>
      <c r="F91" s="513"/>
      <c r="G91" s="513"/>
      <c r="H91" s="513"/>
      <c r="I91" s="513"/>
      <c r="J91" s="513"/>
      <c r="K91" s="513"/>
      <c r="L91" s="513"/>
      <c r="M91" s="514"/>
      <c r="N91" s="452"/>
      <c r="O91" s="503"/>
      <c r="P91" s="503"/>
      <c r="Q91" s="503"/>
      <c r="R91" s="503"/>
      <c r="S91" s="425"/>
      <c r="T91" s="425" t="s">
        <v>5620</v>
      </c>
      <c r="U91" s="425" t="str">
        <f>IF(AND(T90="",T91=""),"",IF(T90="",T92,IF(T91="",T92,T91)))</f>
        <v/>
      </c>
      <c r="V91" s="425"/>
      <c r="W91" s="425"/>
      <c r="X91" s="425"/>
      <c r="Y91" s="425" t="str">
        <f t="shared" si="18"/>
        <v>1</v>
      </c>
      <c r="Z91" s="425">
        <f>COUNTIF($Y$20:Y91,$Y$21)</f>
        <v>30</v>
      </c>
      <c r="AA91" s="425"/>
      <c r="AB91" s="425"/>
      <c r="AC91" s="425"/>
      <c r="AD91" s="425"/>
      <c r="AE91" s="425"/>
      <c r="AF91" s="425"/>
      <c r="AG91" s="425"/>
      <c r="AH91" s="425"/>
    </row>
    <row r="92" spans="1:34" s="69" customFormat="1" ht="30" customHeight="1" x14ac:dyDescent="0.2">
      <c r="A92" s="136"/>
      <c r="B92" s="1746" t="s">
        <v>4884</v>
      </c>
      <c r="C92" s="1747"/>
      <c r="D92" s="1747"/>
      <c r="E92" s="1747"/>
      <c r="F92" s="1747"/>
      <c r="G92" s="1747"/>
      <c r="H92" s="1747"/>
      <c r="I92" s="1747"/>
      <c r="J92" s="1747"/>
      <c r="K92" s="1747"/>
      <c r="L92" s="1748"/>
      <c r="M92" s="1749" t="str">
        <f>IFERROR(IF(OR(M90="",N82=""),"",N82+M90),"")</f>
        <v/>
      </c>
      <c r="N92" s="1750"/>
      <c r="O92" s="503"/>
      <c r="P92" s="465"/>
      <c r="Q92" s="503"/>
      <c r="R92" s="503"/>
      <c r="S92" s="425"/>
      <c r="T92" s="425" t="s">
        <v>5620</v>
      </c>
      <c r="U92" s="425" t="str">
        <f>IF(AND(T90="",T91=""),"",IF(T91="","",IF(T90="","",T92)))</f>
        <v/>
      </c>
      <c r="V92" s="425"/>
      <c r="W92" s="425"/>
      <c r="X92" s="425"/>
      <c r="Y92" s="425" t="str">
        <f t="shared" si="18"/>
        <v>1</v>
      </c>
      <c r="Z92" s="425">
        <f>COUNTIF($Y$20:Y92,$Y$21)</f>
        <v>30</v>
      </c>
      <c r="AA92" s="425"/>
      <c r="AB92" s="425"/>
      <c r="AC92" s="425"/>
      <c r="AD92" s="425"/>
      <c r="AE92" s="425"/>
      <c r="AF92" s="425"/>
      <c r="AG92" s="425"/>
      <c r="AH92" s="425"/>
    </row>
    <row r="93" spans="1:34" s="69" customFormat="1" ht="20.100000000000001" customHeight="1" x14ac:dyDescent="0.2">
      <c r="A93" s="136"/>
      <c r="B93" s="94"/>
      <c r="C93" s="94"/>
      <c r="D93" s="94"/>
      <c r="E93" s="94"/>
      <c r="F93" s="94"/>
      <c r="G93" s="94"/>
      <c r="H93" s="94"/>
      <c r="I93" s="94"/>
      <c r="J93" s="94"/>
      <c r="K93" s="94"/>
      <c r="L93" s="94"/>
      <c r="M93" s="516"/>
      <c r="N93" s="516"/>
      <c r="O93" s="503"/>
      <c r="P93" s="503"/>
      <c r="Q93" s="503"/>
      <c r="R93" s="503"/>
      <c r="S93" s="425"/>
      <c r="T93" s="425"/>
      <c r="U93" s="425"/>
      <c r="V93" s="425"/>
      <c r="W93" s="425"/>
      <c r="X93" s="425"/>
      <c r="Y93" s="425"/>
      <c r="Z93" s="425"/>
      <c r="AA93" s="425"/>
      <c r="AB93" s="425"/>
      <c r="AC93" s="425"/>
      <c r="AD93" s="425"/>
      <c r="AE93" s="425"/>
      <c r="AF93" s="425"/>
      <c r="AG93" s="425"/>
      <c r="AH93" s="425"/>
    </row>
    <row r="94" spans="1:34" s="69" customFormat="1" ht="30" customHeight="1" x14ac:dyDescent="0.2">
      <c r="A94" s="136"/>
      <c r="B94" s="1197" t="s">
        <v>4885</v>
      </c>
      <c r="C94" s="1197"/>
      <c r="D94" s="1197"/>
      <c r="E94" s="1197"/>
      <c r="F94" s="1197"/>
      <c r="G94" s="1197"/>
      <c r="H94" s="1197"/>
      <c r="I94" s="1197"/>
      <c r="J94" s="1197"/>
      <c r="K94" s="1197"/>
      <c r="L94" s="1197"/>
      <c r="M94" s="1445" t="s">
        <v>4881</v>
      </c>
      <c r="N94" s="1446"/>
      <c r="O94" s="503"/>
      <c r="P94" s="503"/>
      <c r="Q94" s="503"/>
      <c r="R94" s="503"/>
      <c r="S94" s="425"/>
      <c r="T94" s="425"/>
      <c r="U94" s="425"/>
      <c r="V94" s="425"/>
      <c r="W94" s="425"/>
      <c r="X94" s="425"/>
      <c r="Y94" s="425"/>
      <c r="Z94" s="425"/>
      <c r="AA94" s="425"/>
      <c r="AB94" s="425"/>
      <c r="AC94" s="425"/>
      <c r="AD94" s="425"/>
      <c r="AE94" s="425"/>
      <c r="AF94" s="425"/>
      <c r="AG94" s="425"/>
      <c r="AH94" s="425"/>
    </row>
    <row r="95" spans="1:34" s="69" customFormat="1" ht="8.1" customHeight="1" x14ac:dyDescent="0.2">
      <c r="A95" s="136"/>
      <c r="B95" s="517"/>
      <c r="C95" s="517"/>
      <c r="D95" s="517"/>
      <c r="E95" s="517"/>
      <c r="F95" s="517"/>
      <c r="G95" s="517"/>
      <c r="H95" s="517"/>
      <c r="I95" s="517"/>
      <c r="J95" s="517"/>
      <c r="K95" s="517"/>
      <c r="L95" s="517"/>
      <c r="M95" s="518"/>
      <c r="N95" s="518"/>
      <c r="O95" s="503"/>
      <c r="P95" s="503"/>
      <c r="Q95" s="503"/>
      <c r="R95" s="503"/>
      <c r="S95" s="425"/>
      <c r="T95" s="425"/>
      <c r="U95" s="425"/>
      <c r="V95" s="425"/>
      <c r="W95" s="425"/>
      <c r="X95" s="425"/>
      <c r="Y95" s="425"/>
      <c r="Z95" s="425"/>
      <c r="AA95" s="425"/>
      <c r="AB95" s="425"/>
      <c r="AC95" s="425"/>
      <c r="AD95" s="425"/>
      <c r="AE95" s="425"/>
      <c r="AF95" s="425"/>
      <c r="AG95" s="425"/>
      <c r="AH95" s="425"/>
    </row>
    <row r="96" spans="1:34" s="69" customFormat="1" ht="30" customHeight="1" x14ac:dyDescent="0.2">
      <c r="A96" s="136"/>
      <c r="B96" s="1751" t="s">
        <v>113</v>
      </c>
      <c r="C96" s="1752"/>
      <c r="D96" s="1752"/>
      <c r="E96" s="1752"/>
      <c r="F96" s="1752"/>
      <c r="G96" s="1752"/>
      <c r="H96" s="1752"/>
      <c r="I96" s="1752"/>
      <c r="J96" s="1752"/>
      <c r="K96" s="1752"/>
      <c r="L96" s="1753"/>
      <c r="M96" s="1754"/>
      <c r="N96" s="1755"/>
      <c r="O96" s="503"/>
      <c r="P96" s="503"/>
      <c r="Q96" s="503"/>
      <c r="R96" s="503"/>
      <c r="S96" s="425"/>
      <c r="T96" s="425"/>
      <c r="U96" s="425"/>
      <c r="V96" s="425"/>
      <c r="W96" s="425"/>
      <c r="X96" s="425"/>
      <c r="Y96" s="425"/>
      <c r="Z96" s="425"/>
      <c r="AA96" s="425"/>
      <c r="AB96" s="425"/>
      <c r="AC96" s="425"/>
      <c r="AD96" s="425"/>
      <c r="AE96" s="425"/>
      <c r="AF96" s="425"/>
      <c r="AG96" s="425"/>
      <c r="AH96" s="425"/>
    </row>
    <row r="97" spans="1:34" s="69" customFormat="1" ht="30" customHeight="1" x14ac:dyDescent="0.2">
      <c r="A97" s="136"/>
      <c r="B97" s="1751" t="s">
        <v>4886</v>
      </c>
      <c r="C97" s="1752"/>
      <c r="D97" s="1752"/>
      <c r="E97" s="1752"/>
      <c r="F97" s="1752"/>
      <c r="G97" s="1752"/>
      <c r="H97" s="1752"/>
      <c r="I97" s="1752"/>
      <c r="J97" s="1752"/>
      <c r="K97" s="1752"/>
      <c r="L97" s="1753"/>
      <c r="M97" s="1754"/>
      <c r="N97" s="1755"/>
      <c r="O97" s="503"/>
      <c r="P97" s="503"/>
      <c r="Q97" s="503"/>
      <c r="R97" s="503"/>
      <c r="S97" s="425"/>
      <c r="T97" s="425"/>
      <c r="U97" s="425"/>
      <c r="V97" s="425"/>
      <c r="W97" s="425"/>
      <c r="X97" s="425"/>
      <c r="Y97" s="425"/>
      <c r="Z97" s="425"/>
      <c r="AA97" s="425"/>
      <c r="AB97" s="425"/>
      <c r="AC97" s="425"/>
      <c r="AD97" s="425"/>
      <c r="AE97" s="425"/>
      <c r="AF97" s="425"/>
      <c r="AG97" s="425"/>
      <c r="AH97" s="425"/>
    </row>
    <row r="98" spans="1:34" s="69" customFormat="1" ht="30" customHeight="1" x14ac:dyDescent="0.2">
      <c r="A98" s="136"/>
      <c r="B98" s="1751" t="s">
        <v>114</v>
      </c>
      <c r="C98" s="1752"/>
      <c r="D98" s="1752"/>
      <c r="E98" s="1752"/>
      <c r="F98" s="1752"/>
      <c r="G98" s="1752"/>
      <c r="H98" s="1752"/>
      <c r="I98" s="1752"/>
      <c r="J98" s="1752"/>
      <c r="K98" s="1752"/>
      <c r="L98" s="1753"/>
      <c r="M98" s="1754"/>
      <c r="N98" s="1755"/>
      <c r="O98" s="503"/>
      <c r="P98" s="503"/>
      <c r="Q98" s="503"/>
      <c r="R98" s="503"/>
      <c r="S98" s="425"/>
      <c r="T98" s="425"/>
      <c r="U98" s="425"/>
      <c r="V98" s="425"/>
      <c r="W98" s="425"/>
      <c r="X98" s="425"/>
      <c r="Y98" s="425"/>
      <c r="Z98" s="425"/>
      <c r="AA98" s="425"/>
      <c r="AB98" s="425"/>
      <c r="AC98" s="425"/>
      <c r="AD98" s="425"/>
      <c r="AE98" s="425"/>
      <c r="AF98" s="425"/>
      <c r="AG98" s="425"/>
      <c r="AH98" s="425"/>
    </row>
    <row r="99" spans="1:34" s="69" customFormat="1" ht="30" customHeight="1" x14ac:dyDescent="0.2">
      <c r="A99" s="136"/>
      <c r="B99" s="1751" t="s">
        <v>115</v>
      </c>
      <c r="C99" s="1752"/>
      <c r="D99" s="1752"/>
      <c r="E99" s="1752"/>
      <c r="F99" s="1752"/>
      <c r="G99" s="1752"/>
      <c r="H99" s="1752"/>
      <c r="I99" s="1752"/>
      <c r="J99" s="1752"/>
      <c r="K99" s="1752"/>
      <c r="L99" s="1753"/>
      <c r="M99" s="1754"/>
      <c r="N99" s="1755"/>
      <c r="O99" s="503"/>
      <c r="P99" s="503"/>
      <c r="Q99" s="503"/>
      <c r="R99" s="503"/>
      <c r="S99" s="425"/>
      <c r="T99" s="425"/>
      <c r="U99" s="425"/>
      <c r="V99" s="425"/>
      <c r="W99" s="425"/>
      <c r="X99" s="425"/>
      <c r="Y99" s="425"/>
      <c r="Z99" s="425"/>
      <c r="AA99" s="425"/>
      <c r="AB99" s="425"/>
      <c r="AC99" s="425"/>
      <c r="AD99" s="425"/>
      <c r="AE99" s="425"/>
      <c r="AF99" s="425"/>
      <c r="AG99" s="425"/>
      <c r="AH99" s="425"/>
    </row>
    <row r="100" spans="1:34" s="69" customFormat="1" ht="8.1" customHeight="1" x14ac:dyDescent="0.2">
      <c r="A100" s="136"/>
      <c r="B100" s="519"/>
      <c r="C100" s="519"/>
      <c r="D100" s="519"/>
      <c r="E100" s="519"/>
      <c r="F100" s="519"/>
      <c r="G100" s="519"/>
      <c r="H100" s="519"/>
      <c r="I100" s="519"/>
      <c r="J100" s="519"/>
      <c r="K100" s="519"/>
      <c r="L100" s="519"/>
      <c r="M100" s="520"/>
      <c r="N100" s="520"/>
      <c r="O100" s="503"/>
      <c r="P100" s="503"/>
      <c r="Q100" s="503"/>
      <c r="R100" s="503"/>
      <c r="S100" s="425"/>
      <c r="T100" s="425"/>
      <c r="U100" s="425"/>
      <c r="V100" s="425"/>
      <c r="W100" s="425"/>
      <c r="X100" s="425"/>
      <c r="Y100" s="425"/>
      <c r="Z100" s="425"/>
      <c r="AA100" s="425"/>
      <c r="AB100" s="425"/>
      <c r="AC100" s="425"/>
      <c r="AD100" s="425"/>
      <c r="AE100" s="425"/>
      <c r="AF100" s="425"/>
      <c r="AG100" s="425"/>
      <c r="AH100" s="425"/>
    </row>
    <row r="101" spans="1:34" s="69" customFormat="1" ht="30" customHeight="1" x14ac:dyDescent="0.2">
      <c r="A101" s="136"/>
      <c r="B101" s="1746" t="s">
        <v>4887</v>
      </c>
      <c r="C101" s="1747"/>
      <c r="D101" s="1747"/>
      <c r="E101" s="1747"/>
      <c r="F101" s="1747"/>
      <c r="G101" s="1747"/>
      <c r="H101" s="1747"/>
      <c r="I101" s="1747"/>
      <c r="J101" s="1747"/>
      <c r="K101" s="1747"/>
      <c r="L101" s="1747"/>
      <c r="M101" s="1749" t="str">
        <f>IFERROR(IF(OR(M96="",M97="",M98="",M99=""),"",SUM(M96:N99)),"")</f>
        <v/>
      </c>
      <c r="N101" s="1750"/>
      <c r="O101" s="503"/>
      <c r="P101" s="503"/>
      <c r="Q101" s="503"/>
      <c r="R101" s="503"/>
      <c r="S101" s="425"/>
      <c r="T101" s="425"/>
      <c r="U101" s="425"/>
      <c r="V101" s="425"/>
      <c r="W101" s="425"/>
      <c r="X101" s="425"/>
      <c r="Y101" s="425"/>
      <c r="Z101" s="425"/>
      <c r="AA101" s="425"/>
      <c r="AB101" s="425"/>
      <c r="AC101" s="425"/>
      <c r="AD101" s="425"/>
      <c r="AE101" s="425"/>
      <c r="AF101" s="425"/>
      <c r="AG101" s="425"/>
      <c r="AH101" s="425"/>
    </row>
    <row r="102" spans="1:34" s="69" customFormat="1" ht="8.1" customHeight="1" x14ac:dyDescent="0.2">
      <c r="A102" s="136"/>
      <c r="B102" s="519"/>
      <c r="C102" s="519"/>
      <c r="D102" s="519"/>
      <c r="E102" s="519"/>
      <c r="F102" s="519"/>
      <c r="G102" s="519"/>
      <c r="H102" s="519"/>
      <c r="I102" s="519"/>
      <c r="J102" s="519"/>
      <c r="K102" s="519"/>
      <c r="L102" s="519"/>
      <c r="M102" s="520"/>
      <c r="N102" s="520"/>
      <c r="O102" s="503"/>
      <c r="P102" s="503"/>
      <c r="Q102" s="503"/>
      <c r="R102" s="503"/>
      <c r="S102" s="425"/>
      <c r="T102" s="425"/>
      <c r="U102" s="425"/>
      <c r="V102" s="425"/>
      <c r="W102" s="425"/>
      <c r="X102" s="425"/>
      <c r="Y102" s="425"/>
      <c r="Z102" s="425"/>
      <c r="AA102" s="425"/>
      <c r="AB102" s="425"/>
      <c r="AC102" s="425"/>
      <c r="AD102" s="425"/>
      <c r="AE102" s="425"/>
      <c r="AF102" s="425"/>
      <c r="AG102" s="425"/>
      <c r="AH102" s="425"/>
    </row>
    <row r="103" spans="1:34" s="69" customFormat="1" ht="30" customHeight="1" x14ac:dyDescent="0.2">
      <c r="A103" s="136"/>
      <c r="B103" s="1746" t="s">
        <v>4888</v>
      </c>
      <c r="C103" s="1747"/>
      <c r="D103" s="1747"/>
      <c r="E103" s="1747"/>
      <c r="F103" s="1747"/>
      <c r="G103" s="1747"/>
      <c r="H103" s="1747"/>
      <c r="I103" s="1747"/>
      <c r="J103" s="1747"/>
      <c r="K103" s="1747"/>
      <c r="L103" s="1747"/>
      <c r="M103" s="1749" t="str">
        <f>IF(OR(M101="",M92="",M47=""),"",M47+M92+M101)</f>
        <v/>
      </c>
      <c r="N103" s="1750"/>
      <c r="O103" s="503"/>
      <c r="P103" s="503"/>
      <c r="Q103" s="503"/>
      <c r="R103" s="503"/>
      <c r="S103" s="425"/>
      <c r="T103" s="425"/>
      <c r="U103" s="425"/>
      <c r="V103" s="425"/>
      <c r="W103" s="425"/>
      <c r="X103" s="425"/>
      <c r="Y103" s="425"/>
      <c r="Z103" s="425"/>
      <c r="AA103" s="425"/>
      <c r="AB103" s="425"/>
      <c r="AC103" s="425"/>
      <c r="AD103" s="425"/>
      <c r="AE103" s="425"/>
      <c r="AF103" s="425"/>
      <c r="AG103" s="425"/>
      <c r="AH103" s="425"/>
    </row>
    <row r="104" spans="1:34" s="69" customFormat="1" ht="30" customHeight="1" x14ac:dyDescent="0.2">
      <c r="A104" s="136"/>
      <c r="B104" s="94"/>
      <c r="C104" s="94"/>
      <c r="D104" s="94"/>
      <c r="E104" s="94"/>
      <c r="F104" s="94"/>
      <c r="G104" s="94"/>
      <c r="H104" s="94"/>
      <c r="I104" s="94"/>
      <c r="J104" s="94"/>
      <c r="K104" s="94"/>
      <c r="L104" s="94"/>
      <c r="M104" s="516"/>
      <c r="N104" s="516"/>
      <c r="O104" s="503"/>
      <c r="P104" s="503"/>
      <c r="Q104" s="503"/>
      <c r="R104" s="503"/>
      <c r="S104" s="425"/>
      <c r="T104" s="425"/>
      <c r="U104" s="425"/>
      <c r="V104" s="425"/>
      <c r="W104" s="425"/>
      <c r="X104" s="425"/>
      <c r="Y104" s="425"/>
      <c r="Z104" s="425"/>
      <c r="AA104" s="425"/>
      <c r="AB104" s="425"/>
      <c r="AC104" s="425"/>
      <c r="AD104" s="425"/>
      <c r="AE104" s="425"/>
      <c r="AF104" s="425"/>
      <c r="AG104" s="425"/>
      <c r="AH104" s="425"/>
    </row>
    <row r="105" spans="1:34" s="69" customFormat="1" ht="18" hidden="1" customHeight="1" x14ac:dyDescent="0.2">
      <c r="A105" s="136"/>
      <c r="B105" s="265" t="s">
        <v>4772</v>
      </c>
      <c r="C105" s="265"/>
      <c r="D105" s="265"/>
      <c r="E105" s="265"/>
      <c r="F105" s="265"/>
      <c r="G105" s="253"/>
      <c r="H105" s="253"/>
      <c r="I105" s="253"/>
      <c r="J105" s="253"/>
      <c r="K105" s="253"/>
      <c r="L105" s="253"/>
      <c r="M105" s="253"/>
      <c r="O105" s="503"/>
      <c r="P105" s="503"/>
      <c r="Q105" s="503"/>
      <c r="R105" s="503"/>
      <c r="S105" s="425"/>
      <c r="T105" s="425"/>
      <c r="U105" s="425"/>
      <c r="V105" s="425"/>
      <c r="W105" s="425"/>
      <c r="X105" s="425"/>
      <c r="Y105" s="425"/>
      <c r="Z105" s="425"/>
      <c r="AA105" s="425"/>
      <c r="AB105" s="425"/>
      <c r="AC105" s="425"/>
      <c r="AD105" s="425"/>
      <c r="AE105" s="425"/>
      <c r="AF105" s="425"/>
      <c r="AG105" s="425"/>
      <c r="AH105" s="425"/>
    </row>
    <row r="106" spans="1:34" s="69" customFormat="1" ht="23.25" hidden="1" customHeight="1" x14ac:dyDescent="0.2">
      <c r="A106" s="503"/>
      <c r="B106" s="1196" t="s">
        <v>378</v>
      </c>
      <c r="C106" s="1196"/>
      <c r="D106" s="1196"/>
      <c r="E106" s="1196"/>
      <c r="F106" s="1196"/>
      <c r="G106" s="1197" t="s">
        <v>4871</v>
      </c>
      <c r="H106" s="1197"/>
      <c r="I106" s="1196" t="s">
        <v>107</v>
      </c>
      <c r="J106" s="1196"/>
      <c r="K106" s="1197" t="s">
        <v>398</v>
      </c>
      <c r="L106" s="1197"/>
      <c r="M106" s="1197" t="s">
        <v>4759</v>
      </c>
      <c r="N106" s="1197" t="s">
        <v>4760</v>
      </c>
      <c r="O106" s="503"/>
      <c r="P106" s="503"/>
      <c r="Q106" s="503"/>
      <c r="R106" s="503"/>
      <c r="S106" s="425"/>
      <c r="T106" s="425"/>
      <c r="U106" s="425"/>
      <c r="V106" s="425"/>
      <c r="W106" s="425"/>
      <c r="X106" s="425"/>
      <c r="Y106" s="425" t="str">
        <f t="shared" si="18"/>
        <v>1</v>
      </c>
      <c r="Z106" s="425">
        <f>COUNTIF($Y$20:Y106,$Y$21)</f>
        <v>30</v>
      </c>
      <c r="AA106" s="425"/>
      <c r="AB106" s="425"/>
      <c r="AC106" s="425"/>
      <c r="AD106" s="425"/>
      <c r="AE106" s="425"/>
      <c r="AF106" s="425"/>
      <c r="AG106" s="425"/>
      <c r="AH106" s="425"/>
    </row>
    <row r="107" spans="1:34" s="69" customFormat="1" ht="27" hidden="1" customHeight="1" x14ac:dyDescent="0.2">
      <c r="A107" s="136"/>
      <c r="B107" s="1197" t="s">
        <v>4872</v>
      </c>
      <c r="C107" s="1197"/>
      <c r="D107" s="1197"/>
      <c r="E107" s="1197" t="s">
        <v>116</v>
      </c>
      <c r="F107" s="1197"/>
      <c r="G107" s="1197"/>
      <c r="H107" s="1197"/>
      <c r="I107" s="1197" t="s">
        <v>108</v>
      </c>
      <c r="J107" s="1196" t="s">
        <v>109</v>
      </c>
      <c r="K107" s="1197" t="s">
        <v>108</v>
      </c>
      <c r="L107" s="1197" t="s">
        <v>109</v>
      </c>
      <c r="M107" s="1197"/>
      <c r="N107" s="1197"/>
      <c r="O107" s="503"/>
      <c r="P107" s="503"/>
      <c r="Q107" s="503"/>
      <c r="R107" s="503"/>
      <c r="S107" s="425"/>
      <c r="T107" s="425" t="s">
        <v>5620</v>
      </c>
      <c r="U107" s="425" t="str">
        <f>IF(AND(T107="",T108=""),T109,IF(T107="",T108,T107))</f>
        <v/>
      </c>
      <c r="V107" s="425"/>
      <c r="W107" s="425"/>
      <c r="X107" s="425"/>
      <c r="Y107" s="425" t="str">
        <f t="shared" si="18"/>
        <v>1</v>
      </c>
      <c r="Z107" s="425">
        <f>COUNTIF($Y$20:Y107,$Y$21)</f>
        <v>30</v>
      </c>
      <c r="AA107" s="425"/>
      <c r="AB107" s="425"/>
      <c r="AC107" s="425"/>
      <c r="AD107" s="425"/>
      <c r="AE107" s="425"/>
      <c r="AF107" s="425"/>
      <c r="AG107" s="425"/>
      <c r="AH107" s="425"/>
    </row>
    <row r="108" spans="1:34" s="69" customFormat="1" ht="12.75" hidden="1" customHeight="1" x14ac:dyDescent="0.2">
      <c r="A108" s="503"/>
      <c r="B108" s="1197"/>
      <c r="C108" s="1197"/>
      <c r="D108" s="1197"/>
      <c r="E108" s="1197"/>
      <c r="F108" s="1197"/>
      <c r="G108" s="1197"/>
      <c r="H108" s="1197"/>
      <c r="I108" s="1197"/>
      <c r="J108" s="1196"/>
      <c r="K108" s="1197"/>
      <c r="L108" s="1197"/>
      <c r="M108" s="1197"/>
      <c r="N108" s="1197"/>
      <c r="O108" s="503"/>
      <c r="P108" s="503"/>
      <c r="Q108" s="503"/>
      <c r="R108" s="503"/>
      <c r="S108" s="425"/>
      <c r="T108" s="425" t="s">
        <v>5620</v>
      </c>
      <c r="U108" s="425" t="str">
        <f>IF(AND(T107="",T108=""),"",IF(T107="",T109,IF(T108="",T109,T108)))</f>
        <v/>
      </c>
      <c r="V108" s="425"/>
      <c r="W108" s="425"/>
      <c r="X108" s="425"/>
      <c r="Y108" s="425" t="str">
        <f t="shared" si="18"/>
        <v>1</v>
      </c>
      <c r="Z108" s="425">
        <f>COUNTIF($Y$20:Y108,$Y$21)</f>
        <v>30</v>
      </c>
      <c r="AA108" s="425"/>
      <c r="AB108" s="425"/>
      <c r="AC108" s="425"/>
      <c r="AD108" s="425"/>
      <c r="AE108" s="425"/>
      <c r="AF108" s="425"/>
      <c r="AG108" s="425"/>
      <c r="AH108" s="425"/>
    </row>
    <row r="109" spans="1:34" s="69" customFormat="1" ht="7.5" hidden="1" customHeight="1" x14ac:dyDescent="0.2">
      <c r="A109" s="136"/>
      <c r="B109" s="503"/>
      <c r="C109" s="503"/>
      <c r="D109" s="503"/>
      <c r="E109" s="503"/>
      <c r="F109" s="503"/>
      <c r="G109" s="503"/>
      <c r="H109" s="503"/>
      <c r="I109" s="503"/>
      <c r="J109" s="503"/>
      <c r="K109" s="503"/>
      <c r="L109" s="503"/>
      <c r="M109" s="503"/>
      <c r="N109" s="503"/>
      <c r="O109" s="503"/>
      <c r="P109" s="503"/>
      <c r="Q109" s="503"/>
      <c r="R109" s="503"/>
      <c r="S109" s="425"/>
      <c r="T109" s="425" t="s">
        <v>5620</v>
      </c>
      <c r="U109" s="425" t="str">
        <f>IF(AND(T107="",T108=""),"",IF(T108="","",IF(T107="","",T109)))</f>
        <v/>
      </c>
      <c r="V109" s="425"/>
      <c r="W109" s="425"/>
      <c r="X109" s="425"/>
      <c r="Y109" s="425" t="str">
        <f t="shared" si="18"/>
        <v>1</v>
      </c>
      <c r="Z109" s="425">
        <f>COUNTIF($Y$20:Y109,$Y$21)</f>
        <v>30</v>
      </c>
      <c r="AA109" s="425"/>
      <c r="AB109" s="425"/>
      <c r="AC109" s="425"/>
      <c r="AD109" s="425"/>
      <c r="AE109" s="425"/>
      <c r="AF109" s="425"/>
      <c r="AG109" s="425"/>
      <c r="AH109" s="425"/>
    </row>
    <row r="110" spans="1:34" s="503" customFormat="1" ht="24.95" hidden="1" customHeight="1" x14ac:dyDescent="0.2">
      <c r="B110" s="448" t="s">
        <v>4874</v>
      </c>
      <c r="C110" s="449"/>
      <c r="D110" s="449" t="s">
        <v>54</v>
      </c>
      <c r="E110" s="449"/>
      <c r="F110" s="449"/>
      <c r="G110" s="449"/>
      <c r="H110" s="449"/>
      <c r="I110" s="449"/>
      <c r="J110" s="449"/>
      <c r="K110" s="449"/>
      <c r="L110" s="449"/>
      <c r="M110" s="449"/>
      <c r="N110" s="450">
        <f>COUNTIF('ANALISIS TÉCNICO'!F126:G155,'COSTO TOTAL'!D110)</f>
        <v>0</v>
      </c>
      <c r="S110" s="250"/>
      <c r="T110" s="250"/>
      <c r="U110" s="250"/>
      <c r="V110" s="250"/>
      <c r="W110" s="250"/>
      <c r="X110" s="250"/>
      <c r="Y110" s="250"/>
      <c r="Z110" s="250"/>
      <c r="AA110" s="250"/>
      <c r="AB110" s="250"/>
      <c r="AC110" s="250"/>
      <c r="AD110" s="250"/>
      <c r="AE110" s="250"/>
      <c r="AF110" s="250"/>
      <c r="AG110" s="250"/>
      <c r="AH110" s="250"/>
    </row>
    <row r="111" spans="1:34" s="503" customFormat="1" ht="60" hidden="1" customHeight="1" x14ac:dyDescent="0.2">
      <c r="A111" s="136"/>
      <c r="B111" s="1248" t="str">
        <f>IFERROR(INDEX('ANALISIS TÉCNICO'!$B$126:$M$155,MATCH(1,'ANALISIS TÉCNICO'!$M$126:$M$155,0),1),"")</f>
        <v/>
      </c>
      <c r="C111" s="1248"/>
      <c r="D111" s="1248"/>
      <c r="E111" s="1250" t="str">
        <f>IFERROR(INDEX('ANALISIS TÉCNICO'!$B$126:$M$155,MATCH(1,'ANALISIS TÉCNICO'!$M$126:$M$155,0),3),"")</f>
        <v/>
      </c>
      <c r="F111" s="1252"/>
      <c r="G111" s="1250" t="str">
        <f>IFERROR(IF(B111="","",$D$20),"")</f>
        <v/>
      </c>
      <c r="H111" s="1252"/>
      <c r="I111" s="457" t="str">
        <f>IFERROR(INDEX('ANALISIS TÉCNICO'!$B$126:$M$155,MATCH(1,'ANALISIS TÉCNICO'!$M$126:$M$155,0),7),"")</f>
        <v/>
      </c>
      <c r="J111" s="457" t="str">
        <f>IFERROR(INDEX('ANALISIS TÉCNICO'!$B$126:$M$155,MATCH(1,'ANALISIS TÉCNICO'!$M$126:$M$155,0),8),"")</f>
        <v/>
      </c>
      <c r="K111" s="457" t="str">
        <f>IFERROR(INDEX('ANALISIS TÉCNICO'!$B$126:$M$155,MATCH(1,'ANALISIS TÉCNICO'!$M$126:$M$155,0),9),"")</f>
        <v/>
      </c>
      <c r="L111" s="266" t="str">
        <f>IFERROR(INDEX('ANALISIS TÉCNICO'!$B$126:$M$155,MATCH(1,'ANALISIS TÉCNICO'!$M$126:$M$155,0),10),"")</f>
        <v/>
      </c>
      <c r="M111" s="273"/>
      <c r="N111" s="266" t="str">
        <f t="shared" ref="N111:N126" si="26">IFERROR(IF(G111="","",IF(G111="Infraestructura",M111*L111,M111*J111)),"")</f>
        <v/>
      </c>
      <c r="S111" s="250"/>
      <c r="T111" s="530" t="str">
        <f>IFERROR(IF(B111="","b","c"),"")</f>
        <v>b</v>
      </c>
      <c r="U111" s="425">
        <f>IFERROR(COUNTIF($T$110:T111,$T$111),"")</f>
        <v>1</v>
      </c>
      <c r="V111" s="425" t="str">
        <f t="shared" ref="V111:V118" si="27">IFERROR(B111&amp;" "&amp;E111,"")</f>
        <v xml:space="preserve"> </v>
      </c>
      <c r="W111" s="538" t="str">
        <f>IFERROR(AA111,"")</f>
        <v/>
      </c>
      <c r="X111" s="425">
        <v>1</v>
      </c>
      <c r="Y111" s="425" t="str">
        <f>IFERROR(VLOOKUP(X111,$U$111:$W$152,2,FALSE),"")</f>
        <v xml:space="preserve"> </v>
      </c>
      <c r="Z111" s="425" t="str">
        <f>IFERROR(VLOOKUP(X111,$U$111:$W$152,3,FALSE),"")</f>
        <v/>
      </c>
      <c r="AA111" s="425" t="str">
        <f>IFERROR(N111/$N$127*$M$135+N111,"")</f>
        <v/>
      </c>
      <c r="AF111" s="250"/>
      <c r="AG111" s="250"/>
      <c r="AH111" s="250"/>
    </row>
    <row r="112" spans="1:34" s="503" customFormat="1" ht="60" hidden="1" customHeight="1" x14ac:dyDescent="0.2">
      <c r="B112" s="1248" t="str">
        <f>IFERROR(INDEX('ANALISIS TÉCNICO'!$B$126:$M$155,MATCH(2,'ANALISIS TÉCNICO'!$M$126:$M$155,0),1),"")</f>
        <v/>
      </c>
      <c r="C112" s="1248"/>
      <c r="D112" s="1248"/>
      <c r="E112" s="1250" t="str">
        <f>IFERROR(INDEX('ANALISIS TÉCNICO'!$B$126:$M$155,MATCH(2,'ANALISIS TÉCNICO'!$M$126:$M$155,0),3),"")</f>
        <v/>
      </c>
      <c r="F112" s="1252"/>
      <c r="G112" s="1250" t="str">
        <f t="shared" ref="G112:G119" si="28">IFERROR(IF(B112="","",$D$20),"")</f>
        <v/>
      </c>
      <c r="H112" s="1252"/>
      <c r="I112" s="457" t="str">
        <f>IFERROR(INDEX('ANALISIS TÉCNICO'!$B$126:$M$155,MATCH(2,'ANALISIS TÉCNICO'!$M$126:$M$155,0),7),"")</f>
        <v/>
      </c>
      <c r="J112" s="457" t="str">
        <f>IFERROR(INDEX('ANALISIS TÉCNICO'!$B$126:$M$155,MATCH(2,'ANALISIS TÉCNICO'!$M$126:$M$155,0),8),"")</f>
        <v/>
      </c>
      <c r="K112" s="457" t="str">
        <f>IFERROR(INDEX('ANALISIS TÉCNICO'!$B$126:$M$155,MATCH(2,'ANALISIS TÉCNICO'!$M$126:$M$155,0),9),"")</f>
        <v/>
      </c>
      <c r="L112" s="266" t="str">
        <f>IFERROR(INDEX('ANALISIS TÉCNICO'!$B$126:$M$155,MATCH(2,'ANALISIS TÉCNICO'!$M$126:$M$155,0),10),"")</f>
        <v/>
      </c>
      <c r="M112" s="273"/>
      <c r="N112" s="266" t="str">
        <f t="shared" si="26"/>
        <v/>
      </c>
      <c r="S112" s="250"/>
      <c r="T112" s="530" t="str">
        <f t="shared" ref="T112:T119" si="29">IFERROR(IF(B112="","b","c"),"")</f>
        <v>b</v>
      </c>
      <c r="U112" s="425">
        <f>IFERROR(COUNTIF($T$110:T112,$T$111),"")</f>
        <v>2</v>
      </c>
      <c r="V112" s="425" t="str">
        <f t="shared" si="27"/>
        <v xml:space="preserve"> </v>
      </c>
      <c r="W112" s="538" t="str">
        <f t="shared" ref="W112:W152" si="30">IFERROR(AA112,"")</f>
        <v/>
      </c>
      <c r="X112" s="425">
        <v>2</v>
      </c>
      <c r="Y112" s="425" t="str">
        <f t="shared" ref="Y112:Y119" si="31">IFERROR(VLOOKUP(X112,$U$111:$W$152,2,FALSE),"")</f>
        <v xml:space="preserve"> </v>
      </c>
      <c r="Z112" s="425" t="str">
        <f t="shared" ref="Z112:Z140" si="32">IFERROR(VLOOKUP(X112,$U$111:$W$152,3,FALSE),"")</f>
        <v/>
      </c>
      <c r="AA112" s="425" t="str">
        <f t="shared" ref="AA112:AA119" si="33">IFERROR(N112/$N$127*$M$135+N112,"")</f>
        <v/>
      </c>
      <c r="AF112" s="250"/>
      <c r="AG112" s="250"/>
      <c r="AH112" s="250"/>
    </row>
    <row r="113" spans="1:34" s="503" customFormat="1" ht="60" hidden="1" customHeight="1" x14ac:dyDescent="0.2">
      <c r="A113" s="136"/>
      <c r="B113" s="1248" t="str">
        <f>IFERROR(INDEX('ANALISIS TÉCNICO'!$B$126:$M$155,MATCH(3,'ANALISIS TÉCNICO'!$M$126:$M$155,0),1),"")</f>
        <v/>
      </c>
      <c r="C113" s="1248"/>
      <c r="D113" s="1248"/>
      <c r="E113" s="1250" t="str">
        <f>IFERROR(INDEX('ANALISIS TÉCNICO'!$B$126:$M$155,MATCH(3,'ANALISIS TÉCNICO'!$M$126:$M$155,0),3),"")</f>
        <v/>
      </c>
      <c r="F113" s="1252"/>
      <c r="G113" s="1250" t="str">
        <f t="shared" si="28"/>
        <v/>
      </c>
      <c r="H113" s="1252"/>
      <c r="I113" s="457" t="str">
        <f>IFERROR(INDEX('ANALISIS TÉCNICO'!$B$126:$M$155,MATCH(3,'ANALISIS TÉCNICO'!$M$126:$M$155,0),7),"")</f>
        <v/>
      </c>
      <c r="J113" s="457" t="str">
        <f>IFERROR(INDEX('ANALISIS TÉCNICO'!$B$126:$M$155,MATCH(3,'ANALISIS TÉCNICO'!$M$126:$M$155,0),8),"")</f>
        <v/>
      </c>
      <c r="K113" s="457" t="str">
        <f>IFERROR(INDEX('ANALISIS TÉCNICO'!$B$126:$M$155,MATCH(3,'ANALISIS TÉCNICO'!$M$126:$M$155,0),9),"")</f>
        <v/>
      </c>
      <c r="L113" s="266" t="str">
        <f>IFERROR(INDEX('ANALISIS TÉCNICO'!$B$126:$M$155,MATCH(3,'ANALISIS TÉCNICO'!$M$126:$M$155,0),10),"")</f>
        <v/>
      </c>
      <c r="M113" s="273"/>
      <c r="N113" s="266" t="str">
        <f t="shared" si="26"/>
        <v/>
      </c>
      <c r="S113" s="250"/>
      <c r="T113" s="530" t="str">
        <f t="shared" si="29"/>
        <v>b</v>
      </c>
      <c r="U113" s="425">
        <f>IFERROR(COUNTIF($T$110:T113,$T$111),"")</f>
        <v>3</v>
      </c>
      <c r="V113" s="425" t="str">
        <f t="shared" si="27"/>
        <v xml:space="preserve"> </v>
      </c>
      <c r="W113" s="538" t="str">
        <f t="shared" si="30"/>
        <v/>
      </c>
      <c r="X113" s="425">
        <v>3</v>
      </c>
      <c r="Y113" s="425" t="str">
        <f t="shared" si="31"/>
        <v xml:space="preserve"> </v>
      </c>
      <c r="Z113" s="425" t="str">
        <f t="shared" si="32"/>
        <v/>
      </c>
      <c r="AA113" s="425" t="str">
        <f t="shared" si="33"/>
        <v/>
      </c>
      <c r="AF113" s="250"/>
      <c r="AG113" s="250"/>
      <c r="AH113" s="250"/>
    </row>
    <row r="114" spans="1:34" s="503" customFormat="1" ht="60" hidden="1" customHeight="1" x14ac:dyDescent="0.2">
      <c r="B114" s="1248" t="str">
        <f>IFERROR(INDEX('ANALISIS TÉCNICO'!$B$126:$M$155,MATCH(4,'ANALISIS TÉCNICO'!$M$126:$M$155,0),1),"")</f>
        <v/>
      </c>
      <c r="C114" s="1248"/>
      <c r="D114" s="1248"/>
      <c r="E114" s="1250" t="str">
        <f>IFERROR(INDEX('ANALISIS TÉCNICO'!$B$126:$M$155,MATCH(4,'ANALISIS TÉCNICO'!$M$126:$M$155,0),3),"")</f>
        <v/>
      </c>
      <c r="F114" s="1252"/>
      <c r="G114" s="1250" t="str">
        <f t="shared" si="28"/>
        <v/>
      </c>
      <c r="H114" s="1252"/>
      <c r="I114" s="457" t="str">
        <f>IFERROR(INDEX('ANALISIS TÉCNICO'!$B$126:$M$155,MATCH(4,'ANALISIS TÉCNICO'!$M$126:$M$155,0),7),"")</f>
        <v/>
      </c>
      <c r="J114" s="457" t="str">
        <f>IFERROR(INDEX('ANALISIS TÉCNICO'!$B$126:$M$155,MATCH(4,'ANALISIS TÉCNICO'!$M$126:$M$155,0),8),"")</f>
        <v/>
      </c>
      <c r="K114" s="457" t="str">
        <f>IFERROR(INDEX('ANALISIS TÉCNICO'!$B$126:$M$155,MATCH(4,'ANALISIS TÉCNICO'!$M$126:$M$155,0),9),"")</f>
        <v/>
      </c>
      <c r="L114" s="266" t="str">
        <f>IFERROR(INDEX('ANALISIS TÉCNICO'!$B$126:$M$155,MATCH(4,'ANALISIS TÉCNICO'!$M$126:$M$155,0),10),"")</f>
        <v/>
      </c>
      <c r="M114" s="273"/>
      <c r="N114" s="266" t="str">
        <f t="shared" si="26"/>
        <v/>
      </c>
      <c r="S114" s="250"/>
      <c r="T114" s="530" t="str">
        <f t="shared" si="29"/>
        <v>b</v>
      </c>
      <c r="U114" s="425">
        <f>IFERROR(COUNTIF($T$110:T114,$T$111),"")</f>
        <v>4</v>
      </c>
      <c r="V114" s="425" t="str">
        <f t="shared" si="27"/>
        <v xml:space="preserve"> </v>
      </c>
      <c r="W114" s="538" t="str">
        <f t="shared" si="30"/>
        <v/>
      </c>
      <c r="X114" s="425">
        <v>4</v>
      </c>
      <c r="Y114" s="425" t="str">
        <f t="shared" si="31"/>
        <v xml:space="preserve"> </v>
      </c>
      <c r="Z114" s="425" t="str">
        <f t="shared" si="32"/>
        <v/>
      </c>
      <c r="AA114" s="425" t="str">
        <f t="shared" si="33"/>
        <v/>
      </c>
      <c r="AF114" s="250"/>
      <c r="AG114" s="250"/>
      <c r="AH114" s="250"/>
    </row>
    <row r="115" spans="1:34" s="503" customFormat="1" ht="60" hidden="1" customHeight="1" x14ac:dyDescent="0.2">
      <c r="A115" s="136"/>
      <c r="B115" s="1248" t="str">
        <f>IFERROR(INDEX('ANALISIS TÉCNICO'!$B$126:$M$155,MATCH(5,'ANALISIS TÉCNICO'!$M$126:$M$155,0),1),"")</f>
        <v/>
      </c>
      <c r="C115" s="1248"/>
      <c r="D115" s="1248"/>
      <c r="E115" s="1250" t="str">
        <f>IFERROR(INDEX('ANALISIS TÉCNICO'!$B$126:$M$155,MATCH(5,'ANALISIS TÉCNICO'!$M$126:$M$155,0),3),"")</f>
        <v/>
      </c>
      <c r="F115" s="1252"/>
      <c r="G115" s="1250" t="str">
        <f t="shared" si="28"/>
        <v/>
      </c>
      <c r="H115" s="1252"/>
      <c r="I115" s="457" t="str">
        <f>IFERROR(INDEX('ANALISIS TÉCNICO'!$B$126:$M$155,MATCH(5,'ANALISIS TÉCNICO'!$M$126:$M$155,0),7),"")</f>
        <v/>
      </c>
      <c r="J115" s="457" t="str">
        <f>IFERROR(INDEX('ANALISIS TÉCNICO'!$B$126:$M$155,MATCH(5,'ANALISIS TÉCNICO'!$M$126:$M$155,0),8),"")</f>
        <v/>
      </c>
      <c r="K115" s="457" t="str">
        <f>IFERROR(INDEX('ANALISIS TÉCNICO'!$B$126:$M$155,MATCH(5,'ANALISIS TÉCNICO'!$M$126:$M$155,0),9),"")</f>
        <v/>
      </c>
      <c r="L115" s="266" t="str">
        <f>IFERROR(INDEX('ANALISIS TÉCNICO'!$B$126:$M$155,MATCH(5,'ANALISIS TÉCNICO'!$M$126:$M$155,0),10),"")</f>
        <v/>
      </c>
      <c r="M115" s="273"/>
      <c r="N115" s="266" t="str">
        <f t="shared" si="26"/>
        <v/>
      </c>
      <c r="S115" s="250"/>
      <c r="T115" s="530" t="str">
        <f t="shared" si="29"/>
        <v>b</v>
      </c>
      <c r="U115" s="425">
        <f>IFERROR(COUNTIF($T$110:T115,$T$111),"")</f>
        <v>5</v>
      </c>
      <c r="V115" s="425" t="str">
        <f t="shared" si="27"/>
        <v xml:space="preserve"> </v>
      </c>
      <c r="W115" s="538" t="str">
        <f t="shared" si="30"/>
        <v/>
      </c>
      <c r="X115" s="425">
        <v>5</v>
      </c>
      <c r="Y115" s="425" t="str">
        <f t="shared" si="31"/>
        <v xml:space="preserve"> </v>
      </c>
      <c r="Z115" s="425" t="str">
        <f t="shared" si="32"/>
        <v/>
      </c>
      <c r="AA115" s="425" t="str">
        <f t="shared" si="33"/>
        <v/>
      </c>
      <c r="AF115" s="250"/>
      <c r="AG115" s="250"/>
      <c r="AH115" s="250"/>
    </row>
    <row r="116" spans="1:34" s="503" customFormat="1" ht="60" hidden="1" customHeight="1" x14ac:dyDescent="0.2">
      <c r="B116" s="1248" t="str">
        <f>IFERROR(INDEX('ANALISIS TÉCNICO'!$B$126:$M$155,MATCH(6,'ANALISIS TÉCNICO'!$M$126:$M$155,0),1),"")</f>
        <v/>
      </c>
      <c r="C116" s="1248"/>
      <c r="D116" s="1248"/>
      <c r="E116" s="1250" t="str">
        <f>IFERROR(INDEX('ANALISIS TÉCNICO'!$B$126:$M$155,MATCH(6,'ANALISIS TÉCNICO'!$M$126:$M$155,0),3),"")</f>
        <v/>
      </c>
      <c r="F116" s="1252"/>
      <c r="G116" s="1250" t="str">
        <f t="shared" si="28"/>
        <v/>
      </c>
      <c r="H116" s="1252"/>
      <c r="I116" s="457" t="str">
        <f>IFERROR(INDEX('ANALISIS TÉCNICO'!$B$126:$M$155,MATCH(6,'ANALISIS TÉCNICO'!$M$126:$M$155,0),7),"")</f>
        <v/>
      </c>
      <c r="J116" s="457" t="str">
        <f>IFERROR(INDEX('ANALISIS TÉCNICO'!$B$126:$M$155,MATCH(6,'ANALISIS TÉCNICO'!$M$126:$M$155,0),8),"")</f>
        <v/>
      </c>
      <c r="K116" s="457" t="str">
        <f>IFERROR(INDEX('ANALISIS TÉCNICO'!$B$126:$M$155,MATCH(6,'ANALISIS TÉCNICO'!$M$126:$M$155,0),9),"")</f>
        <v/>
      </c>
      <c r="L116" s="266" t="str">
        <f>IFERROR(INDEX('ANALISIS TÉCNICO'!$B$126:$M$155,MATCH(6,'ANALISIS TÉCNICO'!$M$126:$M$155,0),10),"")</f>
        <v/>
      </c>
      <c r="M116" s="273"/>
      <c r="N116" s="266" t="str">
        <f t="shared" si="26"/>
        <v/>
      </c>
      <c r="S116" s="250"/>
      <c r="T116" s="530" t="str">
        <f t="shared" si="29"/>
        <v>b</v>
      </c>
      <c r="U116" s="425">
        <f>IFERROR(COUNTIF($T$110:T116,$T$111),"")</f>
        <v>6</v>
      </c>
      <c r="V116" s="425" t="str">
        <f t="shared" si="27"/>
        <v xml:space="preserve"> </v>
      </c>
      <c r="W116" s="538" t="str">
        <f t="shared" si="30"/>
        <v/>
      </c>
      <c r="X116" s="425">
        <v>6</v>
      </c>
      <c r="Y116" s="425" t="str">
        <f t="shared" si="31"/>
        <v xml:space="preserve"> </v>
      </c>
      <c r="Z116" s="425" t="str">
        <f t="shared" si="32"/>
        <v/>
      </c>
      <c r="AA116" s="425" t="str">
        <f t="shared" si="33"/>
        <v/>
      </c>
      <c r="AF116" s="250"/>
      <c r="AG116" s="250"/>
      <c r="AH116" s="250"/>
    </row>
    <row r="117" spans="1:34" s="503" customFormat="1" ht="60" hidden="1" customHeight="1" x14ac:dyDescent="0.2">
      <c r="A117" s="136"/>
      <c r="B117" s="1248" t="str">
        <f>IFERROR(INDEX('ANALISIS TÉCNICO'!$B$126:$M$155,MATCH(7,'ANALISIS TÉCNICO'!$M$126:$M$155,0),1),"")</f>
        <v/>
      </c>
      <c r="C117" s="1248"/>
      <c r="D117" s="1248"/>
      <c r="E117" s="1250" t="str">
        <f>IFERROR(INDEX('ANALISIS TÉCNICO'!$B$126:$M$155,MATCH(7,'ANALISIS TÉCNICO'!$M$126:$M$155,0),3),"")</f>
        <v/>
      </c>
      <c r="F117" s="1252"/>
      <c r="G117" s="1250" t="str">
        <f t="shared" si="28"/>
        <v/>
      </c>
      <c r="H117" s="1252"/>
      <c r="I117" s="457" t="str">
        <f>IFERROR(INDEX('ANALISIS TÉCNICO'!$B$126:$M$155,MATCH(7,'ANALISIS TÉCNICO'!$M$126:$M$155,0),7),"")</f>
        <v/>
      </c>
      <c r="J117" s="457" t="str">
        <f>IFERROR(INDEX('ANALISIS TÉCNICO'!$B$126:$M$155,MATCH(7,'ANALISIS TÉCNICO'!$M$126:$M$155,0),8),"")</f>
        <v/>
      </c>
      <c r="K117" s="457" t="str">
        <f>IFERROR(INDEX('ANALISIS TÉCNICO'!$B$126:$M$155,MATCH(7,'ANALISIS TÉCNICO'!$M$126:$M$155,0),9),"")</f>
        <v/>
      </c>
      <c r="L117" s="266" t="str">
        <f>IFERROR(INDEX('ANALISIS TÉCNICO'!$B$126:$M$155,MATCH(7,'ANALISIS TÉCNICO'!$M$126:$M$155,0),10),"")</f>
        <v/>
      </c>
      <c r="M117" s="273"/>
      <c r="N117" s="266" t="str">
        <f t="shared" si="26"/>
        <v/>
      </c>
      <c r="S117" s="250"/>
      <c r="T117" s="530" t="str">
        <f t="shared" si="29"/>
        <v>b</v>
      </c>
      <c r="U117" s="425">
        <f>IFERROR(COUNTIF($T$110:T117,$T$111),"")</f>
        <v>7</v>
      </c>
      <c r="V117" s="425" t="str">
        <f t="shared" si="27"/>
        <v xml:space="preserve"> </v>
      </c>
      <c r="W117" s="538" t="str">
        <f t="shared" si="30"/>
        <v/>
      </c>
      <c r="X117" s="425">
        <v>7</v>
      </c>
      <c r="Y117" s="425" t="str">
        <f t="shared" si="31"/>
        <v xml:space="preserve"> </v>
      </c>
      <c r="Z117" s="425" t="str">
        <f t="shared" si="32"/>
        <v/>
      </c>
      <c r="AA117" s="425" t="str">
        <f t="shared" si="33"/>
        <v/>
      </c>
      <c r="AF117" s="250"/>
      <c r="AG117" s="250"/>
      <c r="AH117" s="250"/>
    </row>
    <row r="118" spans="1:34" s="503" customFormat="1" ht="60" hidden="1" customHeight="1" x14ac:dyDescent="0.2">
      <c r="B118" s="1248" t="str">
        <f>IFERROR(INDEX('ANALISIS TÉCNICO'!$B$126:$M$155,MATCH(8,'ANALISIS TÉCNICO'!$M$126:$M$155,0),1),"")</f>
        <v/>
      </c>
      <c r="C118" s="1248"/>
      <c r="D118" s="1248"/>
      <c r="E118" s="1250" t="str">
        <f>IFERROR(INDEX('ANALISIS TÉCNICO'!$B$126:$M$155,MATCH(8,'ANALISIS TÉCNICO'!$M$126:$M$155,0),3),"")</f>
        <v/>
      </c>
      <c r="F118" s="1252"/>
      <c r="G118" s="1250" t="str">
        <f t="shared" si="28"/>
        <v/>
      </c>
      <c r="H118" s="1252"/>
      <c r="I118" s="457" t="str">
        <f>IFERROR(INDEX('ANALISIS TÉCNICO'!$B$126:$M$155,MATCH(8,'ANALISIS TÉCNICO'!$M$126:$M$155,0),7),"")</f>
        <v/>
      </c>
      <c r="J118" s="457" t="str">
        <f>IFERROR(INDEX('ANALISIS TÉCNICO'!$B$126:$M$155,MATCH(8,'ANALISIS TÉCNICO'!$M$126:$M$155,0),8),"")</f>
        <v/>
      </c>
      <c r="K118" s="457" t="str">
        <f>IFERROR(INDEX('ANALISIS TÉCNICO'!$B$126:$M$155,MATCH(8,'ANALISIS TÉCNICO'!$M$126:$M$155,0),9),"")</f>
        <v/>
      </c>
      <c r="L118" s="266" t="str">
        <f>IFERROR(INDEX('ANALISIS TÉCNICO'!$B$126:$M$155,MATCH(8,'ANALISIS TÉCNICO'!$M$126:$M$155,0),10),"")</f>
        <v/>
      </c>
      <c r="M118" s="273"/>
      <c r="N118" s="266" t="str">
        <f t="shared" si="26"/>
        <v/>
      </c>
      <c r="S118" s="250"/>
      <c r="T118" s="530" t="str">
        <f t="shared" si="29"/>
        <v>b</v>
      </c>
      <c r="U118" s="425">
        <f>IFERROR(COUNTIF($T$110:T118,$T$111),"")</f>
        <v>8</v>
      </c>
      <c r="V118" s="425" t="str">
        <f t="shared" si="27"/>
        <v xml:space="preserve"> </v>
      </c>
      <c r="W118" s="538" t="str">
        <f t="shared" si="30"/>
        <v/>
      </c>
      <c r="X118" s="425">
        <v>8</v>
      </c>
      <c r="Y118" s="425" t="str">
        <f t="shared" si="31"/>
        <v xml:space="preserve"> </v>
      </c>
      <c r="Z118" s="425" t="str">
        <f t="shared" si="32"/>
        <v/>
      </c>
      <c r="AA118" s="425" t="str">
        <f t="shared" si="33"/>
        <v/>
      </c>
      <c r="AB118" s="69"/>
      <c r="AC118" s="69"/>
      <c r="AF118" s="250"/>
      <c r="AG118" s="250"/>
      <c r="AH118" s="250"/>
    </row>
    <row r="119" spans="1:34" s="503" customFormat="1" ht="60" hidden="1" customHeight="1" x14ac:dyDescent="0.2">
      <c r="A119" s="136"/>
      <c r="B119" s="1248" t="str">
        <f>IFERROR(INDEX('ANALISIS TÉCNICO'!$B$126:$M$155,MATCH(9,'ANALISIS TÉCNICO'!$M$126:$M$155,0),1),"")</f>
        <v/>
      </c>
      <c r="C119" s="1248"/>
      <c r="D119" s="1248"/>
      <c r="E119" s="1250" t="str">
        <f>IFERROR(INDEX('ANALISIS TÉCNICO'!$B$126:$M$155,MATCH(9,'ANALISIS TÉCNICO'!$M$126:$M$155,0),3),"")</f>
        <v/>
      </c>
      <c r="F119" s="1252"/>
      <c r="G119" s="1250" t="str">
        <f t="shared" si="28"/>
        <v/>
      </c>
      <c r="H119" s="1252"/>
      <c r="I119" s="457" t="str">
        <f>IFERROR(INDEX('ANALISIS TÉCNICO'!$B$126:$M$155,MATCH(9,'ANALISIS TÉCNICO'!$M$126:$M$155,0),7),"")</f>
        <v/>
      </c>
      <c r="J119" s="457" t="str">
        <f>IFERROR(INDEX('ANALISIS TÉCNICO'!$B$126:$M$155,MATCH(9,'ANALISIS TÉCNICO'!$M$126:$M$155,0),8),"")</f>
        <v/>
      </c>
      <c r="K119" s="457" t="str">
        <f>IFERROR(INDEX('ANALISIS TÉCNICO'!$B$126:$M$155,MATCH(9,'ANALISIS TÉCNICO'!$M$126:$M$155,0),9),"")</f>
        <v/>
      </c>
      <c r="L119" s="266" t="str">
        <f>IFERROR(INDEX('ANALISIS TÉCNICO'!$B$126:$M$155,MATCH(9,'ANALISIS TÉCNICO'!$M$126:$M$155,0),10),"")</f>
        <v/>
      </c>
      <c r="M119" s="273"/>
      <c r="N119" s="266" t="str">
        <f t="shared" si="26"/>
        <v/>
      </c>
      <c r="S119" s="250"/>
      <c r="T119" s="530" t="str">
        <f t="shared" si="29"/>
        <v>b</v>
      </c>
      <c r="U119" s="425">
        <f>IFERROR(COUNTIF($T$110:T119,$T$111),"")</f>
        <v>9</v>
      </c>
      <c r="V119" s="425" t="str">
        <f>IFERROR(B119&amp;" "&amp;E119,"")</f>
        <v xml:space="preserve"> </v>
      </c>
      <c r="W119" s="538" t="str">
        <f t="shared" si="30"/>
        <v/>
      </c>
      <c r="X119" s="425">
        <v>9</v>
      </c>
      <c r="Y119" s="425" t="str">
        <f t="shared" si="31"/>
        <v xml:space="preserve"> </v>
      </c>
      <c r="Z119" s="425" t="str">
        <f t="shared" si="32"/>
        <v/>
      </c>
      <c r="AA119" s="425" t="str">
        <f t="shared" si="33"/>
        <v/>
      </c>
      <c r="AB119" s="69"/>
      <c r="AC119" s="69"/>
      <c r="AD119" s="69"/>
      <c r="AF119" s="250"/>
      <c r="AG119" s="250"/>
      <c r="AH119" s="250"/>
    </row>
    <row r="120" spans="1:34" s="503" customFormat="1" ht="24.95" hidden="1" customHeight="1" x14ac:dyDescent="0.2">
      <c r="B120" s="448" t="s">
        <v>4875</v>
      </c>
      <c r="C120" s="449"/>
      <c r="D120" s="449"/>
      <c r="E120" s="449"/>
      <c r="F120" s="449"/>
      <c r="G120" s="449"/>
      <c r="H120" s="449"/>
      <c r="I120" s="449"/>
      <c r="J120" s="449"/>
      <c r="K120" s="449"/>
      <c r="L120" s="496" t="s">
        <v>4922</v>
      </c>
      <c r="M120" s="555"/>
      <c r="N120" s="459"/>
      <c r="S120" s="250"/>
      <c r="T120" s="530" t="str">
        <f t="shared" ref="T120:T125" si="34">IFERROR(IF(B121="","b","c"),"")</f>
        <v>b</v>
      </c>
      <c r="U120" s="425">
        <f>IFERROR(COUNTIF($T$110:T120,$T$111),"")</f>
        <v>10</v>
      </c>
      <c r="V120" s="425" t="str">
        <f t="shared" ref="V120:V125" si="35">IFERROR(B121&amp;" "&amp;E121,"")</f>
        <v xml:space="preserve"> </v>
      </c>
      <c r="W120" s="538" t="str">
        <f t="shared" si="30"/>
        <v/>
      </c>
      <c r="X120" s="425">
        <v>10</v>
      </c>
      <c r="Y120" s="425" t="str">
        <f t="shared" ref="Y120:Y140" si="36">IFERROR(VLOOKUP(X120,$U$21:$W$62,2,FALSE),"")</f>
        <v xml:space="preserve"> </v>
      </c>
      <c r="Z120" s="425" t="str">
        <f t="shared" si="32"/>
        <v/>
      </c>
      <c r="AA120" s="425" t="str">
        <f t="shared" ref="AA120:AA125" si="37">IFERROR(N121/$N$127*$M$135+N121,"")</f>
        <v/>
      </c>
      <c r="AB120" s="69"/>
      <c r="AC120" s="69"/>
      <c r="AD120" s="69"/>
      <c r="AF120" s="250"/>
      <c r="AG120" s="250"/>
      <c r="AH120" s="250"/>
    </row>
    <row r="121" spans="1:34" s="503" customFormat="1" ht="60" hidden="1" customHeight="1" x14ac:dyDescent="0.2">
      <c r="A121" s="136"/>
      <c r="B121" s="1759"/>
      <c r="C121" s="1759"/>
      <c r="D121" s="1759"/>
      <c r="E121" s="1186"/>
      <c r="F121" s="1188"/>
      <c r="G121" s="1250" t="str">
        <f t="shared" ref="G121:G126" si="38">IFERROR(IF(B121="","",$D$20),"")</f>
        <v/>
      </c>
      <c r="H121" s="1252"/>
      <c r="I121" s="457" t="str">
        <f t="shared" ref="I121:I126" si="39">IFERROR(IF(B121="","","Unidad"),"")</f>
        <v/>
      </c>
      <c r="J121" s="505"/>
      <c r="K121" s="457" t="str">
        <f t="shared" ref="K121:K126" si="40">IFERROR(IF(B121="","","ml"),"")</f>
        <v/>
      </c>
      <c r="L121" s="273"/>
      <c r="M121" s="273"/>
      <c r="N121" s="266" t="str">
        <f t="shared" si="26"/>
        <v/>
      </c>
      <c r="S121" s="250"/>
      <c r="T121" s="530" t="str">
        <f t="shared" si="34"/>
        <v>b</v>
      </c>
      <c r="U121" s="425">
        <f>IFERROR(COUNTIF($T$110:T121,$T$111),"")</f>
        <v>11</v>
      </c>
      <c r="V121" s="425" t="str">
        <f t="shared" si="35"/>
        <v xml:space="preserve"> </v>
      </c>
      <c r="W121" s="538" t="str">
        <f t="shared" si="30"/>
        <v/>
      </c>
      <c r="X121" s="425">
        <v>11</v>
      </c>
      <c r="Y121" s="425" t="str">
        <f t="shared" si="36"/>
        <v xml:space="preserve"> </v>
      </c>
      <c r="Z121" s="425" t="str">
        <f t="shared" si="32"/>
        <v/>
      </c>
      <c r="AA121" s="425" t="str">
        <f t="shared" si="37"/>
        <v/>
      </c>
      <c r="AB121" s="69"/>
      <c r="AC121" s="69"/>
      <c r="AD121" s="69"/>
      <c r="AF121" s="250"/>
      <c r="AG121" s="250"/>
      <c r="AH121" s="250"/>
    </row>
    <row r="122" spans="1:34" s="503" customFormat="1" ht="60" hidden="1" customHeight="1" x14ac:dyDescent="0.2">
      <c r="B122" s="1759"/>
      <c r="C122" s="1759"/>
      <c r="D122" s="1759"/>
      <c r="E122" s="1186"/>
      <c r="F122" s="1188"/>
      <c r="G122" s="1250" t="str">
        <f t="shared" si="38"/>
        <v/>
      </c>
      <c r="H122" s="1252"/>
      <c r="I122" s="457" t="str">
        <f t="shared" si="39"/>
        <v/>
      </c>
      <c r="J122" s="505"/>
      <c r="K122" s="457" t="str">
        <f t="shared" si="40"/>
        <v/>
      </c>
      <c r="L122" s="273"/>
      <c r="M122" s="273"/>
      <c r="N122" s="266" t="str">
        <f t="shared" si="26"/>
        <v/>
      </c>
      <c r="S122" s="250"/>
      <c r="T122" s="530" t="str">
        <f t="shared" si="34"/>
        <v>b</v>
      </c>
      <c r="U122" s="425">
        <f>IFERROR(COUNTIF($T$110:T122,$T$111),"")</f>
        <v>12</v>
      </c>
      <c r="V122" s="425" t="str">
        <f t="shared" si="35"/>
        <v xml:space="preserve"> </v>
      </c>
      <c r="W122" s="538" t="str">
        <f t="shared" si="30"/>
        <v/>
      </c>
      <c r="X122" s="425">
        <v>12</v>
      </c>
      <c r="Y122" s="425" t="str">
        <f t="shared" si="36"/>
        <v xml:space="preserve"> </v>
      </c>
      <c r="Z122" s="425" t="str">
        <f t="shared" si="32"/>
        <v/>
      </c>
      <c r="AA122" s="425" t="str">
        <f t="shared" si="37"/>
        <v/>
      </c>
      <c r="AB122" s="69"/>
      <c r="AC122" s="69"/>
      <c r="AD122" s="69"/>
      <c r="AF122" s="250"/>
      <c r="AG122" s="250"/>
      <c r="AH122" s="250"/>
    </row>
    <row r="123" spans="1:34" s="503" customFormat="1" ht="60" hidden="1" customHeight="1" x14ac:dyDescent="0.2">
      <c r="A123" s="136"/>
      <c r="B123" s="1759"/>
      <c r="C123" s="1759"/>
      <c r="D123" s="1759"/>
      <c r="E123" s="1186"/>
      <c r="F123" s="1188"/>
      <c r="G123" s="1250" t="str">
        <f t="shared" si="38"/>
        <v/>
      </c>
      <c r="H123" s="1252"/>
      <c r="I123" s="457" t="str">
        <f t="shared" si="39"/>
        <v/>
      </c>
      <c r="J123" s="505"/>
      <c r="K123" s="457" t="str">
        <f t="shared" si="40"/>
        <v/>
      </c>
      <c r="L123" s="273"/>
      <c r="M123" s="273"/>
      <c r="N123" s="266" t="str">
        <f t="shared" si="26"/>
        <v/>
      </c>
      <c r="S123" s="250"/>
      <c r="T123" s="530" t="str">
        <f t="shared" si="34"/>
        <v>b</v>
      </c>
      <c r="U123" s="425">
        <f>IFERROR(COUNTIF($T$110:T123,$T$111),"")</f>
        <v>13</v>
      </c>
      <c r="V123" s="425" t="str">
        <f t="shared" si="35"/>
        <v xml:space="preserve"> </v>
      </c>
      <c r="W123" s="538" t="str">
        <f t="shared" si="30"/>
        <v/>
      </c>
      <c r="X123" s="425">
        <v>13</v>
      </c>
      <c r="Y123" s="425" t="str">
        <f t="shared" si="36"/>
        <v xml:space="preserve"> </v>
      </c>
      <c r="Z123" s="425" t="str">
        <f t="shared" si="32"/>
        <v/>
      </c>
      <c r="AA123" s="425" t="str">
        <f t="shared" si="37"/>
        <v/>
      </c>
      <c r="AB123" s="69"/>
      <c r="AC123" s="69"/>
      <c r="AD123" s="69"/>
      <c r="AF123" s="250"/>
      <c r="AG123" s="250"/>
      <c r="AH123" s="250"/>
    </row>
    <row r="124" spans="1:34" s="503" customFormat="1" ht="60" hidden="1" customHeight="1" x14ac:dyDescent="0.2">
      <c r="B124" s="1204"/>
      <c r="C124" s="1249"/>
      <c r="D124" s="1249"/>
      <c r="E124" s="1224"/>
      <c r="F124" s="1224"/>
      <c r="G124" s="1250" t="str">
        <f t="shared" si="38"/>
        <v/>
      </c>
      <c r="H124" s="1252"/>
      <c r="I124" s="457" t="str">
        <f t="shared" si="39"/>
        <v/>
      </c>
      <c r="J124" s="505"/>
      <c r="K124" s="457" t="str">
        <f t="shared" si="40"/>
        <v/>
      </c>
      <c r="L124" s="273"/>
      <c r="M124" s="451"/>
      <c r="N124" s="266" t="str">
        <f t="shared" si="26"/>
        <v/>
      </c>
      <c r="S124" s="250"/>
      <c r="T124" s="530" t="str">
        <f t="shared" si="34"/>
        <v>b</v>
      </c>
      <c r="U124" s="425">
        <f>IFERROR(COUNTIF($T$110:T124,$T$111),"")</f>
        <v>14</v>
      </c>
      <c r="V124" s="425" t="str">
        <f t="shared" si="35"/>
        <v xml:space="preserve"> </v>
      </c>
      <c r="W124" s="538" t="str">
        <f t="shared" si="30"/>
        <v/>
      </c>
      <c r="X124" s="425">
        <v>14</v>
      </c>
      <c r="Y124" s="425" t="str">
        <f t="shared" si="36"/>
        <v xml:space="preserve"> </v>
      </c>
      <c r="Z124" s="425" t="str">
        <f t="shared" si="32"/>
        <v/>
      </c>
      <c r="AA124" s="425" t="str">
        <f t="shared" si="37"/>
        <v/>
      </c>
      <c r="AB124" s="69"/>
      <c r="AC124" s="69"/>
      <c r="AD124" s="69"/>
      <c r="AF124" s="250"/>
      <c r="AG124" s="250"/>
      <c r="AH124" s="250"/>
    </row>
    <row r="125" spans="1:34" s="503" customFormat="1" ht="60" hidden="1" customHeight="1" x14ac:dyDescent="0.2">
      <c r="A125" s="136"/>
      <c r="B125" s="1204"/>
      <c r="C125" s="1249"/>
      <c r="D125" s="1249"/>
      <c r="E125" s="1224"/>
      <c r="F125" s="1224"/>
      <c r="G125" s="1250" t="str">
        <f t="shared" si="38"/>
        <v/>
      </c>
      <c r="H125" s="1252"/>
      <c r="I125" s="457" t="str">
        <f t="shared" si="39"/>
        <v/>
      </c>
      <c r="J125" s="505"/>
      <c r="K125" s="457" t="str">
        <f t="shared" si="40"/>
        <v/>
      </c>
      <c r="L125" s="273"/>
      <c r="M125" s="451"/>
      <c r="N125" s="266" t="str">
        <f t="shared" si="26"/>
        <v/>
      </c>
      <c r="S125" s="250"/>
      <c r="T125" s="530" t="str">
        <f t="shared" si="34"/>
        <v>b</v>
      </c>
      <c r="U125" s="425">
        <f>IFERROR(COUNTIF($T$110:T125,$T$111),"")</f>
        <v>15</v>
      </c>
      <c r="V125" s="425" t="str">
        <f t="shared" si="35"/>
        <v xml:space="preserve"> </v>
      </c>
      <c r="W125" s="538" t="str">
        <f t="shared" si="30"/>
        <v/>
      </c>
      <c r="X125" s="425">
        <v>15</v>
      </c>
      <c r="Y125" s="425" t="str">
        <f t="shared" si="36"/>
        <v xml:space="preserve"> </v>
      </c>
      <c r="Z125" s="425" t="str">
        <f t="shared" si="32"/>
        <v/>
      </c>
      <c r="AA125" s="425" t="str">
        <f t="shared" si="37"/>
        <v/>
      </c>
      <c r="AB125" s="69"/>
      <c r="AC125" s="69"/>
      <c r="AD125" s="69"/>
      <c r="AF125" s="250"/>
      <c r="AG125" s="250"/>
      <c r="AH125" s="250"/>
    </row>
    <row r="126" spans="1:34" s="503" customFormat="1" ht="60" hidden="1" customHeight="1" x14ac:dyDescent="0.2">
      <c r="B126" s="1204"/>
      <c r="C126" s="1249"/>
      <c r="D126" s="1249"/>
      <c r="E126" s="1224"/>
      <c r="F126" s="1224"/>
      <c r="G126" s="1250" t="str">
        <f t="shared" si="38"/>
        <v/>
      </c>
      <c r="H126" s="1252"/>
      <c r="I126" s="457" t="str">
        <f t="shared" si="39"/>
        <v/>
      </c>
      <c r="J126" s="505"/>
      <c r="K126" s="457" t="str">
        <f t="shared" si="40"/>
        <v/>
      </c>
      <c r="L126" s="273"/>
      <c r="M126" s="451"/>
      <c r="N126" s="266" t="str">
        <f t="shared" si="26"/>
        <v/>
      </c>
      <c r="S126" s="250"/>
      <c r="T126" s="530" t="str">
        <f>IFERROR(IF(B144="","b","c"),"")</f>
        <v>b</v>
      </c>
      <c r="U126" s="425">
        <f>IFERROR(COUNTIF($T$110:T126,$T$111),"")</f>
        <v>16</v>
      </c>
      <c r="V126" s="425" t="str">
        <f>IFERROR(B144&amp;" "&amp;E144,"")</f>
        <v xml:space="preserve"> </v>
      </c>
      <c r="W126" s="538" t="str">
        <f t="shared" si="30"/>
        <v/>
      </c>
      <c r="X126" s="425">
        <v>16</v>
      </c>
      <c r="Y126" s="425" t="str">
        <f t="shared" si="36"/>
        <v xml:space="preserve"> </v>
      </c>
      <c r="Z126" s="425" t="str">
        <f t="shared" si="32"/>
        <v/>
      </c>
      <c r="AA126" s="425" t="str">
        <f>IFERROR(N144/$N$172*$M$180+N144,"")</f>
        <v/>
      </c>
      <c r="AB126" s="69"/>
      <c r="AC126" s="69"/>
      <c r="AD126" s="69"/>
      <c r="AF126" s="250"/>
      <c r="AG126" s="250"/>
      <c r="AH126" s="250"/>
    </row>
    <row r="127" spans="1:34" s="503" customFormat="1" ht="30" hidden="1" customHeight="1" x14ac:dyDescent="0.2">
      <c r="A127" s="136"/>
      <c r="B127" s="1756" t="s">
        <v>4876</v>
      </c>
      <c r="C127" s="1757"/>
      <c r="D127" s="1757"/>
      <c r="E127" s="1757"/>
      <c r="F127" s="1757"/>
      <c r="G127" s="1757"/>
      <c r="H127" s="1757"/>
      <c r="I127" s="1757"/>
      <c r="J127" s="1757"/>
      <c r="K127" s="1757"/>
      <c r="L127" s="1757"/>
      <c r="M127" s="1757"/>
      <c r="N127" s="454">
        <f>IFERROR(SUM(N121:N126,N111:N119),"")</f>
        <v>0</v>
      </c>
      <c r="S127" s="250"/>
      <c r="T127" s="530" t="str">
        <f t="shared" ref="T127:T146" si="41">IFERROR(IF(B145="","b","c"),"")</f>
        <v>b</v>
      </c>
      <c r="U127" s="425">
        <f>IFERROR(COUNTIF($T$110:T127,$T$111),"")</f>
        <v>17</v>
      </c>
      <c r="V127" s="425" t="str">
        <f t="shared" ref="V127:V146" si="42">IFERROR(B145&amp;" "&amp;E145,"")</f>
        <v xml:space="preserve"> </v>
      </c>
      <c r="W127" s="538" t="str">
        <f t="shared" si="30"/>
        <v/>
      </c>
      <c r="X127" s="425">
        <v>17</v>
      </c>
      <c r="Y127" s="425" t="str">
        <f t="shared" si="36"/>
        <v xml:space="preserve"> </v>
      </c>
      <c r="Z127" s="425" t="str">
        <f t="shared" si="32"/>
        <v/>
      </c>
      <c r="AA127" s="425" t="str">
        <f t="shared" ref="AA127:AA146" si="43">IFERROR(N145/$N$172*$M$180+N145,"")</f>
        <v/>
      </c>
      <c r="AB127" s="69"/>
      <c r="AC127" s="69"/>
      <c r="AD127" s="69"/>
      <c r="AF127" s="250"/>
      <c r="AG127" s="250"/>
      <c r="AH127" s="250"/>
    </row>
    <row r="128" spans="1:34" s="503" customFormat="1" ht="8.1" hidden="1" customHeight="1" x14ac:dyDescent="0.2">
      <c r="B128" s="511"/>
      <c r="C128" s="511"/>
      <c r="D128" s="511"/>
      <c r="E128" s="511"/>
      <c r="F128" s="511"/>
      <c r="G128" s="511"/>
      <c r="H128" s="511"/>
      <c r="I128" s="511"/>
      <c r="J128" s="511"/>
      <c r="K128" s="511"/>
      <c r="L128" s="511"/>
      <c r="M128" s="511"/>
      <c r="N128" s="453"/>
      <c r="S128" s="250"/>
      <c r="T128" s="530" t="str">
        <f t="shared" si="41"/>
        <v>b</v>
      </c>
      <c r="U128" s="425">
        <f>IFERROR(COUNTIF($T$110:T128,$T$111),"")</f>
        <v>18</v>
      </c>
      <c r="V128" s="425" t="str">
        <f t="shared" si="42"/>
        <v xml:space="preserve"> </v>
      </c>
      <c r="W128" s="538" t="str">
        <f t="shared" si="30"/>
        <v/>
      </c>
      <c r="X128" s="425">
        <v>18</v>
      </c>
      <c r="Y128" s="425" t="str">
        <f t="shared" si="36"/>
        <v xml:space="preserve"> </v>
      </c>
      <c r="Z128" s="425" t="str">
        <f t="shared" si="32"/>
        <v/>
      </c>
      <c r="AA128" s="425" t="str">
        <f t="shared" si="43"/>
        <v/>
      </c>
      <c r="AB128" s="69"/>
      <c r="AC128" s="69"/>
      <c r="AD128" s="69"/>
      <c r="AF128" s="250"/>
      <c r="AG128" s="250"/>
      <c r="AH128" s="250"/>
    </row>
    <row r="129" spans="1:34" s="503" customFormat="1" ht="30" hidden="1" customHeight="1" x14ac:dyDescent="0.2">
      <c r="A129" s="136"/>
      <c r="B129" s="1444" t="s">
        <v>4880</v>
      </c>
      <c r="C129" s="1445"/>
      <c r="D129" s="1445"/>
      <c r="E129" s="1445"/>
      <c r="F129" s="1445"/>
      <c r="G129" s="1445"/>
      <c r="H129" s="1445"/>
      <c r="I129" s="1445"/>
      <c r="J129" s="1445"/>
      <c r="K129" s="1445"/>
      <c r="L129" s="1446"/>
      <c r="M129" s="1445" t="s">
        <v>4881</v>
      </c>
      <c r="N129" s="1446"/>
      <c r="S129" s="250"/>
      <c r="T129" s="530" t="str">
        <f t="shared" si="41"/>
        <v>b</v>
      </c>
      <c r="U129" s="425">
        <f>IFERROR(COUNTIF($T$110:T129,$T$111),"")</f>
        <v>19</v>
      </c>
      <c r="V129" s="425" t="str">
        <f t="shared" si="42"/>
        <v xml:space="preserve"> </v>
      </c>
      <c r="W129" s="538" t="str">
        <f t="shared" si="30"/>
        <v/>
      </c>
      <c r="X129" s="425">
        <v>19</v>
      </c>
      <c r="Y129" s="425" t="str">
        <f t="shared" si="36"/>
        <v xml:space="preserve"> </v>
      </c>
      <c r="Z129" s="425" t="str">
        <f t="shared" si="32"/>
        <v/>
      </c>
      <c r="AA129" s="425" t="str">
        <f t="shared" si="43"/>
        <v/>
      </c>
      <c r="AB129" s="425"/>
      <c r="AC129" s="425"/>
      <c r="AD129" s="425"/>
      <c r="AE129" s="250"/>
      <c r="AF129" s="250"/>
      <c r="AG129" s="250"/>
      <c r="AH129" s="250"/>
    </row>
    <row r="130" spans="1:34" s="503" customFormat="1" ht="8.1" hidden="1" customHeight="1" x14ac:dyDescent="0.2">
      <c r="B130" s="512"/>
      <c r="C130" s="512"/>
      <c r="D130" s="512"/>
      <c r="E130" s="512"/>
      <c r="F130" s="512"/>
      <c r="G130" s="512"/>
      <c r="H130" s="512"/>
      <c r="I130" s="512"/>
      <c r="J130" s="512"/>
      <c r="K130" s="512"/>
      <c r="L130" s="512"/>
      <c r="M130" s="512"/>
      <c r="N130" s="512"/>
      <c r="S130" s="250"/>
      <c r="T130" s="530" t="str">
        <f t="shared" si="41"/>
        <v>b</v>
      </c>
      <c r="U130" s="425">
        <f>IFERROR(COUNTIF($T$110:T130,$T$111),"")</f>
        <v>20</v>
      </c>
      <c r="V130" s="425" t="str">
        <f t="shared" si="42"/>
        <v xml:space="preserve"> </v>
      </c>
      <c r="W130" s="538" t="str">
        <f t="shared" si="30"/>
        <v/>
      </c>
      <c r="X130" s="425">
        <v>20</v>
      </c>
      <c r="Y130" s="425" t="str">
        <f t="shared" si="36"/>
        <v xml:space="preserve"> </v>
      </c>
      <c r="Z130" s="425" t="str">
        <f t="shared" si="32"/>
        <v/>
      </c>
      <c r="AA130" s="425" t="str">
        <f t="shared" si="43"/>
        <v/>
      </c>
      <c r="AB130" s="425"/>
      <c r="AC130" s="425"/>
      <c r="AD130" s="425"/>
      <c r="AE130" s="250"/>
      <c r="AF130" s="250"/>
      <c r="AG130" s="250"/>
      <c r="AH130" s="250"/>
    </row>
    <row r="131" spans="1:34" s="503" customFormat="1" ht="30" hidden="1" customHeight="1" x14ac:dyDescent="0.2">
      <c r="A131" s="136"/>
      <c r="B131" s="1751" t="s">
        <v>4877</v>
      </c>
      <c r="C131" s="1752"/>
      <c r="D131" s="1752"/>
      <c r="E131" s="1752"/>
      <c r="F131" s="1752"/>
      <c r="G131" s="1752"/>
      <c r="H131" s="1752"/>
      <c r="I131" s="1752"/>
      <c r="J131" s="1752"/>
      <c r="K131" s="1752"/>
      <c r="L131" s="1753"/>
      <c r="M131" s="1758"/>
      <c r="N131" s="1755"/>
      <c r="S131" s="250"/>
      <c r="T131" s="530" t="str">
        <f t="shared" si="41"/>
        <v>b</v>
      </c>
      <c r="U131" s="425">
        <f>IFERROR(COUNTIF($T$110:T131,$T$111),"")</f>
        <v>21</v>
      </c>
      <c r="V131" s="425" t="str">
        <f t="shared" si="42"/>
        <v xml:space="preserve"> </v>
      </c>
      <c r="W131" s="538" t="str">
        <f t="shared" si="30"/>
        <v/>
      </c>
      <c r="X131" s="425">
        <v>21</v>
      </c>
      <c r="Y131" s="425" t="str">
        <f t="shared" si="36"/>
        <v xml:space="preserve"> </v>
      </c>
      <c r="Z131" s="425" t="str">
        <f t="shared" si="32"/>
        <v/>
      </c>
      <c r="AA131" s="425" t="str">
        <f t="shared" si="43"/>
        <v/>
      </c>
      <c r="AB131" s="425"/>
      <c r="AC131" s="425"/>
      <c r="AD131" s="425"/>
      <c r="AE131" s="250"/>
      <c r="AF131" s="250"/>
      <c r="AG131" s="250"/>
      <c r="AH131" s="250"/>
    </row>
    <row r="132" spans="1:34" s="503" customFormat="1" ht="30" hidden="1" customHeight="1" x14ac:dyDescent="0.2">
      <c r="B132" s="1751" t="s">
        <v>4878</v>
      </c>
      <c r="C132" s="1752"/>
      <c r="D132" s="1752"/>
      <c r="E132" s="1752"/>
      <c r="F132" s="1752"/>
      <c r="G132" s="1752"/>
      <c r="H132" s="1752"/>
      <c r="I132" s="1752"/>
      <c r="J132" s="1752"/>
      <c r="K132" s="1752"/>
      <c r="L132" s="1753"/>
      <c r="M132" s="1758"/>
      <c r="N132" s="1755"/>
      <c r="S132" s="250"/>
      <c r="T132" s="530" t="str">
        <f t="shared" si="41"/>
        <v>b</v>
      </c>
      <c r="U132" s="425">
        <f>IFERROR(COUNTIF($T$110:T132,$T$111),"")</f>
        <v>22</v>
      </c>
      <c r="V132" s="425" t="str">
        <f t="shared" si="42"/>
        <v xml:space="preserve"> </v>
      </c>
      <c r="W132" s="538" t="str">
        <f t="shared" si="30"/>
        <v/>
      </c>
      <c r="X132" s="425">
        <v>22</v>
      </c>
      <c r="Y132" s="425" t="str">
        <f t="shared" si="36"/>
        <v xml:space="preserve"> </v>
      </c>
      <c r="Z132" s="425" t="str">
        <f t="shared" si="32"/>
        <v/>
      </c>
      <c r="AA132" s="425" t="str">
        <f t="shared" si="43"/>
        <v/>
      </c>
      <c r="AB132" s="425"/>
      <c r="AC132" s="425"/>
      <c r="AD132" s="425"/>
      <c r="AE132" s="250"/>
      <c r="AF132" s="250"/>
      <c r="AG132" s="250"/>
      <c r="AH132" s="250"/>
    </row>
    <row r="133" spans="1:34" s="503" customFormat="1" ht="30" hidden="1" customHeight="1" x14ac:dyDescent="0.2">
      <c r="A133" s="136"/>
      <c r="B133" s="1751" t="s">
        <v>4879</v>
      </c>
      <c r="C133" s="1752"/>
      <c r="D133" s="1752"/>
      <c r="E133" s="1752"/>
      <c r="F133" s="1752"/>
      <c r="G133" s="1752"/>
      <c r="H133" s="1752"/>
      <c r="I133" s="1752"/>
      <c r="J133" s="1752"/>
      <c r="K133" s="1752"/>
      <c r="L133" s="1753"/>
      <c r="M133" s="1758"/>
      <c r="N133" s="1755"/>
      <c r="S133" s="250"/>
      <c r="T133" s="530" t="str">
        <f t="shared" si="41"/>
        <v>b</v>
      </c>
      <c r="U133" s="425">
        <f>IFERROR(COUNTIF($T$110:T133,$T$111),"")</f>
        <v>23</v>
      </c>
      <c r="V133" s="425" t="str">
        <f t="shared" si="42"/>
        <v xml:space="preserve"> </v>
      </c>
      <c r="W133" s="538" t="str">
        <f t="shared" si="30"/>
        <v/>
      </c>
      <c r="X133" s="425">
        <v>23</v>
      </c>
      <c r="Y133" s="425" t="str">
        <f t="shared" si="36"/>
        <v xml:space="preserve"> </v>
      </c>
      <c r="Z133" s="425" t="str">
        <f t="shared" si="32"/>
        <v/>
      </c>
      <c r="AA133" s="425" t="str">
        <f t="shared" si="43"/>
        <v/>
      </c>
      <c r="AB133" s="425"/>
      <c r="AC133" s="425"/>
      <c r="AD133" s="425"/>
      <c r="AE133" s="250"/>
      <c r="AF133" s="250"/>
      <c r="AG133" s="250"/>
      <c r="AH133" s="250"/>
    </row>
    <row r="134" spans="1:34" s="503" customFormat="1" ht="8.1" hidden="1" customHeight="1" x14ac:dyDescent="0.2">
      <c r="B134" s="513"/>
      <c r="C134" s="513"/>
      <c r="D134" s="513"/>
      <c r="E134" s="513"/>
      <c r="F134" s="513"/>
      <c r="G134" s="513"/>
      <c r="H134" s="513"/>
      <c r="I134" s="513"/>
      <c r="J134" s="513"/>
      <c r="K134" s="513"/>
      <c r="L134" s="513"/>
      <c r="M134" s="514"/>
      <c r="N134" s="452"/>
      <c r="S134" s="250"/>
      <c r="T134" s="530" t="str">
        <f t="shared" si="41"/>
        <v>b</v>
      </c>
      <c r="U134" s="425">
        <f>IFERROR(COUNTIF($T$110:T134,$T$111),"")</f>
        <v>24</v>
      </c>
      <c r="V134" s="425" t="str">
        <f t="shared" si="42"/>
        <v xml:space="preserve"> </v>
      </c>
      <c r="W134" s="538" t="str">
        <f t="shared" si="30"/>
        <v/>
      </c>
      <c r="X134" s="425">
        <v>24</v>
      </c>
      <c r="Y134" s="425" t="str">
        <f t="shared" si="36"/>
        <v xml:space="preserve"> </v>
      </c>
      <c r="Z134" s="425" t="str">
        <f t="shared" si="32"/>
        <v/>
      </c>
      <c r="AA134" s="425" t="str">
        <f t="shared" si="43"/>
        <v/>
      </c>
      <c r="AB134" s="425"/>
      <c r="AC134" s="425"/>
      <c r="AD134" s="425"/>
      <c r="AE134" s="250"/>
      <c r="AF134" s="250"/>
      <c r="AG134" s="250"/>
      <c r="AH134" s="250"/>
    </row>
    <row r="135" spans="1:34" s="503" customFormat="1" ht="30" hidden="1" customHeight="1" x14ac:dyDescent="0.2">
      <c r="A135" s="136"/>
      <c r="B135" s="1746" t="s">
        <v>4882</v>
      </c>
      <c r="C135" s="1747"/>
      <c r="D135" s="1747"/>
      <c r="E135" s="1747"/>
      <c r="F135" s="1747"/>
      <c r="G135" s="1747"/>
      <c r="H135" s="1747"/>
      <c r="I135" s="1747"/>
      <c r="J135" s="1747"/>
      <c r="K135" s="1747"/>
      <c r="L135" s="1748"/>
      <c r="M135" s="1749" t="str">
        <f>IFERROR(IF(OR(M131="",M132="",M133=""),"",SUM(M131:N133)),"")</f>
        <v/>
      </c>
      <c r="N135" s="1750"/>
      <c r="S135" s="250"/>
      <c r="T135" s="530" t="str">
        <f t="shared" si="41"/>
        <v>b</v>
      </c>
      <c r="U135" s="425">
        <f>IFERROR(COUNTIF($T$110:T135,$T$111),"")</f>
        <v>25</v>
      </c>
      <c r="V135" s="425" t="str">
        <f t="shared" si="42"/>
        <v xml:space="preserve"> </v>
      </c>
      <c r="W135" s="538" t="str">
        <f t="shared" si="30"/>
        <v/>
      </c>
      <c r="X135" s="425">
        <v>25</v>
      </c>
      <c r="Y135" s="425" t="str">
        <f t="shared" si="36"/>
        <v xml:space="preserve"> </v>
      </c>
      <c r="Z135" s="425" t="str">
        <f t="shared" si="32"/>
        <v/>
      </c>
      <c r="AA135" s="425" t="str">
        <f t="shared" si="43"/>
        <v/>
      </c>
      <c r="AB135" s="425"/>
      <c r="AC135" s="425"/>
      <c r="AD135" s="425"/>
      <c r="AE135" s="250"/>
      <c r="AF135" s="250"/>
      <c r="AG135" s="250"/>
      <c r="AH135" s="250"/>
    </row>
    <row r="136" spans="1:34" s="503" customFormat="1" ht="8.1" hidden="1" customHeight="1" x14ac:dyDescent="0.2">
      <c r="B136" s="513"/>
      <c r="C136" s="513"/>
      <c r="D136" s="513"/>
      <c r="E136" s="513"/>
      <c r="F136" s="513"/>
      <c r="G136" s="513"/>
      <c r="H136" s="513"/>
      <c r="I136" s="513"/>
      <c r="J136" s="513"/>
      <c r="K136" s="513"/>
      <c r="L136" s="513"/>
      <c r="M136" s="514"/>
      <c r="N136" s="452"/>
      <c r="S136" s="250"/>
      <c r="T136" s="530" t="str">
        <f t="shared" si="41"/>
        <v>b</v>
      </c>
      <c r="U136" s="425">
        <f>IFERROR(COUNTIF($T$110:T136,$T$111),"")</f>
        <v>26</v>
      </c>
      <c r="V136" s="425" t="str">
        <f t="shared" si="42"/>
        <v xml:space="preserve"> </v>
      </c>
      <c r="W136" s="538" t="str">
        <f t="shared" si="30"/>
        <v/>
      </c>
      <c r="X136" s="425">
        <v>26</v>
      </c>
      <c r="Y136" s="425" t="str">
        <f t="shared" si="36"/>
        <v xml:space="preserve"> </v>
      </c>
      <c r="Z136" s="425" t="str">
        <f t="shared" si="32"/>
        <v/>
      </c>
      <c r="AA136" s="425" t="str">
        <f t="shared" si="43"/>
        <v/>
      </c>
      <c r="AB136" s="425"/>
      <c r="AC136" s="425"/>
      <c r="AD136" s="425"/>
      <c r="AE136" s="250"/>
      <c r="AF136" s="250"/>
      <c r="AG136" s="250"/>
      <c r="AH136" s="250"/>
    </row>
    <row r="137" spans="1:34" s="503" customFormat="1" ht="30" hidden="1" customHeight="1" x14ac:dyDescent="0.2">
      <c r="A137" s="136"/>
      <c r="B137" s="1746" t="s">
        <v>4883</v>
      </c>
      <c r="C137" s="1747"/>
      <c r="D137" s="1747"/>
      <c r="E137" s="1747"/>
      <c r="F137" s="1747"/>
      <c r="G137" s="1747"/>
      <c r="H137" s="1747"/>
      <c r="I137" s="1747"/>
      <c r="J137" s="1747"/>
      <c r="K137" s="1747"/>
      <c r="L137" s="1748"/>
      <c r="M137" s="1749" t="str">
        <f>IFERROR(IF(OR(M135="",N127=""),"",N127+M135),"")</f>
        <v/>
      </c>
      <c r="N137" s="1750"/>
      <c r="S137" s="250"/>
      <c r="T137" s="530" t="str">
        <f t="shared" si="41"/>
        <v>b</v>
      </c>
      <c r="U137" s="425">
        <f>IFERROR(COUNTIF($T$110:T137,$T$111),"")</f>
        <v>27</v>
      </c>
      <c r="V137" s="425" t="str">
        <f t="shared" si="42"/>
        <v xml:space="preserve"> </v>
      </c>
      <c r="W137" s="538" t="str">
        <f t="shared" si="30"/>
        <v/>
      </c>
      <c r="X137" s="425">
        <v>27</v>
      </c>
      <c r="Y137" s="425" t="str">
        <f t="shared" si="36"/>
        <v xml:space="preserve"> </v>
      </c>
      <c r="Z137" s="425" t="str">
        <f t="shared" si="32"/>
        <v/>
      </c>
      <c r="AA137" s="425" t="str">
        <f t="shared" si="43"/>
        <v/>
      </c>
      <c r="AB137" s="425"/>
      <c r="AC137" s="425"/>
      <c r="AD137" s="425"/>
      <c r="AE137" s="250"/>
      <c r="AF137" s="250"/>
      <c r="AG137" s="250"/>
      <c r="AH137" s="250"/>
    </row>
    <row r="138" spans="1:34" s="503" customFormat="1" ht="20.100000000000001" hidden="1" customHeight="1" x14ac:dyDescent="0.2">
      <c r="B138" s="514"/>
      <c r="C138" s="514"/>
      <c r="D138" s="514"/>
      <c r="E138" s="514"/>
      <c r="F138" s="514"/>
      <c r="G138" s="514"/>
      <c r="H138" s="514"/>
      <c r="I138" s="514"/>
      <c r="J138" s="514"/>
      <c r="K138" s="514"/>
      <c r="L138" s="514"/>
      <c r="M138" s="514"/>
      <c r="N138" s="452"/>
      <c r="S138" s="250"/>
      <c r="T138" s="530" t="str">
        <f t="shared" si="41"/>
        <v>b</v>
      </c>
      <c r="U138" s="425">
        <f>IFERROR(COUNTIF($T$110:T138,$T$111),"")</f>
        <v>28</v>
      </c>
      <c r="V138" s="425" t="str">
        <f t="shared" si="42"/>
        <v xml:space="preserve"> </v>
      </c>
      <c r="W138" s="538" t="str">
        <f t="shared" si="30"/>
        <v/>
      </c>
      <c r="X138" s="425">
        <v>28</v>
      </c>
      <c r="Y138" s="425" t="str">
        <f t="shared" si="36"/>
        <v xml:space="preserve"> </v>
      </c>
      <c r="Z138" s="425" t="str">
        <f t="shared" si="32"/>
        <v/>
      </c>
      <c r="AA138" s="425" t="str">
        <f t="shared" si="43"/>
        <v/>
      </c>
      <c r="AB138" s="425"/>
      <c r="AC138" s="425"/>
      <c r="AD138" s="425"/>
      <c r="AE138" s="250"/>
      <c r="AF138" s="250"/>
      <c r="AG138" s="250"/>
      <c r="AH138" s="250"/>
    </row>
    <row r="139" spans="1:34" s="503" customFormat="1" ht="23.25" hidden="1" customHeight="1" x14ac:dyDescent="0.2">
      <c r="A139" s="136"/>
      <c r="B139" s="1196" t="s">
        <v>378</v>
      </c>
      <c r="C139" s="1196"/>
      <c r="D139" s="1196"/>
      <c r="E139" s="1196"/>
      <c r="F139" s="1196"/>
      <c r="G139" s="1197" t="s">
        <v>4871</v>
      </c>
      <c r="H139" s="1197"/>
      <c r="I139" s="1196" t="s">
        <v>107</v>
      </c>
      <c r="J139" s="1196"/>
      <c r="K139" s="1197" t="s">
        <v>398</v>
      </c>
      <c r="L139" s="1197"/>
      <c r="M139" s="1197" t="s">
        <v>4759</v>
      </c>
      <c r="N139" s="1197" t="s">
        <v>4760</v>
      </c>
      <c r="S139" s="250"/>
      <c r="T139" s="530" t="str">
        <f t="shared" si="41"/>
        <v>b</v>
      </c>
      <c r="U139" s="425">
        <f>IFERROR(COUNTIF($T$110:T139,$T$111),"")</f>
        <v>29</v>
      </c>
      <c r="V139" s="425" t="str">
        <f t="shared" si="42"/>
        <v xml:space="preserve"> </v>
      </c>
      <c r="W139" s="538" t="str">
        <f t="shared" si="30"/>
        <v/>
      </c>
      <c r="X139" s="425">
        <v>29</v>
      </c>
      <c r="Y139" s="425" t="str">
        <f t="shared" si="36"/>
        <v xml:space="preserve"> </v>
      </c>
      <c r="Z139" s="425" t="str">
        <f t="shared" si="32"/>
        <v/>
      </c>
      <c r="AA139" s="425" t="str">
        <f t="shared" si="43"/>
        <v/>
      </c>
      <c r="AB139" s="425"/>
      <c r="AC139" s="425"/>
      <c r="AD139" s="425"/>
      <c r="AE139" s="250"/>
      <c r="AF139" s="250"/>
      <c r="AG139" s="250"/>
      <c r="AH139" s="250"/>
    </row>
    <row r="140" spans="1:34" s="503" customFormat="1" ht="27" hidden="1" customHeight="1" x14ac:dyDescent="0.2">
      <c r="B140" s="1197" t="s">
        <v>4872</v>
      </c>
      <c r="C140" s="1197"/>
      <c r="D140" s="1197"/>
      <c r="E140" s="1197" t="s">
        <v>116</v>
      </c>
      <c r="F140" s="1197"/>
      <c r="G140" s="1197"/>
      <c r="H140" s="1197"/>
      <c r="I140" s="1197" t="s">
        <v>108</v>
      </c>
      <c r="J140" s="1196" t="s">
        <v>109</v>
      </c>
      <c r="K140" s="1197" t="s">
        <v>108</v>
      </c>
      <c r="L140" s="1197" t="s">
        <v>109</v>
      </c>
      <c r="M140" s="1197"/>
      <c r="N140" s="1197"/>
      <c r="S140" s="250"/>
      <c r="T140" s="530" t="str">
        <f t="shared" si="41"/>
        <v>b</v>
      </c>
      <c r="U140" s="425">
        <f>IFERROR(COUNTIF($T$110:T140,$T$111),"")</f>
        <v>30</v>
      </c>
      <c r="V140" s="425" t="str">
        <f t="shared" si="42"/>
        <v xml:space="preserve"> </v>
      </c>
      <c r="W140" s="538" t="str">
        <f t="shared" si="30"/>
        <v/>
      </c>
      <c r="X140" s="425">
        <v>30</v>
      </c>
      <c r="Y140" s="425" t="str">
        <f t="shared" si="36"/>
        <v xml:space="preserve"> </v>
      </c>
      <c r="Z140" s="425" t="str">
        <f t="shared" si="32"/>
        <v/>
      </c>
      <c r="AA140" s="425" t="str">
        <f t="shared" si="43"/>
        <v/>
      </c>
      <c r="AB140" s="425"/>
      <c r="AC140" s="425"/>
      <c r="AD140" s="425"/>
      <c r="AE140" s="250"/>
      <c r="AF140" s="250"/>
      <c r="AG140" s="250"/>
      <c r="AH140" s="250"/>
    </row>
    <row r="141" spans="1:34" s="503" customFormat="1" ht="12.75" hidden="1" customHeight="1" x14ac:dyDescent="0.2">
      <c r="A141" s="136"/>
      <c r="B141" s="1197"/>
      <c r="C141" s="1197"/>
      <c r="D141" s="1197"/>
      <c r="E141" s="1197"/>
      <c r="F141" s="1197"/>
      <c r="G141" s="1197"/>
      <c r="H141" s="1197"/>
      <c r="I141" s="1197"/>
      <c r="J141" s="1196"/>
      <c r="K141" s="1197"/>
      <c r="L141" s="1197"/>
      <c r="M141" s="1197"/>
      <c r="N141" s="1197"/>
      <c r="S141" s="250"/>
      <c r="T141" s="530" t="str">
        <f t="shared" si="41"/>
        <v>b</v>
      </c>
      <c r="U141" s="425">
        <f>IFERROR(COUNTIF($T$110:T141,$T$111),"")</f>
        <v>31</v>
      </c>
      <c r="V141" s="425" t="str">
        <f t="shared" si="42"/>
        <v xml:space="preserve"> </v>
      </c>
      <c r="W141" s="538" t="str">
        <f t="shared" si="30"/>
        <v/>
      </c>
      <c r="X141" s="425"/>
      <c r="Y141" s="425" t="str">
        <f t="shared" ref="Y141:Y146" si="44">IF(U141="","1","2")</f>
        <v>2</v>
      </c>
      <c r="Z141" s="425">
        <f>COUNTIF($Y$20:Y141,$Y$21)</f>
        <v>60</v>
      </c>
      <c r="AA141" s="425" t="str">
        <f t="shared" si="43"/>
        <v/>
      </c>
      <c r="AB141" s="425"/>
      <c r="AC141" s="425"/>
      <c r="AD141" s="425"/>
      <c r="AE141" s="250"/>
      <c r="AF141" s="250"/>
      <c r="AG141" s="250"/>
      <c r="AH141" s="250"/>
    </row>
    <row r="142" spans="1:34" s="503" customFormat="1" ht="8.1" hidden="1" customHeight="1" x14ac:dyDescent="0.2">
      <c r="S142" s="250"/>
      <c r="T142" s="530" t="str">
        <f t="shared" si="41"/>
        <v>b</v>
      </c>
      <c r="U142" s="425">
        <f>IFERROR(COUNTIF($T$110:T142,$T$111),"")</f>
        <v>32</v>
      </c>
      <c r="V142" s="425" t="str">
        <f t="shared" si="42"/>
        <v xml:space="preserve"> </v>
      </c>
      <c r="W142" s="538" t="str">
        <f t="shared" si="30"/>
        <v/>
      </c>
      <c r="X142" s="425"/>
      <c r="Y142" s="425" t="str">
        <f t="shared" si="44"/>
        <v>2</v>
      </c>
      <c r="Z142" s="425">
        <f>COUNTIF($Y$20:Y142,$Y$21)</f>
        <v>60</v>
      </c>
      <c r="AA142" s="425" t="str">
        <f t="shared" si="43"/>
        <v/>
      </c>
      <c r="AB142" s="425"/>
      <c r="AC142" s="425"/>
      <c r="AD142" s="425"/>
      <c r="AE142" s="250"/>
      <c r="AF142" s="250"/>
      <c r="AG142" s="250"/>
      <c r="AH142" s="250"/>
    </row>
    <row r="143" spans="1:34" s="503" customFormat="1" ht="24.95" hidden="1" customHeight="1" x14ac:dyDescent="0.2">
      <c r="A143" s="136"/>
      <c r="B143" s="448" t="s">
        <v>4874</v>
      </c>
      <c r="C143" s="449"/>
      <c r="D143" s="449" t="s">
        <v>227</v>
      </c>
      <c r="E143" s="449"/>
      <c r="F143" s="449"/>
      <c r="G143" s="449"/>
      <c r="H143" s="449"/>
      <c r="I143" s="449"/>
      <c r="J143" s="449"/>
      <c r="K143" s="449"/>
      <c r="L143" s="449"/>
      <c r="M143" s="449"/>
      <c r="N143" s="450">
        <f>COUNTIF('ANALISIS TÉCNICO'!F126:G155,'COSTO TOTAL'!D143)</f>
        <v>0</v>
      </c>
      <c r="S143" s="250"/>
      <c r="T143" s="530" t="str">
        <f t="shared" si="41"/>
        <v>b</v>
      </c>
      <c r="U143" s="425">
        <f>IFERROR(COUNTIF($T$110:T143,$T$111),"")</f>
        <v>33</v>
      </c>
      <c r="V143" s="425" t="str">
        <f t="shared" si="42"/>
        <v xml:space="preserve"> </v>
      </c>
      <c r="W143" s="538" t="str">
        <f t="shared" si="30"/>
        <v/>
      </c>
      <c r="X143" s="425"/>
      <c r="Y143" s="425" t="str">
        <f t="shared" si="44"/>
        <v>2</v>
      </c>
      <c r="Z143" s="425">
        <f>COUNTIF($Y$20:Y143,$Y$21)</f>
        <v>60</v>
      </c>
      <c r="AA143" s="425" t="str">
        <f t="shared" si="43"/>
        <v/>
      </c>
      <c r="AB143" s="425"/>
      <c r="AC143" s="425"/>
      <c r="AD143" s="425"/>
      <c r="AE143" s="250"/>
      <c r="AF143" s="250"/>
      <c r="AG143" s="250"/>
      <c r="AH143" s="250"/>
    </row>
    <row r="144" spans="1:34" s="503" customFormat="1" ht="60" hidden="1" customHeight="1" x14ac:dyDescent="0.2">
      <c r="B144" s="1248" t="str">
        <f>IFERROR(INDEX('ANALISIS TÉCNICO'!$B$126:$N$155,MATCH(1,'ANALISIS TÉCNICO'!$N$126:$N$155,0),1),"")</f>
        <v/>
      </c>
      <c r="C144" s="1248"/>
      <c r="D144" s="1248"/>
      <c r="E144" s="1250" t="str">
        <f>IFERROR(INDEX('ANALISIS TÉCNICO'!$B$126:$N$155,MATCH(1,'ANALISIS TÉCNICO'!$N$126:$N$155,0),3),"")</f>
        <v/>
      </c>
      <c r="F144" s="1252"/>
      <c r="G144" s="1250" t="str">
        <f>IFERROR(IF(B144="","",$D$53),"")</f>
        <v/>
      </c>
      <c r="H144" s="1252"/>
      <c r="I144" s="457" t="str">
        <f>IFERROR(INDEX('ANALISIS TÉCNICO'!$B$126:$N$155,MATCH(1,'ANALISIS TÉCNICO'!$N$126:$N$155,0),7),"")</f>
        <v/>
      </c>
      <c r="J144" s="457" t="str">
        <f>IFERROR(INDEX('ANALISIS TÉCNICO'!$B$126:$N$155,MATCH(1,'ANALISIS TÉCNICO'!$N$126:$N$155,0),8),"")</f>
        <v/>
      </c>
      <c r="K144" s="504"/>
      <c r="L144" s="515"/>
      <c r="M144" s="273"/>
      <c r="N144" s="266" t="str">
        <f t="shared" ref="N144:N171" si="45">IFERROR(IF(G144="","",IF(G144="Infraestructura",M144*L144,M144*J144)),"")</f>
        <v/>
      </c>
      <c r="S144" s="250"/>
      <c r="T144" s="530" t="str">
        <f t="shared" si="41"/>
        <v>b</v>
      </c>
      <c r="U144" s="425">
        <f>IFERROR(COUNTIF($T$110:T144,$T$111),"")</f>
        <v>34</v>
      </c>
      <c r="V144" s="425" t="str">
        <f t="shared" si="42"/>
        <v xml:space="preserve"> </v>
      </c>
      <c r="W144" s="538" t="str">
        <f t="shared" si="30"/>
        <v/>
      </c>
      <c r="X144" s="425"/>
      <c r="Y144" s="425" t="str">
        <f t="shared" si="44"/>
        <v>2</v>
      </c>
      <c r="Z144" s="425">
        <f>COUNTIF($Y$20:Y144,$Y$21)</f>
        <v>60</v>
      </c>
      <c r="AA144" s="425" t="str">
        <f t="shared" si="43"/>
        <v/>
      </c>
      <c r="AB144" s="425"/>
      <c r="AC144" s="425"/>
      <c r="AD144" s="425"/>
      <c r="AE144" s="250"/>
      <c r="AF144" s="250"/>
      <c r="AG144" s="250"/>
      <c r="AH144" s="250"/>
    </row>
    <row r="145" spans="1:34" s="503" customFormat="1" ht="60" hidden="1" customHeight="1" x14ac:dyDescent="0.2">
      <c r="A145" s="136"/>
      <c r="B145" s="1248" t="str">
        <f>IFERROR(INDEX('ANALISIS TÉCNICO'!$B$126:$N$155,MATCH(2,'ANALISIS TÉCNICO'!$N$126:$N$155,0),1),"")</f>
        <v/>
      </c>
      <c r="C145" s="1248"/>
      <c r="D145" s="1248"/>
      <c r="E145" s="1250" t="str">
        <f>IFERROR(INDEX('ANALISIS TÉCNICO'!$B$126:$N$155,MATCH(2,'ANALISIS TÉCNICO'!$N$126:$N$155,0),3),"")</f>
        <v/>
      </c>
      <c r="F145" s="1252"/>
      <c r="G145" s="1250" t="str">
        <f t="shared" ref="G145:G164" si="46">IFERROR(IF(B145="","",$D$53),"")</f>
        <v/>
      </c>
      <c r="H145" s="1252"/>
      <c r="I145" s="457" t="str">
        <f>IFERROR(INDEX('ANALISIS TÉCNICO'!$B$126:$N$155,MATCH(2,'ANALISIS TÉCNICO'!$N$126:$N$155,0),7),"")</f>
        <v/>
      </c>
      <c r="J145" s="457" t="str">
        <f>IFERROR(INDEX('ANALISIS TÉCNICO'!$B$126:$N$155,MATCH(2,'ANALISIS TÉCNICO'!$N$126:$N$155,0),8),"")</f>
        <v/>
      </c>
      <c r="K145" s="504"/>
      <c r="L145" s="515"/>
      <c r="M145" s="273"/>
      <c r="N145" s="266" t="str">
        <f t="shared" si="45"/>
        <v/>
      </c>
      <c r="S145" s="250"/>
      <c r="T145" s="530" t="str">
        <f t="shared" si="41"/>
        <v>b</v>
      </c>
      <c r="U145" s="425">
        <f>IFERROR(COUNTIF($T$110:T145,$T$111),"")</f>
        <v>35</v>
      </c>
      <c r="V145" s="425" t="str">
        <f t="shared" si="42"/>
        <v xml:space="preserve"> </v>
      </c>
      <c r="W145" s="538" t="str">
        <f t="shared" si="30"/>
        <v/>
      </c>
      <c r="X145" s="425"/>
      <c r="Y145" s="425" t="str">
        <f t="shared" si="44"/>
        <v>2</v>
      </c>
      <c r="Z145" s="425">
        <f>COUNTIF($Y$20:Y145,$Y$21)</f>
        <v>60</v>
      </c>
      <c r="AA145" s="425" t="str">
        <f t="shared" si="43"/>
        <v/>
      </c>
      <c r="AB145" s="425"/>
      <c r="AC145" s="425"/>
      <c r="AD145" s="425"/>
      <c r="AE145" s="250"/>
      <c r="AF145" s="250"/>
      <c r="AG145" s="250"/>
      <c r="AH145" s="250"/>
    </row>
    <row r="146" spans="1:34" s="503" customFormat="1" ht="60" hidden="1" customHeight="1" x14ac:dyDescent="0.2">
      <c r="B146" s="1248" t="str">
        <f>IFERROR(INDEX('ANALISIS TÉCNICO'!$B$126:$N$155,MATCH(3,'ANALISIS TÉCNICO'!$N$126:$N$155,0),1),"")</f>
        <v/>
      </c>
      <c r="C146" s="1248"/>
      <c r="D146" s="1248"/>
      <c r="E146" s="1250" t="str">
        <f>IFERROR(INDEX('ANALISIS TÉCNICO'!$B$126:$N$155,MATCH(3,'ANALISIS TÉCNICO'!$N$126:$N$155,0),3),"")</f>
        <v/>
      </c>
      <c r="F146" s="1252"/>
      <c r="G146" s="1250" t="str">
        <f t="shared" si="46"/>
        <v/>
      </c>
      <c r="H146" s="1252"/>
      <c r="I146" s="457" t="str">
        <f>IFERROR(INDEX('ANALISIS TÉCNICO'!$B$126:$N$155,MATCH(3,'ANALISIS TÉCNICO'!$N$126:$N$155,0),7),"")</f>
        <v/>
      </c>
      <c r="J146" s="457" t="str">
        <f>IFERROR(INDEX('ANALISIS TÉCNICO'!$B$126:$N$155,MATCH(3,'ANALISIS TÉCNICO'!$N$126:$N$155,0),8),"")</f>
        <v/>
      </c>
      <c r="K146" s="504"/>
      <c r="L146" s="515"/>
      <c r="M146" s="273"/>
      <c r="N146" s="266" t="str">
        <f t="shared" si="45"/>
        <v/>
      </c>
      <c r="S146" s="250"/>
      <c r="T146" s="530" t="str">
        <f t="shared" si="41"/>
        <v>b</v>
      </c>
      <c r="U146" s="425">
        <f>IFERROR(COUNTIF($T$110:T146,$T$111),"")</f>
        <v>36</v>
      </c>
      <c r="V146" s="425" t="str">
        <f t="shared" si="42"/>
        <v xml:space="preserve"> </v>
      </c>
      <c r="W146" s="538" t="str">
        <f t="shared" si="30"/>
        <v/>
      </c>
      <c r="X146" s="425"/>
      <c r="Y146" s="425" t="str">
        <f t="shared" si="44"/>
        <v>2</v>
      </c>
      <c r="Z146" s="425">
        <f>COUNTIF($Y$20:Y146,$Y$21)</f>
        <v>60</v>
      </c>
      <c r="AA146" s="425" t="str">
        <f t="shared" si="43"/>
        <v/>
      </c>
      <c r="AB146" s="425"/>
      <c r="AC146" s="425"/>
      <c r="AD146" s="425"/>
      <c r="AE146" s="250"/>
      <c r="AF146" s="250"/>
      <c r="AG146" s="250"/>
      <c r="AH146" s="250"/>
    </row>
    <row r="147" spans="1:34" s="503" customFormat="1" ht="60" hidden="1" customHeight="1" x14ac:dyDescent="0.2">
      <c r="A147" s="136"/>
      <c r="B147" s="1248" t="str">
        <f>IFERROR(INDEX('ANALISIS TÉCNICO'!$B$126:$N$155,MATCH(4,'ANALISIS TÉCNICO'!$N$126:$N$155,0),1),"")</f>
        <v/>
      </c>
      <c r="C147" s="1248"/>
      <c r="D147" s="1248"/>
      <c r="E147" s="1250" t="str">
        <f>IFERROR(INDEX('ANALISIS TÉCNICO'!$B$126:$N$155,MATCH(4,'ANALISIS TÉCNICO'!$N$126:$N$155,0),3),"")</f>
        <v/>
      </c>
      <c r="F147" s="1252"/>
      <c r="G147" s="1250" t="str">
        <f t="shared" si="46"/>
        <v/>
      </c>
      <c r="H147" s="1252"/>
      <c r="I147" s="457" t="str">
        <f>IFERROR(INDEX('ANALISIS TÉCNICO'!$B$126:$N$155,MATCH(4,'ANALISIS TÉCNICO'!$N$126:$N$155,0),7),"")</f>
        <v/>
      </c>
      <c r="J147" s="457" t="str">
        <f>IFERROR(INDEX('ANALISIS TÉCNICO'!$B$126:$N$155,MATCH(4,'ANALISIS TÉCNICO'!$N$126:$N$155,0),8),"")</f>
        <v/>
      </c>
      <c r="K147" s="504"/>
      <c r="L147" s="515"/>
      <c r="M147" s="273"/>
      <c r="N147" s="266" t="str">
        <f t="shared" si="45"/>
        <v/>
      </c>
      <c r="S147" s="250"/>
      <c r="T147" s="530" t="str">
        <f t="shared" ref="T147:T152" si="47">IFERROR(IF(B166="","b","c"),"")</f>
        <v>b</v>
      </c>
      <c r="U147" s="425">
        <f>IFERROR(COUNTIF($T$110:T147,$T$111),"")</f>
        <v>37</v>
      </c>
      <c r="V147" s="425" t="str">
        <f t="shared" ref="V147:V152" si="48">IFERROR(B166&amp;" "&amp;E166,"")</f>
        <v xml:space="preserve"> </v>
      </c>
      <c r="W147" s="538" t="str">
        <f t="shared" si="30"/>
        <v/>
      </c>
      <c r="X147" s="425"/>
      <c r="Y147" s="425"/>
      <c r="Z147" s="425"/>
      <c r="AA147" s="425" t="str">
        <f t="shared" ref="AA147:AA152" si="49">IFERROR(N166/$N$172*$M$180+N166,"")</f>
        <v/>
      </c>
      <c r="AB147" s="425"/>
      <c r="AC147" s="425"/>
      <c r="AD147" s="425"/>
      <c r="AE147" s="250"/>
      <c r="AF147" s="250"/>
      <c r="AG147" s="250"/>
      <c r="AH147" s="250"/>
    </row>
    <row r="148" spans="1:34" s="503" customFormat="1" ht="60" hidden="1" customHeight="1" x14ac:dyDescent="0.2">
      <c r="B148" s="1248" t="str">
        <f>IFERROR(INDEX('ANALISIS TÉCNICO'!$B$126:$N$155,MATCH(5,'ANALISIS TÉCNICO'!$N$126:$N$155,0),1),"")</f>
        <v/>
      </c>
      <c r="C148" s="1248"/>
      <c r="D148" s="1248"/>
      <c r="E148" s="1250" t="str">
        <f>IFERROR(INDEX('ANALISIS TÉCNICO'!$B$126:$N$155,MATCH(5,'ANALISIS TÉCNICO'!$N$126:$N$155,0),3),"")</f>
        <v/>
      </c>
      <c r="F148" s="1252"/>
      <c r="G148" s="1250" t="str">
        <f t="shared" si="46"/>
        <v/>
      </c>
      <c r="H148" s="1252"/>
      <c r="I148" s="457" t="str">
        <f>IFERROR(INDEX('ANALISIS TÉCNICO'!$B$126:$N$155,MATCH(5,'ANALISIS TÉCNICO'!$N$126:$N$155,0),7),"")</f>
        <v/>
      </c>
      <c r="J148" s="457" t="str">
        <f>IFERROR(INDEX('ANALISIS TÉCNICO'!$B$126:$N$155,MATCH(5,'ANALISIS TÉCNICO'!$N$126:$N$155,0),8),"")</f>
        <v/>
      </c>
      <c r="K148" s="504"/>
      <c r="L148" s="515"/>
      <c r="M148" s="273"/>
      <c r="N148" s="266" t="str">
        <f t="shared" si="45"/>
        <v/>
      </c>
      <c r="S148" s="250"/>
      <c r="T148" s="530" t="str">
        <f t="shared" si="47"/>
        <v>b</v>
      </c>
      <c r="U148" s="425">
        <f>IFERROR(COUNTIF($T$110:T148,$T$111),"")</f>
        <v>38</v>
      </c>
      <c r="V148" s="425" t="str">
        <f t="shared" si="48"/>
        <v xml:space="preserve"> </v>
      </c>
      <c r="W148" s="538" t="str">
        <f t="shared" si="30"/>
        <v/>
      </c>
      <c r="X148" s="425"/>
      <c r="Y148" s="425"/>
      <c r="Z148" s="425"/>
      <c r="AA148" s="425" t="str">
        <f t="shared" si="49"/>
        <v/>
      </c>
      <c r="AB148" s="425"/>
      <c r="AC148" s="425"/>
      <c r="AD148" s="425"/>
      <c r="AE148" s="250"/>
      <c r="AF148" s="250"/>
      <c r="AG148" s="250"/>
      <c r="AH148" s="250"/>
    </row>
    <row r="149" spans="1:34" s="503" customFormat="1" ht="60" hidden="1" customHeight="1" x14ac:dyDescent="0.2">
      <c r="A149" s="136"/>
      <c r="B149" s="1248" t="str">
        <f>IFERROR(INDEX('ANALISIS TÉCNICO'!$B$126:$N$155,MATCH(6,'ANALISIS TÉCNICO'!$N$126:$N$155,0),1),"")</f>
        <v/>
      </c>
      <c r="C149" s="1248"/>
      <c r="D149" s="1248"/>
      <c r="E149" s="1250" t="str">
        <f>IFERROR(INDEX('ANALISIS TÉCNICO'!$B$126:$N$155,MATCH(6,'ANALISIS TÉCNICO'!$N$126:$N$155,0),3),"")</f>
        <v/>
      </c>
      <c r="F149" s="1252"/>
      <c r="G149" s="1250" t="str">
        <f t="shared" si="46"/>
        <v/>
      </c>
      <c r="H149" s="1252"/>
      <c r="I149" s="457" t="str">
        <f>IFERROR(INDEX('ANALISIS TÉCNICO'!$B$126:$N$155,MATCH(6,'ANALISIS TÉCNICO'!$N$126:$N$155,0),7),"")</f>
        <v/>
      </c>
      <c r="J149" s="457" t="str">
        <f>IFERROR(INDEX('ANALISIS TÉCNICO'!$B$126:$N$155,MATCH(6,'ANALISIS TÉCNICO'!$N$126:$N$155,0),8),"")</f>
        <v/>
      </c>
      <c r="K149" s="504"/>
      <c r="L149" s="515"/>
      <c r="M149" s="273"/>
      <c r="N149" s="266" t="str">
        <f t="shared" si="45"/>
        <v/>
      </c>
      <c r="S149" s="250"/>
      <c r="T149" s="530" t="str">
        <f t="shared" si="47"/>
        <v>b</v>
      </c>
      <c r="U149" s="425">
        <f>IFERROR(COUNTIF($T$110:T149,$T$111),"")</f>
        <v>39</v>
      </c>
      <c r="V149" s="425" t="str">
        <f t="shared" si="48"/>
        <v xml:space="preserve"> </v>
      </c>
      <c r="W149" s="538" t="str">
        <f t="shared" si="30"/>
        <v/>
      </c>
      <c r="X149" s="425"/>
      <c r="Y149" s="425"/>
      <c r="Z149" s="425"/>
      <c r="AA149" s="425" t="str">
        <f t="shared" si="49"/>
        <v/>
      </c>
      <c r="AB149" s="425"/>
      <c r="AC149" s="425"/>
      <c r="AD149" s="250"/>
      <c r="AE149" s="250"/>
      <c r="AF149" s="250"/>
      <c r="AG149" s="250"/>
      <c r="AH149" s="250"/>
    </row>
    <row r="150" spans="1:34" s="503" customFormat="1" ht="60" hidden="1" customHeight="1" x14ac:dyDescent="0.2">
      <c r="B150" s="1248" t="str">
        <f>IFERROR(INDEX('ANALISIS TÉCNICO'!$B$126:$N$155,MATCH(7,'ANALISIS TÉCNICO'!$N$126:$N$155,0),1),"")</f>
        <v/>
      </c>
      <c r="C150" s="1248"/>
      <c r="D150" s="1248"/>
      <c r="E150" s="1250" t="str">
        <f>IFERROR(INDEX('ANALISIS TÉCNICO'!$B$126:$N$155,MATCH(7,'ANALISIS TÉCNICO'!$N$126:$N$155,0),3),"")</f>
        <v/>
      </c>
      <c r="F150" s="1252"/>
      <c r="G150" s="1250" t="str">
        <f t="shared" si="46"/>
        <v/>
      </c>
      <c r="H150" s="1252"/>
      <c r="I150" s="457" t="str">
        <f>IFERROR(INDEX('ANALISIS TÉCNICO'!$B$126:$N$155,MATCH(7,'ANALISIS TÉCNICO'!$N$126:$N$155,0),7),"")</f>
        <v/>
      </c>
      <c r="J150" s="457" t="str">
        <f>IFERROR(INDEX('ANALISIS TÉCNICO'!$B$126:$N$155,MATCH(7,'ANALISIS TÉCNICO'!$N$126:$N$155,0),8),"")</f>
        <v/>
      </c>
      <c r="K150" s="504"/>
      <c r="L150" s="515"/>
      <c r="M150" s="273"/>
      <c r="N150" s="266" t="str">
        <f t="shared" si="45"/>
        <v/>
      </c>
      <c r="S150" s="250"/>
      <c r="T150" s="530" t="str">
        <f t="shared" si="47"/>
        <v>b</v>
      </c>
      <c r="U150" s="425">
        <f>IFERROR(COUNTIF($T$110:T150,$T$111),"")</f>
        <v>40</v>
      </c>
      <c r="V150" s="425" t="str">
        <f t="shared" si="48"/>
        <v xml:space="preserve"> </v>
      </c>
      <c r="W150" s="538" t="str">
        <f t="shared" si="30"/>
        <v/>
      </c>
      <c r="X150" s="425"/>
      <c r="Y150" s="425"/>
      <c r="Z150" s="425"/>
      <c r="AA150" s="425" t="str">
        <f t="shared" si="49"/>
        <v/>
      </c>
      <c r="AB150" s="425"/>
      <c r="AC150" s="425"/>
      <c r="AD150" s="250"/>
      <c r="AE150" s="250"/>
      <c r="AF150" s="250"/>
      <c r="AG150" s="250"/>
      <c r="AH150" s="250"/>
    </row>
    <row r="151" spans="1:34" s="503" customFormat="1" ht="60" hidden="1" customHeight="1" x14ac:dyDescent="0.2">
      <c r="A151" s="136"/>
      <c r="B151" s="1248" t="str">
        <f>IFERROR(INDEX('ANALISIS TÉCNICO'!$B$126:$N$155,MATCH(8,'ANALISIS TÉCNICO'!$N$126:$N$155,0),1),"")</f>
        <v/>
      </c>
      <c r="C151" s="1248"/>
      <c r="D151" s="1248"/>
      <c r="E151" s="1250" t="str">
        <f>IFERROR(INDEX('ANALISIS TÉCNICO'!$B$126:$N$155,MATCH(8,'ANALISIS TÉCNICO'!$N$126:$N$155,0),3),"")</f>
        <v/>
      </c>
      <c r="F151" s="1252"/>
      <c r="G151" s="1250" t="str">
        <f t="shared" si="46"/>
        <v/>
      </c>
      <c r="H151" s="1252"/>
      <c r="I151" s="457" t="str">
        <f>IFERROR(INDEX('ANALISIS TÉCNICO'!$B$126:$N$155,MATCH(8,'ANALISIS TÉCNICO'!$N$126:$N$155,0),7),"")</f>
        <v/>
      </c>
      <c r="J151" s="457" t="str">
        <f>IFERROR(INDEX('ANALISIS TÉCNICO'!$B$126:$N$155,MATCH(8,'ANALISIS TÉCNICO'!$N$126:$N$155,0),8),"")</f>
        <v/>
      </c>
      <c r="K151" s="504"/>
      <c r="L151" s="515"/>
      <c r="M151" s="273"/>
      <c r="N151" s="266" t="str">
        <f t="shared" si="45"/>
        <v/>
      </c>
      <c r="S151" s="250"/>
      <c r="T151" s="530" t="str">
        <f t="shared" si="47"/>
        <v>b</v>
      </c>
      <c r="U151" s="425">
        <f>IFERROR(COUNTIF($T$110:T151,$T$111),"")</f>
        <v>41</v>
      </c>
      <c r="V151" s="425" t="str">
        <f t="shared" si="48"/>
        <v xml:space="preserve"> </v>
      </c>
      <c r="W151" s="538" t="str">
        <f t="shared" si="30"/>
        <v/>
      </c>
      <c r="X151" s="425"/>
      <c r="Y151" s="425"/>
      <c r="Z151" s="425"/>
      <c r="AA151" s="425" t="str">
        <f t="shared" si="49"/>
        <v/>
      </c>
      <c r="AB151" s="425"/>
      <c r="AC151" s="425"/>
      <c r="AD151" s="250"/>
      <c r="AE151" s="250"/>
      <c r="AF151" s="250"/>
      <c r="AG151" s="250"/>
      <c r="AH151" s="250"/>
    </row>
    <row r="152" spans="1:34" s="503" customFormat="1" ht="60" hidden="1" customHeight="1" x14ac:dyDescent="0.2">
      <c r="B152" s="1248" t="str">
        <f>IFERROR(INDEX('ANALISIS TÉCNICO'!$B$126:$N$155,MATCH(9,'ANALISIS TÉCNICO'!$N$126:$N$155,0),1),"")</f>
        <v/>
      </c>
      <c r="C152" s="1248"/>
      <c r="D152" s="1248"/>
      <c r="E152" s="1250" t="str">
        <f>IFERROR(INDEX('ANALISIS TÉCNICO'!$B$126:$N$155,MATCH(9,'ANALISIS TÉCNICO'!$N$126:$N$155,0),3),"")</f>
        <v/>
      </c>
      <c r="F152" s="1252"/>
      <c r="G152" s="1250" t="str">
        <f t="shared" si="46"/>
        <v/>
      </c>
      <c r="H152" s="1252"/>
      <c r="I152" s="457" t="str">
        <f>IFERROR(INDEX('ANALISIS TÉCNICO'!$B$126:$N$155,MATCH(9,'ANALISIS TÉCNICO'!$N$126:$N$155,0),7),"")</f>
        <v/>
      </c>
      <c r="J152" s="457" t="str">
        <f>IFERROR(INDEX('ANALISIS TÉCNICO'!$B$126:$N$155,MATCH(9,'ANALISIS TÉCNICO'!$N$126:$N$155,0),8),"")</f>
        <v/>
      </c>
      <c r="K152" s="504"/>
      <c r="L152" s="515"/>
      <c r="M152" s="273"/>
      <c r="N152" s="266" t="str">
        <f t="shared" si="45"/>
        <v/>
      </c>
      <c r="S152" s="250"/>
      <c r="T152" s="530" t="str">
        <f t="shared" si="47"/>
        <v>b</v>
      </c>
      <c r="U152" s="425">
        <f>IFERROR(COUNTIF($T$110:T152,$T$111),"")</f>
        <v>42</v>
      </c>
      <c r="V152" s="425" t="str">
        <f t="shared" si="48"/>
        <v xml:space="preserve"> </v>
      </c>
      <c r="W152" s="538" t="str">
        <f t="shared" si="30"/>
        <v/>
      </c>
      <c r="X152" s="425"/>
      <c r="Y152" s="425"/>
      <c r="Z152" s="425"/>
      <c r="AA152" s="425" t="str">
        <f t="shared" si="49"/>
        <v/>
      </c>
      <c r="AB152" s="425"/>
      <c r="AC152" s="425"/>
      <c r="AD152" s="250"/>
      <c r="AE152" s="250"/>
      <c r="AF152" s="250"/>
      <c r="AG152" s="250"/>
      <c r="AH152" s="250"/>
    </row>
    <row r="153" spans="1:34" s="503" customFormat="1" ht="60" hidden="1" customHeight="1" x14ac:dyDescent="0.2">
      <c r="A153" s="136"/>
      <c r="B153" s="1248" t="str">
        <f>IFERROR(INDEX('ANALISIS TÉCNICO'!$B$126:$N$155,MATCH(10,'ANALISIS TÉCNICO'!$N$126:$N$155,0),1),"")</f>
        <v/>
      </c>
      <c r="C153" s="1248"/>
      <c r="D153" s="1248"/>
      <c r="E153" s="1250" t="str">
        <f>IFERROR(INDEX('ANALISIS TÉCNICO'!$B$126:$N$155,MATCH(10,'ANALISIS TÉCNICO'!$N$126:$N$155,0),3),"")</f>
        <v/>
      </c>
      <c r="F153" s="1252"/>
      <c r="G153" s="1250" t="str">
        <f t="shared" si="46"/>
        <v/>
      </c>
      <c r="H153" s="1252"/>
      <c r="I153" s="457" t="str">
        <f>IFERROR(INDEX('ANALISIS TÉCNICO'!$B$126:$N$155,MATCH(10,'ANALISIS TÉCNICO'!$N$126:$N$155,0),7),"")</f>
        <v/>
      </c>
      <c r="J153" s="457" t="str">
        <f>IFERROR(INDEX('ANALISIS TÉCNICO'!$B$126:$N$155,MATCH(10,'ANALISIS TÉCNICO'!$N$126:$N$155,0),8),"")</f>
        <v/>
      </c>
      <c r="K153" s="504"/>
      <c r="L153" s="515"/>
      <c r="M153" s="273"/>
      <c r="N153" s="266" t="str">
        <f t="shared" si="45"/>
        <v/>
      </c>
      <c r="S153" s="250"/>
      <c r="T153" s="425" t="s">
        <v>5620</v>
      </c>
      <c r="U153" s="425" t="str">
        <f>IF(AND(T151="",T152=""),"",IF(T152="","",IF(T151="","",T153)))</f>
        <v/>
      </c>
      <c r="V153" s="250"/>
      <c r="W153" s="250"/>
      <c r="X153" s="250"/>
      <c r="Y153" s="425" t="str">
        <f t="shared" ref="Y153:Y161" si="50">IF(U153="","1","2")</f>
        <v>1</v>
      </c>
      <c r="Z153" s="425">
        <f>COUNTIF($Y$118:Y153,$Y$119)</f>
        <v>23</v>
      </c>
      <c r="AA153" s="425"/>
      <c r="AB153" s="425"/>
      <c r="AC153" s="425"/>
      <c r="AD153" s="250"/>
      <c r="AE153" s="250"/>
      <c r="AF153" s="250"/>
      <c r="AG153" s="250"/>
      <c r="AH153" s="250"/>
    </row>
    <row r="154" spans="1:34" s="503" customFormat="1" ht="60" hidden="1" customHeight="1" x14ac:dyDescent="0.2">
      <c r="B154" s="1248" t="str">
        <f>IFERROR(INDEX('ANALISIS TÉCNICO'!$B$126:$N$155,MATCH(11,'ANALISIS TÉCNICO'!$N$126:$N$155,0),1),"")</f>
        <v/>
      </c>
      <c r="C154" s="1248"/>
      <c r="D154" s="1248"/>
      <c r="E154" s="1250" t="str">
        <f>IFERROR(INDEX('ANALISIS TÉCNICO'!$B$126:$N$155,MATCH(11,'ANALISIS TÉCNICO'!$N$126:$N$155,0),3),"")</f>
        <v/>
      </c>
      <c r="F154" s="1252"/>
      <c r="G154" s="1250" t="str">
        <f t="shared" si="46"/>
        <v/>
      </c>
      <c r="H154" s="1252"/>
      <c r="I154" s="457" t="str">
        <f>IFERROR(INDEX('ANALISIS TÉCNICO'!$B$126:$N$155,MATCH(11,'ANALISIS TÉCNICO'!$N$126:$N$155,0),7),"")</f>
        <v/>
      </c>
      <c r="J154" s="457" t="str">
        <f>IFERROR(INDEX('ANALISIS TÉCNICO'!$B$126:$N$155,MATCH(11,'ANALISIS TÉCNICO'!$N$126:$N$155,0),8),"")</f>
        <v/>
      </c>
      <c r="K154" s="504"/>
      <c r="L154" s="515"/>
      <c r="M154" s="273"/>
      <c r="N154" s="266" t="str">
        <f t="shared" si="45"/>
        <v/>
      </c>
      <c r="S154" s="250"/>
      <c r="T154" s="425"/>
      <c r="U154" s="425"/>
      <c r="V154" s="250"/>
      <c r="W154" s="250"/>
      <c r="X154" s="250"/>
      <c r="Y154" s="425" t="str">
        <f t="shared" si="50"/>
        <v>1</v>
      </c>
      <c r="Z154" s="425">
        <f>COUNTIF($Y$118:Y154,$Y$119)</f>
        <v>23</v>
      </c>
      <c r="AA154" s="425"/>
      <c r="AB154" s="425"/>
      <c r="AC154" s="425"/>
      <c r="AD154" s="250"/>
      <c r="AE154" s="250"/>
      <c r="AF154" s="250"/>
      <c r="AG154" s="250"/>
      <c r="AH154" s="250"/>
    </row>
    <row r="155" spans="1:34" s="503" customFormat="1" ht="60" hidden="1" customHeight="1" x14ac:dyDescent="0.2">
      <c r="A155" s="136"/>
      <c r="B155" s="1248" t="str">
        <f>IFERROR(INDEX('ANALISIS TÉCNICO'!$B$126:$N$155,MATCH(12,'ANALISIS TÉCNICO'!$N$126:$N$155,0),1),"")</f>
        <v/>
      </c>
      <c r="C155" s="1248"/>
      <c r="D155" s="1248"/>
      <c r="E155" s="1250" t="str">
        <f>IFERROR(INDEX('ANALISIS TÉCNICO'!$B$126:$N$155,MATCH(12,'ANALISIS TÉCNICO'!$N$126:$N$155,0),3),"")</f>
        <v/>
      </c>
      <c r="F155" s="1252"/>
      <c r="G155" s="1250" t="str">
        <f t="shared" si="46"/>
        <v/>
      </c>
      <c r="H155" s="1252"/>
      <c r="I155" s="457" t="str">
        <f>IFERROR(INDEX('ANALISIS TÉCNICO'!$B$126:$N$155,MATCH(12,'ANALISIS TÉCNICO'!$N$126:$N$155,0),7),"")</f>
        <v/>
      </c>
      <c r="J155" s="457" t="str">
        <f>IFERROR(INDEX('ANALISIS TÉCNICO'!$B$126:$N$155,MATCH(12,'ANALISIS TÉCNICO'!$N$126:$N$155,0),8),"")</f>
        <v/>
      </c>
      <c r="K155" s="504"/>
      <c r="L155" s="515"/>
      <c r="M155" s="273"/>
      <c r="N155" s="266" t="str">
        <f t="shared" si="45"/>
        <v/>
      </c>
      <c r="S155" s="250"/>
      <c r="T155" s="425" t="s">
        <v>5620</v>
      </c>
      <c r="U155" s="425" t="str">
        <f>IF(AND(T155="",T156=""),T157,IF(T155="",T156,T155))</f>
        <v/>
      </c>
      <c r="V155" s="250"/>
      <c r="W155" s="250"/>
      <c r="X155" s="250"/>
      <c r="Y155" s="425" t="str">
        <f t="shared" si="50"/>
        <v>1</v>
      </c>
      <c r="Z155" s="425">
        <f>COUNTIF($Y$118:Y155,$Y$119)</f>
        <v>23</v>
      </c>
      <c r="AA155" s="425"/>
      <c r="AB155" s="425"/>
      <c r="AC155" s="425"/>
      <c r="AD155" s="250"/>
      <c r="AE155" s="250"/>
      <c r="AF155" s="250"/>
      <c r="AG155" s="250"/>
      <c r="AH155" s="250"/>
    </row>
    <row r="156" spans="1:34" s="503" customFormat="1" ht="60" hidden="1" customHeight="1" x14ac:dyDescent="0.2">
      <c r="B156" s="1248" t="str">
        <f>IFERROR(INDEX('ANALISIS TÉCNICO'!$B$126:$N$155,MATCH(13,'ANALISIS TÉCNICO'!$N$126:$N$155,0),1),"")</f>
        <v/>
      </c>
      <c r="C156" s="1248"/>
      <c r="D156" s="1248"/>
      <c r="E156" s="1250" t="str">
        <f>IFERROR(INDEX('ANALISIS TÉCNICO'!$B$126:$N$155,MATCH(13,'ANALISIS TÉCNICO'!$N$126:$N$155,0),3),"")</f>
        <v/>
      </c>
      <c r="F156" s="1252"/>
      <c r="G156" s="1250" t="str">
        <f t="shared" si="46"/>
        <v/>
      </c>
      <c r="H156" s="1252"/>
      <c r="I156" s="457" t="str">
        <f>IFERROR(INDEX('ANALISIS TÉCNICO'!$B$126:$N$155,MATCH(13,'ANALISIS TÉCNICO'!$N$126:$N$155,0),7),"")</f>
        <v/>
      </c>
      <c r="J156" s="457" t="str">
        <f>IFERROR(INDEX('ANALISIS TÉCNICO'!$B$126:$N$155,MATCH(13,'ANALISIS TÉCNICO'!$N$126:$N$155,0),8),"")</f>
        <v/>
      </c>
      <c r="K156" s="504"/>
      <c r="L156" s="515"/>
      <c r="M156" s="273"/>
      <c r="N156" s="266" t="str">
        <f t="shared" si="45"/>
        <v/>
      </c>
      <c r="S156" s="250"/>
      <c r="T156" s="425" t="s">
        <v>5620</v>
      </c>
      <c r="U156" s="425" t="str">
        <f>IF(AND(T155="",T156=""),"",IF(T155="",T157,IF(T156="",T157,T156)))</f>
        <v/>
      </c>
      <c r="V156" s="250"/>
      <c r="W156" s="250"/>
      <c r="X156" s="250"/>
      <c r="Y156" s="425" t="str">
        <f t="shared" si="50"/>
        <v>1</v>
      </c>
      <c r="Z156" s="425">
        <f>COUNTIF($Y$118:Y156,$Y$119)</f>
        <v>23</v>
      </c>
      <c r="AA156" s="425"/>
      <c r="AB156" s="425"/>
      <c r="AC156" s="425"/>
      <c r="AD156" s="250"/>
      <c r="AE156" s="250"/>
      <c r="AF156" s="250"/>
      <c r="AG156" s="250"/>
      <c r="AH156" s="250"/>
    </row>
    <row r="157" spans="1:34" s="503" customFormat="1" ht="60" hidden="1" customHeight="1" x14ac:dyDescent="0.2">
      <c r="A157" s="136"/>
      <c r="B157" s="1248" t="str">
        <f>IFERROR(INDEX('ANALISIS TÉCNICO'!$B$126:$N$155,MATCH(14,'ANALISIS TÉCNICO'!$N$126:$N$155,0),1),"")</f>
        <v/>
      </c>
      <c r="C157" s="1248"/>
      <c r="D157" s="1248"/>
      <c r="E157" s="1250" t="str">
        <f>IFERROR(INDEX('ANALISIS TÉCNICO'!$B$126:$N$155,MATCH(14,'ANALISIS TÉCNICO'!$N$126:$N$155,0),3),"")</f>
        <v/>
      </c>
      <c r="F157" s="1252"/>
      <c r="G157" s="1250" t="str">
        <f t="shared" si="46"/>
        <v/>
      </c>
      <c r="H157" s="1252"/>
      <c r="I157" s="457" t="str">
        <f>IFERROR(INDEX('ANALISIS TÉCNICO'!$B$126:$N$155,MATCH(14,'ANALISIS TÉCNICO'!$N$126:$N$155,0),7),"")</f>
        <v/>
      </c>
      <c r="J157" s="457" t="str">
        <f>IFERROR(INDEX('ANALISIS TÉCNICO'!$B$126:$N$155,MATCH(14,'ANALISIS TÉCNICO'!$N$126:$N$155,0),8),"")</f>
        <v/>
      </c>
      <c r="K157" s="504"/>
      <c r="L157" s="515"/>
      <c r="M157" s="273"/>
      <c r="N157" s="266" t="str">
        <f t="shared" si="45"/>
        <v/>
      </c>
      <c r="S157" s="250"/>
      <c r="T157" s="425" t="s">
        <v>5620</v>
      </c>
      <c r="U157" s="425" t="str">
        <f>IF(AND(T155="",T156=""),"",IF(T156="","",IF(T155="","",T157)))</f>
        <v/>
      </c>
      <c r="V157" s="250"/>
      <c r="W157" s="250"/>
      <c r="X157" s="250"/>
      <c r="Y157" s="425" t="str">
        <f t="shared" si="50"/>
        <v>1</v>
      </c>
      <c r="Z157" s="425">
        <f>COUNTIF($Y$118:Y157,$Y$119)</f>
        <v>23</v>
      </c>
      <c r="AA157" s="425"/>
      <c r="AB157" s="425"/>
      <c r="AC157" s="425"/>
      <c r="AD157" s="250"/>
      <c r="AE157" s="250"/>
      <c r="AF157" s="250"/>
      <c r="AG157" s="250"/>
      <c r="AH157" s="250"/>
    </row>
    <row r="158" spans="1:34" s="503" customFormat="1" ht="60" hidden="1" customHeight="1" x14ac:dyDescent="0.2">
      <c r="B158" s="1248" t="str">
        <f>IFERROR(INDEX('ANALISIS TÉCNICO'!$B$126:$N$155,MATCH(15,'ANALISIS TÉCNICO'!$N$126:$N$155,0),1),"")</f>
        <v/>
      </c>
      <c r="C158" s="1248"/>
      <c r="D158" s="1248"/>
      <c r="E158" s="1250" t="str">
        <f>IFERROR(INDEX('ANALISIS TÉCNICO'!$B$126:$N$155,MATCH(15,'ANALISIS TÉCNICO'!$N$126:$N$155,0),3),"")</f>
        <v/>
      </c>
      <c r="F158" s="1252"/>
      <c r="G158" s="1250" t="str">
        <f t="shared" si="46"/>
        <v/>
      </c>
      <c r="H158" s="1252"/>
      <c r="I158" s="457" t="str">
        <f>IFERROR(INDEX('ANALISIS TÉCNICO'!$B$126:$N$155,MATCH(15,'ANALISIS TÉCNICO'!$N$126:$N$155,0),7),"")</f>
        <v/>
      </c>
      <c r="J158" s="457" t="str">
        <f>IFERROR(INDEX('ANALISIS TÉCNICO'!$B$126:$N$155,MATCH(15,'ANALISIS TÉCNICO'!$N$126:$N$155,0),8),"")</f>
        <v/>
      </c>
      <c r="K158" s="504"/>
      <c r="L158" s="515"/>
      <c r="M158" s="273"/>
      <c r="N158" s="266" t="str">
        <f t="shared" si="45"/>
        <v/>
      </c>
      <c r="S158" s="250"/>
      <c r="T158" s="425"/>
      <c r="U158" s="425"/>
      <c r="V158" s="250"/>
      <c r="W158" s="250"/>
      <c r="X158" s="250"/>
      <c r="Y158" s="425" t="str">
        <f t="shared" si="50"/>
        <v>1</v>
      </c>
      <c r="Z158" s="425">
        <f>COUNTIF($Y$118:Y158,$Y$119)</f>
        <v>23</v>
      </c>
      <c r="AA158" s="425"/>
      <c r="AB158" s="425"/>
      <c r="AC158" s="425"/>
      <c r="AD158" s="250"/>
      <c r="AE158" s="250"/>
      <c r="AF158" s="250"/>
      <c r="AG158" s="250"/>
      <c r="AH158" s="250"/>
    </row>
    <row r="159" spans="1:34" s="503" customFormat="1" ht="60" hidden="1" customHeight="1" x14ac:dyDescent="0.2">
      <c r="A159" s="136"/>
      <c r="B159" s="1248" t="str">
        <f>IFERROR(INDEX('ANALISIS TÉCNICO'!$B$126:$N$155,MATCH(16,'ANALISIS TÉCNICO'!$N$126:$N$155,0),1),"")</f>
        <v/>
      </c>
      <c r="C159" s="1248"/>
      <c r="D159" s="1248"/>
      <c r="E159" s="1250" t="str">
        <f>IFERROR(INDEX('ANALISIS TÉCNICO'!$B$126:$N$155,MATCH(16,'ANALISIS TÉCNICO'!$N$126:$N$155,0),3),"")</f>
        <v/>
      </c>
      <c r="F159" s="1252"/>
      <c r="G159" s="1250" t="str">
        <f t="shared" si="46"/>
        <v/>
      </c>
      <c r="H159" s="1252"/>
      <c r="I159" s="457" t="str">
        <f>IFERROR(INDEX('ANALISIS TÉCNICO'!$B$126:$N$155,MATCH(16,'ANALISIS TÉCNICO'!$N$126:$N$155,0),7),"")</f>
        <v/>
      </c>
      <c r="J159" s="457" t="str">
        <f>IFERROR(INDEX('ANALISIS TÉCNICO'!$B$126:$N$155,MATCH(16,'ANALISIS TÉCNICO'!$N$126:$N$155,0),8),"")</f>
        <v/>
      </c>
      <c r="K159" s="504"/>
      <c r="L159" s="515"/>
      <c r="M159" s="273"/>
      <c r="N159" s="266" t="str">
        <f t="shared" si="45"/>
        <v/>
      </c>
      <c r="S159" s="250"/>
      <c r="T159" s="425" t="s">
        <v>5620</v>
      </c>
      <c r="U159" s="425" t="str">
        <f>IF(AND(T159="",T160=""),T161,IF(T159="",T160,T159))</f>
        <v/>
      </c>
      <c r="V159" s="250"/>
      <c r="W159" s="250"/>
      <c r="X159" s="250"/>
      <c r="Y159" s="425" t="str">
        <f t="shared" si="50"/>
        <v>1</v>
      </c>
      <c r="Z159" s="425">
        <f>COUNTIF($Y$118:Y159,$Y$119)</f>
        <v>23</v>
      </c>
      <c r="AA159" s="425"/>
      <c r="AB159" s="425"/>
      <c r="AC159" s="425"/>
      <c r="AD159" s="250"/>
      <c r="AE159" s="250"/>
      <c r="AF159" s="250"/>
      <c r="AG159" s="250"/>
      <c r="AH159" s="250"/>
    </row>
    <row r="160" spans="1:34" s="503" customFormat="1" ht="60" hidden="1" customHeight="1" x14ac:dyDescent="0.2">
      <c r="B160" s="1248" t="str">
        <f>IFERROR(INDEX('ANALISIS TÉCNICO'!$B$126:$N$155,MATCH(17,'ANALISIS TÉCNICO'!$N$126:$N$155,0),1),"")</f>
        <v/>
      </c>
      <c r="C160" s="1248"/>
      <c r="D160" s="1248"/>
      <c r="E160" s="1250" t="str">
        <f>IFERROR(INDEX('ANALISIS TÉCNICO'!$B$126:$N$155,MATCH(17,'ANALISIS TÉCNICO'!$N$126:$N$155,0),3),"")</f>
        <v/>
      </c>
      <c r="F160" s="1252"/>
      <c r="G160" s="1250" t="str">
        <f t="shared" si="46"/>
        <v/>
      </c>
      <c r="H160" s="1252"/>
      <c r="I160" s="457" t="str">
        <f>IFERROR(INDEX('ANALISIS TÉCNICO'!$B$126:$N$155,MATCH(17,'ANALISIS TÉCNICO'!$N$126:$N$155,0),7),"")</f>
        <v/>
      </c>
      <c r="J160" s="457" t="str">
        <f>IFERROR(INDEX('ANALISIS TÉCNICO'!$B$126:$N$155,MATCH(17,'ANALISIS TÉCNICO'!$N$126:$N$155,0),8),"")</f>
        <v/>
      </c>
      <c r="K160" s="504"/>
      <c r="L160" s="515"/>
      <c r="M160" s="273"/>
      <c r="N160" s="266" t="str">
        <f t="shared" si="45"/>
        <v/>
      </c>
      <c r="S160" s="250"/>
      <c r="T160" s="425" t="s">
        <v>5620</v>
      </c>
      <c r="U160" s="425" t="str">
        <f>IF(AND(T159="",T160=""),"",IF(T159="",T161,IF(T160="",T161,T160)))</f>
        <v/>
      </c>
      <c r="V160" s="250"/>
      <c r="W160" s="250"/>
      <c r="X160" s="250"/>
      <c r="Y160" s="425" t="str">
        <f t="shared" si="50"/>
        <v>1</v>
      </c>
      <c r="Z160" s="425">
        <f>COUNTIF($Y$118:Y160,$Y$119)</f>
        <v>23</v>
      </c>
      <c r="AA160" s="425"/>
      <c r="AB160" s="425"/>
      <c r="AC160" s="425"/>
      <c r="AD160" s="250"/>
      <c r="AE160" s="250"/>
      <c r="AF160" s="250"/>
      <c r="AG160" s="250"/>
      <c r="AH160" s="250"/>
    </row>
    <row r="161" spans="1:34" s="503" customFormat="1" ht="60" hidden="1" customHeight="1" x14ac:dyDescent="0.2">
      <c r="A161" s="136"/>
      <c r="B161" s="1248" t="str">
        <f>IFERROR(INDEX('ANALISIS TÉCNICO'!$B$126:$N$155,MATCH(18,'ANALISIS TÉCNICO'!$N$126:$N$155,0),1),"")</f>
        <v/>
      </c>
      <c r="C161" s="1248"/>
      <c r="D161" s="1248"/>
      <c r="E161" s="1250" t="str">
        <f>IFERROR(INDEX('ANALISIS TÉCNICO'!$B$126:$N$155,MATCH(18,'ANALISIS TÉCNICO'!$N$126:$N$155,0),3),"")</f>
        <v/>
      </c>
      <c r="F161" s="1252"/>
      <c r="G161" s="1250" t="str">
        <f t="shared" si="46"/>
        <v/>
      </c>
      <c r="H161" s="1252"/>
      <c r="I161" s="457" t="str">
        <f>IFERROR(INDEX('ANALISIS TÉCNICO'!$B$126:$N$155,MATCH(18,'ANALISIS TÉCNICO'!$N$126:$N$155,0),7),"")</f>
        <v/>
      </c>
      <c r="J161" s="457" t="str">
        <f>IFERROR(INDEX('ANALISIS TÉCNICO'!$B$126:$N$155,MATCH(18,'ANALISIS TÉCNICO'!$N$126:$N$155,0),8),"")</f>
        <v/>
      </c>
      <c r="K161" s="504"/>
      <c r="L161" s="515"/>
      <c r="M161" s="273"/>
      <c r="N161" s="266" t="str">
        <f t="shared" si="45"/>
        <v/>
      </c>
      <c r="S161" s="250"/>
      <c r="T161" s="425" t="s">
        <v>5620</v>
      </c>
      <c r="U161" s="425" t="str">
        <f>IF(AND(T159="",T160=""),"",IF(T160="","",IF(T159="","",T161)))</f>
        <v/>
      </c>
      <c r="V161" s="250"/>
      <c r="W161" s="250"/>
      <c r="X161" s="250"/>
      <c r="Y161" s="425" t="str">
        <f t="shared" si="50"/>
        <v>1</v>
      </c>
      <c r="Z161" s="425">
        <f>COUNTIF($Y$118:Y161,$Y$119)</f>
        <v>23</v>
      </c>
      <c r="AA161" s="425"/>
      <c r="AB161" s="425"/>
      <c r="AC161" s="425"/>
      <c r="AD161" s="250"/>
      <c r="AE161" s="250"/>
      <c r="AF161" s="250"/>
      <c r="AG161" s="250"/>
      <c r="AH161" s="250"/>
    </row>
    <row r="162" spans="1:34" s="503" customFormat="1" ht="60" hidden="1" customHeight="1" x14ac:dyDescent="0.2">
      <c r="B162" s="1248" t="str">
        <f>IFERROR(INDEX('ANALISIS TÉCNICO'!$B$126:$N$155,MATCH(19,'ANALISIS TÉCNICO'!$N$126:$N$155,0),1),"")</f>
        <v/>
      </c>
      <c r="C162" s="1248"/>
      <c r="D162" s="1248"/>
      <c r="E162" s="1250" t="str">
        <f>IFERROR(INDEX('ANALISIS TÉCNICO'!$B$126:$N$155,MATCH(19,'ANALISIS TÉCNICO'!$N$126:$N$155,0),3),"")</f>
        <v/>
      </c>
      <c r="F162" s="1252"/>
      <c r="G162" s="1250" t="str">
        <f t="shared" si="46"/>
        <v/>
      </c>
      <c r="H162" s="1252"/>
      <c r="I162" s="457" t="str">
        <f>IFERROR(INDEX('ANALISIS TÉCNICO'!$B$126:$N$155,MATCH(19,'ANALISIS TÉCNICO'!$N$126:$N$155,0),7),"")</f>
        <v/>
      </c>
      <c r="J162" s="457" t="str">
        <f>IFERROR(INDEX('ANALISIS TÉCNICO'!$B$126:$N$155,MATCH(19,'ANALISIS TÉCNICO'!$N$126:$N$155,0),8),"")</f>
        <v/>
      </c>
      <c r="K162" s="504"/>
      <c r="L162" s="515"/>
      <c r="M162" s="273"/>
      <c r="N162" s="266" t="str">
        <f t="shared" si="45"/>
        <v/>
      </c>
      <c r="S162" s="250"/>
      <c r="T162" s="250"/>
      <c r="U162" s="250"/>
      <c r="V162" s="250"/>
      <c r="W162" s="250"/>
      <c r="X162" s="250"/>
      <c r="Y162" s="250"/>
      <c r="Z162" s="250"/>
      <c r="AA162" s="250"/>
      <c r="AB162" s="250"/>
      <c r="AC162" s="250"/>
      <c r="AD162" s="250"/>
      <c r="AE162" s="250"/>
      <c r="AF162" s="250"/>
      <c r="AG162" s="250"/>
      <c r="AH162" s="250"/>
    </row>
    <row r="163" spans="1:34" s="503" customFormat="1" ht="60" hidden="1" customHeight="1" x14ac:dyDescent="0.2">
      <c r="A163" s="136"/>
      <c r="B163" s="1248" t="str">
        <f>IFERROR(INDEX('ANALISIS TÉCNICO'!$B$126:$N$155,MATCH(20,'ANALISIS TÉCNICO'!$N$126:$N$155,0),1),"")</f>
        <v/>
      </c>
      <c r="C163" s="1248"/>
      <c r="D163" s="1248"/>
      <c r="E163" s="1250" t="str">
        <f>IFERROR(INDEX('ANALISIS TÉCNICO'!$B$126:$N$155,MATCH(20,'ANALISIS TÉCNICO'!$N$126:$N$155,0),3),"")</f>
        <v/>
      </c>
      <c r="F163" s="1252"/>
      <c r="G163" s="1250" t="str">
        <f t="shared" si="46"/>
        <v/>
      </c>
      <c r="H163" s="1252"/>
      <c r="I163" s="457" t="str">
        <f>IFERROR(INDEX('ANALISIS TÉCNICO'!$B$126:$N$155,MATCH(20,'ANALISIS TÉCNICO'!$N$126:$N$155,0),7),"")</f>
        <v/>
      </c>
      <c r="J163" s="457" t="str">
        <f>IFERROR(INDEX('ANALISIS TÉCNICO'!$B$126:$N$155,MATCH(20,'ANALISIS TÉCNICO'!$N$126:$N$155,0),8),"")</f>
        <v/>
      </c>
      <c r="K163" s="504"/>
      <c r="L163" s="515"/>
      <c r="M163" s="273"/>
      <c r="N163" s="266" t="str">
        <f t="shared" si="45"/>
        <v/>
      </c>
      <c r="S163" s="250"/>
      <c r="T163" s="250"/>
      <c r="U163" s="250"/>
      <c r="V163" s="250"/>
      <c r="W163" s="250"/>
      <c r="X163" s="250"/>
      <c r="Y163" s="250"/>
      <c r="Z163" s="250"/>
      <c r="AA163" s="250"/>
      <c r="AB163" s="250"/>
      <c r="AC163" s="250"/>
      <c r="AD163" s="250"/>
      <c r="AE163" s="250"/>
      <c r="AF163" s="250"/>
      <c r="AG163" s="250"/>
      <c r="AH163" s="250"/>
    </row>
    <row r="164" spans="1:34" s="503" customFormat="1" ht="60" hidden="1" customHeight="1" x14ac:dyDescent="0.2">
      <c r="B164" s="1248" t="str">
        <f>IFERROR(INDEX('ANALISIS TÉCNICO'!$B$126:$N$155,MATCH(21,'ANALISIS TÉCNICO'!$N$126:$N$155,0),1),"")</f>
        <v/>
      </c>
      <c r="C164" s="1248"/>
      <c r="D164" s="1248"/>
      <c r="E164" s="1250" t="str">
        <f>IFERROR(INDEX('ANALISIS TÉCNICO'!$B$126:$N$155,MATCH(21,'ANALISIS TÉCNICO'!$N$126:$N$155,0),3),"")</f>
        <v/>
      </c>
      <c r="F164" s="1252"/>
      <c r="G164" s="1250" t="str">
        <f t="shared" si="46"/>
        <v/>
      </c>
      <c r="H164" s="1252"/>
      <c r="I164" s="457" t="str">
        <f>IFERROR(INDEX('ANALISIS TÉCNICO'!$B$126:$N$155,MATCH(21,'ANALISIS TÉCNICO'!$N$126:$N$155,0),7),"")</f>
        <v/>
      </c>
      <c r="J164" s="457" t="str">
        <f>IFERROR(INDEX('ANALISIS TÉCNICO'!$B$126:$N$155,MATCH(21,'ANALISIS TÉCNICO'!$N$126:$N$155,0),8),"")</f>
        <v/>
      </c>
      <c r="K164" s="504"/>
      <c r="L164" s="515"/>
      <c r="M164" s="273"/>
      <c r="N164" s="266" t="str">
        <f t="shared" si="45"/>
        <v/>
      </c>
      <c r="S164" s="250"/>
      <c r="T164" s="250"/>
      <c r="U164" s="250"/>
      <c r="V164" s="250"/>
      <c r="W164" s="250"/>
      <c r="X164" s="250"/>
      <c r="Y164" s="250"/>
      <c r="Z164" s="250"/>
      <c r="AA164" s="250"/>
      <c r="AB164" s="250"/>
      <c r="AC164" s="250"/>
      <c r="AD164" s="250"/>
      <c r="AE164" s="250"/>
      <c r="AF164" s="250"/>
      <c r="AG164" s="250"/>
      <c r="AH164" s="250"/>
    </row>
    <row r="165" spans="1:34" s="503" customFormat="1" ht="24.95" hidden="1" customHeight="1" x14ac:dyDescent="0.2">
      <c r="A165" s="136"/>
      <c r="B165" s="448" t="s">
        <v>4875</v>
      </c>
      <c r="C165" s="449"/>
      <c r="D165" s="449"/>
      <c r="E165" s="449"/>
      <c r="F165" s="449"/>
      <c r="G165" s="449"/>
      <c r="H165" s="449"/>
      <c r="I165" s="449"/>
      <c r="J165" s="449"/>
      <c r="K165" s="449"/>
      <c r="L165" s="496" t="s">
        <v>4922</v>
      </c>
      <c r="M165" s="555"/>
      <c r="N165" s="459"/>
      <c r="S165" s="250"/>
      <c r="T165" s="250"/>
      <c r="U165" s="250"/>
      <c r="V165" s="250"/>
      <c r="W165" s="250"/>
      <c r="X165" s="250"/>
      <c r="Y165" s="250"/>
      <c r="Z165" s="250"/>
      <c r="AA165" s="250"/>
      <c r="AB165" s="250"/>
      <c r="AC165" s="250"/>
      <c r="AD165" s="250"/>
      <c r="AE165" s="250"/>
      <c r="AF165" s="250"/>
      <c r="AG165" s="250"/>
      <c r="AH165" s="250"/>
    </row>
    <row r="166" spans="1:34" s="503" customFormat="1" ht="60" hidden="1" customHeight="1" x14ac:dyDescent="0.2">
      <c r="B166" s="1759"/>
      <c r="C166" s="1759"/>
      <c r="D166" s="1759"/>
      <c r="E166" s="1186"/>
      <c r="F166" s="1188"/>
      <c r="G166" s="1250" t="str">
        <f t="shared" ref="G166:G171" si="51">IFERROR(IF(B166="","",$D$53),"")</f>
        <v/>
      </c>
      <c r="H166" s="1252"/>
      <c r="I166" s="457" t="str">
        <f t="shared" ref="I166:I171" si="52">IFERROR(IF(B166="","","Unidad"),"")</f>
        <v/>
      </c>
      <c r="J166" s="505"/>
      <c r="K166" s="504"/>
      <c r="L166" s="515"/>
      <c r="M166" s="273"/>
      <c r="N166" s="266" t="str">
        <f t="shared" si="45"/>
        <v/>
      </c>
      <c r="S166" s="250"/>
      <c r="T166" s="250"/>
      <c r="U166" s="250"/>
      <c r="V166" s="250"/>
      <c r="W166" s="250"/>
      <c r="X166" s="250"/>
      <c r="Y166" s="250"/>
      <c r="Z166" s="250"/>
      <c r="AA166" s="250"/>
      <c r="AB166" s="250"/>
      <c r="AC166" s="250"/>
      <c r="AD166" s="250"/>
      <c r="AE166" s="250"/>
      <c r="AF166" s="250"/>
      <c r="AG166" s="250"/>
      <c r="AH166" s="250"/>
    </row>
    <row r="167" spans="1:34" s="503" customFormat="1" ht="60" hidden="1" customHeight="1" x14ac:dyDescent="0.2">
      <c r="B167" s="1759"/>
      <c r="C167" s="1759"/>
      <c r="D167" s="1759"/>
      <c r="E167" s="1186"/>
      <c r="F167" s="1188"/>
      <c r="G167" s="1250" t="str">
        <f t="shared" si="51"/>
        <v/>
      </c>
      <c r="H167" s="1252"/>
      <c r="I167" s="457" t="str">
        <f t="shared" si="52"/>
        <v/>
      </c>
      <c r="J167" s="505"/>
      <c r="K167" s="504"/>
      <c r="L167" s="515"/>
      <c r="M167" s="273"/>
      <c r="N167" s="266" t="str">
        <f t="shared" si="45"/>
        <v/>
      </c>
      <c r="S167" s="250"/>
      <c r="T167" s="250"/>
      <c r="U167" s="250"/>
      <c r="V167" s="250"/>
      <c r="W167" s="250"/>
      <c r="X167" s="250"/>
      <c r="Y167" s="250"/>
      <c r="Z167" s="250"/>
      <c r="AA167" s="250"/>
      <c r="AB167" s="250"/>
      <c r="AC167" s="250"/>
      <c r="AD167" s="250"/>
      <c r="AE167" s="250"/>
      <c r="AF167" s="250"/>
      <c r="AG167" s="250"/>
      <c r="AH167" s="250"/>
    </row>
    <row r="168" spans="1:34" s="503" customFormat="1" ht="60" hidden="1" customHeight="1" x14ac:dyDescent="0.2">
      <c r="A168" s="136"/>
      <c r="B168" s="1759"/>
      <c r="C168" s="1759"/>
      <c r="D168" s="1759"/>
      <c r="E168" s="1186"/>
      <c r="F168" s="1188"/>
      <c r="G168" s="1250" t="str">
        <f t="shared" si="51"/>
        <v/>
      </c>
      <c r="H168" s="1252"/>
      <c r="I168" s="457" t="str">
        <f t="shared" si="52"/>
        <v/>
      </c>
      <c r="J168" s="505"/>
      <c r="K168" s="504"/>
      <c r="L168" s="515"/>
      <c r="M168" s="273"/>
      <c r="N168" s="266" t="str">
        <f t="shared" si="45"/>
        <v/>
      </c>
      <c r="S168" s="250"/>
      <c r="T168" s="250"/>
      <c r="U168" s="250"/>
      <c r="V168" s="250"/>
      <c r="W168" s="250"/>
      <c r="X168" s="250"/>
      <c r="Y168" s="250"/>
      <c r="Z168" s="250"/>
      <c r="AA168" s="250"/>
      <c r="AB168" s="250"/>
      <c r="AC168" s="250"/>
      <c r="AD168" s="250"/>
      <c r="AE168" s="250"/>
      <c r="AF168" s="250"/>
      <c r="AG168" s="250"/>
      <c r="AH168" s="250"/>
    </row>
    <row r="169" spans="1:34" s="503" customFormat="1" ht="60" hidden="1" customHeight="1" x14ac:dyDescent="0.2">
      <c r="B169" s="1204"/>
      <c r="C169" s="1249"/>
      <c r="D169" s="1249"/>
      <c r="E169" s="1224"/>
      <c r="F169" s="1224"/>
      <c r="G169" s="1250" t="str">
        <f t="shared" si="51"/>
        <v/>
      </c>
      <c r="H169" s="1252"/>
      <c r="I169" s="457" t="str">
        <f t="shared" si="52"/>
        <v/>
      </c>
      <c r="J169" s="505"/>
      <c r="K169" s="504"/>
      <c r="L169" s="515"/>
      <c r="M169" s="451"/>
      <c r="N169" s="266" t="str">
        <f t="shared" si="45"/>
        <v/>
      </c>
      <c r="S169" s="250"/>
      <c r="T169" s="250"/>
      <c r="U169" s="250"/>
      <c r="V169" s="250"/>
      <c r="W169" s="250"/>
      <c r="X169" s="250"/>
      <c r="Y169" s="250"/>
      <c r="Z169" s="250"/>
      <c r="AA169" s="250"/>
      <c r="AB169" s="250"/>
      <c r="AC169" s="250"/>
      <c r="AD169" s="250"/>
      <c r="AE169" s="250"/>
      <c r="AF169" s="250"/>
      <c r="AG169" s="250"/>
      <c r="AH169" s="250"/>
    </row>
    <row r="170" spans="1:34" s="503" customFormat="1" ht="60" hidden="1" customHeight="1" x14ac:dyDescent="0.2">
      <c r="B170" s="1204"/>
      <c r="C170" s="1249"/>
      <c r="D170" s="1249"/>
      <c r="E170" s="1224"/>
      <c r="F170" s="1224"/>
      <c r="G170" s="1250" t="str">
        <f t="shared" si="51"/>
        <v/>
      </c>
      <c r="H170" s="1252"/>
      <c r="I170" s="457" t="str">
        <f t="shared" si="52"/>
        <v/>
      </c>
      <c r="J170" s="505"/>
      <c r="K170" s="504"/>
      <c r="L170" s="515"/>
      <c r="M170" s="451"/>
      <c r="N170" s="266" t="str">
        <f t="shared" si="45"/>
        <v/>
      </c>
      <c r="S170" s="250"/>
      <c r="T170" s="250"/>
      <c r="U170" s="250"/>
      <c r="V170" s="250"/>
      <c r="W170" s="250"/>
      <c r="X170" s="250"/>
      <c r="Y170" s="425" t="s">
        <v>4787</v>
      </c>
      <c r="Z170" s="425"/>
      <c r="AA170" s="425"/>
      <c r="AB170" s="425"/>
      <c r="AC170" s="425"/>
      <c r="AD170" s="250"/>
      <c r="AE170" s="250"/>
      <c r="AF170" s="250"/>
      <c r="AG170" s="250"/>
      <c r="AH170" s="250"/>
    </row>
    <row r="171" spans="1:34" s="503" customFormat="1" ht="60" hidden="1" customHeight="1" x14ac:dyDescent="0.2">
      <c r="A171" s="136"/>
      <c r="B171" s="1204"/>
      <c r="C171" s="1249"/>
      <c r="D171" s="1249"/>
      <c r="E171" s="1224"/>
      <c r="F171" s="1224"/>
      <c r="G171" s="1250" t="str">
        <f t="shared" si="51"/>
        <v/>
      </c>
      <c r="H171" s="1252"/>
      <c r="I171" s="457" t="str">
        <f t="shared" si="52"/>
        <v/>
      </c>
      <c r="J171" s="505"/>
      <c r="K171" s="504"/>
      <c r="L171" s="515"/>
      <c r="M171" s="451"/>
      <c r="N171" s="266" t="str">
        <f t="shared" si="45"/>
        <v/>
      </c>
      <c r="S171" s="250"/>
      <c r="T171" s="425" t="s">
        <v>5620</v>
      </c>
      <c r="U171" s="425" t="str">
        <f>IF(AND(T171="",T172=""),T173,IF(T171="",T172,T171))</f>
        <v/>
      </c>
      <c r="V171" s="250"/>
      <c r="W171" s="250"/>
      <c r="X171" s="250"/>
      <c r="Y171" s="425" t="str">
        <f>IF(U171="","1","2")</f>
        <v>1</v>
      </c>
      <c r="Z171" s="425">
        <f>COUNTIF($Y$170:Y171,$Y$171)</f>
        <v>1</v>
      </c>
      <c r="AA171" s="425"/>
      <c r="AB171" s="425"/>
      <c r="AC171" s="425"/>
      <c r="AD171" s="425"/>
      <c r="AE171" s="250"/>
      <c r="AF171" s="250"/>
      <c r="AG171" s="250"/>
      <c r="AH171" s="250"/>
    </row>
    <row r="172" spans="1:34" s="503" customFormat="1" ht="30" hidden="1" customHeight="1" x14ac:dyDescent="0.2">
      <c r="B172" s="1756" t="s">
        <v>4876</v>
      </c>
      <c r="C172" s="1757"/>
      <c r="D172" s="1757"/>
      <c r="E172" s="1757"/>
      <c r="F172" s="1757"/>
      <c r="G172" s="1757"/>
      <c r="H172" s="1757"/>
      <c r="I172" s="1757"/>
      <c r="J172" s="1757"/>
      <c r="K172" s="1757"/>
      <c r="L172" s="1757"/>
      <c r="M172" s="1757"/>
      <c r="N172" s="454">
        <f>IFERROR(SUM(N166:N171,N144:N164),"")</f>
        <v>0</v>
      </c>
      <c r="S172" s="250"/>
      <c r="T172" s="425" t="s">
        <v>5620</v>
      </c>
      <c r="U172" s="425" t="str">
        <f>IF(AND(T171="",T172=""),"",IF(T171="",T173,IF(T172="",T173,T172)))</f>
        <v/>
      </c>
      <c r="V172" s="250"/>
      <c r="W172" s="250"/>
      <c r="X172" s="250"/>
      <c r="Y172" s="425" t="str">
        <f t="shared" ref="Y172:Y200" si="53">IF(U172="","1","2")</f>
        <v>1</v>
      </c>
      <c r="Z172" s="425">
        <f>COUNTIF($Y$170:Y172,$Y$171)</f>
        <v>2</v>
      </c>
      <c r="AA172" s="425"/>
      <c r="AB172" s="425"/>
      <c r="AC172" s="425"/>
      <c r="AD172" s="425"/>
      <c r="AE172" s="250"/>
      <c r="AF172" s="250"/>
      <c r="AG172" s="250"/>
      <c r="AH172" s="250"/>
    </row>
    <row r="173" spans="1:34" s="503" customFormat="1" ht="8.1" hidden="1" customHeight="1" x14ac:dyDescent="0.2">
      <c r="B173" s="511"/>
      <c r="C173" s="511"/>
      <c r="D173" s="511"/>
      <c r="E173" s="511"/>
      <c r="F173" s="511"/>
      <c r="G173" s="511"/>
      <c r="H173" s="511"/>
      <c r="I173" s="511"/>
      <c r="J173" s="511"/>
      <c r="K173" s="511"/>
      <c r="L173" s="511"/>
      <c r="M173" s="511"/>
      <c r="N173" s="453"/>
      <c r="S173" s="250"/>
      <c r="T173" s="425" t="s">
        <v>5620</v>
      </c>
      <c r="U173" s="425" t="str">
        <f>IF(AND(T171="",T172=""),"",IF(T172="","",IF(T171="","",T173)))</f>
        <v/>
      </c>
      <c r="V173" s="250"/>
      <c r="W173" s="250"/>
      <c r="X173" s="250"/>
      <c r="Y173" s="425" t="str">
        <f t="shared" si="53"/>
        <v>1</v>
      </c>
      <c r="Z173" s="425">
        <f>COUNTIF($Y$170:Y173,$Y$171)</f>
        <v>3</v>
      </c>
      <c r="AA173" s="425"/>
      <c r="AB173" s="425"/>
      <c r="AC173" s="425"/>
      <c r="AD173" s="425"/>
      <c r="AE173" s="250"/>
      <c r="AF173" s="250"/>
      <c r="AG173" s="250"/>
      <c r="AH173" s="250"/>
    </row>
    <row r="174" spans="1:34" s="503" customFormat="1" ht="30" hidden="1" customHeight="1" x14ac:dyDescent="0.2">
      <c r="A174" s="136"/>
      <c r="B174" s="1444" t="s">
        <v>4880</v>
      </c>
      <c r="C174" s="1445"/>
      <c r="D174" s="1445"/>
      <c r="E174" s="1445"/>
      <c r="F174" s="1445"/>
      <c r="G174" s="1445"/>
      <c r="H174" s="1445"/>
      <c r="I174" s="1445"/>
      <c r="J174" s="1445"/>
      <c r="K174" s="1445"/>
      <c r="L174" s="1446"/>
      <c r="M174" s="1445" t="s">
        <v>4881</v>
      </c>
      <c r="N174" s="1446"/>
      <c r="S174" s="250"/>
      <c r="T174" s="425"/>
      <c r="U174" s="425"/>
      <c r="V174" s="250"/>
      <c r="W174" s="250"/>
      <c r="X174" s="250"/>
      <c r="Y174" s="425" t="str">
        <f t="shared" si="53"/>
        <v>1</v>
      </c>
      <c r="Z174" s="425">
        <f>COUNTIF($Y$170:Y174,$Y$171)</f>
        <v>4</v>
      </c>
      <c r="AA174" s="425"/>
      <c r="AB174" s="425"/>
      <c r="AC174" s="425"/>
      <c r="AD174" s="425"/>
      <c r="AE174" s="250"/>
      <c r="AF174" s="250"/>
      <c r="AG174" s="250"/>
      <c r="AH174" s="250"/>
    </row>
    <row r="175" spans="1:34" s="503" customFormat="1" ht="8.1" hidden="1" customHeight="1" x14ac:dyDescent="0.2">
      <c r="B175" s="512"/>
      <c r="C175" s="512"/>
      <c r="D175" s="512"/>
      <c r="E175" s="512"/>
      <c r="F175" s="512"/>
      <c r="G175" s="512"/>
      <c r="H175" s="512"/>
      <c r="I175" s="512"/>
      <c r="J175" s="512"/>
      <c r="K175" s="512"/>
      <c r="L175" s="512"/>
      <c r="M175" s="512"/>
      <c r="N175" s="512"/>
      <c r="S175" s="250"/>
      <c r="T175" s="425" t="s">
        <v>5620</v>
      </c>
      <c r="U175" s="425" t="str">
        <f>IF(AND(T175="",T176=""),T177,IF(T175="",T176,T175))</f>
        <v/>
      </c>
      <c r="V175" s="250"/>
      <c r="W175" s="250"/>
      <c r="X175" s="250"/>
      <c r="Y175" s="425" t="str">
        <f t="shared" si="53"/>
        <v>1</v>
      </c>
      <c r="Z175" s="425">
        <f>COUNTIF($Y$170:Y175,$Y$171)</f>
        <v>5</v>
      </c>
      <c r="AA175" s="425"/>
      <c r="AB175" s="425"/>
      <c r="AC175" s="425"/>
      <c r="AD175" s="425"/>
      <c r="AE175" s="250"/>
      <c r="AF175" s="250"/>
      <c r="AG175" s="250"/>
      <c r="AH175" s="250"/>
    </row>
    <row r="176" spans="1:34" s="503" customFormat="1" ht="30" hidden="1" customHeight="1" x14ac:dyDescent="0.2">
      <c r="B176" s="1751" t="s">
        <v>4877</v>
      </c>
      <c r="C176" s="1752"/>
      <c r="D176" s="1752"/>
      <c r="E176" s="1752"/>
      <c r="F176" s="1752"/>
      <c r="G176" s="1752"/>
      <c r="H176" s="1752"/>
      <c r="I176" s="1752"/>
      <c r="J176" s="1752"/>
      <c r="K176" s="1752"/>
      <c r="L176" s="1753"/>
      <c r="M176" s="1758"/>
      <c r="N176" s="1755"/>
      <c r="S176" s="250"/>
      <c r="T176" s="425" t="s">
        <v>5620</v>
      </c>
      <c r="U176" s="425" t="str">
        <f>IF(AND(T175="",T176=""),"",IF(T175="",T177,IF(T176="",T177,T176)))</f>
        <v/>
      </c>
      <c r="V176" s="250"/>
      <c r="W176" s="250"/>
      <c r="X176" s="250"/>
      <c r="Y176" s="425" t="str">
        <f t="shared" si="53"/>
        <v>1</v>
      </c>
      <c r="Z176" s="425">
        <f>COUNTIF($Y$170:Y176,$Y$171)</f>
        <v>6</v>
      </c>
      <c r="AA176" s="425"/>
      <c r="AB176" s="425"/>
      <c r="AC176" s="425"/>
      <c r="AD176" s="425"/>
      <c r="AE176" s="250"/>
      <c r="AF176" s="250"/>
      <c r="AG176" s="250"/>
      <c r="AH176" s="250"/>
    </row>
    <row r="177" spans="1:34" s="503" customFormat="1" ht="30" hidden="1" customHeight="1" x14ac:dyDescent="0.2">
      <c r="A177" s="136"/>
      <c r="B177" s="1751" t="s">
        <v>4878</v>
      </c>
      <c r="C177" s="1752"/>
      <c r="D177" s="1752"/>
      <c r="E177" s="1752"/>
      <c r="F177" s="1752"/>
      <c r="G177" s="1752"/>
      <c r="H177" s="1752"/>
      <c r="I177" s="1752"/>
      <c r="J177" s="1752"/>
      <c r="K177" s="1752"/>
      <c r="L177" s="1753"/>
      <c r="M177" s="1758"/>
      <c r="N177" s="1755"/>
      <c r="S177" s="250"/>
      <c r="T177" s="425" t="s">
        <v>5620</v>
      </c>
      <c r="U177" s="425" t="str">
        <f>IF(AND(T175="",T176=""),"",IF(T176="","",IF(T175="","",T177)))</f>
        <v/>
      </c>
      <c r="V177" s="250"/>
      <c r="W177" s="250"/>
      <c r="X177" s="250"/>
      <c r="Y177" s="425" t="str">
        <f t="shared" si="53"/>
        <v>1</v>
      </c>
      <c r="Z177" s="425">
        <f>COUNTIF($Y$170:Y177,$Y$171)</f>
        <v>7</v>
      </c>
      <c r="AA177" s="425"/>
      <c r="AB177" s="425"/>
      <c r="AC177" s="425"/>
      <c r="AD177" s="425"/>
      <c r="AE177" s="250"/>
      <c r="AF177" s="250"/>
      <c r="AG177" s="250"/>
      <c r="AH177" s="250"/>
    </row>
    <row r="178" spans="1:34" s="503" customFormat="1" ht="30" hidden="1" customHeight="1" x14ac:dyDescent="0.2">
      <c r="B178" s="1751" t="s">
        <v>4879</v>
      </c>
      <c r="C178" s="1752"/>
      <c r="D178" s="1752"/>
      <c r="E178" s="1752"/>
      <c r="F178" s="1752"/>
      <c r="G178" s="1752"/>
      <c r="H178" s="1752"/>
      <c r="I178" s="1752"/>
      <c r="J178" s="1752"/>
      <c r="K178" s="1752"/>
      <c r="L178" s="1753"/>
      <c r="M178" s="1758"/>
      <c r="N178" s="1755"/>
      <c r="S178" s="250"/>
      <c r="T178" s="425"/>
      <c r="U178" s="425"/>
      <c r="V178" s="250"/>
      <c r="W178" s="250"/>
      <c r="X178" s="250"/>
      <c r="Y178" s="425" t="str">
        <f t="shared" si="53"/>
        <v>1</v>
      </c>
      <c r="Z178" s="425">
        <f>COUNTIF($Y$170:Y178,$Y$171)</f>
        <v>8</v>
      </c>
      <c r="AA178" s="425"/>
      <c r="AB178" s="425"/>
      <c r="AC178" s="425"/>
      <c r="AD178" s="425"/>
      <c r="AE178" s="250"/>
      <c r="AF178" s="250"/>
      <c r="AG178" s="250"/>
      <c r="AH178" s="250"/>
    </row>
    <row r="179" spans="1:34" s="503" customFormat="1" ht="8.1" hidden="1" customHeight="1" x14ac:dyDescent="0.2">
      <c r="B179" s="513"/>
      <c r="C179" s="513"/>
      <c r="D179" s="513"/>
      <c r="E179" s="513"/>
      <c r="F179" s="513"/>
      <c r="G179" s="513"/>
      <c r="H179" s="513"/>
      <c r="I179" s="513"/>
      <c r="J179" s="513"/>
      <c r="K179" s="513"/>
      <c r="L179" s="513"/>
      <c r="M179" s="514"/>
      <c r="N179" s="452"/>
      <c r="S179" s="250"/>
      <c r="T179" s="425" t="s">
        <v>5620</v>
      </c>
      <c r="U179" s="425" t="str">
        <f>IF(AND(T179="",T180=""),T181,IF(T179="",T180,T179))</f>
        <v/>
      </c>
      <c r="V179" s="250"/>
      <c r="W179" s="250"/>
      <c r="X179" s="250"/>
      <c r="Y179" s="425" t="str">
        <f t="shared" si="53"/>
        <v>1</v>
      </c>
      <c r="Z179" s="425">
        <f>COUNTIF($Y$170:Y179,$Y$171)</f>
        <v>9</v>
      </c>
      <c r="AA179" s="425"/>
      <c r="AB179" s="425"/>
      <c r="AC179" s="425"/>
      <c r="AD179" s="425"/>
      <c r="AE179" s="250"/>
      <c r="AF179" s="250"/>
      <c r="AG179" s="250"/>
      <c r="AH179" s="250"/>
    </row>
    <row r="180" spans="1:34" s="503" customFormat="1" ht="30" hidden="1" customHeight="1" x14ac:dyDescent="0.2">
      <c r="A180" s="136"/>
      <c r="B180" s="1746" t="s">
        <v>4882</v>
      </c>
      <c r="C180" s="1747"/>
      <c r="D180" s="1747"/>
      <c r="E180" s="1747"/>
      <c r="F180" s="1747"/>
      <c r="G180" s="1747"/>
      <c r="H180" s="1747"/>
      <c r="I180" s="1747"/>
      <c r="J180" s="1747"/>
      <c r="K180" s="1747"/>
      <c r="L180" s="1748"/>
      <c r="M180" s="1749" t="str">
        <f>IFERROR(IF(OR(M176="",M177="",M178=""),"",SUM(M176:N178)),"")</f>
        <v/>
      </c>
      <c r="N180" s="1750"/>
      <c r="S180" s="250"/>
      <c r="T180" s="425" t="s">
        <v>5620</v>
      </c>
      <c r="U180" s="425" t="str">
        <f>IF(AND(T179="",T180=""),"",IF(T179="",T181,IF(T180="",T181,T180)))</f>
        <v/>
      </c>
      <c r="V180" s="250"/>
      <c r="W180" s="250"/>
      <c r="X180" s="250"/>
      <c r="Y180" s="425" t="str">
        <f t="shared" si="53"/>
        <v>1</v>
      </c>
      <c r="Z180" s="425">
        <f>COUNTIF($Y$170:Y180,$Y$171)</f>
        <v>10</v>
      </c>
      <c r="AA180" s="425"/>
      <c r="AB180" s="425"/>
      <c r="AC180" s="425"/>
      <c r="AD180" s="425"/>
      <c r="AE180" s="250"/>
      <c r="AF180" s="250"/>
      <c r="AG180" s="250"/>
      <c r="AH180" s="250"/>
    </row>
    <row r="181" spans="1:34" s="503" customFormat="1" ht="8.1" hidden="1" customHeight="1" x14ac:dyDescent="0.2">
      <c r="B181" s="513"/>
      <c r="C181" s="513"/>
      <c r="D181" s="513"/>
      <c r="E181" s="513"/>
      <c r="F181" s="513"/>
      <c r="G181" s="513"/>
      <c r="H181" s="513"/>
      <c r="I181" s="513"/>
      <c r="J181" s="513"/>
      <c r="K181" s="513"/>
      <c r="L181" s="513"/>
      <c r="M181" s="514"/>
      <c r="N181" s="452"/>
      <c r="S181" s="250"/>
      <c r="T181" s="425" t="s">
        <v>5620</v>
      </c>
      <c r="U181" s="425" t="str">
        <f>IF(AND(T179="",T180=""),"",IF(T180="","",IF(T179="","",T181)))</f>
        <v/>
      </c>
      <c r="V181" s="250"/>
      <c r="W181" s="250"/>
      <c r="X181" s="250"/>
      <c r="Y181" s="425" t="str">
        <f t="shared" si="53"/>
        <v>1</v>
      </c>
      <c r="Z181" s="425">
        <f>COUNTIF($Y$170:Y181,$Y$171)</f>
        <v>11</v>
      </c>
      <c r="AA181" s="425"/>
      <c r="AB181" s="425"/>
      <c r="AC181" s="425"/>
      <c r="AD181" s="425"/>
      <c r="AE181" s="250"/>
      <c r="AF181" s="250"/>
      <c r="AG181" s="250"/>
      <c r="AH181" s="250"/>
    </row>
    <row r="182" spans="1:34" s="503" customFormat="1" ht="30" hidden="1" customHeight="1" x14ac:dyDescent="0.2">
      <c r="B182" s="1746" t="s">
        <v>4884</v>
      </c>
      <c r="C182" s="1747"/>
      <c r="D182" s="1747"/>
      <c r="E182" s="1747"/>
      <c r="F182" s="1747"/>
      <c r="G182" s="1747"/>
      <c r="H182" s="1747"/>
      <c r="I182" s="1747"/>
      <c r="J182" s="1747"/>
      <c r="K182" s="1747"/>
      <c r="L182" s="1748"/>
      <c r="M182" s="1749" t="str">
        <f>IFERROR(IF(OR(M180="",N172=""),"",N172+M180),"")</f>
        <v/>
      </c>
      <c r="N182" s="1750"/>
      <c r="S182" s="250"/>
      <c r="T182" s="425"/>
      <c r="U182" s="425"/>
      <c r="V182" s="250"/>
      <c r="W182" s="250"/>
      <c r="X182" s="250"/>
      <c r="Y182" s="425" t="str">
        <f t="shared" si="53"/>
        <v>1</v>
      </c>
      <c r="Z182" s="425">
        <f>COUNTIF($Y$170:Y182,$Y$171)</f>
        <v>12</v>
      </c>
      <c r="AA182" s="425"/>
      <c r="AB182" s="425"/>
      <c r="AC182" s="425"/>
      <c r="AD182" s="425"/>
      <c r="AE182" s="250"/>
      <c r="AF182" s="250"/>
      <c r="AG182" s="250"/>
      <c r="AH182" s="250"/>
    </row>
    <row r="183" spans="1:34" s="503" customFormat="1" ht="8.1" hidden="1" customHeight="1" x14ac:dyDescent="0.2">
      <c r="A183" s="136"/>
      <c r="B183" s="94"/>
      <c r="C183" s="94"/>
      <c r="D183" s="94"/>
      <c r="E183" s="94"/>
      <c r="F183" s="94"/>
      <c r="G183" s="94"/>
      <c r="H183" s="94"/>
      <c r="I183" s="94"/>
      <c r="J183" s="94"/>
      <c r="K183" s="94"/>
      <c r="L183" s="94"/>
      <c r="M183" s="516"/>
      <c r="N183" s="516"/>
      <c r="S183" s="250"/>
      <c r="T183" s="425" t="s">
        <v>5620</v>
      </c>
      <c r="U183" s="425" t="str">
        <f>IF(AND(T183="",T184=""),T185,IF(T183="",T184,T183))</f>
        <v/>
      </c>
      <c r="V183" s="250"/>
      <c r="W183" s="250"/>
      <c r="X183" s="250"/>
      <c r="Y183" s="425" t="str">
        <f t="shared" si="53"/>
        <v>1</v>
      </c>
      <c r="Z183" s="425">
        <f>COUNTIF($Y$170:Y183,$Y$171)</f>
        <v>13</v>
      </c>
      <c r="AA183" s="425"/>
      <c r="AB183" s="425"/>
      <c r="AC183" s="425"/>
      <c r="AD183" s="425"/>
      <c r="AE183" s="250"/>
      <c r="AF183" s="250"/>
      <c r="AG183" s="250"/>
      <c r="AH183" s="250"/>
    </row>
    <row r="184" spans="1:34" s="503" customFormat="1" ht="30" hidden="1" customHeight="1" x14ac:dyDescent="0.2">
      <c r="B184" s="1197" t="s">
        <v>4885</v>
      </c>
      <c r="C184" s="1197"/>
      <c r="D184" s="1197"/>
      <c r="E184" s="1197"/>
      <c r="F184" s="1197"/>
      <c r="G184" s="1197"/>
      <c r="H184" s="1197"/>
      <c r="I184" s="1197"/>
      <c r="J184" s="1197"/>
      <c r="K184" s="1197"/>
      <c r="L184" s="1197"/>
      <c r="M184" s="1445" t="s">
        <v>4881</v>
      </c>
      <c r="N184" s="1446"/>
      <c r="S184" s="250"/>
      <c r="T184" s="425" t="s">
        <v>5620</v>
      </c>
      <c r="U184" s="425" t="str">
        <f>IF(AND(T183="",T184=""),"",IF(T183="",T185,IF(T184="",T185,T184)))</f>
        <v/>
      </c>
      <c r="V184" s="250"/>
      <c r="W184" s="250"/>
      <c r="X184" s="250"/>
      <c r="Y184" s="425" t="str">
        <f t="shared" si="53"/>
        <v>1</v>
      </c>
      <c r="Z184" s="425">
        <f>COUNTIF($Y$170:Y184,$Y$171)</f>
        <v>14</v>
      </c>
      <c r="AA184" s="425"/>
      <c r="AB184" s="425"/>
      <c r="AC184" s="425"/>
      <c r="AD184" s="425"/>
      <c r="AE184" s="250"/>
      <c r="AF184" s="250"/>
      <c r="AG184" s="250"/>
      <c r="AH184" s="250"/>
    </row>
    <row r="185" spans="1:34" s="503" customFormat="1" ht="8.1" hidden="1" customHeight="1" x14ac:dyDescent="0.2">
      <c r="B185" s="517"/>
      <c r="C185" s="517"/>
      <c r="D185" s="517"/>
      <c r="E185" s="517"/>
      <c r="F185" s="517"/>
      <c r="G185" s="517"/>
      <c r="H185" s="517"/>
      <c r="I185" s="517"/>
      <c r="J185" s="517"/>
      <c r="K185" s="517"/>
      <c r="L185" s="517"/>
      <c r="M185" s="518"/>
      <c r="N185" s="518"/>
      <c r="S185" s="250"/>
      <c r="T185" s="425" t="s">
        <v>5620</v>
      </c>
      <c r="U185" s="425" t="str">
        <f>IF(AND(T183="",T184=""),"",IF(T184="","",IF(T183="","",T185)))</f>
        <v/>
      </c>
      <c r="V185" s="250"/>
      <c r="W185" s="250"/>
      <c r="X185" s="250"/>
      <c r="Y185" s="425" t="str">
        <f t="shared" si="53"/>
        <v>1</v>
      </c>
      <c r="Z185" s="425">
        <f>COUNTIF($Y$170:Y185,$Y$171)</f>
        <v>15</v>
      </c>
      <c r="AA185" s="425"/>
      <c r="AB185" s="425"/>
      <c r="AC185" s="425"/>
      <c r="AD185" s="425"/>
      <c r="AE185" s="250"/>
      <c r="AF185" s="250"/>
      <c r="AG185" s="250"/>
      <c r="AH185" s="250"/>
    </row>
    <row r="186" spans="1:34" s="503" customFormat="1" ht="30" hidden="1" customHeight="1" x14ac:dyDescent="0.2">
      <c r="A186" s="136"/>
      <c r="B186" s="1751" t="s">
        <v>113</v>
      </c>
      <c r="C186" s="1752"/>
      <c r="D186" s="1752"/>
      <c r="E186" s="1752"/>
      <c r="F186" s="1752"/>
      <c r="G186" s="1752"/>
      <c r="H186" s="1752"/>
      <c r="I186" s="1752"/>
      <c r="J186" s="1752"/>
      <c r="K186" s="1752"/>
      <c r="L186" s="1753"/>
      <c r="M186" s="1754"/>
      <c r="N186" s="1755"/>
      <c r="P186" s="465"/>
      <c r="S186" s="250"/>
      <c r="T186" s="425"/>
      <c r="U186" s="425"/>
      <c r="V186" s="250"/>
      <c r="W186" s="250"/>
      <c r="X186" s="250"/>
      <c r="Y186" s="425" t="str">
        <f t="shared" si="53"/>
        <v>1</v>
      </c>
      <c r="Z186" s="425">
        <f>COUNTIF($Y$170:Y186,$Y$171)</f>
        <v>16</v>
      </c>
      <c r="AA186" s="425"/>
      <c r="AB186" s="425"/>
      <c r="AC186" s="425"/>
      <c r="AD186" s="425"/>
      <c r="AE186" s="250"/>
      <c r="AF186" s="250"/>
      <c r="AG186" s="250"/>
      <c r="AH186" s="250"/>
    </row>
    <row r="187" spans="1:34" s="503" customFormat="1" ht="30" hidden="1" customHeight="1" x14ac:dyDescent="0.2">
      <c r="B187" s="1751" t="s">
        <v>4886</v>
      </c>
      <c r="C187" s="1752"/>
      <c r="D187" s="1752"/>
      <c r="E187" s="1752"/>
      <c r="F187" s="1752"/>
      <c r="G187" s="1752"/>
      <c r="H187" s="1752"/>
      <c r="I187" s="1752"/>
      <c r="J187" s="1752"/>
      <c r="K187" s="1752"/>
      <c r="L187" s="1753"/>
      <c r="M187" s="1754"/>
      <c r="N187" s="1755"/>
      <c r="S187" s="250"/>
      <c r="T187" s="425" t="s">
        <v>5620</v>
      </c>
      <c r="U187" s="425" t="str">
        <f>IF(AND(T187="",T188=""),T189,IF(T187="",T188,T187))</f>
        <v/>
      </c>
      <c r="V187" s="250"/>
      <c r="W187" s="250"/>
      <c r="X187" s="250"/>
      <c r="Y187" s="425" t="str">
        <f t="shared" si="53"/>
        <v>1</v>
      </c>
      <c r="Z187" s="425">
        <f>COUNTIF($Y$170:Y187,$Y$171)</f>
        <v>17</v>
      </c>
      <c r="AA187" s="425"/>
      <c r="AB187" s="425"/>
      <c r="AC187" s="425"/>
      <c r="AD187" s="425"/>
      <c r="AE187" s="250"/>
      <c r="AF187" s="250"/>
      <c r="AG187" s="250"/>
      <c r="AH187" s="250"/>
    </row>
    <row r="188" spans="1:34" s="503" customFormat="1" ht="30" hidden="1" customHeight="1" x14ac:dyDescent="0.2">
      <c r="B188" s="1751" t="s">
        <v>114</v>
      </c>
      <c r="C188" s="1752"/>
      <c r="D188" s="1752"/>
      <c r="E188" s="1752"/>
      <c r="F188" s="1752"/>
      <c r="G188" s="1752"/>
      <c r="H188" s="1752"/>
      <c r="I188" s="1752"/>
      <c r="J188" s="1752"/>
      <c r="K188" s="1752"/>
      <c r="L188" s="1753"/>
      <c r="M188" s="1754"/>
      <c r="N188" s="1755"/>
      <c r="S188" s="250"/>
      <c r="T188" s="425" t="s">
        <v>5620</v>
      </c>
      <c r="U188" s="425" t="str">
        <f>IF(AND(T187="",T188=""),"",IF(T187="",T189,IF(T188="",T189,T188)))</f>
        <v/>
      </c>
      <c r="V188" s="250"/>
      <c r="W188" s="250"/>
      <c r="X188" s="250"/>
      <c r="Y188" s="425" t="str">
        <f t="shared" si="53"/>
        <v>1</v>
      </c>
      <c r="Z188" s="425">
        <f>COUNTIF($Y$170:Y188,$Y$171)</f>
        <v>18</v>
      </c>
      <c r="AA188" s="425"/>
      <c r="AB188" s="425"/>
      <c r="AC188" s="425"/>
      <c r="AD188" s="425"/>
      <c r="AE188" s="250"/>
      <c r="AF188" s="250"/>
      <c r="AG188" s="250"/>
      <c r="AH188" s="250"/>
    </row>
    <row r="189" spans="1:34" s="503" customFormat="1" ht="30" hidden="1" customHeight="1" x14ac:dyDescent="0.2">
      <c r="A189" s="136"/>
      <c r="B189" s="1751" t="s">
        <v>115</v>
      </c>
      <c r="C189" s="1752"/>
      <c r="D189" s="1752"/>
      <c r="E189" s="1752"/>
      <c r="F189" s="1752"/>
      <c r="G189" s="1752"/>
      <c r="H189" s="1752"/>
      <c r="I189" s="1752"/>
      <c r="J189" s="1752"/>
      <c r="K189" s="1752"/>
      <c r="L189" s="1753"/>
      <c r="M189" s="1754"/>
      <c r="N189" s="1755"/>
      <c r="S189" s="250"/>
      <c r="T189" s="425" t="s">
        <v>5620</v>
      </c>
      <c r="U189" s="425" t="str">
        <f>IF(AND(T187="",T188=""),"",IF(T188="","",IF(T187="","",T189)))</f>
        <v/>
      </c>
      <c r="V189" s="250"/>
      <c r="W189" s="250"/>
      <c r="X189" s="250"/>
      <c r="Y189" s="425" t="str">
        <f t="shared" si="53"/>
        <v>1</v>
      </c>
      <c r="Z189" s="425">
        <f>COUNTIF($Y$170:Y189,$Y$171)</f>
        <v>19</v>
      </c>
      <c r="AA189" s="425"/>
      <c r="AB189" s="425"/>
      <c r="AC189" s="425"/>
      <c r="AD189" s="425"/>
      <c r="AE189" s="250"/>
      <c r="AF189" s="250"/>
      <c r="AG189" s="250"/>
      <c r="AH189" s="250"/>
    </row>
    <row r="190" spans="1:34" s="503" customFormat="1" ht="8.1" hidden="1" customHeight="1" x14ac:dyDescent="0.2">
      <c r="B190" s="519"/>
      <c r="C190" s="519"/>
      <c r="D190" s="519"/>
      <c r="E190" s="519"/>
      <c r="F190" s="519"/>
      <c r="G190" s="519"/>
      <c r="H190" s="519"/>
      <c r="I190" s="519"/>
      <c r="J190" s="519"/>
      <c r="K190" s="519"/>
      <c r="L190" s="519"/>
      <c r="M190" s="520"/>
      <c r="N190" s="520"/>
      <c r="S190" s="250"/>
      <c r="T190" s="425"/>
      <c r="U190" s="425"/>
      <c r="V190" s="250"/>
      <c r="W190" s="250"/>
      <c r="X190" s="250"/>
      <c r="Y190" s="425" t="str">
        <f t="shared" si="53"/>
        <v>1</v>
      </c>
      <c r="Z190" s="425">
        <f>COUNTIF($Y$170:Y190,$Y$171)</f>
        <v>20</v>
      </c>
      <c r="AA190" s="425"/>
      <c r="AB190" s="425"/>
      <c r="AC190" s="425"/>
      <c r="AD190" s="425"/>
      <c r="AE190" s="250"/>
      <c r="AF190" s="250"/>
      <c r="AG190" s="250"/>
      <c r="AH190" s="250"/>
    </row>
    <row r="191" spans="1:34" s="503" customFormat="1" ht="30" hidden="1" customHeight="1" x14ac:dyDescent="0.2">
      <c r="B191" s="1746" t="s">
        <v>4887</v>
      </c>
      <c r="C191" s="1747"/>
      <c r="D191" s="1747"/>
      <c r="E191" s="1747"/>
      <c r="F191" s="1747"/>
      <c r="G191" s="1747"/>
      <c r="H191" s="1747"/>
      <c r="I191" s="1747"/>
      <c r="J191" s="1747"/>
      <c r="K191" s="1747"/>
      <c r="L191" s="1747"/>
      <c r="M191" s="1749" t="str">
        <f>IFERROR(IF(OR(M186="",M187="",M188="",M189=""),"",SUM(M186:N189)),"")</f>
        <v/>
      </c>
      <c r="N191" s="1750"/>
      <c r="S191" s="250"/>
      <c r="T191" s="425" t="s">
        <v>5620</v>
      </c>
      <c r="U191" s="425" t="str">
        <f>IF(AND(T191="",T192=""),T193,IF(T191="",T192,T191))</f>
        <v/>
      </c>
      <c r="V191" s="250"/>
      <c r="W191" s="250"/>
      <c r="X191" s="250"/>
      <c r="Y191" s="425" t="str">
        <f t="shared" si="53"/>
        <v>1</v>
      </c>
      <c r="Z191" s="425">
        <f>COUNTIF($Y$170:Y191,$Y$171)</f>
        <v>21</v>
      </c>
      <c r="AA191" s="425"/>
      <c r="AB191" s="425"/>
      <c r="AC191" s="425"/>
      <c r="AD191" s="425"/>
      <c r="AE191" s="250"/>
      <c r="AF191" s="250"/>
      <c r="AG191" s="250"/>
      <c r="AH191" s="250"/>
    </row>
    <row r="192" spans="1:34" s="503" customFormat="1" ht="8.1" hidden="1" customHeight="1" x14ac:dyDescent="0.2">
      <c r="A192" s="136"/>
      <c r="B192" s="519"/>
      <c r="C192" s="519"/>
      <c r="D192" s="519"/>
      <c r="E192" s="519"/>
      <c r="F192" s="519"/>
      <c r="G192" s="519"/>
      <c r="H192" s="519"/>
      <c r="I192" s="519"/>
      <c r="J192" s="519"/>
      <c r="K192" s="519"/>
      <c r="L192" s="519"/>
      <c r="M192" s="520"/>
      <c r="N192" s="520"/>
      <c r="S192" s="250"/>
      <c r="T192" s="425" t="s">
        <v>5620</v>
      </c>
      <c r="U192" s="425" t="str">
        <f>IF(AND(T191="",T192=""),"",IF(T191="",T193,IF(T192="",T193,T192)))</f>
        <v/>
      </c>
      <c r="V192" s="250"/>
      <c r="W192" s="250"/>
      <c r="X192" s="250"/>
      <c r="Y192" s="425" t="str">
        <f t="shared" si="53"/>
        <v>1</v>
      </c>
      <c r="Z192" s="425">
        <f>COUNTIF($Y$170:Y192,$Y$171)</f>
        <v>22</v>
      </c>
      <c r="AA192" s="425"/>
      <c r="AB192" s="425"/>
      <c r="AC192" s="425"/>
      <c r="AD192" s="425"/>
      <c r="AE192" s="250"/>
      <c r="AF192" s="250"/>
      <c r="AG192" s="250"/>
      <c r="AH192" s="250"/>
    </row>
    <row r="193" spans="1:34" s="503" customFormat="1" ht="30" hidden="1" customHeight="1" x14ac:dyDescent="0.2">
      <c r="B193" s="1746" t="s">
        <v>4888</v>
      </c>
      <c r="C193" s="1747"/>
      <c r="D193" s="1747"/>
      <c r="E193" s="1747"/>
      <c r="F193" s="1747"/>
      <c r="G193" s="1747"/>
      <c r="H193" s="1747"/>
      <c r="I193" s="1747"/>
      <c r="J193" s="1747"/>
      <c r="K193" s="1747"/>
      <c r="L193" s="1747"/>
      <c r="M193" s="1749" t="str">
        <f>IF(OR(M191="",M182="",M137=""),"",M137+M182+M191)</f>
        <v/>
      </c>
      <c r="N193" s="1750"/>
      <c r="S193" s="250"/>
      <c r="T193" s="425" t="s">
        <v>5620</v>
      </c>
      <c r="U193" s="425" t="str">
        <f>IF(AND(T191="",T192=""),"",IF(T192="","",IF(T191="","",T193)))</f>
        <v/>
      </c>
      <c r="V193" s="250"/>
      <c r="W193" s="250"/>
      <c r="X193" s="250"/>
      <c r="Y193" s="425" t="str">
        <f t="shared" si="53"/>
        <v>1</v>
      </c>
      <c r="Z193" s="425">
        <f>COUNTIF($Y$170:Y193,$Y$171)</f>
        <v>23</v>
      </c>
      <c r="AA193" s="425"/>
      <c r="AB193" s="425"/>
      <c r="AC193" s="425"/>
      <c r="AD193" s="425"/>
      <c r="AE193" s="250"/>
      <c r="AF193" s="250"/>
      <c r="AG193" s="250"/>
      <c r="AH193" s="250"/>
    </row>
    <row r="194" spans="1:34" s="503" customFormat="1" ht="30" hidden="1" customHeight="1" x14ac:dyDescent="0.2">
      <c r="B194" s="94"/>
      <c r="C194" s="94"/>
      <c r="D194" s="94"/>
      <c r="E194" s="94"/>
      <c r="F194" s="94"/>
      <c r="G194" s="94"/>
      <c r="H194" s="94"/>
      <c r="I194" s="94"/>
      <c r="J194" s="94"/>
      <c r="K194" s="94"/>
      <c r="L194" s="94"/>
      <c r="M194" s="516"/>
      <c r="N194" s="516"/>
      <c r="S194" s="250"/>
      <c r="T194" s="425"/>
      <c r="U194" s="425"/>
      <c r="V194" s="250"/>
      <c r="W194" s="250"/>
      <c r="X194" s="250"/>
      <c r="Y194" s="425"/>
      <c r="Z194" s="425"/>
      <c r="AA194" s="425"/>
      <c r="AB194" s="425"/>
      <c r="AC194" s="425"/>
      <c r="AD194" s="425"/>
      <c r="AE194" s="250"/>
      <c r="AF194" s="250"/>
      <c r="AG194" s="250"/>
      <c r="AH194" s="250"/>
    </row>
    <row r="195" spans="1:34" s="503" customFormat="1" ht="15.95" hidden="1" customHeight="1" x14ac:dyDescent="0.2">
      <c r="B195" s="265" t="s">
        <v>4774</v>
      </c>
      <c r="C195" s="265"/>
      <c r="D195" s="265"/>
      <c r="E195" s="265"/>
      <c r="F195" s="265"/>
      <c r="G195" s="455"/>
      <c r="H195" s="455"/>
      <c r="I195" s="455"/>
      <c r="J195" s="455"/>
      <c r="K195" s="455"/>
      <c r="L195" s="455"/>
      <c r="M195" s="455"/>
      <c r="N195" s="456"/>
      <c r="S195" s="250"/>
      <c r="T195" s="425"/>
      <c r="U195" s="425"/>
      <c r="V195" s="250"/>
      <c r="W195" s="250"/>
      <c r="X195" s="250"/>
      <c r="Y195" s="425" t="str">
        <f t="shared" si="53"/>
        <v>1</v>
      </c>
      <c r="Z195" s="425">
        <f>COUNTIF($Y$170:Y195,$Y$171)</f>
        <v>24</v>
      </c>
      <c r="AA195" s="425"/>
      <c r="AB195" s="425"/>
      <c r="AC195" s="425"/>
      <c r="AD195" s="425"/>
      <c r="AE195" s="250"/>
      <c r="AF195" s="250"/>
      <c r="AG195" s="250"/>
      <c r="AH195" s="250"/>
    </row>
    <row r="196" spans="1:34" s="503" customFormat="1" ht="23.25" hidden="1" customHeight="1" x14ac:dyDescent="0.2">
      <c r="A196" s="136"/>
      <c r="B196" s="1196" t="s">
        <v>378</v>
      </c>
      <c r="C196" s="1196"/>
      <c r="D196" s="1196"/>
      <c r="E196" s="1196"/>
      <c r="F196" s="1196"/>
      <c r="G196" s="1197" t="s">
        <v>4871</v>
      </c>
      <c r="H196" s="1197"/>
      <c r="I196" s="1196" t="s">
        <v>107</v>
      </c>
      <c r="J196" s="1196"/>
      <c r="K196" s="1197" t="s">
        <v>398</v>
      </c>
      <c r="L196" s="1197"/>
      <c r="M196" s="1197" t="s">
        <v>4759</v>
      </c>
      <c r="N196" s="1197" t="s">
        <v>4760</v>
      </c>
      <c r="S196" s="250"/>
      <c r="T196" s="425" t="s">
        <v>5620</v>
      </c>
      <c r="U196" s="425" t="str">
        <f>IF(AND(T196="",T197=""),T198,IF(T196="",T197,T196))</f>
        <v/>
      </c>
      <c r="V196" s="250"/>
      <c r="W196" s="250"/>
      <c r="X196" s="250"/>
      <c r="Y196" s="425" t="str">
        <f t="shared" si="53"/>
        <v>1</v>
      </c>
      <c r="Z196" s="425">
        <f>COUNTIF($Y$170:Y196,$Y$171)</f>
        <v>25</v>
      </c>
      <c r="AA196" s="425"/>
      <c r="AB196" s="425"/>
      <c r="AC196" s="425"/>
      <c r="AD196" s="425"/>
      <c r="AE196" s="250"/>
      <c r="AF196" s="250"/>
      <c r="AG196" s="250"/>
      <c r="AH196" s="250"/>
    </row>
    <row r="197" spans="1:34" s="503" customFormat="1" ht="27" hidden="1" customHeight="1" x14ac:dyDescent="0.2">
      <c r="B197" s="1197" t="s">
        <v>4872</v>
      </c>
      <c r="C197" s="1197"/>
      <c r="D197" s="1197"/>
      <c r="E197" s="1197" t="s">
        <v>116</v>
      </c>
      <c r="F197" s="1197"/>
      <c r="G197" s="1197"/>
      <c r="H197" s="1197"/>
      <c r="I197" s="1197" t="s">
        <v>108</v>
      </c>
      <c r="J197" s="1196" t="s">
        <v>109</v>
      </c>
      <c r="K197" s="1197" t="s">
        <v>108</v>
      </c>
      <c r="L197" s="1197" t="s">
        <v>109</v>
      </c>
      <c r="M197" s="1197"/>
      <c r="N197" s="1197"/>
      <c r="S197" s="250"/>
      <c r="T197" s="425" t="s">
        <v>5620</v>
      </c>
      <c r="U197" s="425" t="str">
        <f>IF(AND(T196="",T197=""),"",IF(T196="",T198,IF(T197="",T198,T197)))</f>
        <v/>
      </c>
      <c r="V197" s="250"/>
      <c r="W197" s="250"/>
      <c r="X197" s="250"/>
      <c r="Y197" s="425" t="str">
        <f t="shared" si="53"/>
        <v>1</v>
      </c>
      <c r="Z197" s="425">
        <f>COUNTIF($Y$170:Y197,$Y$171)</f>
        <v>26</v>
      </c>
      <c r="AA197" s="425"/>
      <c r="AB197" s="425"/>
      <c r="AC197" s="425"/>
      <c r="AD197" s="425"/>
      <c r="AE197" s="250"/>
      <c r="AF197" s="250"/>
      <c r="AG197" s="250"/>
      <c r="AH197" s="250"/>
    </row>
    <row r="198" spans="1:34" s="503" customFormat="1" ht="12.75" hidden="1" customHeight="1" x14ac:dyDescent="0.2">
      <c r="B198" s="1197"/>
      <c r="C198" s="1197"/>
      <c r="D198" s="1197"/>
      <c r="E198" s="1197"/>
      <c r="F198" s="1197"/>
      <c r="G198" s="1197"/>
      <c r="H198" s="1197"/>
      <c r="I198" s="1197"/>
      <c r="J198" s="1196"/>
      <c r="K198" s="1197"/>
      <c r="L198" s="1197"/>
      <c r="M198" s="1197"/>
      <c r="N198" s="1197"/>
      <c r="S198" s="250"/>
      <c r="T198" s="425" t="s">
        <v>5620</v>
      </c>
      <c r="U198" s="425" t="str">
        <f>IF(AND(T196="",T197=""),"",IF(T197="","",IF(T196="","",T198)))</f>
        <v/>
      </c>
      <c r="V198" s="250"/>
      <c r="W198" s="250"/>
      <c r="X198" s="250"/>
      <c r="Y198" s="425" t="str">
        <f t="shared" si="53"/>
        <v>1</v>
      </c>
      <c r="Z198" s="425">
        <f>COUNTIF($Y$170:Y198,$Y$171)</f>
        <v>27</v>
      </c>
      <c r="AA198" s="425"/>
      <c r="AB198" s="425"/>
      <c r="AC198" s="425"/>
      <c r="AD198" s="425"/>
      <c r="AE198" s="250"/>
      <c r="AF198" s="250"/>
      <c r="AG198" s="250"/>
      <c r="AH198" s="250"/>
    </row>
    <row r="199" spans="1:34" s="503" customFormat="1" ht="8.1" hidden="1" customHeight="1" x14ac:dyDescent="0.2">
      <c r="A199" s="136"/>
      <c r="S199" s="250"/>
      <c r="T199" s="425"/>
      <c r="U199" s="425"/>
      <c r="V199" s="250"/>
      <c r="W199" s="250"/>
      <c r="X199" s="250"/>
      <c r="Y199" s="425" t="str">
        <f t="shared" si="53"/>
        <v>1</v>
      </c>
      <c r="Z199" s="425">
        <f>COUNTIF($Y$170:Y199,$Y$171)</f>
        <v>28</v>
      </c>
      <c r="AA199" s="425"/>
      <c r="AB199" s="425"/>
      <c r="AC199" s="425"/>
      <c r="AD199" s="425"/>
      <c r="AE199" s="250"/>
      <c r="AF199" s="250"/>
      <c r="AG199" s="250"/>
      <c r="AH199" s="250"/>
    </row>
    <row r="200" spans="1:34" s="503" customFormat="1" ht="24.95" hidden="1" customHeight="1" x14ac:dyDescent="0.2">
      <c r="B200" s="448" t="s">
        <v>4874</v>
      </c>
      <c r="C200" s="449"/>
      <c r="D200" s="449" t="s">
        <v>54</v>
      </c>
      <c r="E200" s="449"/>
      <c r="F200" s="449"/>
      <c r="G200" s="449"/>
      <c r="H200" s="449"/>
      <c r="I200" s="449"/>
      <c r="J200" s="449"/>
      <c r="K200" s="449"/>
      <c r="L200" s="449"/>
      <c r="M200" s="449"/>
      <c r="N200" s="450">
        <f>COUNTIF('ANALISIS TÉCNICO'!F163:G192,'COSTO TOTAL'!D200)</f>
        <v>0</v>
      </c>
      <c r="S200" s="250"/>
      <c r="T200" s="425" t="s">
        <v>5620</v>
      </c>
      <c r="U200" s="425" t="str">
        <f>IF(AND(T200="",T201=""),T202,IF(T200="",T201,T200))</f>
        <v>b</v>
      </c>
      <c r="V200" s="250"/>
      <c r="W200" s="250"/>
      <c r="X200" s="250"/>
      <c r="Y200" s="425" t="str">
        <f t="shared" si="53"/>
        <v>2</v>
      </c>
      <c r="Z200" s="425">
        <f>COUNTIF($Y$170:Y200,$Y$171)</f>
        <v>28</v>
      </c>
      <c r="AA200" s="425"/>
      <c r="AB200" s="425"/>
      <c r="AC200" s="425"/>
      <c r="AD200" s="425"/>
      <c r="AE200" s="250"/>
      <c r="AF200" s="250"/>
      <c r="AG200" s="250"/>
      <c r="AH200" s="250"/>
    </row>
    <row r="201" spans="1:34" s="503" customFormat="1" ht="60" hidden="1" customHeight="1" x14ac:dyDescent="0.2">
      <c r="B201" s="1248" t="str">
        <f>IFERROR(INDEX('ANALISIS TÉCNICO'!$B$163:$M$192,MATCH(1,'ANALISIS TÉCNICO'!$M$163:$M$192,0),1),"")</f>
        <v/>
      </c>
      <c r="C201" s="1248"/>
      <c r="D201" s="1248"/>
      <c r="E201" s="1250" t="str">
        <f>IFERROR(INDEX('ANALISIS TÉCNICO'!$B$163:$M$192,MATCH(1,'ANALISIS TÉCNICO'!$M$163:$M$192,0),3),"")</f>
        <v/>
      </c>
      <c r="F201" s="1252"/>
      <c r="G201" s="1250" t="str">
        <f>IFERROR(IF(B201="","",$D$20),"")</f>
        <v/>
      </c>
      <c r="H201" s="1252"/>
      <c r="I201" s="457" t="str">
        <f>IFERROR(INDEX('ANALISIS TÉCNICO'!$B$163:$M$192,MATCH(1,'ANALISIS TÉCNICO'!$M$163:$M$192,0),7),"")</f>
        <v/>
      </c>
      <c r="J201" s="457" t="str">
        <f>IFERROR(INDEX('ANALISIS TÉCNICO'!$B$163:$M$192,MATCH(1,'ANALISIS TÉCNICO'!$M$163:$M$192,0),8),"")</f>
        <v/>
      </c>
      <c r="K201" s="457" t="str">
        <f>IFERROR(INDEX('ANALISIS TÉCNICO'!$B$163:$M$192,MATCH(1,'ANALISIS TÉCNICO'!$M$163:$M$192,0),9),"")</f>
        <v/>
      </c>
      <c r="L201" s="266" t="str">
        <f>IFERROR(INDEX('ANALISIS TÉCNICO'!$B$163:$M$192,MATCH(1,'ANALISIS TÉCNICO'!$M$163:$M$192,0),10),"")</f>
        <v/>
      </c>
      <c r="M201" s="273"/>
      <c r="N201" s="266" t="str">
        <f t="shared" ref="N201:N209" si="54">IFERROR(IF(G201="","",IF(G201="Infraestructura",M201*L201,M201*J201)),"")</f>
        <v/>
      </c>
      <c r="S201" s="250"/>
      <c r="T201" s="530" t="str">
        <f>IFERROR(IF(B201="","b","c"),"")</f>
        <v>b</v>
      </c>
      <c r="U201" s="425">
        <f>IFERROR(COUNTIF($T$200:T201,$T$201),"")</f>
        <v>1</v>
      </c>
      <c r="V201" s="425" t="str">
        <f t="shared" ref="V201:V208" si="55">IFERROR(B201&amp;" "&amp;E201,"")</f>
        <v xml:space="preserve"> </v>
      </c>
      <c r="W201" s="538" t="str">
        <f>IFERROR(AA201,"")</f>
        <v/>
      </c>
      <c r="X201" s="425">
        <v>1</v>
      </c>
      <c r="Y201" s="425" t="str">
        <f>IFERROR(VLOOKUP(X201,$U$201:$W$242,2,FALSE),"")</f>
        <v xml:space="preserve"> </v>
      </c>
      <c r="Z201" s="425" t="str">
        <f>IFERROR(VLOOKUP(X201,$U$201:$W$242,3,FALSE),"")</f>
        <v/>
      </c>
      <c r="AA201" s="425" t="str">
        <f>IFERROR(N201/$N$217*$M$225+N201,"")</f>
        <v/>
      </c>
      <c r="AB201" s="69"/>
      <c r="AC201" s="69"/>
      <c r="AD201" s="69"/>
      <c r="AF201" s="250"/>
      <c r="AG201" s="250"/>
      <c r="AH201" s="250"/>
    </row>
    <row r="202" spans="1:34" s="503" customFormat="1" ht="60" hidden="1" customHeight="1" x14ac:dyDescent="0.2">
      <c r="A202" s="136"/>
      <c r="B202" s="1248" t="str">
        <f>IFERROR(INDEX('ANALISIS TÉCNICO'!$B$163:$M$192,MATCH(2,'ANALISIS TÉCNICO'!$M$163:$M$192,0),1),"")</f>
        <v/>
      </c>
      <c r="C202" s="1248"/>
      <c r="D202" s="1248"/>
      <c r="E202" s="1250" t="str">
        <f>IFERROR(INDEX('ANALISIS TÉCNICO'!$B$163:$M$192,MATCH(2,'ANALISIS TÉCNICO'!$M$163:$M$192,0),3),"")</f>
        <v/>
      </c>
      <c r="F202" s="1252"/>
      <c r="G202" s="1250" t="str">
        <f t="shared" ref="G202:G209" si="56">IFERROR(IF(B202="","",$D$20),"")</f>
        <v/>
      </c>
      <c r="H202" s="1252"/>
      <c r="I202" s="457" t="str">
        <f>IFERROR(INDEX('ANALISIS TÉCNICO'!$B$163:$M$192,MATCH(2,'ANALISIS TÉCNICO'!$M$163:$M$192,0),7),"")</f>
        <v/>
      </c>
      <c r="J202" s="457" t="str">
        <f>IFERROR(INDEX('ANALISIS TÉCNICO'!$B$163:$M$192,MATCH(2,'ANALISIS TÉCNICO'!$M$163:$M$192,0),8),"")</f>
        <v/>
      </c>
      <c r="K202" s="457" t="str">
        <f>IFERROR(INDEX('ANALISIS TÉCNICO'!$B$163:$M$192,MATCH(2,'ANALISIS TÉCNICO'!$M$163:$M$192,0),9),"")</f>
        <v/>
      </c>
      <c r="L202" s="266" t="str">
        <f>IFERROR(INDEX('ANALISIS TÉCNICO'!$B$163:$M$192,MATCH(2,'ANALISIS TÉCNICO'!$M$163:$M$192,0),10),"")</f>
        <v/>
      </c>
      <c r="M202" s="273"/>
      <c r="N202" s="266" t="str">
        <f t="shared" si="54"/>
        <v/>
      </c>
      <c r="S202" s="250"/>
      <c r="T202" s="530" t="str">
        <f t="shared" ref="T202:T209" si="57">IFERROR(IF(B202="","b","c"),"")</f>
        <v>b</v>
      </c>
      <c r="U202" s="425">
        <f>IFERROR(COUNTIF($T$200:T202,$T$201),"")</f>
        <v>2</v>
      </c>
      <c r="V202" s="425" t="str">
        <f t="shared" si="55"/>
        <v xml:space="preserve"> </v>
      </c>
      <c r="W202" s="538" t="str">
        <f t="shared" ref="W202:W242" si="58">IFERROR(AA202,"")</f>
        <v/>
      </c>
      <c r="X202" s="425">
        <v>2</v>
      </c>
      <c r="Y202" s="425" t="str">
        <f t="shared" ref="Y202:Y230" si="59">IFERROR(VLOOKUP(X202,$U$201:$W$242,2,FALSE),"")</f>
        <v xml:space="preserve"> </v>
      </c>
      <c r="Z202" s="425" t="str">
        <f t="shared" ref="Z202:Z230" si="60">IFERROR(VLOOKUP(X202,$U$201:$W$242,3,FALSE),"")</f>
        <v/>
      </c>
      <c r="AA202" s="425" t="str">
        <f>IFERROR(N202/$N$217*$M$225+N202,"")</f>
        <v/>
      </c>
      <c r="AB202" s="69"/>
      <c r="AC202" s="69"/>
      <c r="AF202" s="250"/>
      <c r="AG202" s="250"/>
      <c r="AH202" s="250"/>
    </row>
    <row r="203" spans="1:34" s="503" customFormat="1" ht="60" hidden="1" customHeight="1" x14ac:dyDescent="0.2">
      <c r="B203" s="1248" t="str">
        <f>IFERROR(INDEX('ANALISIS TÉCNICO'!$B$163:$M$192,MATCH(3,'ANALISIS TÉCNICO'!$M$163:$M$192,0),1),"")</f>
        <v/>
      </c>
      <c r="C203" s="1248"/>
      <c r="D203" s="1248"/>
      <c r="E203" s="1250" t="str">
        <f>IFERROR(INDEX('ANALISIS TÉCNICO'!$B$163:$M$192,MATCH(3,'ANALISIS TÉCNICO'!$M$163:$M$192,0),3),"")</f>
        <v/>
      </c>
      <c r="F203" s="1252"/>
      <c r="G203" s="1250" t="str">
        <f t="shared" si="56"/>
        <v/>
      </c>
      <c r="H203" s="1252"/>
      <c r="I203" s="457" t="str">
        <f>IFERROR(INDEX('ANALISIS TÉCNICO'!$B$163:$M$192,MATCH(3,'ANALISIS TÉCNICO'!$M$163:$M$192,0),7),"")</f>
        <v/>
      </c>
      <c r="J203" s="457" t="str">
        <f>IFERROR(INDEX('ANALISIS TÉCNICO'!$B$163:$M$192,MATCH(3,'ANALISIS TÉCNICO'!$M$163:$M$192,0),8),"")</f>
        <v/>
      </c>
      <c r="K203" s="457" t="str">
        <f>IFERROR(INDEX('ANALISIS TÉCNICO'!$B$163:$M$192,MATCH(3,'ANALISIS TÉCNICO'!$M$163:$M$192,0),9),"")</f>
        <v/>
      </c>
      <c r="L203" s="266" t="str">
        <f>IFERROR(INDEX('ANALISIS TÉCNICO'!$B$163:$M$192,MATCH(3,'ANALISIS TÉCNICO'!$M$163:$M$192,0),10),"")</f>
        <v/>
      </c>
      <c r="M203" s="273"/>
      <c r="N203" s="266" t="str">
        <f t="shared" si="54"/>
        <v/>
      </c>
      <c r="S203" s="250"/>
      <c r="T203" s="530" t="str">
        <f t="shared" si="57"/>
        <v>b</v>
      </c>
      <c r="U203" s="425">
        <f>IFERROR(COUNTIF($T$200:T203,$T$201),"")</f>
        <v>3</v>
      </c>
      <c r="V203" s="425" t="str">
        <f t="shared" si="55"/>
        <v xml:space="preserve"> </v>
      </c>
      <c r="W203" s="538" t="str">
        <f t="shared" si="58"/>
        <v/>
      </c>
      <c r="X203" s="425">
        <v>3</v>
      </c>
      <c r="Y203" s="425" t="str">
        <f t="shared" si="59"/>
        <v xml:space="preserve"> </v>
      </c>
      <c r="Z203" s="425" t="str">
        <f t="shared" si="60"/>
        <v/>
      </c>
      <c r="AA203" s="425" t="str">
        <f t="shared" ref="AA203:AA209" si="61">IFERROR(N203/$N$217*$M$225+N203,"")</f>
        <v/>
      </c>
      <c r="AB203" s="69"/>
      <c r="AC203" s="69"/>
      <c r="AF203" s="250"/>
      <c r="AG203" s="250"/>
      <c r="AH203" s="250"/>
    </row>
    <row r="204" spans="1:34" s="503" customFormat="1" ht="60" hidden="1" customHeight="1" x14ac:dyDescent="0.2">
      <c r="B204" s="1248" t="str">
        <f>IFERROR(INDEX('ANALISIS TÉCNICO'!$B$163:$M$192,MATCH(4,'ANALISIS TÉCNICO'!$M$163:$M$192,0),1),"")</f>
        <v/>
      </c>
      <c r="C204" s="1248"/>
      <c r="D204" s="1248"/>
      <c r="E204" s="1250" t="str">
        <f>IFERROR(INDEX('ANALISIS TÉCNICO'!$B$163:$M$192,MATCH(4,'ANALISIS TÉCNICO'!$M$163:$M$192,0),3),"")</f>
        <v/>
      </c>
      <c r="F204" s="1252"/>
      <c r="G204" s="1250" t="str">
        <f t="shared" si="56"/>
        <v/>
      </c>
      <c r="H204" s="1252"/>
      <c r="I204" s="457" t="str">
        <f>IFERROR(INDEX('ANALISIS TÉCNICO'!$B$163:$M$192,MATCH(4,'ANALISIS TÉCNICO'!$M$163:$M$192,0),7),"")</f>
        <v/>
      </c>
      <c r="J204" s="457" t="str">
        <f>IFERROR(INDEX('ANALISIS TÉCNICO'!$B$163:$M$192,MATCH(4,'ANALISIS TÉCNICO'!$M$163:$M$192,0),8),"")</f>
        <v/>
      </c>
      <c r="K204" s="457" t="str">
        <f>IFERROR(INDEX('ANALISIS TÉCNICO'!$B$163:$M$192,MATCH(4,'ANALISIS TÉCNICO'!$M$163:$M$192,0),9),"")</f>
        <v/>
      </c>
      <c r="L204" s="266" t="str">
        <f>IFERROR(INDEX('ANALISIS TÉCNICO'!$B$163:$M$192,MATCH(4,'ANALISIS TÉCNICO'!$M$163:$M$192,0),10),"")</f>
        <v/>
      </c>
      <c r="M204" s="273"/>
      <c r="N204" s="266" t="str">
        <f t="shared" si="54"/>
        <v/>
      </c>
      <c r="S204" s="250"/>
      <c r="T204" s="530" t="str">
        <f t="shared" si="57"/>
        <v>b</v>
      </c>
      <c r="U204" s="425">
        <f>IFERROR(COUNTIF($T$200:T204,$T$201),"")</f>
        <v>4</v>
      </c>
      <c r="V204" s="425" t="str">
        <f t="shared" si="55"/>
        <v xml:space="preserve"> </v>
      </c>
      <c r="W204" s="538" t="str">
        <f t="shared" si="58"/>
        <v/>
      </c>
      <c r="X204" s="425">
        <v>4</v>
      </c>
      <c r="Y204" s="425" t="str">
        <f t="shared" si="59"/>
        <v xml:space="preserve"> </v>
      </c>
      <c r="Z204" s="425" t="str">
        <f t="shared" si="60"/>
        <v/>
      </c>
      <c r="AA204" s="425" t="str">
        <f t="shared" si="61"/>
        <v/>
      </c>
      <c r="AB204" s="69"/>
      <c r="AC204" s="69"/>
      <c r="AF204" s="250"/>
      <c r="AG204" s="250"/>
      <c r="AH204" s="250"/>
    </row>
    <row r="205" spans="1:34" s="503" customFormat="1" ht="60" hidden="1" customHeight="1" x14ac:dyDescent="0.2">
      <c r="A205" s="136"/>
      <c r="B205" s="1248" t="str">
        <f>IFERROR(INDEX('ANALISIS TÉCNICO'!$B$163:$M$192,MATCH(5,'ANALISIS TÉCNICO'!$M$163:$M$192,0),1),"")</f>
        <v/>
      </c>
      <c r="C205" s="1248"/>
      <c r="D205" s="1248"/>
      <c r="E205" s="1250" t="str">
        <f>IFERROR(INDEX('ANALISIS TÉCNICO'!$B$163:$M$192,MATCH(5,'ANALISIS TÉCNICO'!$M$163:$M$192,0),3),"")</f>
        <v/>
      </c>
      <c r="F205" s="1252"/>
      <c r="G205" s="1250" t="str">
        <f t="shared" si="56"/>
        <v/>
      </c>
      <c r="H205" s="1252"/>
      <c r="I205" s="457" t="str">
        <f>IFERROR(INDEX('ANALISIS TÉCNICO'!$B$163:$M$192,MATCH(5,'ANALISIS TÉCNICO'!$M$163:$M$192,0),7),"")</f>
        <v/>
      </c>
      <c r="J205" s="457" t="str">
        <f>IFERROR(INDEX('ANALISIS TÉCNICO'!$B$163:$M$192,MATCH(5,'ANALISIS TÉCNICO'!$M$163:$M$192,0),8),"")</f>
        <v/>
      </c>
      <c r="K205" s="457" t="str">
        <f>IFERROR(INDEX('ANALISIS TÉCNICO'!$B$163:$M$192,MATCH(5,'ANALISIS TÉCNICO'!$M$163:$M$192,0),9),"")</f>
        <v/>
      </c>
      <c r="L205" s="266" t="str">
        <f>IFERROR(INDEX('ANALISIS TÉCNICO'!$B$163:$M$192,MATCH(5,'ANALISIS TÉCNICO'!$M$163:$M$192,0),10),"")</f>
        <v/>
      </c>
      <c r="M205" s="273"/>
      <c r="N205" s="266" t="str">
        <f t="shared" si="54"/>
        <v/>
      </c>
      <c r="S205" s="250"/>
      <c r="T205" s="530" t="str">
        <f t="shared" si="57"/>
        <v>b</v>
      </c>
      <c r="U205" s="425">
        <f>IFERROR(COUNTIF($T$200:T205,$T$201),"")</f>
        <v>5</v>
      </c>
      <c r="V205" s="425" t="str">
        <f t="shared" si="55"/>
        <v xml:space="preserve"> </v>
      </c>
      <c r="W205" s="538" t="str">
        <f t="shared" si="58"/>
        <v/>
      </c>
      <c r="X205" s="425">
        <v>5</v>
      </c>
      <c r="Y205" s="425" t="str">
        <f t="shared" si="59"/>
        <v xml:space="preserve"> </v>
      </c>
      <c r="Z205" s="425" t="str">
        <f t="shared" si="60"/>
        <v/>
      </c>
      <c r="AA205" s="425" t="str">
        <f t="shared" si="61"/>
        <v/>
      </c>
      <c r="AB205" s="69"/>
      <c r="AC205" s="69"/>
      <c r="AF205" s="250"/>
      <c r="AG205" s="250"/>
      <c r="AH205" s="250"/>
    </row>
    <row r="206" spans="1:34" s="503" customFormat="1" ht="60" hidden="1" customHeight="1" x14ac:dyDescent="0.2">
      <c r="B206" s="1248" t="str">
        <f>IFERROR(INDEX('ANALISIS TÉCNICO'!$B$163:$M$192,MATCH(6,'ANALISIS TÉCNICO'!$M$163:$M$192,0),1),"")</f>
        <v/>
      </c>
      <c r="C206" s="1248"/>
      <c r="D206" s="1248"/>
      <c r="E206" s="1250" t="str">
        <f>IFERROR(INDEX('ANALISIS TÉCNICO'!$B$163:$M$192,MATCH(6,'ANALISIS TÉCNICO'!$M$163:$M$192,0),3),"")</f>
        <v/>
      </c>
      <c r="F206" s="1252"/>
      <c r="G206" s="1250" t="str">
        <f t="shared" si="56"/>
        <v/>
      </c>
      <c r="H206" s="1252"/>
      <c r="I206" s="457" t="str">
        <f>IFERROR(INDEX('ANALISIS TÉCNICO'!$B$163:$M$192,MATCH(6,'ANALISIS TÉCNICO'!$M$163:$M$192,0),7),"")</f>
        <v/>
      </c>
      <c r="J206" s="457" t="str">
        <f>IFERROR(INDEX('ANALISIS TÉCNICO'!$B$163:$M$192,MATCH(6,'ANALISIS TÉCNICO'!$M$163:$M$192,0),8),"")</f>
        <v/>
      </c>
      <c r="K206" s="457" t="str">
        <f>IFERROR(INDEX('ANALISIS TÉCNICO'!$B$163:$M$192,MATCH(6,'ANALISIS TÉCNICO'!$M$163:$M$192,0),9),"")</f>
        <v/>
      </c>
      <c r="L206" s="266" t="str">
        <f>IFERROR(INDEX('ANALISIS TÉCNICO'!$B$163:$M$192,MATCH(6,'ANALISIS TÉCNICO'!$M$163:$M$192,0),10),"")</f>
        <v/>
      </c>
      <c r="M206" s="273"/>
      <c r="N206" s="266" t="str">
        <f t="shared" si="54"/>
        <v/>
      </c>
      <c r="S206" s="250"/>
      <c r="T206" s="530" t="str">
        <f t="shared" si="57"/>
        <v>b</v>
      </c>
      <c r="U206" s="425">
        <f>IFERROR(COUNTIF($T$200:T206,$T$201),"")</f>
        <v>6</v>
      </c>
      <c r="V206" s="425" t="str">
        <f t="shared" si="55"/>
        <v xml:space="preserve"> </v>
      </c>
      <c r="W206" s="538" t="str">
        <f t="shared" si="58"/>
        <v/>
      </c>
      <c r="X206" s="425">
        <v>6</v>
      </c>
      <c r="Y206" s="425" t="str">
        <f t="shared" si="59"/>
        <v xml:space="preserve"> </v>
      </c>
      <c r="Z206" s="425" t="str">
        <f t="shared" si="60"/>
        <v/>
      </c>
      <c r="AA206" s="425" t="str">
        <f t="shared" si="61"/>
        <v/>
      </c>
      <c r="AB206" s="69"/>
      <c r="AC206" s="69"/>
      <c r="AF206" s="250"/>
      <c r="AG206" s="250"/>
      <c r="AH206" s="250"/>
    </row>
    <row r="207" spans="1:34" s="503" customFormat="1" ht="60" hidden="1" customHeight="1" x14ac:dyDescent="0.2">
      <c r="B207" s="1248" t="str">
        <f>IFERROR(INDEX('ANALISIS TÉCNICO'!$B$163:$M$192,MATCH(7,'ANALISIS TÉCNICO'!$M$163:$M$192,0),1),"")</f>
        <v/>
      </c>
      <c r="C207" s="1248"/>
      <c r="D207" s="1248"/>
      <c r="E207" s="1250" t="str">
        <f>IFERROR(INDEX('ANALISIS TÉCNICO'!$B$163:$M$192,MATCH(7,'ANALISIS TÉCNICO'!$M$163:$M$192,0),3),"")</f>
        <v/>
      </c>
      <c r="F207" s="1252"/>
      <c r="G207" s="1250" t="str">
        <f t="shared" si="56"/>
        <v/>
      </c>
      <c r="H207" s="1252"/>
      <c r="I207" s="457" t="str">
        <f>IFERROR(INDEX('ANALISIS TÉCNICO'!$B$163:$M$192,MATCH(7,'ANALISIS TÉCNICO'!$M$163:$M$192,0),7),"")</f>
        <v/>
      </c>
      <c r="J207" s="457" t="str">
        <f>IFERROR(INDEX('ANALISIS TÉCNICO'!$B$163:$M$192,MATCH(7,'ANALISIS TÉCNICO'!$M$163:$M$192,0),8),"")</f>
        <v/>
      </c>
      <c r="K207" s="457" t="str">
        <f>IFERROR(INDEX('ANALISIS TÉCNICO'!$B$163:$M$192,MATCH(7,'ANALISIS TÉCNICO'!$M$163:$M$192,0),9),"")</f>
        <v/>
      </c>
      <c r="L207" s="266" t="str">
        <f>IFERROR(INDEX('ANALISIS TÉCNICO'!$B$163:$M$192,MATCH(7,'ANALISIS TÉCNICO'!$M$163:$M$192,0),10),"")</f>
        <v/>
      </c>
      <c r="M207" s="273"/>
      <c r="N207" s="266" t="str">
        <f t="shared" si="54"/>
        <v/>
      </c>
      <c r="S207" s="250"/>
      <c r="T207" s="530" t="str">
        <f t="shared" si="57"/>
        <v>b</v>
      </c>
      <c r="U207" s="425">
        <f>IFERROR(COUNTIF($T$200:T207,$T$201),"")</f>
        <v>7</v>
      </c>
      <c r="V207" s="425" t="str">
        <f t="shared" si="55"/>
        <v xml:space="preserve"> </v>
      </c>
      <c r="W207" s="538" t="str">
        <f t="shared" si="58"/>
        <v/>
      </c>
      <c r="X207" s="425">
        <v>7</v>
      </c>
      <c r="Y207" s="425" t="str">
        <f t="shared" si="59"/>
        <v xml:space="preserve"> </v>
      </c>
      <c r="Z207" s="425" t="str">
        <f t="shared" si="60"/>
        <v/>
      </c>
      <c r="AA207" s="425" t="str">
        <f t="shared" si="61"/>
        <v/>
      </c>
      <c r="AB207" s="69"/>
      <c r="AC207" s="69"/>
      <c r="AF207" s="250"/>
      <c r="AG207" s="250"/>
      <c r="AH207" s="250"/>
    </row>
    <row r="208" spans="1:34" s="503" customFormat="1" ht="60" hidden="1" customHeight="1" x14ac:dyDescent="0.2">
      <c r="A208" s="136"/>
      <c r="B208" s="1248" t="str">
        <f>IFERROR(INDEX('ANALISIS TÉCNICO'!$B$163:$M$192,MATCH(8,'ANALISIS TÉCNICO'!$M$163:$M$192,0),1),"")</f>
        <v/>
      </c>
      <c r="C208" s="1248"/>
      <c r="D208" s="1248"/>
      <c r="E208" s="1250" t="str">
        <f>IFERROR(INDEX('ANALISIS TÉCNICO'!$B$163:$M$192,MATCH(8,'ANALISIS TÉCNICO'!$M$163:$M$192,0),3),"")</f>
        <v/>
      </c>
      <c r="F208" s="1252"/>
      <c r="G208" s="1250" t="str">
        <f t="shared" si="56"/>
        <v/>
      </c>
      <c r="H208" s="1252"/>
      <c r="I208" s="457" t="str">
        <f>IFERROR(INDEX('ANALISIS TÉCNICO'!$B$163:$M$192,MATCH(8,'ANALISIS TÉCNICO'!$M$163:$M$192,0),7),"")</f>
        <v/>
      </c>
      <c r="J208" s="457" t="str">
        <f>IFERROR(INDEX('ANALISIS TÉCNICO'!$B$163:$M$192,MATCH(8,'ANALISIS TÉCNICO'!$M$163:$M$192,0),8),"")</f>
        <v/>
      </c>
      <c r="K208" s="457" t="str">
        <f>IFERROR(INDEX('ANALISIS TÉCNICO'!$B$163:$M$192,MATCH(8,'ANALISIS TÉCNICO'!$M$163:$M$192,0),9),"")</f>
        <v/>
      </c>
      <c r="L208" s="266" t="str">
        <f>IFERROR(INDEX('ANALISIS TÉCNICO'!$B$163:$M$192,MATCH(8,'ANALISIS TÉCNICO'!$M$163:$M$192,0),10),"")</f>
        <v/>
      </c>
      <c r="M208" s="273"/>
      <c r="N208" s="266" t="str">
        <f t="shared" si="54"/>
        <v/>
      </c>
      <c r="S208" s="250"/>
      <c r="T208" s="530" t="str">
        <f t="shared" si="57"/>
        <v>b</v>
      </c>
      <c r="U208" s="425">
        <f>IFERROR(COUNTIF($T$200:T208,$T$201),"")</f>
        <v>8</v>
      </c>
      <c r="V208" s="425" t="str">
        <f t="shared" si="55"/>
        <v xml:space="preserve"> </v>
      </c>
      <c r="W208" s="538" t="str">
        <f t="shared" si="58"/>
        <v/>
      </c>
      <c r="X208" s="425">
        <v>8</v>
      </c>
      <c r="Y208" s="425" t="str">
        <f t="shared" si="59"/>
        <v xml:space="preserve"> </v>
      </c>
      <c r="Z208" s="425" t="str">
        <f t="shared" si="60"/>
        <v/>
      </c>
      <c r="AA208" s="425" t="str">
        <f t="shared" si="61"/>
        <v/>
      </c>
      <c r="AB208" s="69"/>
      <c r="AC208" s="69"/>
      <c r="AF208" s="250"/>
      <c r="AG208" s="250"/>
      <c r="AH208" s="250"/>
    </row>
    <row r="209" spans="1:34" s="503" customFormat="1" ht="60" hidden="1" customHeight="1" x14ac:dyDescent="0.2">
      <c r="B209" s="1248" t="str">
        <f>IFERROR(INDEX('ANALISIS TÉCNICO'!$B$163:$M$192,MATCH(9,'ANALISIS TÉCNICO'!$M$163:$M$192,0),1),"")</f>
        <v/>
      </c>
      <c r="C209" s="1248"/>
      <c r="D209" s="1248"/>
      <c r="E209" s="1250" t="str">
        <f>IFERROR(INDEX('ANALISIS TÉCNICO'!$B$163:$M$192,MATCH(9,'ANALISIS TÉCNICO'!$M$163:$M$192,0),3),"")</f>
        <v/>
      </c>
      <c r="F209" s="1252"/>
      <c r="G209" s="1250" t="str">
        <f t="shared" si="56"/>
        <v/>
      </c>
      <c r="H209" s="1252"/>
      <c r="I209" s="457" t="str">
        <f>IFERROR(INDEX('ANALISIS TÉCNICO'!$B$163:$M$192,MATCH(9,'ANALISIS TÉCNICO'!$M$163:$M$192,0),7),"")</f>
        <v/>
      </c>
      <c r="J209" s="457" t="str">
        <f>IFERROR(INDEX('ANALISIS TÉCNICO'!$B$163:$M$192,MATCH(9,'ANALISIS TÉCNICO'!$M$163:$M$192,0),8),"")</f>
        <v/>
      </c>
      <c r="K209" s="457" t="str">
        <f>IFERROR(INDEX('ANALISIS TÉCNICO'!$B$163:$M$192,MATCH(9,'ANALISIS TÉCNICO'!$M$163:$M$192,0),9),"")</f>
        <v/>
      </c>
      <c r="L209" s="266" t="str">
        <f>IFERROR(INDEX('ANALISIS TÉCNICO'!$B$163:$M$192,MATCH(9,'ANALISIS TÉCNICO'!$M$163:$M$192,0),10),"")</f>
        <v/>
      </c>
      <c r="M209" s="273"/>
      <c r="N209" s="266" t="str">
        <f t="shared" si="54"/>
        <v/>
      </c>
      <c r="S209" s="250"/>
      <c r="T209" s="530" t="str">
        <f t="shared" si="57"/>
        <v>b</v>
      </c>
      <c r="U209" s="425">
        <f>IFERROR(COUNTIF($T$200:T209,$T$201),"")</f>
        <v>9</v>
      </c>
      <c r="V209" s="425" t="str">
        <f>IFERROR(B209&amp;" "&amp;E209,"")</f>
        <v xml:space="preserve"> </v>
      </c>
      <c r="W209" s="538" t="str">
        <f t="shared" si="58"/>
        <v/>
      </c>
      <c r="X209" s="425">
        <v>9</v>
      </c>
      <c r="Y209" s="425" t="str">
        <f t="shared" si="59"/>
        <v xml:space="preserve"> </v>
      </c>
      <c r="Z209" s="425" t="str">
        <f t="shared" si="60"/>
        <v/>
      </c>
      <c r="AA209" s="425" t="str">
        <f t="shared" si="61"/>
        <v/>
      </c>
      <c r="AB209" s="69"/>
      <c r="AC209" s="69"/>
      <c r="AF209" s="250"/>
      <c r="AG209" s="250"/>
      <c r="AH209" s="250"/>
    </row>
    <row r="210" spans="1:34" s="503" customFormat="1" ht="24.95" hidden="1" customHeight="1" x14ac:dyDescent="0.2">
      <c r="B210" s="448" t="s">
        <v>4875</v>
      </c>
      <c r="C210" s="449"/>
      <c r="D210" s="449"/>
      <c r="E210" s="449"/>
      <c r="F210" s="449"/>
      <c r="G210" s="449"/>
      <c r="H210" s="449"/>
      <c r="I210" s="449"/>
      <c r="J210" s="449"/>
      <c r="K210" s="449"/>
      <c r="L210" s="496" t="s">
        <v>4922</v>
      </c>
      <c r="M210" s="555"/>
      <c r="N210" s="459"/>
      <c r="S210" s="250"/>
      <c r="T210" s="530" t="str">
        <f t="shared" ref="T210:T215" si="62">IFERROR(IF(B211="","b","c"),"")</f>
        <v>b</v>
      </c>
      <c r="U210" s="425">
        <f>IFERROR(COUNTIF($T$200:T210,$T$201),"")</f>
        <v>10</v>
      </c>
      <c r="V210" s="425" t="str">
        <f t="shared" ref="V210:V215" si="63">IFERROR(B211&amp;" "&amp;E211,"")</f>
        <v xml:space="preserve"> </v>
      </c>
      <c r="W210" s="538" t="str">
        <f t="shared" si="58"/>
        <v/>
      </c>
      <c r="X210" s="425">
        <v>10</v>
      </c>
      <c r="Y210" s="425" t="str">
        <f t="shared" si="59"/>
        <v xml:space="preserve"> </v>
      </c>
      <c r="Z210" s="425" t="str">
        <f t="shared" si="60"/>
        <v/>
      </c>
      <c r="AA210" s="425" t="str">
        <f t="shared" ref="AA210:AA215" si="64">IFERROR(N211/$N$217*$M$225+N211,"")</f>
        <v/>
      </c>
      <c r="AB210" s="69"/>
      <c r="AC210" s="69"/>
      <c r="AF210" s="250"/>
      <c r="AG210" s="250"/>
      <c r="AH210" s="250"/>
    </row>
    <row r="211" spans="1:34" s="503" customFormat="1" ht="60" hidden="1" customHeight="1" x14ac:dyDescent="0.2">
      <c r="A211" s="136"/>
      <c r="B211" s="1759"/>
      <c r="C211" s="1759"/>
      <c r="D211" s="1759"/>
      <c r="E211" s="1186"/>
      <c r="F211" s="1188"/>
      <c r="G211" s="1250" t="str">
        <f t="shared" ref="G211:G216" si="65">IFERROR(IF(B211="","",$D$20),"")</f>
        <v/>
      </c>
      <c r="H211" s="1252"/>
      <c r="I211" s="457" t="str">
        <f t="shared" ref="I211:I216" si="66">IFERROR(IF(B211="","","Unidad"),"")</f>
        <v/>
      </c>
      <c r="J211" s="505"/>
      <c r="K211" s="457" t="str">
        <f t="shared" ref="K211:K216" si="67">IFERROR(IF(B211="","","ml"),"")</f>
        <v/>
      </c>
      <c r="L211" s="273"/>
      <c r="M211" s="273"/>
      <c r="N211" s="266" t="str">
        <f t="shared" ref="N211:N216" si="68">IFERROR(IF(G211="","",IF(G211="Infraestructura",M211*L211,M211*J211)),"")</f>
        <v/>
      </c>
      <c r="S211" s="250"/>
      <c r="T211" s="530" t="str">
        <f t="shared" si="62"/>
        <v>b</v>
      </c>
      <c r="U211" s="425">
        <f>IFERROR(COUNTIF($T$200:T211,$T$201),"")</f>
        <v>11</v>
      </c>
      <c r="V211" s="425" t="str">
        <f t="shared" si="63"/>
        <v xml:space="preserve"> </v>
      </c>
      <c r="W211" s="538" t="str">
        <f t="shared" si="58"/>
        <v/>
      </c>
      <c r="X211" s="425">
        <v>11</v>
      </c>
      <c r="Y211" s="425" t="str">
        <f t="shared" si="59"/>
        <v xml:space="preserve"> </v>
      </c>
      <c r="Z211" s="425" t="str">
        <f t="shared" si="60"/>
        <v/>
      </c>
      <c r="AA211" s="425" t="str">
        <f t="shared" si="64"/>
        <v/>
      </c>
      <c r="AB211" s="69"/>
      <c r="AC211" s="69"/>
      <c r="AF211" s="250"/>
      <c r="AG211" s="250"/>
      <c r="AH211" s="250"/>
    </row>
    <row r="212" spans="1:34" s="503" customFormat="1" ht="60" hidden="1" customHeight="1" x14ac:dyDescent="0.2">
      <c r="B212" s="1759"/>
      <c r="C212" s="1759"/>
      <c r="D212" s="1759"/>
      <c r="E212" s="1186"/>
      <c r="F212" s="1188"/>
      <c r="G212" s="1250" t="str">
        <f t="shared" si="65"/>
        <v/>
      </c>
      <c r="H212" s="1252"/>
      <c r="I212" s="457" t="str">
        <f t="shared" si="66"/>
        <v/>
      </c>
      <c r="J212" s="505"/>
      <c r="K212" s="457" t="str">
        <f t="shared" si="67"/>
        <v/>
      </c>
      <c r="L212" s="273"/>
      <c r="M212" s="273"/>
      <c r="N212" s="266" t="str">
        <f t="shared" si="68"/>
        <v/>
      </c>
      <c r="S212" s="250"/>
      <c r="T212" s="530" t="str">
        <f t="shared" si="62"/>
        <v>b</v>
      </c>
      <c r="U212" s="425">
        <f>IFERROR(COUNTIF($T$200:T212,$T$201),"")</f>
        <v>12</v>
      </c>
      <c r="V212" s="425" t="str">
        <f t="shared" si="63"/>
        <v xml:space="preserve"> </v>
      </c>
      <c r="W212" s="538" t="str">
        <f t="shared" si="58"/>
        <v/>
      </c>
      <c r="X212" s="425">
        <v>12</v>
      </c>
      <c r="Y212" s="425" t="str">
        <f t="shared" si="59"/>
        <v xml:space="preserve"> </v>
      </c>
      <c r="Z212" s="425" t="str">
        <f t="shared" si="60"/>
        <v/>
      </c>
      <c r="AA212" s="425" t="str">
        <f t="shared" si="64"/>
        <v/>
      </c>
      <c r="AB212" s="69"/>
      <c r="AC212" s="69"/>
      <c r="AF212" s="250"/>
      <c r="AG212" s="250"/>
      <c r="AH212" s="250"/>
    </row>
    <row r="213" spans="1:34" s="503" customFormat="1" ht="60" hidden="1" customHeight="1" x14ac:dyDescent="0.2">
      <c r="B213" s="1759"/>
      <c r="C213" s="1759"/>
      <c r="D213" s="1759"/>
      <c r="E213" s="1186"/>
      <c r="F213" s="1188"/>
      <c r="G213" s="1250" t="str">
        <f t="shared" si="65"/>
        <v/>
      </c>
      <c r="H213" s="1252"/>
      <c r="I213" s="457" t="str">
        <f t="shared" si="66"/>
        <v/>
      </c>
      <c r="J213" s="505"/>
      <c r="K213" s="457" t="str">
        <f t="shared" si="67"/>
        <v/>
      </c>
      <c r="L213" s="273"/>
      <c r="M213" s="273"/>
      <c r="N213" s="266" t="str">
        <f t="shared" si="68"/>
        <v/>
      </c>
      <c r="S213" s="250"/>
      <c r="T213" s="530" t="str">
        <f t="shared" si="62"/>
        <v>b</v>
      </c>
      <c r="U213" s="425">
        <f>IFERROR(COUNTIF($T$200:T213,$T$201),"")</f>
        <v>13</v>
      </c>
      <c r="V213" s="425" t="str">
        <f t="shared" si="63"/>
        <v xml:space="preserve"> </v>
      </c>
      <c r="W213" s="538" t="str">
        <f t="shared" si="58"/>
        <v/>
      </c>
      <c r="X213" s="425">
        <v>13</v>
      </c>
      <c r="Y213" s="425" t="str">
        <f t="shared" si="59"/>
        <v xml:space="preserve"> </v>
      </c>
      <c r="Z213" s="425" t="str">
        <f t="shared" si="60"/>
        <v/>
      </c>
      <c r="AA213" s="425" t="str">
        <f t="shared" si="64"/>
        <v/>
      </c>
      <c r="AB213" s="69"/>
      <c r="AC213" s="69"/>
      <c r="AF213" s="250"/>
      <c r="AG213" s="250"/>
      <c r="AH213" s="250"/>
    </row>
    <row r="214" spans="1:34" s="503" customFormat="1" ht="60" hidden="1" customHeight="1" x14ac:dyDescent="0.2">
      <c r="A214" s="136"/>
      <c r="B214" s="1204"/>
      <c r="C214" s="1249"/>
      <c r="D214" s="1249"/>
      <c r="E214" s="1224"/>
      <c r="F214" s="1224"/>
      <c r="G214" s="1250" t="str">
        <f t="shared" si="65"/>
        <v/>
      </c>
      <c r="H214" s="1252"/>
      <c r="I214" s="457" t="str">
        <f t="shared" si="66"/>
        <v/>
      </c>
      <c r="J214" s="505"/>
      <c r="K214" s="457" t="str">
        <f t="shared" si="67"/>
        <v/>
      </c>
      <c r="L214" s="273"/>
      <c r="M214" s="451"/>
      <c r="N214" s="266" t="str">
        <f t="shared" si="68"/>
        <v/>
      </c>
      <c r="S214" s="250"/>
      <c r="T214" s="530" t="str">
        <f t="shared" si="62"/>
        <v>b</v>
      </c>
      <c r="U214" s="425">
        <f>IFERROR(COUNTIF($T$200:T214,$T$201),"")</f>
        <v>14</v>
      </c>
      <c r="V214" s="425" t="str">
        <f t="shared" si="63"/>
        <v xml:space="preserve"> </v>
      </c>
      <c r="W214" s="538" t="str">
        <f t="shared" si="58"/>
        <v/>
      </c>
      <c r="X214" s="425">
        <v>14</v>
      </c>
      <c r="Y214" s="425" t="str">
        <f t="shared" si="59"/>
        <v xml:space="preserve"> </v>
      </c>
      <c r="Z214" s="425" t="str">
        <f t="shared" si="60"/>
        <v/>
      </c>
      <c r="AA214" s="425" t="str">
        <f t="shared" si="64"/>
        <v/>
      </c>
      <c r="AB214" s="69"/>
      <c r="AC214" s="69"/>
      <c r="AF214" s="250"/>
      <c r="AG214" s="250"/>
      <c r="AH214" s="250"/>
    </row>
    <row r="215" spans="1:34" s="503" customFormat="1" ht="60" hidden="1" customHeight="1" x14ac:dyDescent="0.2">
      <c r="B215" s="1204"/>
      <c r="C215" s="1249"/>
      <c r="D215" s="1249"/>
      <c r="E215" s="1224"/>
      <c r="F215" s="1224"/>
      <c r="G215" s="1250" t="str">
        <f t="shared" si="65"/>
        <v/>
      </c>
      <c r="H215" s="1252"/>
      <c r="I215" s="457" t="str">
        <f t="shared" si="66"/>
        <v/>
      </c>
      <c r="J215" s="505"/>
      <c r="K215" s="457" t="str">
        <f t="shared" si="67"/>
        <v/>
      </c>
      <c r="L215" s="273"/>
      <c r="M215" s="451"/>
      <c r="N215" s="266" t="str">
        <f t="shared" si="68"/>
        <v/>
      </c>
      <c r="S215" s="250"/>
      <c r="T215" s="530" t="str">
        <f t="shared" si="62"/>
        <v>b</v>
      </c>
      <c r="U215" s="425">
        <f>IFERROR(COUNTIF($T$200:T215,$T$201),"")</f>
        <v>15</v>
      </c>
      <c r="V215" s="425" t="str">
        <f t="shared" si="63"/>
        <v xml:space="preserve"> </v>
      </c>
      <c r="W215" s="538" t="str">
        <f t="shared" si="58"/>
        <v/>
      </c>
      <c r="X215" s="425">
        <v>15</v>
      </c>
      <c r="Y215" s="425" t="str">
        <f t="shared" si="59"/>
        <v xml:space="preserve"> </v>
      </c>
      <c r="Z215" s="425" t="str">
        <f t="shared" si="60"/>
        <v/>
      </c>
      <c r="AA215" s="425" t="str">
        <f t="shared" si="64"/>
        <v/>
      </c>
      <c r="AF215" s="250"/>
      <c r="AG215" s="250"/>
      <c r="AH215" s="250"/>
    </row>
    <row r="216" spans="1:34" s="503" customFormat="1" ht="60" hidden="1" customHeight="1" x14ac:dyDescent="0.2">
      <c r="A216" s="136"/>
      <c r="B216" s="1204"/>
      <c r="C216" s="1249"/>
      <c r="D216" s="1249"/>
      <c r="E216" s="1224"/>
      <c r="F216" s="1224"/>
      <c r="G216" s="1250" t="str">
        <f t="shared" si="65"/>
        <v/>
      </c>
      <c r="H216" s="1252"/>
      <c r="I216" s="457" t="str">
        <f t="shared" si="66"/>
        <v/>
      </c>
      <c r="J216" s="505"/>
      <c r="K216" s="457" t="str">
        <f t="shared" si="67"/>
        <v/>
      </c>
      <c r="L216" s="273"/>
      <c r="M216" s="451"/>
      <c r="N216" s="266" t="str">
        <f t="shared" si="68"/>
        <v/>
      </c>
      <c r="S216" s="250"/>
      <c r="T216" s="530" t="str">
        <f>IFERROR(IF(B234="","b","c"),"")</f>
        <v>b</v>
      </c>
      <c r="U216" s="425">
        <f>IFERROR(COUNTIF($T$200:T216,$T$201),"")</f>
        <v>16</v>
      </c>
      <c r="V216" s="425" t="str">
        <f>IFERROR(B234&amp;" "&amp;E234,"")</f>
        <v xml:space="preserve"> </v>
      </c>
      <c r="W216" s="538" t="str">
        <f t="shared" si="58"/>
        <v/>
      </c>
      <c r="X216" s="425">
        <v>16</v>
      </c>
      <c r="Y216" s="425" t="str">
        <f t="shared" si="59"/>
        <v xml:space="preserve"> </v>
      </c>
      <c r="Z216" s="425" t="str">
        <f t="shared" si="60"/>
        <v/>
      </c>
      <c r="AA216" s="425" t="str">
        <f>IFERROR(N234/$N$262*$M$270+N234,"")</f>
        <v/>
      </c>
      <c r="AF216" s="250"/>
      <c r="AG216" s="250"/>
      <c r="AH216" s="250"/>
    </row>
    <row r="217" spans="1:34" s="503" customFormat="1" ht="30" hidden="1" customHeight="1" x14ac:dyDescent="0.2">
      <c r="B217" s="1756" t="s">
        <v>4876</v>
      </c>
      <c r="C217" s="1757"/>
      <c r="D217" s="1757"/>
      <c r="E217" s="1757"/>
      <c r="F217" s="1757"/>
      <c r="G217" s="1757"/>
      <c r="H217" s="1757"/>
      <c r="I217" s="1757"/>
      <c r="J217" s="1757"/>
      <c r="K217" s="1757"/>
      <c r="L217" s="1757"/>
      <c r="M217" s="1757"/>
      <c r="N217" s="454">
        <f>IFERROR(SUM(N211:N216,N201:N209),"")</f>
        <v>0</v>
      </c>
      <c r="S217" s="250"/>
      <c r="T217" s="530" t="str">
        <f t="shared" ref="T217:T236" si="69">IFERROR(IF(B235="","b","c"),"")</f>
        <v>b</v>
      </c>
      <c r="U217" s="425">
        <f>IFERROR(COUNTIF($T$200:T217,$T$201),"")</f>
        <v>17</v>
      </c>
      <c r="V217" s="425" t="str">
        <f t="shared" ref="V217:V236" si="70">IFERROR(B235&amp;" "&amp;E235,"")</f>
        <v xml:space="preserve"> </v>
      </c>
      <c r="W217" s="538" t="str">
        <f t="shared" si="58"/>
        <v/>
      </c>
      <c r="X217" s="425">
        <v>17</v>
      </c>
      <c r="Y217" s="425" t="str">
        <f t="shared" si="59"/>
        <v xml:space="preserve"> </v>
      </c>
      <c r="Z217" s="425" t="str">
        <f t="shared" si="60"/>
        <v/>
      </c>
      <c r="AA217" s="425" t="str">
        <f t="shared" ref="AA217:AA236" si="71">IFERROR(N235/$N$262*$M$270+N235,"")</f>
        <v/>
      </c>
      <c r="AF217" s="250"/>
      <c r="AG217" s="250"/>
      <c r="AH217" s="250"/>
    </row>
    <row r="218" spans="1:34" s="503" customFormat="1" ht="8.1" hidden="1" customHeight="1" x14ac:dyDescent="0.2">
      <c r="A218" s="136"/>
      <c r="B218" s="511"/>
      <c r="C218" s="511"/>
      <c r="D218" s="511"/>
      <c r="E218" s="511"/>
      <c r="F218" s="511"/>
      <c r="G218" s="511"/>
      <c r="H218" s="511"/>
      <c r="I218" s="511"/>
      <c r="J218" s="511"/>
      <c r="K218" s="511"/>
      <c r="L218" s="511"/>
      <c r="M218" s="511"/>
      <c r="N218" s="453"/>
      <c r="S218" s="250"/>
      <c r="T218" s="530" t="str">
        <f t="shared" si="69"/>
        <v>b</v>
      </c>
      <c r="U218" s="425">
        <f>IFERROR(COUNTIF($T$200:T218,$T$201),"")</f>
        <v>18</v>
      </c>
      <c r="V218" s="425" t="str">
        <f t="shared" si="70"/>
        <v xml:space="preserve"> </v>
      </c>
      <c r="W218" s="538" t="str">
        <f t="shared" si="58"/>
        <v/>
      </c>
      <c r="X218" s="425">
        <v>18</v>
      </c>
      <c r="Y218" s="425" t="str">
        <f t="shared" si="59"/>
        <v xml:space="preserve"> </v>
      </c>
      <c r="Z218" s="425" t="str">
        <f t="shared" si="60"/>
        <v/>
      </c>
      <c r="AA218" s="425" t="str">
        <f t="shared" si="71"/>
        <v/>
      </c>
      <c r="AF218" s="250"/>
      <c r="AG218" s="250"/>
      <c r="AH218" s="250"/>
    </row>
    <row r="219" spans="1:34" s="503" customFormat="1" ht="30" hidden="1" customHeight="1" x14ac:dyDescent="0.2">
      <c r="B219" s="1444" t="s">
        <v>4880</v>
      </c>
      <c r="C219" s="1445"/>
      <c r="D219" s="1445"/>
      <c r="E219" s="1445"/>
      <c r="F219" s="1445"/>
      <c r="G219" s="1445"/>
      <c r="H219" s="1445"/>
      <c r="I219" s="1445"/>
      <c r="J219" s="1445"/>
      <c r="K219" s="1445"/>
      <c r="L219" s="1446"/>
      <c r="M219" s="1445" t="s">
        <v>4881</v>
      </c>
      <c r="N219" s="1446"/>
      <c r="S219" s="250"/>
      <c r="T219" s="530" t="str">
        <f t="shared" si="69"/>
        <v>b</v>
      </c>
      <c r="U219" s="425">
        <f>IFERROR(COUNTIF($T$200:T219,$T$201),"")</f>
        <v>19</v>
      </c>
      <c r="V219" s="425" t="str">
        <f t="shared" si="70"/>
        <v xml:space="preserve"> </v>
      </c>
      <c r="W219" s="538" t="str">
        <f t="shared" si="58"/>
        <v/>
      </c>
      <c r="X219" s="425">
        <v>19</v>
      </c>
      <c r="Y219" s="425" t="str">
        <f t="shared" si="59"/>
        <v xml:space="preserve"> </v>
      </c>
      <c r="Z219" s="425" t="str">
        <f t="shared" si="60"/>
        <v/>
      </c>
      <c r="AA219" s="425" t="str">
        <f t="shared" si="71"/>
        <v/>
      </c>
      <c r="AF219" s="250"/>
      <c r="AG219" s="250"/>
      <c r="AH219" s="250"/>
    </row>
    <row r="220" spans="1:34" s="503" customFormat="1" ht="8.1" hidden="1" customHeight="1" x14ac:dyDescent="0.2">
      <c r="A220" s="136"/>
      <c r="B220" s="512"/>
      <c r="C220" s="512"/>
      <c r="D220" s="512"/>
      <c r="E220" s="512"/>
      <c r="F220" s="512"/>
      <c r="G220" s="512"/>
      <c r="H220" s="512"/>
      <c r="I220" s="512"/>
      <c r="J220" s="512"/>
      <c r="K220" s="512"/>
      <c r="L220" s="512"/>
      <c r="M220" s="512"/>
      <c r="N220" s="512"/>
      <c r="S220" s="250"/>
      <c r="T220" s="530" t="str">
        <f t="shared" si="69"/>
        <v>b</v>
      </c>
      <c r="U220" s="425">
        <f>IFERROR(COUNTIF($T$200:T220,$T$201),"")</f>
        <v>20</v>
      </c>
      <c r="V220" s="425" t="str">
        <f t="shared" si="70"/>
        <v xml:space="preserve"> </v>
      </c>
      <c r="W220" s="538" t="str">
        <f t="shared" si="58"/>
        <v/>
      </c>
      <c r="X220" s="425">
        <v>20</v>
      </c>
      <c r="Y220" s="425" t="str">
        <f t="shared" si="59"/>
        <v xml:space="preserve"> </v>
      </c>
      <c r="Z220" s="425" t="str">
        <f t="shared" si="60"/>
        <v/>
      </c>
      <c r="AA220" s="425" t="str">
        <f t="shared" si="71"/>
        <v/>
      </c>
      <c r="AF220" s="250"/>
      <c r="AG220" s="250"/>
      <c r="AH220" s="250"/>
    </row>
    <row r="221" spans="1:34" s="503" customFormat="1" ht="30" hidden="1" customHeight="1" x14ac:dyDescent="0.2">
      <c r="B221" s="1751" t="s">
        <v>4877</v>
      </c>
      <c r="C221" s="1752"/>
      <c r="D221" s="1752"/>
      <c r="E221" s="1752"/>
      <c r="F221" s="1752"/>
      <c r="G221" s="1752"/>
      <c r="H221" s="1752"/>
      <c r="I221" s="1752"/>
      <c r="J221" s="1752"/>
      <c r="K221" s="1752"/>
      <c r="L221" s="1753"/>
      <c r="M221" s="1758"/>
      <c r="N221" s="1755"/>
      <c r="S221" s="250"/>
      <c r="T221" s="530" t="str">
        <f t="shared" si="69"/>
        <v>b</v>
      </c>
      <c r="U221" s="425">
        <f>IFERROR(COUNTIF($T$200:T221,$T$201),"")</f>
        <v>21</v>
      </c>
      <c r="V221" s="425" t="str">
        <f t="shared" si="70"/>
        <v xml:space="preserve"> </v>
      </c>
      <c r="W221" s="538" t="str">
        <f t="shared" si="58"/>
        <v/>
      </c>
      <c r="X221" s="425">
        <v>21</v>
      </c>
      <c r="Y221" s="425" t="str">
        <f t="shared" si="59"/>
        <v xml:space="preserve"> </v>
      </c>
      <c r="Z221" s="425" t="str">
        <f t="shared" si="60"/>
        <v/>
      </c>
      <c r="AA221" s="425" t="str">
        <f t="shared" si="71"/>
        <v/>
      </c>
      <c r="AF221" s="250"/>
      <c r="AG221" s="250"/>
      <c r="AH221" s="250"/>
    </row>
    <row r="222" spans="1:34" s="503" customFormat="1" ht="30" hidden="1" customHeight="1" x14ac:dyDescent="0.2">
      <c r="A222" s="136"/>
      <c r="B222" s="1751" t="s">
        <v>4878</v>
      </c>
      <c r="C222" s="1752"/>
      <c r="D222" s="1752"/>
      <c r="E222" s="1752"/>
      <c r="F222" s="1752"/>
      <c r="G222" s="1752"/>
      <c r="H222" s="1752"/>
      <c r="I222" s="1752"/>
      <c r="J222" s="1752"/>
      <c r="K222" s="1752"/>
      <c r="L222" s="1753"/>
      <c r="M222" s="1758"/>
      <c r="N222" s="1755"/>
      <c r="S222" s="250"/>
      <c r="T222" s="530" t="str">
        <f t="shared" si="69"/>
        <v>b</v>
      </c>
      <c r="U222" s="425">
        <f>IFERROR(COUNTIF($T$200:T222,$T$201),"")</f>
        <v>22</v>
      </c>
      <c r="V222" s="425" t="str">
        <f t="shared" si="70"/>
        <v xml:space="preserve"> </v>
      </c>
      <c r="W222" s="538" t="str">
        <f t="shared" si="58"/>
        <v/>
      </c>
      <c r="X222" s="425">
        <v>22</v>
      </c>
      <c r="Y222" s="425" t="str">
        <f t="shared" si="59"/>
        <v xml:space="preserve"> </v>
      </c>
      <c r="Z222" s="425" t="str">
        <f t="shared" si="60"/>
        <v/>
      </c>
      <c r="AA222" s="425" t="str">
        <f t="shared" si="71"/>
        <v/>
      </c>
      <c r="AF222" s="250"/>
      <c r="AG222" s="250"/>
      <c r="AH222" s="250"/>
    </row>
    <row r="223" spans="1:34" s="503" customFormat="1" ht="30" hidden="1" customHeight="1" x14ac:dyDescent="0.2">
      <c r="B223" s="1751" t="s">
        <v>4879</v>
      </c>
      <c r="C223" s="1752"/>
      <c r="D223" s="1752"/>
      <c r="E223" s="1752"/>
      <c r="F223" s="1752"/>
      <c r="G223" s="1752"/>
      <c r="H223" s="1752"/>
      <c r="I223" s="1752"/>
      <c r="J223" s="1752"/>
      <c r="K223" s="1752"/>
      <c r="L223" s="1753"/>
      <c r="M223" s="1758"/>
      <c r="N223" s="1755"/>
      <c r="S223" s="250"/>
      <c r="T223" s="530" t="str">
        <f t="shared" si="69"/>
        <v>b</v>
      </c>
      <c r="U223" s="425">
        <f>IFERROR(COUNTIF($T$200:T223,$T$201),"")</f>
        <v>23</v>
      </c>
      <c r="V223" s="425" t="str">
        <f t="shared" si="70"/>
        <v xml:space="preserve"> </v>
      </c>
      <c r="W223" s="538" t="str">
        <f t="shared" si="58"/>
        <v/>
      </c>
      <c r="X223" s="425">
        <v>23</v>
      </c>
      <c r="Y223" s="425" t="str">
        <f t="shared" si="59"/>
        <v xml:space="preserve"> </v>
      </c>
      <c r="Z223" s="425" t="str">
        <f t="shared" si="60"/>
        <v/>
      </c>
      <c r="AA223" s="425" t="str">
        <f t="shared" si="71"/>
        <v/>
      </c>
      <c r="AB223" s="69"/>
      <c r="AC223" s="69"/>
      <c r="AF223" s="250"/>
      <c r="AG223" s="250"/>
      <c r="AH223" s="250"/>
    </row>
    <row r="224" spans="1:34" s="503" customFormat="1" ht="8.1" hidden="1" customHeight="1" x14ac:dyDescent="0.2">
      <c r="A224" s="136"/>
      <c r="B224" s="513"/>
      <c r="C224" s="513"/>
      <c r="D224" s="513"/>
      <c r="E224" s="513"/>
      <c r="F224" s="513"/>
      <c r="G224" s="513"/>
      <c r="H224" s="513"/>
      <c r="I224" s="513"/>
      <c r="J224" s="513"/>
      <c r="K224" s="513"/>
      <c r="L224" s="513"/>
      <c r="M224" s="514"/>
      <c r="N224" s="452"/>
      <c r="S224" s="250"/>
      <c r="T224" s="530" t="str">
        <f t="shared" si="69"/>
        <v>b</v>
      </c>
      <c r="U224" s="425">
        <f>IFERROR(COUNTIF($T$200:T224,$T$201),"")</f>
        <v>24</v>
      </c>
      <c r="V224" s="425" t="str">
        <f t="shared" si="70"/>
        <v xml:space="preserve"> </v>
      </c>
      <c r="W224" s="538" t="str">
        <f t="shared" si="58"/>
        <v/>
      </c>
      <c r="X224" s="425">
        <v>24</v>
      </c>
      <c r="Y224" s="425" t="str">
        <f t="shared" si="59"/>
        <v xml:space="preserve"> </v>
      </c>
      <c r="Z224" s="425" t="str">
        <f t="shared" si="60"/>
        <v/>
      </c>
      <c r="AA224" s="425" t="str">
        <f t="shared" si="71"/>
        <v/>
      </c>
      <c r="AB224" s="69"/>
      <c r="AC224" s="69"/>
      <c r="AD224" s="69"/>
      <c r="AF224" s="250"/>
      <c r="AG224" s="250"/>
      <c r="AH224" s="250"/>
    </row>
    <row r="225" spans="1:34" s="503" customFormat="1" ht="30" hidden="1" customHeight="1" x14ac:dyDescent="0.2">
      <c r="B225" s="1746" t="s">
        <v>4882</v>
      </c>
      <c r="C225" s="1747"/>
      <c r="D225" s="1747"/>
      <c r="E225" s="1747"/>
      <c r="F225" s="1747"/>
      <c r="G225" s="1747"/>
      <c r="H225" s="1747"/>
      <c r="I225" s="1747"/>
      <c r="J225" s="1747"/>
      <c r="K225" s="1747"/>
      <c r="L225" s="1748"/>
      <c r="M225" s="1749" t="str">
        <f>IFERROR(IF(OR(M221="",M222="",M223=""),"",SUM(M221:N223)),"")</f>
        <v/>
      </c>
      <c r="N225" s="1750"/>
      <c r="S225" s="250"/>
      <c r="T225" s="530" t="str">
        <f t="shared" si="69"/>
        <v>b</v>
      </c>
      <c r="U225" s="425">
        <f>IFERROR(COUNTIF($T$200:T225,$T$201),"")</f>
        <v>25</v>
      </c>
      <c r="V225" s="425" t="str">
        <f t="shared" si="70"/>
        <v xml:space="preserve"> </v>
      </c>
      <c r="W225" s="538" t="str">
        <f t="shared" si="58"/>
        <v/>
      </c>
      <c r="X225" s="425">
        <v>25</v>
      </c>
      <c r="Y225" s="425" t="str">
        <f t="shared" si="59"/>
        <v xml:space="preserve"> </v>
      </c>
      <c r="Z225" s="425" t="str">
        <f t="shared" si="60"/>
        <v/>
      </c>
      <c r="AA225" s="425" t="str">
        <f t="shared" si="71"/>
        <v/>
      </c>
      <c r="AB225" s="69"/>
      <c r="AC225" s="69"/>
      <c r="AD225" s="69"/>
      <c r="AF225" s="250"/>
      <c r="AG225" s="250"/>
      <c r="AH225" s="250"/>
    </row>
    <row r="226" spans="1:34" s="503" customFormat="1" ht="8.1" hidden="1" customHeight="1" x14ac:dyDescent="0.2">
      <c r="A226" s="136"/>
      <c r="B226" s="513"/>
      <c r="C226" s="513"/>
      <c r="D226" s="513"/>
      <c r="E226" s="513"/>
      <c r="F226" s="513"/>
      <c r="G226" s="513"/>
      <c r="H226" s="513"/>
      <c r="I226" s="513"/>
      <c r="J226" s="513"/>
      <c r="K226" s="513"/>
      <c r="L226" s="513"/>
      <c r="M226" s="514"/>
      <c r="N226" s="452"/>
      <c r="S226" s="250"/>
      <c r="T226" s="530" t="str">
        <f t="shared" si="69"/>
        <v>b</v>
      </c>
      <c r="U226" s="425">
        <f>IFERROR(COUNTIF($T$200:T226,$T$201),"")</f>
        <v>26</v>
      </c>
      <c r="V226" s="425" t="str">
        <f t="shared" si="70"/>
        <v xml:space="preserve"> </v>
      </c>
      <c r="W226" s="538" t="str">
        <f t="shared" si="58"/>
        <v/>
      </c>
      <c r="X226" s="425">
        <v>26</v>
      </c>
      <c r="Y226" s="425" t="str">
        <f t="shared" si="59"/>
        <v xml:space="preserve"> </v>
      </c>
      <c r="Z226" s="425" t="str">
        <f t="shared" si="60"/>
        <v/>
      </c>
      <c r="AA226" s="425" t="str">
        <f t="shared" si="71"/>
        <v/>
      </c>
      <c r="AB226" s="69"/>
      <c r="AC226" s="69"/>
      <c r="AD226" s="69"/>
      <c r="AF226" s="250"/>
      <c r="AG226" s="250"/>
      <c r="AH226" s="250"/>
    </row>
    <row r="227" spans="1:34" s="503" customFormat="1" ht="30" hidden="1" customHeight="1" x14ac:dyDescent="0.2">
      <c r="B227" s="1746" t="s">
        <v>4883</v>
      </c>
      <c r="C227" s="1747"/>
      <c r="D227" s="1747"/>
      <c r="E227" s="1747"/>
      <c r="F227" s="1747"/>
      <c r="G227" s="1747"/>
      <c r="H227" s="1747"/>
      <c r="I227" s="1747"/>
      <c r="J227" s="1747"/>
      <c r="K227" s="1747"/>
      <c r="L227" s="1748"/>
      <c r="M227" s="1749" t="str">
        <f>IFERROR(IF(OR(M225="",N217=""),"",N217+M225),"")</f>
        <v/>
      </c>
      <c r="N227" s="1750"/>
      <c r="S227" s="250"/>
      <c r="T227" s="530" t="str">
        <f t="shared" si="69"/>
        <v>b</v>
      </c>
      <c r="U227" s="425">
        <f>IFERROR(COUNTIF($T$200:T227,$T$201),"")</f>
        <v>27</v>
      </c>
      <c r="V227" s="425" t="str">
        <f t="shared" si="70"/>
        <v xml:space="preserve"> </v>
      </c>
      <c r="W227" s="538" t="str">
        <f t="shared" si="58"/>
        <v/>
      </c>
      <c r="X227" s="425">
        <v>27</v>
      </c>
      <c r="Y227" s="425" t="str">
        <f t="shared" si="59"/>
        <v xml:space="preserve"> </v>
      </c>
      <c r="Z227" s="425" t="str">
        <f t="shared" si="60"/>
        <v/>
      </c>
      <c r="AA227" s="425" t="str">
        <f t="shared" si="71"/>
        <v/>
      </c>
      <c r="AB227" s="69"/>
      <c r="AC227" s="69"/>
      <c r="AD227" s="69"/>
      <c r="AF227" s="250"/>
      <c r="AG227" s="250"/>
      <c r="AH227" s="250"/>
    </row>
    <row r="228" spans="1:34" s="503" customFormat="1" ht="20.100000000000001" hidden="1" customHeight="1" x14ac:dyDescent="0.2">
      <c r="A228" s="136"/>
      <c r="B228" s="514"/>
      <c r="C228" s="514"/>
      <c r="D228" s="514"/>
      <c r="E228" s="514"/>
      <c r="F228" s="514"/>
      <c r="G228" s="514"/>
      <c r="H228" s="514"/>
      <c r="I228" s="514"/>
      <c r="J228" s="514"/>
      <c r="K228" s="514"/>
      <c r="L228" s="514"/>
      <c r="M228" s="514"/>
      <c r="N228" s="452"/>
      <c r="S228" s="250"/>
      <c r="T228" s="530" t="str">
        <f t="shared" si="69"/>
        <v>b</v>
      </c>
      <c r="U228" s="425">
        <f>IFERROR(COUNTIF($T$200:T228,$T$201),"")</f>
        <v>28</v>
      </c>
      <c r="V228" s="425" t="str">
        <f t="shared" si="70"/>
        <v xml:space="preserve"> </v>
      </c>
      <c r="W228" s="538" t="str">
        <f t="shared" si="58"/>
        <v/>
      </c>
      <c r="X228" s="425">
        <v>28</v>
      </c>
      <c r="Y228" s="425" t="str">
        <f t="shared" si="59"/>
        <v xml:space="preserve"> </v>
      </c>
      <c r="Z228" s="425" t="str">
        <f t="shared" si="60"/>
        <v/>
      </c>
      <c r="AA228" s="425" t="str">
        <f t="shared" si="71"/>
        <v/>
      </c>
      <c r="AB228" s="69"/>
      <c r="AC228" s="69"/>
      <c r="AD228" s="69"/>
      <c r="AF228" s="250"/>
      <c r="AG228" s="250"/>
      <c r="AH228" s="250"/>
    </row>
    <row r="229" spans="1:34" s="503" customFormat="1" ht="23.25" hidden="1" customHeight="1" x14ac:dyDescent="0.2">
      <c r="B229" s="1196" t="s">
        <v>378</v>
      </c>
      <c r="C229" s="1196"/>
      <c r="D229" s="1196"/>
      <c r="E229" s="1196"/>
      <c r="F229" s="1196"/>
      <c r="G229" s="1197" t="s">
        <v>4871</v>
      </c>
      <c r="H229" s="1197"/>
      <c r="I229" s="1196" t="s">
        <v>107</v>
      </c>
      <c r="J229" s="1196"/>
      <c r="K229" s="1197" t="s">
        <v>398</v>
      </c>
      <c r="L229" s="1197"/>
      <c r="M229" s="1197" t="s">
        <v>4759</v>
      </c>
      <c r="N229" s="1197" t="s">
        <v>4760</v>
      </c>
      <c r="S229" s="250"/>
      <c r="T229" s="530" t="str">
        <f t="shared" si="69"/>
        <v>b</v>
      </c>
      <c r="U229" s="425">
        <f>IFERROR(COUNTIF($T$200:T229,$T$201),"")</f>
        <v>29</v>
      </c>
      <c r="V229" s="425" t="str">
        <f t="shared" si="70"/>
        <v xml:space="preserve"> </v>
      </c>
      <c r="W229" s="538" t="str">
        <f t="shared" si="58"/>
        <v/>
      </c>
      <c r="X229" s="425">
        <v>29</v>
      </c>
      <c r="Y229" s="425" t="str">
        <f t="shared" si="59"/>
        <v xml:space="preserve"> </v>
      </c>
      <c r="Z229" s="425" t="str">
        <f t="shared" si="60"/>
        <v/>
      </c>
      <c r="AA229" s="425" t="str">
        <f t="shared" si="71"/>
        <v/>
      </c>
      <c r="AB229" s="69"/>
      <c r="AC229" s="69"/>
      <c r="AD229" s="69"/>
      <c r="AF229" s="250"/>
      <c r="AG229" s="250"/>
      <c r="AH229" s="250"/>
    </row>
    <row r="230" spans="1:34" s="503" customFormat="1" ht="27" hidden="1" customHeight="1" x14ac:dyDescent="0.2">
      <c r="A230" s="136"/>
      <c r="B230" s="1197" t="s">
        <v>4872</v>
      </c>
      <c r="C230" s="1197"/>
      <c r="D230" s="1197"/>
      <c r="E230" s="1197" t="s">
        <v>116</v>
      </c>
      <c r="F230" s="1197"/>
      <c r="G230" s="1197"/>
      <c r="H230" s="1197"/>
      <c r="I230" s="1197" t="s">
        <v>108</v>
      </c>
      <c r="J230" s="1196" t="s">
        <v>109</v>
      </c>
      <c r="K230" s="1197" t="s">
        <v>108</v>
      </c>
      <c r="L230" s="1197" t="s">
        <v>109</v>
      </c>
      <c r="M230" s="1197"/>
      <c r="N230" s="1197"/>
      <c r="S230" s="250"/>
      <c r="T230" s="530" t="str">
        <f t="shared" si="69"/>
        <v>b</v>
      </c>
      <c r="U230" s="425">
        <f>IFERROR(COUNTIF($T$200:T230,$T$201),"")</f>
        <v>30</v>
      </c>
      <c r="V230" s="425" t="str">
        <f t="shared" si="70"/>
        <v xml:space="preserve"> </v>
      </c>
      <c r="W230" s="538" t="str">
        <f t="shared" si="58"/>
        <v/>
      </c>
      <c r="X230" s="425">
        <v>30</v>
      </c>
      <c r="Y230" s="425" t="str">
        <f t="shared" si="59"/>
        <v xml:space="preserve"> </v>
      </c>
      <c r="Z230" s="425" t="str">
        <f t="shared" si="60"/>
        <v/>
      </c>
      <c r="AA230" s="425" t="str">
        <f t="shared" si="71"/>
        <v/>
      </c>
      <c r="AB230" s="69"/>
      <c r="AC230" s="69"/>
      <c r="AD230" s="69"/>
      <c r="AF230" s="250"/>
      <c r="AG230" s="250"/>
      <c r="AH230" s="250"/>
    </row>
    <row r="231" spans="1:34" s="503" customFormat="1" ht="12.75" hidden="1" customHeight="1" x14ac:dyDescent="0.2">
      <c r="B231" s="1197"/>
      <c r="C231" s="1197"/>
      <c r="D231" s="1197"/>
      <c r="E231" s="1197"/>
      <c r="F231" s="1197"/>
      <c r="G231" s="1197"/>
      <c r="H231" s="1197"/>
      <c r="I231" s="1197"/>
      <c r="J231" s="1196"/>
      <c r="K231" s="1197"/>
      <c r="L231" s="1197"/>
      <c r="M231" s="1197"/>
      <c r="N231" s="1197"/>
      <c r="S231" s="250"/>
      <c r="T231" s="530" t="str">
        <f t="shared" si="69"/>
        <v>b</v>
      </c>
      <c r="U231" s="425">
        <f>IFERROR(COUNTIF($T$200:T231,$T$201),"")</f>
        <v>31</v>
      </c>
      <c r="V231" s="425" t="str">
        <f t="shared" si="70"/>
        <v xml:space="preserve"> </v>
      </c>
      <c r="W231" s="538" t="str">
        <f t="shared" si="58"/>
        <v/>
      </c>
      <c r="X231" s="425"/>
      <c r="Y231" s="425" t="str">
        <f t="shared" ref="Y231:Y236" si="72">IF(U231="","1","2")</f>
        <v>2</v>
      </c>
      <c r="Z231" s="425">
        <f>COUNTIF($Y$20:Y231,$Y$21)</f>
        <v>90</v>
      </c>
      <c r="AA231" s="425" t="str">
        <f t="shared" si="71"/>
        <v/>
      </c>
      <c r="AB231" s="69"/>
      <c r="AC231" s="69"/>
      <c r="AD231" s="69"/>
      <c r="AF231" s="250"/>
      <c r="AG231" s="250"/>
      <c r="AH231" s="250"/>
    </row>
    <row r="232" spans="1:34" s="503" customFormat="1" ht="8.1" hidden="1" customHeight="1" x14ac:dyDescent="0.2">
      <c r="A232" s="136"/>
      <c r="S232" s="250"/>
      <c r="T232" s="530" t="str">
        <f t="shared" si="69"/>
        <v>b</v>
      </c>
      <c r="U232" s="425">
        <f>IFERROR(COUNTIF($T$200:T232,$T$201),"")</f>
        <v>32</v>
      </c>
      <c r="V232" s="425" t="str">
        <f t="shared" si="70"/>
        <v xml:space="preserve"> </v>
      </c>
      <c r="W232" s="538" t="str">
        <f t="shared" si="58"/>
        <v/>
      </c>
      <c r="X232" s="425"/>
      <c r="Y232" s="425" t="str">
        <f t="shared" si="72"/>
        <v>2</v>
      </c>
      <c r="Z232" s="425">
        <f>COUNTIF($Y$20:Y232,$Y$21)</f>
        <v>90</v>
      </c>
      <c r="AA232" s="425" t="str">
        <f t="shared" si="71"/>
        <v/>
      </c>
      <c r="AB232" s="69"/>
      <c r="AC232" s="69"/>
      <c r="AD232" s="69"/>
      <c r="AF232" s="250"/>
      <c r="AG232" s="250"/>
      <c r="AH232" s="250"/>
    </row>
    <row r="233" spans="1:34" s="503" customFormat="1" ht="24.95" hidden="1" customHeight="1" x14ac:dyDescent="0.2">
      <c r="B233" s="448" t="s">
        <v>4874</v>
      </c>
      <c r="C233" s="449"/>
      <c r="D233" s="449" t="s">
        <v>227</v>
      </c>
      <c r="E233" s="449"/>
      <c r="F233" s="449"/>
      <c r="G233" s="449"/>
      <c r="H233" s="449"/>
      <c r="I233" s="449"/>
      <c r="J233" s="449"/>
      <c r="K233" s="449"/>
      <c r="L233" s="449"/>
      <c r="M233" s="449"/>
      <c r="N233" s="450">
        <f>COUNTIF('ANALISIS TÉCNICO'!F163:G192,'COSTO TOTAL'!D233)</f>
        <v>0</v>
      </c>
      <c r="S233" s="250"/>
      <c r="T233" s="530" t="str">
        <f t="shared" si="69"/>
        <v>b</v>
      </c>
      <c r="U233" s="425">
        <f>IFERROR(COUNTIF($T$200:T233,$T$201),"")</f>
        <v>33</v>
      </c>
      <c r="V233" s="425" t="str">
        <f t="shared" si="70"/>
        <v xml:space="preserve"> </v>
      </c>
      <c r="W233" s="538" t="str">
        <f t="shared" si="58"/>
        <v/>
      </c>
      <c r="X233" s="425"/>
      <c r="Y233" s="425" t="str">
        <f t="shared" si="72"/>
        <v>2</v>
      </c>
      <c r="Z233" s="425">
        <f>COUNTIF($Y$20:Y233,$Y$21)</f>
        <v>90</v>
      </c>
      <c r="AA233" s="425" t="str">
        <f t="shared" si="71"/>
        <v/>
      </c>
      <c r="AB233" s="69"/>
      <c r="AC233" s="69"/>
      <c r="AD233" s="69"/>
      <c r="AF233" s="250"/>
      <c r="AG233" s="250"/>
      <c r="AH233" s="250"/>
    </row>
    <row r="234" spans="1:34" s="503" customFormat="1" ht="60" hidden="1" customHeight="1" x14ac:dyDescent="0.2">
      <c r="A234" s="136"/>
      <c r="B234" s="1248" t="str">
        <f>IFERROR(INDEX('ANALISIS TÉCNICO'!$B$163:$N$192,MATCH(1,'ANALISIS TÉCNICO'!$N$163:$N$192,0),1),"")</f>
        <v/>
      </c>
      <c r="C234" s="1248"/>
      <c r="D234" s="1248"/>
      <c r="E234" s="1250" t="str">
        <f>IFERROR(INDEX('ANALISIS TÉCNICO'!$B$163:$N$192,MATCH(1,'ANALISIS TÉCNICO'!$N$163:$N$192,0),3),"")</f>
        <v/>
      </c>
      <c r="F234" s="1252"/>
      <c r="G234" s="1250" t="str">
        <f>IFERROR(IF(B234="","",$D$53),"")</f>
        <v/>
      </c>
      <c r="H234" s="1252"/>
      <c r="I234" s="457" t="str">
        <f>IFERROR(INDEX('ANALISIS TÉCNICO'!$B$163:$N$192,MATCH(1,'ANALISIS TÉCNICO'!$N$163:$N$192,0),7),"")</f>
        <v/>
      </c>
      <c r="J234" s="457" t="str">
        <f>IFERROR(INDEX('ANALISIS TÉCNICO'!$B$163:$N$192,MATCH(1,'ANALISIS TÉCNICO'!$N$163:$N$192,0),8),"")</f>
        <v/>
      </c>
      <c r="K234" s="504"/>
      <c r="L234" s="515"/>
      <c r="M234" s="273"/>
      <c r="N234" s="266" t="str">
        <f t="shared" ref="N234:N254" si="73">IFERROR(IF(G234="","",IF(G234="Infraestructura",M234*L234,M234*J234)),"")</f>
        <v/>
      </c>
      <c r="S234" s="250"/>
      <c r="T234" s="530" t="str">
        <f t="shared" si="69"/>
        <v>b</v>
      </c>
      <c r="U234" s="425">
        <f>IFERROR(COUNTIF($T$200:T234,$T$201),"")</f>
        <v>34</v>
      </c>
      <c r="V234" s="425" t="str">
        <f t="shared" si="70"/>
        <v xml:space="preserve"> </v>
      </c>
      <c r="W234" s="538" t="str">
        <f t="shared" si="58"/>
        <v/>
      </c>
      <c r="X234" s="425"/>
      <c r="Y234" s="425" t="str">
        <f t="shared" si="72"/>
        <v>2</v>
      </c>
      <c r="Z234" s="425">
        <f>COUNTIF($Y$20:Y234,$Y$21)</f>
        <v>90</v>
      </c>
      <c r="AA234" s="425" t="str">
        <f t="shared" si="71"/>
        <v/>
      </c>
      <c r="AB234" s="69"/>
      <c r="AC234" s="69"/>
      <c r="AD234" s="69"/>
      <c r="AF234" s="250"/>
      <c r="AG234" s="250"/>
      <c r="AH234" s="250"/>
    </row>
    <row r="235" spans="1:34" s="503" customFormat="1" ht="60" hidden="1" customHeight="1" x14ac:dyDescent="0.2">
      <c r="B235" s="1248" t="str">
        <f>IFERROR(INDEX('ANALISIS TÉCNICO'!$B$163:$N$192,MATCH(1,'ANALISIS TÉCNICO'!$N$163:$N$192,0),1),"")</f>
        <v/>
      </c>
      <c r="C235" s="1248"/>
      <c r="D235" s="1248"/>
      <c r="E235" s="1250" t="str">
        <f>IFERROR(INDEX('ANALISIS TÉCNICO'!$B$163:$N$192,MATCH(2,'ANALISIS TÉCNICO'!$N$163:$N$192,0),3),"")</f>
        <v/>
      </c>
      <c r="F235" s="1252"/>
      <c r="G235" s="1250" t="str">
        <f t="shared" ref="G235:G254" si="74">IFERROR(IF(B235="","",$D$53),"")</f>
        <v/>
      </c>
      <c r="H235" s="1252"/>
      <c r="I235" s="457" t="str">
        <f>IFERROR(INDEX('ANALISIS TÉCNICO'!$B$163:$N$192,MATCH(2,'ANALISIS TÉCNICO'!$N$163:$N$192,0),7),"")</f>
        <v/>
      </c>
      <c r="J235" s="457" t="str">
        <f>IFERROR(INDEX('ANALISIS TÉCNICO'!$B$163:$N$192,MATCH(2,'ANALISIS TÉCNICO'!$N$163:$N$192,0),8),"")</f>
        <v/>
      </c>
      <c r="K235" s="504"/>
      <c r="L235" s="515"/>
      <c r="M235" s="273"/>
      <c r="N235" s="266" t="str">
        <f t="shared" si="73"/>
        <v/>
      </c>
      <c r="S235" s="250"/>
      <c r="T235" s="530" t="str">
        <f t="shared" si="69"/>
        <v>b</v>
      </c>
      <c r="U235" s="425">
        <f>IFERROR(COUNTIF($T$200:T235,$T$201),"")</f>
        <v>35</v>
      </c>
      <c r="V235" s="425" t="str">
        <f t="shared" si="70"/>
        <v xml:space="preserve"> </v>
      </c>
      <c r="W235" s="538" t="str">
        <f t="shared" si="58"/>
        <v/>
      </c>
      <c r="X235" s="425"/>
      <c r="Y235" s="425" t="str">
        <f t="shared" si="72"/>
        <v>2</v>
      </c>
      <c r="Z235" s="425">
        <f>COUNTIF($Y$20:Y235,$Y$21)</f>
        <v>90</v>
      </c>
      <c r="AA235" s="425" t="str">
        <f t="shared" si="71"/>
        <v/>
      </c>
      <c r="AB235" s="69"/>
      <c r="AC235" s="69"/>
      <c r="AD235" s="69"/>
      <c r="AF235" s="250"/>
      <c r="AG235" s="250"/>
      <c r="AH235" s="250"/>
    </row>
    <row r="236" spans="1:34" s="503" customFormat="1" ht="60" hidden="1" customHeight="1" x14ac:dyDescent="0.2">
      <c r="A236" s="136"/>
      <c r="B236" s="1248" t="str">
        <f>IFERROR(INDEX('ANALISIS TÉCNICO'!$B$163:$N$192,MATCH(3,'ANALISIS TÉCNICO'!$N$163:$N$192,0),1),"")</f>
        <v/>
      </c>
      <c r="C236" s="1248"/>
      <c r="D236" s="1248"/>
      <c r="E236" s="1250" t="str">
        <f>IFERROR(INDEX('ANALISIS TÉCNICO'!$B$163:$N$192,MATCH(3,'ANALISIS TÉCNICO'!$N$163:$N$192,0),3),"")</f>
        <v/>
      </c>
      <c r="F236" s="1252"/>
      <c r="G236" s="1250" t="str">
        <f t="shared" si="74"/>
        <v/>
      </c>
      <c r="H236" s="1252"/>
      <c r="I236" s="457" t="str">
        <f>IFERROR(INDEX('ANALISIS TÉCNICO'!$B$163:$N$192,MATCH(3,'ANALISIS TÉCNICO'!$N$163:$N$192,0),7),"")</f>
        <v/>
      </c>
      <c r="J236" s="457" t="str">
        <f>IFERROR(INDEX('ANALISIS TÉCNICO'!$B$163:$N$192,MATCH(3,'ANALISIS TÉCNICO'!$N$163:$N$192,0),8),"")</f>
        <v/>
      </c>
      <c r="K236" s="504"/>
      <c r="L236" s="515"/>
      <c r="M236" s="273"/>
      <c r="N236" s="266" t="str">
        <f t="shared" si="73"/>
        <v/>
      </c>
      <c r="S236" s="250"/>
      <c r="T236" s="530" t="str">
        <f t="shared" si="69"/>
        <v>b</v>
      </c>
      <c r="U236" s="425">
        <f>IFERROR(COUNTIF($T$200:T236,$T$201),"")</f>
        <v>36</v>
      </c>
      <c r="V236" s="425" t="str">
        <f t="shared" si="70"/>
        <v xml:space="preserve"> </v>
      </c>
      <c r="W236" s="538" t="str">
        <f t="shared" si="58"/>
        <v/>
      </c>
      <c r="X236" s="425"/>
      <c r="Y236" s="425" t="str">
        <f t="shared" si="72"/>
        <v>2</v>
      </c>
      <c r="Z236" s="425">
        <f>COUNTIF($Y$20:Y236,$Y$21)</f>
        <v>90</v>
      </c>
      <c r="AA236" s="425" t="str">
        <f t="shared" si="71"/>
        <v/>
      </c>
      <c r="AB236" s="69"/>
      <c r="AC236" s="69"/>
      <c r="AD236" s="69"/>
      <c r="AF236" s="250"/>
      <c r="AG236" s="250"/>
      <c r="AH236" s="250"/>
    </row>
    <row r="237" spans="1:34" s="503" customFormat="1" ht="60" hidden="1" customHeight="1" x14ac:dyDescent="0.2">
      <c r="B237" s="1248" t="str">
        <f>IFERROR(INDEX('ANALISIS TÉCNICO'!$B$163:$N$192,MATCH(4,'ANALISIS TÉCNICO'!$N$163:$N$192,0),1),"")</f>
        <v/>
      </c>
      <c r="C237" s="1248"/>
      <c r="D237" s="1248"/>
      <c r="E237" s="1250" t="str">
        <f>IFERROR(INDEX('ANALISIS TÉCNICO'!$B$163:$N$192,MATCH(4,'ANALISIS TÉCNICO'!$N$163:$N$192,0),3),"")</f>
        <v/>
      </c>
      <c r="F237" s="1252"/>
      <c r="G237" s="1250" t="str">
        <f t="shared" si="74"/>
        <v/>
      </c>
      <c r="H237" s="1252"/>
      <c r="I237" s="457" t="str">
        <f>IFERROR(INDEX('ANALISIS TÉCNICO'!$B$163:$N$192,MATCH(4,'ANALISIS TÉCNICO'!$N$163:$N$192,0),7),"")</f>
        <v/>
      </c>
      <c r="J237" s="457" t="str">
        <f>IFERROR(INDEX('ANALISIS TÉCNICO'!$B$163:$N$192,MATCH(4,'ANALISIS TÉCNICO'!$N$163:$N$192,0),8),"")</f>
        <v/>
      </c>
      <c r="K237" s="504"/>
      <c r="L237" s="515"/>
      <c r="M237" s="273"/>
      <c r="N237" s="266" t="str">
        <f t="shared" si="73"/>
        <v/>
      </c>
      <c r="S237" s="250"/>
      <c r="T237" s="530" t="str">
        <f t="shared" ref="T237:T242" si="75">IFERROR(IF(B256="","b","c"),"")</f>
        <v>b</v>
      </c>
      <c r="U237" s="425">
        <f>IFERROR(COUNTIF($T$200:T237,$T$201),"")</f>
        <v>37</v>
      </c>
      <c r="V237" s="425" t="str">
        <f t="shared" ref="V237:V242" si="76">IFERROR(B256&amp;" "&amp;E256,"")</f>
        <v xml:space="preserve"> </v>
      </c>
      <c r="W237" s="538" t="str">
        <f t="shared" si="58"/>
        <v/>
      </c>
      <c r="X237" s="425"/>
      <c r="Y237" s="425"/>
      <c r="Z237" s="425"/>
      <c r="AA237" s="425" t="str">
        <f t="shared" ref="AA237:AA242" si="77">IFERROR(N256/$N$262*$M$270+N256,"")</f>
        <v/>
      </c>
      <c r="AB237" s="69"/>
      <c r="AC237" s="69"/>
      <c r="AD237" s="69"/>
      <c r="AF237" s="250"/>
      <c r="AG237" s="250"/>
      <c r="AH237" s="250"/>
    </row>
    <row r="238" spans="1:34" s="503" customFormat="1" ht="60" hidden="1" customHeight="1" x14ac:dyDescent="0.2">
      <c r="A238" s="136"/>
      <c r="B238" s="1248" t="str">
        <f>IFERROR(INDEX('ANALISIS TÉCNICO'!$B$163:$N$192,MATCH(5,'ANALISIS TÉCNICO'!$N$163:$N$192,0),1),"")</f>
        <v/>
      </c>
      <c r="C238" s="1248"/>
      <c r="D238" s="1248"/>
      <c r="E238" s="1250" t="str">
        <f>IFERROR(INDEX('ANALISIS TÉCNICO'!$B$163:$N$192,MATCH(5,'ANALISIS TÉCNICO'!$N$163:$N$192,0),3),"")</f>
        <v/>
      </c>
      <c r="F238" s="1252"/>
      <c r="G238" s="1250" t="str">
        <f t="shared" si="74"/>
        <v/>
      </c>
      <c r="H238" s="1252"/>
      <c r="I238" s="457" t="str">
        <f>IFERROR(INDEX('ANALISIS TÉCNICO'!$B$163:$N$192,MATCH(5,'ANALISIS TÉCNICO'!$N$163:$N$192,0),7),"")</f>
        <v/>
      </c>
      <c r="J238" s="457" t="str">
        <f>IFERROR(INDEX('ANALISIS TÉCNICO'!$B$163:$N$192,MATCH(5,'ANALISIS TÉCNICO'!$N$163:$N$192,0),8),"")</f>
        <v/>
      </c>
      <c r="K238" s="504"/>
      <c r="L238" s="515"/>
      <c r="M238" s="273"/>
      <c r="N238" s="266" t="str">
        <f t="shared" si="73"/>
        <v/>
      </c>
      <c r="S238" s="250"/>
      <c r="T238" s="530" t="str">
        <f t="shared" si="75"/>
        <v>b</v>
      </c>
      <c r="U238" s="425">
        <f>IFERROR(COUNTIF($T$200:T238,$T$201),"")</f>
        <v>38</v>
      </c>
      <c r="V238" s="425" t="str">
        <f t="shared" si="76"/>
        <v xml:space="preserve"> </v>
      </c>
      <c r="W238" s="538" t="str">
        <f t="shared" si="58"/>
        <v/>
      </c>
      <c r="X238" s="425"/>
      <c r="Y238" s="425"/>
      <c r="Z238" s="425"/>
      <c r="AA238" s="425" t="str">
        <f t="shared" si="77"/>
        <v/>
      </c>
      <c r="AB238" s="69"/>
      <c r="AC238" s="69"/>
      <c r="AD238" s="69"/>
      <c r="AF238" s="250"/>
      <c r="AG238" s="250"/>
      <c r="AH238" s="250"/>
    </row>
    <row r="239" spans="1:34" s="503" customFormat="1" ht="60" hidden="1" customHeight="1" x14ac:dyDescent="0.2">
      <c r="B239" s="1248" t="str">
        <f>IFERROR(INDEX('ANALISIS TÉCNICO'!$B$163:$N$192,MATCH(6,'ANALISIS TÉCNICO'!$N$163:$N$192,0),1),"")</f>
        <v/>
      </c>
      <c r="C239" s="1248"/>
      <c r="D239" s="1248"/>
      <c r="E239" s="1250" t="str">
        <f>IFERROR(INDEX('ANALISIS TÉCNICO'!$B$163:$N$192,MATCH(6,'ANALISIS TÉCNICO'!$N$163:$N$192,0),3),"")</f>
        <v/>
      </c>
      <c r="F239" s="1252"/>
      <c r="G239" s="1250" t="str">
        <f t="shared" si="74"/>
        <v/>
      </c>
      <c r="H239" s="1252"/>
      <c r="I239" s="457" t="str">
        <f>IFERROR(INDEX('ANALISIS TÉCNICO'!$B$163:$N$192,MATCH(6,'ANALISIS TÉCNICO'!$N$163:$N$192,0),7),"")</f>
        <v/>
      </c>
      <c r="J239" s="457" t="str">
        <f>IFERROR(INDEX('ANALISIS TÉCNICO'!$B$163:$N$192,MATCH(6,'ANALISIS TÉCNICO'!$N$163:$N$192,0),8),"")</f>
        <v/>
      </c>
      <c r="K239" s="504"/>
      <c r="L239" s="515"/>
      <c r="M239" s="273"/>
      <c r="N239" s="266" t="str">
        <f t="shared" si="73"/>
        <v/>
      </c>
      <c r="S239" s="250"/>
      <c r="T239" s="530" t="str">
        <f t="shared" si="75"/>
        <v>b</v>
      </c>
      <c r="U239" s="425">
        <f>IFERROR(COUNTIF($T$200:T239,$T$201),"")</f>
        <v>39</v>
      </c>
      <c r="V239" s="425" t="str">
        <f t="shared" si="76"/>
        <v xml:space="preserve"> </v>
      </c>
      <c r="W239" s="538" t="str">
        <f t="shared" si="58"/>
        <v/>
      </c>
      <c r="X239" s="425"/>
      <c r="Y239" s="425"/>
      <c r="Z239" s="425"/>
      <c r="AA239" s="425" t="str">
        <f t="shared" si="77"/>
        <v/>
      </c>
      <c r="AB239" s="69"/>
      <c r="AC239" s="69"/>
      <c r="AD239" s="69"/>
      <c r="AF239" s="250"/>
      <c r="AG239" s="250"/>
      <c r="AH239" s="250"/>
    </row>
    <row r="240" spans="1:34" s="503" customFormat="1" ht="60" hidden="1" customHeight="1" x14ac:dyDescent="0.2">
      <c r="A240" s="136"/>
      <c r="B240" s="1248" t="str">
        <f>IFERROR(INDEX('ANALISIS TÉCNICO'!$B$163:$N$192,MATCH(7,'ANALISIS TÉCNICO'!$N$163:$N$192,0),1),"")</f>
        <v/>
      </c>
      <c r="C240" s="1248"/>
      <c r="D240" s="1248"/>
      <c r="E240" s="1250" t="str">
        <f>IFERROR(INDEX('ANALISIS TÉCNICO'!$B$163:$N$192,MATCH(7,'ANALISIS TÉCNICO'!$N$163:$N$192,0),3),"")</f>
        <v/>
      </c>
      <c r="F240" s="1252"/>
      <c r="G240" s="1250" t="str">
        <f t="shared" si="74"/>
        <v/>
      </c>
      <c r="H240" s="1252"/>
      <c r="I240" s="457" t="str">
        <f>IFERROR(INDEX('ANALISIS TÉCNICO'!$B$163:$N$192,MATCH(7,'ANALISIS TÉCNICO'!$N$163:$N$192,0),7),"")</f>
        <v/>
      </c>
      <c r="J240" s="457" t="str">
        <f>IFERROR(INDEX('ANALISIS TÉCNICO'!$B$163:$N$192,MATCH(7,'ANALISIS TÉCNICO'!$N$163:$N$192,0),8),"")</f>
        <v/>
      </c>
      <c r="K240" s="504"/>
      <c r="L240" s="515"/>
      <c r="M240" s="273"/>
      <c r="N240" s="266" t="str">
        <f t="shared" si="73"/>
        <v/>
      </c>
      <c r="S240" s="250"/>
      <c r="T240" s="530" t="str">
        <f t="shared" si="75"/>
        <v>b</v>
      </c>
      <c r="U240" s="425">
        <f>IFERROR(COUNTIF($T$200:T240,$T$201),"")</f>
        <v>40</v>
      </c>
      <c r="V240" s="425" t="str">
        <f t="shared" si="76"/>
        <v xml:space="preserve"> </v>
      </c>
      <c r="W240" s="538" t="str">
        <f t="shared" si="58"/>
        <v/>
      </c>
      <c r="X240" s="425"/>
      <c r="Y240" s="425"/>
      <c r="Z240" s="425"/>
      <c r="AA240" s="425" t="str">
        <f t="shared" si="77"/>
        <v/>
      </c>
      <c r="AB240" s="69"/>
      <c r="AC240" s="69"/>
      <c r="AD240" s="69"/>
      <c r="AF240" s="250"/>
      <c r="AG240" s="250"/>
      <c r="AH240" s="250"/>
    </row>
    <row r="241" spans="1:34" s="503" customFormat="1" ht="60" hidden="1" customHeight="1" x14ac:dyDescent="0.2">
      <c r="B241" s="1248" t="str">
        <f>IFERROR(INDEX('ANALISIS TÉCNICO'!$B$163:$N$192,MATCH(8,'ANALISIS TÉCNICO'!$N$163:$N$192,0),1),"")</f>
        <v/>
      </c>
      <c r="C241" s="1248"/>
      <c r="D241" s="1248"/>
      <c r="E241" s="1250" t="str">
        <f>IFERROR(INDEX('ANALISIS TÉCNICO'!$B$163:$N$192,MATCH(8,'ANALISIS TÉCNICO'!$N$163:$N$192,0),3),"")</f>
        <v/>
      </c>
      <c r="F241" s="1252"/>
      <c r="G241" s="1250" t="str">
        <f t="shared" si="74"/>
        <v/>
      </c>
      <c r="H241" s="1252"/>
      <c r="I241" s="457" t="str">
        <f>IFERROR(INDEX('ANALISIS TÉCNICO'!$B$163:$N$192,MATCH(8,'ANALISIS TÉCNICO'!$N$163:$N$192,0),7),"")</f>
        <v/>
      </c>
      <c r="J241" s="457" t="str">
        <f>IFERROR(INDEX('ANALISIS TÉCNICO'!$B$163:$N$192,MATCH(8,'ANALISIS TÉCNICO'!$N$163:$N$192,0),8),"")</f>
        <v/>
      </c>
      <c r="K241" s="504"/>
      <c r="L241" s="515"/>
      <c r="M241" s="273"/>
      <c r="N241" s="266" t="str">
        <f t="shared" si="73"/>
        <v/>
      </c>
      <c r="S241" s="250"/>
      <c r="T241" s="530" t="str">
        <f t="shared" si="75"/>
        <v>b</v>
      </c>
      <c r="U241" s="425">
        <f>IFERROR(COUNTIF($T$200:T241,$T$201),"")</f>
        <v>41</v>
      </c>
      <c r="V241" s="425" t="str">
        <f t="shared" si="76"/>
        <v xml:space="preserve"> </v>
      </c>
      <c r="W241" s="538" t="str">
        <f t="shared" si="58"/>
        <v/>
      </c>
      <c r="X241" s="425"/>
      <c r="Y241" s="425"/>
      <c r="Z241" s="425"/>
      <c r="AA241" s="425" t="str">
        <f t="shared" si="77"/>
        <v/>
      </c>
      <c r="AB241" s="69"/>
      <c r="AC241" s="69"/>
      <c r="AD241" s="69"/>
      <c r="AF241" s="250"/>
      <c r="AG241" s="250"/>
      <c r="AH241" s="250"/>
    </row>
    <row r="242" spans="1:34" s="503" customFormat="1" ht="60" hidden="1" customHeight="1" x14ac:dyDescent="0.2">
      <c r="A242" s="136"/>
      <c r="B242" s="1248" t="str">
        <f>IFERROR(INDEX('ANALISIS TÉCNICO'!$B$163:$N$192,MATCH(9,'ANALISIS TÉCNICO'!$N$163:$N$192,0),1),"")</f>
        <v/>
      </c>
      <c r="C242" s="1248"/>
      <c r="D242" s="1248"/>
      <c r="E242" s="1250" t="str">
        <f>IFERROR(INDEX('ANALISIS TÉCNICO'!$B$163:$N$192,MATCH(9,'ANALISIS TÉCNICO'!$N$163:$N$192,0),3),"")</f>
        <v/>
      </c>
      <c r="F242" s="1252"/>
      <c r="G242" s="1250" t="str">
        <f t="shared" si="74"/>
        <v/>
      </c>
      <c r="H242" s="1252"/>
      <c r="I242" s="457" t="str">
        <f>IFERROR(INDEX('ANALISIS TÉCNICO'!$B$163:$N$192,MATCH(9,'ANALISIS TÉCNICO'!$N$163:$N$192,0),7),"")</f>
        <v/>
      </c>
      <c r="J242" s="457" t="str">
        <f>IFERROR(INDEX('ANALISIS TÉCNICO'!$B$163:$N$192,MATCH(9,'ANALISIS TÉCNICO'!$N$163:$N$192,0),8),"")</f>
        <v/>
      </c>
      <c r="K242" s="504"/>
      <c r="L242" s="515"/>
      <c r="M242" s="273"/>
      <c r="N242" s="266" t="str">
        <f t="shared" si="73"/>
        <v/>
      </c>
      <c r="S242" s="250"/>
      <c r="T242" s="530" t="str">
        <f t="shared" si="75"/>
        <v>b</v>
      </c>
      <c r="U242" s="425">
        <f>IFERROR(COUNTIF($T$200:T242,$T$201),"")</f>
        <v>42</v>
      </c>
      <c r="V242" s="425" t="str">
        <f t="shared" si="76"/>
        <v xml:space="preserve"> </v>
      </c>
      <c r="W242" s="538" t="str">
        <f t="shared" si="58"/>
        <v/>
      </c>
      <c r="X242" s="425"/>
      <c r="Y242" s="425"/>
      <c r="Z242" s="425"/>
      <c r="AA242" s="425" t="str">
        <f t="shared" si="77"/>
        <v/>
      </c>
      <c r="AB242" s="69"/>
      <c r="AC242" s="69"/>
      <c r="AD242" s="69"/>
      <c r="AF242" s="250"/>
      <c r="AG242" s="250"/>
      <c r="AH242" s="250"/>
    </row>
    <row r="243" spans="1:34" s="503" customFormat="1" ht="60" hidden="1" customHeight="1" x14ac:dyDescent="0.2">
      <c r="B243" s="1248" t="str">
        <f>IFERROR(INDEX('ANALISIS TÉCNICO'!$B$163:$N$192,MATCH(10,'ANALISIS TÉCNICO'!$N$163:$N$192,0),1),"")</f>
        <v/>
      </c>
      <c r="C243" s="1248"/>
      <c r="D243" s="1248"/>
      <c r="E243" s="1250" t="str">
        <f>IFERROR(INDEX('ANALISIS TÉCNICO'!$B$163:$N$192,MATCH(10,'ANALISIS TÉCNICO'!$N$163:$N$192,0),3),"")</f>
        <v/>
      </c>
      <c r="F243" s="1252"/>
      <c r="G243" s="1250" t="str">
        <f t="shared" si="74"/>
        <v/>
      </c>
      <c r="H243" s="1252"/>
      <c r="I243" s="457" t="str">
        <f>IFERROR(INDEX('ANALISIS TÉCNICO'!$B$163:$N$192,MATCH(10,'ANALISIS TÉCNICO'!$N$163:$N$192,0),7),"")</f>
        <v/>
      </c>
      <c r="J243" s="457" t="str">
        <f>IFERROR(INDEX('ANALISIS TÉCNICO'!$B$163:$N$192,MATCH(10,'ANALISIS TÉCNICO'!$N$163:$N$192,0),8),"")</f>
        <v/>
      </c>
      <c r="K243" s="504"/>
      <c r="L243" s="515"/>
      <c r="M243" s="273"/>
      <c r="N243" s="266" t="str">
        <f t="shared" si="73"/>
        <v/>
      </c>
      <c r="S243" s="250"/>
      <c r="T243" s="425"/>
      <c r="U243" s="425"/>
      <c r="V243" s="250"/>
      <c r="W243" s="250"/>
      <c r="X243" s="250"/>
      <c r="Y243" s="425" t="str">
        <f t="shared" ref="Y243:Y266" si="78">IF(U243="","1","2")</f>
        <v>1</v>
      </c>
      <c r="Z243" s="425">
        <f>COUNTIF($Y$223:Y243,$Y$224)</f>
        <v>8</v>
      </c>
      <c r="AA243" s="425"/>
      <c r="AB243" s="69"/>
      <c r="AC243" s="69"/>
      <c r="AD243" s="69"/>
      <c r="AF243" s="250"/>
      <c r="AG243" s="250"/>
      <c r="AH243" s="250"/>
    </row>
    <row r="244" spans="1:34" s="503" customFormat="1" ht="60" hidden="1" customHeight="1" x14ac:dyDescent="0.2">
      <c r="A244" s="136"/>
      <c r="B244" s="1248" t="str">
        <f>IFERROR(INDEX('ANALISIS TÉCNICO'!$B$163:$N$192,MATCH(11,'ANALISIS TÉCNICO'!$N$163:$N$192,0),1),"")</f>
        <v/>
      </c>
      <c r="C244" s="1248"/>
      <c r="D244" s="1248"/>
      <c r="E244" s="1250" t="str">
        <f>IFERROR(INDEX('ANALISIS TÉCNICO'!$B$163:$N$192,MATCH(11,'ANALISIS TÉCNICO'!$N$163:$N$192,0),3),"")</f>
        <v/>
      </c>
      <c r="F244" s="1252"/>
      <c r="G244" s="1250" t="str">
        <f t="shared" si="74"/>
        <v/>
      </c>
      <c r="H244" s="1252"/>
      <c r="I244" s="457" t="str">
        <f>IFERROR(INDEX('ANALISIS TÉCNICO'!$B$163:$N$192,MATCH(11,'ANALISIS TÉCNICO'!$N$163:$N$192,0),7),"")</f>
        <v/>
      </c>
      <c r="J244" s="457" t="str">
        <f>IFERROR(INDEX('ANALISIS TÉCNICO'!$B$163:$N$192,MATCH(11,'ANALISIS TÉCNICO'!$N$163:$N$192,0),8),"")</f>
        <v/>
      </c>
      <c r="K244" s="504"/>
      <c r="L244" s="515"/>
      <c r="M244" s="273"/>
      <c r="N244" s="266" t="str">
        <f t="shared" si="73"/>
        <v/>
      </c>
      <c r="S244" s="250"/>
      <c r="T244" s="425" t="s">
        <v>5620</v>
      </c>
      <c r="U244" s="425" t="str">
        <f>IF(AND(T244="",T245=""),T246,IF(T244="",T245,T244))</f>
        <v/>
      </c>
      <c r="V244" s="250"/>
      <c r="W244" s="250"/>
      <c r="X244" s="250"/>
      <c r="Y244" s="425" t="str">
        <f t="shared" si="78"/>
        <v>1</v>
      </c>
      <c r="Z244" s="425">
        <f>COUNTIF($Y$223:Y244,$Y$224)</f>
        <v>8</v>
      </c>
      <c r="AA244" s="425"/>
      <c r="AB244" s="69"/>
      <c r="AC244" s="69"/>
      <c r="AD244" s="69"/>
      <c r="AF244" s="250"/>
      <c r="AG244" s="250"/>
      <c r="AH244" s="250"/>
    </row>
    <row r="245" spans="1:34" s="503" customFormat="1" ht="60" hidden="1" customHeight="1" x14ac:dyDescent="0.2">
      <c r="B245" s="1248" t="str">
        <f>IFERROR(INDEX('ANALISIS TÉCNICO'!$B$163:$N$192,MATCH(12,'ANALISIS TÉCNICO'!$N$163:$N$192,0),1),"")</f>
        <v/>
      </c>
      <c r="C245" s="1248"/>
      <c r="D245" s="1248"/>
      <c r="E245" s="1250" t="str">
        <f>IFERROR(INDEX('ANALISIS TÉCNICO'!$B$163:$N$192,MATCH(12,'ANALISIS TÉCNICO'!$N$163:$N$192,0),3),"")</f>
        <v/>
      </c>
      <c r="F245" s="1252"/>
      <c r="G245" s="1250" t="str">
        <f t="shared" si="74"/>
        <v/>
      </c>
      <c r="H245" s="1252"/>
      <c r="I245" s="457" t="str">
        <f>IFERROR(INDEX('ANALISIS TÉCNICO'!$B$163:$N$192,MATCH(12,'ANALISIS TÉCNICO'!$N$163:$N$192,0),7),"")</f>
        <v/>
      </c>
      <c r="J245" s="457" t="str">
        <f>IFERROR(INDEX('ANALISIS TÉCNICO'!$B$163:$N$192,MATCH(12,'ANALISIS TÉCNICO'!$N$163:$N$192,0),8),"")</f>
        <v/>
      </c>
      <c r="K245" s="504"/>
      <c r="L245" s="515"/>
      <c r="M245" s="273"/>
      <c r="N245" s="266" t="str">
        <f t="shared" si="73"/>
        <v/>
      </c>
      <c r="S245" s="250"/>
      <c r="T245" s="425" t="s">
        <v>5620</v>
      </c>
      <c r="U245" s="425" t="str">
        <f>IF(AND(T244="",T245=""),"",IF(T244="",T246,IF(T245="",T246,T245)))</f>
        <v/>
      </c>
      <c r="V245" s="250"/>
      <c r="W245" s="250"/>
      <c r="X245" s="250"/>
      <c r="Y245" s="425" t="str">
        <f t="shared" si="78"/>
        <v>1</v>
      </c>
      <c r="Z245" s="425">
        <f>COUNTIF($Y$223:Y245,$Y$224)</f>
        <v>8</v>
      </c>
      <c r="AA245" s="425"/>
      <c r="AB245" s="69"/>
      <c r="AC245" s="69"/>
      <c r="AD245" s="69"/>
      <c r="AF245" s="250"/>
      <c r="AG245" s="250"/>
      <c r="AH245" s="250"/>
    </row>
    <row r="246" spans="1:34" s="503" customFormat="1" ht="60" hidden="1" customHeight="1" x14ac:dyDescent="0.2">
      <c r="A246" s="136"/>
      <c r="B246" s="1248" t="str">
        <f>IFERROR(INDEX('ANALISIS TÉCNICO'!$B$163:$N$192,MATCH(13,'ANALISIS TÉCNICO'!$N$163:$N$192,0),1),"")</f>
        <v/>
      </c>
      <c r="C246" s="1248"/>
      <c r="D246" s="1248"/>
      <c r="E246" s="1250" t="str">
        <f>IFERROR(INDEX('ANALISIS TÉCNICO'!$B$163:$N$192,MATCH(13,'ANALISIS TÉCNICO'!$N$163:$N$192,0),3),"")</f>
        <v/>
      </c>
      <c r="F246" s="1252"/>
      <c r="G246" s="1250" t="str">
        <f t="shared" si="74"/>
        <v/>
      </c>
      <c r="H246" s="1252"/>
      <c r="I246" s="457" t="str">
        <f>IFERROR(INDEX('ANALISIS TÉCNICO'!$B$163:$N$192,MATCH(13,'ANALISIS TÉCNICO'!$N$163:$N$192,0),7),"")</f>
        <v/>
      </c>
      <c r="J246" s="457" t="str">
        <f>IFERROR(INDEX('ANALISIS TÉCNICO'!$B$163:$N$192,MATCH(13,'ANALISIS TÉCNICO'!$N$163:$N$192,0),8),"")</f>
        <v/>
      </c>
      <c r="K246" s="504"/>
      <c r="L246" s="515"/>
      <c r="M246" s="273"/>
      <c r="N246" s="266" t="str">
        <f t="shared" si="73"/>
        <v/>
      </c>
      <c r="S246" s="250"/>
      <c r="T246" s="425" t="s">
        <v>5620</v>
      </c>
      <c r="U246" s="425" t="str">
        <f>IF(AND(T244="",T245=""),"",IF(T245="","",IF(T244="","",T246)))</f>
        <v/>
      </c>
      <c r="V246" s="250"/>
      <c r="W246" s="250"/>
      <c r="X246" s="250"/>
      <c r="Y246" s="425" t="str">
        <f t="shared" si="78"/>
        <v>1</v>
      </c>
      <c r="Z246" s="425">
        <f>COUNTIF($Y$223:Y246,$Y$224)</f>
        <v>8</v>
      </c>
      <c r="AA246" s="425"/>
      <c r="AB246" s="69"/>
      <c r="AC246" s="69"/>
      <c r="AD246" s="69"/>
      <c r="AF246" s="250"/>
      <c r="AG246" s="250"/>
      <c r="AH246" s="250"/>
    </row>
    <row r="247" spans="1:34" s="503" customFormat="1" ht="60" hidden="1" customHeight="1" x14ac:dyDescent="0.2">
      <c r="B247" s="1248" t="str">
        <f>IFERROR(INDEX('ANALISIS TÉCNICO'!$B$163:$N$192,MATCH(14,'ANALISIS TÉCNICO'!$N$163:$N$192,0),1),"")</f>
        <v/>
      </c>
      <c r="C247" s="1248"/>
      <c r="D247" s="1248"/>
      <c r="E247" s="1250" t="str">
        <f>IFERROR(INDEX('ANALISIS TÉCNICO'!$B$163:$N$192,MATCH(14,'ANALISIS TÉCNICO'!$N$163:$N$192,0),3),"")</f>
        <v/>
      </c>
      <c r="F247" s="1252"/>
      <c r="G247" s="1250" t="str">
        <f t="shared" si="74"/>
        <v/>
      </c>
      <c r="H247" s="1252"/>
      <c r="I247" s="457" t="str">
        <f>IFERROR(INDEX('ANALISIS TÉCNICO'!$B$163:$N$192,MATCH(14,'ANALISIS TÉCNICO'!$N$163:$N$192,0),7),"")</f>
        <v/>
      </c>
      <c r="J247" s="457" t="str">
        <f>IFERROR(INDEX('ANALISIS TÉCNICO'!$B$163:$N$192,MATCH(14,'ANALISIS TÉCNICO'!$N$163:$N$192,0),8),"")</f>
        <v/>
      </c>
      <c r="K247" s="504"/>
      <c r="L247" s="515"/>
      <c r="M247" s="273"/>
      <c r="N247" s="266" t="str">
        <f t="shared" si="73"/>
        <v/>
      </c>
      <c r="S247" s="250"/>
      <c r="T247" s="425"/>
      <c r="U247" s="425"/>
      <c r="V247" s="250"/>
      <c r="W247" s="250"/>
      <c r="X247" s="250"/>
      <c r="Y247" s="425" t="str">
        <f t="shared" si="78"/>
        <v>1</v>
      </c>
      <c r="Z247" s="425">
        <f>COUNTIF($Y$223:Y247,$Y$224)</f>
        <v>8</v>
      </c>
      <c r="AA247" s="425"/>
      <c r="AB247" s="69"/>
      <c r="AC247" s="69"/>
      <c r="AD247" s="69"/>
      <c r="AF247" s="250"/>
      <c r="AG247" s="250"/>
      <c r="AH247" s="250"/>
    </row>
    <row r="248" spans="1:34" s="503" customFormat="1" ht="60" hidden="1" customHeight="1" x14ac:dyDescent="0.2">
      <c r="A248" s="136"/>
      <c r="B248" s="1248" t="str">
        <f>IFERROR(INDEX('ANALISIS TÉCNICO'!$B$163:$N$192,MATCH(15,'ANALISIS TÉCNICO'!$N$163:$N$192,0),1),"")</f>
        <v/>
      </c>
      <c r="C248" s="1248"/>
      <c r="D248" s="1248"/>
      <c r="E248" s="1250" t="str">
        <f>IFERROR(INDEX('ANALISIS TÉCNICO'!$B$163:$N$192,MATCH(15,'ANALISIS TÉCNICO'!$N$163:$N$192,0),3),"")</f>
        <v/>
      </c>
      <c r="F248" s="1252"/>
      <c r="G248" s="1250" t="str">
        <f t="shared" si="74"/>
        <v/>
      </c>
      <c r="H248" s="1252"/>
      <c r="I248" s="457" t="str">
        <f>IFERROR(INDEX('ANALISIS TÉCNICO'!$B$163:$N$192,MATCH(15,'ANALISIS TÉCNICO'!$N$163:$N$192,0),7),"")</f>
        <v/>
      </c>
      <c r="J248" s="457" t="str">
        <f>IFERROR(INDEX('ANALISIS TÉCNICO'!$B$163:$N$192,MATCH(15,'ANALISIS TÉCNICO'!$N$163:$N$192,0),8),"")</f>
        <v/>
      </c>
      <c r="K248" s="504"/>
      <c r="L248" s="515"/>
      <c r="M248" s="273"/>
      <c r="N248" s="266" t="str">
        <f t="shared" si="73"/>
        <v/>
      </c>
      <c r="S248" s="250"/>
      <c r="T248" s="425" t="s">
        <v>5620</v>
      </c>
      <c r="U248" s="425" t="str">
        <f>IF(AND(T248="",T249=""),T250,IF(T248="",T249,T248))</f>
        <v/>
      </c>
      <c r="V248" s="250"/>
      <c r="W248" s="250"/>
      <c r="X248" s="250"/>
      <c r="Y248" s="425" t="str">
        <f t="shared" si="78"/>
        <v>1</v>
      </c>
      <c r="Z248" s="425">
        <f>COUNTIF($Y$223:Y248,$Y$224)</f>
        <v>8</v>
      </c>
      <c r="AA248" s="425"/>
      <c r="AB248" s="69"/>
      <c r="AC248" s="69"/>
      <c r="AD248" s="69"/>
      <c r="AF248" s="250"/>
      <c r="AG248" s="250"/>
      <c r="AH248" s="250"/>
    </row>
    <row r="249" spans="1:34" s="503" customFormat="1" ht="60" hidden="1" customHeight="1" x14ac:dyDescent="0.2">
      <c r="B249" s="1248" t="str">
        <f>IFERROR(INDEX('ANALISIS TÉCNICO'!$B$163:$N$192,MATCH(16,'ANALISIS TÉCNICO'!$N$163:$N$192,0),1),"")</f>
        <v/>
      </c>
      <c r="C249" s="1248"/>
      <c r="D249" s="1248"/>
      <c r="E249" s="1250" t="str">
        <f>IFERROR(INDEX('ANALISIS TÉCNICO'!$B$163:$N$192,MATCH(16,'ANALISIS TÉCNICO'!$N$163:$N$192,0),3),"")</f>
        <v/>
      </c>
      <c r="F249" s="1252"/>
      <c r="G249" s="1250" t="str">
        <f t="shared" si="74"/>
        <v/>
      </c>
      <c r="H249" s="1252"/>
      <c r="I249" s="457" t="str">
        <f>IFERROR(INDEX('ANALISIS TÉCNICO'!$B$163:$N$192,MATCH(16,'ANALISIS TÉCNICO'!$N$163:$N$192,0),7),"")</f>
        <v/>
      </c>
      <c r="J249" s="457" t="str">
        <f>IFERROR(INDEX('ANALISIS TÉCNICO'!$B$163:$N$192,MATCH(16,'ANALISIS TÉCNICO'!$N$163:$N$192,0),8),"")</f>
        <v/>
      </c>
      <c r="K249" s="504"/>
      <c r="L249" s="515"/>
      <c r="M249" s="273"/>
      <c r="N249" s="266" t="str">
        <f t="shared" si="73"/>
        <v/>
      </c>
      <c r="S249" s="250"/>
      <c r="T249" s="425" t="s">
        <v>5620</v>
      </c>
      <c r="U249" s="425" t="str">
        <f>IF(AND(T248="",T249=""),"",IF(T248="",T250,IF(T249="",T250,T249)))</f>
        <v/>
      </c>
      <c r="V249" s="250"/>
      <c r="W249" s="250"/>
      <c r="X249" s="250"/>
      <c r="Y249" s="425" t="str">
        <f t="shared" si="78"/>
        <v>1</v>
      </c>
      <c r="Z249" s="425">
        <f>COUNTIF($Y$223:Y249,$Y$224)</f>
        <v>8</v>
      </c>
      <c r="AA249" s="425"/>
      <c r="AB249" s="69"/>
      <c r="AC249" s="69"/>
      <c r="AD249" s="69"/>
      <c r="AF249" s="250"/>
      <c r="AG249" s="250"/>
      <c r="AH249" s="250"/>
    </row>
    <row r="250" spans="1:34" s="503" customFormat="1" ht="60" hidden="1" customHeight="1" x14ac:dyDescent="0.2">
      <c r="A250" s="136"/>
      <c r="B250" s="1248" t="str">
        <f>IFERROR(INDEX('ANALISIS TÉCNICO'!$B$163:$N$192,MATCH(17,'ANALISIS TÉCNICO'!$N$163:$N$192,0),1),"")</f>
        <v/>
      </c>
      <c r="C250" s="1248"/>
      <c r="D250" s="1248"/>
      <c r="E250" s="1250" t="str">
        <f>IFERROR(INDEX('ANALISIS TÉCNICO'!$B$163:$N$192,MATCH(17,'ANALISIS TÉCNICO'!$N$163:$N$192,0),3),"")</f>
        <v/>
      </c>
      <c r="F250" s="1252"/>
      <c r="G250" s="1250" t="str">
        <f t="shared" si="74"/>
        <v/>
      </c>
      <c r="H250" s="1252"/>
      <c r="I250" s="457" t="str">
        <f>IFERROR(INDEX('ANALISIS TÉCNICO'!$B$163:$N$192,MATCH(17,'ANALISIS TÉCNICO'!$N$163:$N$192,0),7),"")</f>
        <v/>
      </c>
      <c r="J250" s="457" t="str">
        <f>IFERROR(INDEX('ANALISIS TÉCNICO'!$B$163:$N$192,MATCH(17,'ANALISIS TÉCNICO'!$N$163:$N$192,0),8),"")</f>
        <v/>
      </c>
      <c r="K250" s="504"/>
      <c r="L250" s="515"/>
      <c r="M250" s="273"/>
      <c r="N250" s="266" t="str">
        <f t="shared" si="73"/>
        <v/>
      </c>
      <c r="S250" s="250"/>
      <c r="T250" s="425" t="s">
        <v>5620</v>
      </c>
      <c r="U250" s="425" t="str">
        <f>IF(AND(T248="",T249=""),"",IF(T249="","",IF(T248="","",T250)))</f>
        <v/>
      </c>
      <c r="V250" s="250"/>
      <c r="W250" s="250"/>
      <c r="X250" s="250"/>
      <c r="Y250" s="425" t="str">
        <f t="shared" si="78"/>
        <v>1</v>
      </c>
      <c r="Z250" s="425">
        <f>COUNTIF($Y$223:Y250,$Y$224)</f>
        <v>8</v>
      </c>
      <c r="AA250" s="425"/>
      <c r="AB250" s="69"/>
      <c r="AC250" s="69"/>
      <c r="AD250" s="69"/>
      <c r="AF250" s="250"/>
      <c r="AG250" s="250"/>
      <c r="AH250" s="250"/>
    </row>
    <row r="251" spans="1:34" s="503" customFormat="1" ht="60" hidden="1" customHeight="1" x14ac:dyDescent="0.2">
      <c r="B251" s="1248" t="str">
        <f>IFERROR(INDEX('ANALISIS TÉCNICO'!$B$163:$N$192,MATCH(18,'ANALISIS TÉCNICO'!$N$163:$N$192,0),1),"")</f>
        <v/>
      </c>
      <c r="C251" s="1248"/>
      <c r="D251" s="1248"/>
      <c r="E251" s="1250" t="str">
        <f>IFERROR(INDEX('ANALISIS TÉCNICO'!$B$163:$N$192,MATCH(18,'ANALISIS TÉCNICO'!$N$163:$N$192,0),3),"")</f>
        <v/>
      </c>
      <c r="F251" s="1252"/>
      <c r="G251" s="1250" t="str">
        <f t="shared" si="74"/>
        <v/>
      </c>
      <c r="H251" s="1252"/>
      <c r="I251" s="457" t="str">
        <f>IFERROR(INDEX('ANALISIS TÉCNICO'!$B$163:$N$192,MATCH(18,'ANALISIS TÉCNICO'!$N$163:$N$192,0),7),"")</f>
        <v/>
      </c>
      <c r="J251" s="457" t="str">
        <f>IFERROR(INDEX('ANALISIS TÉCNICO'!$B$163:$N$192,MATCH(18,'ANALISIS TÉCNICO'!$N$163:$N$192,0),8),"")</f>
        <v/>
      </c>
      <c r="K251" s="504"/>
      <c r="L251" s="515"/>
      <c r="M251" s="273"/>
      <c r="N251" s="266" t="str">
        <f t="shared" si="73"/>
        <v/>
      </c>
      <c r="S251" s="250"/>
      <c r="T251" s="425"/>
      <c r="U251" s="425"/>
      <c r="V251" s="250"/>
      <c r="W251" s="250"/>
      <c r="X251" s="250"/>
      <c r="Y251" s="425" t="str">
        <f t="shared" si="78"/>
        <v>1</v>
      </c>
      <c r="Z251" s="425">
        <f>COUNTIF($Y$223:Y251,$Y$224)</f>
        <v>8</v>
      </c>
      <c r="AA251" s="425"/>
      <c r="AB251" s="69"/>
      <c r="AC251" s="69"/>
      <c r="AD251" s="69"/>
      <c r="AF251" s="250"/>
      <c r="AG251" s="250"/>
      <c r="AH251" s="250"/>
    </row>
    <row r="252" spans="1:34" s="503" customFormat="1" ht="60" hidden="1" customHeight="1" x14ac:dyDescent="0.2">
      <c r="A252" s="136"/>
      <c r="B252" s="1248" t="str">
        <f>IFERROR(INDEX('ANALISIS TÉCNICO'!$B$163:$N$192,MATCH(19,'ANALISIS TÉCNICO'!$N$163:$N$192,0),1),"")</f>
        <v/>
      </c>
      <c r="C252" s="1248"/>
      <c r="D252" s="1248"/>
      <c r="E252" s="1250" t="str">
        <f>IFERROR(INDEX('ANALISIS TÉCNICO'!$B$163:$N$192,MATCH(19,'ANALISIS TÉCNICO'!$N$163:$N$192,0),3),"")</f>
        <v/>
      </c>
      <c r="F252" s="1252"/>
      <c r="G252" s="1250" t="str">
        <f t="shared" si="74"/>
        <v/>
      </c>
      <c r="H252" s="1252"/>
      <c r="I252" s="457" t="str">
        <f>IFERROR(INDEX('ANALISIS TÉCNICO'!$B$163:$N$192,MATCH(19,'ANALISIS TÉCNICO'!$N$163:$N$192,0),7),"")</f>
        <v/>
      </c>
      <c r="J252" s="457" t="str">
        <f>IFERROR(INDEX('ANALISIS TÉCNICO'!$B$163:$N$192,MATCH(19,'ANALISIS TÉCNICO'!$N$163:$N$192,0),8),"")</f>
        <v/>
      </c>
      <c r="K252" s="504"/>
      <c r="L252" s="515"/>
      <c r="M252" s="273"/>
      <c r="N252" s="266" t="str">
        <f t="shared" si="73"/>
        <v/>
      </c>
      <c r="S252" s="250"/>
      <c r="T252" s="425" t="s">
        <v>5620</v>
      </c>
      <c r="U252" s="425" t="str">
        <f>IF(AND(T252="",T253=""),T254,IF(T252="",T253,T252))</f>
        <v/>
      </c>
      <c r="V252" s="250"/>
      <c r="W252" s="250"/>
      <c r="X252" s="250"/>
      <c r="Y252" s="425" t="str">
        <f t="shared" si="78"/>
        <v>1</v>
      </c>
      <c r="Z252" s="425">
        <f>COUNTIF($Y$223:Y252,$Y$224)</f>
        <v>8</v>
      </c>
      <c r="AA252" s="425"/>
      <c r="AB252" s="69"/>
      <c r="AC252" s="69"/>
      <c r="AD252" s="69"/>
      <c r="AF252" s="250"/>
      <c r="AG252" s="250"/>
      <c r="AH252" s="250"/>
    </row>
    <row r="253" spans="1:34" s="503" customFormat="1" ht="60" hidden="1" customHeight="1" x14ac:dyDescent="0.2">
      <c r="B253" s="1248" t="str">
        <f>IFERROR(INDEX('ANALISIS TÉCNICO'!$B$163:$N$192,MATCH(20,'ANALISIS TÉCNICO'!$N$163:$N$192,0),1),"")</f>
        <v/>
      </c>
      <c r="C253" s="1248"/>
      <c r="D253" s="1248"/>
      <c r="E253" s="1250" t="str">
        <f>IFERROR(INDEX('ANALISIS TÉCNICO'!$B$163:$N$192,MATCH(20,'ANALISIS TÉCNICO'!$N$163:$N$192,0),3),"")</f>
        <v/>
      </c>
      <c r="F253" s="1252"/>
      <c r="G253" s="1250" t="str">
        <f t="shared" si="74"/>
        <v/>
      </c>
      <c r="H253" s="1252"/>
      <c r="I253" s="457" t="str">
        <f>IFERROR(INDEX('ANALISIS TÉCNICO'!$B$163:$N$192,MATCH(20,'ANALISIS TÉCNICO'!$N$163:$N$192,0),7),"")</f>
        <v/>
      </c>
      <c r="J253" s="457" t="str">
        <f>IFERROR(INDEX('ANALISIS TÉCNICO'!$B$163:$N$192,MATCH(20,'ANALISIS TÉCNICO'!$N$163:$N$192,0),8),"")</f>
        <v/>
      </c>
      <c r="K253" s="504"/>
      <c r="L253" s="515"/>
      <c r="M253" s="273"/>
      <c r="N253" s="266" t="str">
        <f t="shared" si="73"/>
        <v/>
      </c>
      <c r="S253" s="250"/>
      <c r="T253" s="425" t="s">
        <v>5620</v>
      </c>
      <c r="U253" s="425" t="str">
        <f>IF(AND(T252="",T253=""),"",IF(T252="",T254,IF(T253="",T254,T253)))</f>
        <v/>
      </c>
      <c r="V253" s="250"/>
      <c r="W253" s="250"/>
      <c r="X253" s="250"/>
      <c r="Y253" s="425" t="str">
        <f t="shared" si="78"/>
        <v>1</v>
      </c>
      <c r="Z253" s="425">
        <f>COUNTIF($Y$223:Y253,$Y$224)</f>
        <v>8</v>
      </c>
      <c r="AA253" s="425"/>
      <c r="AB253" s="69"/>
      <c r="AC253" s="69"/>
      <c r="AD253" s="69"/>
      <c r="AF253" s="250"/>
      <c r="AG253" s="250"/>
      <c r="AH253" s="250"/>
    </row>
    <row r="254" spans="1:34" s="503" customFormat="1" ht="60" hidden="1" customHeight="1" x14ac:dyDescent="0.2">
      <c r="A254" s="136"/>
      <c r="B254" s="1248" t="str">
        <f>IFERROR(INDEX('ANALISIS TÉCNICO'!$B$163:$N$192,MATCH(21,'ANALISIS TÉCNICO'!$N$163:$N$192,0),1),"")</f>
        <v/>
      </c>
      <c r="C254" s="1248"/>
      <c r="D254" s="1248"/>
      <c r="E254" s="1250" t="str">
        <f>IFERROR(INDEX('ANALISIS TÉCNICO'!$B$163:$N$192,MATCH(21,'ANALISIS TÉCNICO'!$N$163:$N$192,0),3),"")</f>
        <v/>
      </c>
      <c r="F254" s="1252"/>
      <c r="G254" s="1250" t="str">
        <f t="shared" si="74"/>
        <v/>
      </c>
      <c r="H254" s="1252"/>
      <c r="I254" s="457" t="str">
        <f>IFERROR(INDEX('ANALISIS TÉCNICO'!$B$163:$N$192,MATCH(21,'ANALISIS TÉCNICO'!$N$163:$N$192,0),7),"")</f>
        <v/>
      </c>
      <c r="J254" s="457" t="str">
        <f>IFERROR(INDEX('ANALISIS TÉCNICO'!$B$163:$N$192,MATCH(21,'ANALISIS TÉCNICO'!$N$163:$N$192,0),8),"")</f>
        <v/>
      </c>
      <c r="K254" s="504"/>
      <c r="L254" s="515"/>
      <c r="M254" s="273"/>
      <c r="N254" s="266" t="str">
        <f t="shared" si="73"/>
        <v/>
      </c>
      <c r="S254" s="250"/>
      <c r="T254" s="425" t="s">
        <v>5620</v>
      </c>
      <c r="U254" s="425" t="str">
        <f>IF(AND(T252="",T253=""),"",IF(T253="","",IF(T252="","",T254)))</f>
        <v/>
      </c>
      <c r="V254" s="250"/>
      <c r="W254" s="250"/>
      <c r="X254" s="250"/>
      <c r="Y254" s="425" t="str">
        <f t="shared" si="78"/>
        <v>1</v>
      </c>
      <c r="Z254" s="425">
        <f>COUNTIF($Y$223:Y254,$Y$224)</f>
        <v>8</v>
      </c>
      <c r="AA254" s="425"/>
      <c r="AB254" s="69"/>
      <c r="AC254" s="69"/>
      <c r="AF254" s="250"/>
      <c r="AG254" s="250"/>
      <c r="AH254" s="250"/>
    </row>
    <row r="255" spans="1:34" s="503" customFormat="1" ht="24.95" hidden="1" customHeight="1" x14ac:dyDescent="0.2">
      <c r="B255" s="448" t="s">
        <v>4875</v>
      </c>
      <c r="C255" s="449"/>
      <c r="D255" s="449"/>
      <c r="E255" s="449"/>
      <c r="F255" s="449"/>
      <c r="G255" s="449"/>
      <c r="H255" s="449"/>
      <c r="I255" s="449"/>
      <c r="J255" s="449"/>
      <c r="K255" s="449"/>
      <c r="L255" s="496" t="s">
        <v>4922</v>
      </c>
      <c r="M255" s="555"/>
      <c r="N255" s="459"/>
      <c r="S255" s="250"/>
      <c r="T255" s="425"/>
      <c r="U255" s="425"/>
      <c r="V255" s="250"/>
      <c r="W255" s="250"/>
      <c r="X255" s="250"/>
      <c r="Y255" s="425" t="str">
        <f t="shared" si="78"/>
        <v>1</v>
      </c>
      <c r="Z255" s="425">
        <f>COUNTIF($Y$223:Y255,$Y$224)</f>
        <v>8</v>
      </c>
      <c r="AA255" s="425"/>
      <c r="AB255" s="69"/>
      <c r="AC255" s="69"/>
      <c r="AF255" s="250"/>
      <c r="AG255" s="250"/>
      <c r="AH255" s="250"/>
    </row>
    <row r="256" spans="1:34" s="503" customFormat="1" ht="60" hidden="1" customHeight="1" x14ac:dyDescent="0.2">
      <c r="A256" s="136"/>
      <c r="B256" s="1759"/>
      <c r="C256" s="1759"/>
      <c r="D256" s="1759"/>
      <c r="E256" s="1186"/>
      <c r="F256" s="1188"/>
      <c r="G256" s="1250" t="str">
        <f t="shared" ref="G256:G261" si="79">IFERROR(IF(B256="","",$D$53),"")</f>
        <v/>
      </c>
      <c r="H256" s="1252"/>
      <c r="I256" s="457" t="str">
        <f t="shared" ref="I256:I261" si="80">IFERROR(IF(B256="","","Unidad"),"")</f>
        <v/>
      </c>
      <c r="J256" s="505"/>
      <c r="K256" s="504"/>
      <c r="L256" s="515"/>
      <c r="M256" s="273"/>
      <c r="N256" s="266" t="str">
        <f t="shared" ref="N256:N261" si="81">IFERROR(IF(G256="","",IF(G256="Infraestructura",M256*L256,M256*J256)),"")</f>
        <v/>
      </c>
      <c r="S256" s="250"/>
      <c r="T256" s="425" t="s">
        <v>5620</v>
      </c>
      <c r="U256" s="425" t="str">
        <f>IF(AND(T256="",T257=""),T258,IF(T256="",T257,T256))</f>
        <v/>
      </c>
      <c r="V256" s="250"/>
      <c r="W256" s="250"/>
      <c r="X256" s="250"/>
      <c r="Y256" s="425" t="str">
        <f t="shared" si="78"/>
        <v>1</v>
      </c>
      <c r="Z256" s="425">
        <f>COUNTIF($Y$223:Y256,$Y$224)</f>
        <v>8</v>
      </c>
      <c r="AA256" s="425"/>
      <c r="AB256" s="69"/>
      <c r="AC256" s="69"/>
      <c r="AF256" s="250"/>
      <c r="AG256" s="250"/>
      <c r="AH256" s="250"/>
    </row>
    <row r="257" spans="1:34" s="503" customFormat="1" ht="60" hidden="1" customHeight="1" x14ac:dyDescent="0.2">
      <c r="B257" s="1759"/>
      <c r="C257" s="1759"/>
      <c r="D257" s="1759"/>
      <c r="E257" s="1186"/>
      <c r="F257" s="1188"/>
      <c r="G257" s="1250" t="str">
        <f t="shared" si="79"/>
        <v/>
      </c>
      <c r="H257" s="1252"/>
      <c r="I257" s="457" t="str">
        <f t="shared" si="80"/>
        <v/>
      </c>
      <c r="J257" s="505"/>
      <c r="K257" s="504"/>
      <c r="L257" s="515"/>
      <c r="M257" s="273"/>
      <c r="N257" s="266" t="str">
        <f t="shared" si="81"/>
        <v/>
      </c>
      <c r="S257" s="250"/>
      <c r="T257" s="425" t="s">
        <v>5620</v>
      </c>
      <c r="U257" s="425" t="str">
        <f>IF(AND(T256="",T257=""),"",IF(T256="",T258,IF(T257="",T258,T257)))</f>
        <v/>
      </c>
      <c r="V257" s="250"/>
      <c r="W257" s="250"/>
      <c r="X257" s="250"/>
      <c r="Y257" s="425" t="str">
        <f t="shared" si="78"/>
        <v>1</v>
      </c>
      <c r="Z257" s="425">
        <f>COUNTIF($Y$223:Y257,$Y$224)</f>
        <v>8</v>
      </c>
      <c r="AA257" s="425"/>
      <c r="AB257" s="69"/>
      <c r="AC257" s="69"/>
      <c r="AF257" s="250"/>
      <c r="AG257" s="250"/>
      <c r="AH257" s="250"/>
    </row>
    <row r="258" spans="1:34" s="503" customFormat="1" ht="60" hidden="1" customHeight="1" x14ac:dyDescent="0.2">
      <c r="A258" s="136"/>
      <c r="B258" s="1759"/>
      <c r="C258" s="1759"/>
      <c r="D258" s="1759"/>
      <c r="E258" s="1186"/>
      <c r="F258" s="1188"/>
      <c r="G258" s="1250" t="str">
        <f t="shared" si="79"/>
        <v/>
      </c>
      <c r="H258" s="1252"/>
      <c r="I258" s="457" t="str">
        <f t="shared" si="80"/>
        <v/>
      </c>
      <c r="J258" s="505"/>
      <c r="K258" s="504"/>
      <c r="L258" s="515"/>
      <c r="M258" s="273"/>
      <c r="N258" s="266" t="str">
        <f t="shared" si="81"/>
        <v/>
      </c>
      <c r="S258" s="250"/>
      <c r="T258" s="425" t="s">
        <v>5620</v>
      </c>
      <c r="U258" s="425" t="str">
        <f>IF(AND(T256="",T257=""),"",IF(T257="","",IF(T256="","",T258)))</f>
        <v/>
      </c>
      <c r="V258" s="250"/>
      <c r="W258" s="250"/>
      <c r="X258" s="250"/>
      <c r="Y258" s="425" t="str">
        <f t="shared" si="78"/>
        <v>1</v>
      </c>
      <c r="Z258" s="425">
        <f>COUNTIF($Y$223:Y258,$Y$224)</f>
        <v>8</v>
      </c>
      <c r="AA258" s="425"/>
      <c r="AB258" s="69"/>
      <c r="AC258" s="69"/>
      <c r="AF258" s="250"/>
      <c r="AG258" s="250"/>
      <c r="AH258" s="250"/>
    </row>
    <row r="259" spans="1:34" s="503" customFormat="1" ht="60" hidden="1" customHeight="1" x14ac:dyDescent="0.2">
      <c r="B259" s="1204"/>
      <c r="C259" s="1249"/>
      <c r="D259" s="1249"/>
      <c r="E259" s="1224"/>
      <c r="F259" s="1224"/>
      <c r="G259" s="1250" t="str">
        <f t="shared" si="79"/>
        <v/>
      </c>
      <c r="H259" s="1252"/>
      <c r="I259" s="457" t="str">
        <f t="shared" si="80"/>
        <v/>
      </c>
      <c r="J259" s="505"/>
      <c r="K259" s="504"/>
      <c r="L259" s="515"/>
      <c r="M259" s="451"/>
      <c r="N259" s="266" t="str">
        <f t="shared" si="81"/>
        <v/>
      </c>
      <c r="S259" s="250"/>
      <c r="T259" s="425"/>
      <c r="U259" s="425"/>
      <c r="V259" s="250"/>
      <c r="W259" s="250"/>
      <c r="X259" s="250"/>
      <c r="Y259" s="425" t="str">
        <f t="shared" si="78"/>
        <v>1</v>
      </c>
      <c r="Z259" s="425">
        <f>COUNTIF($Y$223:Y259,$Y$224)</f>
        <v>8</v>
      </c>
      <c r="AA259" s="425"/>
      <c r="AB259" s="69"/>
      <c r="AC259" s="69"/>
      <c r="AF259" s="250"/>
      <c r="AG259" s="250"/>
      <c r="AH259" s="250"/>
    </row>
    <row r="260" spans="1:34" s="503" customFormat="1" ht="60" hidden="1" customHeight="1" x14ac:dyDescent="0.2">
      <c r="A260" s="136"/>
      <c r="B260" s="1204"/>
      <c r="C260" s="1249"/>
      <c r="D260" s="1249"/>
      <c r="E260" s="1224"/>
      <c r="F260" s="1224"/>
      <c r="G260" s="1250" t="str">
        <f t="shared" si="79"/>
        <v/>
      </c>
      <c r="H260" s="1252"/>
      <c r="I260" s="457" t="str">
        <f t="shared" si="80"/>
        <v/>
      </c>
      <c r="J260" s="505"/>
      <c r="K260" s="504"/>
      <c r="L260" s="515"/>
      <c r="M260" s="451"/>
      <c r="N260" s="266" t="str">
        <f t="shared" si="81"/>
        <v/>
      </c>
      <c r="S260" s="250"/>
      <c r="T260" s="425" t="s">
        <v>5620</v>
      </c>
      <c r="U260" s="425" t="str">
        <f>IF(AND(T260="",T261=""),T262,IF(T260="",T261,T260))</f>
        <v/>
      </c>
      <c r="V260" s="250"/>
      <c r="W260" s="250"/>
      <c r="X260" s="250"/>
      <c r="Y260" s="425" t="str">
        <f t="shared" si="78"/>
        <v>1</v>
      </c>
      <c r="Z260" s="425">
        <f>COUNTIF($Y$223:Y260,$Y$224)</f>
        <v>8</v>
      </c>
      <c r="AA260" s="425"/>
      <c r="AB260" s="69"/>
      <c r="AC260" s="69"/>
      <c r="AF260" s="250"/>
      <c r="AG260" s="250"/>
      <c r="AH260" s="250"/>
    </row>
    <row r="261" spans="1:34" s="503" customFormat="1" ht="60" hidden="1" customHeight="1" x14ac:dyDescent="0.2">
      <c r="B261" s="1204"/>
      <c r="C261" s="1249"/>
      <c r="D261" s="1249"/>
      <c r="E261" s="1224"/>
      <c r="F261" s="1224"/>
      <c r="G261" s="1250" t="str">
        <f t="shared" si="79"/>
        <v/>
      </c>
      <c r="H261" s="1252"/>
      <c r="I261" s="457" t="str">
        <f t="shared" si="80"/>
        <v/>
      </c>
      <c r="J261" s="505"/>
      <c r="K261" s="504"/>
      <c r="L261" s="515"/>
      <c r="M261" s="451"/>
      <c r="N261" s="266" t="str">
        <f t="shared" si="81"/>
        <v/>
      </c>
      <c r="S261" s="250"/>
      <c r="T261" s="425" t="s">
        <v>5620</v>
      </c>
      <c r="U261" s="425" t="str">
        <f>IF(AND(T260="",T261=""),"",IF(T260="",T262,IF(T261="",T262,T261)))</f>
        <v/>
      </c>
      <c r="V261" s="250"/>
      <c r="W261" s="250"/>
      <c r="X261" s="250"/>
      <c r="Y261" s="425" t="str">
        <f t="shared" si="78"/>
        <v>1</v>
      </c>
      <c r="Z261" s="425">
        <f>COUNTIF($Y$223:Y261,$Y$224)</f>
        <v>8</v>
      </c>
      <c r="AA261" s="425"/>
      <c r="AB261" s="69"/>
      <c r="AC261" s="69"/>
      <c r="AF261" s="250"/>
      <c r="AG261" s="250"/>
      <c r="AH261" s="250"/>
    </row>
    <row r="262" spans="1:34" s="503" customFormat="1" ht="30" hidden="1" customHeight="1" x14ac:dyDescent="0.2">
      <c r="A262" s="136"/>
      <c r="B262" s="1756" t="s">
        <v>4876</v>
      </c>
      <c r="C262" s="1757"/>
      <c r="D262" s="1757"/>
      <c r="E262" s="1757"/>
      <c r="F262" s="1757"/>
      <c r="G262" s="1757"/>
      <c r="H262" s="1757"/>
      <c r="I262" s="1757"/>
      <c r="J262" s="1757"/>
      <c r="K262" s="1757"/>
      <c r="L262" s="1757"/>
      <c r="M262" s="1757"/>
      <c r="N262" s="454">
        <f>IFERROR(SUM(N256:N261,N234:N254),"")</f>
        <v>0</v>
      </c>
      <c r="S262" s="250"/>
      <c r="T262" s="425" t="s">
        <v>5620</v>
      </c>
      <c r="U262" s="425" t="str">
        <f>IF(AND(T260="",T261=""),"",IF(T261="","",IF(T260="","",T262)))</f>
        <v/>
      </c>
      <c r="V262" s="250"/>
      <c r="W262" s="250"/>
      <c r="X262" s="250"/>
      <c r="Y262" s="425" t="str">
        <f t="shared" si="78"/>
        <v>1</v>
      </c>
      <c r="Z262" s="425">
        <f>COUNTIF($Y$223:Y262,$Y$224)</f>
        <v>8</v>
      </c>
      <c r="AA262" s="425"/>
      <c r="AB262" s="69"/>
      <c r="AC262" s="69"/>
      <c r="AF262" s="250"/>
      <c r="AG262" s="250"/>
      <c r="AH262" s="250"/>
    </row>
    <row r="263" spans="1:34" s="503" customFormat="1" ht="8.1" hidden="1" customHeight="1" x14ac:dyDescent="0.2">
      <c r="B263" s="511"/>
      <c r="C263" s="511"/>
      <c r="D263" s="511"/>
      <c r="E263" s="511"/>
      <c r="F263" s="511"/>
      <c r="G263" s="511"/>
      <c r="H263" s="511"/>
      <c r="I263" s="511"/>
      <c r="J263" s="511"/>
      <c r="K263" s="511"/>
      <c r="L263" s="511"/>
      <c r="M263" s="511"/>
      <c r="N263" s="453"/>
      <c r="S263" s="250"/>
      <c r="T263" s="425"/>
      <c r="U263" s="425"/>
      <c r="V263" s="250"/>
      <c r="W263" s="250"/>
      <c r="X263" s="250"/>
      <c r="Y263" s="425" t="str">
        <f t="shared" si="78"/>
        <v>1</v>
      </c>
      <c r="Z263" s="425">
        <f>COUNTIF($Y$223:Y263,$Y$224)</f>
        <v>8</v>
      </c>
      <c r="AA263" s="425"/>
      <c r="AB263" s="69"/>
      <c r="AC263" s="69"/>
      <c r="AF263" s="250"/>
      <c r="AG263" s="250"/>
      <c r="AH263" s="250"/>
    </row>
    <row r="264" spans="1:34" s="503" customFormat="1" ht="30" hidden="1" customHeight="1" x14ac:dyDescent="0.2">
      <c r="A264" s="136"/>
      <c r="B264" s="1444" t="s">
        <v>4880</v>
      </c>
      <c r="C264" s="1445"/>
      <c r="D264" s="1445"/>
      <c r="E264" s="1445"/>
      <c r="F264" s="1445"/>
      <c r="G264" s="1445"/>
      <c r="H264" s="1445"/>
      <c r="I264" s="1445"/>
      <c r="J264" s="1445"/>
      <c r="K264" s="1445"/>
      <c r="L264" s="1446"/>
      <c r="M264" s="1445" t="s">
        <v>4881</v>
      </c>
      <c r="N264" s="1446"/>
      <c r="S264" s="250"/>
      <c r="T264" s="425" t="s">
        <v>5620</v>
      </c>
      <c r="U264" s="425" t="str">
        <f>IF(AND(T264="",T265=""),T266,IF(T264="",T265,T264))</f>
        <v/>
      </c>
      <c r="V264" s="250"/>
      <c r="W264" s="250"/>
      <c r="X264" s="250"/>
      <c r="Y264" s="425" t="str">
        <f t="shared" si="78"/>
        <v>1</v>
      </c>
      <c r="Z264" s="425">
        <f>COUNTIF($Y$223:Y264,$Y$224)</f>
        <v>8</v>
      </c>
      <c r="AA264" s="425"/>
      <c r="AB264" s="69"/>
      <c r="AC264" s="69"/>
      <c r="AF264" s="250"/>
      <c r="AG264" s="250"/>
      <c r="AH264" s="250"/>
    </row>
    <row r="265" spans="1:34" s="503" customFormat="1" ht="8.1" hidden="1" customHeight="1" x14ac:dyDescent="0.2">
      <c r="B265" s="512"/>
      <c r="C265" s="512"/>
      <c r="D265" s="512"/>
      <c r="E265" s="512"/>
      <c r="F265" s="512"/>
      <c r="G265" s="512"/>
      <c r="H265" s="512"/>
      <c r="I265" s="512"/>
      <c r="J265" s="512"/>
      <c r="K265" s="512"/>
      <c r="L265" s="512"/>
      <c r="M265" s="512"/>
      <c r="N265" s="512"/>
      <c r="S265" s="250"/>
      <c r="T265" s="425" t="s">
        <v>5620</v>
      </c>
      <c r="U265" s="425" t="str">
        <f>IF(AND(T264="",T265=""),"",IF(T264="",T266,IF(T265="",T266,T265)))</f>
        <v/>
      </c>
      <c r="V265" s="250"/>
      <c r="W265" s="250"/>
      <c r="X265" s="250"/>
      <c r="Y265" s="425" t="str">
        <f t="shared" si="78"/>
        <v>1</v>
      </c>
      <c r="Z265" s="425">
        <f>COUNTIF($Y$223:Y265,$Y$224)</f>
        <v>8</v>
      </c>
      <c r="AA265" s="425"/>
      <c r="AB265" s="69"/>
      <c r="AC265" s="69"/>
      <c r="AF265" s="250"/>
      <c r="AG265" s="250"/>
      <c r="AH265" s="250"/>
    </row>
    <row r="266" spans="1:34" s="503" customFormat="1" ht="30" hidden="1" customHeight="1" x14ac:dyDescent="0.2">
      <c r="A266" s="136"/>
      <c r="B266" s="1751" t="s">
        <v>4877</v>
      </c>
      <c r="C266" s="1752"/>
      <c r="D266" s="1752"/>
      <c r="E266" s="1752"/>
      <c r="F266" s="1752"/>
      <c r="G266" s="1752"/>
      <c r="H266" s="1752"/>
      <c r="I266" s="1752"/>
      <c r="J266" s="1752"/>
      <c r="K266" s="1752"/>
      <c r="L266" s="1753"/>
      <c r="M266" s="1758"/>
      <c r="N266" s="1755"/>
      <c r="S266" s="250"/>
      <c r="T266" s="425" t="s">
        <v>5620</v>
      </c>
      <c r="U266" s="425" t="str">
        <f>IF(AND(T264="",T265=""),"",IF(T265="","",IF(T264="","",T266)))</f>
        <v/>
      </c>
      <c r="V266" s="250"/>
      <c r="W266" s="250"/>
      <c r="X266" s="250"/>
      <c r="Y266" s="425" t="str">
        <f t="shared" si="78"/>
        <v>1</v>
      </c>
      <c r="Z266" s="425">
        <f>COUNTIF($Y$223:Y266,$Y$224)</f>
        <v>8</v>
      </c>
      <c r="AA266" s="425"/>
      <c r="AB266" s="69"/>
      <c r="AC266" s="69"/>
      <c r="AF266" s="250"/>
      <c r="AG266" s="250"/>
      <c r="AH266" s="250"/>
    </row>
    <row r="267" spans="1:34" s="503" customFormat="1" ht="30" hidden="1" customHeight="1" x14ac:dyDescent="0.2">
      <c r="B267" s="1751" t="s">
        <v>4878</v>
      </c>
      <c r="C267" s="1752"/>
      <c r="D267" s="1752"/>
      <c r="E267" s="1752"/>
      <c r="F267" s="1752"/>
      <c r="G267" s="1752"/>
      <c r="H267" s="1752"/>
      <c r="I267" s="1752"/>
      <c r="J267" s="1752"/>
      <c r="K267" s="1752"/>
      <c r="L267" s="1753"/>
      <c r="M267" s="1758"/>
      <c r="N267" s="1755"/>
      <c r="S267" s="250"/>
      <c r="T267" s="250"/>
      <c r="U267" s="250"/>
      <c r="V267" s="250"/>
      <c r="W267" s="250"/>
      <c r="X267" s="250"/>
      <c r="Y267" s="250"/>
      <c r="Z267" s="250"/>
      <c r="AA267" s="250"/>
      <c r="AF267" s="250"/>
      <c r="AG267" s="250"/>
      <c r="AH267" s="250"/>
    </row>
    <row r="268" spans="1:34" s="503" customFormat="1" ht="30" hidden="1" customHeight="1" x14ac:dyDescent="0.2">
      <c r="A268" s="136"/>
      <c r="B268" s="1751" t="s">
        <v>4879</v>
      </c>
      <c r="C268" s="1752"/>
      <c r="D268" s="1752"/>
      <c r="E268" s="1752"/>
      <c r="F268" s="1752"/>
      <c r="G268" s="1752"/>
      <c r="H268" s="1752"/>
      <c r="I268" s="1752"/>
      <c r="J268" s="1752"/>
      <c r="K268" s="1752"/>
      <c r="L268" s="1753"/>
      <c r="M268" s="1758"/>
      <c r="N268" s="1755"/>
      <c r="S268" s="250"/>
      <c r="T268" s="250"/>
      <c r="U268" s="250"/>
      <c r="V268" s="250"/>
      <c r="W268" s="250"/>
      <c r="X268" s="250"/>
      <c r="Y268" s="250"/>
      <c r="Z268" s="250"/>
      <c r="AA268" s="250"/>
      <c r="AF268" s="250"/>
      <c r="AG268" s="250"/>
      <c r="AH268" s="250"/>
    </row>
    <row r="269" spans="1:34" s="503" customFormat="1" ht="8.1" hidden="1" customHeight="1" x14ac:dyDescent="0.2">
      <c r="B269" s="513"/>
      <c r="C269" s="513"/>
      <c r="D269" s="513"/>
      <c r="E269" s="513"/>
      <c r="F269" s="513"/>
      <c r="G269" s="513"/>
      <c r="H269" s="513"/>
      <c r="I269" s="513"/>
      <c r="J269" s="513"/>
      <c r="K269" s="513"/>
      <c r="L269" s="513"/>
      <c r="M269" s="514"/>
      <c r="N269" s="452"/>
      <c r="S269" s="250"/>
      <c r="T269" s="250"/>
      <c r="U269" s="250"/>
      <c r="V269" s="250"/>
      <c r="W269" s="250"/>
      <c r="X269" s="250"/>
      <c r="Y269" s="250"/>
      <c r="Z269" s="250"/>
      <c r="AA269" s="250"/>
      <c r="AF269" s="250"/>
      <c r="AG269" s="250"/>
      <c r="AH269" s="250"/>
    </row>
    <row r="270" spans="1:34" s="503" customFormat="1" ht="30" hidden="1" customHeight="1" x14ac:dyDescent="0.2">
      <c r="B270" s="1746" t="s">
        <v>4882</v>
      </c>
      <c r="C270" s="1747"/>
      <c r="D270" s="1747"/>
      <c r="E270" s="1747"/>
      <c r="F270" s="1747"/>
      <c r="G270" s="1747"/>
      <c r="H270" s="1747"/>
      <c r="I270" s="1747"/>
      <c r="J270" s="1747"/>
      <c r="K270" s="1747"/>
      <c r="L270" s="1748"/>
      <c r="M270" s="1749" t="str">
        <f>IFERROR(IF(OR(M266="",M267="",M268=""),"",SUM(M266:N268)),"")</f>
        <v/>
      </c>
      <c r="N270" s="1750"/>
      <c r="S270" s="250"/>
      <c r="T270" s="250"/>
      <c r="U270" s="250"/>
      <c r="V270" s="250"/>
      <c r="W270" s="250"/>
      <c r="X270" s="250"/>
      <c r="Y270" s="250"/>
      <c r="Z270" s="250"/>
      <c r="AA270" s="250"/>
      <c r="AF270" s="250"/>
      <c r="AG270" s="250"/>
      <c r="AH270" s="250"/>
    </row>
    <row r="271" spans="1:34" s="503" customFormat="1" ht="8.1" hidden="1" customHeight="1" x14ac:dyDescent="0.2">
      <c r="B271" s="513"/>
      <c r="C271" s="513"/>
      <c r="D271" s="513"/>
      <c r="E271" s="513"/>
      <c r="F271" s="513"/>
      <c r="G271" s="513"/>
      <c r="H271" s="513"/>
      <c r="I271" s="513"/>
      <c r="J271" s="513"/>
      <c r="K271" s="513"/>
      <c r="L271" s="513"/>
      <c r="M271" s="514"/>
      <c r="N271" s="452"/>
      <c r="S271" s="250"/>
      <c r="T271" s="250"/>
      <c r="U271" s="250"/>
      <c r="V271" s="250"/>
      <c r="W271" s="250"/>
      <c r="X271" s="250"/>
      <c r="Y271" s="250"/>
      <c r="Z271" s="250"/>
      <c r="AA271" s="250"/>
      <c r="AF271" s="250"/>
      <c r="AG271" s="250"/>
      <c r="AH271" s="250"/>
    </row>
    <row r="272" spans="1:34" s="503" customFormat="1" ht="30" hidden="1" customHeight="1" x14ac:dyDescent="0.2">
      <c r="B272" s="1746" t="s">
        <v>4884</v>
      </c>
      <c r="C272" s="1747"/>
      <c r="D272" s="1747"/>
      <c r="E272" s="1747"/>
      <c r="F272" s="1747"/>
      <c r="G272" s="1747"/>
      <c r="H272" s="1747"/>
      <c r="I272" s="1747"/>
      <c r="J272" s="1747"/>
      <c r="K272" s="1747"/>
      <c r="L272" s="1748"/>
      <c r="M272" s="1749" t="str">
        <f>IFERROR(IF(OR(M270="",N262=""),"",N262+M270),"")</f>
        <v/>
      </c>
      <c r="N272" s="1750"/>
      <c r="S272" s="250"/>
      <c r="T272" s="250"/>
      <c r="U272" s="250"/>
      <c r="V272" s="250"/>
      <c r="W272" s="250"/>
      <c r="X272" s="250"/>
      <c r="Y272" s="250"/>
      <c r="Z272" s="250"/>
      <c r="AA272" s="250"/>
      <c r="AF272" s="250"/>
      <c r="AG272" s="250"/>
      <c r="AH272" s="250"/>
    </row>
    <row r="273" spans="1:34" s="503" customFormat="1" ht="8.1" hidden="1" customHeight="1" x14ac:dyDescent="0.2">
      <c r="B273" s="94"/>
      <c r="C273" s="94"/>
      <c r="D273" s="94"/>
      <c r="E273" s="94"/>
      <c r="F273" s="94"/>
      <c r="G273" s="94"/>
      <c r="H273" s="94"/>
      <c r="I273" s="94"/>
      <c r="J273" s="94"/>
      <c r="K273" s="94"/>
      <c r="L273" s="94"/>
      <c r="M273" s="516"/>
      <c r="N273" s="516"/>
      <c r="S273" s="250"/>
      <c r="T273" s="250"/>
      <c r="U273" s="250"/>
      <c r="V273" s="250"/>
      <c r="W273" s="250"/>
      <c r="X273" s="250"/>
      <c r="Y273" s="250"/>
      <c r="Z273" s="250"/>
      <c r="AA273" s="250"/>
      <c r="AF273" s="250"/>
      <c r="AG273" s="250"/>
      <c r="AH273" s="250"/>
    </row>
    <row r="274" spans="1:34" s="503" customFormat="1" ht="30" hidden="1" customHeight="1" x14ac:dyDescent="0.2">
      <c r="B274" s="1197" t="s">
        <v>4885</v>
      </c>
      <c r="C274" s="1197"/>
      <c r="D274" s="1197"/>
      <c r="E274" s="1197"/>
      <c r="F274" s="1197"/>
      <c r="G274" s="1197"/>
      <c r="H274" s="1197"/>
      <c r="I274" s="1197"/>
      <c r="J274" s="1197"/>
      <c r="K274" s="1197"/>
      <c r="L274" s="1197"/>
      <c r="M274" s="1445" t="s">
        <v>4881</v>
      </c>
      <c r="N274" s="1446"/>
      <c r="S274" s="250"/>
      <c r="T274" s="250"/>
      <c r="U274" s="250"/>
      <c r="V274" s="250"/>
      <c r="W274" s="250"/>
      <c r="X274" s="250"/>
      <c r="Y274" s="250"/>
      <c r="Z274" s="250"/>
      <c r="AA274" s="250"/>
      <c r="AF274" s="250"/>
      <c r="AG274" s="250"/>
      <c r="AH274" s="250"/>
    </row>
    <row r="275" spans="1:34" s="503" customFormat="1" ht="8.1" hidden="1" customHeight="1" x14ac:dyDescent="0.2">
      <c r="B275" s="517"/>
      <c r="C275" s="517"/>
      <c r="D275" s="517"/>
      <c r="E275" s="517"/>
      <c r="F275" s="517"/>
      <c r="G275" s="517"/>
      <c r="H275" s="517"/>
      <c r="I275" s="517"/>
      <c r="J275" s="517"/>
      <c r="K275" s="517"/>
      <c r="L275" s="517"/>
      <c r="M275" s="518"/>
      <c r="N275" s="518"/>
      <c r="S275" s="250"/>
      <c r="T275" s="250"/>
      <c r="U275" s="250"/>
      <c r="V275" s="250"/>
      <c r="W275" s="250"/>
      <c r="X275" s="250"/>
      <c r="Y275" s="250"/>
      <c r="Z275" s="250"/>
      <c r="AA275" s="250"/>
      <c r="AF275" s="250"/>
      <c r="AG275" s="250"/>
      <c r="AH275" s="250"/>
    </row>
    <row r="276" spans="1:34" s="503" customFormat="1" ht="30" hidden="1" customHeight="1" x14ac:dyDescent="0.2">
      <c r="B276" s="1751" t="s">
        <v>113</v>
      </c>
      <c r="C276" s="1752"/>
      <c r="D276" s="1752"/>
      <c r="E276" s="1752"/>
      <c r="F276" s="1752"/>
      <c r="G276" s="1752"/>
      <c r="H276" s="1752"/>
      <c r="I276" s="1752"/>
      <c r="J276" s="1752"/>
      <c r="K276" s="1752"/>
      <c r="L276" s="1753"/>
      <c r="M276" s="1754"/>
      <c r="N276" s="1755"/>
      <c r="P276" s="465"/>
      <c r="S276" s="250"/>
      <c r="T276" s="250"/>
      <c r="U276" s="250"/>
      <c r="V276" s="250"/>
      <c r="W276" s="250"/>
      <c r="X276" s="250"/>
      <c r="Y276" s="250"/>
      <c r="Z276" s="250"/>
      <c r="AA276" s="250"/>
      <c r="AF276" s="250"/>
      <c r="AG276" s="250"/>
      <c r="AH276" s="250"/>
    </row>
    <row r="277" spans="1:34" s="503" customFormat="1" ht="30" hidden="1" customHeight="1" x14ac:dyDescent="0.2">
      <c r="B277" s="1751" t="s">
        <v>4886</v>
      </c>
      <c r="C277" s="1752"/>
      <c r="D277" s="1752"/>
      <c r="E277" s="1752"/>
      <c r="F277" s="1752"/>
      <c r="G277" s="1752"/>
      <c r="H277" s="1752"/>
      <c r="I277" s="1752"/>
      <c r="J277" s="1752"/>
      <c r="K277" s="1752"/>
      <c r="L277" s="1753"/>
      <c r="M277" s="1754"/>
      <c r="N277" s="1755"/>
      <c r="S277" s="250"/>
      <c r="T277" s="250"/>
      <c r="U277" s="250"/>
      <c r="V277" s="250"/>
      <c r="W277" s="250"/>
      <c r="X277" s="250"/>
      <c r="Y277" s="250"/>
      <c r="Z277" s="250"/>
      <c r="AA277" s="250"/>
      <c r="AF277" s="250"/>
      <c r="AG277" s="250"/>
      <c r="AH277" s="250"/>
    </row>
    <row r="278" spans="1:34" s="503" customFormat="1" ht="30" hidden="1" customHeight="1" x14ac:dyDescent="0.2">
      <c r="B278" s="1751" t="s">
        <v>114</v>
      </c>
      <c r="C278" s="1752"/>
      <c r="D278" s="1752"/>
      <c r="E278" s="1752"/>
      <c r="F278" s="1752"/>
      <c r="G278" s="1752"/>
      <c r="H278" s="1752"/>
      <c r="I278" s="1752"/>
      <c r="J278" s="1752"/>
      <c r="K278" s="1752"/>
      <c r="L278" s="1753"/>
      <c r="M278" s="1754"/>
      <c r="N278" s="1755"/>
      <c r="S278" s="250"/>
      <c r="T278" s="250"/>
      <c r="U278" s="250"/>
      <c r="V278" s="250"/>
      <c r="W278" s="250"/>
      <c r="X278" s="250"/>
      <c r="Y278" s="250"/>
      <c r="Z278" s="250"/>
      <c r="AA278" s="250"/>
      <c r="AF278" s="250"/>
      <c r="AG278" s="250"/>
      <c r="AH278" s="250"/>
    </row>
    <row r="279" spans="1:34" s="503" customFormat="1" ht="30" hidden="1" customHeight="1" x14ac:dyDescent="0.2">
      <c r="B279" s="1751" t="s">
        <v>115</v>
      </c>
      <c r="C279" s="1752"/>
      <c r="D279" s="1752"/>
      <c r="E279" s="1752"/>
      <c r="F279" s="1752"/>
      <c r="G279" s="1752"/>
      <c r="H279" s="1752"/>
      <c r="I279" s="1752"/>
      <c r="J279" s="1752"/>
      <c r="K279" s="1752"/>
      <c r="L279" s="1753"/>
      <c r="M279" s="1754"/>
      <c r="N279" s="1755"/>
      <c r="S279" s="250"/>
      <c r="T279" s="250"/>
      <c r="U279" s="250"/>
      <c r="V279" s="250"/>
      <c r="W279" s="250"/>
      <c r="X279" s="250"/>
      <c r="Y279" s="250"/>
      <c r="Z279" s="250"/>
      <c r="AA279" s="250"/>
      <c r="AF279" s="250"/>
      <c r="AG279" s="250"/>
      <c r="AH279" s="250"/>
    </row>
    <row r="280" spans="1:34" s="503" customFormat="1" ht="8.1" hidden="1" customHeight="1" x14ac:dyDescent="0.2">
      <c r="B280" s="519"/>
      <c r="C280" s="519"/>
      <c r="D280" s="519"/>
      <c r="E280" s="519"/>
      <c r="F280" s="519"/>
      <c r="G280" s="519"/>
      <c r="H280" s="519"/>
      <c r="I280" s="519"/>
      <c r="J280" s="519"/>
      <c r="K280" s="519"/>
      <c r="L280" s="519"/>
      <c r="M280" s="520"/>
      <c r="N280" s="520"/>
      <c r="S280" s="250"/>
      <c r="T280" s="250"/>
      <c r="U280" s="250"/>
      <c r="V280" s="250"/>
      <c r="W280" s="250"/>
      <c r="X280" s="250"/>
      <c r="Y280" s="250"/>
      <c r="Z280" s="250"/>
      <c r="AA280" s="250"/>
      <c r="AF280" s="250"/>
      <c r="AG280" s="250"/>
      <c r="AH280" s="250"/>
    </row>
    <row r="281" spans="1:34" s="503" customFormat="1" ht="30" hidden="1" customHeight="1" x14ac:dyDescent="0.2">
      <c r="B281" s="1746" t="s">
        <v>4887</v>
      </c>
      <c r="C281" s="1747"/>
      <c r="D281" s="1747"/>
      <c r="E281" s="1747"/>
      <c r="F281" s="1747"/>
      <c r="G281" s="1747"/>
      <c r="H281" s="1747"/>
      <c r="I281" s="1747"/>
      <c r="J281" s="1747"/>
      <c r="K281" s="1747"/>
      <c r="L281" s="1747"/>
      <c r="M281" s="1749" t="str">
        <f>IFERROR(IF(OR(M276="",M277="",M278="",M279=""),"",SUM(M276:N279)),"")</f>
        <v/>
      </c>
      <c r="N281" s="1750"/>
      <c r="S281" s="250"/>
      <c r="T281" s="250"/>
      <c r="U281" s="250"/>
      <c r="V281" s="250"/>
      <c r="W281" s="250"/>
      <c r="X281" s="250"/>
      <c r="Y281" s="250"/>
      <c r="Z281" s="250"/>
      <c r="AA281" s="250"/>
      <c r="AF281" s="250"/>
      <c r="AG281" s="250"/>
      <c r="AH281" s="250"/>
    </row>
    <row r="282" spans="1:34" s="503" customFormat="1" ht="8.1" hidden="1" customHeight="1" x14ac:dyDescent="0.2">
      <c r="B282" s="519"/>
      <c r="C282" s="519"/>
      <c r="D282" s="519"/>
      <c r="E282" s="519"/>
      <c r="F282" s="519"/>
      <c r="G282" s="519"/>
      <c r="H282" s="519"/>
      <c r="I282" s="519"/>
      <c r="J282" s="519"/>
      <c r="K282" s="519"/>
      <c r="L282" s="519"/>
      <c r="M282" s="520"/>
      <c r="N282" s="520"/>
      <c r="S282" s="250"/>
      <c r="T282" s="250"/>
      <c r="U282" s="250"/>
      <c r="V282" s="250"/>
      <c r="W282" s="250"/>
      <c r="X282" s="250"/>
      <c r="Y282" s="250"/>
      <c r="Z282" s="250"/>
      <c r="AA282" s="250"/>
      <c r="AF282" s="250"/>
      <c r="AG282" s="250"/>
      <c r="AH282" s="250"/>
    </row>
    <row r="283" spans="1:34" s="503" customFormat="1" ht="30" hidden="1" customHeight="1" x14ac:dyDescent="0.2">
      <c r="B283" s="1746" t="s">
        <v>4888</v>
      </c>
      <c r="C283" s="1747"/>
      <c r="D283" s="1747"/>
      <c r="E283" s="1747"/>
      <c r="F283" s="1747"/>
      <c r="G283" s="1747"/>
      <c r="H283" s="1747"/>
      <c r="I283" s="1747"/>
      <c r="J283" s="1747"/>
      <c r="K283" s="1747"/>
      <c r="L283" s="1747"/>
      <c r="M283" s="1749" t="str">
        <f>IF(OR(M281="",M272="",M227=""),"",M227+M272+M281)</f>
        <v/>
      </c>
      <c r="N283" s="1750"/>
      <c r="S283" s="250"/>
      <c r="T283" s="250"/>
      <c r="U283" s="250"/>
      <c r="V283" s="250"/>
      <c r="W283" s="250"/>
      <c r="X283" s="250"/>
      <c r="Y283" s="250"/>
      <c r="Z283" s="250"/>
      <c r="AA283" s="250"/>
      <c r="AF283" s="250"/>
      <c r="AG283" s="250"/>
      <c r="AH283" s="250"/>
    </row>
    <row r="284" spans="1:34" s="503" customFormat="1" ht="30" hidden="1" customHeight="1" x14ac:dyDescent="0.2">
      <c r="B284" s="75"/>
      <c r="D284" s="56"/>
      <c r="E284" s="56"/>
      <c r="F284" s="56"/>
      <c r="G284" s="56"/>
      <c r="H284" s="56"/>
      <c r="I284" s="56"/>
      <c r="J284" s="56"/>
      <c r="K284" s="56"/>
      <c r="L284" s="56"/>
      <c r="M284" s="56"/>
      <c r="S284" s="250"/>
      <c r="T284" s="250"/>
      <c r="U284" s="250"/>
      <c r="V284" s="250"/>
      <c r="W284" s="250"/>
      <c r="X284" s="250"/>
      <c r="Y284" s="250"/>
      <c r="Z284" s="250"/>
      <c r="AA284" s="250"/>
      <c r="AF284" s="250"/>
      <c r="AG284" s="250"/>
      <c r="AH284" s="250"/>
    </row>
    <row r="285" spans="1:34" s="503" customFormat="1" ht="30.6" hidden="1" customHeight="1" x14ac:dyDescent="0.2">
      <c r="B285" s="265" t="s">
        <v>4773</v>
      </c>
      <c r="C285" s="265"/>
      <c r="D285" s="265"/>
      <c r="E285" s="265"/>
      <c r="F285" s="265"/>
      <c r="G285" s="455"/>
      <c r="H285" s="455"/>
      <c r="I285" s="455"/>
      <c r="J285" s="455"/>
      <c r="K285" s="455"/>
      <c r="L285" s="455"/>
      <c r="M285" s="455"/>
      <c r="N285" s="456"/>
      <c r="S285" s="250"/>
      <c r="T285" s="250"/>
      <c r="U285" s="250"/>
      <c r="V285" s="250"/>
      <c r="W285" s="250"/>
      <c r="X285" s="250"/>
      <c r="Y285" s="250"/>
      <c r="Z285" s="250"/>
      <c r="AA285" s="250"/>
      <c r="AF285" s="250"/>
      <c r="AG285" s="250"/>
      <c r="AH285" s="250"/>
    </row>
    <row r="286" spans="1:34" s="503" customFormat="1" ht="23.25" hidden="1" customHeight="1" x14ac:dyDescent="0.2">
      <c r="A286" s="136"/>
      <c r="B286" s="1196" t="s">
        <v>378</v>
      </c>
      <c r="C286" s="1196"/>
      <c r="D286" s="1196"/>
      <c r="E286" s="1196"/>
      <c r="F286" s="1196"/>
      <c r="G286" s="1197" t="s">
        <v>4871</v>
      </c>
      <c r="H286" s="1197"/>
      <c r="I286" s="1196" t="s">
        <v>107</v>
      </c>
      <c r="J286" s="1196"/>
      <c r="K286" s="1197" t="s">
        <v>398</v>
      </c>
      <c r="L286" s="1197"/>
      <c r="M286" s="1197" t="s">
        <v>4759</v>
      </c>
      <c r="N286" s="1197" t="s">
        <v>4760</v>
      </c>
      <c r="S286" s="250"/>
      <c r="T286" s="250"/>
      <c r="U286" s="250"/>
      <c r="V286" s="250"/>
      <c r="W286" s="250"/>
      <c r="X286" s="250"/>
      <c r="Y286" s="250"/>
      <c r="Z286" s="250"/>
      <c r="AA286" s="250"/>
      <c r="AF286" s="250"/>
      <c r="AG286" s="250"/>
      <c r="AH286" s="250"/>
    </row>
    <row r="287" spans="1:34" s="503" customFormat="1" ht="27" hidden="1" customHeight="1" x14ac:dyDescent="0.2">
      <c r="B287" s="1197" t="s">
        <v>4872</v>
      </c>
      <c r="C287" s="1197"/>
      <c r="D287" s="1197"/>
      <c r="E287" s="1197" t="s">
        <v>116</v>
      </c>
      <c r="F287" s="1197"/>
      <c r="G287" s="1197"/>
      <c r="H287" s="1197"/>
      <c r="I287" s="1197" t="s">
        <v>108</v>
      </c>
      <c r="J287" s="1196" t="s">
        <v>109</v>
      </c>
      <c r="K287" s="1197" t="s">
        <v>108</v>
      </c>
      <c r="L287" s="1197" t="s">
        <v>109</v>
      </c>
      <c r="M287" s="1197"/>
      <c r="N287" s="1197"/>
      <c r="S287" s="250"/>
      <c r="T287" s="250"/>
      <c r="U287" s="250"/>
      <c r="V287" s="250"/>
      <c r="W287" s="250"/>
      <c r="X287" s="250"/>
      <c r="Y287" s="250"/>
      <c r="Z287" s="250"/>
      <c r="AA287" s="250"/>
      <c r="AF287" s="250"/>
      <c r="AG287" s="250"/>
      <c r="AH287" s="250"/>
    </row>
    <row r="288" spans="1:34" s="503" customFormat="1" ht="12.75" hidden="1" customHeight="1" x14ac:dyDescent="0.2">
      <c r="B288" s="1197"/>
      <c r="C288" s="1197"/>
      <c r="D288" s="1197"/>
      <c r="E288" s="1197"/>
      <c r="F288" s="1197"/>
      <c r="G288" s="1197"/>
      <c r="H288" s="1197"/>
      <c r="I288" s="1197"/>
      <c r="J288" s="1196"/>
      <c r="K288" s="1197"/>
      <c r="L288" s="1197"/>
      <c r="M288" s="1197"/>
      <c r="N288" s="1197"/>
      <c r="S288" s="250"/>
      <c r="T288" s="250"/>
      <c r="U288" s="250"/>
      <c r="V288" s="250"/>
      <c r="W288" s="250"/>
      <c r="X288" s="250"/>
      <c r="Y288" s="250"/>
      <c r="Z288" s="250"/>
      <c r="AA288" s="250"/>
      <c r="AF288" s="250"/>
      <c r="AG288" s="250"/>
      <c r="AH288" s="250"/>
    </row>
    <row r="289" spans="1:34" s="503" customFormat="1" ht="8.1" hidden="1" customHeight="1" x14ac:dyDescent="0.2">
      <c r="A289" s="136"/>
      <c r="S289" s="250"/>
      <c r="T289" s="250"/>
      <c r="U289" s="250"/>
      <c r="V289" s="250"/>
      <c r="W289" s="250"/>
      <c r="X289" s="250"/>
      <c r="Y289" s="250"/>
      <c r="Z289" s="250"/>
      <c r="AA289" s="250"/>
      <c r="AF289" s="250"/>
      <c r="AG289" s="250"/>
      <c r="AH289" s="250"/>
    </row>
    <row r="290" spans="1:34" s="503" customFormat="1" ht="24.95" hidden="1" customHeight="1" x14ac:dyDescent="0.2">
      <c r="B290" s="448" t="s">
        <v>4874</v>
      </c>
      <c r="C290" s="449"/>
      <c r="D290" s="449" t="s">
        <v>54</v>
      </c>
      <c r="E290" s="449"/>
      <c r="F290" s="449"/>
      <c r="G290" s="449"/>
      <c r="H290" s="449"/>
      <c r="I290" s="449"/>
      <c r="J290" s="449"/>
      <c r="K290" s="449"/>
      <c r="L290" s="449"/>
      <c r="M290" s="449"/>
      <c r="N290" s="450">
        <f>COUNTIF('ANALISIS TÉCNICO'!F200:G229,'COSTO TOTAL'!D290)</f>
        <v>0</v>
      </c>
      <c r="S290" s="250"/>
      <c r="T290" s="250"/>
      <c r="U290" s="250"/>
      <c r="V290" s="250"/>
      <c r="W290" s="250"/>
      <c r="X290" s="250"/>
      <c r="Y290" s="250"/>
      <c r="Z290" s="250"/>
      <c r="AA290" s="250"/>
      <c r="AF290" s="250"/>
      <c r="AG290" s="250"/>
      <c r="AH290" s="250"/>
    </row>
    <row r="291" spans="1:34" s="503" customFormat="1" ht="60" hidden="1" customHeight="1" x14ac:dyDescent="0.2">
      <c r="B291" s="1248" t="str">
        <f>IFERROR(INDEX('ANALISIS TÉCNICO'!$B$200:$M$229,MATCH(1,'ANALISIS TÉCNICO'!$M$200:$M$229,0),1),"")</f>
        <v/>
      </c>
      <c r="C291" s="1248"/>
      <c r="D291" s="1248"/>
      <c r="E291" s="1250" t="str">
        <f>IFERROR(INDEX('ANALISIS TÉCNICO'!$B$200:$M$229,MATCH(1,'ANALISIS TÉCNICO'!$M$200:$M$229,0),3),"")</f>
        <v/>
      </c>
      <c r="F291" s="1252"/>
      <c r="G291" s="1250" t="str">
        <f>IFERROR(IF(B291="","",$D$20),"")</f>
        <v/>
      </c>
      <c r="H291" s="1252"/>
      <c r="I291" s="457" t="str">
        <f>IFERROR(INDEX('ANALISIS TÉCNICO'!$B$200:$M$229,MATCH(1,'ANALISIS TÉCNICO'!$M$200:$M$229,0),7),"")</f>
        <v/>
      </c>
      <c r="J291" s="457" t="str">
        <f>IFERROR(INDEX('ANALISIS TÉCNICO'!$B$200:$M$229,MATCH(1,'ANALISIS TÉCNICO'!$M$200:$M$229,0),8),"")</f>
        <v/>
      </c>
      <c r="K291" s="457" t="str">
        <f>IFERROR(INDEX('ANALISIS TÉCNICO'!$B$200:$M$229,MATCH(1,'ANALISIS TÉCNICO'!$M$200:$M$229,0),9),"")</f>
        <v/>
      </c>
      <c r="L291" s="266" t="str">
        <f>IFERROR(INDEX('ANALISIS TÉCNICO'!$B$200:$M$229,MATCH(1,'ANALISIS TÉCNICO'!$M$200:$M$229,0),10),"")</f>
        <v/>
      </c>
      <c r="M291" s="273"/>
      <c r="N291" s="266" t="str">
        <f t="shared" ref="N291:N299" si="82">IFERROR(IF(G291="","",IF(G291="Infraestructura",M291*L291,M291*J291)),"")</f>
        <v/>
      </c>
      <c r="S291" s="250"/>
      <c r="T291" s="530" t="str">
        <f>IFERROR(IF(B291="","b","c"),"")</f>
        <v>b</v>
      </c>
      <c r="U291" s="425">
        <f>IFERROR(COUNTIF($T$290:T291,$T$291),"")</f>
        <v>1</v>
      </c>
      <c r="V291" s="425" t="str">
        <f t="shared" ref="V291:V298" si="83">IFERROR(B291&amp;" "&amp;E291,"")</f>
        <v xml:space="preserve"> </v>
      </c>
      <c r="W291" s="538" t="str">
        <f>IFERROR(AA291,"")</f>
        <v/>
      </c>
      <c r="X291" s="425">
        <v>1</v>
      </c>
      <c r="Y291" s="425" t="str">
        <f>IFERROR(VLOOKUP(X291,$U$291:$W$332,2,FALSE),"")</f>
        <v xml:space="preserve"> </v>
      </c>
      <c r="Z291" s="425" t="str">
        <f>IFERROR(VLOOKUP(X291,$U$291:$W$332,3,FALSE),"")</f>
        <v/>
      </c>
      <c r="AA291" s="425" t="str">
        <f>IFERROR(N291/$N$307*$M$315+N291,"")</f>
        <v/>
      </c>
      <c r="AF291" s="250"/>
      <c r="AG291" s="250"/>
      <c r="AH291" s="250"/>
    </row>
    <row r="292" spans="1:34" s="503" customFormat="1" ht="60" hidden="1" customHeight="1" x14ac:dyDescent="0.2">
      <c r="A292" s="136"/>
      <c r="B292" s="1248" t="str">
        <f>IFERROR(INDEX('ANALISIS TÉCNICO'!$B$200:$M$229,MATCH(2,'ANALISIS TÉCNICO'!$M$200:$M$229,0),1),"")</f>
        <v/>
      </c>
      <c r="C292" s="1248"/>
      <c r="D292" s="1248"/>
      <c r="E292" s="1250" t="str">
        <f>IFERROR(INDEX('ANALISIS TÉCNICO'!$B$200:$M$229,MATCH(2,'ANALISIS TÉCNICO'!$M$200:$M$229,0),3),"")</f>
        <v/>
      </c>
      <c r="F292" s="1252"/>
      <c r="G292" s="1250" t="str">
        <f t="shared" ref="G292:G299" si="84">IFERROR(IF(B292="","",$D$20),"")</f>
        <v/>
      </c>
      <c r="H292" s="1252"/>
      <c r="I292" s="457" t="str">
        <f>IFERROR(INDEX('ANALISIS TÉCNICO'!$B$200:$M$229,MATCH(2,'ANALISIS TÉCNICO'!$M$200:$M$229,0),7),"")</f>
        <v/>
      </c>
      <c r="J292" s="457" t="str">
        <f>IFERROR(INDEX('ANALISIS TÉCNICO'!$B$200:$M$229,MATCH(2,'ANALISIS TÉCNICO'!$M$200:$M$229,0),8),"")</f>
        <v/>
      </c>
      <c r="K292" s="457" t="str">
        <f>IFERROR(INDEX('ANALISIS TÉCNICO'!$B$200:$M$229,MATCH(2,'ANALISIS TÉCNICO'!$M$200:$M$229,0),9),"")</f>
        <v/>
      </c>
      <c r="L292" s="266" t="str">
        <f>IFERROR(INDEX('ANALISIS TÉCNICO'!$B$200:$M$229,MATCH(2,'ANALISIS TÉCNICO'!$M$200:$M$229,0),10),"")</f>
        <v/>
      </c>
      <c r="M292" s="273"/>
      <c r="N292" s="266" t="str">
        <f t="shared" si="82"/>
        <v/>
      </c>
      <c r="S292" s="250"/>
      <c r="T292" s="530" t="str">
        <f t="shared" ref="T292:T299" si="85">IFERROR(IF(B292="","b","c"),"")</f>
        <v>b</v>
      </c>
      <c r="U292" s="425">
        <f>IFERROR(COUNTIF($T$290:T292,$T$291),"")</f>
        <v>2</v>
      </c>
      <c r="V292" s="425" t="str">
        <f t="shared" si="83"/>
        <v xml:space="preserve"> </v>
      </c>
      <c r="W292" s="538" t="str">
        <f t="shared" ref="W292:W332" si="86">IFERROR(AA292,"")</f>
        <v/>
      </c>
      <c r="X292" s="425">
        <v>2</v>
      </c>
      <c r="Y292" s="425" t="str">
        <f t="shared" ref="Y292:Y320" si="87">IFERROR(VLOOKUP(X292,$U$291:$W$332,2,FALSE),"")</f>
        <v xml:space="preserve"> </v>
      </c>
      <c r="Z292" s="425" t="str">
        <f t="shared" ref="Z292:Z320" si="88">IFERROR(VLOOKUP(X292,$U$291:$W$332,3,FALSE),"")</f>
        <v/>
      </c>
      <c r="AA292" s="425" t="str">
        <f t="shared" ref="AA292:AA299" si="89">IFERROR(N292/$N$307*$M$315+N292,"")</f>
        <v/>
      </c>
      <c r="AF292" s="250"/>
      <c r="AG292" s="250"/>
      <c r="AH292" s="250"/>
    </row>
    <row r="293" spans="1:34" s="503" customFormat="1" ht="60" hidden="1" customHeight="1" x14ac:dyDescent="0.2">
      <c r="B293" s="1248" t="str">
        <f>IFERROR(INDEX('ANALISIS TÉCNICO'!$B$200:$M$229,MATCH(3,'ANALISIS TÉCNICO'!$M$200:$M$229,0),1),"")</f>
        <v/>
      </c>
      <c r="C293" s="1248"/>
      <c r="D293" s="1248"/>
      <c r="E293" s="1250" t="str">
        <f>IFERROR(INDEX('ANALISIS TÉCNICO'!$B$200:$M$229,MATCH(3,'ANALISIS TÉCNICO'!$M$200:$M$229,0),3),"")</f>
        <v/>
      </c>
      <c r="F293" s="1252"/>
      <c r="G293" s="1250" t="str">
        <f t="shared" si="84"/>
        <v/>
      </c>
      <c r="H293" s="1252"/>
      <c r="I293" s="457" t="str">
        <f>IFERROR(INDEX('ANALISIS TÉCNICO'!$B$200:$M$229,MATCH(3,'ANALISIS TÉCNICO'!$M$200:$M$229,0),7),"")</f>
        <v/>
      </c>
      <c r="J293" s="457" t="str">
        <f>IFERROR(INDEX('ANALISIS TÉCNICO'!$B$200:$M$229,MATCH(3,'ANALISIS TÉCNICO'!$M$200:$M$229,0),8),"")</f>
        <v/>
      </c>
      <c r="K293" s="457" t="str">
        <f>IFERROR(INDEX('ANALISIS TÉCNICO'!$B$200:$M$229,MATCH(3,'ANALISIS TÉCNICO'!$M$200:$M$229,0),9),"")</f>
        <v/>
      </c>
      <c r="L293" s="266" t="str">
        <f>IFERROR(INDEX('ANALISIS TÉCNICO'!$B$200:$M$229,MATCH(3,'ANALISIS TÉCNICO'!$M$200:$M$229,0),10),"")</f>
        <v/>
      </c>
      <c r="M293" s="273"/>
      <c r="N293" s="266" t="str">
        <f t="shared" si="82"/>
        <v/>
      </c>
      <c r="S293" s="250"/>
      <c r="T293" s="530" t="str">
        <f t="shared" si="85"/>
        <v>b</v>
      </c>
      <c r="U293" s="425">
        <f>IFERROR(COUNTIF($T$290:T293,$T$291),"")</f>
        <v>3</v>
      </c>
      <c r="V293" s="425" t="str">
        <f t="shared" si="83"/>
        <v xml:space="preserve"> </v>
      </c>
      <c r="W293" s="538" t="str">
        <f t="shared" si="86"/>
        <v/>
      </c>
      <c r="X293" s="425">
        <v>3</v>
      </c>
      <c r="Y293" s="425" t="str">
        <f t="shared" si="87"/>
        <v xml:space="preserve"> </v>
      </c>
      <c r="Z293" s="425" t="str">
        <f t="shared" si="88"/>
        <v/>
      </c>
      <c r="AA293" s="425" t="str">
        <f t="shared" si="89"/>
        <v/>
      </c>
      <c r="AF293" s="250"/>
      <c r="AG293" s="250"/>
      <c r="AH293" s="250"/>
    </row>
    <row r="294" spans="1:34" s="503" customFormat="1" ht="60" hidden="1" customHeight="1" x14ac:dyDescent="0.2">
      <c r="B294" s="1248" t="str">
        <f>IFERROR(INDEX('ANALISIS TÉCNICO'!$B$200:$M$229,MATCH(4,'ANALISIS TÉCNICO'!$M$200:$M$229,0),1),"")</f>
        <v/>
      </c>
      <c r="C294" s="1248"/>
      <c r="D294" s="1248"/>
      <c r="E294" s="1250" t="str">
        <f>IFERROR(INDEX('ANALISIS TÉCNICO'!$B$200:$M$229,MATCH(4,'ANALISIS TÉCNICO'!$M$200:$M$229,0),3),"")</f>
        <v/>
      </c>
      <c r="F294" s="1252"/>
      <c r="G294" s="1250" t="str">
        <f t="shared" si="84"/>
        <v/>
      </c>
      <c r="H294" s="1252"/>
      <c r="I294" s="457" t="str">
        <f>IFERROR(INDEX('ANALISIS TÉCNICO'!$B$200:$M$229,MATCH(4,'ANALISIS TÉCNICO'!$M$200:$M$229,0),7),"")</f>
        <v/>
      </c>
      <c r="J294" s="457" t="str">
        <f>IFERROR(INDEX('ANALISIS TÉCNICO'!$B$200:$M$229,MATCH(4,'ANALISIS TÉCNICO'!$M$200:$M$229,0),8),"")</f>
        <v/>
      </c>
      <c r="K294" s="457" t="str">
        <f>IFERROR(INDEX('ANALISIS TÉCNICO'!$B$200:$M$229,MATCH(4,'ANALISIS TÉCNICO'!$M$200:$M$229,0),9),"")</f>
        <v/>
      </c>
      <c r="L294" s="266" t="str">
        <f>IFERROR(INDEX('ANALISIS TÉCNICO'!$B$200:$M$229,MATCH(4,'ANALISIS TÉCNICO'!$M$200:$M$229,0),10),"")</f>
        <v/>
      </c>
      <c r="M294" s="273"/>
      <c r="N294" s="266" t="str">
        <f t="shared" si="82"/>
        <v/>
      </c>
      <c r="S294" s="250"/>
      <c r="T294" s="530" t="str">
        <f t="shared" si="85"/>
        <v>b</v>
      </c>
      <c r="U294" s="425">
        <f>IFERROR(COUNTIF($T$290:T294,$T$291),"")</f>
        <v>4</v>
      </c>
      <c r="V294" s="425" t="str">
        <f t="shared" si="83"/>
        <v xml:space="preserve"> </v>
      </c>
      <c r="W294" s="538" t="str">
        <f t="shared" si="86"/>
        <v/>
      </c>
      <c r="X294" s="425">
        <v>4</v>
      </c>
      <c r="Y294" s="425" t="str">
        <f t="shared" si="87"/>
        <v xml:space="preserve"> </v>
      </c>
      <c r="Z294" s="425" t="str">
        <f t="shared" si="88"/>
        <v/>
      </c>
      <c r="AA294" s="425" t="str">
        <f t="shared" si="89"/>
        <v/>
      </c>
      <c r="AF294" s="250"/>
      <c r="AG294" s="250"/>
      <c r="AH294" s="250"/>
    </row>
    <row r="295" spans="1:34" s="503" customFormat="1" ht="60" hidden="1" customHeight="1" x14ac:dyDescent="0.2">
      <c r="A295" s="136"/>
      <c r="B295" s="1248" t="str">
        <f>IFERROR(INDEX('ANALISIS TÉCNICO'!$B$200:$M$229,MATCH(5,'ANALISIS TÉCNICO'!$M$200:$M$229,0),1),"")</f>
        <v/>
      </c>
      <c r="C295" s="1248"/>
      <c r="D295" s="1248"/>
      <c r="E295" s="1250" t="str">
        <f>IFERROR(INDEX('ANALISIS TÉCNICO'!$B$200:$M$229,MATCH(5,'ANALISIS TÉCNICO'!$M$200:$M$229,0),3),"")</f>
        <v/>
      </c>
      <c r="F295" s="1252"/>
      <c r="G295" s="1250" t="str">
        <f t="shared" si="84"/>
        <v/>
      </c>
      <c r="H295" s="1252"/>
      <c r="I295" s="457" t="str">
        <f>IFERROR(INDEX('ANALISIS TÉCNICO'!$B$200:$M$229,MATCH(5,'ANALISIS TÉCNICO'!$M$200:$M$229,0),7),"")</f>
        <v/>
      </c>
      <c r="J295" s="457" t="str">
        <f>IFERROR(INDEX('ANALISIS TÉCNICO'!$B$200:$M$229,MATCH(5,'ANALISIS TÉCNICO'!$M$200:$M$229,0),8),"")</f>
        <v/>
      </c>
      <c r="K295" s="457" t="str">
        <f>IFERROR(INDEX('ANALISIS TÉCNICO'!$B$200:$M$229,MATCH(5,'ANALISIS TÉCNICO'!$M$200:$M$229,0),9),"")</f>
        <v/>
      </c>
      <c r="L295" s="266" t="str">
        <f>IFERROR(INDEX('ANALISIS TÉCNICO'!$B$200:$M$229,MATCH(5,'ANALISIS TÉCNICO'!$M$200:$M$229,0),10),"")</f>
        <v/>
      </c>
      <c r="M295" s="273"/>
      <c r="N295" s="266" t="str">
        <f t="shared" si="82"/>
        <v/>
      </c>
      <c r="S295" s="250"/>
      <c r="T295" s="530" t="str">
        <f t="shared" si="85"/>
        <v>b</v>
      </c>
      <c r="U295" s="425">
        <f>IFERROR(COUNTIF($T$290:T295,$T$291),"")</f>
        <v>5</v>
      </c>
      <c r="V295" s="425" t="str">
        <f t="shared" si="83"/>
        <v xml:space="preserve"> </v>
      </c>
      <c r="W295" s="538" t="str">
        <f t="shared" si="86"/>
        <v/>
      </c>
      <c r="X295" s="425">
        <v>5</v>
      </c>
      <c r="Y295" s="425" t="str">
        <f t="shared" si="87"/>
        <v xml:space="preserve"> </v>
      </c>
      <c r="Z295" s="425" t="str">
        <f t="shared" si="88"/>
        <v/>
      </c>
      <c r="AA295" s="425" t="str">
        <f t="shared" si="89"/>
        <v/>
      </c>
      <c r="AF295" s="250"/>
      <c r="AG295" s="250"/>
      <c r="AH295" s="250"/>
    </row>
    <row r="296" spans="1:34" s="503" customFormat="1" ht="60" hidden="1" customHeight="1" x14ac:dyDescent="0.2">
      <c r="B296" s="1248" t="str">
        <f>IFERROR(INDEX('ANALISIS TÉCNICO'!$B$200:$M$229,MATCH(6,'ANALISIS TÉCNICO'!$M$200:$M$229,0),1),"")</f>
        <v/>
      </c>
      <c r="C296" s="1248"/>
      <c r="D296" s="1248"/>
      <c r="E296" s="1250" t="str">
        <f>IFERROR(INDEX('ANALISIS TÉCNICO'!$B$200:$M$229,MATCH(6,'ANALISIS TÉCNICO'!$M$200:$M$229,0),3),"")</f>
        <v/>
      </c>
      <c r="F296" s="1252"/>
      <c r="G296" s="1250" t="str">
        <f t="shared" si="84"/>
        <v/>
      </c>
      <c r="H296" s="1252"/>
      <c r="I296" s="457" t="str">
        <f>IFERROR(INDEX('ANALISIS TÉCNICO'!$B$200:$M$229,MATCH(6,'ANALISIS TÉCNICO'!$M$200:$M$229,0),7),"")</f>
        <v/>
      </c>
      <c r="J296" s="457" t="str">
        <f>IFERROR(INDEX('ANALISIS TÉCNICO'!$B$200:$M$229,MATCH(6,'ANALISIS TÉCNICO'!$M$200:$M$229,0),8),"")</f>
        <v/>
      </c>
      <c r="K296" s="457" t="str">
        <f>IFERROR(INDEX('ANALISIS TÉCNICO'!$B$200:$M$229,MATCH(6,'ANALISIS TÉCNICO'!$M$200:$M$229,0),9),"")</f>
        <v/>
      </c>
      <c r="L296" s="266" t="str">
        <f>IFERROR(INDEX('ANALISIS TÉCNICO'!$B$200:$M$229,MATCH(6,'ANALISIS TÉCNICO'!$M$200:$M$229,0),10),"")</f>
        <v/>
      </c>
      <c r="M296" s="273"/>
      <c r="N296" s="266" t="str">
        <f t="shared" si="82"/>
        <v/>
      </c>
      <c r="S296" s="250"/>
      <c r="T296" s="530" t="str">
        <f t="shared" si="85"/>
        <v>b</v>
      </c>
      <c r="U296" s="425">
        <f>IFERROR(COUNTIF($T$290:T296,$T$291),"")</f>
        <v>6</v>
      </c>
      <c r="V296" s="425" t="str">
        <f t="shared" si="83"/>
        <v xml:space="preserve"> </v>
      </c>
      <c r="W296" s="538" t="str">
        <f t="shared" si="86"/>
        <v/>
      </c>
      <c r="X296" s="425">
        <v>6</v>
      </c>
      <c r="Y296" s="425" t="str">
        <f t="shared" si="87"/>
        <v xml:space="preserve"> </v>
      </c>
      <c r="Z296" s="425" t="str">
        <f t="shared" si="88"/>
        <v/>
      </c>
      <c r="AA296" s="425" t="str">
        <f t="shared" si="89"/>
        <v/>
      </c>
      <c r="AF296" s="250"/>
      <c r="AG296" s="250"/>
      <c r="AH296" s="250"/>
    </row>
    <row r="297" spans="1:34" s="503" customFormat="1" ht="60" hidden="1" customHeight="1" x14ac:dyDescent="0.2">
      <c r="B297" s="1248" t="str">
        <f>IFERROR(INDEX('ANALISIS TÉCNICO'!$B$200:$M$229,MATCH(7,'ANALISIS TÉCNICO'!$M$200:$M$229,0),1),"")</f>
        <v/>
      </c>
      <c r="C297" s="1248"/>
      <c r="D297" s="1248"/>
      <c r="E297" s="1250" t="str">
        <f>IFERROR(INDEX('ANALISIS TÉCNICO'!$B$200:$M$229,MATCH(7,'ANALISIS TÉCNICO'!$M$200:$M$229,0),3),"")</f>
        <v/>
      </c>
      <c r="F297" s="1252"/>
      <c r="G297" s="1250" t="str">
        <f t="shared" si="84"/>
        <v/>
      </c>
      <c r="H297" s="1252"/>
      <c r="I297" s="457" t="str">
        <f>IFERROR(INDEX('ANALISIS TÉCNICO'!$B$200:$M$229,MATCH(7,'ANALISIS TÉCNICO'!$M$200:$M$229,0),7),"")</f>
        <v/>
      </c>
      <c r="J297" s="457" t="str">
        <f>IFERROR(INDEX('ANALISIS TÉCNICO'!$B$200:$M$229,MATCH(7,'ANALISIS TÉCNICO'!$M$200:$M$229,0),8),"")</f>
        <v/>
      </c>
      <c r="K297" s="457" t="str">
        <f>IFERROR(INDEX('ANALISIS TÉCNICO'!$B$200:$M$229,MATCH(7,'ANALISIS TÉCNICO'!$M$200:$M$229,0),9),"")</f>
        <v/>
      </c>
      <c r="L297" s="266" t="str">
        <f>IFERROR(INDEX('ANALISIS TÉCNICO'!$B$200:$M$229,MATCH(7,'ANALISIS TÉCNICO'!$M$200:$M$229,0),10),"")</f>
        <v/>
      </c>
      <c r="M297" s="273"/>
      <c r="N297" s="266" t="str">
        <f t="shared" si="82"/>
        <v/>
      </c>
      <c r="S297" s="250"/>
      <c r="T297" s="530" t="str">
        <f t="shared" si="85"/>
        <v>b</v>
      </c>
      <c r="U297" s="425">
        <f>IFERROR(COUNTIF($T$290:T297,$T$291),"")</f>
        <v>7</v>
      </c>
      <c r="V297" s="425" t="str">
        <f t="shared" si="83"/>
        <v xml:space="preserve"> </v>
      </c>
      <c r="W297" s="538" t="str">
        <f t="shared" si="86"/>
        <v/>
      </c>
      <c r="X297" s="425">
        <v>7</v>
      </c>
      <c r="Y297" s="425" t="str">
        <f t="shared" si="87"/>
        <v xml:space="preserve"> </v>
      </c>
      <c r="Z297" s="425" t="str">
        <f t="shared" si="88"/>
        <v/>
      </c>
      <c r="AA297" s="425" t="str">
        <f t="shared" si="89"/>
        <v/>
      </c>
      <c r="AF297" s="250"/>
      <c r="AG297" s="250"/>
      <c r="AH297" s="250"/>
    </row>
    <row r="298" spans="1:34" s="503" customFormat="1" ht="60" hidden="1" customHeight="1" x14ac:dyDescent="0.2">
      <c r="A298" s="136"/>
      <c r="B298" s="1248" t="str">
        <f>IFERROR(INDEX('ANALISIS TÉCNICO'!$B$200:$M$229,MATCH(8,'ANALISIS TÉCNICO'!$M$200:$M$229,0),1),"")</f>
        <v/>
      </c>
      <c r="C298" s="1248"/>
      <c r="D298" s="1248"/>
      <c r="E298" s="1250" t="str">
        <f>IFERROR(INDEX('ANALISIS TÉCNICO'!$B$200:$M$229,MATCH(8,'ANALISIS TÉCNICO'!$M$200:$M$229,0),3),"")</f>
        <v/>
      </c>
      <c r="F298" s="1252"/>
      <c r="G298" s="1250" t="str">
        <f t="shared" si="84"/>
        <v/>
      </c>
      <c r="H298" s="1252"/>
      <c r="I298" s="457" t="str">
        <f>IFERROR(INDEX('ANALISIS TÉCNICO'!$B$200:$M$229,MATCH(8,'ANALISIS TÉCNICO'!$M$200:$M$229,0),7),"")</f>
        <v/>
      </c>
      <c r="J298" s="457" t="str">
        <f>IFERROR(INDEX('ANALISIS TÉCNICO'!$B$200:$M$229,MATCH(9,'ANALISIS TÉCNICO'!$M$200:$M$229,0),8),"")</f>
        <v/>
      </c>
      <c r="K298" s="457" t="str">
        <f>IFERROR(INDEX('ANALISIS TÉCNICO'!$B$200:$M$229,MATCH(8,'ANALISIS TÉCNICO'!$M$200:$M$229,0),9),"")</f>
        <v/>
      </c>
      <c r="L298" s="266" t="str">
        <f>IFERROR(INDEX('ANALISIS TÉCNICO'!$B$200:$M$229,MATCH(8,'ANALISIS TÉCNICO'!$M$200:$M$229,0),10),"")</f>
        <v/>
      </c>
      <c r="M298" s="273"/>
      <c r="N298" s="266" t="str">
        <f t="shared" si="82"/>
        <v/>
      </c>
      <c r="S298" s="250"/>
      <c r="T298" s="530" t="str">
        <f t="shared" si="85"/>
        <v>b</v>
      </c>
      <c r="U298" s="425">
        <f>IFERROR(COUNTIF($T$290:T298,$T$291),"")</f>
        <v>8</v>
      </c>
      <c r="V298" s="425" t="str">
        <f t="shared" si="83"/>
        <v xml:space="preserve"> </v>
      </c>
      <c r="W298" s="538" t="str">
        <f t="shared" si="86"/>
        <v/>
      </c>
      <c r="X298" s="425">
        <v>8</v>
      </c>
      <c r="Y298" s="425" t="str">
        <f t="shared" si="87"/>
        <v xml:space="preserve"> </v>
      </c>
      <c r="Z298" s="425" t="str">
        <f t="shared" si="88"/>
        <v/>
      </c>
      <c r="AA298" s="425" t="str">
        <f t="shared" si="89"/>
        <v/>
      </c>
      <c r="AF298" s="250"/>
      <c r="AG298" s="250"/>
      <c r="AH298" s="250"/>
    </row>
    <row r="299" spans="1:34" s="503" customFormat="1" ht="60" hidden="1" customHeight="1" x14ac:dyDescent="0.2">
      <c r="B299" s="1248" t="str">
        <f>IFERROR(INDEX('ANALISIS TÉCNICO'!$B$200:$M$229,MATCH(9,'ANALISIS TÉCNICO'!$M$200:$M$229,0),1),"")</f>
        <v/>
      </c>
      <c r="C299" s="1248"/>
      <c r="D299" s="1248"/>
      <c r="E299" s="1250" t="str">
        <f>IFERROR(INDEX('ANALISIS TÉCNICO'!$B$200:$M$229,MATCH(9,'ANALISIS TÉCNICO'!$M$200:$M$229,0),3),"")</f>
        <v/>
      </c>
      <c r="F299" s="1252"/>
      <c r="G299" s="1250" t="str">
        <f t="shared" si="84"/>
        <v/>
      </c>
      <c r="H299" s="1252"/>
      <c r="I299" s="457" t="str">
        <f>IFERROR(INDEX('ANALISIS TÉCNICO'!$B$200:$M$229,MATCH(9,'ANALISIS TÉCNICO'!$M$200:$M$229,0),7),"")</f>
        <v/>
      </c>
      <c r="J299" s="457" t="str">
        <f>IFERROR(INDEX('ANALISIS TÉCNICO'!$B$200:$M$229,MATCH(9,'ANALISIS TÉCNICO'!$M$200:$M$229,0),8),"")</f>
        <v/>
      </c>
      <c r="K299" s="457" t="str">
        <f>IFERROR(INDEX('ANALISIS TÉCNICO'!$B$200:$M$229,MATCH(9,'ANALISIS TÉCNICO'!$M$200:$M$229,0),9),"")</f>
        <v/>
      </c>
      <c r="L299" s="266" t="str">
        <f>IFERROR(INDEX('ANALISIS TÉCNICO'!$B$200:$M$229,MATCH(9,'ANALISIS TÉCNICO'!$M$200:$M$229,0),10),"")</f>
        <v/>
      </c>
      <c r="M299" s="273"/>
      <c r="N299" s="266" t="str">
        <f t="shared" si="82"/>
        <v/>
      </c>
      <c r="S299" s="250"/>
      <c r="T299" s="530" t="str">
        <f t="shared" si="85"/>
        <v>b</v>
      </c>
      <c r="U299" s="425">
        <f>IFERROR(COUNTIF($T$290:T299,$T$291),"")</f>
        <v>9</v>
      </c>
      <c r="V299" s="425" t="str">
        <f>IFERROR(B299&amp;" "&amp;E299,"")</f>
        <v xml:space="preserve"> </v>
      </c>
      <c r="W299" s="538" t="str">
        <f t="shared" si="86"/>
        <v/>
      </c>
      <c r="X299" s="425">
        <v>9</v>
      </c>
      <c r="Y299" s="425" t="str">
        <f t="shared" si="87"/>
        <v xml:space="preserve"> </v>
      </c>
      <c r="Z299" s="425" t="str">
        <f t="shared" si="88"/>
        <v/>
      </c>
      <c r="AA299" s="425" t="str">
        <f t="shared" si="89"/>
        <v/>
      </c>
      <c r="AF299" s="250"/>
      <c r="AG299" s="250"/>
      <c r="AH299" s="250"/>
    </row>
    <row r="300" spans="1:34" s="503" customFormat="1" ht="24.95" hidden="1" customHeight="1" x14ac:dyDescent="0.2">
      <c r="B300" s="448" t="s">
        <v>4875</v>
      </c>
      <c r="C300" s="449"/>
      <c r="D300" s="449"/>
      <c r="E300" s="449"/>
      <c r="F300" s="449"/>
      <c r="G300" s="449"/>
      <c r="H300" s="449"/>
      <c r="I300" s="449"/>
      <c r="J300" s="449"/>
      <c r="K300" s="449"/>
      <c r="L300" s="496" t="s">
        <v>4922</v>
      </c>
      <c r="M300" s="555"/>
      <c r="N300" s="459"/>
      <c r="S300" s="250"/>
      <c r="T300" s="530" t="str">
        <f t="shared" ref="T300:T305" si="90">IFERROR(IF(B301="","b","c"),"")</f>
        <v>b</v>
      </c>
      <c r="U300" s="425">
        <f>IFERROR(COUNTIF($T$290:T300,$T$291),"")</f>
        <v>10</v>
      </c>
      <c r="V300" s="425" t="str">
        <f t="shared" ref="V300:V305" si="91">IFERROR(B301&amp;" "&amp;E301,"")</f>
        <v xml:space="preserve"> </v>
      </c>
      <c r="W300" s="538" t="str">
        <f t="shared" si="86"/>
        <v/>
      </c>
      <c r="X300" s="425">
        <v>10</v>
      </c>
      <c r="Y300" s="425" t="str">
        <f t="shared" si="87"/>
        <v xml:space="preserve"> </v>
      </c>
      <c r="Z300" s="425" t="str">
        <f t="shared" si="88"/>
        <v/>
      </c>
      <c r="AA300" s="425" t="str">
        <f t="shared" ref="AA300:AA305" si="92">IFERROR(N301/$N$307*$M$315+N301,"")</f>
        <v/>
      </c>
      <c r="AF300" s="250"/>
      <c r="AG300" s="250"/>
      <c r="AH300" s="250"/>
    </row>
    <row r="301" spans="1:34" s="503" customFormat="1" ht="60" hidden="1" customHeight="1" x14ac:dyDescent="0.2">
      <c r="A301" s="136"/>
      <c r="B301" s="1759"/>
      <c r="C301" s="1759"/>
      <c r="D301" s="1759"/>
      <c r="E301" s="1186"/>
      <c r="F301" s="1188"/>
      <c r="G301" s="1250" t="str">
        <f t="shared" ref="G301:G306" si="93">IFERROR(IF(B301="","",$D$20),"")</f>
        <v/>
      </c>
      <c r="H301" s="1252"/>
      <c r="I301" s="457" t="str">
        <f t="shared" ref="I301:I306" si="94">IFERROR(IF(B301="","","Unidad"),"")</f>
        <v/>
      </c>
      <c r="J301" s="505"/>
      <c r="K301" s="457" t="str">
        <f t="shared" ref="K301:K306" si="95">IFERROR(IF(B301="","","ml"),"")</f>
        <v/>
      </c>
      <c r="L301" s="273"/>
      <c r="M301" s="273"/>
      <c r="N301" s="266" t="str">
        <f t="shared" ref="N301:N306" si="96">IFERROR(IF(G301="","",IF(G301="Infraestructura",M301*L301,M301*J301)),"")</f>
        <v/>
      </c>
      <c r="S301" s="250"/>
      <c r="T301" s="530" t="str">
        <f t="shared" si="90"/>
        <v>b</v>
      </c>
      <c r="U301" s="425">
        <f>IFERROR(COUNTIF($T$290:T301,$T$291),"")</f>
        <v>11</v>
      </c>
      <c r="V301" s="425" t="str">
        <f t="shared" si="91"/>
        <v xml:space="preserve"> </v>
      </c>
      <c r="W301" s="538" t="str">
        <f t="shared" si="86"/>
        <v/>
      </c>
      <c r="X301" s="425">
        <v>11</v>
      </c>
      <c r="Y301" s="425" t="str">
        <f t="shared" si="87"/>
        <v xml:space="preserve"> </v>
      </c>
      <c r="Z301" s="425" t="str">
        <f t="shared" si="88"/>
        <v/>
      </c>
      <c r="AA301" s="425" t="str">
        <f t="shared" si="92"/>
        <v/>
      </c>
      <c r="AF301" s="250"/>
      <c r="AG301" s="250"/>
      <c r="AH301" s="250"/>
    </row>
    <row r="302" spans="1:34" s="503" customFormat="1" ht="60" hidden="1" customHeight="1" x14ac:dyDescent="0.2">
      <c r="B302" s="1759"/>
      <c r="C302" s="1759"/>
      <c r="D302" s="1759"/>
      <c r="E302" s="1186"/>
      <c r="F302" s="1188"/>
      <c r="G302" s="1250" t="str">
        <f t="shared" si="93"/>
        <v/>
      </c>
      <c r="H302" s="1252"/>
      <c r="I302" s="457" t="str">
        <f t="shared" si="94"/>
        <v/>
      </c>
      <c r="J302" s="505"/>
      <c r="K302" s="457" t="str">
        <f t="shared" si="95"/>
        <v/>
      </c>
      <c r="L302" s="273"/>
      <c r="M302" s="273"/>
      <c r="N302" s="266" t="str">
        <f t="shared" si="96"/>
        <v/>
      </c>
      <c r="S302" s="250"/>
      <c r="T302" s="530" t="str">
        <f t="shared" si="90"/>
        <v>b</v>
      </c>
      <c r="U302" s="425">
        <f>IFERROR(COUNTIF($T$290:T302,$T$291),"")</f>
        <v>12</v>
      </c>
      <c r="V302" s="425" t="str">
        <f t="shared" si="91"/>
        <v xml:space="preserve"> </v>
      </c>
      <c r="W302" s="538" t="str">
        <f t="shared" si="86"/>
        <v/>
      </c>
      <c r="X302" s="425">
        <v>12</v>
      </c>
      <c r="Y302" s="425" t="str">
        <f t="shared" si="87"/>
        <v xml:space="preserve"> </v>
      </c>
      <c r="Z302" s="425" t="str">
        <f t="shared" si="88"/>
        <v/>
      </c>
      <c r="AA302" s="425" t="str">
        <f t="shared" si="92"/>
        <v/>
      </c>
      <c r="AF302" s="250"/>
      <c r="AG302" s="250"/>
      <c r="AH302" s="250"/>
    </row>
    <row r="303" spans="1:34" s="503" customFormat="1" ht="60" hidden="1" customHeight="1" x14ac:dyDescent="0.2">
      <c r="B303" s="1759"/>
      <c r="C303" s="1759"/>
      <c r="D303" s="1759"/>
      <c r="E303" s="1186"/>
      <c r="F303" s="1188"/>
      <c r="G303" s="1250" t="str">
        <f t="shared" si="93"/>
        <v/>
      </c>
      <c r="H303" s="1252"/>
      <c r="I303" s="457" t="str">
        <f t="shared" si="94"/>
        <v/>
      </c>
      <c r="J303" s="505"/>
      <c r="K303" s="457" t="str">
        <f t="shared" si="95"/>
        <v/>
      </c>
      <c r="L303" s="273"/>
      <c r="M303" s="273"/>
      <c r="N303" s="266" t="str">
        <f t="shared" si="96"/>
        <v/>
      </c>
      <c r="S303" s="250"/>
      <c r="T303" s="530" t="str">
        <f t="shared" si="90"/>
        <v>b</v>
      </c>
      <c r="U303" s="425">
        <f>IFERROR(COUNTIF($T$290:T303,$T$291),"")</f>
        <v>13</v>
      </c>
      <c r="V303" s="425" t="str">
        <f t="shared" si="91"/>
        <v xml:space="preserve"> </v>
      </c>
      <c r="W303" s="538" t="str">
        <f t="shared" si="86"/>
        <v/>
      </c>
      <c r="X303" s="425">
        <v>13</v>
      </c>
      <c r="Y303" s="425" t="str">
        <f t="shared" si="87"/>
        <v xml:space="preserve"> </v>
      </c>
      <c r="Z303" s="425" t="str">
        <f t="shared" si="88"/>
        <v/>
      </c>
      <c r="AA303" s="425" t="str">
        <f t="shared" si="92"/>
        <v/>
      </c>
      <c r="AF303" s="250"/>
      <c r="AG303" s="250"/>
      <c r="AH303" s="250"/>
    </row>
    <row r="304" spans="1:34" s="503" customFormat="1" ht="60" hidden="1" customHeight="1" x14ac:dyDescent="0.2">
      <c r="A304" s="136"/>
      <c r="B304" s="1204"/>
      <c r="C304" s="1249"/>
      <c r="D304" s="1249"/>
      <c r="E304" s="1224"/>
      <c r="F304" s="1224"/>
      <c r="G304" s="1250" t="str">
        <f t="shared" si="93"/>
        <v/>
      </c>
      <c r="H304" s="1252"/>
      <c r="I304" s="457" t="str">
        <f t="shared" si="94"/>
        <v/>
      </c>
      <c r="J304" s="505"/>
      <c r="K304" s="457" t="str">
        <f t="shared" si="95"/>
        <v/>
      </c>
      <c r="L304" s="273"/>
      <c r="M304" s="451"/>
      <c r="N304" s="266" t="str">
        <f t="shared" si="96"/>
        <v/>
      </c>
      <c r="S304" s="250"/>
      <c r="T304" s="530" t="str">
        <f t="shared" si="90"/>
        <v>b</v>
      </c>
      <c r="U304" s="425">
        <f>IFERROR(COUNTIF($T$290:T304,$T$291),"")</f>
        <v>14</v>
      </c>
      <c r="V304" s="425" t="str">
        <f t="shared" si="91"/>
        <v xml:space="preserve"> </v>
      </c>
      <c r="W304" s="538" t="str">
        <f t="shared" si="86"/>
        <v/>
      </c>
      <c r="X304" s="425">
        <v>14</v>
      </c>
      <c r="Y304" s="425" t="str">
        <f t="shared" si="87"/>
        <v xml:space="preserve"> </v>
      </c>
      <c r="Z304" s="425" t="str">
        <f t="shared" si="88"/>
        <v/>
      </c>
      <c r="AA304" s="425" t="str">
        <f t="shared" si="92"/>
        <v/>
      </c>
      <c r="AF304" s="250"/>
      <c r="AG304" s="250"/>
      <c r="AH304" s="250"/>
    </row>
    <row r="305" spans="1:34" s="503" customFormat="1" ht="60" hidden="1" customHeight="1" x14ac:dyDescent="0.2">
      <c r="B305" s="1204"/>
      <c r="C305" s="1249"/>
      <c r="D305" s="1249"/>
      <c r="E305" s="1224"/>
      <c r="F305" s="1224"/>
      <c r="G305" s="1250" t="str">
        <f t="shared" si="93"/>
        <v/>
      </c>
      <c r="H305" s="1252"/>
      <c r="I305" s="457" t="str">
        <f t="shared" si="94"/>
        <v/>
      </c>
      <c r="J305" s="505"/>
      <c r="K305" s="457" t="str">
        <f t="shared" si="95"/>
        <v/>
      </c>
      <c r="L305" s="273"/>
      <c r="M305" s="451"/>
      <c r="N305" s="266" t="str">
        <f t="shared" si="96"/>
        <v/>
      </c>
      <c r="S305" s="250"/>
      <c r="T305" s="530" t="str">
        <f t="shared" si="90"/>
        <v>b</v>
      </c>
      <c r="U305" s="425">
        <f>IFERROR(COUNTIF($T$290:T305,$T$291),"")</f>
        <v>15</v>
      </c>
      <c r="V305" s="425" t="str">
        <f t="shared" si="91"/>
        <v xml:space="preserve"> </v>
      </c>
      <c r="W305" s="538" t="str">
        <f t="shared" si="86"/>
        <v/>
      </c>
      <c r="X305" s="425">
        <v>15</v>
      </c>
      <c r="Y305" s="425" t="str">
        <f t="shared" si="87"/>
        <v xml:space="preserve"> </v>
      </c>
      <c r="Z305" s="425" t="str">
        <f t="shared" si="88"/>
        <v/>
      </c>
      <c r="AA305" s="425" t="str">
        <f t="shared" si="92"/>
        <v/>
      </c>
      <c r="AF305" s="250"/>
      <c r="AG305" s="250"/>
      <c r="AH305" s="250"/>
    </row>
    <row r="306" spans="1:34" s="503" customFormat="1" ht="60" hidden="1" customHeight="1" x14ac:dyDescent="0.2">
      <c r="A306" s="136"/>
      <c r="B306" s="1204"/>
      <c r="C306" s="1249"/>
      <c r="D306" s="1249"/>
      <c r="E306" s="1224"/>
      <c r="F306" s="1224"/>
      <c r="G306" s="1250" t="str">
        <f t="shared" si="93"/>
        <v/>
      </c>
      <c r="H306" s="1252"/>
      <c r="I306" s="457" t="str">
        <f t="shared" si="94"/>
        <v/>
      </c>
      <c r="J306" s="505"/>
      <c r="K306" s="457" t="str">
        <f t="shared" si="95"/>
        <v/>
      </c>
      <c r="L306" s="273"/>
      <c r="M306" s="451"/>
      <c r="N306" s="266" t="str">
        <f t="shared" si="96"/>
        <v/>
      </c>
      <c r="S306" s="250"/>
      <c r="T306" s="530" t="str">
        <f>IFERROR(IF(B324="","b","c"),"")</f>
        <v>b</v>
      </c>
      <c r="U306" s="425">
        <f>IFERROR(COUNTIF($T$290:T306,$T$291),"")</f>
        <v>16</v>
      </c>
      <c r="V306" s="425" t="str">
        <f>IFERROR(B324&amp;" "&amp;E324,"")</f>
        <v xml:space="preserve"> </v>
      </c>
      <c r="W306" s="538" t="str">
        <f t="shared" si="86"/>
        <v/>
      </c>
      <c r="X306" s="425">
        <v>16</v>
      </c>
      <c r="Y306" s="425" t="str">
        <f t="shared" si="87"/>
        <v xml:space="preserve"> </v>
      </c>
      <c r="Z306" s="425" t="str">
        <f t="shared" si="88"/>
        <v/>
      </c>
      <c r="AA306" s="425" t="str">
        <f>IFERROR(N324/$N$352*$M$360+N324,"")</f>
        <v/>
      </c>
      <c r="AF306" s="250"/>
      <c r="AG306" s="250"/>
      <c r="AH306" s="250"/>
    </row>
    <row r="307" spans="1:34" s="503" customFormat="1" ht="30" hidden="1" customHeight="1" x14ac:dyDescent="0.2">
      <c r="B307" s="1756" t="s">
        <v>4876</v>
      </c>
      <c r="C307" s="1757"/>
      <c r="D307" s="1757"/>
      <c r="E307" s="1757"/>
      <c r="F307" s="1757"/>
      <c r="G307" s="1757"/>
      <c r="H307" s="1757"/>
      <c r="I307" s="1757"/>
      <c r="J307" s="1757"/>
      <c r="K307" s="1757"/>
      <c r="L307" s="1757"/>
      <c r="M307" s="1757"/>
      <c r="N307" s="454">
        <f>IFERROR(SUM(N301:N306,N291:N299),"")</f>
        <v>0</v>
      </c>
      <c r="S307" s="250"/>
      <c r="T307" s="530" t="str">
        <f t="shared" ref="T307:T326" si="97">IFERROR(IF(B325="","b","c"),"")</f>
        <v>b</v>
      </c>
      <c r="U307" s="425">
        <f>IFERROR(COUNTIF($T$290:T307,$T$291),"")</f>
        <v>17</v>
      </c>
      <c r="V307" s="425" t="str">
        <f t="shared" ref="V307:V326" si="98">IFERROR(B325&amp;" "&amp;E325,"")</f>
        <v xml:space="preserve"> </v>
      </c>
      <c r="W307" s="538" t="str">
        <f t="shared" si="86"/>
        <v/>
      </c>
      <c r="X307" s="425">
        <v>17</v>
      </c>
      <c r="Y307" s="425" t="str">
        <f t="shared" si="87"/>
        <v xml:space="preserve"> </v>
      </c>
      <c r="Z307" s="425" t="str">
        <f t="shared" si="88"/>
        <v/>
      </c>
      <c r="AA307" s="425" t="str">
        <f t="shared" ref="AA307:AA326" si="99">IFERROR(N325/$N$352*$M$360+N325,"")</f>
        <v/>
      </c>
      <c r="AF307" s="250"/>
      <c r="AG307" s="250"/>
      <c r="AH307" s="250"/>
    </row>
    <row r="308" spans="1:34" s="503" customFormat="1" ht="8.1" hidden="1" customHeight="1" x14ac:dyDescent="0.2">
      <c r="A308" s="136"/>
      <c r="B308" s="511"/>
      <c r="C308" s="511"/>
      <c r="D308" s="511"/>
      <c r="E308" s="511"/>
      <c r="F308" s="511"/>
      <c r="G308" s="511"/>
      <c r="H308" s="511"/>
      <c r="I308" s="511"/>
      <c r="J308" s="511"/>
      <c r="K308" s="511"/>
      <c r="L308" s="511"/>
      <c r="M308" s="511"/>
      <c r="N308" s="453"/>
      <c r="S308" s="250"/>
      <c r="T308" s="530" t="str">
        <f t="shared" si="97"/>
        <v>b</v>
      </c>
      <c r="U308" s="425">
        <f>IFERROR(COUNTIF($T$290:T308,$T$291),"")</f>
        <v>18</v>
      </c>
      <c r="V308" s="425" t="str">
        <f t="shared" si="98"/>
        <v xml:space="preserve"> </v>
      </c>
      <c r="W308" s="538" t="str">
        <f t="shared" si="86"/>
        <v/>
      </c>
      <c r="X308" s="425">
        <v>18</v>
      </c>
      <c r="Y308" s="425" t="str">
        <f t="shared" si="87"/>
        <v xml:space="preserve"> </v>
      </c>
      <c r="Z308" s="425" t="str">
        <f t="shared" si="88"/>
        <v/>
      </c>
      <c r="AA308" s="425" t="str">
        <f t="shared" si="99"/>
        <v/>
      </c>
      <c r="AF308" s="250"/>
      <c r="AG308" s="250"/>
      <c r="AH308" s="250"/>
    </row>
    <row r="309" spans="1:34" s="503" customFormat="1" ht="30" hidden="1" customHeight="1" x14ac:dyDescent="0.2">
      <c r="B309" s="1444" t="s">
        <v>4880</v>
      </c>
      <c r="C309" s="1445"/>
      <c r="D309" s="1445"/>
      <c r="E309" s="1445"/>
      <c r="F309" s="1445"/>
      <c r="G309" s="1445"/>
      <c r="H309" s="1445"/>
      <c r="I309" s="1445"/>
      <c r="J309" s="1445"/>
      <c r="K309" s="1445"/>
      <c r="L309" s="1446"/>
      <c r="M309" s="1445" t="s">
        <v>4881</v>
      </c>
      <c r="N309" s="1446"/>
      <c r="S309" s="250"/>
      <c r="T309" s="530" t="str">
        <f t="shared" si="97"/>
        <v>b</v>
      </c>
      <c r="U309" s="425">
        <f>IFERROR(COUNTIF($T$290:T309,$T$291),"")</f>
        <v>19</v>
      </c>
      <c r="V309" s="425" t="str">
        <f t="shared" si="98"/>
        <v xml:space="preserve"> </v>
      </c>
      <c r="W309" s="538" t="str">
        <f t="shared" si="86"/>
        <v/>
      </c>
      <c r="X309" s="425">
        <v>19</v>
      </c>
      <c r="Y309" s="425" t="str">
        <f t="shared" si="87"/>
        <v xml:space="preserve"> </v>
      </c>
      <c r="Z309" s="425" t="str">
        <f t="shared" si="88"/>
        <v/>
      </c>
      <c r="AA309" s="425" t="str">
        <f t="shared" si="99"/>
        <v/>
      </c>
      <c r="AF309" s="250"/>
      <c r="AG309" s="250"/>
      <c r="AH309" s="250"/>
    </row>
    <row r="310" spans="1:34" s="503" customFormat="1" ht="8.1" hidden="1" customHeight="1" x14ac:dyDescent="0.2">
      <c r="A310" s="136"/>
      <c r="B310" s="512"/>
      <c r="C310" s="512"/>
      <c r="D310" s="512"/>
      <c r="E310" s="512"/>
      <c r="F310" s="512"/>
      <c r="G310" s="512"/>
      <c r="H310" s="512"/>
      <c r="I310" s="512"/>
      <c r="J310" s="512"/>
      <c r="K310" s="512"/>
      <c r="L310" s="512"/>
      <c r="M310" s="512"/>
      <c r="N310" s="512"/>
      <c r="S310" s="250"/>
      <c r="T310" s="530" t="str">
        <f t="shared" si="97"/>
        <v>b</v>
      </c>
      <c r="U310" s="425">
        <f>IFERROR(COUNTIF($T$290:T310,$T$291),"")</f>
        <v>20</v>
      </c>
      <c r="V310" s="425" t="str">
        <f t="shared" si="98"/>
        <v xml:space="preserve"> </v>
      </c>
      <c r="W310" s="538" t="str">
        <f t="shared" si="86"/>
        <v/>
      </c>
      <c r="X310" s="425">
        <v>20</v>
      </c>
      <c r="Y310" s="425" t="str">
        <f t="shared" si="87"/>
        <v xml:space="preserve"> </v>
      </c>
      <c r="Z310" s="425" t="str">
        <f t="shared" si="88"/>
        <v/>
      </c>
      <c r="AA310" s="425" t="str">
        <f t="shared" si="99"/>
        <v/>
      </c>
      <c r="AF310" s="250"/>
      <c r="AG310" s="250"/>
      <c r="AH310" s="250"/>
    </row>
    <row r="311" spans="1:34" s="503" customFormat="1" ht="30" hidden="1" customHeight="1" x14ac:dyDescent="0.2">
      <c r="B311" s="1751" t="s">
        <v>4877</v>
      </c>
      <c r="C311" s="1752"/>
      <c r="D311" s="1752"/>
      <c r="E311" s="1752"/>
      <c r="F311" s="1752"/>
      <c r="G311" s="1752"/>
      <c r="H311" s="1752"/>
      <c r="I311" s="1752"/>
      <c r="J311" s="1752"/>
      <c r="K311" s="1752"/>
      <c r="L311" s="1753"/>
      <c r="M311" s="1758"/>
      <c r="N311" s="1755"/>
      <c r="S311" s="250"/>
      <c r="T311" s="530" t="str">
        <f t="shared" si="97"/>
        <v>b</v>
      </c>
      <c r="U311" s="425">
        <f>IFERROR(COUNTIF($T$290:T311,$T$291),"")</f>
        <v>21</v>
      </c>
      <c r="V311" s="425" t="str">
        <f t="shared" si="98"/>
        <v xml:space="preserve"> </v>
      </c>
      <c r="W311" s="538" t="str">
        <f t="shared" si="86"/>
        <v/>
      </c>
      <c r="X311" s="425">
        <v>21</v>
      </c>
      <c r="Y311" s="425" t="str">
        <f t="shared" si="87"/>
        <v xml:space="preserve"> </v>
      </c>
      <c r="Z311" s="425" t="str">
        <f t="shared" si="88"/>
        <v/>
      </c>
      <c r="AA311" s="425" t="str">
        <f t="shared" si="99"/>
        <v/>
      </c>
      <c r="AF311" s="250"/>
      <c r="AG311" s="250"/>
      <c r="AH311" s="250"/>
    </row>
    <row r="312" spans="1:34" s="503" customFormat="1" ht="30" hidden="1" customHeight="1" x14ac:dyDescent="0.2">
      <c r="A312" s="136"/>
      <c r="B312" s="1751" t="s">
        <v>4878</v>
      </c>
      <c r="C312" s="1752"/>
      <c r="D312" s="1752"/>
      <c r="E312" s="1752"/>
      <c r="F312" s="1752"/>
      <c r="G312" s="1752"/>
      <c r="H312" s="1752"/>
      <c r="I312" s="1752"/>
      <c r="J312" s="1752"/>
      <c r="K312" s="1752"/>
      <c r="L312" s="1753"/>
      <c r="M312" s="1758"/>
      <c r="N312" s="1755"/>
      <c r="S312" s="250"/>
      <c r="T312" s="530" t="str">
        <f t="shared" si="97"/>
        <v>b</v>
      </c>
      <c r="U312" s="425">
        <f>IFERROR(COUNTIF($T$290:T312,$T$291),"")</f>
        <v>22</v>
      </c>
      <c r="V312" s="425" t="str">
        <f t="shared" si="98"/>
        <v xml:space="preserve"> </v>
      </c>
      <c r="W312" s="538" t="str">
        <f t="shared" si="86"/>
        <v/>
      </c>
      <c r="X312" s="425">
        <v>22</v>
      </c>
      <c r="Y312" s="425" t="str">
        <f t="shared" si="87"/>
        <v xml:space="preserve"> </v>
      </c>
      <c r="Z312" s="425" t="str">
        <f t="shared" si="88"/>
        <v/>
      </c>
      <c r="AA312" s="425" t="str">
        <f t="shared" si="99"/>
        <v/>
      </c>
      <c r="AF312" s="250"/>
      <c r="AG312" s="250"/>
      <c r="AH312" s="250"/>
    </row>
    <row r="313" spans="1:34" s="503" customFormat="1" ht="30" hidden="1" customHeight="1" x14ac:dyDescent="0.2">
      <c r="B313" s="1751" t="s">
        <v>4879</v>
      </c>
      <c r="C313" s="1752"/>
      <c r="D313" s="1752"/>
      <c r="E313" s="1752"/>
      <c r="F313" s="1752"/>
      <c r="G313" s="1752"/>
      <c r="H313" s="1752"/>
      <c r="I313" s="1752"/>
      <c r="J313" s="1752"/>
      <c r="K313" s="1752"/>
      <c r="L313" s="1753"/>
      <c r="M313" s="1758"/>
      <c r="N313" s="1755"/>
      <c r="S313" s="250"/>
      <c r="T313" s="530" t="str">
        <f t="shared" si="97"/>
        <v>b</v>
      </c>
      <c r="U313" s="425">
        <f>IFERROR(COUNTIF($T$290:T313,$T$291),"")</f>
        <v>23</v>
      </c>
      <c r="V313" s="425" t="str">
        <f t="shared" si="98"/>
        <v xml:space="preserve"> </v>
      </c>
      <c r="W313" s="538" t="str">
        <f t="shared" si="86"/>
        <v/>
      </c>
      <c r="X313" s="425">
        <v>23</v>
      </c>
      <c r="Y313" s="425" t="str">
        <f t="shared" si="87"/>
        <v xml:space="preserve"> </v>
      </c>
      <c r="Z313" s="425" t="str">
        <f t="shared" si="88"/>
        <v/>
      </c>
      <c r="AA313" s="425" t="str">
        <f t="shared" si="99"/>
        <v/>
      </c>
      <c r="AF313" s="250"/>
      <c r="AG313" s="250"/>
      <c r="AH313" s="250"/>
    </row>
    <row r="314" spans="1:34" s="503" customFormat="1" ht="8.1" hidden="1" customHeight="1" x14ac:dyDescent="0.2">
      <c r="A314" s="136"/>
      <c r="B314" s="513"/>
      <c r="C314" s="513"/>
      <c r="D314" s="513"/>
      <c r="E314" s="513"/>
      <c r="F314" s="513"/>
      <c r="G314" s="513"/>
      <c r="H314" s="513"/>
      <c r="I314" s="513"/>
      <c r="J314" s="513"/>
      <c r="K314" s="513"/>
      <c r="L314" s="513"/>
      <c r="M314" s="514"/>
      <c r="N314" s="452"/>
      <c r="S314" s="250"/>
      <c r="T314" s="530" t="str">
        <f t="shared" si="97"/>
        <v>b</v>
      </c>
      <c r="U314" s="425">
        <f>IFERROR(COUNTIF($T$290:T314,$T$291),"")</f>
        <v>24</v>
      </c>
      <c r="V314" s="425" t="str">
        <f t="shared" si="98"/>
        <v xml:space="preserve"> </v>
      </c>
      <c r="W314" s="538" t="str">
        <f t="shared" si="86"/>
        <v/>
      </c>
      <c r="X314" s="425">
        <v>24</v>
      </c>
      <c r="Y314" s="425" t="str">
        <f t="shared" si="87"/>
        <v xml:space="preserve"> </v>
      </c>
      <c r="Z314" s="425" t="str">
        <f t="shared" si="88"/>
        <v/>
      </c>
      <c r="AA314" s="425" t="str">
        <f t="shared" si="99"/>
        <v/>
      </c>
      <c r="AF314" s="250"/>
      <c r="AG314" s="250"/>
      <c r="AH314" s="250"/>
    </row>
    <row r="315" spans="1:34" s="503" customFormat="1" ht="30" hidden="1" customHeight="1" x14ac:dyDescent="0.2">
      <c r="B315" s="1746" t="s">
        <v>4882</v>
      </c>
      <c r="C315" s="1747"/>
      <c r="D315" s="1747"/>
      <c r="E315" s="1747"/>
      <c r="F315" s="1747"/>
      <c r="G315" s="1747"/>
      <c r="H315" s="1747"/>
      <c r="I315" s="1747"/>
      <c r="J315" s="1747"/>
      <c r="K315" s="1747"/>
      <c r="L315" s="1748"/>
      <c r="M315" s="1749" t="str">
        <f>IFERROR(IF(OR(M311="",M312="",M313=""),"",SUM(M311:N313)),"")</f>
        <v/>
      </c>
      <c r="N315" s="1750"/>
      <c r="S315" s="250"/>
      <c r="T315" s="530" t="str">
        <f t="shared" si="97"/>
        <v>b</v>
      </c>
      <c r="U315" s="425">
        <f>IFERROR(COUNTIF($T$290:T315,$T$291),"")</f>
        <v>25</v>
      </c>
      <c r="V315" s="425" t="str">
        <f t="shared" si="98"/>
        <v xml:space="preserve"> </v>
      </c>
      <c r="W315" s="538" t="str">
        <f t="shared" si="86"/>
        <v/>
      </c>
      <c r="X315" s="425">
        <v>25</v>
      </c>
      <c r="Y315" s="425" t="str">
        <f t="shared" si="87"/>
        <v xml:space="preserve"> </v>
      </c>
      <c r="Z315" s="425" t="str">
        <f t="shared" si="88"/>
        <v/>
      </c>
      <c r="AA315" s="425" t="str">
        <f t="shared" si="99"/>
        <v/>
      </c>
      <c r="AF315" s="250"/>
      <c r="AG315" s="250"/>
      <c r="AH315" s="250"/>
    </row>
    <row r="316" spans="1:34" s="503" customFormat="1" ht="8.1" hidden="1" customHeight="1" x14ac:dyDescent="0.2">
      <c r="A316" s="136"/>
      <c r="B316" s="513"/>
      <c r="C316" s="513"/>
      <c r="D316" s="513"/>
      <c r="E316" s="513"/>
      <c r="F316" s="513"/>
      <c r="G316" s="513"/>
      <c r="H316" s="513"/>
      <c r="I316" s="513"/>
      <c r="J316" s="513"/>
      <c r="K316" s="513"/>
      <c r="L316" s="513"/>
      <c r="M316" s="514"/>
      <c r="N316" s="452"/>
      <c r="S316" s="250"/>
      <c r="T316" s="530" t="str">
        <f t="shared" si="97"/>
        <v>b</v>
      </c>
      <c r="U316" s="425">
        <f>IFERROR(COUNTIF($T$290:T316,$T$291),"")</f>
        <v>26</v>
      </c>
      <c r="V316" s="425" t="str">
        <f t="shared" si="98"/>
        <v xml:space="preserve"> </v>
      </c>
      <c r="W316" s="538" t="str">
        <f t="shared" si="86"/>
        <v/>
      </c>
      <c r="X316" s="425">
        <v>26</v>
      </c>
      <c r="Y316" s="425" t="str">
        <f t="shared" si="87"/>
        <v xml:space="preserve"> </v>
      </c>
      <c r="Z316" s="425" t="str">
        <f t="shared" si="88"/>
        <v/>
      </c>
      <c r="AA316" s="425" t="str">
        <f t="shared" si="99"/>
        <v/>
      </c>
      <c r="AF316" s="250"/>
      <c r="AG316" s="250"/>
      <c r="AH316" s="250"/>
    </row>
    <row r="317" spans="1:34" s="503" customFormat="1" ht="30" hidden="1" customHeight="1" x14ac:dyDescent="0.2">
      <c r="B317" s="1746" t="s">
        <v>4883</v>
      </c>
      <c r="C317" s="1747"/>
      <c r="D317" s="1747"/>
      <c r="E317" s="1747"/>
      <c r="F317" s="1747"/>
      <c r="G317" s="1747"/>
      <c r="H317" s="1747"/>
      <c r="I317" s="1747"/>
      <c r="J317" s="1747"/>
      <c r="K317" s="1747"/>
      <c r="L317" s="1748"/>
      <c r="M317" s="1749" t="str">
        <f>IFERROR(IF(OR(M315="",N307=""),"",N307+M315),"")</f>
        <v/>
      </c>
      <c r="N317" s="1750"/>
      <c r="S317" s="250"/>
      <c r="T317" s="530" t="str">
        <f t="shared" si="97"/>
        <v>b</v>
      </c>
      <c r="U317" s="425">
        <f>IFERROR(COUNTIF($T$290:T317,$T$291),"")</f>
        <v>27</v>
      </c>
      <c r="V317" s="425" t="str">
        <f t="shared" si="98"/>
        <v xml:space="preserve"> </v>
      </c>
      <c r="W317" s="538" t="str">
        <f t="shared" si="86"/>
        <v/>
      </c>
      <c r="X317" s="425">
        <v>27</v>
      </c>
      <c r="Y317" s="425" t="str">
        <f t="shared" si="87"/>
        <v xml:space="preserve"> </v>
      </c>
      <c r="Z317" s="425" t="str">
        <f t="shared" si="88"/>
        <v/>
      </c>
      <c r="AA317" s="425" t="str">
        <f t="shared" si="99"/>
        <v/>
      </c>
      <c r="AF317" s="250"/>
      <c r="AG317" s="250"/>
      <c r="AH317" s="250"/>
    </row>
    <row r="318" spans="1:34" s="503" customFormat="1" ht="20.100000000000001" hidden="1" customHeight="1" x14ac:dyDescent="0.2">
      <c r="A318" s="136"/>
      <c r="B318" s="514"/>
      <c r="C318" s="514"/>
      <c r="D318" s="514"/>
      <c r="E318" s="514"/>
      <c r="F318" s="514"/>
      <c r="G318" s="514"/>
      <c r="H318" s="514"/>
      <c r="I318" s="514"/>
      <c r="J318" s="514"/>
      <c r="K318" s="514"/>
      <c r="L318" s="514"/>
      <c r="M318" s="514"/>
      <c r="N318" s="452"/>
      <c r="S318" s="250"/>
      <c r="T318" s="530" t="str">
        <f t="shared" si="97"/>
        <v>b</v>
      </c>
      <c r="U318" s="425">
        <f>IFERROR(COUNTIF($T$290:T318,$T$291),"")</f>
        <v>28</v>
      </c>
      <c r="V318" s="425" t="str">
        <f t="shared" si="98"/>
        <v xml:space="preserve"> </v>
      </c>
      <c r="W318" s="538" t="str">
        <f t="shared" si="86"/>
        <v/>
      </c>
      <c r="X318" s="425">
        <v>28</v>
      </c>
      <c r="Y318" s="425" t="str">
        <f t="shared" si="87"/>
        <v xml:space="preserve"> </v>
      </c>
      <c r="Z318" s="425" t="str">
        <f t="shared" si="88"/>
        <v/>
      </c>
      <c r="AA318" s="425" t="str">
        <f t="shared" si="99"/>
        <v/>
      </c>
      <c r="AF318" s="250"/>
      <c r="AG318" s="250"/>
      <c r="AH318" s="250"/>
    </row>
    <row r="319" spans="1:34" s="503" customFormat="1" ht="23.25" hidden="1" customHeight="1" x14ac:dyDescent="0.2">
      <c r="B319" s="1196" t="s">
        <v>378</v>
      </c>
      <c r="C319" s="1196"/>
      <c r="D319" s="1196"/>
      <c r="E319" s="1196"/>
      <c r="F319" s="1196"/>
      <c r="G319" s="1197" t="s">
        <v>4871</v>
      </c>
      <c r="H319" s="1197"/>
      <c r="I319" s="1196" t="s">
        <v>107</v>
      </c>
      <c r="J319" s="1196"/>
      <c r="K319" s="1197" t="s">
        <v>398</v>
      </c>
      <c r="L319" s="1197"/>
      <c r="M319" s="1197" t="s">
        <v>4759</v>
      </c>
      <c r="N319" s="1197" t="s">
        <v>4760</v>
      </c>
      <c r="S319" s="250"/>
      <c r="T319" s="530" t="str">
        <f t="shared" si="97"/>
        <v>b</v>
      </c>
      <c r="U319" s="425">
        <f>IFERROR(COUNTIF($T$290:T319,$T$291),"")</f>
        <v>29</v>
      </c>
      <c r="V319" s="425" t="str">
        <f t="shared" si="98"/>
        <v xml:space="preserve"> </v>
      </c>
      <c r="W319" s="538" t="str">
        <f t="shared" si="86"/>
        <v/>
      </c>
      <c r="X319" s="425">
        <v>29</v>
      </c>
      <c r="Y319" s="425" t="str">
        <f t="shared" si="87"/>
        <v xml:space="preserve"> </v>
      </c>
      <c r="Z319" s="425" t="str">
        <f t="shared" si="88"/>
        <v/>
      </c>
      <c r="AA319" s="425" t="str">
        <f t="shared" si="99"/>
        <v/>
      </c>
      <c r="AF319" s="250"/>
      <c r="AG319" s="250"/>
      <c r="AH319" s="250"/>
    </row>
    <row r="320" spans="1:34" s="503" customFormat="1" ht="27" hidden="1" customHeight="1" x14ac:dyDescent="0.2">
      <c r="A320" s="136"/>
      <c r="B320" s="1197" t="s">
        <v>4872</v>
      </c>
      <c r="C320" s="1197"/>
      <c r="D320" s="1197"/>
      <c r="E320" s="1197" t="s">
        <v>116</v>
      </c>
      <c r="F320" s="1197"/>
      <c r="G320" s="1197"/>
      <c r="H320" s="1197"/>
      <c r="I320" s="1197" t="s">
        <v>108</v>
      </c>
      <c r="J320" s="1196" t="s">
        <v>109</v>
      </c>
      <c r="K320" s="1197" t="s">
        <v>108</v>
      </c>
      <c r="L320" s="1197" t="s">
        <v>109</v>
      </c>
      <c r="M320" s="1197"/>
      <c r="N320" s="1197"/>
      <c r="S320" s="250"/>
      <c r="T320" s="530" t="str">
        <f t="shared" si="97"/>
        <v>b</v>
      </c>
      <c r="U320" s="425">
        <f>IFERROR(COUNTIF($T$290:T320,$T$291),"")</f>
        <v>30</v>
      </c>
      <c r="V320" s="425" t="str">
        <f t="shared" si="98"/>
        <v xml:space="preserve"> </v>
      </c>
      <c r="W320" s="538" t="str">
        <f t="shared" si="86"/>
        <v/>
      </c>
      <c r="X320" s="425">
        <v>30</v>
      </c>
      <c r="Y320" s="425" t="str">
        <f t="shared" si="87"/>
        <v xml:space="preserve"> </v>
      </c>
      <c r="Z320" s="425" t="str">
        <f t="shared" si="88"/>
        <v/>
      </c>
      <c r="AA320" s="425" t="str">
        <f t="shared" si="99"/>
        <v/>
      </c>
      <c r="AF320" s="250"/>
      <c r="AG320" s="250"/>
      <c r="AH320" s="250"/>
    </row>
    <row r="321" spans="1:34" s="503" customFormat="1" ht="12.75" hidden="1" customHeight="1" x14ac:dyDescent="0.2">
      <c r="B321" s="1197"/>
      <c r="C321" s="1197"/>
      <c r="D321" s="1197"/>
      <c r="E321" s="1197"/>
      <c r="F321" s="1197"/>
      <c r="G321" s="1197"/>
      <c r="H321" s="1197"/>
      <c r="I321" s="1197"/>
      <c r="J321" s="1196"/>
      <c r="K321" s="1197"/>
      <c r="L321" s="1197"/>
      <c r="M321" s="1197"/>
      <c r="N321" s="1197"/>
      <c r="S321" s="250"/>
      <c r="T321" s="530" t="str">
        <f t="shared" si="97"/>
        <v>b</v>
      </c>
      <c r="U321" s="425">
        <f>IFERROR(COUNTIF($T$290:T321,$T$291),"")</f>
        <v>31</v>
      </c>
      <c r="V321" s="425" t="str">
        <f t="shared" si="98"/>
        <v xml:space="preserve"> </v>
      </c>
      <c r="W321" s="538" t="str">
        <f t="shared" si="86"/>
        <v/>
      </c>
      <c r="X321" s="425"/>
      <c r="Y321" s="425" t="str">
        <f t="shared" ref="Y321:Y326" si="100">IF(U321="","1","2")</f>
        <v>2</v>
      </c>
      <c r="Z321" s="425">
        <f>COUNTIF($Y$20:Y321,$Y$21)</f>
        <v>120</v>
      </c>
      <c r="AA321" s="425" t="str">
        <f t="shared" si="99"/>
        <v/>
      </c>
      <c r="AF321" s="250"/>
      <c r="AG321" s="250"/>
      <c r="AH321" s="250"/>
    </row>
    <row r="322" spans="1:34" s="503" customFormat="1" ht="8.1" hidden="1" customHeight="1" x14ac:dyDescent="0.2">
      <c r="A322" s="136"/>
      <c r="S322" s="250"/>
      <c r="T322" s="530" t="str">
        <f t="shared" si="97"/>
        <v>b</v>
      </c>
      <c r="U322" s="425">
        <f>IFERROR(COUNTIF($T$290:T322,$T$291),"")</f>
        <v>32</v>
      </c>
      <c r="V322" s="425" t="str">
        <f t="shared" si="98"/>
        <v xml:space="preserve"> </v>
      </c>
      <c r="W322" s="538" t="str">
        <f t="shared" si="86"/>
        <v/>
      </c>
      <c r="X322" s="425"/>
      <c r="Y322" s="425" t="str">
        <f t="shared" si="100"/>
        <v>2</v>
      </c>
      <c r="Z322" s="425">
        <f>COUNTIF($Y$20:Y322,$Y$21)</f>
        <v>120</v>
      </c>
      <c r="AA322" s="425" t="str">
        <f t="shared" si="99"/>
        <v/>
      </c>
      <c r="AF322" s="250"/>
      <c r="AG322" s="250"/>
      <c r="AH322" s="250"/>
    </row>
    <row r="323" spans="1:34" s="503" customFormat="1" ht="24.95" hidden="1" customHeight="1" x14ac:dyDescent="0.2">
      <c r="B323" s="448" t="s">
        <v>4874</v>
      </c>
      <c r="C323" s="449"/>
      <c r="D323" s="449" t="s">
        <v>227</v>
      </c>
      <c r="E323" s="449"/>
      <c r="F323" s="449"/>
      <c r="G323" s="449"/>
      <c r="H323" s="449"/>
      <c r="I323" s="449"/>
      <c r="J323" s="449"/>
      <c r="K323" s="449"/>
      <c r="L323" s="449"/>
      <c r="M323" s="449"/>
      <c r="N323" s="450">
        <f>COUNTIF('ANALISIS TÉCNICO'!F200:G229,'COSTO TOTAL'!D323)</f>
        <v>0</v>
      </c>
      <c r="S323" s="250"/>
      <c r="T323" s="530" t="str">
        <f t="shared" si="97"/>
        <v>b</v>
      </c>
      <c r="U323" s="425">
        <f>IFERROR(COUNTIF($T$290:T323,$T$291),"")</f>
        <v>33</v>
      </c>
      <c r="V323" s="425" t="str">
        <f t="shared" si="98"/>
        <v xml:space="preserve"> </v>
      </c>
      <c r="W323" s="538" t="str">
        <f t="shared" si="86"/>
        <v/>
      </c>
      <c r="X323" s="425"/>
      <c r="Y323" s="425" t="str">
        <f t="shared" si="100"/>
        <v>2</v>
      </c>
      <c r="Z323" s="425">
        <f>COUNTIF($Y$20:Y323,$Y$21)</f>
        <v>120</v>
      </c>
      <c r="AA323" s="425" t="str">
        <f t="shared" si="99"/>
        <v/>
      </c>
      <c r="AF323" s="250"/>
      <c r="AG323" s="250"/>
      <c r="AH323" s="250"/>
    </row>
    <row r="324" spans="1:34" s="503" customFormat="1" ht="60" hidden="1" customHeight="1" x14ac:dyDescent="0.2">
      <c r="A324" s="136"/>
      <c r="B324" s="1248" t="str">
        <f>IFERROR(INDEX('ANALISIS TÉCNICO'!$B$200:$N$229,MATCH(1,'ANALISIS TÉCNICO'!$N$200:$N$229,0),1),"")</f>
        <v/>
      </c>
      <c r="C324" s="1248"/>
      <c r="D324" s="1248"/>
      <c r="E324" s="1250" t="str">
        <f>IFERROR(INDEX('ANALISIS TÉCNICO'!$B$200:$N$229,MATCH(1,'ANALISIS TÉCNICO'!$N$200:$N$229,0),3),"")</f>
        <v/>
      </c>
      <c r="F324" s="1252"/>
      <c r="G324" s="1250" t="str">
        <f>IFERROR(IF(B324="","",$D$53),"")</f>
        <v/>
      </c>
      <c r="H324" s="1252"/>
      <c r="I324" s="457" t="str">
        <f>IFERROR(INDEX('ANALISIS TÉCNICO'!$B$200:$N$229,MATCH(1,'ANALISIS TÉCNICO'!$N$200:$N$229,0),7),"")</f>
        <v/>
      </c>
      <c r="J324" s="457" t="str">
        <f>IFERROR(INDEX('ANALISIS TÉCNICO'!$B$200:$N$229,MATCH(1,'ANALISIS TÉCNICO'!$N$200:$N$229,0),8),"")</f>
        <v/>
      </c>
      <c r="K324" s="504"/>
      <c r="L324" s="515"/>
      <c r="M324" s="273"/>
      <c r="N324" s="266" t="str">
        <f t="shared" ref="N324:N344" si="101">IFERROR(IF(G324="","",IF(G324="Infraestructura",M324*L324,M324*J324)),"")</f>
        <v/>
      </c>
      <c r="S324" s="250"/>
      <c r="T324" s="530" t="str">
        <f t="shared" si="97"/>
        <v>b</v>
      </c>
      <c r="U324" s="425">
        <f>IFERROR(COUNTIF($T$290:T324,$T$291),"")</f>
        <v>34</v>
      </c>
      <c r="V324" s="425" t="str">
        <f t="shared" si="98"/>
        <v xml:space="preserve"> </v>
      </c>
      <c r="W324" s="538" t="str">
        <f t="shared" si="86"/>
        <v/>
      </c>
      <c r="X324" s="425"/>
      <c r="Y324" s="425" t="str">
        <f t="shared" si="100"/>
        <v>2</v>
      </c>
      <c r="Z324" s="425">
        <f>COUNTIF($Y$20:Y324,$Y$21)</f>
        <v>120</v>
      </c>
      <c r="AA324" s="425" t="str">
        <f t="shared" si="99"/>
        <v/>
      </c>
      <c r="AF324" s="250"/>
      <c r="AG324" s="250"/>
      <c r="AH324" s="250"/>
    </row>
    <row r="325" spans="1:34" s="503" customFormat="1" ht="60" hidden="1" customHeight="1" x14ac:dyDescent="0.2">
      <c r="B325" s="1248" t="str">
        <f>IFERROR(INDEX('ANALISIS TÉCNICO'!$B$200:$N$229,MATCH(2,'ANALISIS TÉCNICO'!$N$200:$N$229,0),1),"")</f>
        <v/>
      </c>
      <c r="C325" s="1248"/>
      <c r="D325" s="1248"/>
      <c r="E325" s="1250" t="str">
        <f>IFERROR(INDEX('ANALISIS TÉCNICO'!$B$200:$N$229,MATCH(2,'ANALISIS TÉCNICO'!$N$200:$N$229,0),3),"")</f>
        <v/>
      </c>
      <c r="F325" s="1252"/>
      <c r="G325" s="1250" t="str">
        <f t="shared" ref="G325:G344" si="102">IFERROR(IF(B325="","",$D$53),"")</f>
        <v/>
      </c>
      <c r="H325" s="1252"/>
      <c r="I325" s="457" t="str">
        <f>IFERROR(INDEX('ANALISIS TÉCNICO'!$B$200:$N$229,MATCH(2,'ANALISIS TÉCNICO'!$N$200:$N$229,0),7),"")</f>
        <v/>
      </c>
      <c r="J325" s="457" t="str">
        <f>IFERROR(INDEX('ANALISIS TÉCNICO'!$B$200:$N$229,MATCH(2,'ANALISIS TÉCNICO'!$N$200:$N$229,0),8),"")</f>
        <v/>
      </c>
      <c r="K325" s="504"/>
      <c r="L325" s="515"/>
      <c r="M325" s="273"/>
      <c r="N325" s="266" t="str">
        <f t="shared" si="101"/>
        <v/>
      </c>
      <c r="S325" s="250"/>
      <c r="T325" s="530" t="str">
        <f t="shared" si="97"/>
        <v>b</v>
      </c>
      <c r="U325" s="425">
        <f>IFERROR(COUNTIF($T$290:T325,$T$291),"")</f>
        <v>35</v>
      </c>
      <c r="V325" s="425" t="str">
        <f t="shared" si="98"/>
        <v xml:space="preserve"> </v>
      </c>
      <c r="W325" s="538" t="str">
        <f t="shared" si="86"/>
        <v/>
      </c>
      <c r="X325" s="425"/>
      <c r="Y325" s="425" t="str">
        <f t="shared" si="100"/>
        <v>2</v>
      </c>
      <c r="Z325" s="425">
        <f>COUNTIF($Y$20:Y325,$Y$21)</f>
        <v>120</v>
      </c>
      <c r="AA325" s="425" t="str">
        <f t="shared" si="99"/>
        <v/>
      </c>
      <c r="AF325" s="250"/>
      <c r="AG325" s="250"/>
      <c r="AH325" s="250"/>
    </row>
    <row r="326" spans="1:34" s="503" customFormat="1" ht="60" hidden="1" customHeight="1" x14ac:dyDescent="0.2">
      <c r="A326" s="136"/>
      <c r="B326" s="1248" t="str">
        <f>IFERROR(INDEX('ANALISIS TÉCNICO'!$B$200:$N$229,MATCH(3,'ANALISIS TÉCNICO'!$N$200:$N$229,0),1),"")</f>
        <v/>
      </c>
      <c r="C326" s="1248"/>
      <c r="D326" s="1248"/>
      <c r="E326" s="1250" t="str">
        <f>IFERROR(INDEX('ANALISIS TÉCNICO'!$B$200:$N$229,MATCH(3,'ANALISIS TÉCNICO'!$N$200:$N$229,0),3),"")</f>
        <v/>
      </c>
      <c r="F326" s="1252"/>
      <c r="G326" s="1250" t="str">
        <f t="shared" si="102"/>
        <v/>
      </c>
      <c r="H326" s="1252"/>
      <c r="I326" s="457" t="str">
        <f>IFERROR(INDEX('ANALISIS TÉCNICO'!$B$200:$N$229,MATCH(3,'ANALISIS TÉCNICO'!$N$200:$N$229,0),7),"")</f>
        <v/>
      </c>
      <c r="J326" s="457" t="str">
        <f>IFERROR(INDEX('ANALISIS TÉCNICO'!$B$200:$N$229,MATCH(3,'ANALISIS TÉCNICO'!$N$200:$N$229,0),8),"")</f>
        <v/>
      </c>
      <c r="K326" s="504"/>
      <c r="L326" s="515"/>
      <c r="M326" s="273"/>
      <c r="N326" s="266" t="str">
        <f t="shared" si="101"/>
        <v/>
      </c>
      <c r="S326" s="250"/>
      <c r="T326" s="530" t="str">
        <f t="shared" si="97"/>
        <v>b</v>
      </c>
      <c r="U326" s="425">
        <f>IFERROR(COUNTIF($T$290:T326,$T$291),"")</f>
        <v>36</v>
      </c>
      <c r="V326" s="425" t="str">
        <f t="shared" si="98"/>
        <v xml:space="preserve"> </v>
      </c>
      <c r="W326" s="538" t="str">
        <f t="shared" si="86"/>
        <v/>
      </c>
      <c r="X326" s="425"/>
      <c r="Y326" s="425" t="str">
        <f t="shared" si="100"/>
        <v>2</v>
      </c>
      <c r="Z326" s="425">
        <f>COUNTIF($Y$20:Y326,$Y$21)</f>
        <v>120</v>
      </c>
      <c r="AA326" s="425" t="str">
        <f t="shared" si="99"/>
        <v/>
      </c>
      <c r="AF326" s="250"/>
      <c r="AG326" s="250"/>
      <c r="AH326" s="250"/>
    </row>
    <row r="327" spans="1:34" s="503" customFormat="1" ht="60" hidden="1" customHeight="1" x14ac:dyDescent="0.2">
      <c r="B327" s="1248" t="str">
        <f>IFERROR(INDEX('ANALISIS TÉCNICO'!$B$200:$N$229,MATCH(4,'ANALISIS TÉCNICO'!$N$200:$N$229,0),1),"")</f>
        <v/>
      </c>
      <c r="C327" s="1248"/>
      <c r="D327" s="1248"/>
      <c r="E327" s="1250" t="str">
        <f>IFERROR(INDEX('ANALISIS TÉCNICO'!$B$200:$N$229,MATCH(4,'ANALISIS TÉCNICO'!$N$200:$N$229,0),3),"")</f>
        <v/>
      </c>
      <c r="F327" s="1252"/>
      <c r="G327" s="1250" t="str">
        <f t="shared" si="102"/>
        <v/>
      </c>
      <c r="H327" s="1252"/>
      <c r="I327" s="457" t="str">
        <f>IFERROR(INDEX('ANALISIS TÉCNICO'!$B$200:$N$229,MATCH(4,'ANALISIS TÉCNICO'!$N$200:$N$229,0),7),"")</f>
        <v/>
      </c>
      <c r="J327" s="457" t="str">
        <f>IFERROR(INDEX('ANALISIS TÉCNICO'!$B$200:$N$229,MATCH(4,'ANALISIS TÉCNICO'!$N$200:$N$229,0),8),"")</f>
        <v/>
      </c>
      <c r="K327" s="504"/>
      <c r="L327" s="515"/>
      <c r="M327" s="273"/>
      <c r="N327" s="266" t="str">
        <f t="shared" si="101"/>
        <v/>
      </c>
      <c r="S327" s="250"/>
      <c r="T327" s="530" t="str">
        <f t="shared" ref="T327:T332" si="103">IFERROR(IF(B346="","b","c"),"")</f>
        <v>b</v>
      </c>
      <c r="U327" s="425">
        <f>IFERROR(COUNTIF($T$290:T327,$T$291),"")</f>
        <v>37</v>
      </c>
      <c r="V327" s="425" t="str">
        <f t="shared" ref="V327:V332" si="104">IFERROR(B346&amp;" "&amp;E346,"")</f>
        <v xml:space="preserve"> </v>
      </c>
      <c r="W327" s="538" t="str">
        <f t="shared" si="86"/>
        <v/>
      </c>
      <c r="X327" s="425"/>
      <c r="Y327" s="425"/>
      <c r="Z327" s="425"/>
      <c r="AA327" s="425" t="str">
        <f t="shared" ref="AA327:AA332" si="105">IFERROR(N346/$N$352*$M$360+N346,"")</f>
        <v/>
      </c>
      <c r="AF327" s="250"/>
      <c r="AG327" s="250"/>
      <c r="AH327" s="250"/>
    </row>
    <row r="328" spans="1:34" s="503" customFormat="1" ht="60" hidden="1" customHeight="1" x14ac:dyDescent="0.2">
      <c r="A328" s="136"/>
      <c r="B328" s="1248" t="str">
        <f>IFERROR(INDEX('ANALISIS TÉCNICO'!$B$200:$N$229,MATCH(5,'ANALISIS TÉCNICO'!$N$200:$N$229,0),1),"")</f>
        <v/>
      </c>
      <c r="C328" s="1248"/>
      <c r="D328" s="1248"/>
      <c r="E328" s="1250" t="str">
        <f>IFERROR(INDEX('ANALISIS TÉCNICO'!$B$200:$N$229,MATCH(5,'ANALISIS TÉCNICO'!$N$200:$N$229,0),3),"")</f>
        <v/>
      </c>
      <c r="F328" s="1252"/>
      <c r="G328" s="1250" t="str">
        <f t="shared" si="102"/>
        <v/>
      </c>
      <c r="H328" s="1252"/>
      <c r="I328" s="457" t="str">
        <f>IFERROR(INDEX('ANALISIS TÉCNICO'!$B$200:$N$229,MATCH(5,'ANALISIS TÉCNICO'!$N$200:$N$229,0),7),"")</f>
        <v/>
      </c>
      <c r="J328" s="457" t="str">
        <f>IFERROR(INDEX('ANALISIS TÉCNICO'!$B$200:$N$229,MATCH(5,'ANALISIS TÉCNICO'!$N$200:$N$229,0),8),"")</f>
        <v/>
      </c>
      <c r="K328" s="504"/>
      <c r="L328" s="515"/>
      <c r="M328" s="273"/>
      <c r="N328" s="266" t="str">
        <f t="shared" si="101"/>
        <v/>
      </c>
      <c r="S328" s="250"/>
      <c r="T328" s="530" t="str">
        <f t="shared" si="103"/>
        <v>b</v>
      </c>
      <c r="U328" s="425">
        <f>IFERROR(COUNTIF($T$290:T328,$T$291),"")</f>
        <v>38</v>
      </c>
      <c r="V328" s="425" t="str">
        <f t="shared" si="104"/>
        <v xml:space="preserve"> </v>
      </c>
      <c r="W328" s="538" t="str">
        <f t="shared" si="86"/>
        <v/>
      </c>
      <c r="X328" s="425"/>
      <c r="Y328" s="425"/>
      <c r="Z328" s="425"/>
      <c r="AA328" s="425" t="str">
        <f t="shared" si="105"/>
        <v/>
      </c>
      <c r="AF328" s="250"/>
      <c r="AG328" s="250"/>
      <c r="AH328" s="250"/>
    </row>
    <row r="329" spans="1:34" s="503" customFormat="1" ht="60" hidden="1" customHeight="1" x14ac:dyDescent="0.2">
      <c r="B329" s="1248" t="str">
        <f>IFERROR(INDEX('ANALISIS TÉCNICO'!$B$200:$N$229,MATCH(6,'ANALISIS TÉCNICO'!$N$200:$N$229,0),1),"")</f>
        <v/>
      </c>
      <c r="C329" s="1248"/>
      <c r="D329" s="1248"/>
      <c r="E329" s="1250" t="str">
        <f>IFERROR(INDEX('ANALISIS TÉCNICO'!$B$200:$N$229,MATCH(6,'ANALISIS TÉCNICO'!$N$200:$N$229,0),3),"")</f>
        <v/>
      </c>
      <c r="F329" s="1252"/>
      <c r="G329" s="1250" t="str">
        <f t="shared" si="102"/>
        <v/>
      </c>
      <c r="H329" s="1252"/>
      <c r="I329" s="457" t="str">
        <f>IFERROR(INDEX('ANALISIS TÉCNICO'!$B$200:$N$229,MATCH(6,'ANALISIS TÉCNICO'!$N$200:$N$229,0),7),"")</f>
        <v/>
      </c>
      <c r="J329" s="457" t="str">
        <f>IFERROR(INDEX('ANALISIS TÉCNICO'!$B$200:$N$229,MATCH(6,'ANALISIS TÉCNICO'!$N$200:$N$229,0),8),"")</f>
        <v/>
      </c>
      <c r="K329" s="504"/>
      <c r="L329" s="515"/>
      <c r="M329" s="273"/>
      <c r="N329" s="266" t="str">
        <f t="shared" si="101"/>
        <v/>
      </c>
      <c r="S329" s="250"/>
      <c r="T329" s="530" t="str">
        <f t="shared" si="103"/>
        <v>b</v>
      </c>
      <c r="U329" s="425">
        <f>IFERROR(COUNTIF($T$290:T329,$T$291),"")</f>
        <v>39</v>
      </c>
      <c r="V329" s="425" t="str">
        <f t="shared" si="104"/>
        <v xml:space="preserve"> </v>
      </c>
      <c r="W329" s="538" t="str">
        <f t="shared" si="86"/>
        <v/>
      </c>
      <c r="X329" s="425"/>
      <c r="Y329" s="425"/>
      <c r="Z329" s="425"/>
      <c r="AA329" s="425" t="str">
        <f t="shared" si="105"/>
        <v/>
      </c>
      <c r="AF329" s="250"/>
      <c r="AG329" s="250"/>
      <c r="AH329" s="250"/>
    </row>
    <row r="330" spans="1:34" s="503" customFormat="1" ht="60" hidden="1" customHeight="1" x14ac:dyDescent="0.2">
      <c r="A330" s="136"/>
      <c r="B330" s="1248" t="str">
        <f>IFERROR(INDEX('ANALISIS TÉCNICO'!$B$200:$N$229,MATCH(7,'ANALISIS TÉCNICO'!$N$200:$N$229,0),1),"")</f>
        <v/>
      </c>
      <c r="C330" s="1248"/>
      <c r="D330" s="1248"/>
      <c r="E330" s="1250" t="str">
        <f>IFERROR(INDEX('ANALISIS TÉCNICO'!$B$200:$N$229,MATCH(7,'ANALISIS TÉCNICO'!$N$200:$N$229,0),3),"")</f>
        <v/>
      </c>
      <c r="F330" s="1252"/>
      <c r="G330" s="1250" t="str">
        <f t="shared" si="102"/>
        <v/>
      </c>
      <c r="H330" s="1252"/>
      <c r="I330" s="457" t="str">
        <f>IFERROR(INDEX('ANALISIS TÉCNICO'!$B$200:$N$229,MATCH(7,'ANALISIS TÉCNICO'!$N$200:$N$229,0),7),"")</f>
        <v/>
      </c>
      <c r="J330" s="457" t="str">
        <f>IFERROR(INDEX('ANALISIS TÉCNICO'!$B$200:$N$229,MATCH(7,'ANALISIS TÉCNICO'!$N$200:$N$229,0),8),"")</f>
        <v/>
      </c>
      <c r="K330" s="504"/>
      <c r="L330" s="515"/>
      <c r="M330" s="273"/>
      <c r="N330" s="266" t="str">
        <f t="shared" si="101"/>
        <v/>
      </c>
      <c r="S330" s="250"/>
      <c r="T330" s="530" t="str">
        <f t="shared" si="103"/>
        <v>b</v>
      </c>
      <c r="U330" s="425">
        <f>IFERROR(COUNTIF($T$290:T330,$T$291),"")</f>
        <v>40</v>
      </c>
      <c r="V330" s="425" t="str">
        <f t="shared" si="104"/>
        <v xml:space="preserve"> </v>
      </c>
      <c r="W330" s="538" t="str">
        <f t="shared" si="86"/>
        <v/>
      </c>
      <c r="X330" s="425"/>
      <c r="Y330" s="425"/>
      <c r="Z330" s="425"/>
      <c r="AA330" s="425" t="str">
        <f t="shared" si="105"/>
        <v/>
      </c>
      <c r="AF330" s="250"/>
      <c r="AG330" s="250"/>
      <c r="AH330" s="250"/>
    </row>
    <row r="331" spans="1:34" s="503" customFormat="1" ht="60" hidden="1" customHeight="1" x14ac:dyDescent="0.2">
      <c r="B331" s="1248" t="str">
        <f>IFERROR(INDEX('ANALISIS TÉCNICO'!$B$200:$N$229,MATCH(8,'ANALISIS TÉCNICO'!$N$200:$N$229,0),1),"")</f>
        <v/>
      </c>
      <c r="C331" s="1248"/>
      <c r="D331" s="1248"/>
      <c r="E331" s="1250" t="str">
        <f>IFERROR(INDEX('ANALISIS TÉCNICO'!$B$200:$N$229,MATCH(8,'ANALISIS TÉCNICO'!$N$200:$N$229,0),3),"")</f>
        <v/>
      </c>
      <c r="F331" s="1252"/>
      <c r="G331" s="1250" t="str">
        <f t="shared" si="102"/>
        <v/>
      </c>
      <c r="H331" s="1252"/>
      <c r="I331" s="457" t="str">
        <f>IFERROR(INDEX('ANALISIS TÉCNICO'!$B$200:$N$229,MATCH(8,'ANALISIS TÉCNICO'!$N$200:$N$229,0),7),"")</f>
        <v/>
      </c>
      <c r="J331" s="457" t="str">
        <f>IFERROR(INDEX('ANALISIS TÉCNICO'!$B$200:$N$229,MATCH(8,'ANALISIS TÉCNICO'!$N$200:$N$229,0),8),"")</f>
        <v/>
      </c>
      <c r="K331" s="504"/>
      <c r="L331" s="515"/>
      <c r="M331" s="273"/>
      <c r="N331" s="266" t="str">
        <f t="shared" si="101"/>
        <v/>
      </c>
      <c r="S331" s="250"/>
      <c r="T331" s="530" t="str">
        <f t="shared" si="103"/>
        <v>b</v>
      </c>
      <c r="U331" s="425">
        <f>IFERROR(COUNTIF($T$290:T331,$T$291),"")</f>
        <v>41</v>
      </c>
      <c r="V331" s="425" t="str">
        <f t="shared" si="104"/>
        <v xml:space="preserve"> </v>
      </c>
      <c r="W331" s="538" t="str">
        <f t="shared" si="86"/>
        <v/>
      </c>
      <c r="X331" s="425"/>
      <c r="Y331" s="425"/>
      <c r="Z331" s="425"/>
      <c r="AA331" s="425" t="str">
        <f t="shared" si="105"/>
        <v/>
      </c>
      <c r="AF331" s="250"/>
      <c r="AG331" s="250"/>
      <c r="AH331" s="250"/>
    </row>
    <row r="332" spans="1:34" s="503" customFormat="1" ht="60" hidden="1" customHeight="1" x14ac:dyDescent="0.2">
      <c r="A332" s="136"/>
      <c r="B332" s="1248" t="str">
        <f>IFERROR(INDEX('ANALISIS TÉCNICO'!$B$200:$N$229,MATCH(9,'ANALISIS TÉCNICO'!$N$200:$N$229,0),1),"")</f>
        <v/>
      </c>
      <c r="C332" s="1248"/>
      <c r="D332" s="1248"/>
      <c r="E332" s="1250" t="str">
        <f>IFERROR(INDEX('ANALISIS TÉCNICO'!$B$200:$N$229,MATCH(9,'ANALISIS TÉCNICO'!$N$200:$N$229,0),3),"")</f>
        <v/>
      </c>
      <c r="F332" s="1252"/>
      <c r="G332" s="1250" t="str">
        <f t="shared" si="102"/>
        <v/>
      </c>
      <c r="H332" s="1252"/>
      <c r="I332" s="457" t="str">
        <f>IFERROR(INDEX('ANALISIS TÉCNICO'!$B$200:$N$229,MATCH(9,'ANALISIS TÉCNICO'!$N$200:$N$229,0),7),"")</f>
        <v/>
      </c>
      <c r="J332" s="457" t="str">
        <f>IFERROR(INDEX('ANALISIS TÉCNICO'!$B$200:$N$229,MATCH(9,'ANALISIS TÉCNICO'!$N$200:$N$229,0),8),"")</f>
        <v/>
      </c>
      <c r="K332" s="504"/>
      <c r="L332" s="515"/>
      <c r="M332" s="273"/>
      <c r="N332" s="266" t="str">
        <f t="shared" si="101"/>
        <v/>
      </c>
      <c r="S332" s="250"/>
      <c r="T332" s="530" t="str">
        <f t="shared" si="103"/>
        <v>b</v>
      </c>
      <c r="U332" s="425">
        <f>IFERROR(COUNTIF($T$290:T332,$T$291),"")</f>
        <v>42</v>
      </c>
      <c r="V332" s="425" t="str">
        <f t="shared" si="104"/>
        <v xml:space="preserve"> </v>
      </c>
      <c r="W332" s="538" t="str">
        <f t="shared" si="86"/>
        <v/>
      </c>
      <c r="X332" s="425"/>
      <c r="Y332" s="425"/>
      <c r="Z332" s="425"/>
      <c r="AA332" s="425" t="str">
        <f t="shared" si="105"/>
        <v/>
      </c>
      <c r="AF332" s="250"/>
      <c r="AG332" s="250"/>
      <c r="AH332" s="250"/>
    </row>
    <row r="333" spans="1:34" s="503" customFormat="1" ht="60" hidden="1" customHeight="1" x14ac:dyDescent="0.2">
      <c r="B333" s="1248" t="str">
        <f>IFERROR(INDEX('ANALISIS TÉCNICO'!$B$200:$N$229,MATCH(10,'ANALISIS TÉCNICO'!$N$200:$N$229,0),1),"")</f>
        <v/>
      </c>
      <c r="C333" s="1248"/>
      <c r="D333" s="1248"/>
      <c r="E333" s="1250" t="str">
        <f>IFERROR(INDEX('ANALISIS TÉCNICO'!$B$200:$N$229,MATCH(10,'ANALISIS TÉCNICO'!$N$200:$N$229,0),3),"")</f>
        <v/>
      </c>
      <c r="F333" s="1252"/>
      <c r="G333" s="1250" t="str">
        <f t="shared" si="102"/>
        <v/>
      </c>
      <c r="H333" s="1252"/>
      <c r="I333" s="457" t="str">
        <f>IFERROR(INDEX('ANALISIS TÉCNICO'!$B$200:$N$229,MATCH(10,'ANALISIS TÉCNICO'!$N$200:$N$229,0),7),"")</f>
        <v/>
      </c>
      <c r="J333" s="457" t="str">
        <f>IFERROR(INDEX('ANALISIS TÉCNICO'!$B$200:$N$229,MATCH(10,'ANALISIS TÉCNICO'!$N$200:$N$229,0),8),"")</f>
        <v/>
      </c>
      <c r="K333" s="504"/>
      <c r="L333" s="515"/>
      <c r="M333" s="273"/>
      <c r="N333" s="266" t="str">
        <f t="shared" si="101"/>
        <v/>
      </c>
      <c r="S333" s="250"/>
      <c r="T333" s="250"/>
      <c r="U333" s="250"/>
      <c r="V333" s="250"/>
      <c r="W333" s="250"/>
      <c r="X333" s="250"/>
      <c r="Y333" s="250"/>
      <c r="Z333" s="250"/>
      <c r="AA333" s="250"/>
      <c r="AF333" s="250"/>
      <c r="AG333" s="250"/>
      <c r="AH333" s="250"/>
    </row>
    <row r="334" spans="1:34" s="503" customFormat="1" ht="60" hidden="1" customHeight="1" x14ac:dyDescent="0.2">
      <c r="A334" s="136"/>
      <c r="B334" s="1248" t="str">
        <f>IFERROR(INDEX('ANALISIS TÉCNICO'!$B$200:$N$229,MATCH(11,'ANALISIS TÉCNICO'!$N$200:$N$229,0),1),"")</f>
        <v/>
      </c>
      <c r="C334" s="1248"/>
      <c r="D334" s="1248"/>
      <c r="E334" s="1250" t="str">
        <f>IFERROR(INDEX('ANALISIS TÉCNICO'!$B$200:$N$229,MATCH(11,'ANALISIS TÉCNICO'!$N$200:$N$229,0),3),"")</f>
        <v/>
      </c>
      <c r="F334" s="1252"/>
      <c r="G334" s="1250" t="str">
        <f t="shared" si="102"/>
        <v/>
      </c>
      <c r="H334" s="1252"/>
      <c r="I334" s="457" t="str">
        <f>IFERROR(INDEX('ANALISIS TÉCNICO'!$B$200:$N$229,MATCH(11,'ANALISIS TÉCNICO'!$N$200:$N$229,0),7),"")</f>
        <v/>
      </c>
      <c r="J334" s="457" t="str">
        <f>IFERROR(INDEX('ANALISIS TÉCNICO'!$B$200:$N$229,MATCH(11,'ANALISIS TÉCNICO'!$N$200:$N$229,0),8),"")</f>
        <v/>
      </c>
      <c r="K334" s="504"/>
      <c r="L334" s="515"/>
      <c r="M334" s="273"/>
      <c r="N334" s="266" t="str">
        <f t="shared" si="101"/>
        <v/>
      </c>
      <c r="S334" s="250"/>
      <c r="T334" s="250"/>
      <c r="U334" s="250"/>
      <c r="V334" s="250"/>
      <c r="W334" s="250"/>
      <c r="X334" s="250"/>
      <c r="Y334" s="250"/>
      <c r="Z334" s="250"/>
      <c r="AA334" s="250"/>
      <c r="AF334" s="250"/>
      <c r="AG334" s="250"/>
      <c r="AH334" s="250"/>
    </row>
    <row r="335" spans="1:34" s="503" customFormat="1" ht="60" hidden="1" customHeight="1" x14ac:dyDescent="0.2">
      <c r="B335" s="1248" t="str">
        <f>IFERROR(INDEX('ANALISIS TÉCNICO'!$B$200:$N$229,MATCH(12,'ANALISIS TÉCNICO'!$N$200:$N$229,0),1),"")</f>
        <v/>
      </c>
      <c r="C335" s="1248"/>
      <c r="D335" s="1248"/>
      <c r="E335" s="1250" t="str">
        <f>IFERROR(INDEX('ANALISIS TÉCNICO'!$B$200:$N$229,MATCH(12,'ANALISIS TÉCNICO'!$N$200:$N$229,0),3),"")</f>
        <v/>
      </c>
      <c r="F335" s="1252"/>
      <c r="G335" s="1250" t="str">
        <f t="shared" si="102"/>
        <v/>
      </c>
      <c r="H335" s="1252"/>
      <c r="I335" s="457" t="str">
        <f>IFERROR(INDEX('ANALISIS TÉCNICO'!$B$200:$N$229,MATCH(12,'ANALISIS TÉCNICO'!$N$200:$N$229,0),7),"")</f>
        <v/>
      </c>
      <c r="J335" s="457" t="str">
        <f>IFERROR(INDEX('ANALISIS TÉCNICO'!$B$200:$N$229,MATCH(12,'ANALISIS TÉCNICO'!$N$200:$N$229,0),8),"")</f>
        <v/>
      </c>
      <c r="K335" s="504"/>
      <c r="L335" s="515"/>
      <c r="M335" s="273"/>
      <c r="N335" s="266" t="str">
        <f t="shared" si="101"/>
        <v/>
      </c>
      <c r="S335" s="250"/>
      <c r="T335" s="250"/>
      <c r="U335" s="250"/>
      <c r="V335" s="250"/>
      <c r="W335" s="250"/>
      <c r="X335" s="250"/>
      <c r="Y335" s="250"/>
      <c r="Z335" s="250"/>
      <c r="AA335" s="250"/>
      <c r="AF335" s="250"/>
      <c r="AG335" s="250"/>
      <c r="AH335" s="250"/>
    </row>
    <row r="336" spans="1:34" s="503" customFormat="1" ht="60" hidden="1" customHeight="1" x14ac:dyDescent="0.2">
      <c r="A336" s="136"/>
      <c r="B336" s="1248" t="str">
        <f>IFERROR(INDEX('ANALISIS TÉCNICO'!$B$200:$N$229,MATCH(13,'ANALISIS TÉCNICO'!$N$200:$N$229,0),1),"")</f>
        <v/>
      </c>
      <c r="C336" s="1248"/>
      <c r="D336" s="1248"/>
      <c r="E336" s="1250" t="str">
        <f>IFERROR(INDEX('ANALISIS TÉCNICO'!$B$200:$N$229,MATCH(13,'ANALISIS TÉCNICO'!$N$200:$N$229,0),3),"")</f>
        <v/>
      </c>
      <c r="F336" s="1252"/>
      <c r="G336" s="1250" t="str">
        <f t="shared" si="102"/>
        <v/>
      </c>
      <c r="H336" s="1252"/>
      <c r="I336" s="457" t="str">
        <f>IFERROR(INDEX('ANALISIS TÉCNICO'!$B$200:$N$229,MATCH(13,'ANALISIS TÉCNICO'!$N$200:$N$229,0),7),"")</f>
        <v/>
      </c>
      <c r="J336" s="457" t="str">
        <f>IFERROR(INDEX('ANALISIS TÉCNICO'!$B$200:$N$229,MATCH(13,'ANALISIS TÉCNICO'!$N$200:$N$229,0),8),"")</f>
        <v/>
      </c>
      <c r="K336" s="504"/>
      <c r="L336" s="515"/>
      <c r="M336" s="273"/>
      <c r="N336" s="266" t="str">
        <f t="shared" si="101"/>
        <v/>
      </c>
      <c r="S336" s="250"/>
      <c r="T336" s="250"/>
      <c r="U336" s="250"/>
      <c r="V336" s="250"/>
      <c r="W336" s="250"/>
      <c r="X336" s="250"/>
      <c r="Y336" s="250"/>
      <c r="Z336" s="250"/>
      <c r="AA336" s="250"/>
      <c r="AF336" s="250"/>
      <c r="AG336" s="250"/>
      <c r="AH336" s="250"/>
    </row>
    <row r="337" spans="1:34" s="503" customFormat="1" ht="60" hidden="1" customHeight="1" x14ac:dyDescent="0.2">
      <c r="B337" s="1248" t="str">
        <f>IFERROR(INDEX('ANALISIS TÉCNICO'!$B$200:$N$229,MATCH(14,'ANALISIS TÉCNICO'!$N$200:$N$229,0),1),"")</f>
        <v/>
      </c>
      <c r="C337" s="1248"/>
      <c r="D337" s="1248"/>
      <c r="E337" s="1250" t="str">
        <f>IFERROR(INDEX('ANALISIS TÉCNICO'!$B$200:$N$229,MATCH(14,'ANALISIS TÉCNICO'!$N$200:$N$229,0),3),"")</f>
        <v/>
      </c>
      <c r="F337" s="1252"/>
      <c r="G337" s="1250" t="str">
        <f t="shared" si="102"/>
        <v/>
      </c>
      <c r="H337" s="1252"/>
      <c r="I337" s="457" t="str">
        <f>IFERROR(INDEX('ANALISIS TÉCNICO'!$B$200:$N$229,MATCH(14,'ANALISIS TÉCNICO'!$N$200:$N$229,0),7),"")</f>
        <v/>
      </c>
      <c r="J337" s="457" t="str">
        <f>IFERROR(INDEX('ANALISIS TÉCNICO'!$B$200:$N$229,MATCH(14,'ANALISIS TÉCNICO'!$N$200:$N$229,0),8),"")</f>
        <v/>
      </c>
      <c r="K337" s="504"/>
      <c r="L337" s="515"/>
      <c r="M337" s="273"/>
      <c r="N337" s="266" t="str">
        <f t="shared" si="101"/>
        <v/>
      </c>
      <c r="S337" s="250"/>
      <c r="T337" s="250"/>
      <c r="U337" s="250"/>
      <c r="V337" s="250"/>
      <c r="W337" s="250"/>
      <c r="X337" s="250"/>
      <c r="Y337" s="250"/>
      <c r="Z337" s="250"/>
      <c r="AA337" s="250"/>
      <c r="AF337" s="250"/>
      <c r="AG337" s="250"/>
      <c r="AH337" s="250"/>
    </row>
    <row r="338" spans="1:34" s="503" customFormat="1" ht="60" hidden="1" customHeight="1" x14ac:dyDescent="0.2">
      <c r="A338" s="136"/>
      <c r="B338" s="1248" t="str">
        <f>IFERROR(INDEX('ANALISIS TÉCNICO'!$B$200:$N$229,MATCH(15,'ANALISIS TÉCNICO'!$N$200:$N$229,0),1),"")</f>
        <v/>
      </c>
      <c r="C338" s="1248"/>
      <c r="D338" s="1248"/>
      <c r="E338" s="1250" t="str">
        <f>IFERROR(INDEX('ANALISIS TÉCNICO'!$B$200:$N$229,MATCH(15,'ANALISIS TÉCNICO'!$N$200:$N$229,0),3),"")</f>
        <v/>
      </c>
      <c r="F338" s="1252"/>
      <c r="G338" s="1250" t="str">
        <f t="shared" si="102"/>
        <v/>
      </c>
      <c r="H338" s="1252"/>
      <c r="I338" s="457" t="str">
        <f>IFERROR(INDEX('ANALISIS TÉCNICO'!$B$200:$N$229,MATCH(15,'ANALISIS TÉCNICO'!$N$200:$N$229,0),7),"")</f>
        <v/>
      </c>
      <c r="J338" s="457" t="str">
        <f>IFERROR(INDEX('ANALISIS TÉCNICO'!$B$200:$N$229,MATCH(15,'ANALISIS TÉCNICO'!$N$200:$N$229,0),8),"")</f>
        <v/>
      </c>
      <c r="K338" s="504"/>
      <c r="L338" s="515"/>
      <c r="M338" s="273"/>
      <c r="N338" s="266" t="str">
        <f t="shared" si="101"/>
        <v/>
      </c>
      <c r="S338" s="250"/>
      <c r="T338" s="250"/>
      <c r="U338" s="250"/>
      <c r="V338" s="250"/>
      <c r="W338" s="250"/>
      <c r="X338" s="250"/>
      <c r="Y338" s="250"/>
      <c r="Z338" s="250"/>
      <c r="AA338" s="250"/>
      <c r="AF338" s="250"/>
      <c r="AG338" s="250"/>
      <c r="AH338" s="250"/>
    </row>
    <row r="339" spans="1:34" s="503" customFormat="1" ht="60" hidden="1" customHeight="1" x14ac:dyDescent="0.2">
      <c r="B339" s="1248" t="str">
        <f>IFERROR(INDEX('ANALISIS TÉCNICO'!$B$200:$N$229,MATCH(16,'ANALISIS TÉCNICO'!$N$200:$N$229,0),1),"")</f>
        <v/>
      </c>
      <c r="C339" s="1248"/>
      <c r="D339" s="1248"/>
      <c r="E339" s="1250" t="str">
        <f>IFERROR(INDEX('ANALISIS TÉCNICO'!$B$200:$N$229,MATCH(16,'ANALISIS TÉCNICO'!$N$200:$N$229,0),3),"")</f>
        <v/>
      </c>
      <c r="F339" s="1252"/>
      <c r="G339" s="1250" t="str">
        <f t="shared" si="102"/>
        <v/>
      </c>
      <c r="H339" s="1252"/>
      <c r="I339" s="457" t="str">
        <f>IFERROR(INDEX('ANALISIS TÉCNICO'!$B$200:$N$229,MATCH(16,'ANALISIS TÉCNICO'!$N$200:$N$229,0),7),"")</f>
        <v/>
      </c>
      <c r="J339" s="457" t="str">
        <f>IFERROR(INDEX('ANALISIS TÉCNICO'!$B$200:$N$229,MATCH(16,'ANALISIS TÉCNICO'!$N$200:$N$229,0),8),"")</f>
        <v/>
      </c>
      <c r="K339" s="504"/>
      <c r="L339" s="515"/>
      <c r="M339" s="273"/>
      <c r="N339" s="266" t="str">
        <f t="shared" si="101"/>
        <v/>
      </c>
      <c r="S339" s="250"/>
      <c r="T339" s="250"/>
      <c r="U339" s="250"/>
      <c r="V339" s="250"/>
      <c r="W339" s="250"/>
      <c r="X339" s="250"/>
      <c r="Y339" s="250"/>
      <c r="Z339" s="250"/>
      <c r="AA339" s="250"/>
      <c r="AF339" s="250"/>
      <c r="AG339" s="250"/>
      <c r="AH339" s="250"/>
    </row>
    <row r="340" spans="1:34" s="503" customFormat="1" ht="60" hidden="1" customHeight="1" x14ac:dyDescent="0.2">
      <c r="A340" s="136"/>
      <c r="B340" s="1248" t="str">
        <f>IFERROR(INDEX('ANALISIS TÉCNICO'!$B$200:$N$229,MATCH(17,'ANALISIS TÉCNICO'!$N$200:$N$229,0),1),"")</f>
        <v/>
      </c>
      <c r="C340" s="1248"/>
      <c r="D340" s="1248"/>
      <c r="E340" s="1250" t="str">
        <f>IFERROR(INDEX('ANALISIS TÉCNICO'!$B$200:$N$229,MATCH(17,'ANALISIS TÉCNICO'!$N$200:$N$229,0),3),"")</f>
        <v/>
      </c>
      <c r="F340" s="1252"/>
      <c r="G340" s="1250" t="str">
        <f t="shared" si="102"/>
        <v/>
      </c>
      <c r="H340" s="1252"/>
      <c r="I340" s="457" t="str">
        <f>IFERROR(INDEX('ANALISIS TÉCNICO'!$B$200:$N$229,MATCH(17,'ANALISIS TÉCNICO'!$N$200:$N$229,0),7),"")</f>
        <v/>
      </c>
      <c r="J340" s="457" t="str">
        <f>IFERROR(INDEX('ANALISIS TÉCNICO'!$B$200:$N$229,MATCH(17,'ANALISIS TÉCNICO'!$N$200:$N$229,0),8),"")</f>
        <v/>
      </c>
      <c r="K340" s="504"/>
      <c r="L340" s="515"/>
      <c r="M340" s="273"/>
      <c r="N340" s="266" t="str">
        <f t="shared" si="101"/>
        <v/>
      </c>
      <c r="S340" s="250"/>
      <c r="T340" s="250"/>
      <c r="U340" s="250"/>
      <c r="V340" s="250"/>
      <c r="W340" s="250"/>
      <c r="X340" s="250"/>
      <c r="Y340" s="250"/>
      <c r="Z340" s="250"/>
      <c r="AA340" s="250"/>
      <c r="AF340" s="250"/>
      <c r="AG340" s="250"/>
      <c r="AH340" s="250"/>
    </row>
    <row r="341" spans="1:34" s="503" customFormat="1" ht="60" hidden="1" customHeight="1" x14ac:dyDescent="0.2">
      <c r="B341" s="1248" t="str">
        <f>IFERROR(INDEX('ANALISIS TÉCNICO'!$B$200:$N$229,MATCH(18,'ANALISIS TÉCNICO'!$N$200:$N$229,0),1),"")</f>
        <v/>
      </c>
      <c r="C341" s="1248"/>
      <c r="D341" s="1248"/>
      <c r="E341" s="1250" t="str">
        <f>IFERROR(INDEX('ANALISIS TÉCNICO'!$B$200:$N$229,MATCH(18,'ANALISIS TÉCNICO'!$N$200:$N$229,0),3),"")</f>
        <v/>
      </c>
      <c r="F341" s="1252"/>
      <c r="G341" s="1250" t="str">
        <f t="shared" si="102"/>
        <v/>
      </c>
      <c r="H341" s="1252"/>
      <c r="I341" s="457" t="str">
        <f>IFERROR(INDEX('ANALISIS TÉCNICO'!$B$200:$N$229,MATCH(18,'ANALISIS TÉCNICO'!$N$200:$N$229,0),7),"")</f>
        <v/>
      </c>
      <c r="J341" s="457" t="str">
        <f>IFERROR(INDEX('ANALISIS TÉCNICO'!$B$200:$N$229,MATCH(18,'ANALISIS TÉCNICO'!$N$200:$N$229,0),8),"")</f>
        <v/>
      </c>
      <c r="K341" s="504"/>
      <c r="L341" s="515"/>
      <c r="M341" s="273"/>
      <c r="N341" s="266" t="str">
        <f t="shared" si="101"/>
        <v/>
      </c>
      <c r="S341" s="250"/>
      <c r="T341" s="250"/>
      <c r="U341" s="250"/>
      <c r="V341" s="250"/>
      <c r="W341" s="250"/>
      <c r="X341" s="250"/>
      <c r="Y341" s="250"/>
      <c r="Z341" s="250"/>
      <c r="AA341" s="250"/>
      <c r="AF341" s="250"/>
      <c r="AG341" s="250"/>
      <c r="AH341" s="250"/>
    </row>
    <row r="342" spans="1:34" s="503" customFormat="1" ht="60" hidden="1" customHeight="1" x14ac:dyDescent="0.2">
      <c r="A342" s="136"/>
      <c r="B342" s="1248" t="str">
        <f>IFERROR(INDEX('ANALISIS TÉCNICO'!$B$200:$N$229,MATCH(19,'ANALISIS TÉCNICO'!$N$200:$N$229,0),1),"")</f>
        <v/>
      </c>
      <c r="C342" s="1248"/>
      <c r="D342" s="1248"/>
      <c r="E342" s="1250" t="str">
        <f>IFERROR(INDEX('ANALISIS TÉCNICO'!$B$200:$N$229,MATCH(19,'ANALISIS TÉCNICO'!$N$200:$N$229,0),3),"")</f>
        <v/>
      </c>
      <c r="F342" s="1252"/>
      <c r="G342" s="1250" t="str">
        <f t="shared" si="102"/>
        <v/>
      </c>
      <c r="H342" s="1252"/>
      <c r="I342" s="457" t="str">
        <f>IFERROR(INDEX('ANALISIS TÉCNICO'!$B$200:$N$229,MATCH(19,'ANALISIS TÉCNICO'!$N$200:$N$229,0),7),"")</f>
        <v/>
      </c>
      <c r="J342" s="457" t="str">
        <f>IFERROR(INDEX('ANALISIS TÉCNICO'!$B$200:$N$229,MATCH(19,'ANALISIS TÉCNICO'!$N$200:$N$229,0),8),"")</f>
        <v/>
      </c>
      <c r="K342" s="504"/>
      <c r="L342" s="515"/>
      <c r="M342" s="273"/>
      <c r="N342" s="266" t="str">
        <f t="shared" si="101"/>
        <v/>
      </c>
      <c r="S342" s="250"/>
      <c r="T342" s="250"/>
      <c r="U342" s="250"/>
      <c r="V342" s="250"/>
      <c r="W342" s="250"/>
      <c r="X342" s="250"/>
      <c r="Y342" s="250"/>
      <c r="Z342" s="250"/>
      <c r="AA342" s="250"/>
      <c r="AF342" s="250"/>
      <c r="AG342" s="250"/>
      <c r="AH342" s="250"/>
    </row>
    <row r="343" spans="1:34" s="503" customFormat="1" ht="60" hidden="1" customHeight="1" x14ac:dyDescent="0.2">
      <c r="B343" s="1248" t="str">
        <f>IFERROR(INDEX('ANALISIS TÉCNICO'!$B$200:$N$229,MATCH(20,'ANALISIS TÉCNICO'!$N$200:$N$229,0),1),"")</f>
        <v/>
      </c>
      <c r="C343" s="1248"/>
      <c r="D343" s="1248"/>
      <c r="E343" s="1250" t="str">
        <f>IFERROR(INDEX('ANALISIS TÉCNICO'!$B$200:$N$229,MATCH(20,'ANALISIS TÉCNICO'!$N$200:$N$229,0),3),"")</f>
        <v/>
      </c>
      <c r="F343" s="1252"/>
      <c r="G343" s="1250" t="str">
        <f t="shared" si="102"/>
        <v/>
      </c>
      <c r="H343" s="1252"/>
      <c r="I343" s="457" t="str">
        <f>IFERROR(INDEX('ANALISIS TÉCNICO'!$B$200:$N$229,MATCH(20,'ANALISIS TÉCNICO'!$N$200:$N$229,0),7),"")</f>
        <v/>
      </c>
      <c r="J343" s="457" t="str">
        <f>IFERROR(INDEX('ANALISIS TÉCNICO'!$B$200:$N$229,MATCH(20,'ANALISIS TÉCNICO'!$N$200:$N$229,0),8),"")</f>
        <v/>
      </c>
      <c r="K343" s="504"/>
      <c r="L343" s="515"/>
      <c r="M343" s="273"/>
      <c r="N343" s="266" t="str">
        <f t="shared" si="101"/>
        <v/>
      </c>
      <c r="S343" s="250"/>
      <c r="T343" s="250"/>
      <c r="U343" s="250"/>
      <c r="V343" s="250"/>
      <c r="W343" s="250"/>
      <c r="X343" s="250"/>
      <c r="Y343" s="250"/>
      <c r="Z343" s="250"/>
      <c r="AA343" s="250"/>
      <c r="AF343" s="250"/>
      <c r="AG343" s="250"/>
      <c r="AH343" s="250"/>
    </row>
    <row r="344" spans="1:34" s="503" customFormat="1" ht="60" hidden="1" customHeight="1" x14ac:dyDescent="0.2">
      <c r="A344" s="136"/>
      <c r="B344" s="1248" t="str">
        <f>IFERROR(INDEX('ANALISIS TÉCNICO'!$B$200:$N$229,MATCH(21,'ANALISIS TÉCNICO'!$N$200:$N$229,0),1),"")</f>
        <v/>
      </c>
      <c r="C344" s="1248"/>
      <c r="D344" s="1248"/>
      <c r="E344" s="1250" t="str">
        <f>IFERROR(INDEX('ANALISIS TÉCNICO'!$B$200:$N$229,MATCH(21,'ANALISIS TÉCNICO'!$N$200:$N$229,0),3),"")</f>
        <v/>
      </c>
      <c r="F344" s="1252"/>
      <c r="G344" s="1250" t="str">
        <f t="shared" si="102"/>
        <v/>
      </c>
      <c r="H344" s="1252"/>
      <c r="I344" s="457" t="str">
        <f>IFERROR(INDEX('ANALISIS TÉCNICO'!$B$200:$N$229,MATCH(21,'ANALISIS TÉCNICO'!$N$200:$N$229,0),7),"")</f>
        <v/>
      </c>
      <c r="J344" s="457" t="str">
        <f>IFERROR(INDEX('ANALISIS TÉCNICO'!$B$200:$N$229,MATCH(21,'ANALISIS TÉCNICO'!$N$200:$N$229,0),8),"")</f>
        <v/>
      </c>
      <c r="K344" s="504"/>
      <c r="L344" s="515"/>
      <c r="M344" s="273"/>
      <c r="N344" s="266" t="str">
        <f t="shared" si="101"/>
        <v/>
      </c>
      <c r="S344" s="250"/>
      <c r="T344" s="250"/>
      <c r="U344" s="250"/>
      <c r="V344" s="250"/>
      <c r="W344" s="250"/>
      <c r="X344" s="250"/>
      <c r="Y344" s="250"/>
      <c r="Z344" s="250"/>
      <c r="AA344" s="250"/>
      <c r="AF344" s="250"/>
      <c r="AG344" s="250"/>
      <c r="AH344" s="250"/>
    </row>
    <row r="345" spans="1:34" s="503" customFormat="1" ht="24.95" hidden="1" customHeight="1" x14ac:dyDescent="0.2">
      <c r="B345" s="448" t="s">
        <v>4875</v>
      </c>
      <c r="C345" s="449"/>
      <c r="D345" s="449"/>
      <c r="E345" s="449"/>
      <c r="F345" s="449"/>
      <c r="G345" s="449"/>
      <c r="H345" s="449"/>
      <c r="I345" s="449"/>
      <c r="J345" s="449"/>
      <c r="K345" s="449"/>
      <c r="L345" s="496" t="s">
        <v>4922</v>
      </c>
      <c r="M345" s="555"/>
      <c r="N345" s="459"/>
      <c r="S345" s="250"/>
      <c r="T345" s="250"/>
      <c r="U345" s="250"/>
      <c r="V345" s="250"/>
      <c r="W345" s="250"/>
      <c r="X345" s="250"/>
      <c r="Y345" s="250"/>
      <c r="Z345" s="250"/>
      <c r="AA345" s="250"/>
      <c r="AF345" s="250"/>
      <c r="AG345" s="250"/>
      <c r="AH345" s="250"/>
    </row>
    <row r="346" spans="1:34" s="503" customFormat="1" ht="60" hidden="1" customHeight="1" x14ac:dyDescent="0.2">
      <c r="A346" s="136"/>
      <c r="B346" s="1759"/>
      <c r="C346" s="1759"/>
      <c r="D346" s="1759"/>
      <c r="E346" s="1186"/>
      <c r="F346" s="1188"/>
      <c r="G346" s="1250" t="str">
        <f t="shared" ref="G346:G351" si="106">IFERROR(IF(B346="","",$D$53),"")</f>
        <v/>
      </c>
      <c r="H346" s="1252"/>
      <c r="I346" s="457" t="str">
        <f t="shared" ref="I346:I351" si="107">IFERROR(IF(B346="","","Unidad"),"")</f>
        <v/>
      </c>
      <c r="J346" s="505"/>
      <c r="K346" s="504"/>
      <c r="L346" s="515"/>
      <c r="M346" s="273"/>
      <c r="N346" s="266" t="str">
        <f t="shared" ref="N346:N351" si="108">IFERROR(IF(G346="","",IF(G346="Infraestructura",M346*L346,M346*J346)),"")</f>
        <v/>
      </c>
      <c r="S346" s="250"/>
      <c r="T346" s="250"/>
      <c r="U346" s="250"/>
      <c r="V346" s="250"/>
      <c r="W346" s="250"/>
      <c r="X346" s="250"/>
      <c r="Y346" s="250"/>
      <c r="Z346" s="250"/>
      <c r="AA346" s="250"/>
      <c r="AF346" s="250"/>
      <c r="AG346" s="250"/>
      <c r="AH346" s="250"/>
    </row>
    <row r="347" spans="1:34" s="503" customFormat="1" ht="60" hidden="1" customHeight="1" x14ac:dyDescent="0.2">
      <c r="B347" s="1759"/>
      <c r="C347" s="1759"/>
      <c r="D347" s="1759"/>
      <c r="E347" s="1186"/>
      <c r="F347" s="1188"/>
      <c r="G347" s="1250" t="str">
        <f t="shared" si="106"/>
        <v/>
      </c>
      <c r="H347" s="1252"/>
      <c r="I347" s="457" t="str">
        <f t="shared" si="107"/>
        <v/>
      </c>
      <c r="J347" s="505"/>
      <c r="K347" s="504"/>
      <c r="L347" s="515"/>
      <c r="M347" s="273"/>
      <c r="N347" s="266" t="str">
        <f t="shared" si="108"/>
        <v/>
      </c>
      <c r="S347" s="250"/>
      <c r="T347" s="250"/>
      <c r="U347" s="250"/>
      <c r="V347" s="250"/>
      <c r="W347" s="250"/>
      <c r="X347" s="250"/>
      <c r="Y347" s="250"/>
      <c r="Z347" s="250"/>
      <c r="AA347" s="250"/>
      <c r="AF347" s="250"/>
      <c r="AG347" s="250"/>
      <c r="AH347" s="250"/>
    </row>
    <row r="348" spans="1:34" s="503" customFormat="1" ht="60" hidden="1" customHeight="1" x14ac:dyDescent="0.2">
      <c r="A348" s="136"/>
      <c r="B348" s="1759"/>
      <c r="C348" s="1759"/>
      <c r="D348" s="1759"/>
      <c r="E348" s="1186"/>
      <c r="F348" s="1188"/>
      <c r="G348" s="1250" t="str">
        <f t="shared" si="106"/>
        <v/>
      </c>
      <c r="H348" s="1252"/>
      <c r="I348" s="457" t="str">
        <f t="shared" si="107"/>
        <v/>
      </c>
      <c r="J348" s="505"/>
      <c r="K348" s="504"/>
      <c r="L348" s="515"/>
      <c r="M348" s="273"/>
      <c r="N348" s="266" t="str">
        <f t="shared" si="108"/>
        <v/>
      </c>
      <c r="S348" s="250"/>
      <c r="T348" s="250"/>
      <c r="U348" s="250"/>
      <c r="V348" s="250"/>
      <c r="W348" s="250"/>
      <c r="X348" s="250"/>
      <c r="Y348" s="250"/>
      <c r="Z348" s="250"/>
      <c r="AA348" s="250"/>
      <c r="AF348" s="250"/>
      <c r="AG348" s="250"/>
      <c r="AH348" s="250"/>
    </row>
    <row r="349" spans="1:34" s="503" customFormat="1" ht="60" hidden="1" customHeight="1" x14ac:dyDescent="0.2">
      <c r="B349" s="1204"/>
      <c r="C349" s="1249"/>
      <c r="D349" s="1249"/>
      <c r="E349" s="1224"/>
      <c r="F349" s="1224"/>
      <c r="G349" s="1250" t="str">
        <f t="shared" si="106"/>
        <v/>
      </c>
      <c r="H349" s="1252"/>
      <c r="I349" s="457" t="str">
        <f t="shared" si="107"/>
        <v/>
      </c>
      <c r="J349" s="505"/>
      <c r="K349" s="504"/>
      <c r="L349" s="515"/>
      <c r="M349" s="451"/>
      <c r="N349" s="266" t="str">
        <f t="shared" si="108"/>
        <v/>
      </c>
      <c r="S349" s="250"/>
      <c r="T349" s="250"/>
      <c r="U349" s="250"/>
      <c r="V349" s="250"/>
      <c r="W349" s="250"/>
      <c r="X349" s="250"/>
      <c r="Y349" s="250"/>
      <c r="Z349" s="250"/>
      <c r="AA349" s="250"/>
      <c r="AF349" s="250"/>
      <c r="AG349" s="250"/>
      <c r="AH349" s="250"/>
    </row>
    <row r="350" spans="1:34" s="503" customFormat="1" ht="60" hidden="1" customHeight="1" x14ac:dyDescent="0.2">
      <c r="A350" s="136"/>
      <c r="B350" s="1204"/>
      <c r="C350" s="1249"/>
      <c r="D350" s="1249"/>
      <c r="E350" s="1224"/>
      <c r="F350" s="1224"/>
      <c r="G350" s="1250" t="str">
        <f t="shared" si="106"/>
        <v/>
      </c>
      <c r="H350" s="1252"/>
      <c r="I350" s="457" t="str">
        <f t="shared" si="107"/>
        <v/>
      </c>
      <c r="J350" s="505"/>
      <c r="K350" s="504"/>
      <c r="L350" s="515"/>
      <c r="M350" s="451"/>
      <c r="N350" s="266" t="str">
        <f t="shared" si="108"/>
        <v/>
      </c>
      <c r="S350" s="250"/>
      <c r="T350" s="250"/>
      <c r="U350" s="250"/>
      <c r="V350" s="250"/>
      <c r="W350" s="250"/>
      <c r="X350" s="250"/>
      <c r="Y350" s="250"/>
      <c r="Z350" s="250"/>
      <c r="AA350" s="250"/>
      <c r="AF350" s="250"/>
      <c r="AG350" s="250"/>
      <c r="AH350" s="250"/>
    </row>
    <row r="351" spans="1:34" s="503" customFormat="1" ht="60" hidden="1" customHeight="1" x14ac:dyDescent="0.2">
      <c r="B351" s="1204"/>
      <c r="C351" s="1249"/>
      <c r="D351" s="1249"/>
      <c r="E351" s="1224"/>
      <c r="F351" s="1224"/>
      <c r="G351" s="1250" t="str">
        <f t="shared" si="106"/>
        <v/>
      </c>
      <c r="H351" s="1252"/>
      <c r="I351" s="457" t="str">
        <f t="shared" si="107"/>
        <v/>
      </c>
      <c r="J351" s="505"/>
      <c r="K351" s="504"/>
      <c r="L351" s="515"/>
      <c r="M351" s="451"/>
      <c r="N351" s="266" t="str">
        <f t="shared" si="108"/>
        <v/>
      </c>
      <c r="S351" s="250"/>
      <c r="T351" s="250"/>
      <c r="U351" s="250"/>
      <c r="V351" s="250"/>
      <c r="W351" s="250"/>
      <c r="X351" s="250"/>
      <c r="Y351" s="250"/>
      <c r="Z351" s="250"/>
      <c r="AA351" s="250"/>
      <c r="AF351" s="250"/>
      <c r="AG351" s="250"/>
      <c r="AH351" s="250"/>
    </row>
    <row r="352" spans="1:34" s="503" customFormat="1" ht="30" hidden="1" customHeight="1" x14ac:dyDescent="0.2">
      <c r="A352" s="136"/>
      <c r="B352" s="1756" t="s">
        <v>4876</v>
      </c>
      <c r="C352" s="1757"/>
      <c r="D352" s="1757"/>
      <c r="E352" s="1757"/>
      <c r="F352" s="1757"/>
      <c r="G352" s="1757"/>
      <c r="H352" s="1757"/>
      <c r="I352" s="1757"/>
      <c r="J352" s="1757"/>
      <c r="K352" s="1757"/>
      <c r="L352" s="1757"/>
      <c r="M352" s="1757"/>
      <c r="N352" s="454">
        <f>IFERROR(SUM(N346:N351,N324:N344),"")</f>
        <v>0</v>
      </c>
      <c r="S352" s="250"/>
      <c r="T352" s="250"/>
      <c r="U352" s="250"/>
      <c r="V352" s="250"/>
      <c r="W352" s="250"/>
      <c r="X352" s="250"/>
      <c r="Y352" s="250"/>
      <c r="Z352" s="250"/>
      <c r="AA352" s="250"/>
      <c r="AF352" s="250"/>
      <c r="AG352" s="250"/>
      <c r="AH352" s="250"/>
    </row>
    <row r="353" spans="1:34" s="503" customFormat="1" ht="8.1" hidden="1" customHeight="1" x14ac:dyDescent="0.2">
      <c r="B353" s="511"/>
      <c r="C353" s="511"/>
      <c r="D353" s="511"/>
      <c r="E353" s="511"/>
      <c r="F353" s="511"/>
      <c r="G353" s="511"/>
      <c r="H353" s="511"/>
      <c r="I353" s="511"/>
      <c r="J353" s="511"/>
      <c r="K353" s="511"/>
      <c r="L353" s="511"/>
      <c r="M353" s="511"/>
      <c r="N353" s="453"/>
      <c r="S353" s="250"/>
      <c r="T353" s="250"/>
      <c r="U353" s="250"/>
      <c r="V353" s="250"/>
      <c r="W353" s="250"/>
      <c r="X353" s="250"/>
      <c r="Y353" s="250"/>
      <c r="Z353" s="250"/>
      <c r="AA353" s="250"/>
      <c r="AF353" s="250"/>
      <c r="AG353" s="250"/>
      <c r="AH353" s="250"/>
    </row>
    <row r="354" spans="1:34" s="503" customFormat="1" ht="30" hidden="1" customHeight="1" x14ac:dyDescent="0.2">
      <c r="A354" s="136"/>
      <c r="B354" s="1444" t="s">
        <v>4880</v>
      </c>
      <c r="C354" s="1445"/>
      <c r="D354" s="1445"/>
      <c r="E354" s="1445"/>
      <c r="F354" s="1445"/>
      <c r="G354" s="1445"/>
      <c r="H354" s="1445"/>
      <c r="I354" s="1445"/>
      <c r="J354" s="1445"/>
      <c r="K354" s="1445"/>
      <c r="L354" s="1446"/>
      <c r="M354" s="1445" t="s">
        <v>4881</v>
      </c>
      <c r="N354" s="1446"/>
      <c r="S354" s="250"/>
      <c r="T354" s="250"/>
      <c r="U354" s="250"/>
      <c r="V354" s="250"/>
      <c r="W354" s="250"/>
      <c r="X354" s="250"/>
      <c r="Y354" s="250"/>
      <c r="Z354" s="250"/>
      <c r="AA354" s="250"/>
      <c r="AF354" s="250"/>
      <c r="AG354" s="250"/>
      <c r="AH354" s="250"/>
    </row>
    <row r="355" spans="1:34" s="503" customFormat="1" ht="8.1" hidden="1" customHeight="1" x14ac:dyDescent="0.2">
      <c r="B355" s="512"/>
      <c r="C355" s="512"/>
      <c r="D355" s="512"/>
      <c r="E355" s="512"/>
      <c r="F355" s="512"/>
      <c r="G355" s="512"/>
      <c r="H355" s="512"/>
      <c r="I355" s="512"/>
      <c r="J355" s="512"/>
      <c r="K355" s="512"/>
      <c r="L355" s="512"/>
      <c r="M355" s="512"/>
      <c r="N355" s="512"/>
      <c r="S355" s="250"/>
      <c r="T355" s="250"/>
      <c r="U355" s="250"/>
      <c r="V355" s="250"/>
      <c r="W355" s="250"/>
      <c r="X355" s="250"/>
      <c r="Y355" s="250"/>
      <c r="Z355" s="250"/>
      <c r="AA355" s="250"/>
      <c r="AF355" s="250"/>
      <c r="AG355" s="250"/>
      <c r="AH355" s="250"/>
    </row>
    <row r="356" spans="1:34" s="503" customFormat="1" ht="30" hidden="1" customHeight="1" x14ac:dyDescent="0.2">
      <c r="A356" s="136"/>
      <c r="B356" s="1751" t="s">
        <v>4877</v>
      </c>
      <c r="C356" s="1752"/>
      <c r="D356" s="1752"/>
      <c r="E356" s="1752"/>
      <c r="F356" s="1752"/>
      <c r="G356" s="1752"/>
      <c r="H356" s="1752"/>
      <c r="I356" s="1752"/>
      <c r="J356" s="1752"/>
      <c r="K356" s="1752"/>
      <c r="L356" s="1753"/>
      <c r="M356" s="1758"/>
      <c r="N356" s="1755"/>
      <c r="S356" s="250"/>
      <c r="T356" s="250"/>
      <c r="U356" s="250"/>
      <c r="V356" s="250"/>
      <c r="W356" s="250"/>
      <c r="X356" s="250"/>
      <c r="Y356" s="250"/>
      <c r="Z356" s="250"/>
      <c r="AA356" s="250"/>
      <c r="AF356" s="250"/>
      <c r="AG356" s="250"/>
      <c r="AH356" s="250"/>
    </row>
    <row r="357" spans="1:34" s="503" customFormat="1" ht="30" hidden="1" customHeight="1" x14ac:dyDescent="0.2">
      <c r="B357" s="1751" t="s">
        <v>4878</v>
      </c>
      <c r="C357" s="1752"/>
      <c r="D357" s="1752"/>
      <c r="E357" s="1752"/>
      <c r="F357" s="1752"/>
      <c r="G357" s="1752"/>
      <c r="H357" s="1752"/>
      <c r="I357" s="1752"/>
      <c r="J357" s="1752"/>
      <c r="K357" s="1752"/>
      <c r="L357" s="1753"/>
      <c r="M357" s="1758"/>
      <c r="N357" s="1755"/>
      <c r="S357" s="250"/>
      <c r="T357" s="250"/>
      <c r="U357" s="250"/>
      <c r="V357" s="250"/>
      <c r="W357" s="250"/>
      <c r="X357" s="250"/>
      <c r="Y357" s="250"/>
      <c r="Z357" s="250"/>
      <c r="AA357" s="250"/>
      <c r="AF357" s="250"/>
      <c r="AG357" s="250"/>
      <c r="AH357" s="250"/>
    </row>
    <row r="358" spans="1:34" s="503" customFormat="1" ht="30" hidden="1" customHeight="1" x14ac:dyDescent="0.2">
      <c r="A358" s="136"/>
      <c r="B358" s="1751" t="s">
        <v>4879</v>
      </c>
      <c r="C358" s="1752"/>
      <c r="D358" s="1752"/>
      <c r="E358" s="1752"/>
      <c r="F358" s="1752"/>
      <c r="G358" s="1752"/>
      <c r="H358" s="1752"/>
      <c r="I358" s="1752"/>
      <c r="J358" s="1752"/>
      <c r="K358" s="1752"/>
      <c r="L358" s="1753"/>
      <c r="M358" s="1758"/>
      <c r="N358" s="1755"/>
      <c r="S358" s="250"/>
      <c r="T358" s="250"/>
      <c r="U358" s="250"/>
      <c r="V358" s="250"/>
      <c r="W358" s="250"/>
      <c r="X358" s="250"/>
      <c r="Y358" s="250"/>
      <c r="Z358" s="250"/>
      <c r="AA358" s="250"/>
      <c r="AF358" s="250"/>
      <c r="AG358" s="250"/>
      <c r="AH358" s="250"/>
    </row>
    <row r="359" spans="1:34" s="503" customFormat="1" ht="8.1" hidden="1" customHeight="1" x14ac:dyDescent="0.2">
      <c r="B359" s="513"/>
      <c r="C359" s="513"/>
      <c r="D359" s="513"/>
      <c r="E359" s="513"/>
      <c r="F359" s="513"/>
      <c r="G359" s="513"/>
      <c r="H359" s="513"/>
      <c r="I359" s="513"/>
      <c r="J359" s="513"/>
      <c r="K359" s="513"/>
      <c r="L359" s="513"/>
      <c r="M359" s="514"/>
      <c r="N359" s="452"/>
      <c r="S359" s="250"/>
      <c r="T359" s="250"/>
      <c r="U359" s="250"/>
      <c r="V359" s="250"/>
      <c r="W359" s="250"/>
      <c r="X359" s="250"/>
      <c r="Y359" s="250"/>
      <c r="Z359" s="250"/>
      <c r="AA359" s="250"/>
      <c r="AF359" s="250"/>
      <c r="AG359" s="250"/>
      <c r="AH359" s="250"/>
    </row>
    <row r="360" spans="1:34" s="503" customFormat="1" ht="30" hidden="1" customHeight="1" x14ac:dyDescent="0.2">
      <c r="B360" s="1746" t="s">
        <v>4882</v>
      </c>
      <c r="C360" s="1747"/>
      <c r="D360" s="1747"/>
      <c r="E360" s="1747"/>
      <c r="F360" s="1747"/>
      <c r="G360" s="1747"/>
      <c r="H360" s="1747"/>
      <c r="I360" s="1747"/>
      <c r="J360" s="1747"/>
      <c r="K360" s="1747"/>
      <c r="L360" s="1748"/>
      <c r="M360" s="1749" t="str">
        <f>IFERROR(IF(OR(M356="",M357="",M358=""),"",SUM(M356:N358)),"")</f>
        <v/>
      </c>
      <c r="N360" s="1750"/>
      <c r="S360" s="250"/>
      <c r="T360" s="250"/>
      <c r="U360" s="250"/>
      <c r="V360" s="250"/>
      <c r="W360" s="250"/>
      <c r="X360" s="250"/>
      <c r="Y360" s="250"/>
      <c r="Z360" s="250"/>
      <c r="AA360" s="250"/>
      <c r="AF360" s="250"/>
      <c r="AG360" s="250"/>
      <c r="AH360" s="250"/>
    </row>
    <row r="361" spans="1:34" s="503" customFormat="1" ht="8.1" hidden="1" customHeight="1" x14ac:dyDescent="0.2">
      <c r="B361" s="513"/>
      <c r="C361" s="513"/>
      <c r="D361" s="513"/>
      <c r="E361" s="513"/>
      <c r="F361" s="513"/>
      <c r="G361" s="513"/>
      <c r="H361" s="513"/>
      <c r="I361" s="513"/>
      <c r="J361" s="513"/>
      <c r="K361" s="513"/>
      <c r="L361" s="513"/>
      <c r="M361" s="514"/>
      <c r="N361" s="452"/>
      <c r="S361" s="250"/>
      <c r="T361" s="250"/>
      <c r="U361" s="250"/>
      <c r="V361" s="250"/>
      <c r="W361" s="250"/>
      <c r="X361" s="250"/>
      <c r="Y361" s="250"/>
      <c r="Z361" s="250"/>
      <c r="AA361" s="250"/>
      <c r="AF361" s="250"/>
      <c r="AG361" s="250"/>
      <c r="AH361" s="250"/>
    </row>
    <row r="362" spans="1:34" s="503" customFormat="1" ht="30" hidden="1" customHeight="1" x14ac:dyDescent="0.2">
      <c r="B362" s="1746" t="s">
        <v>4884</v>
      </c>
      <c r="C362" s="1747"/>
      <c r="D362" s="1747"/>
      <c r="E362" s="1747"/>
      <c r="F362" s="1747"/>
      <c r="G362" s="1747"/>
      <c r="H362" s="1747"/>
      <c r="I362" s="1747"/>
      <c r="J362" s="1747"/>
      <c r="K362" s="1747"/>
      <c r="L362" s="1748"/>
      <c r="M362" s="1749" t="str">
        <f>IFERROR(IF(OR(M360="",N352=""),"",N352+M360),"")</f>
        <v/>
      </c>
      <c r="N362" s="1750"/>
      <c r="S362" s="250"/>
      <c r="T362" s="250"/>
      <c r="U362" s="250"/>
      <c r="V362" s="250"/>
      <c r="W362" s="250"/>
      <c r="X362" s="250"/>
      <c r="Y362" s="250"/>
      <c r="Z362" s="250"/>
      <c r="AA362" s="250"/>
      <c r="AF362" s="250"/>
      <c r="AG362" s="250"/>
      <c r="AH362" s="250"/>
    </row>
    <row r="363" spans="1:34" s="503" customFormat="1" ht="8.1" hidden="1" customHeight="1" x14ac:dyDescent="0.2">
      <c r="B363" s="94"/>
      <c r="C363" s="94"/>
      <c r="D363" s="94"/>
      <c r="E363" s="94"/>
      <c r="F363" s="94"/>
      <c r="G363" s="94"/>
      <c r="H363" s="94"/>
      <c r="I363" s="94"/>
      <c r="J363" s="94"/>
      <c r="K363" s="94"/>
      <c r="L363" s="94"/>
      <c r="M363" s="516"/>
      <c r="N363" s="516"/>
      <c r="S363" s="250"/>
      <c r="T363" s="250"/>
      <c r="U363" s="250"/>
      <c r="V363" s="250"/>
      <c r="W363" s="250"/>
      <c r="X363" s="250"/>
      <c r="Y363" s="250"/>
      <c r="Z363" s="250"/>
      <c r="AA363" s="250"/>
      <c r="AF363" s="250"/>
      <c r="AG363" s="250"/>
      <c r="AH363" s="250"/>
    </row>
    <row r="364" spans="1:34" s="503" customFormat="1" ht="30" hidden="1" customHeight="1" x14ac:dyDescent="0.2">
      <c r="B364" s="1197" t="s">
        <v>4885</v>
      </c>
      <c r="C364" s="1197"/>
      <c r="D364" s="1197"/>
      <c r="E364" s="1197"/>
      <c r="F364" s="1197"/>
      <c r="G364" s="1197"/>
      <c r="H364" s="1197"/>
      <c r="I364" s="1197"/>
      <c r="J364" s="1197"/>
      <c r="K364" s="1197"/>
      <c r="L364" s="1197"/>
      <c r="M364" s="1445" t="s">
        <v>4881</v>
      </c>
      <c r="N364" s="1446"/>
      <c r="S364" s="250"/>
      <c r="T364" s="250"/>
      <c r="U364" s="250"/>
      <c r="V364" s="250"/>
      <c r="W364" s="250"/>
      <c r="X364" s="250"/>
      <c r="Y364" s="250"/>
      <c r="Z364" s="250"/>
      <c r="AA364" s="250"/>
      <c r="AF364" s="250"/>
      <c r="AG364" s="250"/>
      <c r="AH364" s="250"/>
    </row>
    <row r="365" spans="1:34" s="503" customFormat="1" ht="8.1" hidden="1" customHeight="1" x14ac:dyDescent="0.2">
      <c r="B365" s="517"/>
      <c r="C365" s="517"/>
      <c r="D365" s="517"/>
      <c r="E365" s="517"/>
      <c r="F365" s="517"/>
      <c r="G365" s="517"/>
      <c r="H365" s="517"/>
      <c r="I365" s="517"/>
      <c r="J365" s="517"/>
      <c r="K365" s="517"/>
      <c r="L365" s="517"/>
      <c r="M365" s="518"/>
      <c r="N365" s="518"/>
      <c r="S365" s="250"/>
      <c r="T365" s="250"/>
      <c r="U365" s="250"/>
      <c r="V365" s="250"/>
      <c r="W365" s="250"/>
      <c r="X365" s="250"/>
      <c r="Y365" s="250"/>
      <c r="Z365" s="250"/>
      <c r="AA365" s="250"/>
      <c r="AF365" s="250"/>
      <c r="AG365" s="250"/>
      <c r="AH365" s="250"/>
    </row>
    <row r="366" spans="1:34" s="503" customFormat="1" ht="30" hidden="1" customHeight="1" x14ac:dyDescent="0.2">
      <c r="B366" s="1751" t="s">
        <v>113</v>
      </c>
      <c r="C366" s="1752"/>
      <c r="D366" s="1752"/>
      <c r="E366" s="1752"/>
      <c r="F366" s="1752"/>
      <c r="G366" s="1752"/>
      <c r="H366" s="1752"/>
      <c r="I366" s="1752"/>
      <c r="J366" s="1752"/>
      <c r="K366" s="1752"/>
      <c r="L366" s="1753"/>
      <c r="M366" s="1754"/>
      <c r="N366" s="1755"/>
      <c r="P366" s="465"/>
      <c r="S366" s="250"/>
      <c r="T366" s="250"/>
      <c r="U366" s="250"/>
      <c r="V366" s="250"/>
      <c r="W366" s="250"/>
      <c r="X366" s="250"/>
      <c r="Y366" s="250"/>
      <c r="Z366" s="250"/>
      <c r="AA366" s="250"/>
      <c r="AF366" s="250"/>
      <c r="AG366" s="250"/>
      <c r="AH366" s="250"/>
    </row>
    <row r="367" spans="1:34" s="503" customFormat="1" ht="30" hidden="1" customHeight="1" x14ac:dyDescent="0.2">
      <c r="B367" s="1751" t="s">
        <v>4886</v>
      </c>
      <c r="C367" s="1752"/>
      <c r="D367" s="1752"/>
      <c r="E367" s="1752"/>
      <c r="F367" s="1752"/>
      <c r="G367" s="1752"/>
      <c r="H367" s="1752"/>
      <c r="I367" s="1752"/>
      <c r="J367" s="1752"/>
      <c r="K367" s="1752"/>
      <c r="L367" s="1753"/>
      <c r="M367" s="1754"/>
      <c r="N367" s="1755"/>
      <c r="S367" s="250"/>
      <c r="T367" s="250"/>
      <c r="U367" s="250"/>
      <c r="V367" s="250"/>
      <c r="W367" s="250"/>
      <c r="X367" s="250"/>
      <c r="Y367" s="250"/>
      <c r="Z367" s="250"/>
      <c r="AA367" s="250"/>
      <c r="AF367" s="250"/>
      <c r="AG367" s="250"/>
      <c r="AH367" s="250"/>
    </row>
    <row r="368" spans="1:34" s="503" customFormat="1" ht="30" hidden="1" customHeight="1" x14ac:dyDescent="0.2">
      <c r="B368" s="1751" t="s">
        <v>114</v>
      </c>
      <c r="C368" s="1752"/>
      <c r="D368" s="1752"/>
      <c r="E368" s="1752"/>
      <c r="F368" s="1752"/>
      <c r="G368" s="1752"/>
      <c r="H368" s="1752"/>
      <c r="I368" s="1752"/>
      <c r="J368" s="1752"/>
      <c r="K368" s="1752"/>
      <c r="L368" s="1753"/>
      <c r="M368" s="1754"/>
      <c r="N368" s="1755"/>
      <c r="S368" s="250"/>
      <c r="T368" s="250"/>
      <c r="U368" s="250"/>
      <c r="V368" s="250"/>
      <c r="W368" s="250"/>
      <c r="X368" s="250"/>
      <c r="Y368" s="250"/>
      <c r="Z368" s="250"/>
      <c r="AA368" s="250"/>
      <c r="AF368" s="250"/>
      <c r="AG368" s="250"/>
      <c r="AH368" s="250"/>
    </row>
    <row r="369" spans="1:34" s="503" customFormat="1" ht="30" hidden="1" customHeight="1" x14ac:dyDescent="0.2">
      <c r="B369" s="1751" t="s">
        <v>115</v>
      </c>
      <c r="C369" s="1752"/>
      <c r="D369" s="1752"/>
      <c r="E369" s="1752"/>
      <c r="F369" s="1752"/>
      <c r="G369" s="1752"/>
      <c r="H369" s="1752"/>
      <c r="I369" s="1752"/>
      <c r="J369" s="1752"/>
      <c r="K369" s="1752"/>
      <c r="L369" s="1753"/>
      <c r="M369" s="1754"/>
      <c r="N369" s="1755"/>
      <c r="S369" s="250"/>
      <c r="T369" s="250"/>
      <c r="U369" s="250"/>
      <c r="V369" s="250"/>
      <c r="W369" s="250"/>
      <c r="X369" s="250"/>
      <c r="Y369" s="250"/>
      <c r="Z369" s="250"/>
      <c r="AA369" s="250"/>
      <c r="AF369" s="250"/>
      <c r="AG369" s="250"/>
      <c r="AH369" s="250"/>
    </row>
    <row r="370" spans="1:34" s="503" customFormat="1" ht="8.1" hidden="1" customHeight="1" x14ac:dyDescent="0.2">
      <c r="B370" s="519"/>
      <c r="C370" s="519"/>
      <c r="D370" s="519"/>
      <c r="E370" s="519"/>
      <c r="F370" s="519"/>
      <c r="G370" s="519"/>
      <c r="H370" s="519"/>
      <c r="I370" s="519"/>
      <c r="J370" s="519"/>
      <c r="K370" s="519"/>
      <c r="L370" s="519"/>
      <c r="M370" s="520"/>
      <c r="N370" s="520"/>
      <c r="S370" s="250"/>
      <c r="T370" s="250"/>
      <c r="U370" s="250"/>
      <c r="V370" s="250"/>
      <c r="W370" s="250"/>
      <c r="X370" s="250"/>
      <c r="Y370" s="250"/>
      <c r="Z370" s="250"/>
      <c r="AA370" s="250"/>
      <c r="AF370" s="250"/>
      <c r="AG370" s="250"/>
      <c r="AH370" s="250"/>
    </row>
    <row r="371" spans="1:34" s="503" customFormat="1" ht="30" hidden="1" customHeight="1" x14ac:dyDescent="0.2">
      <c r="B371" s="1746" t="s">
        <v>4887</v>
      </c>
      <c r="C371" s="1747"/>
      <c r="D371" s="1747"/>
      <c r="E371" s="1747"/>
      <c r="F371" s="1747"/>
      <c r="G371" s="1747"/>
      <c r="H371" s="1747"/>
      <c r="I371" s="1747"/>
      <c r="J371" s="1747"/>
      <c r="K371" s="1747"/>
      <c r="L371" s="1747"/>
      <c r="M371" s="1749" t="str">
        <f>IFERROR(IF(OR(M366="",M367="",M368="",M369=""),"",SUM(M366:N369)),"")</f>
        <v/>
      </c>
      <c r="N371" s="1750"/>
      <c r="S371" s="250"/>
      <c r="T371" s="250"/>
      <c r="U371" s="250"/>
      <c r="V371" s="250"/>
      <c r="W371" s="250"/>
      <c r="X371" s="250"/>
      <c r="Y371" s="250"/>
      <c r="Z371" s="250"/>
      <c r="AA371" s="250"/>
      <c r="AF371" s="250"/>
      <c r="AG371" s="250"/>
      <c r="AH371" s="250"/>
    </row>
    <row r="372" spans="1:34" s="503" customFormat="1" ht="8.1" hidden="1" customHeight="1" x14ac:dyDescent="0.2">
      <c r="B372" s="519"/>
      <c r="C372" s="519"/>
      <c r="D372" s="519"/>
      <c r="E372" s="519"/>
      <c r="F372" s="519"/>
      <c r="G372" s="519"/>
      <c r="H372" s="519"/>
      <c r="I372" s="519"/>
      <c r="J372" s="519"/>
      <c r="K372" s="519"/>
      <c r="L372" s="519"/>
      <c r="M372" s="520"/>
      <c r="N372" s="520"/>
      <c r="S372" s="250"/>
      <c r="T372" s="250"/>
      <c r="U372" s="250"/>
      <c r="V372" s="250"/>
      <c r="W372" s="250"/>
      <c r="X372" s="250"/>
      <c r="Y372" s="250"/>
      <c r="Z372" s="250"/>
      <c r="AA372" s="250"/>
      <c r="AF372" s="250"/>
      <c r="AG372" s="250"/>
      <c r="AH372" s="250"/>
    </row>
    <row r="373" spans="1:34" s="503" customFormat="1" ht="30" hidden="1" customHeight="1" x14ac:dyDescent="0.2">
      <c r="B373" s="1746" t="s">
        <v>4888</v>
      </c>
      <c r="C373" s="1747"/>
      <c r="D373" s="1747"/>
      <c r="E373" s="1747"/>
      <c r="F373" s="1747"/>
      <c r="G373" s="1747"/>
      <c r="H373" s="1747"/>
      <c r="I373" s="1747"/>
      <c r="J373" s="1747"/>
      <c r="K373" s="1747"/>
      <c r="L373" s="1747"/>
      <c r="M373" s="1749" t="str">
        <f>IF(OR(M371="",M362="",M317=""),"",M317+M362+M371)</f>
        <v/>
      </c>
      <c r="N373" s="1750"/>
      <c r="S373" s="250"/>
      <c r="T373" s="250"/>
      <c r="U373" s="250"/>
      <c r="V373" s="250"/>
      <c r="W373" s="250"/>
      <c r="X373" s="250"/>
      <c r="Y373" s="250"/>
      <c r="Z373" s="250"/>
      <c r="AA373" s="250"/>
      <c r="AF373" s="250"/>
      <c r="AG373" s="250"/>
      <c r="AH373" s="250"/>
    </row>
    <row r="374" spans="1:34" s="503" customFormat="1" ht="20.100000000000001" hidden="1" customHeight="1" x14ac:dyDescent="0.2">
      <c r="B374" s="75"/>
      <c r="C374" s="56"/>
      <c r="D374" s="56"/>
      <c r="E374" s="56"/>
      <c r="F374" s="56"/>
      <c r="G374" s="56"/>
      <c r="H374" s="56"/>
      <c r="I374" s="56"/>
      <c r="J374" s="56"/>
      <c r="K374" s="56"/>
      <c r="L374" s="56"/>
      <c r="M374" s="56"/>
      <c r="S374" s="250"/>
      <c r="T374" s="250"/>
      <c r="U374" s="250"/>
      <c r="V374" s="250"/>
      <c r="W374" s="250"/>
      <c r="X374" s="250"/>
      <c r="Y374" s="250"/>
      <c r="Z374" s="250"/>
      <c r="AF374" s="250"/>
      <c r="AG374" s="250"/>
      <c r="AH374" s="250"/>
    </row>
    <row r="375" spans="1:34" s="69" customFormat="1" ht="34.5" hidden="1" customHeight="1" x14ac:dyDescent="0.25">
      <c r="B375" s="493" t="s">
        <v>399</v>
      </c>
      <c r="C375" s="493"/>
      <c r="D375" s="493"/>
      <c r="E375" s="493"/>
      <c r="F375" s="493"/>
      <c r="G375" s="253"/>
      <c r="H375" s="253"/>
      <c r="I375" s="253"/>
      <c r="J375" s="253"/>
      <c r="K375" s="253"/>
      <c r="L375" s="253"/>
      <c r="M375" s="253"/>
      <c r="S375" s="425"/>
      <c r="T375" s="425"/>
      <c r="U375" s="425"/>
      <c r="V375" s="425"/>
      <c r="W375" s="425"/>
      <c r="X375" s="425"/>
      <c r="Y375" s="425"/>
      <c r="Z375" s="425"/>
      <c r="AF375" s="425"/>
      <c r="AG375" s="425"/>
      <c r="AH375" s="425"/>
    </row>
    <row r="376" spans="1:34" s="69" customFormat="1" ht="34.5" hidden="1" customHeight="1" x14ac:dyDescent="0.25">
      <c r="B376" s="125" t="s">
        <v>4771</v>
      </c>
      <c r="C376" s="509"/>
      <c r="D376" s="509"/>
      <c r="E376" s="509"/>
      <c r="F376" s="509"/>
      <c r="G376" s="253"/>
      <c r="H376" s="253"/>
      <c r="I376" s="253"/>
      <c r="J376" s="253"/>
      <c r="K376" s="253"/>
      <c r="L376" s="253"/>
      <c r="M376" s="253"/>
      <c r="S376" s="425"/>
      <c r="T376" s="425"/>
      <c r="U376" s="425"/>
      <c r="V376" s="425"/>
      <c r="W376" s="425"/>
      <c r="X376" s="425"/>
      <c r="Y376" s="425"/>
      <c r="Z376" s="425"/>
      <c r="AF376" s="425"/>
      <c r="AG376" s="425"/>
      <c r="AH376" s="425"/>
    </row>
    <row r="377" spans="1:34" s="91" customFormat="1" ht="17.45" hidden="1" customHeight="1" x14ac:dyDescent="0.2">
      <c r="B377" s="1196" t="s">
        <v>116</v>
      </c>
      <c r="C377" s="1196"/>
      <c r="D377" s="1196" t="s">
        <v>102</v>
      </c>
      <c r="E377" s="1196" t="s">
        <v>109</v>
      </c>
      <c r="F377" s="1767" t="s">
        <v>117</v>
      </c>
      <c r="G377" s="1768"/>
      <c r="H377" s="1768"/>
      <c r="I377" s="1768"/>
      <c r="J377" s="1768"/>
      <c r="K377" s="1768"/>
      <c r="L377" s="1768"/>
      <c r="M377" s="1768"/>
      <c r="N377" s="1768"/>
      <c r="O377" s="1769"/>
      <c r="S377" s="426"/>
      <c r="T377" s="426"/>
      <c r="U377" s="426"/>
      <c r="V377" s="426"/>
      <c r="W377" s="426"/>
      <c r="X377" s="426"/>
      <c r="Y377" s="426"/>
      <c r="Z377" s="426"/>
      <c r="AF377" s="426"/>
      <c r="AG377" s="426"/>
      <c r="AH377" s="426"/>
    </row>
    <row r="378" spans="1:34" s="91" customFormat="1" ht="17.45" hidden="1" customHeight="1" x14ac:dyDescent="0.2">
      <c r="A378" s="69"/>
      <c r="B378" s="1196"/>
      <c r="C378" s="1196"/>
      <c r="D378" s="1196"/>
      <c r="E378" s="1196"/>
      <c r="F378" s="506">
        <v>1</v>
      </c>
      <c r="G378" s="267">
        <v>2</v>
      </c>
      <c r="H378" s="267">
        <v>3</v>
      </c>
      <c r="I378" s="267">
        <v>4</v>
      </c>
      <c r="J378" s="267">
        <v>5</v>
      </c>
      <c r="K378" s="267">
        <v>6</v>
      </c>
      <c r="L378" s="267">
        <v>7</v>
      </c>
      <c r="M378" s="267">
        <v>8</v>
      </c>
      <c r="N378" s="267">
        <v>9</v>
      </c>
      <c r="O378" s="267">
        <v>10</v>
      </c>
      <c r="S378" s="426"/>
      <c r="T378" s="426"/>
      <c r="U378" s="426"/>
      <c r="V378" s="426"/>
      <c r="W378" s="426"/>
      <c r="X378" s="426"/>
      <c r="Y378" s="426"/>
      <c r="Z378" s="426"/>
      <c r="AF378" s="426"/>
      <c r="AG378" s="426"/>
      <c r="AH378" s="426"/>
    </row>
    <row r="379" spans="1:34" s="56" customFormat="1" ht="5.0999999999999996" hidden="1" customHeight="1" x14ac:dyDescent="0.2">
      <c r="A379" s="91"/>
      <c r="B379" s="268"/>
      <c r="C379" s="268"/>
      <c r="D379" s="268"/>
      <c r="E379" s="268"/>
      <c r="F379" s="268"/>
      <c r="G379" s="268"/>
      <c r="H379" s="268"/>
      <c r="I379" s="268"/>
      <c r="J379" s="268"/>
      <c r="K379" s="268"/>
      <c r="L379" s="268"/>
      <c r="M379" s="268"/>
      <c r="N379" s="268"/>
      <c r="O379" s="268"/>
      <c r="S379" s="427"/>
      <c r="T379" s="427"/>
      <c r="U379" s="427"/>
      <c r="V379" s="427"/>
      <c r="W379" s="427"/>
      <c r="X379" s="427"/>
      <c r="Y379" s="427"/>
      <c r="Z379" s="427"/>
      <c r="AF379" s="427"/>
      <c r="AG379" s="427"/>
      <c r="AH379" s="427"/>
    </row>
    <row r="380" spans="1:34" s="503" customFormat="1" ht="30.75" hidden="1" customHeight="1" x14ac:dyDescent="0.2">
      <c r="A380" s="69"/>
      <c r="B380" s="1565"/>
      <c r="C380" s="1567"/>
      <c r="D380" s="457" t="str">
        <f>IFERROR(INDEX('Base de datos'!$Y$63:$Z$68,MATCH('COSTO TOTAL'!B380,Infraestructura,0),1),"")</f>
        <v/>
      </c>
      <c r="E380" s="521"/>
      <c r="F380" s="522"/>
      <c r="G380" s="522"/>
      <c r="H380" s="522"/>
      <c r="I380" s="522"/>
      <c r="J380" s="522"/>
      <c r="K380" s="522"/>
      <c r="L380" s="522"/>
      <c r="M380" s="522"/>
      <c r="N380" s="522"/>
      <c r="O380" s="522"/>
      <c r="S380" s="250"/>
      <c r="T380" s="250"/>
      <c r="U380" s="250"/>
      <c r="V380" s="250"/>
      <c r="W380" s="250"/>
      <c r="X380" s="250"/>
      <c r="Y380" s="250"/>
      <c r="Z380" s="250"/>
      <c r="AF380" s="250"/>
      <c r="AG380" s="250"/>
      <c r="AH380" s="250"/>
    </row>
    <row r="381" spans="1:34" s="503" customFormat="1" ht="30.75" hidden="1" customHeight="1" x14ac:dyDescent="0.2">
      <c r="A381" s="91"/>
      <c r="B381" s="1565"/>
      <c r="C381" s="1567"/>
      <c r="D381" s="457" t="str">
        <f>IFERROR(INDEX('Base de datos'!$Y$63:$Z$68,MATCH('COSTO TOTAL'!B381,Infraestructura,0),1),"")</f>
        <v/>
      </c>
      <c r="E381" s="521"/>
      <c r="F381" s="522"/>
      <c r="G381" s="522"/>
      <c r="H381" s="522"/>
      <c r="I381" s="522"/>
      <c r="J381" s="522"/>
      <c r="K381" s="522"/>
      <c r="L381" s="522"/>
      <c r="M381" s="522"/>
      <c r="N381" s="522"/>
      <c r="O381" s="522"/>
      <c r="S381" s="250"/>
      <c r="T381" s="250"/>
      <c r="U381" s="250"/>
      <c r="V381" s="250"/>
      <c r="W381" s="250"/>
      <c r="X381" s="250"/>
      <c r="Y381" s="250"/>
      <c r="Z381" s="250"/>
      <c r="AF381" s="250"/>
      <c r="AG381" s="250"/>
      <c r="AH381" s="250"/>
    </row>
    <row r="382" spans="1:34" s="503" customFormat="1" ht="30.75" hidden="1" customHeight="1" x14ac:dyDescent="0.2">
      <c r="A382" s="69"/>
      <c r="B382" s="1565"/>
      <c r="C382" s="1567"/>
      <c r="D382" s="457" t="str">
        <f>IFERROR(INDEX('Base de datos'!$Y$63:$Z$68,MATCH('COSTO TOTAL'!B382,Infraestructura,0),1),"")</f>
        <v/>
      </c>
      <c r="E382" s="521"/>
      <c r="F382" s="522"/>
      <c r="G382" s="522"/>
      <c r="H382" s="522"/>
      <c r="I382" s="522"/>
      <c r="J382" s="522"/>
      <c r="K382" s="522"/>
      <c r="L382" s="522"/>
      <c r="M382" s="522"/>
      <c r="N382" s="522"/>
      <c r="O382" s="522"/>
      <c r="S382" s="250"/>
      <c r="T382" s="250"/>
      <c r="U382" s="250"/>
      <c r="V382" s="250"/>
      <c r="W382" s="250"/>
      <c r="X382" s="250"/>
      <c r="Y382" s="250"/>
      <c r="Z382" s="250"/>
      <c r="AF382" s="250"/>
      <c r="AG382" s="250"/>
      <c r="AH382" s="250"/>
    </row>
    <row r="383" spans="1:34" s="503" customFormat="1" ht="5.0999999999999996" hidden="1" customHeight="1" x14ac:dyDescent="0.2">
      <c r="A383" s="91"/>
      <c r="B383" s="419"/>
      <c r="C383" s="419"/>
      <c r="D383" s="80"/>
      <c r="E383" s="75"/>
      <c r="F383" s="523"/>
      <c r="G383" s="523"/>
      <c r="H383" s="523"/>
      <c r="I383" s="523"/>
      <c r="J383" s="523"/>
      <c r="K383" s="523"/>
      <c r="L383" s="523"/>
      <c r="M383" s="523"/>
      <c r="N383" s="523"/>
      <c r="O383" s="523"/>
      <c r="S383" s="250"/>
      <c r="T383" s="250"/>
      <c r="U383" s="250"/>
      <c r="V383" s="250"/>
      <c r="W383" s="250"/>
      <c r="X383" s="250"/>
      <c r="Y383" s="250"/>
      <c r="Z383" s="250"/>
      <c r="AF383" s="250"/>
      <c r="AG383" s="250"/>
      <c r="AH383" s="250"/>
    </row>
    <row r="384" spans="1:34" s="503" customFormat="1" ht="30.75" hidden="1" customHeight="1" x14ac:dyDescent="0.2">
      <c r="B384" s="125" t="s">
        <v>4772</v>
      </c>
      <c r="C384" s="419"/>
      <c r="D384" s="80"/>
      <c r="E384" s="75"/>
      <c r="F384" s="523"/>
      <c r="G384" s="523"/>
      <c r="H384" s="523"/>
      <c r="I384" s="523"/>
      <c r="J384" s="523"/>
      <c r="K384" s="523"/>
      <c r="L384" s="523"/>
      <c r="M384" s="523"/>
      <c r="N384" s="523"/>
      <c r="O384" s="523"/>
      <c r="S384" s="250"/>
      <c r="T384" s="250"/>
      <c r="U384" s="250"/>
      <c r="V384" s="250"/>
      <c r="W384" s="250"/>
      <c r="X384" s="250"/>
      <c r="Y384" s="250"/>
      <c r="Z384" s="250"/>
      <c r="AF384" s="250"/>
      <c r="AG384" s="250"/>
      <c r="AH384" s="250"/>
    </row>
    <row r="385" spans="2:34" s="503" customFormat="1" ht="17.45" hidden="1" customHeight="1" x14ac:dyDescent="0.2">
      <c r="B385" s="1196" t="s">
        <v>116</v>
      </c>
      <c r="C385" s="1196"/>
      <c r="D385" s="1196" t="s">
        <v>102</v>
      </c>
      <c r="E385" s="1196" t="s">
        <v>109</v>
      </c>
      <c r="F385" s="1767" t="s">
        <v>117</v>
      </c>
      <c r="G385" s="1768"/>
      <c r="H385" s="1768"/>
      <c r="I385" s="1768"/>
      <c r="J385" s="1768"/>
      <c r="K385" s="1768"/>
      <c r="L385" s="1768"/>
      <c r="M385" s="1768"/>
      <c r="N385" s="1768"/>
      <c r="O385" s="1769"/>
      <c r="S385" s="250"/>
      <c r="T385" s="250"/>
      <c r="U385" s="250"/>
      <c r="V385" s="250"/>
      <c r="W385" s="250"/>
      <c r="X385" s="250"/>
      <c r="Y385" s="250"/>
      <c r="Z385" s="250"/>
      <c r="AF385" s="250"/>
      <c r="AG385" s="250"/>
      <c r="AH385" s="250"/>
    </row>
    <row r="386" spans="2:34" s="503" customFormat="1" ht="17.45" hidden="1" customHeight="1" x14ac:dyDescent="0.2">
      <c r="B386" s="1196"/>
      <c r="C386" s="1196"/>
      <c r="D386" s="1196"/>
      <c r="E386" s="1196"/>
      <c r="F386" s="506">
        <v>1</v>
      </c>
      <c r="G386" s="267">
        <v>2</v>
      </c>
      <c r="H386" s="267">
        <v>3</v>
      </c>
      <c r="I386" s="267">
        <v>4</v>
      </c>
      <c r="J386" s="267">
        <v>5</v>
      </c>
      <c r="K386" s="267">
        <v>6</v>
      </c>
      <c r="L386" s="267">
        <v>7</v>
      </c>
      <c r="M386" s="267">
        <v>8</v>
      </c>
      <c r="N386" s="267">
        <v>9</v>
      </c>
      <c r="O386" s="267">
        <v>10</v>
      </c>
      <c r="S386" s="250"/>
      <c r="T386" s="250"/>
      <c r="U386" s="250"/>
      <c r="V386" s="250"/>
      <c r="W386" s="250"/>
      <c r="X386" s="250"/>
      <c r="Y386" s="250"/>
      <c r="Z386" s="250"/>
      <c r="AF386" s="250"/>
      <c r="AG386" s="250"/>
      <c r="AH386" s="250"/>
    </row>
    <row r="387" spans="2:34" s="503" customFormat="1" ht="5.0999999999999996" hidden="1" customHeight="1" x14ac:dyDescent="0.2">
      <c r="B387" s="268"/>
      <c r="C387" s="268"/>
      <c r="D387" s="268"/>
      <c r="E387" s="268"/>
      <c r="F387" s="268"/>
      <c r="G387" s="268"/>
      <c r="H387" s="268"/>
      <c r="I387" s="268"/>
      <c r="J387" s="268"/>
      <c r="K387" s="268"/>
      <c r="L387" s="268"/>
      <c r="M387" s="268"/>
      <c r="N387" s="268"/>
      <c r="O387" s="268"/>
      <c r="S387" s="250"/>
      <c r="T387" s="250"/>
      <c r="U387" s="250"/>
      <c r="V387" s="250"/>
      <c r="W387" s="250"/>
      <c r="X387" s="250"/>
      <c r="Y387" s="250"/>
      <c r="Z387" s="250"/>
      <c r="AF387" s="250"/>
      <c r="AG387" s="250"/>
      <c r="AH387" s="250"/>
    </row>
    <row r="388" spans="2:34" s="503" customFormat="1" ht="30.75" hidden="1" customHeight="1" x14ac:dyDescent="0.2">
      <c r="B388" s="1565"/>
      <c r="C388" s="1567"/>
      <c r="D388" s="457" t="str">
        <f>IFERROR(INDEX('Base de datos'!$Y$63:$Z$68,MATCH('COSTO TOTAL'!B388,Infraestructura,0),1),"")</f>
        <v/>
      </c>
      <c r="E388" s="521"/>
      <c r="F388" s="522"/>
      <c r="G388" s="522"/>
      <c r="H388" s="522"/>
      <c r="I388" s="522"/>
      <c r="J388" s="522"/>
      <c r="K388" s="522"/>
      <c r="L388" s="522"/>
      <c r="M388" s="522"/>
      <c r="N388" s="522"/>
      <c r="O388" s="522"/>
      <c r="S388" s="250"/>
      <c r="T388" s="250"/>
      <c r="U388" s="250"/>
      <c r="V388" s="250"/>
      <c r="W388" s="250"/>
      <c r="X388" s="250"/>
      <c r="Y388" s="250"/>
      <c r="Z388" s="250"/>
      <c r="AF388" s="250"/>
      <c r="AG388" s="250"/>
      <c r="AH388" s="250"/>
    </row>
    <row r="389" spans="2:34" s="503" customFormat="1" ht="30.75" hidden="1" customHeight="1" x14ac:dyDescent="0.2">
      <c r="B389" s="1565"/>
      <c r="C389" s="1567"/>
      <c r="D389" s="457" t="str">
        <f>IFERROR(INDEX('Base de datos'!$Y$63:$Z$68,MATCH('COSTO TOTAL'!B389,Infraestructura,0),1),"")</f>
        <v/>
      </c>
      <c r="E389" s="521"/>
      <c r="F389" s="522"/>
      <c r="G389" s="522"/>
      <c r="H389" s="522"/>
      <c r="I389" s="522"/>
      <c r="J389" s="522"/>
      <c r="K389" s="522"/>
      <c r="L389" s="522"/>
      <c r="M389" s="522"/>
      <c r="N389" s="522"/>
      <c r="O389" s="522"/>
      <c r="S389" s="250"/>
      <c r="T389" s="250"/>
      <c r="U389" s="250"/>
      <c r="V389" s="250"/>
      <c r="W389" s="250"/>
      <c r="X389" s="250"/>
      <c r="Y389" s="250"/>
      <c r="Z389" s="250"/>
      <c r="AF389" s="250"/>
      <c r="AG389" s="250"/>
      <c r="AH389" s="250"/>
    </row>
    <row r="390" spans="2:34" s="503" customFormat="1" ht="30.75" hidden="1" customHeight="1" x14ac:dyDescent="0.2">
      <c r="B390" s="1565"/>
      <c r="C390" s="1567"/>
      <c r="D390" s="457" t="str">
        <f>IFERROR(INDEX('Base de datos'!$Y$63:$Z$68,MATCH('COSTO TOTAL'!B390,Infraestructura,0),1),"")</f>
        <v/>
      </c>
      <c r="E390" s="521"/>
      <c r="F390" s="522"/>
      <c r="G390" s="522"/>
      <c r="H390" s="522"/>
      <c r="I390" s="522"/>
      <c r="J390" s="522"/>
      <c r="K390" s="522"/>
      <c r="L390" s="522"/>
      <c r="M390" s="522"/>
      <c r="N390" s="522"/>
      <c r="O390" s="522"/>
      <c r="S390" s="250"/>
      <c r="T390" s="250"/>
      <c r="U390" s="250"/>
      <c r="V390" s="250"/>
      <c r="W390" s="250"/>
      <c r="X390" s="250"/>
      <c r="Y390" s="250"/>
      <c r="Z390" s="250"/>
      <c r="AF390" s="250"/>
      <c r="AG390" s="250"/>
      <c r="AH390" s="250"/>
    </row>
    <row r="391" spans="2:34" s="503" customFormat="1" ht="5.0999999999999996" hidden="1" customHeight="1" x14ac:dyDescent="0.2">
      <c r="B391" s="419"/>
      <c r="C391" s="419"/>
      <c r="D391" s="80"/>
      <c r="E391" s="75"/>
      <c r="F391" s="523"/>
      <c r="G391" s="523"/>
      <c r="H391" s="523"/>
      <c r="I391" s="523"/>
      <c r="J391" s="523"/>
      <c r="K391" s="523"/>
      <c r="L391" s="523"/>
      <c r="M391" s="523"/>
      <c r="N391" s="523"/>
      <c r="O391" s="523"/>
      <c r="S391" s="250"/>
      <c r="T391" s="250"/>
      <c r="U391" s="250"/>
      <c r="V391" s="250"/>
      <c r="W391" s="250"/>
      <c r="X391" s="250"/>
      <c r="Y391" s="250"/>
      <c r="Z391" s="250"/>
      <c r="AF391" s="250"/>
      <c r="AG391" s="250"/>
      <c r="AH391" s="250"/>
    </row>
    <row r="392" spans="2:34" s="503" customFormat="1" ht="30.75" hidden="1" customHeight="1" x14ac:dyDescent="0.2">
      <c r="B392" s="125" t="s">
        <v>4774</v>
      </c>
      <c r="C392" s="420"/>
      <c r="D392" s="80"/>
      <c r="E392" s="524"/>
      <c r="F392" s="525"/>
      <c r="G392" s="525"/>
      <c r="H392" s="525"/>
      <c r="I392" s="525"/>
      <c r="J392" s="525"/>
      <c r="K392" s="525"/>
      <c r="L392" s="525"/>
      <c r="M392" s="525"/>
      <c r="N392" s="525"/>
      <c r="O392" s="525"/>
      <c r="S392" s="250"/>
      <c r="T392" s="250"/>
      <c r="U392" s="250"/>
      <c r="V392" s="250"/>
      <c r="W392" s="250"/>
      <c r="X392" s="250"/>
      <c r="Y392" s="250"/>
      <c r="Z392" s="250"/>
      <c r="AF392" s="250"/>
      <c r="AG392" s="250"/>
      <c r="AH392" s="250"/>
    </row>
    <row r="393" spans="2:34" s="503" customFormat="1" ht="17.45" hidden="1" customHeight="1" x14ac:dyDescent="0.2">
      <c r="B393" s="1196" t="s">
        <v>116</v>
      </c>
      <c r="C393" s="1196"/>
      <c r="D393" s="1196" t="s">
        <v>102</v>
      </c>
      <c r="E393" s="1196" t="s">
        <v>109</v>
      </c>
      <c r="F393" s="1767" t="s">
        <v>117</v>
      </c>
      <c r="G393" s="1768"/>
      <c r="H393" s="1768"/>
      <c r="I393" s="1768"/>
      <c r="J393" s="1768"/>
      <c r="K393" s="1768"/>
      <c r="L393" s="1768"/>
      <c r="M393" s="1768"/>
      <c r="N393" s="1768"/>
      <c r="O393" s="1769"/>
      <c r="S393" s="250"/>
      <c r="T393" s="250"/>
      <c r="U393" s="250"/>
      <c r="V393" s="250"/>
      <c r="W393" s="250"/>
      <c r="X393" s="250"/>
      <c r="Y393" s="250"/>
      <c r="Z393" s="250"/>
      <c r="AF393" s="250"/>
      <c r="AG393" s="250"/>
      <c r="AH393" s="250"/>
    </row>
    <row r="394" spans="2:34" s="503" customFormat="1" ht="17.45" hidden="1" customHeight="1" x14ac:dyDescent="0.2">
      <c r="B394" s="1196"/>
      <c r="C394" s="1196"/>
      <c r="D394" s="1196"/>
      <c r="E394" s="1196"/>
      <c r="F394" s="506">
        <v>1</v>
      </c>
      <c r="G394" s="267">
        <v>2</v>
      </c>
      <c r="H394" s="267">
        <v>3</v>
      </c>
      <c r="I394" s="267">
        <v>4</v>
      </c>
      <c r="J394" s="267">
        <v>5</v>
      </c>
      <c r="K394" s="267">
        <v>6</v>
      </c>
      <c r="L394" s="267">
        <v>7</v>
      </c>
      <c r="M394" s="267">
        <v>8</v>
      </c>
      <c r="N394" s="267">
        <v>9</v>
      </c>
      <c r="O394" s="267">
        <v>10</v>
      </c>
      <c r="S394" s="250"/>
      <c r="T394" s="250"/>
      <c r="U394" s="250"/>
      <c r="V394" s="250"/>
      <c r="W394" s="250"/>
      <c r="X394" s="250"/>
      <c r="Y394" s="250"/>
      <c r="Z394" s="250"/>
      <c r="AF394" s="250"/>
      <c r="AG394" s="250"/>
      <c r="AH394" s="250"/>
    </row>
    <row r="395" spans="2:34" s="503" customFormat="1" ht="5.0999999999999996" hidden="1" customHeight="1" x14ac:dyDescent="0.2">
      <c r="B395" s="268"/>
      <c r="C395" s="268"/>
      <c r="D395" s="268"/>
      <c r="E395" s="268"/>
      <c r="F395" s="268"/>
      <c r="G395" s="268"/>
      <c r="H395" s="268"/>
      <c r="I395" s="268"/>
      <c r="J395" s="268"/>
      <c r="K395" s="268"/>
      <c r="L395" s="268"/>
      <c r="M395" s="268"/>
      <c r="N395" s="268"/>
      <c r="O395" s="268"/>
      <c r="S395" s="250"/>
      <c r="T395" s="250"/>
      <c r="U395" s="250"/>
      <c r="V395" s="250"/>
      <c r="W395" s="250"/>
      <c r="X395" s="250"/>
      <c r="Y395" s="250"/>
      <c r="Z395" s="250"/>
      <c r="AF395" s="250"/>
      <c r="AG395" s="250"/>
      <c r="AH395" s="250"/>
    </row>
    <row r="396" spans="2:34" s="503" customFormat="1" ht="30.75" hidden="1" customHeight="1" x14ac:dyDescent="0.2">
      <c r="B396" s="1565"/>
      <c r="C396" s="1567"/>
      <c r="D396" s="457" t="str">
        <f>IFERROR(INDEX('Base de datos'!$Y$63:$Z$68,MATCH('COSTO TOTAL'!B396,Infraestructura,0),1),"")</f>
        <v/>
      </c>
      <c r="E396" s="521"/>
      <c r="F396" s="522"/>
      <c r="G396" s="522"/>
      <c r="H396" s="522"/>
      <c r="I396" s="522"/>
      <c r="J396" s="522"/>
      <c r="K396" s="522"/>
      <c r="L396" s="522"/>
      <c r="M396" s="522"/>
      <c r="N396" s="522"/>
      <c r="O396" s="522"/>
      <c r="S396" s="250"/>
      <c r="T396" s="250"/>
      <c r="U396" s="250"/>
      <c r="V396" s="250"/>
      <c r="W396" s="250"/>
      <c r="X396" s="250"/>
      <c r="Y396" s="250"/>
      <c r="Z396" s="250"/>
      <c r="AF396" s="250"/>
      <c r="AG396" s="250"/>
      <c r="AH396" s="250"/>
    </row>
    <row r="397" spans="2:34" s="503" customFormat="1" ht="30.75" hidden="1" customHeight="1" x14ac:dyDescent="0.2">
      <c r="B397" s="1565"/>
      <c r="C397" s="1567"/>
      <c r="D397" s="457" t="str">
        <f>IFERROR(INDEX('Base de datos'!$Y$63:$Z$68,MATCH('COSTO TOTAL'!B397,Infraestructura,0),1),"")</f>
        <v/>
      </c>
      <c r="E397" s="521"/>
      <c r="F397" s="522"/>
      <c r="G397" s="522"/>
      <c r="H397" s="522"/>
      <c r="I397" s="522"/>
      <c r="J397" s="522"/>
      <c r="K397" s="522"/>
      <c r="L397" s="522"/>
      <c r="M397" s="522"/>
      <c r="N397" s="522"/>
      <c r="O397" s="522"/>
      <c r="S397" s="250"/>
      <c r="T397" s="250"/>
      <c r="U397" s="250"/>
      <c r="V397" s="250"/>
      <c r="W397" s="250"/>
      <c r="X397" s="250"/>
      <c r="Y397" s="250"/>
      <c r="Z397" s="250"/>
      <c r="AF397" s="250"/>
      <c r="AG397" s="250"/>
      <c r="AH397" s="250"/>
    </row>
    <row r="398" spans="2:34" s="503" customFormat="1" ht="30.75" hidden="1" customHeight="1" x14ac:dyDescent="0.2">
      <c r="B398" s="1565"/>
      <c r="C398" s="1567"/>
      <c r="D398" s="457" t="str">
        <f>IFERROR(INDEX('Base de datos'!$Y$63:$Z$68,MATCH('COSTO TOTAL'!B398,Infraestructura,0),1),"")</f>
        <v/>
      </c>
      <c r="E398" s="521"/>
      <c r="F398" s="522"/>
      <c r="G398" s="522"/>
      <c r="H398" s="522"/>
      <c r="I398" s="522"/>
      <c r="J398" s="522"/>
      <c r="K398" s="522"/>
      <c r="L398" s="522"/>
      <c r="M398" s="522"/>
      <c r="N398" s="522"/>
      <c r="O398" s="522"/>
      <c r="S398" s="250"/>
      <c r="T398" s="250"/>
      <c r="U398" s="250"/>
      <c r="V398" s="250"/>
      <c r="W398" s="250"/>
      <c r="X398" s="250"/>
      <c r="Y398" s="250"/>
      <c r="Z398" s="250"/>
      <c r="AF398" s="250"/>
      <c r="AG398" s="250"/>
      <c r="AH398" s="250"/>
    </row>
    <row r="399" spans="2:34" s="503" customFormat="1" ht="5.0999999999999996" hidden="1" customHeight="1" x14ac:dyDescent="0.2">
      <c r="B399" s="419"/>
      <c r="C399" s="419"/>
      <c r="D399" s="80"/>
      <c r="E399" s="75"/>
      <c r="F399" s="523"/>
      <c r="G399" s="523"/>
      <c r="H399" s="523"/>
      <c r="I399" s="523"/>
      <c r="J399" s="523"/>
      <c r="K399" s="523"/>
      <c r="L399" s="523"/>
      <c r="M399" s="523"/>
      <c r="N399" s="523"/>
      <c r="O399" s="523"/>
      <c r="S399" s="250"/>
      <c r="T399" s="250"/>
      <c r="U399" s="250"/>
      <c r="V399" s="250"/>
      <c r="W399" s="250"/>
      <c r="X399" s="250"/>
      <c r="Y399" s="250"/>
      <c r="Z399" s="250"/>
      <c r="AF399" s="250"/>
      <c r="AG399" s="250"/>
      <c r="AH399" s="250"/>
    </row>
    <row r="400" spans="2:34" s="503" customFormat="1" ht="30.75" hidden="1" customHeight="1" x14ac:dyDescent="0.2">
      <c r="B400" s="125" t="s">
        <v>4773</v>
      </c>
      <c r="C400" s="419"/>
      <c r="D400" s="80"/>
      <c r="E400" s="75"/>
      <c r="F400" s="523"/>
      <c r="G400" s="523"/>
      <c r="H400" s="523"/>
      <c r="I400" s="523"/>
      <c r="J400" s="523"/>
      <c r="K400" s="523"/>
      <c r="L400" s="523"/>
      <c r="M400" s="523"/>
      <c r="N400" s="523"/>
      <c r="O400" s="523"/>
      <c r="S400" s="250"/>
      <c r="T400" s="250"/>
      <c r="U400" s="250"/>
      <c r="V400" s="250"/>
      <c r="W400" s="250"/>
      <c r="X400" s="250"/>
      <c r="Y400" s="250"/>
      <c r="Z400" s="250"/>
      <c r="AF400" s="250"/>
      <c r="AG400" s="250"/>
      <c r="AH400" s="250"/>
    </row>
    <row r="401" spans="1:34" s="503" customFormat="1" ht="17.45" hidden="1" customHeight="1" x14ac:dyDescent="0.2">
      <c r="B401" s="1196" t="s">
        <v>116</v>
      </c>
      <c r="C401" s="1196"/>
      <c r="D401" s="1196" t="s">
        <v>102</v>
      </c>
      <c r="E401" s="1196" t="s">
        <v>109</v>
      </c>
      <c r="F401" s="1767" t="s">
        <v>117</v>
      </c>
      <c r="G401" s="1768"/>
      <c r="H401" s="1768"/>
      <c r="I401" s="1768"/>
      <c r="J401" s="1768"/>
      <c r="K401" s="1768"/>
      <c r="L401" s="1768"/>
      <c r="M401" s="1768"/>
      <c r="N401" s="1768"/>
      <c r="O401" s="1769"/>
      <c r="S401" s="250"/>
      <c r="T401" s="250"/>
      <c r="U401" s="250"/>
      <c r="V401" s="250"/>
      <c r="W401" s="250"/>
      <c r="X401" s="250"/>
      <c r="Y401" s="250"/>
      <c r="Z401" s="250"/>
      <c r="AF401" s="250"/>
      <c r="AG401" s="250"/>
      <c r="AH401" s="250"/>
    </row>
    <row r="402" spans="1:34" s="503" customFormat="1" ht="17.45" hidden="1" customHeight="1" x14ac:dyDescent="0.2">
      <c r="B402" s="1196"/>
      <c r="C402" s="1196"/>
      <c r="D402" s="1196"/>
      <c r="E402" s="1196"/>
      <c r="F402" s="506">
        <v>1</v>
      </c>
      <c r="G402" s="267">
        <v>2</v>
      </c>
      <c r="H402" s="267">
        <v>3</v>
      </c>
      <c r="I402" s="267">
        <v>4</v>
      </c>
      <c r="J402" s="267">
        <v>5</v>
      </c>
      <c r="K402" s="267">
        <v>6</v>
      </c>
      <c r="L402" s="267">
        <v>7</v>
      </c>
      <c r="M402" s="267">
        <v>8</v>
      </c>
      <c r="N402" s="267">
        <v>9</v>
      </c>
      <c r="O402" s="267">
        <v>10</v>
      </c>
      <c r="S402" s="250"/>
      <c r="T402" s="250"/>
      <c r="U402" s="250"/>
      <c r="V402" s="250"/>
      <c r="W402" s="250"/>
      <c r="X402" s="250"/>
      <c r="Y402" s="250"/>
      <c r="Z402" s="250"/>
      <c r="AF402" s="250"/>
      <c r="AG402" s="250"/>
      <c r="AH402" s="250"/>
    </row>
    <row r="403" spans="1:34" s="503" customFormat="1" ht="5.0999999999999996" hidden="1" customHeight="1" x14ac:dyDescent="0.2">
      <c r="B403" s="268"/>
      <c r="C403" s="268"/>
      <c r="D403" s="268"/>
      <c r="E403" s="268"/>
      <c r="F403" s="268"/>
      <c r="G403" s="268"/>
      <c r="H403" s="268"/>
      <c r="I403" s="268"/>
      <c r="J403" s="268"/>
      <c r="K403" s="268"/>
      <c r="L403" s="268"/>
      <c r="M403" s="268"/>
      <c r="N403" s="268"/>
      <c r="O403" s="268"/>
      <c r="S403" s="250"/>
      <c r="T403" s="250"/>
      <c r="U403" s="250"/>
      <c r="V403" s="250"/>
      <c r="W403" s="250"/>
      <c r="X403" s="250"/>
      <c r="Y403" s="250"/>
      <c r="Z403" s="250"/>
      <c r="AF403" s="250"/>
      <c r="AG403" s="250"/>
      <c r="AH403" s="250"/>
    </row>
    <row r="404" spans="1:34" s="503" customFormat="1" ht="30.75" hidden="1" customHeight="1" x14ac:dyDescent="0.2">
      <c r="B404" s="1565"/>
      <c r="C404" s="1567"/>
      <c r="D404" s="457" t="str">
        <f>IFERROR(INDEX('Base de datos'!$Y$63:$Z$68,MATCH('COSTO TOTAL'!B404,Infraestructura,0),1),"")</f>
        <v/>
      </c>
      <c r="E404" s="521"/>
      <c r="F404" s="522"/>
      <c r="G404" s="522"/>
      <c r="H404" s="522"/>
      <c r="I404" s="522"/>
      <c r="J404" s="522"/>
      <c r="K404" s="522"/>
      <c r="L404" s="522"/>
      <c r="M404" s="522"/>
      <c r="N404" s="522"/>
      <c r="O404" s="522"/>
      <c r="S404" s="250"/>
      <c r="T404" s="250"/>
      <c r="U404" s="250"/>
      <c r="V404" s="250"/>
      <c r="W404" s="250"/>
      <c r="X404" s="250"/>
      <c r="Y404" s="250"/>
      <c r="Z404" s="250"/>
      <c r="AF404" s="250"/>
      <c r="AG404" s="250"/>
      <c r="AH404" s="250"/>
    </row>
    <row r="405" spans="1:34" s="503" customFormat="1" ht="30.75" hidden="1" customHeight="1" x14ac:dyDescent="0.2">
      <c r="B405" s="1565"/>
      <c r="C405" s="1567"/>
      <c r="D405" s="457" t="str">
        <f>IFERROR(INDEX('Base de datos'!$Y$63:$Z$68,MATCH('COSTO TOTAL'!B405,Infraestructura,0),1),"")</f>
        <v/>
      </c>
      <c r="E405" s="521"/>
      <c r="F405" s="522"/>
      <c r="G405" s="522"/>
      <c r="H405" s="522"/>
      <c r="I405" s="522"/>
      <c r="J405" s="522"/>
      <c r="K405" s="522"/>
      <c r="L405" s="522"/>
      <c r="M405" s="522"/>
      <c r="N405" s="522"/>
      <c r="O405" s="522"/>
      <c r="S405" s="250"/>
      <c r="T405" s="250"/>
      <c r="U405" s="250"/>
      <c r="V405" s="250"/>
      <c r="W405" s="250"/>
      <c r="X405" s="250"/>
      <c r="Y405" s="250"/>
      <c r="Z405" s="250"/>
      <c r="AF405" s="250"/>
      <c r="AG405" s="250"/>
      <c r="AH405" s="250"/>
    </row>
    <row r="406" spans="1:34" s="503" customFormat="1" ht="30.75" hidden="1" customHeight="1" x14ac:dyDescent="0.2">
      <c r="B406" s="1565"/>
      <c r="C406" s="1567"/>
      <c r="D406" s="457" t="str">
        <f>IFERROR(INDEX('Base de datos'!$Y$63:$Z$68,MATCH('COSTO TOTAL'!B406,Infraestructura,0),1),"")</f>
        <v/>
      </c>
      <c r="E406" s="521"/>
      <c r="F406" s="522"/>
      <c r="G406" s="522"/>
      <c r="H406" s="522"/>
      <c r="I406" s="522"/>
      <c r="J406" s="522"/>
      <c r="K406" s="522"/>
      <c r="L406" s="522"/>
      <c r="M406" s="522"/>
      <c r="N406" s="522"/>
      <c r="O406" s="522"/>
      <c r="S406" s="250"/>
      <c r="T406" s="250"/>
      <c r="U406" s="250"/>
      <c r="V406" s="250"/>
      <c r="W406" s="250"/>
      <c r="X406" s="250"/>
      <c r="Y406" s="250"/>
      <c r="Z406" s="250"/>
      <c r="AF406" s="250"/>
      <c r="AG406" s="250"/>
      <c r="AH406" s="250"/>
    </row>
    <row r="407" spans="1:34" s="503" customFormat="1" ht="12.75" hidden="1" x14ac:dyDescent="0.2">
      <c r="B407" s="68"/>
      <c r="C407" s="135"/>
      <c r="D407" s="68"/>
      <c r="E407" s="269"/>
      <c r="F407" s="205"/>
      <c r="G407" s="270"/>
      <c r="H407" s="205"/>
      <c r="I407" s="271"/>
      <c r="J407" s="68"/>
      <c r="S407" s="250"/>
      <c r="T407" s="250"/>
      <c r="U407" s="250"/>
      <c r="V407" s="250"/>
      <c r="W407" s="250"/>
      <c r="X407" s="250"/>
      <c r="Y407" s="250"/>
      <c r="Z407" s="250"/>
      <c r="AF407" s="250"/>
      <c r="AG407" s="250"/>
      <c r="AH407" s="250"/>
    </row>
    <row r="408" spans="1:34" s="69" customFormat="1" ht="34.5" customHeight="1" x14ac:dyDescent="0.25">
      <c r="B408" s="1766" t="s">
        <v>4919</v>
      </c>
      <c r="C408" s="1766"/>
      <c r="D408" s="1766"/>
      <c r="E408" s="1766"/>
      <c r="F408" s="1766"/>
      <c r="G408" s="1766"/>
      <c r="H408" s="1766"/>
      <c r="I408" s="253"/>
      <c r="J408" s="253"/>
      <c r="K408" s="253"/>
      <c r="L408" s="253"/>
      <c r="M408" s="253"/>
      <c r="S408" s="425"/>
      <c r="T408" s="425"/>
      <c r="U408" s="425"/>
      <c r="V408" s="425"/>
      <c r="W408" s="425"/>
      <c r="X408" s="425"/>
      <c r="Y408" s="425"/>
      <c r="Z408" s="425"/>
      <c r="AF408" s="425"/>
      <c r="AG408" s="425"/>
      <c r="AH408" s="425"/>
    </row>
    <row r="409" spans="1:34" s="69" customFormat="1" ht="24.95" customHeight="1" x14ac:dyDescent="0.25">
      <c r="B409" s="509" t="s">
        <v>4771</v>
      </c>
      <c r="C409" s="509"/>
      <c r="D409" s="509"/>
      <c r="E409" s="509"/>
      <c r="F409" s="509"/>
      <c r="G409" s="509"/>
      <c r="H409" s="509"/>
      <c r="I409" s="253"/>
      <c r="J409" s="253"/>
      <c r="K409" s="253"/>
      <c r="L409" s="253"/>
      <c r="M409" s="253"/>
      <c r="S409" s="425"/>
      <c r="T409" s="425"/>
      <c r="U409" s="425"/>
      <c r="V409" s="425"/>
      <c r="W409" s="425"/>
      <c r="X409" s="425"/>
      <c r="Y409" s="425"/>
      <c r="Z409" s="425"/>
      <c r="AF409" s="425"/>
      <c r="AG409" s="425"/>
      <c r="AH409" s="425"/>
    </row>
    <row r="410" spans="1:34" s="503" customFormat="1" ht="12.75" x14ac:dyDescent="0.2">
      <c r="B410" s="1788" t="s">
        <v>118</v>
      </c>
      <c r="C410" s="1788"/>
      <c r="D410" s="1788"/>
      <c r="E410" s="1788"/>
      <c r="F410" s="1788"/>
      <c r="G410" s="1782"/>
      <c r="H410" s="1783"/>
      <c r="I410" s="68"/>
      <c r="S410" s="250"/>
      <c r="T410" s="250"/>
      <c r="U410" s="250"/>
      <c r="V410" s="250"/>
      <c r="W410" s="250"/>
      <c r="X410" s="250"/>
      <c r="Y410" s="250"/>
      <c r="Z410" s="250"/>
      <c r="AF410" s="250"/>
      <c r="AG410" s="250"/>
      <c r="AH410" s="250"/>
    </row>
    <row r="411" spans="1:34" s="503" customFormat="1" ht="12.75" x14ac:dyDescent="0.2">
      <c r="A411" s="69"/>
      <c r="B411" s="1788" t="s">
        <v>119</v>
      </c>
      <c r="C411" s="1788"/>
      <c r="D411" s="1788"/>
      <c r="E411" s="1788"/>
      <c r="F411" s="1789"/>
      <c r="G411" s="1784">
        <v>10</v>
      </c>
      <c r="H411" s="1785"/>
      <c r="I411" s="68"/>
      <c r="S411" s="250"/>
      <c r="T411" s="250"/>
      <c r="U411" s="250"/>
      <c r="V411" s="250"/>
      <c r="W411" s="250"/>
      <c r="X411" s="250"/>
      <c r="Y411" s="250"/>
      <c r="Z411" s="250"/>
      <c r="AF411" s="250"/>
      <c r="AG411" s="250"/>
      <c r="AH411" s="250"/>
    </row>
    <row r="412" spans="1:34" s="503" customFormat="1" ht="12.75" customHeight="1" x14ac:dyDescent="0.2">
      <c r="C412" s="89"/>
      <c r="D412" s="89"/>
      <c r="E412" s="89"/>
      <c r="F412" s="89"/>
      <c r="G412" s="89"/>
      <c r="H412" s="89"/>
      <c r="I412" s="68"/>
      <c r="S412" s="250"/>
      <c r="T412" s="250"/>
      <c r="U412" s="250"/>
      <c r="V412" s="250"/>
      <c r="W412" s="250"/>
      <c r="X412" s="250"/>
      <c r="Y412" s="250"/>
      <c r="Z412" s="250"/>
      <c r="AF412" s="250"/>
      <c r="AG412" s="250"/>
      <c r="AH412" s="250"/>
    </row>
    <row r="413" spans="1:34" s="503" customFormat="1" ht="18" customHeight="1" x14ac:dyDescent="0.2">
      <c r="A413" s="69"/>
      <c r="B413" s="1762" t="s">
        <v>314</v>
      </c>
      <c r="C413" s="1786"/>
      <c r="D413" s="1762" t="s">
        <v>277</v>
      </c>
      <c r="E413" s="1763"/>
      <c r="F413" s="1792" t="s">
        <v>117</v>
      </c>
      <c r="G413" s="1793"/>
      <c r="H413" s="1793"/>
      <c r="I413" s="1793"/>
      <c r="J413" s="1793"/>
      <c r="K413" s="1793"/>
      <c r="L413" s="1793"/>
      <c r="M413" s="1793"/>
      <c r="N413" s="1793"/>
      <c r="O413" s="1794"/>
      <c r="S413" s="250"/>
      <c r="T413" s="250"/>
      <c r="U413" s="250"/>
      <c r="V413" s="250"/>
      <c r="W413" s="250"/>
      <c r="X413" s="250"/>
      <c r="Y413" s="250"/>
      <c r="Z413" s="250"/>
      <c r="AF413" s="250"/>
      <c r="AG413" s="250"/>
      <c r="AH413" s="250"/>
    </row>
    <row r="414" spans="1:34" s="503" customFormat="1" ht="12.75" x14ac:dyDescent="0.2">
      <c r="B414" s="1764"/>
      <c r="C414" s="1787"/>
      <c r="D414" s="1764"/>
      <c r="E414" s="1765"/>
      <c r="F414" s="272">
        <v>1</v>
      </c>
      <c r="G414" s="272">
        <v>2</v>
      </c>
      <c r="H414" s="272">
        <v>3</v>
      </c>
      <c r="I414" s="272">
        <v>4</v>
      </c>
      <c r="J414" s="272">
        <v>5</v>
      </c>
      <c r="K414" s="272">
        <v>6</v>
      </c>
      <c r="L414" s="272">
        <v>7</v>
      </c>
      <c r="M414" s="272">
        <v>8</v>
      </c>
      <c r="N414" s="508">
        <v>9</v>
      </c>
      <c r="O414" s="272">
        <v>10</v>
      </c>
      <c r="S414" s="250"/>
      <c r="T414" s="250"/>
      <c r="U414" s="250"/>
      <c r="V414" s="250"/>
      <c r="W414" s="250"/>
      <c r="X414" s="250"/>
      <c r="Y414" s="250"/>
      <c r="Z414" s="250"/>
      <c r="AF414" s="250"/>
      <c r="AG414" s="250"/>
      <c r="AH414" s="250"/>
    </row>
    <row r="415" spans="1:34" s="503" customFormat="1" ht="5.0999999999999996" customHeight="1" x14ac:dyDescent="0.2">
      <c r="A415" s="69"/>
      <c r="S415" s="250"/>
      <c r="T415" s="250"/>
      <c r="U415" s="250"/>
      <c r="V415" s="250"/>
      <c r="W415" s="250"/>
      <c r="X415" s="250"/>
      <c r="Y415" s="250"/>
      <c r="Z415" s="250"/>
      <c r="AF415" s="250"/>
      <c r="AG415" s="250"/>
      <c r="AH415" s="250"/>
    </row>
    <row r="416" spans="1:34" s="503" customFormat="1" ht="24.6" customHeight="1" x14ac:dyDescent="0.2">
      <c r="B416" s="1774" t="s">
        <v>120</v>
      </c>
      <c r="C416" s="1774"/>
      <c r="D416" s="1780" t="s">
        <v>124</v>
      </c>
      <c r="E416" s="1780"/>
      <c r="F416" s="474" t="str">
        <f>IFERROR(IF(AND(F417="",F418="",F419="",F420=""),"",SUM(F417:F420)),"")</f>
        <v/>
      </c>
      <c r="G416" s="474" t="str">
        <f t="shared" ref="G416:O416" si="109">IFERROR(IF(AND(G417="",G418="",G419="",G420=""),"",SUM(G417:G420)),"")</f>
        <v/>
      </c>
      <c r="H416" s="474" t="str">
        <f t="shared" si="109"/>
        <v/>
      </c>
      <c r="I416" s="474" t="str">
        <f t="shared" si="109"/>
        <v/>
      </c>
      <c r="J416" s="474" t="str">
        <f t="shared" si="109"/>
        <v/>
      </c>
      <c r="K416" s="474" t="str">
        <f t="shared" si="109"/>
        <v/>
      </c>
      <c r="L416" s="474" t="str">
        <f t="shared" si="109"/>
        <v/>
      </c>
      <c r="M416" s="474" t="str">
        <f t="shared" si="109"/>
        <v/>
      </c>
      <c r="N416" s="474" t="str">
        <f t="shared" si="109"/>
        <v/>
      </c>
      <c r="O416" s="474" t="str">
        <f t="shared" si="109"/>
        <v/>
      </c>
      <c r="S416" s="250"/>
      <c r="T416" s="250"/>
      <c r="U416" s="250"/>
      <c r="V416" s="250"/>
      <c r="W416" s="250"/>
      <c r="X416" s="250"/>
      <c r="Y416" s="250"/>
      <c r="Z416" s="250"/>
      <c r="AF416" s="250"/>
      <c r="AG416" s="250"/>
      <c r="AH416" s="250"/>
    </row>
    <row r="417" spans="1:34" s="503" customFormat="1" ht="12.6" customHeight="1" x14ac:dyDescent="0.2">
      <c r="A417" s="69"/>
      <c r="B417" s="1774"/>
      <c r="C417" s="1774"/>
      <c r="D417" s="1776" t="s">
        <v>122</v>
      </c>
      <c r="E417" s="1776"/>
      <c r="F417" s="472"/>
      <c r="G417" s="472"/>
      <c r="H417" s="472"/>
      <c r="I417" s="472"/>
      <c r="J417" s="472"/>
      <c r="K417" s="472"/>
      <c r="L417" s="472"/>
      <c r="M417" s="472"/>
      <c r="N417" s="472"/>
      <c r="O417" s="472"/>
      <c r="S417" s="250"/>
      <c r="T417" s="250"/>
      <c r="U417" s="250"/>
      <c r="V417" s="250"/>
      <c r="W417" s="250"/>
      <c r="X417" s="250"/>
      <c r="Y417" s="250"/>
      <c r="Z417" s="250"/>
      <c r="AF417" s="250"/>
      <c r="AG417" s="250"/>
      <c r="AH417" s="250"/>
    </row>
    <row r="418" spans="1:34" s="503" customFormat="1" ht="12.6" customHeight="1" x14ac:dyDescent="0.2">
      <c r="B418" s="1774"/>
      <c r="C418" s="1774"/>
      <c r="D418" s="1776" t="s">
        <v>123</v>
      </c>
      <c r="E418" s="1776"/>
      <c r="F418" s="472"/>
      <c r="G418" s="472"/>
      <c r="H418" s="472"/>
      <c r="I418" s="472"/>
      <c r="J418" s="472"/>
      <c r="K418" s="472"/>
      <c r="L418" s="472"/>
      <c r="M418" s="472"/>
      <c r="N418" s="472"/>
      <c r="O418" s="472"/>
      <c r="S418" s="250"/>
      <c r="T418" s="250"/>
      <c r="U418" s="250"/>
      <c r="V418" s="250"/>
      <c r="W418" s="250"/>
      <c r="X418" s="250"/>
      <c r="Y418" s="250"/>
      <c r="Z418" s="250"/>
      <c r="AF418" s="250"/>
      <c r="AG418" s="250"/>
      <c r="AH418" s="250"/>
    </row>
    <row r="419" spans="1:34" s="503" customFormat="1" ht="12.6" customHeight="1" x14ac:dyDescent="0.2">
      <c r="A419" s="69"/>
      <c r="B419" s="1774"/>
      <c r="C419" s="1774"/>
      <c r="D419" s="1776" t="s">
        <v>64</v>
      </c>
      <c r="E419" s="1776"/>
      <c r="F419" s="472"/>
      <c r="G419" s="472"/>
      <c r="H419" s="472"/>
      <c r="I419" s="472"/>
      <c r="J419" s="472"/>
      <c r="K419" s="472"/>
      <c r="L419" s="472"/>
      <c r="M419" s="472"/>
      <c r="N419" s="472"/>
      <c r="O419" s="472"/>
      <c r="S419" s="250"/>
      <c r="T419" s="250"/>
      <c r="U419" s="250"/>
      <c r="V419" s="250"/>
      <c r="W419" s="250"/>
      <c r="X419" s="250"/>
      <c r="Y419" s="250"/>
      <c r="Z419" s="250"/>
      <c r="AF419" s="250"/>
      <c r="AG419" s="250"/>
      <c r="AH419" s="250"/>
    </row>
    <row r="420" spans="1:34" s="503" customFormat="1" ht="12.6" customHeight="1" x14ac:dyDescent="0.2">
      <c r="B420" s="1774"/>
      <c r="C420" s="1774"/>
      <c r="D420" s="1776" t="s">
        <v>71</v>
      </c>
      <c r="E420" s="1776"/>
      <c r="F420" s="472"/>
      <c r="G420" s="472"/>
      <c r="H420" s="472"/>
      <c r="I420" s="472"/>
      <c r="J420" s="472"/>
      <c r="K420" s="472"/>
      <c r="L420" s="472"/>
      <c r="M420" s="472"/>
      <c r="N420" s="472"/>
      <c r="O420" s="472"/>
      <c r="S420" s="250"/>
      <c r="T420" s="250"/>
      <c r="U420" s="250"/>
      <c r="V420" s="250"/>
      <c r="W420" s="250"/>
      <c r="X420" s="250"/>
      <c r="Y420" s="250"/>
      <c r="Z420" s="250"/>
      <c r="AF420" s="250"/>
      <c r="AG420" s="250"/>
      <c r="AH420" s="250"/>
    </row>
    <row r="421" spans="1:34" s="503" customFormat="1" ht="24.6" customHeight="1" x14ac:dyDescent="0.2">
      <c r="A421" s="69"/>
      <c r="B421" s="1774"/>
      <c r="C421" s="1774"/>
      <c r="D421" s="1780" t="s">
        <v>121</v>
      </c>
      <c r="E421" s="1780"/>
      <c r="F421" s="474" t="str">
        <f>IFERROR(IF(F422="","",SUM(F422)),"")</f>
        <v/>
      </c>
      <c r="G421" s="474" t="str">
        <f t="shared" ref="G421:O421" si="110">IFERROR(IF(G422="","",SUM(G422)),"")</f>
        <v/>
      </c>
      <c r="H421" s="474" t="str">
        <f t="shared" si="110"/>
        <v/>
      </c>
      <c r="I421" s="474" t="str">
        <f t="shared" si="110"/>
        <v/>
      </c>
      <c r="J421" s="474" t="str">
        <f t="shared" si="110"/>
        <v/>
      </c>
      <c r="K421" s="474" t="str">
        <f t="shared" si="110"/>
        <v/>
      </c>
      <c r="L421" s="474" t="str">
        <f t="shared" si="110"/>
        <v/>
      </c>
      <c r="M421" s="474" t="str">
        <f t="shared" si="110"/>
        <v/>
      </c>
      <c r="N421" s="474" t="str">
        <f t="shared" si="110"/>
        <v/>
      </c>
      <c r="O421" s="474" t="str">
        <f t="shared" si="110"/>
        <v/>
      </c>
      <c r="S421" s="250"/>
      <c r="T421" s="250"/>
      <c r="U421" s="250"/>
      <c r="V421" s="250"/>
      <c r="W421" s="250"/>
      <c r="X421" s="250"/>
      <c r="Y421" s="250"/>
      <c r="Z421" s="250"/>
      <c r="AF421" s="250"/>
      <c r="AG421" s="250"/>
      <c r="AH421" s="250"/>
    </row>
    <row r="422" spans="1:34" s="503" customFormat="1" ht="12.75" x14ac:dyDescent="0.2">
      <c r="B422" s="1774"/>
      <c r="C422" s="1774"/>
      <c r="D422" s="1776" t="s">
        <v>125</v>
      </c>
      <c r="E422" s="1776"/>
      <c r="F422" s="472"/>
      <c r="G422" s="472"/>
      <c r="H422" s="472"/>
      <c r="I422" s="472"/>
      <c r="J422" s="472"/>
      <c r="K422" s="472"/>
      <c r="L422" s="472"/>
      <c r="M422" s="472"/>
      <c r="N422" s="472"/>
      <c r="O422" s="472"/>
      <c r="S422" s="250"/>
      <c r="T422" s="250"/>
      <c r="U422" s="250"/>
      <c r="V422" s="250"/>
      <c r="W422" s="250"/>
      <c r="X422" s="250"/>
      <c r="Y422" s="250"/>
      <c r="Z422" s="250"/>
      <c r="AF422" s="250"/>
      <c r="AG422" s="250"/>
      <c r="AH422" s="250"/>
    </row>
    <row r="423" spans="1:34" s="503" customFormat="1" ht="24.6" customHeight="1" x14ac:dyDescent="0.2">
      <c r="A423" s="69"/>
      <c r="B423" s="1774" t="s">
        <v>126</v>
      </c>
      <c r="C423" s="1774"/>
      <c r="D423" s="1780" t="s">
        <v>124</v>
      </c>
      <c r="E423" s="1780"/>
      <c r="F423" s="474" t="str">
        <f>IFERROR(IF(AND(F424="",F425="",F426="",F427=""),"",SUM(F424:F427)),"")</f>
        <v/>
      </c>
      <c r="G423" s="474" t="str">
        <f t="shared" ref="G423:O423" si="111">IFERROR(IF(AND(G424="",G425="",G426="",G427=""),"",SUM(G424:G427)),"")</f>
        <v/>
      </c>
      <c r="H423" s="474" t="str">
        <f t="shared" si="111"/>
        <v/>
      </c>
      <c r="I423" s="474" t="str">
        <f t="shared" si="111"/>
        <v/>
      </c>
      <c r="J423" s="474" t="str">
        <f t="shared" si="111"/>
        <v/>
      </c>
      <c r="K423" s="474" t="str">
        <f t="shared" si="111"/>
        <v/>
      </c>
      <c r="L423" s="474" t="str">
        <f t="shared" si="111"/>
        <v/>
      </c>
      <c r="M423" s="474" t="str">
        <f t="shared" si="111"/>
        <v/>
      </c>
      <c r="N423" s="474" t="str">
        <f t="shared" si="111"/>
        <v/>
      </c>
      <c r="O423" s="474" t="str">
        <f t="shared" si="111"/>
        <v/>
      </c>
      <c r="S423" s="250"/>
      <c r="T423" s="250"/>
      <c r="U423" s="250"/>
      <c r="V423" s="250"/>
      <c r="W423" s="250"/>
      <c r="X423" s="250"/>
      <c r="Y423" s="250"/>
      <c r="Z423" s="250"/>
      <c r="AF423" s="250"/>
      <c r="AG423" s="250"/>
      <c r="AH423" s="250"/>
    </row>
    <row r="424" spans="1:34" s="503" customFormat="1" ht="12.6" customHeight="1" x14ac:dyDescent="0.2">
      <c r="B424" s="1774"/>
      <c r="C424" s="1774"/>
      <c r="D424" s="1776" t="s">
        <v>122</v>
      </c>
      <c r="E424" s="1776"/>
      <c r="F424" s="472"/>
      <c r="G424" s="472"/>
      <c r="H424" s="472"/>
      <c r="I424" s="472"/>
      <c r="J424" s="472"/>
      <c r="K424" s="472"/>
      <c r="L424" s="472"/>
      <c r="M424" s="472"/>
      <c r="N424" s="472"/>
      <c r="O424" s="472"/>
      <c r="S424" s="250"/>
      <c r="T424" s="250"/>
      <c r="U424" s="250"/>
      <c r="V424" s="250"/>
      <c r="W424" s="250"/>
      <c r="X424" s="250"/>
      <c r="Y424" s="250"/>
      <c r="Z424" s="250"/>
      <c r="AF424" s="250"/>
      <c r="AG424" s="250"/>
      <c r="AH424" s="250"/>
    </row>
    <row r="425" spans="1:34" s="503" customFormat="1" ht="12.6" customHeight="1" x14ac:dyDescent="0.2">
      <c r="A425" s="69"/>
      <c r="B425" s="1774"/>
      <c r="C425" s="1774"/>
      <c r="D425" s="1776" t="s">
        <v>123</v>
      </c>
      <c r="E425" s="1776"/>
      <c r="F425" s="472"/>
      <c r="G425" s="472"/>
      <c r="H425" s="472"/>
      <c r="I425" s="472"/>
      <c r="J425" s="472"/>
      <c r="K425" s="472"/>
      <c r="L425" s="472"/>
      <c r="M425" s="472"/>
      <c r="N425" s="472"/>
      <c r="O425" s="472"/>
      <c r="S425" s="250"/>
      <c r="T425" s="250"/>
      <c r="U425" s="250"/>
      <c r="V425" s="250"/>
      <c r="W425" s="250"/>
      <c r="X425" s="250"/>
      <c r="Y425" s="250"/>
      <c r="Z425" s="250"/>
      <c r="AF425" s="250"/>
      <c r="AG425" s="250"/>
      <c r="AH425" s="250"/>
    </row>
    <row r="426" spans="1:34" s="503" customFormat="1" ht="12.6" customHeight="1" x14ac:dyDescent="0.2">
      <c r="B426" s="1774"/>
      <c r="C426" s="1774"/>
      <c r="D426" s="1776" t="s">
        <v>64</v>
      </c>
      <c r="E426" s="1776"/>
      <c r="F426" s="472"/>
      <c r="G426" s="472"/>
      <c r="H426" s="472"/>
      <c r="I426" s="472"/>
      <c r="J426" s="472"/>
      <c r="K426" s="472"/>
      <c r="L426" s="472"/>
      <c r="M426" s="472"/>
      <c r="N426" s="472"/>
      <c r="O426" s="472"/>
      <c r="S426" s="250"/>
      <c r="T426" s="250"/>
      <c r="U426" s="250"/>
      <c r="V426" s="250"/>
      <c r="W426" s="250"/>
      <c r="X426" s="250"/>
      <c r="Y426" s="250"/>
      <c r="Z426" s="250"/>
      <c r="AF426" s="250"/>
      <c r="AG426" s="250"/>
      <c r="AH426" s="250"/>
    </row>
    <row r="427" spans="1:34" s="503" customFormat="1" ht="12.6" customHeight="1" x14ac:dyDescent="0.2">
      <c r="A427" s="69"/>
      <c r="B427" s="1774"/>
      <c r="C427" s="1774"/>
      <c r="D427" s="1776" t="s">
        <v>71</v>
      </c>
      <c r="E427" s="1776"/>
      <c r="F427" s="472"/>
      <c r="G427" s="472"/>
      <c r="H427" s="472"/>
      <c r="I427" s="472"/>
      <c r="J427" s="472"/>
      <c r="K427" s="472"/>
      <c r="L427" s="472"/>
      <c r="M427" s="472"/>
      <c r="N427" s="472"/>
      <c r="O427" s="472"/>
      <c r="S427" s="250"/>
      <c r="T427" s="250"/>
      <c r="U427" s="250"/>
      <c r="V427" s="250"/>
      <c r="W427" s="250"/>
      <c r="X427" s="250"/>
      <c r="Y427" s="250"/>
      <c r="Z427" s="250"/>
      <c r="AF427" s="250"/>
      <c r="AG427" s="250"/>
      <c r="AH427" s="250"/>
    </row>
    <row r="428" spans="1:34" s="503" customFormat="1" ht="24.6" customHeight="1" x14ac:dyDescent="0.2">
      <c r="B428" s="1774"/>
      <c r="C428" s="1774"/>
      <c r="D428" s="1780" t="s">
        <v>121</v>
      </c>
      <c r="E428" s="1780"/>
      <c r="F428" s="474" t="str">
        <f>IFERROR(IF(F429="","",SUM(F429)),"")</f>
        <v/>
      </c>
      <c r="G428" s="474" t="str">
        <f t="shared" ref="G428:O428" si="112">IFERROR(IF(G429="","",SUM(G429)),"")</f>
        <v/>
      </c>
      <c r="H428" s="474" t="str">
        <f t="shared" si="112"/>
        <v/>
      </c>
      <c r="I428" s="474" t="str">
        <f t="shared" si="112"/>
        <v/>
      </c>
      <c r="J428" s="474" t="str">
        <f t="shared" si="112"/>
        <v/>
      </c>
      <c r="K428" s="474" t="str">
        <f t="shared" si="112"/>
        <v/>
      </c>
      <c r="L428" s="474" t="str">
        <f t="shared" si="112"/>
        <v/>
      </c>
      <c r="M428" s="474" t="str">
        <f t="shared" si="112"/>
        <v/>
      </c>
      <c r="N428" s="474" t="str">
        <f t="shared" si="112"/>
        <v/>
      </c>
      <c r="O428" s="474" t="str">
        <f t="shared" si="112"/>
        <v/>
      </c>
      <c r="S428" s="250"/>
      <c r="T428" s="250"/>
      <c r="U428" s="250"/>
      <c r="V428" s="250"/>
      <c r="W428" s="250"/>
      <c r="X428" s="250"/>
      <c r="Y428" s="250"/>
      <c r="Z428" s="250"/>
      <c r="AF428" s="250"/>
      <c r="AG428" s="250"/>
      <c r="AH428" s="250"/>
    </row>
    <row r="429" spans="1:34" s="503" customFormat="1" ht="13.5" thickBot="1" x14ac:dyDescent="0.25">
      <c r="A429" s="69"/>
      <c r="B429" s="1775"/>
      <c r="C429" s="1775"/>
      <c r="D429" s="1781" t="s">
        <v>125</v>
      </c>
      <c r="E429" s="1781"/>
      <c r="F429" s="473"/>
      <c r="G429" s="473"/>
      <c r="H429" s="473"/>
      <c r="I429" s="473"/>
      <c r="J429" s="473"/>
      <c r="K429" s="473"/>
      <c r="L429" s="473"/>
      <c r="M429" s="473"/>
      <c r="N429" s="473"/>
      <c r="O429" s="473"/>
      <c r="S429" s="250"/>
      <c r="T429" s="250"/>
      <c r="U429" s="250"/>
      <c r="V429" s="250"/>
      <c r="W429" s="250"/>
      <c r="X429" s="250"/>
      <c r="Y429" s="250"/>
      <c r="Z429" s="250"/>
      <c r="AF429" s="250"/>
      <c r="AG429" s="250"/>
      <c r="AH429" s="250"/>
    </row>
    <row r="430" spans="1:34" s="503" customFormat="1" ht="24.6" customHeight="1" x14ac:dyDescent="0.2">
      <c r="B430" s="1770" t="s">
        <v>127</v>
      </c>
      <c r="C430" s="1771"/>
      <c r="D430" s="1760" t="s">
        <v>124</v>
      </c>
      <c r="E430" s="1760"/>
      <c r="F430" s="475" t="str">
        <f>IFERROR(IF(AND(F416="",F423=""),"",F423-F416),"")</f>
        <v/>
      </c>
      <c r="G430" s="475" t="str">
        <f t="shared" ref="G430:O430" si="113">IFERROR(IF(AND(G416="",G423=""),"",G423-G416),"")</f>
        <v/>
      </c>
      <c r="H430" s="475" t="str">
        <f t="shared" si="113"/>
        <v/>
      </c>
      <c r="I430" s="475" t="str">
        <f t="shared" si="113"/>
        <v/>
      </c>
      <c r="J430" s="475" t="str">
        <f t="shared" si="113"/>
        <v/>
      </c>
      <c r="K430" s="475" t="str">
        <f t="shared" si="113"/>
        <v/>
      </c>
      <c r="L430" s="475" t="str">
        <f t="shared" si="113"/>
        <v/>
      </c>
      <c r="M430" s="475" t="str">
        <f t="shared" si="113"/>
        <v/>
      </c>
      <c r="N430" s="475" t="str">
        <f t="shared" si="113"/>
        <v/>
      </c>
      <c r="O430" s="476" t="str">
        <f t="shared" si="113"/>
        <v/>
      </c>
      <c r="S430" s="250"/>
      <c r="T430" s="250"/>
      <c r="U430" s="250"/>
      <c r="V430" s="250"/>
      <c r="W430" s="250"/>
      <c r="X430" s="250"/>
      <c r="Y430" s="250"/>
      <c r="Z430" s="250"/>
      <c r="AF430" s="250"/>
      <c r="AG430" s="250"/>
      <c r="AH430" s="250"/>
    </row>
    <row r="431" spans="1:34" s="503" customFormat="1" ht="24.6" customHeight="1" thickBot="1" x14ac:dyDescent="0.25">
      <c r="A431" s="69"/>
      <c r="B431" s="1772"/>
      <c r="C431" s="1773"/>
      <c r="D431" s="1761" t="s">
        <v>121</v>
      </c>
      <c r="E431" s="1761"/>
      <c r="F431" s="477" t="str">
        <f>IFERROR(IF(AND(F421="",F428=""),"",F428-F421),"")</f>
        <v/>
      </c>
      <c r="G431" s="477" t="str">
        <f t="shared" ref="G431:O431" si="114">IFERROR(IF(AND(G421="",G428=""),"",G428-G421),"")</f>
        <v/>
      </c>
      <c r="H431" s="477" t="str">
        <f t="shared" si="114"/>
        <v/>
      </c>
      <c r="I431" s="477" t="str">
        <f t="shared" si="114"/>
        <v/>
      </c>
      <c r="J431" s="477" t="str">
        <f t="shared" si="114"/>
        <v/>
      </c>
      <c r="K431" s="477" t="str">
        <f t="shared" si="114"/>
        <v/>
      </c>
      <c r="L431" s="477" t="str">
        <f t="shared" si="114"/>
        <v/>
      </c>
      <c r="M431" s="477" t="str">
        <f t="shared" si="114"/>
        <v/>
      </c>
      <c r="N431" s="477" t="str">
        <f t="shared" si="114"/>
        <v/>
      </c>
      <c r="O431" s="478" t="str">
        <f t="shared" si="114"/>
        <v/>
      </c>
      <c r="S431" s="250"/>
      <c r="T431" s="250"/>
      <c r="U431" s="250"/>
      <c r="V431" s="250"/>
      <c r="W431" s="250"/>
      <c r="X431" s="250"/>
      <c r="Y431" s="250"/>
      <c r="Z431" s="250"/>
      <c r="AF431" s="250"/>
      <c r="AG431" s="250"/>
      <c r="AH431" s="250"/>
    </row>
    <row r="432" spans="1:34" s="503" customFormat="1" ht="6" customHeight="1" x14ac:dyDescent="0.2">
      <c r="S432" s="250"/>
      <c r="T432" s="250"/>
      <c r="U432" s="250"/>
      <c r="V432" s="250"/>
      <c r="W432" s="250"/>
      <c r="X432" s="250"/>
      <c r="Y432" s="250"/>
      <c r="Z432" s="250"/>
      <c r="AF432" s="250"/>
      <c r="AG432" s="250"/>
      <c r="AH432" s="250"/>
    </row>
    <row r="433" spans="1:34" s="503" customFormat="1" ht="13.5" customHeight="1" x14ac:dyDescent="0.2">
      <c r="A433" s="69"/>
      <c r="B433" s="68" t="s">
        <v>315</v>
      </c>
      <c r="S433" s="250"/>
      <c r="T433" s="250"/>
      <c r="U433" s="250"/>
      <c r="V433" s="250"/>
      <c r="W433" s="250"/>
      <c r="X433" s="250"/>
      <c r="Y433" s="250"/>
      <c r="Z433" s="250"/>
      <c r="AF433" s="250"/>
      <c r="AG433" s="250"/>
      <c r="AH433" s="250"/>
    </row>
    <row r="434" spans="1:34" s="503" customFormat="1" ht="13.5" customHeight="1" x14ac:dyDescent="0.2">
      <c r="B434" s="68"/>
      <c r="S434" s="250"/>
      <c r="T434" s="250"/>
      <c r="U434" s="250"/>
      <c r="V434" s="250"/>
      <c r="W434" s="250"/>
      <c r="X434" s="250"/>
      <c r="Y434" s="250"/>
      <c r="Z434" s="250"/>
      <c r="AF434" s="250"/>
      <c r="AG434" s="250"/>
      <c r="AH434" s="250"/>
    </row>
    <row r="435" spans="1:34" s="503" customFormat="1" ht="24.95" hidden="1" customHeight="1" x14ac:dyDescent="0.2">
      <c r="B435" s="421" t="s">
        <v>4772</v>
      </c>
      <c r="S435" s="250"/>
      <c r="T435" s="250"/>
      <c r="U435" s="250"/>
      <c r="V435" s="250"/>
      <c r="W435" s="250"/>
      <c r="X435" s="250"/>
      <c r="Y435" s="250"/>
      <c r="Z435" s="250"/>
      <c r="AF435" s="250"/>
      <c r="AG435" s="250"/>
      <c r="AH435" s="250"/>
    </row>
    <row r="436" spans="1:34" s="503" customFormat="1" ht="13.5" hidden="1" customHeight="1" x14ac:dyDescent="0.2">
      <c r="B436" s="1788" t="s">
        <v>118</v>
      </c>
      <c r="C436" s="1788"/>
      <c r="D436" s="1788"/>
      <c r="E436" s="1788"/>
      <c r="F436" s="1788"/>
      <c r="G436" s="1782"/>
      <c r="H436" s="1783"/>
      <c r="I436" s="68"/>
      <c r="S436" s="250"/>
      <c r="T436" s="250"/>
      <c r="U436" s="250"/>
      <c r="V436" s="250"/>
      <c r="W436" s="250"/>
      <c r="X436" s="250"/>
      <c r="Y436" s="250"/>
      <c r="Z436" s="250"/>
      <c r="AF436" s="250"/>
      <c r="AG436" s="250"/>
      <c r="AH436" s="250"/>
    </row>
    <row r="437" spans="1:34" s="503" customFormat="1" ht="13.5" hidden="1" customHeight="1" x14ac:dyDescent="0.2">
      <c r="B437" s="1788" t="s">
        <v>119</v>
      </c>
      <c r="C437" s="1788"/>
      <c r="D437" s="1788"/>
      <c r="E437" s="1788"/>
      <c r="F437" s="1789"/>
      <c r="G437" s="1784">
        <v>10</v>
      </c>
      <c r="H437" s="1785"/>
      <c r="I437" s="68"/>
      <c r="S437" s="250"/>
      <c r="T437" s="250"/>
      <c r="U437" s="250"/>
      <c r="V437" s="250"/>
      <c r="W437" s="250"/>
      <c r="X437" s="250"/>
      <c r="Y437" s="250"/>
      <c r="Z437" s="250"/>
      <c r="AF437" s="250"/>
      <c r="AG437" s="250"/>
      <c r="AH437" s="250"/>
    </row>
    <row r="438" spans="1:34" s="503" customFormat="1" ht="13.5" hidden="1" customHeight="1" x14ac:dyDescent="0.2">
      <c r="C438" s="89"/>
      <c r="D438" s="89"/>
      <c r="E438" s="89"/>
      <c r="F438" s="89"/>
      <c r="G438" s="89"/>
      <c r="H438" s="89"/>
      <c r="I438" s="68"/>
      <c r="S438" s="250"/>
      <c r="T438" s="250"/>
      <c r="U438" s="250"/>
      <c r="V438" s="250"/>
      <c r="W438" s="250"/>
      <c r="X438" s="250"/>
      <c r="Y438" s="250"/>
      <c r="Z438" s="250"/>
      <c r="AF438" s="250"/>
      <c r="AG438" s="250"/>
      <c r="AH438" s="250"/>
    </row>
    <row r="439" spans="1:34" s="503" customFormat="1" ht="18" hidden="1" customHeight="1" x14ac:dyDescent="0.2">
      <c r="B439" s="1762" t="s">
        <v>314</v>
      </c>
      <c r="C439" s="1786"/>
      <c r="D439" s="1762" t="s">
        <v>277</v>
      </c>
      <c r="E439" s="1763"/>
      <c r="F439" s="1792" t="s">
        <v>117</v>
      </c>
      <c r="G439" s="1793"/>
      <c r="H439" s="1793"/>
      <c r="I439" s="1793"/>
      <c r="J439" s="1793"/>
      <c r="K439" s="1793"/>
      <c r="L439" s="1793"/>
      <c r="M439" s="1793"/>
      <c r="N439" s="1793"/>
      <c r="O439" s="1794"/>
      <c r="S439" s="250"/>
      <c r="T439" s="250"/>
      <c r="U439" s="250"/>
      <c r="V439" s="250"/>
      <c r="W439" s="250"/>
      <c r="X439" s="250"/>
      <c r="Y439" s="250"/>
      <c r="Z439" s="250"/>
      <c r="AF439" s="250"/>
      <c r="AG439" s="250"/>
      <c r="AH439" s="250"/>
    </row>
    <row r="440" spans="1:34" s="503" customFormat="1" ht="13.5" hidden="1" customHeight="1" x14ac:dyDescent="0.2">
      <c r="B440" s="1764"/>
      <c r="C440" s="1787"/>
      <c r="D440" s="1764"/>
      <c r="E440" s="1765"/>
      <c r="F440" s="272">
        <v>1</v>
      </c>
      <c r="G440" s="272">
        <v>2</v>
      </c>
      <c r="H440" s="272">
        <v>3</v>
      </c>
      <c r="I440" s="272">
        <v>4</v>
      </c>
      <c r="J440" s="272">
        <v>5</v>
      </c>
      <c r="K440" s="272">
        <v>6</v>
      </c>
      <c r="L440" s="272">
        <v>7</v>
      </c>
      <c r="M440" s="272">
        <v>8</v>
      </c>
      <c r="N440" s="508">
        <v>9</v>
      </c>
      <c r="O440" s="272">
        <v>10</v>
      </c>
      <c r="S440" s="250"/>
      <c r="T440" s="250"/>
      <c r="U440" s="250"/>
      <c r="V440" s="250"/>
      <c r="W440" s="250"/>
      <c r="X440" s="250"/>
      <c r="Y440" s="250"/>
      <c r="Z440" s="250"/>
      <c r="AF440" s="250"/>
      <c r="AG440" s="250"/>
      <c r="AH440" s="250"/>
    </row>
    <row r="441" spans="1:34" s="503" customFormat="1" ht="5.0999999999999996" hidden="1" customHeight="1" x14ac:dyDescent="0.2">
      <c r="S441" s="250"/>
      <c r="T441" s="250"/>
      <c r="U441" s="250"/>
      <c r="V441" s="250"/>
      <c r="W441" s="250"/>
      <c r="X441" s="250"/>
      <c r="Y441" s="250"/>
      <c r="Z441" s="250"/>
      <c r="AF441" s="250"/>
      <c r="AG441" s="250"/>
      <c r="AH441" s="250"/>
    </row>
    <row r="442" spans="1:34" s="503" customFormat="1" ht="24.6" hidden="1" customHeight="1" x14ac:dyDescent="0.2">
      <c r="B442" s="1774" t="s">
        <v>120</v>
      </c>
      <c r="C442" s="1774"/>
      <c r="D442" s="1780" t="s">
        <v>124</v>
      </c>
      <c r="E442" s="1780"/>
      <c r="F442" s="474" t="str">
        <f>IFERROR(IF(AND(F443="",F444="",F445="",F446=""),"",SUM(F443:F446)),"")</f>
        <v/>
      </c>
      <c r="G442" s="474" t="str">
        <f t="shared" ref="G442:O442" si="115">IFERROR(IF(AND(G443="",G444="",G445="",G446=""),"",SUM(G443:G446)),"")</f>
        <v/>
      </c>
      <c r="H442" s="474" t="str">
        <f t="shared" si="115"/>
        <v/>
      </c>
      <c r="I442" s="474" t="str">
        <f t="shared" si="115"/>
        <v/>
      </c>
      <c r="J442" s="474" t="str">
        <f t="shared" si="115"/>
        <v/>
      </c>
      <c r="K442" s="474" t="str">
        <f t="shared" si="115"/>
        <v/>
      </c>
      <c r="L442" s="474" t="str">
        <f t="shared" si="115"/>
        <v/>
      </c>
      <c r="M442" s="474" t="str">
        <f t="shared" si="115"/>
        <v/>
      </c>
      <c r="N442" s="474" t="str">
        <f t="shared" si="115"/>
        <v/>
      </c>
      <c r="O442" s="474" t="str">
        <f t="shared" si="115"/>
        <v/>
      </c>
      <c r="S442" s="250"/>
      <c r="T442" s="250"/>
      <c r="U442" s="250"/>
      <c r="V442" s="250"/>
      <c r="W442" s="250"/>
      <c r="X442" s="250"/>
      <c r="Y442" s="250"/>
      <c r="Z442" s="250"/>
      <c r="AF442" s="250"/>
      <c r="AG442" s="250"/>
      <c r="AH442" s="250"/>
    </row>
    <row r="443" spans="1:34" s="503" customFormat="1" ht="13.5" hidden="1" customHeight="1" x14ac:dyDescent="0.2">
      <c r="B443" s="1774"/>
      <c r="C443" s="1774"/>
      <c r="D443" s="1776" t="s">
        <v>122</v>
      </c>
      <c r="E443" s="1776"/>
      <c r="F443" s="472"/>
      <c r="G443" s="472"/>
      <c r="H443" s="472"/>
      <c r="I443" s="472"/>
      <c r="J443" s="472"/>
      <c r="K443" s="472"/>
      <c r="L443" s="472"/>
      <c r="M443" s="472"/>
      <c r="N443" s="472"/>
      <c r="O443" s="472"/>
      <c r="S443" s="250"/>
      <c r="T443" s="250"/>
      <c r="U443" s="250"/>
      <c r="V443" s="250"/>
      <c r="W443" s="250"/>
      <c r="X443" s="250"/>
      <c r="Y443" s="250"/>
      <c r="Z443" s="250"/>
      <c r="AF443" s="250"/>
      <c r="AG443" s="250"/>
      <c r="AH443" s="250"/>
    </row>
    <row r="444" spans="1:34" s="503" customFormat="1" ht="13.5" hidden="1" customHeight="1" x14ac:dyDescent="0.2">
      <c r="B444" s="1774"/>
      <c r="C444" s="1774"/>
      <c r="D444" s="1776" t="s">
        <v>123</v>
      </c>
      <c r="E444" s="1776"/>
      <c r="F444" s="472"/>
      <c r="G444" s="472"/>
      <c r="H444" s="472"/>
      <c r="I444" s="472"/>
      <c r="J444" s="472"/>
      <c r="K444" s="472"/>
      <c r="L444" s="472"/>
      <c r="M444" s="472"/>
      <c r="N444" s="472"/>
      <c r="O444" s="472"/>
    </row>
    <row r="445" spans="1:34" s="503" customFormat="1" ht="13.5" hidden="1" customHeight="1" x14ac:dyDescent="0.2">
      <c r="B445" s="1774"/>
      <c r="C445" s="1774"/>
      <c r="D445" s="1776" t="s">
        <v>64</v>
      </c>
      <c r="E445" s="1776"/>
      <c r="F445" s="472"/>
      <c r="G445" s="472"/>
      <c r="H445" s="472"/>
      <c r="I445" s="472"/>
      <c r="J445" s="472"/>
      <c r="K445" s="472"/>
      <c r="L445" s="472"/>
      <c r="M445" s="472"/>
      <c r="N445" s="472"/>
      <c r="O445" s="472"/>
    </row>
    <row r="446" spans="1:34" s="503" customFormat="1" ht="13.5" hidden="1" customHeight="1" x14ac:dyDescent="0.2">
      <c r="B446" s="1774"/>
      <c r="C446" s="1774"/>
      <c r="D446" s="1776" t="s">
        <v>71</v>
      </c>
      <c r="E446" s="1776"/>
      <c r="F446" s="472"/>
      <c r="G446" s="472"/>
      <c r="H446" s="472"/>
      <c r="I446" s="472"/>
      <c r="J446" s="472"/>
      <c r="K446" s="472"/>
      <c r="L446" s="472"/>
      <c r="M446" s="472"/>
      <c r="N446" s="472"/>
      <c r="O446" s="472"/>
    </row>
    <row r="447" spans="1:34" s="503" customFormat="1" ht="24.6" hidden="1" customHeight="1" x14ac:dyDescent="0.2">
      <c r="B447" s="1774"/>
      <c r="C447" s="1774"/>
      <c r="D447" s="1780" t="s">
        <v>121</v>
      </c>
      <c r="E447" s="1780"/>
      <c r="F447" s="474" t="str">
        <f>IFERROR(IF(F448="","",SUM(F448)),"")</f>
        <v/>
      </c>
      <c r="G447" s="474" t="str">
        <f t="shared" ref="G447:O447" si="116">IFERROR(IF(G448="","",SUM(G448)),"")</f>
        <v/>
      </c>
      <c r="H447" s="474" t="str">
        <f t="shared" si="116"/>
        <v/>
      </c>
      <c r="I447" s="474" t="str">
        <f t="shared" si="116"/>
        <v/>
      </c>
      <c r="J447" s="474" t="str">
        <f t="shared" si="116"/>
        <v/>
      </c>
      <c r="K447" s="474" t="str">
        <f t="shared" si="116"/>
        <v/>
      </c>
      <c r="L447" s="474" t="str">
        <f t="shared" si="116"/>
        <v/>
      </c>
      <c r="M447" s="474" t="str">
        <f t="shared" si="116"/>
        <v/>
      </c>
      <c r="N447" s="474" t="str">
        <f t="shared" si="116"/>
        <v/>
      </c>
      <c r="O447" s="474" t="str">
        <f t="shared" si="116"/>
        <v/>
      </c>
    </row>
    <row r="448" spans="1:34" s="503" customFormat="1" ht="13.5" hidden="1" customHeight="1" x14ac:dyDescent="0.2">
      <c r="B448" s="1774"/>
      <c r="C448" s="1774"/>
      <c r="D448" s="1776" t="s">
        <v>125</v>
      </c>
      <c r="E448" s="1776"/>
      <c r="F448" s="472"/>
      <c r="G448" s="472"/>
      <c r="H448" s="472"/>
      <c r="I448" s="472"/>
      <c r="J448" s="472"/>
      <c r="K448" s="472"/>
      <c r="L448" s="472"/>
      <c r="M448" s="472"/>
      <c r="N448" s="472"/>
      <c r="O448" s="472"/>
    </row>
    <row r="449" spans="2:15" s="503" customFormat="1" ht="24.6" hidden="1" customHeight="1" x14ac:dyDescent="0.2">
      <c r="B449" s="1774" t="s">
        <v>126</v>
      </c>
      <c r="C449" s="1774"/>
      <c r="D449" s="1780" t="s">
        <v>124</v>
      </c>
      <c r="E449" s="1780"/>
      <c r="F449" s="474" t="str">
        <f>IFERROR(IF(AND(F450="",F451="",F452="",F453=""),"",SUM(F450:F453)),"")</f>
        <v/>
      </c>
      <c r="G449" s="474" t="str">
        <f t="shared" ref="G449:O449" si="117">IFERROR(IF(AND(G450="",G451="",G452="",G453=""),"",SUM(G450:G453)),"")</f>
        <v/>
      </c>
      <c r="H449" s="474" t="str">
        <f t="shared" si="117"/>
        <v/>
      </c>
      <c r="I449" s="474" t="str">
        <f t="shared" si="117"/>
        <v/>
      </c>
      <c r="J449" s="474" t="str">
        <f t="shared" si="117"/>
        <v/>
      </c>
      <c r="K449" s="474" t="str">
        <f t="shared" si="117"/>
        <v/>
      </c>
      <c r="L449" s="474" t="str">
        <f t="shared" si="117"/>
        <v/>
      </c>
      <c r="M449" s="474" t="str">
        <f t="shared" si="117"/>
        <v/>
      </c>
      <c r="N449" s="474" t="str">
        <f t="shared" si="117"/>
        <v/>
      </c>
      <c r="O449" s="474" t="str">
        <f t="shared" si="117"/>
        <v/>
      </c>
    </row>
    <row r="450" spans="2:15" s="503" customFormat="1" ht="13.5" hidden="1" customHeight="1" x14ac:dyDescent="0.2">
      <c r="B450" s="1774"/>
      <c r="C450" s="1774"/>
      <c r="D450" s="1776" t="s">
        <v>122</v>
      </c>
      <c r="E450" s="1776"/>
      <c r="F450" s="472"/>
      <c r="G450" s="472"/>
      <c r="H450" s="472"/>
      <c r="I450" s="472"/>
      <c r="J450" s="472"/>
      <c r="K450" s="472"/>
      <c r="L450" s="472"/>
      <c r="M450" s="472"/>
      <c r="N450" s="472"/>
      <c r="O450" s="472"/>
    </row>
    <row r="451" spans="2:15" s="503" customFormat="1" ht="13.5" hidden="1" customHeight="1" x14ac:dyDescent="0.2">
      <c r="B451" s="1774"/>
      <c r="C451" s="1774"/>
      <c r="D451" s="1776" t="s">
        <v>123</v>
      </c>
      <c r="E451" s="1776"/>
      <c r="F451" s="472"/>
      <c r="G451" s="472"/>
      <c r="H451" s="472"/>
      <c r="I451" s="472"/>
      <c r="J451" s="472"/>
      <c r="K451" s="472"/>
      <c r="L451" s="472"/>
      <c r="M451" s="472"/>
      <c r="N451" s="472"/>
      <c r="O451" s="472"/>
    </row>
    <row r="452" spans="2:15" s="503" customFormat="1" ht="13.5" hidden="1" customHeight="1" x14ac:dyDescent="0.2">
      <c r="B452" s="1774"/>
      <c r="C452" s="1774"/>
      <c r="D452" s="1776" t="s">
        <v>64</v>
      </c>
      <c r="E452" s="1776"/>
      <c r="F452" s="472"/>
      <c r="G452" s="472"/>
      <c r="H452" s="472"/>
      <c r="I452" s="472"/>
      <c r="J452" s="472"/>
      <c r="K452" s="472"/>
      <c r="L452" s="472"/>
      <c r="M452" s="472"/>
      <c r="N452" s="472"/>
      <c r="O452" s="472"/>
    </row>
    <row r="453" spans="2:15" s="503" customFormat="1" ht="13.5" hidden="1" customHeight="1" x14ac:dyDescent="0.2">
      <c r="B453" s="1774"/>
      <c r="C453" s="1774"/>
      <c r="D453" s="1776" t="s">
        <v>71</v>
      </c>
      <c r="E453" s="1776"/>
      <c r="F453" s="472"/>
      <c r="G453" s="472"/>
      <c r="H453" s="472"/>
      <c r="I453" s="472"/>
      <c r="J453" s="472"/>
      <c r="K453" s="472"/>
      <c r="L453" s="472"/>
      <c r="M453" s="472"/>
      <c r="N453" s="472"/>
      <c r="O453" s="472"/>
    </row>
    <row r="454" spans="2:15" s="503" customFormat="1" ht="24.6" hidden="1" customHeight="1" x14ac:dyDescent="0.2">
      <c r="B454" s="1774"/>
      <c r="C454" s="1774"/>
      <c r="D454" s="1780" t="s">
        <v>121</v>
      </c>
      <c r="E454" s="1780"/>
      <c r="F454" s="474" t="str">
        <f>IFERROR(IF(F455="","",SUM(F455)),"")</f>
        <v/>
      </c>
      <c r="G454" s="474" t="str">
        <f t="shared" ref="G454:O454" si="118">IFERROR(IF(G455="","",SUM(G455)),"")</f>
        <v/>
      </c>
      <c r="H454" s="474" t="str">
        <f t="shared" si="118"/>
        <v/>
      </c>
      <c r="I454" s="474" t="str">
        <f t="shared" si="118"/>
        <v/>
      </c>
      <c r="J454" s="474" t="str">
        <f t="shared" si="118"/>
        <v/>
      </c>
      <c r="K454" s="474" t="str">
        <f t="shared" si="118"/>
        <v/>
      </c>
      <c r="L454" s="474" t="str">
        <f t="shared" si="118"/>
        <v/>
      </c>
      <c r="M454" s="474" t="str">
        <f t="shared" si="118"/>
        <v/>
      </c>
      <c r="N454" s="474" t="str">
        <f t="shared" si="118"/>
        <v/>
      </c>
      <c r="O454" s="474" t="str">
        <f t="shared" si="118"/>
        <v/>
      </c>
    </row>
    <row r="455" spans="2:15" s="503" customFormat="1" ht="13.5" hidden="1" customHeight="1" thickBot="1" x14ac:dyDescent="0.25">
      <c r="B455" s="1775"/>
      <c r="C455" s="1775"/>
      <c r="D455" s="1781" t="s">
        <v>125</v>
      </c>
      <c r="E455" s="1781"/>
      <c r="F455" s="473"/>
      <c r="G455" s="473"/>
      <c r="H455" s="473"/>
      <c r="I455" s="473"/>
      <c r="J455" s="473"/>
      <c r="K455" s="473"/>
      <c r="L455" s="473"/>
      <c r="M455" s="473"/>
      <c r="N455" s="473"/>
      <c r="O455" s="473"/>
    </row>
    <row r="456" spans="2:15" s="503" customFormat="1" ht="24.6" hidden="1" customHeight="1" x14ac:dyDescent="0.2">
      <c r="B456" s="1770" t="s">
        <v>127</v>
      </c>
      <c r="C456" s="1771"/>
      <c r="D456" s="1760" t="s">
        <v>124</v>
      </c>
      <c r="E456" s="1760"/>
      <c r="F456" s="475" t="str">
        <f>IFERROR(IF(AND(F442="",F449=""),"",F449-F442),"")</f>
        <v/>
      </c>
      <c r="G456" s="475" t="str">
        <f t="shared" ref="G456:O456" si="119">IFERROR(IF(AND(G442="",G449=""),"",G449-G442),"")</f>
        <v/>
      </c>
      <c r="H456" s="475" t="str">
        <f t="shared" si="119"/>
        <v/>
      </c>
      <c r="I456" s="475" t="str">
        <f t="shared" si="119"/>
        <v/>
      </c>
      <c r="J456" s="475" t="str">
        <f t="shared" si="119"/>
        <v/>
      </c>
      <c r="K456" s="475" t="str">
        <f t="shared" si="119"/>
        <v/>
      </c>
      <c r="L456" s="475" t="str">
        <f t="shared" si="119"/>
        <v/>
      </c>
      <c r="M456" s="475" t="str">
        <f t="shared" si="119"/>
        <v/>
      </c>
      <c r="N456" s="475" t="str">
        <f t="shared" si="119"/>
        <v/>
      </c>
      <c r="O456" s="476" t="str">
        <f t="shared" si="119"/>
        <v/>
      </c>
    </row>
    <row r="457" spans="2:15" s="503" customFormat="1" ht="24.6" hidden="1" customHeight="1" thickBot="1" x14ac:dyDescent="0.25">
      <c r="B457" s="1772"/>
      <c r="C457" s="1773"/>
      <c r="D457" s="1761" t="s">
        <v>121</v>
      </c>
      <c r="E457" s="1761"/>
      <c r="F457" s="477" t="str">
        <f>IFERROR(IF(AND(F447="",F454=""),"",F454-F447),"")</f>
        <v/>
      </c>
      <c r="G457" s="477" t="str">
        <f t="shared" ref="G457:O457" si="120">IFERROR(IF(AND(G447="",G454=""),"",G454-G447),"")</f>
        <v/>
      </c>
      <c r="H457" s="477" t="str">
        <f t="shared" si="120"/>
        <v/>
      </c>
      <c r="I457" s="477" t="str">
        <f t="shared" si="120"/>
        <v/>
      </c>
      <c r="J457" s="477" t="str">
        <f t="shared" si="120"/>
        <v/>
      </c>
      <c r="K457" s="477" t="str">
        <f t="shared" si="120"/>
        <v/>
      </c>
      <c r="L457" s="477" t="str">
        <f t="shared" si="120"/>
        <v/>
      </c>
      <c r="M457" s="477" t="str">
        <f t="shared" si="120"/>
        <v/>
      </c>
      <c r="N457" s="477" t="str">
        <f t="shared" si="120"/>
        <v/>
      </c>
      <c r="O457" s="478" t="str">
        <f t="shared" si="120"/>
        <v/>
      </c>
    </row>
    <row r="458" spans="2:15" s="503" customFormat="1" ht="5.0999999999999996" hidden="1" customHeight="1" x14ac:dyDescent="0.2"/>
    <row r="459" spans="2:15" s="503" customFormat="1" ht="13.5" hidden="1" customHeight="1" x14ac:dyDescent="0.2">
      <c r="B459" s="68" t="s">
        <v>315</v>
      </c>
    </row>
    <row r="460" spans="2:15" s="503" customFormat="1" ht="13.5" hidden="1" customHeight="1" x14ac:dyDescent="0.2">
      <c r="B460" s="68"/>
    </row>
    <row r="461" spans="2:15" s="503" customFormat="1" ht="24.95" hidden="1" customHeight="1" x14ac:dyDescent="0.2">
      <c r="B461" s="421" t="s">
        <v>4774</v>
      </c>
    </row>
    <row r="462" spans="2:15" s="503" customFormat="1" ht="13.5" hidden="1" customHeight="1" x14ac:dyDescent="0.2">
      <c r="B462" s="1788" t="s">
        <v>118</v>
      </c>
      <c r="C462" s="1788"/>
      <c r="D462" s="1788"/>
      <c r="E462" s="1788"/>
      <c r="F462" s="1788"/>
      <c r="G462" s="1782"/>
      <c r="H462" s="1783"/>
      <c r="I462" s="68"/>
    </row>
    <row r="463" spans="2:15" s="503" customFormat="1" ht="13.5" hidden="1" customHeight="1" x14ac:dyDescent="0.2">
      <c r="B463" s="1788" t="s">
        <v>119</v>
      </c>
      <c r="C463" s="1788"/>
      <c r="D463" s="1788"/>
      <c r="E463" s="1788"/>
      <c r="F463" s="1789"/>
      <c r="G463" s="1784">
        <v>10</v>
      </c>
      <c r="H463" s="1785"/>
      <c r="I463" s="68"/>
    </row>
    <row r="464" spans="2:15" s="503" customFormat="1" ht="13.5" hidden="1" customHeight="1" x14ac:dyDescent="0.2">
      <c r="C464" s="89"/>
      <c r="D464" s="89"/>
      <c r="E464" s="89"/>
      <c r="F464" s="89"/>
      <c r="G464" s="89"/>
      <c r="H464" s="89"/>
      <c r="I464" s="68"/>
    </row>
    <row r="465" spans="2:15" s="503" customFormat="1" ht="18" hidden="1" customHeight="1" x14ac:dyDescent="0.2">
      <c r="B465" s="1762" t="s">
        <v>314</v>
      </c>
      <c r="C465" s="1786"/>
      <c r="D465" s="1762" t="s">
        <v>277</v>
      </c>
      <c r="E465" s="1763"/>
      <c r="F465" s="1792" t="s">
        <v>117</v>
      </c>
      <c r="G465" s="1793"/>
      <c r="H465" s="1793"/>
      <c r="I465" s="1793"/>
      <c r="J465" s="1793"/>
      <c r="K465" s="1793"/>
      <c r="L465" s="1793"/>
      <c r="M465" s="1793"/>
      <c r="N465" s="1793"/>
      <c r="O465" s="1794"/>
    </row>
    <row r="466" spans="2:15" s="503" customFormat="1" ht="13.5" hidden="1" customHeight="1" x14ac:dyDescent="0.2">
      <c r="B466" s="1764"/>
      <c r="C466" s="1787"/>
      <c r="D466" s="1764"/>
      <c r="E466" s="1765"/>
      <c r="F466" s="272">
        <v>1</v>
      </c>
      <c r="G466" s="272">
        <v>2</v>
      </c>
      <c r="H466" s="272">
        <v>3</v>
      </c>
      <c r="I466" s="272">
        <v>4</v>
      </c>
      <c r="J466" s="272">
        <v>5</v>
      </c>
      <c r="K466" s="272">
        <v>6</v>
      </c>
      <c r="L466" s="272">
        <v>7</v>
      </c>
      <c r="M466" s="272">
        <v>8</v>
      </c>
      <c r="N466" s="508">
        <v>9</v>
      </c>
      <c r="O466" s="272">
        <v>10</v>
      </c>
    </row>
    <row r="467" spans="2:15" s="503" customFormat="1" ht="5.0999999999999996" hidden="1" customHeight="1" x14ac:dyDescent="0.2"/>
    <row r="468" spans="2:15" s="503" customFormat="1" ht="24.6" hidden="1" customHeight="1" x14ac:dyDescent="0.2">
      <c r="B468" s="1774" t="s">
        <v>120</v>
      </c>
      <c r="C468" s="1774"/>
      <c r="D468" s="1780" t="s">
        <v>124</v>
      </c>
      <c r="E468" s="1780"/>
      <c r="F468" s="474" t="str">
        <f>IFERROR(IF(AND(F469="",F470="",F471="",F472=""),"",SUM(F469:F472)),"")</f>
        <v/>
      </c>
      <c r="G468" s="474" t="str">
        <f t="shared" ref="G468:O468" si="121">IFERROR(IF(AND(G469="",G470="",G471="",G472=""),"",SUM(G469:G472)),"")</f>
        <v/>
      </c>
      <c r="H468" s="474" t="str">
        <f t="shared" si="121"/>
        <v/>
      </c>
      <c r="I468" s="474" t="str">
        <f t="shared" si="121"/>
        <v/>
      </c>
      <c r="J468" s="474" t="str">
        <f t="shared" si="121"/>
        <v/>
      </c>
      <c r="K468" s="474" t="str">
        <f t="shared" si="121"/>
        <v/>
      </c>
      <c r="L468" s="474" t="str">
        <f t="shared" si="121"/>
        <v/>
      </c>
      <c r="M468" s="474" t="str">
        <f t="shared" si="121"/>
        <v/>
      </c>
      <c r="N468" s="474" t="str">
        <f t="shared" si="121"/>
        <v/>
      </c>
      <c r="O468" s="474" t="str">
        <f t="shared" si="121"/>
        <v/>
      </c>
    </row>
    <row r="469" spans="2:15" s="503" customFormat="1" ht="13.5" hidden="1" customHeight="1" x14ac:dyDescent="0.2">
      <c r="B469" s="1774"/>
      <c r="C469" s="1774"/>
      <c r="D469" s="1776" t="s">
        <v>122</v>
      </c>
      <c r="E469" s="1776"/>
      <c r="F469" s="472"/>
      <c r="G469" s="472"/>
      <c r="H469" s="472"/>
      <c r="I469" s="472"/>
      <c r="J469" s="472"/>
      <c r="K469" s="472"/>
      <c r="L469" s="472"/>
      <c r="M469" s="472"/>
      <c r="N469" s="472"/>
      <c r="O469" s="472"/>
    </row>
    <row r="470" spans="2:15" s="503" customFormat="1" ht="13.5" hidden="1" customHeight="1" x14ac:dyDescent="0.2">
      <c r="B470" s="1774"/>
      <c r="C470" s="1774"/>
      <c r="D470" s="1776" t="s">
        <v>123</v>
      </c>
      <c r="E470" s="1776"/>
      <c r="F470" s="472"/>
      <c r="G470" s="472"/>
      <c r="H470" s="472"/>
      <c r="I470" s="472"/>
      <c r="J470" s="472"/>
      <c r="K470" s="472"/>
      <c r="L470" s="472"/>
      <c r="M470" s="472"/>
      <c r="N470" s="472"/>
      <c r="O470" s="472"/>
    </row>
    <row r="471" spans="2:15" s="503" customFormat="1" ht="13.5" hidden="1" customHeight="1" x14ac:dyDescent="0.2">
      <c r="B471" s="1774"/>
      <c r="C471" s="1774"/>
      <c r="D471" s="1776" t="s">
        <v>64</v>
      </c>
      <c r="E471" s="1776"/>
      <c r="F471" s="472"/>
      <c r="G471" s="472"/>
      <c r="H471" s="472"/>
      <c r="I471" s="472"/>
      <c r="J471" s="472"/>
      <c r="K471" s="472"/>
      <c r="L471" s="472"/>
      <c r="M471" s="472"/>
      <c r="N471" s="472"/>
      <c r="O471" s="472"/>
    </row>
    <row r="472" spans="2:15" s="503" customFormat="1" ht="13.5" hidden="1" customHeight="1" x14ac:dyDescent="0.2">
      <c r="B472" s="1774"/>
      <c r="C472" s="1774"/>
      <c r="D472" s="1776" t="s">
        <v>71</v>
      </c>
      <c r="E472" s="1776"/>
      <c r="F472" s="472"/>
      <c r="G472" s="472"/>
      <c r="H472" s="472"/>
      <c r="I472" s="472"/>
      <c r="J472" s="472"/>
      <c r="K472" s="472"/>
      <c r="L472" s="472"/>
      <c r="M472" s="472"/>
      <c r="N472" s="472"/>
      <c r="O472" s="472"/>
    </row>
    <row r="473" spans="2:15" s="503" customFormat="1" ht="24.6" hidden="1" customHeight="1" x14ac:dyDescent="0.2">
      <c r="B473" s="1774"/>
      <c r="C473" s="1774"/>
      <c r="D473" s="1780" t="s">
        <v>121</v>
      </c>
      <c r="E473" s="1780"/>
      <c r="F473" s="474" t="str">
        <f>IFERROR(IF(F474="","",SUM(F474)),"")</f>
        <v/>
      </c>
      <c r="G473" s="474" t="str">
        <f t="shared" ref="G473:O473" si="122">IFERROR(IF(G474="","",SUM(G474)),"")</f>
        <v/>
      </c>
      <c r="H473" s="474" t="str">
        <f t="shared" si="122"/>
        <v/>
      </c>
      <c r="I473" s="474" t="str">
        <f t="shared" si="122"/>
        <v/>
      </c>
      <c r="J473" s="474" t="str">
        <f t="shared" si="122"/>
        <v/>
      </c>
      <c r="K473" s="474" t="str">
        <f t="shared" si="122"/>
        <v/>
      </c>
      <c r="L473" s="474" t="str">
        <f t="shared" si="122"/>
        <v/>
      </c>
      <c r="M473" s="474" t="str">
        <f t="shared" si="122"/>
        <v/>
      </c>
      <c r="N473" s="474" t="str">
        <f t="shared" si="122"/>
        <v/>
      </c>
      <c r="O473" s="474" t="str">
        <f t="shared" si="122"/>
        <v/>
      </c>
    </row>
    <row r="474" spans="2:15" s="503" customFormat="1" ht="13.5" hidden="1" customHeight="1" x14ac:dyDescent="0.2">
      <c r="B474" s="1774"/>
      <c r="C474" s="1774"/>
      <c r="D474" s="1776" t="s">
        <v>125</v>
      </c>
      <c r="E474" s="1776"/>
      <c r="F474" s="472"/>
      <c r="G474" s="472"/>
      <c r="H474" s="472"/>
      <c r="I474" s="472"/>
      <c r="J474" s="472"/>
      <c r="K474" s="472"/>
      <c r="L474" s="472"/>
      <c r="M474" s="472"/>
      <c r="N474" s="472"/>
      <c r="O474" s="472"/>
    </row>
    <row r="475" spans="2:15" s="503" customFormat="1" ht="24.6" hidden="1" customHeight="1" x14ac:dyDescent="0.2">
      <c r="B475" s="1774" t="s">
        <v>126</v>
      </c>
      <c r="C475" s="1774"/>
      <c r="D475" s="1780" t="s">
        <v>124</v>
      </c>
      <c r="E475" s="1780"/>
      <c r="F475" s="474" t="str">
        <f>IFERROR(IF(AND(F476="",F477="",F478="",F479=""),"",SUM(F476:F479)),"")</f>
        <v/>
      </c>
      <c r="G475" s="474" t="str">
        <f t="shared" ref="G475:O475" si="123">IFERROR(IF(AND(G476="",G477="",G478="",G479=""),"",SUM(G476:G479)),"")</f>
        <v/>
      </c>
      <c r="H475" s="474" t="str">
        <f t="shared" si="123"/>
        <v/>
      </c>
      <c r="I475" s="474" t="str">
        <f t="shared" si="123"/>
        <v/>
      </c>
      <c r="J475" s="474" t="str">
        <f t="shared" si="123"/>
        <v/>
      </c>
      <c r="K475" s="474" t="str">
        <f t="shared" si="123"/>
        <v/>
      </c>
      <c r="L475" s="474" t="str">
        <f t="shared" si="123"/>
        <v/>
      </c>
      <c r="M475" s="474" t="str">
        <f t="shared" si="123"/>
        <v/>
      </c>
      <c r="N475" s="474" t="str">
        <f t="shared" si="123"/>
        <v/>
      </c>
      <c r="O475" s="474" t="str">
        <f t="shared" si="123"/>
        <v/>
      </c>
    </row>
    <row r="476" spans="2:15" s="503" customFormat="1" ht="13.5" hidden="1" customHeight="1" x14ac:dyDescent="0.2">
      <c r="B476" s="1774"/>
      <c r="C476" s="1774"/>
      <c r="D476" s="1776" t="s">
        <v>122</v>
      </c>
      <c r="E476" s="1776"/>
      <c r="F476" s="472"/>
      <c r="G476" s="472"/>
      <c r="H476" s="472"/>
      <c r="I476" s="472"/>
      <c r="J476" s="472"/>
      <c r="K476" s="472"/>
      <c r="L476" s="472"/>
      <c r="M476" s="472"/>
      <c r="N476" s="472"/>
      <c r="O476" s="472"/>
    </row>
    <row r="477" spans="2:15" s="503" customFormat="1" ht="13.5" hidden="1" customHeight="1" x14ac:dyDescent="0.2">
      <c r="B477" s="1774"/>
      <c r="C477" s="1774"/>
      <c r="D477" s="1776" t="s">
        <v>123</v>
      </c>
      <c r="E477" s="1776"/>
      <c r="F477" s="472"/>
      <c r="G477" s="472"/>
      <c r="H477" s="472"/>
      <c r="I477" s="472"/>
      <c r="J477" s="472"/>
      <c r="K477" s="472"/>
      <c r="L477" s="472"/>
      <c r="M477" s="472"/>
      <c r="N477" s="472"/>
      <c r="O477" s="472"/>
    </row>
    <row r="478" spans="2:15" s="503" customFormat="1" ht="13.5" hidden="1" customHeight="1" x14ac:dyDescent="0.2">
      <c r="B478" s="1774"/>
      <c r="C478" s="1774"/>
      <c r="D478" s="1776" t="s">
        <v>64</v>
      </c>
      <c r="E478" s="1776"/>
      <c r="F478" s="472"/>
      <c r="G478" s="472"/>
      <c r="H478" s="472"/>
      <c r="I478" s="472"/>
      <c r="J478" s="472"/>
      <c r="K478" s="472"/>
      <c r="L478" s="472"/>
      <c r="M478" s="472"/>
      <c r="N478" s="472"/>
      <c r="O478" s="472"/>
    </row>
    <row r="479" spans="2:15" s="503" customFormat="1" ht="13.5" hidden="1" customHeight="1" x14ac:dyDescent="0.2">
      <c r="B479" s="1774"/>
      <c r="C479" s="1774"/>
      <c r="D479" s="1776" t="s">
        <v>71</v>
      </c>
      <c r="E479" s="1776"/>
      <c r="F479" s="472"/>
      <c r="G479" s="472"/>
      <c r="H479" s="472"/>
      <c r="I479" s="472"/>
      <c r="J479" s="472"/>
      <c r="K479" s="472"/>
      <c r="L479" s="472"/>
      <c r="M479" s="472"/>
      <c r="N479" s="472"/>
      <c r="O479" s="472"/>
    </row>
    <row r="480" spans="2:15" s="503" customFormat="1" ht="24.6" hidden="1" customHeight="1" x14ac:dyDescent="0.2">
      <c r="B480" s="1774"/>
      <c r="C480" s="1774"/>
      <c r="D480" s="1780" t="s">
        <v>121</v>
      </c>
      <c r="E480" s="1780"/>
      <c r="F480" s="474" t="str">
        <f>IFERROR(IF(F481="","",SUM(F481)),"")</f>
        <v/>
      </c>
      <c r="G480" s="474" t="str">
        <f t="shared" ref="G480:O480" si="124">IFERROR(IF(G481="","",SUM(G481)),"")</f>
        <v/>
      </c>
      <c r="H480" s="474" t="str">
        <f t="shared" si="124"/>
        <v/>
      </c>
      <c r="I480" s="474" t="str">
        <f t="shared" si="124"/>
        <v/>
      </c>
      <c r="J480" s="474" t="str">
        <f t="shared" si="124"/>
        <v/>
      </c>
      <c r="K480" s="474" t="str">
        <f t="shared" si="124"/>
        <v/>
      </c>
      <c r="L480" s="474" t="str">
        <f t="shared" si="124"/>
        <v/>
      </c>
      <c r="M480" s="474" t="str">
        <f t="shared" si="124"/>
        <v/>
      </c>
      <c r="N480" s="474" t="str">
        <f t="shared" si="124"/>
        <v/>
      </c>
      <c r="O480" s="474" t="str">
        <f t="shared" si="124"/>
        <v/>
      </c>
    </row>
    <row r="481" spans="2:15" s="503" customFormat="1" ht="13.5" hidden="1" customHeight="1" thickBot="1" x14ac:dyDescent="0.25">
      <c r="B481" s="1775"/>
      <c r="C481" s="1775"/>
      <c r="D481" s="1781" t="s">
        <v>125</v>
      </c>
      <c r="E481" s="1781"/>
      <c r="F481" s="473"/>
      <c r="G481" s="473"/>
      <c r="H481" s="473"/>
      <c r="I481" s="473"/>
      <c r="J481" s="473"/>
      <c r="K481" s="473"/>
      <c r="L481" s="473"/>
      <c r="M481" s="473"/>
      <c r="N481" s="473"/>
      <c r="O481" s="473"/>
    </row>
    <row r="482" spans="2:15" s="503" customFormat="1" ht="24.6" hidden="1" customHeight="1" x14ac:dyDescent="0.2">
      <c r="B482" s="1770" t="s">
        <v>127</v>
      </c>
      <c r="C482" s="1771"/>
      <c r="D482" s="1760" t="s">
        <v>124</v>
      </c>
      <c r="E482" s="1760"/>
      <c r="F482" s="475" t="str">
        <f>IFERROR(IF(AND(F468="",F475=""),"",F475-F468),"")</f>
        <v/>
      </c>
      <c r="G482" s="475" t="str">
        <f t="shared" ref="G482:O482" si="125">IFERROR(IF(AND(G468="",G475=""),"",G475-G468),"")</f>
        <v/>
      </c>
      <c r="H482" s="475" t="str">
        <f t="shared" si="125"/>
        <v/>
      </c>
      <c r="I482" s="475" t="str">
        <f t="shared" si="125"/>
        <v/>
      </c>
      <c r="J482" s="475" t="str">
        <f t="shared" si="125"/>
        <v/>
      </c>
      <c r="K482" s="475" t="str">
        <f t="shared" si="125"/>
        <v/>
      </c>
      <c r="L482" s="475" t="str">
        <f t="shared" si="125"/>
        <v/>
      </c>
      <c r="M482" s="475" t="str">
        <f t="shared" si="125"/>
        <v/>
      </c>
      <c r="N482" s="475" t="str">
        <f t="shared" si="125"/>
        <v/>
      </c>
      <c r="O482" s="476" t="str">
        <f t="shared" si="125"/>
        <v/>
      </c>
    </row>
    <row r="483" spans="2:15" s="503" customFormat="1" ht="24.6" hidden="1" customHeight="1" thickBot="1" x14ac:dyDescent="0.25">
      <c r="B483" s="1772"/>
      <c r="C483" s="1773"/>
      <c r="D483" s="1761" t="s">
        <v>121</v>
      </c>
      <c r="E483" s="1761"/>
      <c r="F483" s="477" t="str">
        <f>IFERROR(IF(AND(F473="",F480=""),"",F480-F473),"")</f>
        <v/>
      </c>
      <c r="G483" s="477" t="str">
        <f t="shared" ref="G483:O483" si="126">IFERROR(IF(AND(G473="",G480=""),"",G480-G473),"")</f>
        <v/>
      </c>
      <c r="H483" s="477" t="str">
        <f t="shared" si="126"/>
        <v/>
      </c>
      <c r="I483" s="477" t="str">
        <f t="shared" si="126"/>
        <v/>
      </c>
      <c r="J483" s="477" t="str">
        <f t="shared" si="126"/>
        <v/>
      </c>
      <c r="K483" s="477" t="str">
        <f t="shared" si="126"/>
        <v/>
      </c>
      <c r="L483" s="477" t="str">
        <f t="shared" si="126"/>
        <v/>
      </c>
      <c r="M483" s="477" t="str">
        <f t="shared" si="126"/>
        <v/>
      </c>
      <c r="N483" s="477" t="str">
        <f t="shared" si="126"/>
        <v/>
      </c>
      <c r="O483" s="478" t="str">
        <f t="shared" si="126"/>
        <v/>
      </c>
    </row>
    <row r="484" spans="2:15" s="503" customFormat="1" ht="5.0999999999999996" hidden="1" customHeight="1" x14ac:dyDescent="0.2"/>
    <row r="485" spans="2:15" s="503" customFormat="1" ht="13.5" hidden="1" customHeight="1" x14ac:dyDescent="0.2">
      <c r="B485" s="68" t="s">
        <v>315</v>
      </c>
    </row>
    <row r="486" spans="2:15" s="503" customFormat="1" ht="13.5" hidden="1" customHeight="1" x14ac:dyDescent="0.2">
      <c r="B486" s="68"/>
    </row>
    <row r="487" spans="2:15" s="503" customFormat="1" ht="24.95" hidden="1" customHeight="1" x14ac:dyDescent="0.2">
      <c r="B487" s="421" t="s">
        <v>4773</v>
      </c>
    </row>
    <row r="488" spans="2:15" s="503" customFormat="1" ht="13.5" hidden="1" customHeight="1" x14ac:dyDescent="0.2">
      <c r="B488" s="1788" t="s">
        <v>118</v>
      </c>
      <c r="C488" s="1788"/>
      <c r="D488" s="1788"/>
      <c r="E488" s="1788"/>
      <c r="F488" s="1788"/>
      <c r="G488" s="1782"/>
      <c r="H488" s="1783"/>
      <c r="I488" s="68"/>
    </row>
    <row r="489" spans="2:15" s="503" customFormat="1" ht="13.5" hidden="1" customHeight="1" x14ac:dyDescent="0.2">
      <c r="B489" s="1788" t="s">
        <v>119</v>
      </c>
      <c r="C489" s="1788"/>
      <c r="D489" s="1788"/>
      <c r="E489" s="1788"/>
      <c r="F489" s="1789"/>
      <c r="G489" s="1784">
        <v>10</v>
      </c>
      <c r="H489" s="1785"/>
      <c r="I489" s="68"/>
    </row>
    <row r="490" spans="2:15" s="503" customFormat="1" ht="13.5" hidden="1" customHeight="1" x14ac:dyDescent="0.2">
      <c r="C490" s="89"/>
      <c r="D490" s="89"/>
      <c r="E490" s="89"/>
      <c r="F490" s="89"/>
      <c r="G490" s="89"/>
      <c r="H490" s="89"/>
      <c r="I490" s="68"/>
    </row>
    <row r="491" spans="2:15" s="503" customFormat="1" ht="18" hidden="1" customHeight="1" x14ac:dyDescent="0.2">
      <c r="B491" s="1762" t="s">
        <v>314</v>
      </c>
      <c r="C491" s="1786"/>
      <c r="D491" s="1762" t="s">
        <v>277</v>
      </c>
      <c r="E491" s="1763"/>
      <c r="F491" s="1792" t="s">
        <v>117</v>
      </c>
      <c r="G491" s="1793"/>
      <c r="H491" s="1793"/>
      <c r="I491" s="1793"/>
      <c r="J491" s="1793"/>
      <c r="K491" s="1793"/>
      <c r="L491" s="1793"/>
      <c r="M491" s="1793"/>
      <c r="N491" s="1793"/>
      <c r="O491" s="1794"/>
    </row>
    <row r="492" spans="2:15" s="503" customFormat="1" ht="13.5" hidden="1" customHeight="1" x14ac:dyDescent="0.2">
      <c r="B492" s="1764"/>
      <c r="C492" s="1787"/>
      <c r="D492" s="1764"/>
      <c r="E492" s="1765"/>
      <c r="F492" s="272">
        <v>1</v>
      </c>
      <c r="G492" s="272">
        <v>2</v>
      </c>
      <c r="H492" s="272">
        <v>3</v>
      </c>
      <c r="I492" s="272">
        <v>4</v>
      </c>
      <c r="J492" s="272">
        <v>5</v>
      </c>
      <c r="K492" s="272">
        <v>6</v>
      </c>
      <c r="L492" s="272">
        <v>7</v>
      </c>
      <c r="M492" s="272">
        <v>8</v>
      </c>
      <c r="N492" s="508">
        <v>9</v>
      </c>
      <c r="O492" s="272">
        <v>10</v>
      </c>
    </row>
    <row r="493" spans="2:15" s="503" customFormat="1" ht="5.0999999999999996" hidden="1" customHeight="1" x14ac:dyDescent="0.2"/>
    <row r="494" spans="2:15" s="503" customFormat="1" ht="24.6" hidden="1" customHeight="1" x14ac:dyDescent="0.2">
      <c r="B494" s="1774" t="s">
        <v>120</v>
      </c>
      <c r="C494" s="1774"/>
      <c r="D494" s="1780" t="s">
        <v>124</v>
      </c>
      <c r="E494" s="1780"/>
      <c r="F494" s="474" t="str">
        <f>IFERROR(IF(AND(F495="",F496="",F497="",F498=""),"",SUM(F495:F498)),"")</f>
        <v/>
      </c>
      <c r="G494" s="474" t="str">
        <f t="shared" ref="G494:O494" si="127">IFERROR(IF(AND(G495="",G496="",G497="",G498=""),"",SUM(G495:G498)),"")</f>
        <v/>
      </c>
      <c r="H494" s="474" t="str">
        <f t="shared" si="127"/>
        <v/>
      </c>
      <c r="I494" s="474" t="str">
        <f t="shared" si="127"/>
        <v/>
      </c>
      <c r="J494" s="474" t="str">
        <f t="shared" si="127"/>
        <v/>
      </c>
      <c r="K494" s="474" t="str">
        <f t="shared" si="127"/>
        <v/>
      </c>
      <c r="L494" s="474" t="str">
        <f t="shared" si="127"/>
        <v/>
      </c>
      <c r="M494" s="474" t="str">
        <f t="shared" si="127"/>
        <v/>
      </c>
      <c r="N494" s="474" t="str">
        <f t="shared" si="127"/>
        <v/>
      </c>
      <c r="O494" s="474" t="str">
        <f t="shared" si="127"/>
        <v/>
      </c>
    </row>
    <row r="495" spans="2:15" s="503" customFormat="1" ht="13.5" hidden="1" customHeight="1" x14ac:dyDescent="0.2">
      <c r="B495" s="1774"/>
      <c r="C495" s="1774"/>
      <c r="D495" s="1776" t="s">
        <v>122</v>
      </c>
      <c r="E495" s="1776"/>
      <c r="F495" s="472"/>
      <c r="G495" s="472"/>
      <c r="H495" s="472"/>
      <c r="I495" s="472"/>
      <c r="J495" s="472"/>
      <c r="K495" s="472"/>
      <c r="L495" s="472"/>
      <c r="M495" s="472"/>
      <c r="N495" s="472"/>
      <c r="O495" s="472"/>
    </row>
    <row r="496" spans="2:15" s="503" customFormat="1" ht="13.5" hidden="1" customHeight="1" x14ac:dyDescent="0.2">
      <c r="B496" s="1774"/>
      <c r="C496" s="1774"/>
      <c r="D496" s="1776" t="s">
        <v>123</v>
      </c>
      <c r="E496" s="1776"/>
      <c r="F496" s="472"/>
      <c r="G496" s="472"/>
      <c r="H496" s="472"/>
      <c r="I496" s="472"/>
      <c r="J496" s="472"/>
      <c r="K496" s="472"/>
      <c r="L496" s="472"/>
      <c r="M496" s="472"/>
      <c r="N496" s="472"/>
      <c r="O496" s="472"/>
    </row>
    <row r="497" spans="2:15" s="503" customFormat="1" ht="13.5" hidden="1" customHeight="1" x14ac:dyDescent="0.2">
      <c r="B497" s="1774"/>
      <c r="C497" s="1774"/>
      <c r="D497" s="1776" t="s">
        <v>64</v>
      </c>
      <c r="E497" s="1776"/>
      <c r="F497" s="472"/>
      <c r="G497" s="472"/>
      <c r="H497" s="472"/>
      <c r="I497" s="472"/>
      <c r="J497" s="472"/>
      <c r="K497" s="472"/>
      <c r="L497" s="472"/>
      <c r="M497" s="472"/>
      <c r="N497" s="472"/>
      <c r="O497" s="472"/>
    </row>
    <row r="498" spans="2:15" s="503" customFormat="1" ht="13.5" hidden="1" customHeight="1" x14ac:dyDescent="0.2">
      <c r="B498" s="1774"/>
      <c r="C498" s="1774"/>
      <c r="D498" s="1776" t="s">
        <v>71</v>
      </c>
      <c r="E498" s="1776"/>
      <c r="F498" s="472"/>
      <c r="G498" s="472"/>
      <c r="H498" s="472"/>
      <c r="I498" s="472"/>
      <c r="J498" s="472"/>
      <c r="K498" s="472"/>
      <c r="L498" s="472"/>
      <c r="M498" s="472"/>
      <c r="N498" s="472"/>
      <c r="O498" s="472"/>
    </row>
    <row r="499" spans="2:15" s="503" customFormat="1" ht="24.6" hidden="1" customHeight="1" x14ac:dyDescent="0.2">
      <c r="B499" s="1774"/>
      <c r="C499" s="1774"/>
      <c r="D499" s="1780" t="s">
        <v>121</v>
      </c>
      <c r="E499" s="1780"/>
      <c r="F499" s="474" t="str">
        <f>IFERROR(IF(F500="","",SUM(F500)),"")</f>
        <v/>
      </c>
      <c r="G499" s="474" t="str">
        <f t="shared" ref="G499:O499" si="128">IFERROR(IF(G500="","",SUM(G500)),"")</f>
        <v/>
      </c>
      <c r="H499" s="474" t="str">
        <f t="shared" si="128"/>
        <v/>
      </c>
      <c r="I499" s="474" t="str">
        <f t="shared" si="128"/>
        <v/>
      </c>
      <c r="J499" s="474" t="str">
        <f t="shared" si="128"/>
        <v/>
      </c>
      <c r="K499" s="474" t="str">
        <f t="shared" si="128"/>
        <v/>
      </c>
      <c r="L499" s="474" t="str">
        <f t="shared" si="128"/>
        <v/>
      </c>
      <c r="M499" s="474" t="str">
        <f t="shared" si="128"/>
        <v/>
      </c>
      <c r="N499" s="474" t="str">
        <f t="shared" si="128"/>
        <v/>
      </c>
      <c r="O499" s="474" t="str">
        <f t="shared" si="128"/>
        <v/>
      </c>
    </row>
    <row r="500" spans="2:15" s="503" customFormat="1" ht="13.5" hidden="1" customHeight="1" x14ac:dyDescent="0.2">
      <c r="B500" s="1774"/>
      <c r="C500" s="1774"/>
      <c r="D500" s="1776" t="s">
        <v>125</v>
      </c>
      <c r="E500" s="1776"/>
      <c r="F500" s="472"/>
      <c r="G500" s="472"/>
      <c r="H500" s="472"/>
      <c r="I500" s="472"/>
      <c r="J500" s="472"/>
      <c r="K500" s="472"/>
      <c r="L500" s="472"/>
      <c r="M500" s="472"/>
      <c r="N500" s="472"/>
      <c r="O500" s="472"/>
    </row>
    <row r="501" spans="2:15" s="503" customFormat="1" ht="24.6" hidden="1" customHeight="1" x14ac:dyDescent="0.2">
      <c r="B501" s="1774" t="s">
        <v>126</v>
      </c>
      <c r="C501" s="1774"/>
      <c r="D501" s="1780" t="s">
        <v>124</v>
      </c>
      <c r="E501" s="1780"/>
      <c r="F501" s="474" t="str">
        <f>IFERROR(IF(AND(F502="",F503="",F504="",F505=""),"",SUM(F502:F505)),"")</f>
        <v/>
      </c>
      <c r="G501" s="474" t="str">
        <f t="shared" ref="G501:O501" si="129">IFERROR(IF(AND(G502="",G503="",G504="",G505=""),"",SUM(G502:G505)),"")</f>
        <v/>
      </c>
      <c r="H501" s="474" t="str">
        <f t="shared" si="129"/>
        <v/>
      </c>
      <c r="I501" s="474" t="str">
        <f t="shared" si="129"/>
        <v/>
      </c>
      <c r="J501" s="474" t="str">
        <f t="shared" si="129"/>
        <v/>
      </c>
      <c r="K501" s="474" t="str">
        <f t="shared" si="129"/>
        <v/>
      </c>
      <c r="L501" s="474" t="str">
        <f t="shared" si="129"/>
        <v/>
      </c>
      <c r="M501" s="474" t="str">
        <f t="shared" si="129"/>
        <v/>
      </c>
      <c r="N501" s="474" t="str">
        <f t="shared" si="129"/>
        <v/>
      </c>
      <c r="O501" s="474" t="str">
        <f t="shared" si="129"/>
        <v/>
      </c>
    </row>
    <row r="502" spans="2:15" s="503" customFormat="1" ht="13.5" hidden="1" customHeight="1" x14ac:dyDescent="0.2">
      <c r="B502" s="1774"/>
      <c r="C502" s="1774"/>
      <c r="D502" s="1776" t="s">
        <v>122</v>
      </c>
      <c r="E502" s="1776"/>
      <c r="F502" s="472"/>
      <c r="G502" s="472"/>
      <c r="H502" s="472"/>
      <c r="I502" s="472"/>
      <c r="J502" s="472"/>
      <c r="K502" s="472"/>
      <c r="L502" s="472"/>
      <c r="M502" s="472"/>
      <c r="N502" s="472"/>
      <c r="O502" s="472"/>
    </row>
    <row r="503" spans="2:15" s="503" customFormat="1" ht="13.5" hidden="1" customHeight="1" x14ac:dyDescent="0.2">
      <c r="B503" s="1774"/>
      <c r="C503" s="1774"/>
      <c r="D503" s="1776" t="s">
        <v>123</v>
      </c>
      <c r="E503" s="1776"/>
      <c r="F503" s="472"/>
      <c r="G503" s="472"/>
      <c r="H503" s="472"/>
      <c r="I503" s="472"/>
      <c r="J503" s="472"/>
      <c r="K503" s="472"/>
      <c r="L503" s="472"/>
      <c r="M503" s="472"/>
      <c r="N503" s="472"/>
      <c r="O503" s="472"/>
    </row>
    <row r="504" spans="2:15" s="503" customFormat="1" ht="13.5" hidden="1" customHeight="1" x14ac:dyDescent="0.2">
      <c r="B504" s="1774"/>
      <c r="C504" s="1774"/>
      <c r="D504" s="1776" t="s">
        <v>64</v>
      </c>
      <c r="E504" s="1776"/>
      <c r="F504" s="472"/>
      <c r="G504" s="472"/>
      <c r="H504" s="472"/>
      <c r="I504" s="472"/>
      <c r="J504" s="472"/>
      <c r="K504" s="472"/>
      <c r="L504" s="472"/>
      <c r="M504" s="472"/>
      <c r="N504" s="472"/>
      <c r="O504" s="472"/>
    </row>
    <row r="505" spans="2:15" s="503" customFormat="1" ht="13.5" hidden="1" customHeight="1" x14ac:dyDescent="0.2">
      <c r="B505" s="1774"/>
      <c r="C505" s="1774"/>
      <c r="D505" s="1776" t="s">
        <v>71</v>
      </c>
      <c r="E505" s="1776"/>
      <c r="F505" s="472"/>
      <c r="G505" s="472"/>
      <c r="H505" s="472"/>
      <c r="I505" s="472"/>
      <c r="J505" s="472"/>
      <c r="K505" s="472"/>
      <c r="L505" s="472"/>
      <c r="M505" s="472"/>
      <c r="N505" s="472"/>
      <c r="O505" s="472"/>
    </row>
    <row r="506" spans="2:15" s="503" customFormat="1" ht="24.6" hidden="1" customHeight="1" x14ac:dyDescent="0.2">
      <c r="B506" s="1774"/>
      <c r="C506" s="1774"/>
      <c r="D506" s="1780" t="s">
        <v>121</v>
      </c>
      <c r="E506" s="1780"/>
      <c r="F506" s="474" t="str">
        <f>IFERROR(IF(F507="","",SUM(F507)),"")</f>
        <v/>
      </c>
      <c r="G506" s="474" t="str">
        <f t="shared" ref="G506:O506" si="130">IFERROR(IF(G507="","",SUM(G507)),"")</f>
        <v/>
      </c>
      <c r="H506" s="474" t="str">
        <f t="shared" si="130"/>
        <v/>
      </c>
      <c r="I506" s="474" t="str">
        <f t="shared" si="130"/>
        <v/>
      </c>
      <c r="J506" s="474" t="str">
        <f t="shared" si="130"/>
        <v/>
      </c>
      <c r="K506" s="474" t="str">
        <f t="shared" si="130"/>
        <v/>
      </c>
      <c r="L506" s="474" t="str">
        <f t="shared" si="130"/>
        <v/>
      </c>
      <c r="M506" s="474" t="str">
        <f t="shared" si="130"/>
        <v/>
      </c>
      <c r="N506" s="474" t="str">
        <f t="shared" si="130"/>
        <v/>
      </c>
      <c r="O506" s="474" t="str">
        <f t="shared" si="130"/>
        <v/>
      </c>
    </row>
    <row r="507" spans="2:15" s="503" customFormat="1" ht="13.5" hidden="1" customHeight="1" thickBot="1" x14ac:dyDescent="0.25">
      <c r="B507" s="1775"/>
      <c r="C507" s="1775"/>
      <c r="D507" s="1781" t="s">
        <v>125</v>
      </c>
      <c r="E507" s="1781"/>
      <c r="F507" s="472"/>
      <c r="G507" s="472"/>
      <c r="H507" s="472"/>
      <c r="I507" s="472"/>
      <c r="J507" s="472"/>
      <c r="K507" s="472"/>
      <c r="L507" s="472"/>
      <c r="M507" s="472"/>
      <c r="N507" s="472"/>
      <c r="O507" s="472"/>
    </row>
    <row r="508" spans="2:15" s="503" customFormat="1" ht="24.6" hidden="1" customHeight="1" x14ac:dyDescent="0.2">
      <c r="B508" s="1770" t="s">
        <v>127</v>
      </c>
      <c r="C508" s="1771"/>
      <c r="D508" s="1760" t="s">
        <v>124</v>
      </c>
      <c r="E508" s="1760"/>
      <c r="F508" s="475" t="str">
        <f>IFERROR(IF(AND(F494="",F501=""),"",F501-F494),"")</f>
        <v/>
      </c>
      <c r="G508" s="475" t="str">
        <f t="shared" ref="G508:O508" si="131">IFERROR(IF(AND(G494="",G501=""),"",G501-G494),"")</f>
        <v/>
      </c>
      <c r="H508" s="475" t="str">
        <f t="shared" si="131"/>
        <v/>
      </c>
      <c r="I508" s="475" t="str">
        <f t="shared" si="131"/>
        <v/>
      </c>
      <c r="J508" s="475" t="str">
        <f t="shared" si="131"/>
        <v/>
      </c>
      <c r="K508" s="475" t="str">
        <f t="shared" si="131"/>
        <v/>
      </c>
      <c r="L508" s="475" t="str">
        <f t="shared" si="131"/>
        <v/>
      </c>
      <c r="M508" s="475" t="str">
        <f t="shared" si="131"/>
        <v/>
      </c>
      <c r="N508" s="475" t="str">
        <f t="shared" si="131"/>
        <v/>
      </c>
      <c r="O508" s="476" t="str">
        <f t="shared" si="131"/>
        <v/>
      </c>
    </row>
    <row r="509" spans="2:15" s="503" customFormat="1" ht="24.6" hidden="1" customHeight="1" thickBot="1" x14ac:dyDescent="0.25">
      <c r="B509" s="1772"/>
      <c r="C509" s="1773"/>
      <c r="D509" s="1761" t="s">
        <v>121</v>
      </c>
      <c r="E509" s="1761"/>
      <c r="F509" s="477" t="str">
        <f>IFERROR(IF(AND(F499="",F506=""),"",F506-F499),"")</f>
        <v/>
      </c>
      <c r="G509" s="477" t="str">
        <f t="shared" ref="G509:O509" si="132">IFERROR(IF(AND(G499="",G506=""),"",G506-G499),"")</f>
        <v/>
      </c>
      <c r="H509" s="477" t="str">
        <f t="shared" si="132"/>
        <v/>
      </c>
      <c r="I509" s="477" t="str">
        <f t="shared" si="132"/>
        <v/>
      </c>
      <c r="J509" s="477" t="str">
        <f t="shared" si="132"/>
        <v/>
      </c>
      <c r="K509" s="477" t="str">
        <f t="shared" si="132"/>
        <v/>
      </c>
      <c r="L509" s="477" t="str">
        <f t="shared" si="132"/>
        <v/>
      </c>
      <c r="M509" s="477" t="str">
        <f t="shared" si="132"/>
        <v/>
      </c>
      <c r="N509" s="477" t="str">
        <f t="shared" si="132"/>
        <v/>
      </c>
      <c r="O509" s="478" t="str">
        <f t="shared" si="132"/>
        <v/>
      </c>
    </row>
    <row r="510" spans="2:15" s="503" customFormat="1" ht="5.0999999999999996" hidden="1" customHeight="1" x14ac:dyDescent="0.2"/>
    <row r="511" spans="2:15" s="503" customFormat="1" ht="13.5" hidden="1" customHeight="1" x14ac:dyDescent="0.2">
      <c r="B511" s="68" t="s">
        <v>315</v>
      </c>
    </row>
    <row r="512" spans="2:15" s="503" customFormat="1" ht="13.5" hidden="1" customHeight="1" x14ac:dyDescent="0.2">
      <c r="B512" s="68"/>
    </row>
    <row r="513" spans="1:21" s="69" customFormat="1" ht="34.5" customHeight="1" x14ac:dyDescent="0.25">
      <c r="B513" s="1766" t="s">
        <v>4920</v>
      </c>
      <c r="C513" s="1766"/>
      <c r="D513" s="1766"/>
      <c r="E513" s="1766"/>
      <c r="F513" s="1766"/>
      <c r="G513" s="1766"/>
      <c r="H513" s="1766"/>
      <c r="I513" s="253"/>
      <c r="J513" s="253"/>
      <c r="K513" s="253"/>
      <c r="L513" s="253"/>
      <c r="M513" s="253"/>
    </row>
    <row r="514" spans="1:21" s="503" customFormat="1" ht="24.95" customHeight="1" x14ac:dyDescent="0.2">
      <c r="B514" s="195" t="s">
        <v>4771</v>
      </c>
      <c r="C514" s="56"/>
      <c r="D514" s="56"/>
      <c r="E514" s="56"/>
      <c r="F514" s="56"/>
      <c r="G514" s="56"/>
      <c r="H514" s="56"/>
      <c r="I514" s="56"/>
      <c r="J514" s="56"/>
      <c r="K514" s="56"/>
      <c r="L514" s="56"/>
      <c r="M514" s="56"/>
    </row>
    <row r="515" spans="1:21" s="503" customFormat="1" ht="12.75" x14ac:dyDescent="0.2">
      <c r="B515" s="104" t="s">
        <v>128</v>
      </c>
      <c r="C515" s="56"/>
      <c r="F515" s="1778"/>
      <c r="G515" s="1779"/>
      <c r="H515" s="85" t="s">
        <v>129</v>
      </c>
      <c r="K515" s="56"/>
      <c r="L515" s="56"/>
      <c r="M515" s="56"/>
    </row>
    <row r="516" spans="1:21" s="503" customFormat="1" ht="12.75" x14ac:dyDescent="0.2">
      <c r="B516" s="104" t="s">
        <v>130</v>
      </c>
      <c r="F516" s="1184"/>
      <c r="G516" s="1185"/>
      <c r="K516" s="56"/>
      <c r="L516" s="56"/>
      <c r="M516" s="56"/>
      <c r="T516" s="497"/>
    </row>
    <row r="517" spans="1:21" s="503" customFormat="1" ht="12.75" x14ac:dyDescent="0.2">
      <c r="B517" s="104" t="s">
        <v>131</v>
      </c>
      <c r="F517" s="1257"/>
      <c r="G517" s="1777"/>
      <c r="H517" s="85" t="s">
        <v>132</v>
      </c>
      <c r="K517" s="56"/>
      <c r="L517" s="56"/>
      <c r="M517" s="56"/>
    </row>
    <row r="518" spans="1:21" s="503" customFormat="1" ht="12.75" x14ac:dyDescent="0.2">
      <c r="B518" s="56"/>
      <c r="C518" s="56"/>
      <c r="D518" s="56"/>
      <c r="E518" s="56"/>
      <c r="F518" s="56"/>
      <c r="G518" s="56"/>
      <c r="H518" s="56"/>
      <c r="I518" s="56"/>
      <c r="J518" s="56"/>
      <c r="K518" s="56"/>
      <c r="L518" s="56"/>
      <c r="M518" s="56"/>
    </row>
    <row r="519" spans="1:21" s="503" customFormat="1" ht="15" customHeight="1" x14ac:dyDescent="0.2">
      <c r="B519" s="1196" t="s">
        <v>378</v>
      </c>
      <c r="C519" s="1196"/>
      <c r="D519" s="1196"/>
      <c r="E519" s="1196"/>
      <c r="F519" s="1196"/>
      <c r="G519" s="1197" t="s">
        <v>106</v>
      </c>
      <c r="H519" s="1197"/>
      <c r="I519" s="1196" t="s">
        <v>133</v>
      </c>
      <c r="J519" s="1196"/>
      <c r="K519" s="1196"/>
      <c r="L519" s="1196"/>
      <c r="M519" s="1196"/>
      <c r="N519" s="1196"/>
      <c r="O519" s="1196"/>
      <c r="P519" s="1196"/>
      <c r="Q519" s="1197" t="s">
        <v>134</v>
      </c>
      <c r="R519" s="1197"/>
    </row>
    <row r="520" spans="1:21" s="503" customFormat="1" ht="27" customHeight="1" x14ac:dyDescent="0.2">
      <c r="B520" s="1197" t="s">
        <v>4872</v>
      </c>
      <c r="C520" s="1197"/>
      <c r="D520" s="1197"/>
      <c r="E520" s="1197" t="s">
        <v>105</v>
      </c>
      <c r="F520" s="1197"/>
      <c r="G520" s="1197"/>
      <c r="H520" s="1197"/>
      <c r="I520" s="1196" t="str">
        <f>IF(AND($F$516="MES",$F$517&gt;=1),"MES 01",IF(AND($F$516="BIMESTRE",$F$517&gt;=1),"BIMESTRE 01",IF(AND($F$516="TRIMESTRE",$F$517&gt;=1),"TRIMESTRE 01",IF(AND($F$516="SEMESTRE",$F$517&gt;=1),"SEMESTRE 01",IF(AND($F$516="AÑO",$F$517&gt;=1),"AÑO 01","")))))</f>
        <v/>
      </c>
      <c r="J520" s="1196" t="str">
        <f>IF(AND($F$516="MES",$F$517&gt;=2),"MES 02",IF(AND($F$516="BIMESTRE",$F$517&gt;=2),"BIMESTRE 02",IF(AND($F$516="TRIMESTRE",$F$517&gt;=2),"TRIMESTRE 02",IF(AND($F$516="SEMESTRE",$F$517&gt;=2),"SEMESTRE 02",IF(AND($F$516="AÑO",$F$517&gt;=2),"AÑO 02","")))))</f>
        <v/>
      </c>
      <c r="K520" s="1196" t="str">
        <f>IF(AND($F$516="MES",$F$517&gt;=3),"MES 03",IF(AND($F$516="BIMESTRE",$F$517&gt;=3),"BIMESTRE 03",IF(AND($F$516="TRIMESTRE",$F$517&gt;=3),"TRIMESTRE 03",IF(AND($F$516="SEMESTRE",$F$517&gt;=3),"SEMESTRE 03",IF(AND($F$516="AÑO",$F$517&gt;=3),"AÑO 03","")))))</f>
        <v/>
      </c>
      <c r="L520" s="1196" t="str">
        <f>IF(AND($F$516="MES",$F$517&gt;=4),"MES 04",IF(AND($F$516="BIMESTRE",$F$517&gt;=4),"BIMESTRE 04",IF(AND($F$516="TRIMESTRE",$F$517&gt;=4),"TRIMESTRE 04",IF(AND($F$516="SEMESTRE",$F$517&gt;=4),"SEMESTRE 04",IF(AND($F$516="AÑO",$F$517&gt;=4),"","")))))</f>
        <v/>
      </c>
      <c r="M520" s="1196" t="str">
        <f>IF(AND($F$516="MES",$F$517&gt;=5),"MES 05",IF(AND($F$516="BIMESTRE",$F$517&gt;=5),"BIMESTRE 05",IF(AND($F$516="TRIMESTRE",$F$517&gt;=5),"TRIMESTRE 05",IF(AND($F$516="SEMESTRE",$F$517&gt;=5),"SEMESTRE 05",IF(AND($F$516="AÑO",$F$517&gt;=5),"","")))))</f>
        <v/>
      </c>
      <c r="N520" s="1196" t="str">
        <f>IF(AND($F$516="MES",$F$517&gt;=6),"MES 06",IF(AND($F$516="BIMESTRE",$F$517&gt;=6),"BIMESTRE 06",IF(AND($F$516="TRIMESTRE",$F$517&gt;=6),"TRIMESTRE 06",IF(AND($F$516="SEMESTRE",$F$517&gt;=6),"SEMESTRE 06",IF(AND($F$516="AÑO",$F$517&gt;=6),"","")))))</f>
        <v/>
      </c>
      <c r="O520" s="1196" t="str">
        <f>IF(AND($F$516="MES",$F$517&gt;=7),"MES 07",IF(AND($F$516="BIMESTRE",$F$517&gt;=7),"BIMESTRE 07",IF(AND($F$516="TRIMESTRE",$F$517&gt;=7),"TRIMESTRE 07",IF(AND($F$516="SEMESTRE",$F$517&gt;=7),"SEMESTRE 07",IF(AND($F$516="AÑO",$F$517&gt;=7),"","")))))</f>
        <v/>
      </c>
      <c r="P520" s="1196" t="str">
        <f>IF(AND($F$516="MES",$F$517=8),"MES 08",IF(AND($F$516="BIMESTRE",$F$517=8),"BIMESTRE 08",IF(AND($F$516="TRIMESTRE",$F$517=8),"TRIMESTRE 08",IF(AND($F$516="SEMESTRE",$F$517=8),"SEMESTRE 08",IF(AND($F$516="AÑO",$F$517=8),"","")))))</f>
        <v/>
      </c>
      <c r="Q520" s="1197"/>
      <c r="R520" s="1197"/>
    </row>
    <row r="521" spans="1:21" s="503" customFormat="1" ht="12.75" x14ac:dyDescent="0.2">
      <c r="B521" s="1197"/>
      <c r="C521" s="1197"/>
      <c r="D521" s="1197"/>
      <c r="E521" s="1197"/>
      <c r="F521" s="1197"/>
      <c r="G521" s="1197"/>
      <c r="H521" s="1197"/>
      <c r="I521" s="1196"/>
      <c r="J521" s="1196"/>
      <c r="K521" s="1196"/>
      <c r="L521" s="1196"/>
      <c r="M521" s="1196"/>
      <c r="N521" s="1196"/>
      <c r="O521" s="1196"/>
      <c r="P521" s="1196"/>
      <c r="Q521" s="1197"/>
      <c r="R521" s="1197"/>
    </row>
    <row r="522" spans="1:21" s="503" customFormat="1" ht="8.1" customHeight="1" x14ac:dyDescent="0.2">
      <c r="I522" s="56"/>
      <c r="J522" s="56"/>
      <c r="K522" s="56"/>
      <c r="L522" s="56"/>
      <c r="M522" s="56"/>
    </row>
    <row r="523" spans="1:21" s="69" customFormat="1" ht="24.95" customHeight="1" x14ac:dyDescent="0.2">
      <c r="A523" s="503"/>
      <c r="B523" s="448" t="str">
        <f>IFERROR(IF(B20="","",B20),"")</f>
        <v>Factor de Producción:</v>
      </c>
      <c r="C523" s="449"/>
      <c r="D523" s="449" t="str">
        <f>IFERROR(IF(D20="","",D20),"")</f>
        <v>Infraestructura</v>
      </c>
      <c r="E523" s="449"/>
      <c r="F523" s="449"/>
      <c r="G523" s="449"/>
      <c r="H523" s="449"/>
      <c r="I523" s="449"/>
      <c r="J523" s="449"/>
      <c r="K523" s="449"/>
      <c r="L523" s="449"/>
      <c r="M523" s="449"/>
      <c r="N523" s="449"/>
      <c r="O523" s="449"/>
      <c r="P523" s="449"/>
      <c r="Q523" s="449"/>
      <c r="R523" s="459"/>
    </row>
    <row r="524" spans="1:21" s="69" customFormat="1" ht="60" customHeight="1" x14ac:dyDescent="0.2">
      <c r="A524" s="503"/>
      <c r="B524" s="1248" t="str">
        <f>IFERROR(IF(B21="","",B21),"")</f>
        <v/>
      </c>
      <c r="C524" s="1248"/>
      <c r="D524" s="1248"/>
      <c r="E524" s="1250" t="str">
        <f>IFERROR(IF(E21="","",E21),"")</f>
        <v/>
      </c>
      <c r="F524" s="1252"/>
      <c r="G524" s="1250" t="str">
        <f>IFERROR(IF(G21="","",G21),"")</f>
        <v/>
      </c>
      <c r="H524" s="1252"/>
      <c r="I524" s="274"/>
      <c r="J524" s="274"/>
      <c r="K524" s="274"/>
      <c r="L524" s="274"/>
      <c r="M524" s="274"/>
      <c r="N524" s="274"/>
      <c r="O524" s="274"/>
      <c r="P524" s="274"/>
      <c r="Q524" s="1707" t="str">
        <f t="shared" ref="Q524:Q532" si="133">IFERROR(IF(AND(I524="",J524="",K524="",L524="",M524="",N524="",O524="",P524=""),"",SUM(I524:P524)),"")</f>
        <v/>
      </c>
      <c r="R524" s="1708"/>
      <c r="T524" s="557"/>
      <c r="U524" s="557"/>
    </row>
    <row r="525" spans="1:21" s="69" customFormat="1" ht="60" hidden="1" customHeight="1" x14ac:dyDescent="0.2">
      <c r="A525" s="503"/>
      <c r="B525" s="1248" t="str">
        <f t="shared" ref="B525:B539" si="134">IFERROR(IF(B22="","",B22),"")</f>
        <v/>
      </c>
      <c r="C525" s="1248"/>
      <c r="D525" s="1248"/>
      <c r="E525" s="1250" t="str">
        <f t="shared" ref="E525:E539" si="135">IFERROR(IF(E22="","",E22),"")</f>
        <v/>
      </c>
      <c r="F525" s="1252"/>
      <c r="G525" s="1250" t="str">
        <f t="shared" ref="G525:G539" si="136">IFERROR(IF(G22="","",G22),"")</f>
        <v/>
      </c>
      <c r="H525" s="1252"/>
      <c r="I525" s="274"/>
      <c r="J525" s="274"/>
      <c r="K525" s="274"/>
      <c r="L525" s="274"/>
      <c r="M525" s="274"/>
      <c r="N525" s="274"/>
      <c r="O525" s="274"/>
      <c r="P525" s="274"/>
      <c r="Q525" s="1707" t="str">
        <f t="shared" si="133"/>
        <v/>
      </c>
      <c r="R525" s="1708"/>
      <c r="T525" s="557"/>
      <c r="U525" s="557"/>
    </row>
    <row r="526" spans="1:21" s="69" customFormat="1" ht="60" hidden="1" customHeight="1" x14ac:dyDescent="0.2">
      <c r="A526" s="503"/>
      <c r="B526" s="1248" t="str">
        <f t="shared" si="134"/>
        <v/>
      </c>
      <c r="C526" s="1248"/>
      <c r="D526" s="1248"/>
      <c r="E526" s="1250" t="str">
        <f t="shared" si="135"/>
        <v/>
      </c>
      <c r="F526" s="1252"/>
      <c r="G526" s="1250" t="str">
        <f t="shared" si="136"/>
        <v/>
      </c>
      <c r="H526" s="1252"/>
      <c r="I526" s="274"/>
      <c r="J526" s="274"/>
      <c r="K526" s="274"/>
      <c r="L526" s="274"/>
      <c r="M526" s="274"/>
      <c r="N526" s="274"/>
      <c r="O526" s="274"/>
      <c r="P526" s="274"/>
      <c r="Q526" s="1707" t="str">
        <f t="shared" si="133"/>
        <v/>
      </c>
      <c r="R526" s="1708"/>
    </row>
    <row r="527" spans="1:21" s="69" customFormat="1" ht="60" hidden="1" customHeight="1" x14ac:dyDescent="0.2">
      <c r="A527" s="503"/>
      <c r="B527" s="1248" t="str">
        <f t="shared" si="134"/>
        <v/>
      </c>
      <c r="C527" s="1248"/>
      <c r="D527" s="1248"/>
      <c r="E527" s="1250" t="str">
        <f t="shared" si="135"/>
        <v/>
      </c>
      <c r="F527" s="1252"/>
      <c r="G527" s="1250" t="str">
        <f t="shared" si="136"/>
        <v/>
      </c>
      <c r="H527" s="1252"/>
      <c r="I527" s="274"/>
      <c r="J527" s="274"/>
      <c r="K527" s="274"/>
      <c r="L527" s="274"/>
      <c r="M527" s="274"/>
      <c r="N527" s="274"/>
      <c r="O527" s="274"/>
      <c r="P527" s="274"/>
      <c r="Q527" s="1707" t="str">
        <f t="shared" si="133"/>
        <v/>
      </c>
      <c r="R527" s="1708"/>
    </row>
    <row r="528" spans="1:21" s="69" customFormat="1" ht="60" hidden="1" customHeight="1" x14ac:dyDescent="0.2">
      <c r="A528" s="503"/>
      <c r="B528" s="1248" t="str">
        <f t="shared" si="134"/>
        <v/>
      </c>
      <c r="C528" s="1248"/>
      <c r="D528" s="1248"/>
      <c r="E528" s="1250" t="str">
        <f t="shared" si="135"/>
        <v/>
      </c>
      <c r="F528" s="1252"/>
      <c r="G528" s="1250" t="str">
        <f t="shared" si="136"/>
        <v/>
      </c>
      <c r="H528" s="1252"/>
      <c r="I528" s="274"/>
      <c r="J528" s="274"/>
      <c r="K528" s="274"/>
      <c r="L528" s="274"/>
      <c r="M528" s="274"/>
      <c r="N528" s="274"/>
      <c r="O528" s="274"/>
      <c r="P528" s="274"/>
      <c r="Q528" s="1707" t="str">
        <f t="shared" si="133"/>
        <v/>
      </c>
      <c r="R528" s="1708"/>
    </row>
    <row r="529" spans="1:18" s="69" customFormat="1" ht="60" hidden="1" customHeight="1" x14ac:dyDescent="0.2">
      <c r="A529" s="503"/>
      <c r="B529" s="1248" t="str">
        <f t="shared" si="134"/>
        <v/>
      </c>
      <c r="C529" s="1248"/>
      <c r="D529" s="1248"/>
      <c r="E529" s="1250" t="str">
        <f t="shared" si="135"/>
        <v/>
      </c>
      <c r="F529" s="1252"/>
      <c r="G529" s="1250" t="str">
        <f t="shared" si="136"/>
        <v/>
      </c>
      <c r="H529" s="1252"/>
      <c r="I529" s="274"/>
      <c r="J529" s="274"/>
      <c r="K529" s="274"/>
      <c r="L529" s="274"/>
      <c r="M529" s="274"/>
      <c r="N529" s="274"/>
      <c r="O529" s="274"/>
      <c r="P529" s="274"/>
      <c r="Q529" s="1707" t="str">
        <f t="shared" si="133"/>
        <v/>
      </c>
      <c r="R529" s="1708"/>
    </row>
    <row r="530" spans="1:18" s="69" customFormat="1" ht="60" hidden="1" customHeight="1" x14ac:dyDescent="0.2">
      <c r="A530" s="503"/>
      <c r="B530" s="1248" t="str">
        <f t="shared" si="134"/>
        <v/>
      </c>
      <c r="C530" s="1248"/>
      <c r="D530" s="1248"/>
      <c r="E530" s="1250" t="str">
        <f t="shared" si="135"/>
        <v/>
      </c>
      <c r="F530" s="1252"/>
      <c r="G530" s="1250" t="str">
        <f t="shared" si="136"/>
        <v/>
      </c>
      <c r="H530" s="1252"/>
      <c r="I530" s="274"/>
      <c r="J530" s="274"/>
      <c r="K530" s="274"/>
      <c r="L530" s="274"/>
      <c r="M530" s="274"/>
      <c r="N530" s="274"/>
      <c r="O530" s="274"/>
      <c r="P530" s="274"/>
      <c r="Q530" s="1707" t="str">
        <f t="shared" si="133"/>
        <v/>
      </c>
      <c r="R530" s="1708"/>
    </row>
    <row r="531" spans="1:18" s="69" customFormat="1" ht="60" hidden="1" customHeight="1" x14ac:dyDescent="0.2">
      <c r="A531" s="503"/>
      <c r="B531" s="1248" t="str">
        <f t="shared" si="134"/>
        <v/>
      </c>
      <c r="C531" s="1248"/>
      <c r="D531" s="1248"/>
      <c r="E531" s="1250" t="str">
        <f t="shared" si="135"/>
        <v/>
      </c>
      <c r="F531" s="1252"/>
      <c r="G531" s="1250" t="str">
        <f t="shared" si="136"/>
        <v/>
      </c>
      <c r="H531" s="1252"/>
      <c r="I531" s="274"/>
      <c r="J531" s="274"/>
      <c r="K531" s="274"/>
      <c r="L531" s="274"/>
      <c r="M531" s="274"/>
      <c r="N531" s="274"/>
      <c r="O531" s="274"/>
      <c r="P531" s="274"/>
      <c r="Q531" s="1707" t="str">
        <f t="shared" si="133"/>
        <v/>
      </c>
      <c r="R531" s="1708"/>
    </row>
    <row r="532" spans="1:18" s="69" customFormat="1" ht="60" hidden="1" customHeight="1" x14ac:dyDescent="0.2">
      <c r="A532" s="503"/>
      <c r="B532" s="1248" t="str">
        <f t="shared" si="134"/>
        <v/>
      </c>
      <c r="C532" s="1248"/>
      <c r="D532" s="1248"/>
      <c r="E532" s="1250" t="str">
        <f t="shared" si="135"/>
        <v/>
      </c>
      <c r="F532" s="1252"/>
      <c r="G532" s="1250" t="str">
        <f t="shared" si="136"/>
        <v/>
      </c>
      <c r="H532" s="1252"/>
      <c r="I532" s="274"/>
      <c r="J532" s="274"/>
      <c r="K532" s="274"/>
      <c r="L532" s="274"/>
      <c r="M532" s="274"/>
      <c r="N532" s="274"/>
      <c r="O532" s="274"/>
      <c r="P532" s="274"/>
      <c r="Q532" s="1707" t="str">
        <f t="shared" si="133"/>
        <v/>
      </c>
      <c r="R532" s="1708"/>
    </row>
    <row r="533" spans="1:18" s="69" customFormat="1" ht="15.95" customHeight="1" x14ac:dyDescent="0.2">
      <c r="A533" s="503"/>
      <c r="B533" s="1729" t="str">
        <f>IFERROR(IF(B30="","",B30),"")</f>
        <v>Medidas de Reducción del riesgo de desastres y mitigación ambiental</v>
      </c>
      <c r="C533" s="1730"/>
      <c r="D533" s="1730"/>
      <c r="E533" s="1730"/>
      <c r="F533" s="1730"/>
      <c r="G533" s="1730"/>
      <c r="H533" s="1730"/>
      <c r="I533" s="1730"/>
      <c r="J533" s="1730"/>
      <c r="K533" s="1730"/>
      <c r="L533" s="1730"/>
      <c r="M533" s="1730"/>
      <c r="N533" s="1730"/>
      <c r="O533" s="1730"/>
      <c r="P533" s="1730"/>
      <c r="Q533" s="1730"/>
      <c r="R533" s="1731"/>
    </row>
    <row r="534" spans="1:18" s="69" customFormat="1" ht="60" hidden="1" customHeight="1" x14ac:dyDescent="0.2">
      <c r="A534" s="503"/>
      <c r="B534" s="1248" t="str">
        <f t="shared" si="134"/>
        <v/>
      </c>
      <c r="C534" s="1248"/>
      <c r="D534" s="1248"/>
      <c r="E534" s="1250" t="str">
        <f t="shared" si="135"/>
        <v/>
      </c>
      <c r="F534" s="1252"/>
      <c r="G534" s="1250" t="str">
        <f t="shared" si="136"/>
        <v/>
      </c>
      <c r="H534" s="1252"/>
      <c r="I534" s="274"/>
      <c r="J534" s="274"/>
      <c r="K534" s="274"/>
      <c r="L534" s="274"/>
      <c r="M534" s="274"/>
      <c r="N534" s="274"/>
      <c r="O534" s="274"/>
      <c r="P534" s="274"/>
      <c r="Q534" s="1707" t="str">
        <f t="shared" ref="Q534:Q539" si="137">IFERROR(IF(AND(I534="",J534="",K534="",L534="",M534="",N534="",O534="",P534=""),"",SUM(I534:P534)),"")</f>
        <v/>
      </c>
      <c r="R534" s="1708"/>
    </row>
    <row r="535" spans="1:18" s="69" customFormat="1" ht="60" hidden="1" customHeight="1" x14ac:dyDescent="0.2">
      <c r="A535" s="503"/>
      <c r="B535" s="1248" t="str">
        <f t="shared" si="134"/>
        <v/>
      </c>
      <c r="C535" s="1248"/>
      <c r="D535" s="1248"/>
      <c r="E535" s="1250" t="str">
        <f t="shared" si="135"/>
        <v/>
      </c>
      <c r="F535" s="1252"/>
      <c r="G535" s="1250" t="str">
        <f t="shared" si="136"/>
        <v/>
      </c>
      <c r="H535" s="1252"/>
      <c r="I535" s="274"/>
      <c r="J535" s="274"/>
      <c r="K535" s="274"/>
      <c r="L535" s="274"/>
      <c r="M535" s="274"/>
      <c r="N535" s="274"/>
      <c r="O535" s="274"/>
      <c r="P535" s="274"/>
      <c r="Q535" s="1707" t="str">
        <f t="shared" si="137"/>
        <v/>
      </c>
      <c r="R535" s="1708"/>
    </row>
    <row r="536" spans="1:18" s="69" customFormat="1" ht="60" hidden="1" customHeight="1" x14ac:dyDescent="0.2">
      <c r="A536" s="503"/>
      <c r="B536" s="1248" t="str">
        <f t="shared" si="134"/>
        <v/>
      </c>
      <c r="C536" s="1248"/>
      <c r="D536" s="1248"/>
      <c r="E536" s="1250" t="str">
        <f t="shared" si="135"/>
        <v/>
      </c>
      <c r="F536" s="1252"/>
      <c r="G536" s="1250" t="str">
        <f t="shared" si="136"/>
        <v/>
      </c>
      <c r="H536" s="1252"/>
      <c r="I536" s="274"/>
      <c r="J536" s="274"/>
      <c r="K536" s="274"/>
      <c r="L536" s="274"/>
      <c r="M536" s="274"/>
      <c r="N536" s="274"/>
      <c r="O536" s="274"/>
      <c r="P536" s="274"/>
      <c r="Q536" s="1707" t="str">
        <f t="shared" si="137"/>
        <v/>
      </c>
      <c r="R536" s="1708"/>
    </row>
    <row r="537" spans="1:18" s="69" customFormat="1" ht="60" hidden="1" customHeight="1" x14ac:dyDescent="0.2">
      <c r="A537" s="503"/>
      <c r="B537" s="1248" t="str">
        <f t="shared" si="134"/>
        <v/>
      </c>
      <c r="C537" s="1248"/>
      <c r="D537" s="1248"/>
      <c r="E537" s="1250" t="str">
        <f t="shared" si="135"/>
        <v/>
      </c>
      <c r="F537" s="1252"/>
      <c r="G537" s="1250" t="str">
        <f t="shared" si="136"/>
        <v/>
      </c>
      <c r="H537" s="1252"/>
      <c r="I537" s="274"/>
      <c r="J537" s="274"/>
      <c r="K537" s="274"/>
      <c r="L537" s="274"/>
      <c r="M537" s="274"/>
      <c r="N537" s="274"/>
      <c r="O537" s="274"/>
      <c r="P537" s="274"/>
      <c r="Q537" s="1707" t="str">
        <f t="shared" si="137"/>
        <v/>
      </c>
      <c r="R537" s="1708"/>
    </row>
    <row r="538" spans="1:18" s="69" customFormat="1" ht="60" hidden="1" customHeight="1" x14ac:dyDescent="0.2">
      <c r="A538" s="503"/>
      <c r="B538" s="1248" t="str">
        <f t="shared" si="134"/>
        <v/>
      </c>
      <c r="C538" s="1248"/>
      <c r="D538" s="1248"/>
      <c r="E538" s="1250" t="str">
        <f t="shared" si="135"/>
        <v/>
      </c>
      <c r="F538" s="1252"/>
      <c r="G538" s="1250" t="str">
        <f t="shared" si="136"/>
        <v/>
      </c>
      <c r="H538" s="1252"/>
      <c r="I538" s="274"/>
      <c r="J538" s="274"/>
      <c r="K538" s="274"/>
      <c r="L538" s="274"/>
      <c r="M538" s="274"/>
      <c r="N538" s="274"/>
      <c r="O538" s="274"/>
      <c r="P538" s="274"/>
      <c r="Q538" s="1707" t="str">
        <f t="shared" si="137"/>
        <v/>
      </c>
      <c r="R538" s="1708"/>
    </row>
    <row r="539" spans="1:18" s="69" customFormat="1" ht="60" hidden="1" customHeight="1" x14ac:dyDescent="0.2">
      <c r="A539" s="503"/>
      <c r="B539" s="1248" t="str">
        <f t="shared" si="134"/>
        <v/>
      </c>
      <c r="C539" s="1248"/>
      <c r="D539" s="1248"/>
      <c r="E539" s="1250" t="str">
        <f t="shared" si="135"/>
        <v/>
      </c>
      <c r="F539" s="1252"/>
      <c r="G539" s="1250" t="str">
        <f t="shared" si="136"/>
        <v/>
      </c>
      <c r="H539" s="1252"/>
      <c r="I539" s="274"/>
      <c r="J539" s="274"/>
      <c r="K539" s="274"/>
      <c r="L539" s="274"/>
      <c r="M539" s="274"/>
      <c r="N539" s="274"/>
      <c r="O539" s="274"/>
      <c r="P539" s="274"/>
      <c r="Q539" s="1707" t="str">
        <f t="shared" si="137"/>
        <v/>
      </c>
      <c r="R539" s="1708"/>
    </row>
    <row r="540" spans="1:18" s="69" customFormat="1" ht="24.95" customHeight="1" x14ac:dyDescent="0.2">
      <c r="A540" s="503"/>
      <c r="B540" s="448" t="str">
        <f>IFERROR(IF(B53="","",B53),"")</f>
        <v>Factor de Producción:</v>
      </c>
      <c r="C540" s="449"/>
      <c r="D540" s="449" t="str">
        <f>IFERROR(IF(D53="","",D53),"")</f>
        <v>Intangibles</v>
      </c>
      <c r="E540" s="449"/>
      <c r="F540" s="449"/>
      <c r="G540" s="449"/>
      <c r="H540" s="449"/>
      <c r="I540" s="449"/>
      <c r="J540" s="449"/>
      <c r="K540" s="449"/>
      <c r="L540" s="449"/>
      <c r="M540" s="449"/>
      <c r="N540" s="449"/>
      <c r="O540" s="449"/>
      <c r="P540" s="449"/>
      <c r="Q540" s="449"/>
      <c r="R540" s="459"/>
    </row>
    <row r="541" spans="1:18" s="69" customFormat="1" ht="60" customHeight="1" x14ac:dyDescent="0.2">
      <c r="A541" s="503"/>
      <c r="B541" s="1248" t="str">
        <f>IFERROR(IF(B54="","",B54),"")</f>
        <v/>
      </c>
      <c r="C541" s="1248"/>
      <c r="D541" s="1248"/>
      <c r="E541" s="1250" t="str">
        <f>IFERROR(IF(E54="","",E54),"")</f>
        <v/>
      </c>
      <c r="F541" s="1252"/>
      <c r="G541" s="1250" t="str">
        <f>IFERROR(IF(G54="","",G54),"")</f>
        <v/>
      </c>
      <c r="H541" s="1252"/>
      <c r="I541" s="274"/>
      <c r="J541" s="274"/>
      <c r="K541" s="274"/>
      <c r="L541" s="274"/>
      <c r="M541" s="274"/>
      <c r="N541" s="274"/>
      <c r="O541" s="274"/>
      <c r="P541" s="274"/>
      <c r="Q541" s="1707" t="str">
        <f t="shared" ref="Q541:Q561" si="138">IFERROR(IF(AND(I541="",J541="",K541="",L541="",M541="",N541="",O541="",P541=""),"",SUM(I541:P541)),"")</f>
        <v/>
      </c>
      <c r="R541" s="1708"/>
    </row>
    <row r="542" spans="1:18" s="69" customFormat="1" ht="60" hidden="1" customHeight="1" x14ac:dyDescent="0.2">
      <c r="A542" s="503"/>
      <c r="B542" s="1248" t="str">
        <f t="shared" ref="B542:B568" si="139">IFERROR(IF(B55="","",B55),"")</f>
        <v/>
      </c>
      <c r="C542" s="1248"/>
      <c r="D542" s="1248"/>
      <c r="E542" s="1250" t="str">
        <f t="shared" ref="E542:E568" si="140">IFERROR(IF(E55="","",E55),"")</f>
        <v/>
      </c>
      <c r="F542" s="1252"/>
      <c r="G542" s="1250" t="str">
        <f t="shared" ref="G542:G568" si="141">IFERROR(IF(G55="","",G55),"")</f>
        <v/>
      </c>
      <c r="H542" s="1252"/>
      <c r="I542" s="274"/>
      <c r="J542" s="274"/>
      <c r="K542" s="274"/>
      <c r="L542" s="274"/>
      <c r="M542" s="274"/>
      <c r="N542" s="274"/>
      <c r="O542" s="274"/>
      <c r="P542" s="274"/>
      <c r="Q542" s="1707" t="str">
        <f t="shared" si="138"/>
        <v/>
      </c>
      <c r="R542" s="1708"/>
    </row>
    <row r="543" spans="1:18" s="69" customFormat="1" ht="60" hidden="1" customHeight="1" x14ac:dyDescent="0.2">
      <c r="A543" s="503"/>
      <c r="B543" s="1248" t="str">
        <f t="shared" si="139"/>
        <v/>
      </c>
      <c r="C543" s="1248"/>
      <c r="D543" s="1248"/>
      <c r="E543" s="1250" t="str">
        <f t="shared" si="140"/>
        <v/>
      </c>
      <c r="F543" s="1252"/>
      <c r="G543" s="1250" t="str">
        <f t="shared" si="141"/>
        <v/>
      </c>
      <c r="H543" s="1252"/>
      <c r="I543" s="274"/>
      <c r="J543" s="274"/>
      <c r="K543" s="274"/>
      <c r="L543" s="274"/>
      <c r="M543" s="274"/>
      <c r="N543" s="274"/>
      <c r="O543" s="274"/>
      <c r="P543" s="274"/>
      <c r="Q543" s="1707" t="str">
        <f t="shared" si="138"/>
        <v/>
      </c>
      <c r="R543" s="1708"/>
    </row>
    <row r="544" spans="1:18" s="69" customFormat="1" ht="60" hidden="1" customHeight="1" x14ac:dyDescent="0.2">
      <c r="A544" s="503"/>
      <c r="B544" s="1248" t="str">
        <f t="shared" si="139"/>
        <v/>
      </c>
      <c r="C544" s="1248"/>
      <c r="D544" s="1248"/>
      <c r="E544" s="1250" t="str">
        <f t="shared" si="140"/>
        <v/>
      </c>
      <c r="F544" s="1252"/>
      <c r="G544" s="1250" t="str">
        <f t="shared" si="141"/>
        <v/>
      </c>
      <c r="H544" s="1252"/>
      <c r="I544" s="274"/>
      <c r="J544" s="274"/>
      <c r="K544" s="274"/>
      <c r="L544" s="274"/>
      <c r="M544" s="274"/>
      <c r="N544" s="274"/>
      <c r="O544" s="274"/>
      <c r="P544" s="274"/>
      <c r="Q544" s="1707" t="str">
        <f t="shared" si="138"/>
        <v/>
      </c>
      <c r="R544" s="1708"/>
    </row>
    <row r="545" spans="1:18" s="69" customFormat="1" ht="60" hidden="1" customHeight="1" x14ac:dyDescent="0.2">
      <c r="A545" s="503"/>
      <c r="B545" s="1248" t="str">
        <f t="shared" si="139"/>
        <v/>
      </c>
      <c r="C545" s="1248"/>
      <c r="D545" s="1248"/>
      <c r="E545" s="1250" t="str">
        <f t="shared" si="140"/>
        <v/>
      </c>
      <c r="F545" s="1252"/>
      <c r="G545" s="1250" t="str">
        <f t="shared" si="141"/>
        <v/>
      </c>
      <c r="H545" s="1252"/>
      <c r="I545" s="274"/>
      <c r="J545" s="274"/>
      <c r="K545" s="274"/>
      <c r="L545" s="274"/>
      <c r="M545" s="274"/>
      <c r="N545" s="274"/>
      <c r="O545" s="274"/>
      <c r="P545" s="274"/>
      <c r="Q545" s="1707" t="str">
        <f t="shared" si="138"/>
        <v/>
      </c>
      <c r="R545" s="1708"/>
    </row>
    <row r="546" spans="1:18" s="69" customFormat="1" ht="60" hidden="1" customHeight="1" x14ac:dyDescent="0.2">
      <c r="A546" s="503"/>
      <c r="B546" s="1248" t="str">
        <f t="shared" si="139"/>
        <v/>
      </c>
      <c r="C546" s="1248"/>
      <c r="D546" s="1248"/>
      <c r="E546" s="1250" t="str">
        <f t="shared" si="140"/>
        <v/>
      </c>
      <c r="F546" s="1252"/>
      <c r="G546" s="1250" t="str">
        <f t="shared" si="141"/>
        <v/>
      </c>
      <c r="H546" s="1252"/>
      <c r="I546" s="274"/>
      <c r="J546" s="274"/>
      <c r="K546" s="274"/>
      <c r="L546" s="274"/>
      <c r="M546" s="274"/>
      <c r="N546" s="274"/>
      <c r="O546" s="274"/>
      <c r="P546" s="274"/>
      <c r="Q546" s="1707" t="str">
        <f t="shared" si="138"/>
        <v/>
      </c>
      <c r="R546" s="1708"/>
    </row>
    <row r="547" spans="1:18" s="69" customFormat="1" ht="60" hidden="1" customHeight="1" x14ac:dyDescent="0.2">
      <c r="A547" s="503"/>
      <c r="B547" s="1248" t="str">
        <f t="shared" si="139"/>
        <v/>
      </c>
      <c r="C547" s="1248"/>
      <c r="D547" s="1248"/>
      <c r="E547" s="1250" t="str">
        <f t="shared" si="140"/>
        <v/>
      </c>
      <c r="F547" s="1252"/>
      <c r="G547" s="1250" t="str">
        <f t="shared" si="141"/>
        <v/>
      </c>
      <c r="H547" s="1252"/>
      <c r="I547" s="274"/>
      <c r="J547" s="274"/>
      <c r="K547" s="274"/>
      <c r="L547" s="274"/>
      <c r="M547" s="274"/>
      <c r="N547" s="274"/>
      <c r="O547" s="274"/>
      <c r="P547" s="274"/>
      <c r="Q547" s="1707" t="str">
        <f t="shared" si="138"/>
        <v/>
      </c>
      <c r="R547" s="1708"/>
    </row>
    <row r="548" spans="1:18" s="69" customFormat="1" ht="60" hidden="1" customHeight="1" x14ac:dyDescent="0.2">
      <c r="A548" s="503"/>
      <c r="B548" s="1248" t="str">
        <f t="shared" si="139"/>
        <v/>
      </c>
      <c r="C548" s="1248"/>
      <c r="D548" s="1248"/>
      <c r="E548" s="1250" t="str">
        <f t="shared" si="140"/>
        <v/>
      </c>
      <c r="F548" s="1252"/>
      <c r="G548" s="1250" t="str">
        <f t="shared" si="141"/>
        <v/>
      </c>
      <c r="H548" s="1252"/>
      <c r="I548" s="274"/>
      <c r="J548" s="274"/>
      <c r="K548" s="274"/>
      <c r="L548" s="274"/>
      <c r="M548" s="274"/>
      <c r="N548" s="274"/>
      <c r="O548" s="274"/>
      <c r="P548" s="274"/>
      <c r="Q548" s="1707" t="str">
        <f t="shared" si="138"/>
        <v/>
      </c>
      <c r="R548" s="1708"/>
    </row>
    <row r="549" spans="1:18" s="69" customFormat="1" ht="60" hidden="1" customHeight="1" x14ac:dyDescent="0.2">
      <c r="A549" s="503"/>
      <c r="B549" s="1248" t="str">
        <f t="shared" si="139"/>
        <v/>
      </c>
      <c r="C549" s="1248"/>
      <c r="D549" s="1248"/>
      <c r="E549" s="1250" t="str">
        <f t="shared" si="140"/>
        <v/>
      </c>
      <c r="F549" s="1252"/>
      <c r="G549" s="1250" t="str">
        <f t="shared" si="141"/>
        <v/>
      </c>
      <c r="H549" s="1252"/>
      <c r="I549" s="274"/>
      <c r="J549" s="274"/>
      <c r="K549" s="274"/>
      <c r="L549" s="274"/>
      <c r="M549" s="274"/>
      <c r="N549" s="274"/>
      <c r="O549" s="274"/>
      <c r="P549" s="274"/>
      <c r="Q549" s="1707" t="str">
        <f t="shared" si="138"/>
        <v/>
      </c>
      <c r="R549" s="1708"/>
    </row>
    <row r="550" spans="1:18" s="69" customFormat="1" ht="60" hidden="1" customHeight="1" x14ac:dyDescent="0.2">
      <c r="A550" s="503"/>
      <c r="B550" s="1248" t="str">
        <f t="shared" si="139"/>
        <v/>
      </c>
      <c r="C550" s="1248"/>
      <c r="D550" s="1248"/>
      <c r="E550" s="1250" t="str">
        <f t="shared" si="140"/>
        <v/>
      </c>
      <c r="F550" s="1252"/>
      <c r="G550" s="1250" t="str">
        <f t="shared" si="141"/>
        <v/>
      </c>
      <c r="H550" s="1252"/>
      <c r="I550" s="274"/>
      <c r="J550" s="274"/>
      <c r="K550" s="274"/>
      <c r="L550" s="274"/>
      <c r="M550" s="274"/>
      <c r="N550" s="274"/>
      <c r="O550" s="274"/>
      <c r="P550" s="274"/>
      <c r="Q550" s="1707" t="str">
        <f t="shared" si="138"/>
        <v/>
      </c>
      <c r="R550" s="1708"/>
    </row>
    <row r="551" spans="1:18" s="69" customFormat="1" ht="60" hidden="1" customHeight="1" x14ac:dyDescent="0.2">
      <c r="A551" s="503"/>
      <c r="B551" s="1248" t="str">
        <f t="shared" si="139"/>
        <v/>
      </c>
      <c r="C551" s="1248"/>
      <c r="D551" s="1248"/>
      <c r="E551" s="1250" t="str">
        <f t="shared" si="140"/>
        <v/>
      </c>
      <c r="F551" s="1252"/>
      <c r="G551" s="1250" t="str">
        <f t="shared" si="141"/>
        <v/>
      </c>
      <c r="H551" s="1252"/>
      <c r="I551" s="274"/>
      <c r="J551" s="274"/>
      <c r="K551" s="274"/>
      <c r="L551" s="274"/>
      <c r="M551" s="274"/>
      <c r="N551" s="274"/>
      <c r="O551" s="274"/>
      <c r="P551" s="274"/>
      <c r="Q551" s="1707" t="str">
        <f t="shared" si="138"/>
        <v/>
      </c>
      <c r="R551" s="1708"/>
    </row>
    <row r="552" spans="1:18" s="69" customFormat="1" ht="60" hidden="1" customHeight="1" x14ac:dyDescent="0.2">
      <c r="A552" s="503"/>
      <c r="B552" s="1248" t="str">
        <f t="shared" si="139"/>
        <v/>
      </c>
      <c r="C552" s="1248"/>
      <c r="D552" s="1248"/>
      <c r="E552" s="1250" t="str">
        <f t="shared" si="140"/>
        <v/>
      </c>
      <c r="F552" s="1252"/>
      <c r="G552" s="1250" t="str">
        <f t="shared" si="141"/>
        <v/>
      </c>
      <c r="H552" s="1252"/>
      <c r="I552" s="274"/>
      <c r="J552" s="274"/>
      <c r="K552" s="274"/>
      <c r="L552" s="274"/>
      <c r="M552" s="274"/>
      <c r="N552" s="274"/>
      <c r="O552" s="274"/>
      <c r="P552" s="274"/>
      <c r="Q552" s="1707" t="str">
        <f t="shared" si="138"/>
        <v/>
      </c>
      <c r="R552" s="1708"/>
    </row>
    <row r="553" spans="1:18" s="69" customFormat="1" ht="60" hidden="1" customHeight="1" x14ac:dyDescent="0.2">
      <c r="A553" s="503"/>
      <c r="B553" s="1248" t="str">
        <f t="shared" si="139"/>
        <v/>
      </c>
      <c r="C553" s="1248"/>
      <c r="D553" s="1248"/>
      <c r="E553" s="1250" t="str">
        <f t="shared" si="140"/>
        <v/>
      </c>
      <c r="F553" s="1252"/>
      <c r="G553" s="1250" t="str">
        <f t="shared" si="141"/>
        <v/>
      </c>
      <c r="H553" s="1252"/>
      <c r="I553" s="274"/>
      <c r="J553" s="274"/>
      <c r="K553" s="274"/>
      <c r="L553" s="274"/>
      <c r="M553" s="274"/>
      <c r="N553" s="274"/>
      <c r="O553" s="274"/>
      <c r="P553" s="274"/>
      <c r="Q553" s="1707" t="str">
        <f t="shared" si="138"/>
        <v/>
      </c>
      <c r="R553" s="1708"/>
    </row>
    <row r="554" spans="1:18" s="69" customFormat="1" ht="60" hidden="1" customHeight="1" x14ac:dyDescent="0.2">
      <c r="A554" s="503"/>
      <c r="B554" s="1248" t="str">
        <f t="shared" si="139"/>
        <v/>
      </c>
      <c r="C554" s="1248"/>
      <c r="D554" s="1248"/>
      <c r="E554" s="1250" t="str">
        <f t="shared" si="140"/>
        <v/>
      </c>
      <c r="F554" s="1252"/>
      <c r="G554" s="1250" t="str">
        <f t="shared" si="141"/>
        <v/>
      </c>
      <c r="H554" s="1252"/>
      <c r="I554" s="274"/>
      <c r="J554" s="274"/>
      <c r="K554" s="274"/>
      <c r="L554" s="274"/>
      <c r="M554" s="274"/>
      <c r="N554" s="274"/>
      <c r="O554" s="274"/>
      <c r="P554" s="274"/>
      <c r="Q554" s="1707" t="str">
        <f t="shared" si="138"/>
        <v/>
      </c>
      <c r="R554" s="1708"/>
    </row>
    <row r="555" spans="1:18" s="69" customFormat="1" ht="60" hidden="1" customHeight="1" x14ac:dyDescent="0.2">
      <c r="A555" s="503"/>
      <c r="B555" s="1248" t="str">
        <f t="shared" si="139"/>
        <v/>
      </c>
      <c r="C555" s="1248"/>
      <c r="D555" s="1248"/>
      <c r="E555" s="1250" t="str">
        <f t="shared" si="140"/>
        <v/>
      </c>
      <c r="F555" s="1252"/>
      <c r="G555" s="1250" t="str">
        <f t="shared" si="141"/>
        <v/>
      </c>
      <c r="H555" s="1252"/>
      <c r="I555" s="274"/>
      <c r="J555" s="274"/>
      <c r="K555" s="274"/>
      <c r="L555" s="274"/>
      <c r="M555" s="274"/>
      <c r="N555" s="274"/>
      <c r="O555" s="274"/>
      <c r="P555" s="274"/>
      <c r="Q555" s="1707" t="str">
        <f t="shared" si="138"/>
        <v/>
      </c>
      <c r="R555" s="1708"/>
    </row>
    <row r="556" spans="1:18" s="69" customFormat="1" ht="60" hidden="1" customHeight="1" x14ac:dyDescent="0.2">
      <c r="A556" s="503"/>
      <c r="B556" s="1248" t="str">
        <f t="shared" si="139"/>
        <v/>
      </c>
      <c r="C556" s="1248"/>
      <c r="D556" s="1248"/>
      <c r="E556" s="1250" t="str">
        <f t="shared" si="140"/>
        <v/>
      </c>
      <c r="F556" s="1252"/>
      <c r="G556" s="1250" t="str">
        <f t="shared" si="141"/>
        <v/>
      </c>
      <c r="H556" s="1252"/>
      <c r="I556" s="274"/>
      <c r="J556" s="274"/>
      <c r="K556" s="274"/>
      <c r="L556" s="274"/>
      <c r="M556" s="274"/>
      <c r="N556" s="274"/>
      <c r="O556" s="274"/>
      <c r="P556" s="274"/>
      <c r="Q556" s="1707" t="str">
        <f t="shared" si="138"/>
        <v/>
      </c>
      <c r="R556" s="1708"/>
    </row>
    <row r="557" spans="1:18" s="69" customFormat="1" ht="60" hidden="1" customHeight="1" x14ac:dyDescent="0.2">
      <c r="A557" s="503"/>
      <c r="B557" s="1248" t="str">
        <f t="shared" si="139"/>
        <v/>
      </c>
      <c r="C557" s="1248"/>
      <c r="D557" s="1248"/>
      <c r="E557" s="1250" t="str">
        <f t="shared" si="140"/>
        <v/>
      </c>
      <c r="F557" s="1252"/>
      <c r="G557" s="1250" t="str">
        <f t="shared" si="141"/>
        <v/>
      </c>
      <c r="H557" s="1252"/>
      <c r="I557" s="274"/>
      <c r="J557" s="274"/>
      <c r="K557" s="274"/>
      <c r="L557" s="274"/>
      <c r="M557" s="274"/>
      <c r="N557" s="274"/>
      <c r="O557" s="274"/>
      <c r="P557" s="274"/>
      <c r="Q557" s="1707" t="str">
        <f t="shared" si="138"/>
        <v/>
      </c>
      <c r="R557" s="1708"/>
    </row>
    <row r="558" spans="1:18" s="69" customFormat="1" ht="60" hidden="1" customHeight="1" x14ac:dyDescent="0.2">
      <c r="A558" s="503"/>
      <c r="B558" s="1248" t="str">
        <f t="shared" si="139"/>
        <v/>
      </c>
      <c r="C558" s="1248"/>
      <c r="D558" s="1248"/>
      <c r="E558" s="1250" t="str">
        <f t="shared" si="140"/>
        <v/>
      </c>
      <c r="F558" s="1252"/>
      <c r="G558" s="1250" t="str">
        <f t="shared" si="141"/>
        <v/>
      </c>
      <c r="H558" s="1252"/>
      <c r="I558" s="274"/>
      <c r="J558" s="274"/>
      <c r="K558" s="274"/>
      <c r="L558" s="274"/>
      <c r="M558" s="274"/>
      <c r="N558" s="274"/>
      <c r="O558" s="274"/>
      <c r="P558" s="274"/>
      <c r="Q558" s="1707" t="str">
        <f t="shared" si="138"/>
        <v/>
      </c>
      <c r="R558" s="1708"/>
    </row>
    <row r="559" spans="1:18" s="69" customFormat="1" ht="60" hidden="1" customHeight="1" x14ac:dyDescent="0.2">
      <c r="A559" s="503"/>
      <c r="B559" s="1248" t="str">
        <f t="shared" si="139"/>
        <v/>
      </c>
      <c r="C559" s="1248"/>
      <c r="D559" s="1248"/>
      <c r="E559" s="1250" t="str">
        <f t="shared" si="140"/>
        <v/>
      </c>
      <c r="F559" s="1252"/>
      <c r="G559" s="1250" t="str">
        <f t="shared" si="141"/>
        <v/>
      </c>
      <c r="H559" s="1252"/>
      <c r="I559" s="274"/>
      <c r="J559" s="274"/>
      <c r="K559" s="274"/>
      <c r="L559" s="274"/>
      <c r="M559" s="274"/>
      <c r="N559" s="274"/>
      <c r="O559" s="274"/>
      <c r="P559" s="274"/>
      <c r="Q559" s="1707" t="str">
        <f t="shared" si="138"/>
        <v/>
      </c>
      <c r="R559" s="1708"/>
    </row>
    <row r="560" spans="1:18" s="69" customFormat="1" ht="60" hidden="1" customHeight="1" x14ac:dyDescent="0.2">
      <c r="A560" s="503"/>
      <c r="B560" s="1248" t="str">
        <f t="shared" si="139"/>
        <v/>
      </c>
      <c r="C560" s="1248"/>
      <c r="D560" s="1248"/>
      <c r="E560" s="1250" t="str">
        <f t="shared" si="140"/>
        <v/>
      </c>
      <c r="F560" s="1252"/>
      <c r="G560" s="1250" t="str">
        <f t="shared" si="141"/>
        <v/>
      </c>
      <c r="H560" s="1252"/>
      <c r="I560" s="274"/>
      <c r="J560" s="274"/>
      <c r="K560" s="274"/>
      <c r="L560" s="274"/>
      <c r="M560" s="274"/>
      <c r="N560" s="274"/>
      <c r="O560" s="274"/>
      <c r="P560" s="274"/>
      <c r="Q560" s="1707" t="str">
        <f t="shared" si="138"/>
        <v/>
      </c>
      <c r="R560" s="1708"/>
    </row>
    <row r="561" spans="1:18" s="69" customFormat="1" ht="60" hidden="1" customHeight="1" x14ac:dyDescent="0.2">
      <c r="A561" s="503"/>
      <c r="B561" s="1248" t="str">
        <f t="shared" si="139"/>
        <v/>
      </c>
      <c r="C561" s="1248"/>
      <c r="D561" s="1248"/>
      <c r="E561" s="1250" t="str">
        <f t="shared" si="140"/>
        <v/>
      </c>
      <c r="F561" s="1252"/>
      <c r="G561" s="1250" t="str">
        <f t="shared" si="141"/>
        <v/>
      </c>
      <c r="H561" s="1252"/>
      <c r="I561" s="274"/>
      <c r="J561" s="274"/>
      <c r="K561" s="274"/>
      <c r="L561" s="274"/>
      <c r="M561" s="274"/>
      <c r="N561" s="274"/>
      <c r="O561" s="274"/>
      <c r="P561" s="274"/>
      <c r="Q561" s="1707" t="str">
        <f t="shared" si="138"/>
        <v/>
      </c>
      <c r="R561" s="1708"/>
    </row>
    <row r="562" spans="1:18" s="69" customFormat="1" ht="15.95" customHeight="1" thickBot="1" x14ac:dyDescent="0.25">
      <c r="A562" s="503"/>
      <c r="B562" s="1729" t="str">
        <f>IFERROR(IF(B75="","",B75),"")</f>
        <v>Medidas de Reducción del riesgo de desastres y mitigación ambiental</v>
      </c>
      <c r="C562" s="1730"/>
      <c r="D562" s="1730"/>
      <c r="E562" s="1730"/>
      <c r="F562" s="1730"/>
      <c r="G562" s="1730"/>
      <c r="H562" s="1730"/>
      <c r="I562" s="1730"/>
      <c r="J562" s="1730"/>
      <c r="K562" s="1730"/>
      <c r="L562" s="1730"/>
      <c r="M562" s="1730"/>
      <c r="N562" s="1730"/>
      <c r="O562" s="1730"/>
      <c r="P562" s="1730"/>
      <c r="Q562" s="1730"/>
      <c r="R562" s="1731"/>
    </row>
    <row r="563" spans="1:18" s="69" customFormat="1" ht="60" hidden="1" customHeight="1" x14ac:dyDescent="0.2">
      <c r="A563" s="503"/>
      <c r="B563" s="1248" t="str">
        <f t="shared" si="139"/>
        <v/>
      </c>
      <c r="C563" s="1248"/>
      <c r="D563" s="1248"/>
      <c r="E563" s="1250" t="str">
        <f t="shared" si="140"/>
        <v/>
      </c>
      <c r="F563" s="1252"/>
      <c r="G563" s="1250" t="str">
        <f t="shared" si="141"/>
        <v/>
      </c>
      <c r="H563" s="1252"/>
      <c r="I563" s="274"/>
      <c r="J563" s="274"/>
      <c r="K563" s="274"/>
      <c r="L563" s="274"/>
      <c r="M563" s="274"/>
      <c r="N563" s="274"/>
      <c r="O563" s="274"/>
      <c r="P563" s="274"/>
      <c r="Q563" s="1707" t="str">
        <f t="shared" ref="Q563:Q568" si="142">IFERROR(IF(AND(I563="",J563="",K563="",L563="",M563="",N563="",O563="",P563=""),"",SUM(I563:P563)),"")</f>
        <v/>
      </c>
      <c r="R563" s="1708"/>
    </row>
    <row r="564" spans="1:18" s="69" customFormat="1" ht="60" hidden="1" customHeight="1" x14ac:dyDescent="0.2">
      <c r="A564" s="503"/>
      <c r="B564" s="1248" t="str">
        <f t="shared" si="139"/>
        <v/>
      </c>
      <c r="C564" s="1248"/>
      <c r="D564" s="1248"/>
      <c r="E564" s="1250" t="str">
        <f t="shared" si="140"/>
        <v/>
      </c>
      <c r="F564" s="1252"/>
      <c r="G564" s="1250" t="str">
        <f t="shared" si="141"/>
        <v/>
      </c>
      <c r="H564" s="1252"/>
      <c r="I564" s="274"/>
      <c r="J564" s="274"/>
      <c r="K564" s="274"/>
      <c r="L564" s="274"/>
      <c r="M564" s="274"/>
      <c r="N564" s="274"/>
      <c r="O564" s="274"/>
      <c r="P564" s="274"/>
      <c r="Q564" s="1707" t="str">
        <f t="shared" si="142"/>
        <v/>
      </c>
      <c r="R564" s="1708"/>
    </row>
    <row r="565" spans="1:18" s="69" customFormat="1" ht="60" hidden="1" customHeight="1" x14ac:dyDescent="0.2">
      <c r="A565" s="503"/>
      <c r="B565" s="1248" t="str">
        <f t="shared" si="139"/>
        <v/>
      </c>
      <c r="C565" s="1248"/>
      <c r="D565" s="1248"/>
      <c r="E565" s="1250" t="str">
        <f t="shared" si="140"/>
        <v/>
      </c>
      <c r="F565" s="1252"/>
      <c r="G565" s="1250" t="str">
        <f t="shared" si="141"/>
        <v/>
      </c>
      <c r="H565" s="1252"/>
      <c r="I565" s="274"/>
      <c r="J565" s="274"/>
      <c r="K565" s="274"/>
      <c r="L565" s="274"/>
      <c r="M565" s="274"/>
      <c r="N565" s="274"/>
      <c r="O565" s="274"/>
      <c r="P565" s="274"/>
      <c r="Q565" s="1707" t="str">
        <f t="shared" si="142"/>
        <v/>
      </c>
      <c r="R565" s="1708"/>
    </row>
    <row r="566" spans="1:18" s="69" customFormat="1" ht="60" hidden="1" customHeight="1" x14ac:dyDescent="0.2">
      <c r="A566" s="503"/>
      <c r="B566" s="1248" t="str">
        <f t="shared" si="139"/>
        <v/>
      </c>
      <c r="C566" s="1248"/>
      <c r="D566" s="1248"/>
      <c r="E566" s="1250" t="str">
        <f t="shared" si="140"/>
        <v/>
      </c>
      <c r="F566" s="1252"/>
      <c r="G566" s="1250" t="str">
        <f t="shared" si="141"/>
        <v/>
      </c>
      <c r="H566" s="1252"/>
      <c r="I566" s="274"/>
      <c r="J566" s="274"/>
      <c r="K566" s="274"/>
      <c r="L566" s="274"/>
      <c r="M566" s="274"/>
      <c r="N566" s="274"/>
      <c r="O566" s="274"/>
      <c r="P566" s="274"/>
      <c r="Q566" s="1707" t="str">
        <f t="shared" si="142"/>
        <v/>
      </c>
      <c r="R566" s="1708"/>
    </row>
    <row r="567" spans="1:18" s="69" customFormat="1" ht="60" hidden="1" customHeight="1" x14ac:dyDescent="0.2">
      <c r="A567" s="503"/>
      <c r="B567" s="1248" t="str">
        <f t="shared" si="139"/>
        <v/>
      </c>
      <c r="C567" s="1248"/>
      <c r="D567" s="1248"/>
      <c r="E567" s="1250" t="str">
        <f t="shared" si="140"/>
        <v/>
      </c>
      <c r="F567" s="1252"/>
      <c r="G567" s="1250" t="str">
        <f t="shared" si="141"/>
        <v/>
      </c>
      <c r="H567" s="1252"/>
      <c r="I567" s="274"/>
      <c r="J567" s="274"/>
      <c r="K567" s="274"/>
      <c r="L567" s="274"/>
      <c r="M567" s="274"/>
      <c r="N567" s="274"/>
      <c r="O567" s="274"/>
      <c r="P567" s="274"/>
      <c r="Q567" s="1707" t="str">
        <f t="shared" si="142"/>
        <v/>
      </c>
      <c r="R567" s="1708"/>
    </row>
    <row r="568" spans="1:18" s="69" customFormat="1" ht="60" hidden="1" customHeight="1" thickBot="1" x14ac:dyDescent="0.25">
      <c r="A568" s="503"/>
      <c r="B568" s="1248" t="str">
        <f t="shared" si="139"/>
        <v/>
      </c>
      <c r="C568" s="1248"/>
      <c r="D568" s="1248"/>
      <c r="E568" s="1250" t="str">
        <f t="shared" si="140"/>
        <v/>
      </c>
      <c r="F568" s="1252"/>
      <c r="G568" s="1250" t="str">
        <f t="shared" si="141"/>
        <v/>
      </c>
      <c r="H568" s="1252"/>
      <c r="I568" s="274"/>
      <c r="J568" s="274"/>
      <c r="K568" s="274"/>
      <c r="L568" s="274"/>
      <c r="M568" s="274"/>
      <c r="N568" s="274"/>
      <c r="O568" s="274"/>
      <c r="P568" s="274"/>
      <c r="Q568" s="1707" t="str">
        <f t="shared" si="142"/>
        <v/>
      </c>
      <c r="R568" s="1708"/>
    </row>
    <row r="569" spans="1:18" s="503" customFormat="1" ht="36.6" customHeight="1" thickBot="1" x14ac:dyDescent="0.25">
      <c r="B569" s="1732" t="s">
        <v>135</v>
      </c>
      <c r="C569" s="1732"/>
      <c r="D569" s="1732"/>
      <c r="E569" s="1732"/>
      <c r="F569" s="1732"/>
      <c r="G569" s="1732"/>
      <c r="H569" s="1732"/>
      <c r="I569" s="1732"/>
      <c r="J569" s="1732"/>
      <c r="K569" s="1732"/>
      <c r="L569" s="1732"/>
      <c r="M569" s="1732"/>
      <c r="N569" s="1732"/>
      <c r="O569" s="1732"/>
      <c r="P569" s="1733"/>
      <c r="Q569" s="1734" t="str">
        <f>IFERROR(IF(AND(Q524="",Q526="",Q528="",Q530="",Q527="",Q531="",Q544="",Q545="",Q568="",Q567="",Q565="",Q564="",Q563="",Q561="",Q560="",Q559="",Q557="",Q556="",Q555="",Q543="",Q542="",Q541="",Q539="",Q538="",Q537="",Q536="",Q535="",Q534="",Q546="",Q547="",Q532="",Q529="",Q525="",Q548="",Q549="",Q550="",Q551="",Q552="",Q553="",Q554="",Q558="",Q566=""),"",SUM(Q524:R532,Q534:R539,Q541:R561,Q563:R568)),"")</f>
        <v/>
      </c>
      <c r="R569" s="1735"/>
    </row>
    <row r="570" spans="1:18" s="503" customFormat="1" ht="8.1" customHeight="1" x14ac:dyDescent="0.2">
      <c r="I570" s="56"/>
      <c r="J570" s="56"/>
      <c r="K570" s="56"/>
      <c r="L570" s="56"/>
      <c r="M570" s="56"/>
    </row>
    <row r="571" spans="1:18" s="503" customFormat="1" ht="40.5" customHeight="1" x14ac:dyDescent="0.2">
      <c r="B571" s="1741" t="s">
        <v>112</v>
      </c>
      <c r="C571" s="1742"/>
      <c r="D571" s="502" t="str">
        <f>IF(AND($F$516="MES",$F$517&gt;=1),"MES 01",IF(AND($F$516="BIMESTRE",$F$517&gt;=1),"BIMESTRE 01",IF(AND($F$516="TRIMESTRE",$F$517&gt;=1),"TRIMESTRE 01",IF(AND($F$516="SEMESTRE",$F$517&gt;=1),"SEMESTRE 01",IF(AND($F$516="AÑO",$F$517&gt;=1),"AÑO 01","")))))</f>
        <v/>
      </c>
      <c r="E571" s="502" t="str">
        <f>IF(AND($F$516="MES",$F$517&gt;=2),"MES 02",IF(AND($F$516="BIMESTRE",$F$517&gt;=2),"BIMESTRE 02",IF(AND($F$516="TRIMESTRE",$F$517&gt;=2),"TRIMESTRE 02",IF(AND($F$516="SEMESTRE",$F$517&gt;=2),"SEMESTRE 02",IF(AND($F$516="AÑO",$F$517&gt;=2),"AÑO 02","")))))</f>
        <v/>
      </c>
      <c r="F571" s="502" t="str">
        <f>IF(AND($F$516="MES",$F$517&gt;=3),"MES 03",IF(AND($F$516="BIMESTRE",$F$517&gt;=3),"BIMESTRE 03",IF(AND($F$516="TRIMESTRE",$F$517&gt;=3),"TRIMESTRE 03",IF(AND($F$516="SEMESTRE",$F$517&gt;=3),"SEMESTRE 03",IF(AND($F$516="AÑO",$F$517&gt;=3),"AÑO 03","")))))</f>
        <v/>
      </c>
      <c r="G571" s="502" t="str">
        <f>IF(AND($F$516="MES",$F$517&gt;=4),"MES 04",IF(AND($F$516="BIMESTRE",$F$517&gt;=4),"BIMESTRE 04",IF(AND($F$516="TRIMESTRE",$F$517&gt;=4),"TRIMESTRE 04",IF(AND($F$516="SEMESTRE",$F$517&gt;=4),"SEMESTRE 04",IF(AND($F$516="AÑO",$F$517&gt;=4),"","")))))</f>
        <v/>
      </c>
      <c r="H571" s="502" t="str">
        <f>IF(AND($F$516="MES",$F$517&gt;=5),"MES 05",IF(AND($F$516="BIMESTRE",$F$517&gt;=5),"BIMESTRE 05",IF(AND($F$516="TRIMESTRE",$F$517&gt;=5),"TRIMESTRE 05",IF(AND($F$516="SEMESTRE",$F$517&gt;=5),"SEMESTRE 05",IF(AND($F$516="AÑO",$F$517&gt;=5),"","")))))</f>
        <v/>
      </c>
      <c r="I571" s="502" t="str">
        <f>IF(AND($F$516="MES",$F$517&gt;=6),"MES 06",IF(AND($F$516="BIMESTRE",$F$517&gt;=6),"BIMESTRE 06",IF(AND($F$516="TRIMESTRE",$F$517&gt;=6),"TRIMESTRE 06",IF(AND($F$516="SEMESTRE",$F$517&gt;=6),"SEMESTRE 06",IF(AND($F$516="AÑO",$F$517&gt;=6),"","")))))</f>
        <v/>
      </c>
      <c r="J571" s="502" t="str">
        <f>IF(AND($F$516="MES",$F$517&gt;=7),"MES 07",IF(AND($F$516="BIMESTRE",$F$517&gt;=7),"BIMESTRE 07",IF(AND($F$516="TRIMESTRE",$F$517&gt;=7),"TRIMESTRE 07",IF(AND($F$516="SEMESTRE",$F$517&gt;=7),"SEMESTRE 07",IF(AND($F$516="AÑO",$F$517&gt;=7),"","")))))</f>
        <v/>
      </c>
      <c r="K571" s="502" t="str">
        <f>IF(AND($F$516="MES",$F$517=8),"MES 08",IF(AND($F$516="BIMESTRE",$F$517=8),"BIMESTRE 08",IF(AND($F$516="TRIMESTRE",$F$517=8),"TRIMESTRE 08",IF(AND($F$516="SEMESTRE",$F$517=8),"SEMESTRE 08",IF(AND($F$516="AÑO",$F$517=8),"","")))))</f>
        <v/>
      </c>
      <c r="L571" s="1126" t="s">
        <v>278</v>
      </c>
      <c r="M571" s="1053"/>
    </row>
    <row r="572" spans="1:18" s="503" customFormat="1" ht="8.1" customHeight="1" x14ac:dyDescent="0.2">
      <c r="I572" s="56"/>
      <c r="J572" s="56"/>
      <c r="K572" s="56"/>
      <c r="L572" s="56"/>
      <c r="M572" s="56"/>
    </row>
    <row r="573" spans="1:18" s="503" customFormat="1" ht="35.1" customHeight="1" x14ac:dyDescent="0.2">
      <c r="B573" s="1743" t="s">
        <v>113</v>
      </c>
      <c r="C573" s="1744"/>
      <c r="D573" s="274"/>
      <c r="E573" s="274"/>
      <c r="F573" s="274"/>
      <c r="G573" s="274"/>
      <c r="H573" s="274"/>
      <c r="I573" s="274"/>
      <c r="J573" s="274"/>
      <c r="K573" s="274"/>
      <c r="L573" s="1745" t="str">
        <f>IFERROR(IF(AND(D573="",E573="",F573="",G573="",H573="",I573="",J573="",K573=""),"",SUM(D573:K573)),"")</f>
        <v/>
      </c>
      <c r="M573" s="1745"/>
    </row>
    <row r="574" spans="1:18" s="503" customFormat="1" ht="39" customHeight="1" x14ac:dyDescent="0.2">
      <c r="B574" s="1743" t="s">
        <v>136</v>
      </c>
      <c r="C574" s="1744"/>
      <c r="D574" s="274"/>
      <c r="E574" s="274"/>
      <c r="F574" s="274"/>
      <c r="G574" s="274"/>
      <c r="H574" s="274"/>
      <c r="I574" s="274"/>
      <c r="J574" s="274"/>
      <c r="K574" s="274"/>
      <c r="L574" s="1745" t="str">
        <f>IFERROR(IF(AND(D574="",E574="",F574="",G574="",H574="",I574="",J574="",K574=""),"",SUM(D574:K574)),"")</f>
        <v/>
      </c>
      <c r="M574" s="1745"/>
    </row>
    <row r="575" spans="1:18" s="503" customFormat="1" ht="32.1" customHeight="1" x14ac:dyDescent="0.2">
      <c r="B575" s="1743" t="s">
        <v>114</v>
      </c>
      <c r="C575" s="1744"/>
      <c r="D575" s="274"/>
      <c r="E575" s="274"/>
      <c r="F575" s="274"/>
      <c r="G575" s="274"/>
      <c r="H575" s="274"/>
      <c r="I575" s="274"/>
      <c r="J575" s="274"/>
      <c r="K575" s="274"/>
      <c r="L575" s="1745" t="str">
        <f>IFERROR(IF(AND(D575="",E575="",F575="",G575="",H575="",I575="",J575="",K575=""),"",SUM(D575:K575)),"")</f>
        <v/>
      </c>
      <c r="M575" s="1745"/>
    </row>
    <row r="576" spans="1:18" s="503" customFormat="1" ht="32.1" customHeight="1" thickBot="1" x14ac:dyDescent="0.25">
      <c r="B576" s="1743" t="s">
        <v>115</v>
      </c>
      <c r="C576" s="1744"/>
      <c r="D576" s="274"/>
      <c r="E576" s="274"/>
      <c r="F576" s="274"/>
      <c r="G576" s="274"/>
      <c r="H576" s="274"/>
      <c r="I576" s="274"/>
      <c r="J576" s="274"/>
      <c r="K576" s="274"/>
      <c r="L576" s="1745" t="str">
        <f>IFERROR(IF(AND(D576="",E576="",F576="",G576="",H576="",I576="",J576="",K576=""),"",SUM(D576:K576)),"")</f>
        <v/>
      </c>
      <c r="M576" s="1745"/>
    </row>
    <row r="577" spans="2:13" s="503" customFormat="1" ht="27.95" customHeight="1" thickBot="1" x14ac:dyDescent="0.25">
      <c r="B577" s="1736" t="s">
        <v>135</v>
      </c>
      <c r="C577" s="1736"/>
      <c r="D577" s="1736"/>
      <c r="E577" s="1736"/>
      <c r="F577" s="1736"/>
      <c r="G577" s="1736"/>
      <c r="H577" s="1736"/>
      <c r="I577" s="1736"/>
      <c r="J577" s="1736"/>
      <c r="K577" s="1736"/>
      <c r="L577" s="1734" t="str">
        <f>IFERROR(IF(AND(L573="",L574="",L575="",L576=""),"",SUM(L573:M576)),"")</f>
        <v/>
      </c>
      <c r="M577" s="1735"/>
    </row>
    <row r="578" spans="2:13" s="503" customFormat="1" ht="27.95" customHeight="1" thickBot="1" x14ac:dyDescent="0.25">
      <c r="B578" s="1737" t="s">
        <v>137</v>
      </c>
      <c r="C578" s="1738"/>
      <c r="D578" s="1738"/>
      <c r="E578" s="1738"/>
      <c r="F578" s="1738"/>
      <c r="G578" s="1738"/>
      <c r="H578" s="1738"/>
      <c r="I578" s="1738"/>
      <c r="J578" s="1738"/>
      <c r="K578" s="1739"/>
      <c r="L578" s="1734" t="str">
        <f>IFERROR(IF(OR(Q569="",L577=""),"",L577+Q569),"")</f>
        <v/>
      </c>
      <c r="M578" s="1735"/>
    </row>
    <row r="579" spans="2:13" s="503" customFormat="1" ht="14.25" x14ac:dyDescent="0.2">
      <c r="B579" s="1740" t="s">
        <v>418</v>
      </c>
      <c r="C579" s="1740"/>
      <c r="D579" s="1740"/>
      <c r="E579" s="1740"/>
      <c r="F579" s="1740"/>
      <c r="G579" s="1740"/>
      <c r="H579" s="1740"/>
      <c r="I579" s="1740"/>
      <c r="J579" s="56"/>
      <c r="K579" s="56"/>
      <c r="L579" s="56"/>
      <c r="M579" s="56"/>
    </row>
    <row r="580" spans="2:13" s="503" customFormat="1" ht="12.75" x14ac:dyDescent="0.2">
      <c r="B580" s="56"/>
      <c r="C580" s="75"/>
      <c r="D580" s="56"/>
      <c r="E580" s="56"/>
      <c r="F580" s="56"/>
      <c r="G580" s="56"/>
      <c r="H580" s="75"/>
      <c r="I580" s="75"/>
      <c r="J580" s="75"/>
      <c r="K580" s="56"/>
      <c r="L580" s="56"/>
      <c r="M580" s="56"/>
    </row>
    <row r="581" spans="2:13" s="503" customFormat="1" ht="12.75" x14ac:dyDescent="0.2">
      <c r="B581" s="68" t="s">
        <v>425</v>
      </c>
      <c r="C581" s="75"/>
      <c r="D581" s="75"/>
      <c r="E581" s="68"/>
      <c r="F581" s="659"/>
      <c r="G581" s="660"/>
      <c r="H581" s="75"/>
      <c r="I581" s="75"/>
      <c r="J581" s="75"/>
      <c r="K581" s="75"/>
      <c r="L581" s="75"/>
      <c r="M581" s="75"/>
    </row>
    <row r="582" spans="2:13" s="503" customFormat="1" ht="12.75" x14ac:dyDescent="0.2">
      <c r="B582" s="61" t="s">
        <v>138</v>
      </c>
      <c r="C582" s="75"/>
      <c r="D582" s="75"/>
      <c r="E582" s="75"/>
      <c r="F582" s="661"/>
      <c r="G582" s="662"/>
      <c r="H582" s="75"/>
      <c r="I582" s="75"/>
      <c r="J582" s="75"/>
      <c r="K582" s="75"/>
      <c r="L582" s="75"/>
      <c r="M582" s="75"/>
    </row>
    <row r="583" spans="2:13" s="503" customFormat="1" ht="12.75" x14ac:dyDescent="0.2">
      <c r="B583" s="61"/>
    </row>
    <row r="584" spans="2:13" s="503" customFormat="1" ht="12.75" x14ac:dyDescent="0.2">
      <c r="B584" s="61"/>
      <c r="C584" s="503" t="s">
        <v>139</v>
      </c>
      <c r="E584" s="68"/>
      <c r="F584" s="1707"/>
      <c r="G584" s="1708"/>
      <c r="H584" s="556" t="b">
        <v>0</v>
      </c>
      <c r="I584" s="68"/>
      <c r="J584" s="75"/>
    </row>
    <row r="585" spans="2:13" s="503" customFormat="1" ht="12.75" x14ac:dyDescent="0.2">
      <c r="B585" s="61"/>
      <c r="I585" s="75"/>
      <c r="J585" s="75"/>
    </row>
    <row r="586" spans="2:13" s="503" customFormat="1" ht="12.75" x14ac:dyDescent="0.2">
      <c r="C586" s="503" t="s">
        <v>426</v>
      </c>
      <c r="E586" s="68"/>
      <c r="F586" s="1707" t="str">
        <f>IF(OR(F584="",L578=""),"",L578-F584)</f>
        <v/>
      </c>
      <c r="G586" s="1708"/>
      <c r="J586" s="75"/>
    </row>
    <row r="587" spans="2:13" s="503" customFormat="1" ht="12.75" hidden="1" x14ac:dyDescent="0.2">
      <c r="B587" s="56"/>
      <c r="C587" s="75"/>
      <c r="D587" s="56"/>
      <c r="E587" s="56"/>
      <c r="F587" s="56"/>
      <c r="G587" s="75"/>
      <c r="H587" s="526"/>
      <c r="J587" s="75"/>
    </row>
    <row r="588" spans="2:13" s="503" customFormat="1" ht="24.95" hidden="1" customHeight="1" x14ac:dyDescent="0.2">
      <c r="B588" s="195" t="s">
        <v>4772</v>
      </c>
      <c r="C588" s="56"/>
      <c r="D588" s="56"/>
      <c r="E588" s="56"/>
      <c r="F588" s="56"/>
      <c r="G588" s="56"/>
      <c r="H588" s="56"/>
      <c r="I588" s="56"/>
      <c r="J588" s="56"/>
      <c r="K588" s="56"/>
      <c r="L588" s="56"/>
      <c r="M588" s="56"/>
    </row>
    <row r="589" spans="2:13" s="503" customFormat="1" ht="12.75" hidden="1" x14ac:dyDescent="0.2">
      <c r="B589" s="104" t="s">
        <v>128</v>
      </c>
      <c r="C589" s="56"/>
      <c r="F589" s="1778"/>
      <c r="G589" s="1779"/>
      <c r="H589" s="85" t="s">
        <v>129</v>
      </c>
      <c r="K589" s="56"/>
      <c r="L589" s="56"/>
      <c r="M589" s="56"/>
    </row>
    <row r="590" spans="2:13" s="503" customFormat="1" ht="12.75" hidden="1" x14ac:dyDescent="0.2">
      <c r="B590" s="104" t="s">
        <v>130</v>
      </c>
      <c r="F590" s="1184"/>
      <c r="G590" s="1185"/>
      <c r="K590" s="56"/>
      <c r="L590" s="56"/>
      <c r="M590" s="56"/>
    </row>
    <row r="591" spans="2:13" s="503" customFormat="1" ht="12.75" hidden="1" x14ac:dyDescent="0.2">
      <c r="B591" s="104" t="s">
        <v>131</v>
      </c>
      <c r="F591" s="1257"/>
      <c r="G591" s="1777"/>
      <c r="H591" s="85" t="s">
        <v>132</v>
      </c>
      <c r="K591" s="56"/>
      <c r="L591" s="56"/>
      <c r="M591" s="56"/>
    </row>
    <row r="592" spans="2:13" s="503" customFormat="1" ht="12.75" hidden="1" x14ac:dyDescent="0.2">
      <c r="B592" s="56"/>
      <c r="C592" s="56"/>
      <c r="D592" s="56"/>
      <c r="E592" s="56"/>
      <c r="F592" s="56"/>
      <c r="G592" s="56"/>
      <c r="H592" s="56"/>
      <c r="I592" s="56"/>
      <c r="J592" s="56"/>
      <c r="K592" s="56"/>
      <c r="L592" s="56"/>
      <c r="M592" s="56"/>
    </row>
    <row r="593" spans="2:18" s="503" customFormat="1" ht="15" hidden="1" customHeight="1" x14ac:dyDescent="0.2">
      <c r="B593" s="1196" t="s">
        <v>378</v>
      </c>
      <c r="C593" s="1196"/>
      <c r="D593" s="1196"/>
      <c r="E593" s="1196"/>
      <c r="F593" s="1196"/>
      <c r="G593" s="1197" t="s">
        <v>106</v>
      </c>
      <c r="H593" s="1197"/>
      <c r="I593" s="1196" t="s">
        <v>133</v>
      </c>
      <c r="J593" s="1196"/>
      <c r="K593" s="1196"/>
      <c r="L593" s="1196"/>
      <c r="M593" s="1196"/>
      <c r="N593" s="1196"/>
      <c r="O593" s="1196"/>
      <c r="P593" s="1196"/>
      <c r="Q593" s="1197" t="s">
        <v>134</v>
      </c>
      <c r="R593" s="1197"/>
    </row>
    <row r="594" spans="2:18" s="503" customFormat="1" ht="27" hidden="1" customHeight="1" x14ac:dyDescent="0.2">
      <c r="B594" s="1197" t="s">
        <v>4872</v>
      </c>
      <c r="C594" s="1197"/>
      <c r="D594" s="1197"/>
      <c r="E594" s="1197" t="s">
        <v>105</v>
      </c>
      <c r="F594" s="1197"/>
      <c r="G594" s="1197"/>
      <c r="H594" s="1197"/>
      <c r="I594" s="1196" t="str">
        <f>IF(AND($F$590="MES",$F$591&gt;=1),"MES 01",IF(AND($F$590="BIMESTRE",$F$591&gt;=1),"BIMESTRE 01",IF(AND($F$590="TRIMESTRE",$F$591&gt;=1),"TRIMESTRE 01",IF(AND($F$590="SEMESTRE",$F$591&gt;=1),"SEMESTRE 01",IF(AND($F$590="AÑO",$F$591&gt;=1),"AÑO 01","")))))</f>
        <v/>
      </c>
      <c r="J594" s="1196" t="str">
        <f>IF(AND(F590="MES",F591&gt;=2),"MES 02",IF(AND(F590="BIMESTRE",F591&gt;=2),"BIMESTRE 02",IF(AND(F590="TRIMESTRE",F591&gt;=2),"TRIMESTRE 02",IF(AND(F590="SEMESTRE",F591&gt;=2),"SEMESTRE 02",IF(AND(F590="AÑO",F591&gt;=2),"AÑO 02","")))))</f>
        <v/>
      </c>
      <c r="K594" s="1196" t="str">
        <f>IF(AND(F590="MES",F591&gt;=3),"MES 03",IF(AND(F590="BIMESTRE",F591&gt;=3),"BIMESTRE 03",IF(AND(F590="TRIMESTRE",F591&gt;=3),"TRIMESTRE 03",IF(AND(F590="SEMESTRE",F591&gt;=3),"SEMESTRE 03",IF(AND(F590="AÑO",F591&gt;=3),"AÑO 03","")))))</f>
        <v/>
      </c>
      <c r="L594" s="1196" t="str">
        <f>IF(AND(F590="MES",F591&gt;=4),"MES 04",IF(AND(F590="BIMESTRE",F591&gt;=4),"BIMESTRE 04",IF(AND(F590="TRIMESTRE",F591&gt;=4),"TRIMESTRE 04",IF(AND(F590="SEMESTRE",F591&gt;=4),"SEMESTRE 04",IF(AND(F590="AÑO",F591&gt;=4),"","")))))</f>
        <v/>
      </c>
      <c r="M594" s="1196" t="str">
        <f>IF(AND(F590="MES",F591&gt;=5),"MES 05",IF(AND(F590="BIMESTRE",F591&gt;=5),"BIMESTRE 05",IF(AND(F590="TRIMESTRE",F591&gt;=5),"TRIMESTRE 05",IF(AND(F590="SEMESTRE",F591&gt;=5),"SEMESTRE 05",IF(AND(F590="AÑO",F591&gt;=5),"","")))))</f>
        <v/>
      </c>
      <c r="N594" s="1196" t="str">
        <f>IF(AND(F590="MES",F591&gt;=6),"MES 06",IF(AND(F590="BIMESTRE",F591&gt;=6),"BIMESTRE 06",IF(AND(F590="TRIMESTRE",F591&gt;=6),"TRIMESTRE 06",IF(AND(F590="SEMESTRE",F591&gt;=6),"SEMESTRE 06",IF(AND(F590="AÑO",F591&gt;=6),"","")))))</f>
        <v/>
      </c>
      <c r="O594" s="1196" t="str">
        <f>IF(AND(F590="MES",F591&gt;=7),"MES 07",IF(AND(F590="BIMESTRE",F591&gt;=7),"BIMESTRE 07",IF(AND(F590="TRIMESTRE",F591&gt;=7),"TRIMESTRE 07",IF(AND(F590="SEMESTRE",F591&gt;=7),"SEMESTRE 07",IF(AND(F590="AÑO",F591&gt;=7),"","")))))</f>
        <v/>
      </c>
      <c r="P594" s="1196" t="str">
        <f>IF(AND(F590="MES",F591=8),"MES 08",IF(AND(F590="BIMESTRE",F591=8),"BIMESTRE 08",IF(AND(F590="TRIMESTRE",F591=8),"TRIMESTRE 08",IF(AND(F590="SEMESTRE",F591=8),"SEMESTRE 08",IF(AND(F590="AÑO",F591=8),"","")))))</f>
        <v/>
      </c>
      <c r="Q594" s="1197"/>
      <c r="R594" s="1197"/>
    </row>
    <row r="595" spans="2:18" s="503" customFormat="1" ht="12.75" hidden="1" customHeight="1" x14ac:dyDescent="0.2">
      <c r="B595" s="1197"/>
      <c r="C595" s="1197"/>
      <c r="D595" s="1197"/>
      <c r="E595" s="1197"/>
      <c r="F595" s="1197"/>
      <c r="G595" s="1197"/>
      <c r="H595" s="1197"/>
      <c r="I595" s="1196"/>
      <c r="J595" s="1196"/>
      <c r="K595" s="1196"/>
      <c r="L595" s="1196"/>
      <c r="M595" s="1196"/>
      <c r="N595" s="1196"/>
      <c r="O595" s="1196"/>
      <c r="P595" s="1196"/>
      <c r="Q595" s="1197"/>
      <c r="R595" s="1197"/>
    </row>
    <row r="596" spans="2:18" s="503" customFormat="1" ht="8.1" hidden="1" customHeight="1" x14ac:dyDescent="0.2">
      <c r="I596" s="56"/>
      <c r="J596" s="56"/>
      <c r="K596" s="56"/>
      <c r="L596" s="56"/>
      <c r="M596" s="56"/>
    </row>
    <row r="597" spans="2:18" s="503" customFormat="1" ht="15.95" hidden="1" customHeight="1" x14ac:dyDescent="0.2">
      <c r="B597" s="448" t="str">
        <f>IFERROR(IF(B110="","",B110),"")</f>
        <v>Factor de Producción:</v>
      </c>
      <c r="C597" s="449"/>
      <c r="D597" s="449" t="str">
        <f>IFERROR(IF(D110="","",D110),"")</f>
        <v>Infraestructura</v>
      </c>
      <c r="E597" s="449"/>
      <c r="F597" s="449"/>
      <c r="G597" s="449"/>
      <c r="H597" s="449"/>
      <c r="I597" s="449"/>
      <c r="J597" s="449"/>
      <c r="K597" s="449"/>
      <c r="L597" s="449"/>
      <c r="M597" s="449"/>
      <c r="N597" s="449"/>
      <c r="O597" s="449"/>
      <c r="P597" s="449"/>
      <c r="Q597" s="449"/>
      <c r="R597" s="459"/>
    </row>
    <row r="598" spans="2:18" s="503" customFormat="1" ht="60" hidden="1" customHeight="1" x14ac:dyDescent="0.2">
      <c r="B598" s="1248" t="str">
        <f>IFERROR(IF(B111="","",B111),"")</f>
        <v/>
      </c>
      <c r="C598" s="1248"/>
      <c r="D598" s="1248"/>
      <c r="E598" s="1250" t="str">
        <f>IFERROR(IF(E111="","",E111),"")</f>
        <v/>
      </c>
      <c r="F598" s="1252"/>
      <c r="G598" s="1250" t="str">
        <f>IFERROR(IF(G111="","",G111),"")</f>
        <v/>
      </c>
      <c r="H598" s="1252"/>
      <c r="I598" s="274"/>
      <c r="J598" s="274"/>
      <c r="K598" s="274"/>
      <c r="L598" s="274"/>
      <c r="M598" s="274"/>
      <c r="N598" s="274"/>
      <c r="O598" s="274"/>
      <c r="P598" s="274"/>
      <c r="Q598" s="1707" t="str">
        <f t="shared" ref="Q598:Q606" si="143">IFERROR(IF(AND(I598="",J598="",K598="",L598="",M598="",N598="",O598="",P598=""),"",SUM(I598:P598)),"")</f>
        <v/>
      </c>
      <c r="R598" s="1708"/>
    </row>
    <row r="599" spans="2:18" s="503" customFormat="1" ht="60" hidden="1" customHeight="1" x14ac:dyDescent="0.2">
      <c r="B599" s="1248" t="str">
        <f t="shared" ref="B599:B606" si="144">IFERROR(IF(B112="","",B112),"")</f>
        <v/>
      </c>
      <c r="C599" s="1248"/>
      <c r="D599" s="1248"/>
      <c r="E599" s="1250" t="str">
        <f t="shared" ref="E599:E606" si="145">IFERROR(IF(E112="","",E112),"")</f>
        <v/>
      </c>
      <c r="F599" s="1252"/>
      <c r="G599" s="1250" t="str">
        <f t="shared" ref="G599:G606" si="146">IFERROR(IF(G112="","",G112),"")</f>
        <v/>
      </c>
      <c r="H599" s="1252"/>
      <c r="I599" s="274"/>
      <c r="J599" s="274"/>
      <c r="K599" s="274"/>
      <c r="L599" s="274"/>
      <c r="M599" s="274"/>
      <c r="N599" s="274"/>
      <c r="O599" s="274"/>
      <c r="P599" s="274"/>
      <c r="Q599" s="1707" t="str">
        <f t="shared" si="143"/>
        <v/>
      </c>
      <c r="R599" s="1708"/>
    </row>
    <row r="600" spans="2:18" s="503" customFormat="1" ht="60" hidden="1" customHeight="1" x14ac:dyDescent="0.2">
      <c r="B600" s="1248" t="str">
        <f t="shared" si="144"/>
        <v/>
      </c>
      <c r="C600" s="1248"/>
      <c r="D600" s="1248"/>
      <c r="E600" s="1250" t="str">
        <f t="shared" si="145"/>
        <v/>
      </c>
      <c r="F600" s="1252"/>
      <c r="G600" s="1250" t="str">
        <f t="shared" si="146"/>
        <v/>
      </c>
      <c r="H600" s="1252"/>
      <c r="I600" s="274"/>
      <c r="J600" s="274"/>
      <c r="K600" s="274"/>
      <c r="L600" s="274"/>
      <c r="M600" s="274"/>
      <c r="N600" s="274"/>
      <c r="O600" s="274"/>
      <c r="P600" s="274"/>
      <c r="Q600" s="1707" t="str">
        <f t="shared" si="143"/>
        <v/>
      </c>
      <c r="R600" s="1708"/>
    </row>
    <row r="601" spans="2:18" s="503" customFormat="1" ht="60" hidden="1" customHeight="1" x14ac:dyDescent="0.2">
      <c r="B601" s="1248" t="str">
        <f t="shared" si="144"/>
        <v/>
      </c>
      <c r="C601" s="1248"/>
      <c r="D601" s="1248"/>
      <c r="E601" s="1250" t="str">
        <f t="shared" si="145"/>
        <v/>
      </c>
      <c r="F601" s="1252"/>
      <c r="G601" s="1250" t="str">
        <f t="shared" si="146"/>
        <v/>
      </c>
      <c r="H601" s="1252"/>
      <c r="I601" s="274"/>
      <c r="J601" s="274"/>
      <c r="K601" s="274"/>
      <c r="L601" s="274"/>
      <c r="M601" s="274"/>
      <c r="N601" s="274"/>
      <c r="O601" s="274"/>
      <c r="P601" s="274"/>
      <c r="Q601" s="1707" t="str">
        <f t="shared" si="143"/>
        <v/>
      </c>
      <c r="R601" s="1708"/>
    </row>
    <row r="602" spans="2:18" s="503" customFormat="1" ht="60" hidden="1" customHeight="1" x14ac:dyDescent="0.2">
      <c r="B602" s="1248" t="str">
        <f t="shared" si="144"/>
        <v/>
      </c>
      <c r="C602" s="1248"/>
      <c r="D602" s="1248"/>
      <c r="E602" s="1250" t="str">
        <f t="shared" si="145"/>
        <v/>
      </c>
      <c r="F602" s="1252"/>
      <c r="G602" s="1250" t="str">
        <f t="shared" si="146"/>
        <v/>
      </c>
      <c r="H602" s="1252"/>
      <c r="I602" s="274"/>
      <c r="J602" s="274"/>
      <c r="K602" s="274"/>
      <c r="L602" s="274"/>
      <c r="M602" s="274"/>
      <c r="N602" s="274"/>
      <c r="O602" s="274"/>
      <c r="P602" s="274"/>
      <c r="Q602" s="1707" t="str">
        <f t="shared" si="143"/>
        <v/>
      </c>
      <c r="R602" s="1708"/>
    </row>
    <row r="603" spans="2:18" s="503" customFormat="1" ht="60" hidden="1" customHeight="1" x14ac:dyDescent="0.2">
      <c r="B603" s="1248" t="str">
        <f t="shared" si="144"/>
        <v/>
      </c>
      <c r="C603" s="1248"/>
      <c r="D603" s="1248"/>
      <c r="E603" s="1250" t="str">
        <f t="shared" si="145"/>
        <v/>
      </c>
      <c r="F603" s="1252"/>
      <c r="G603" s="1250" t="str">
        <f t="shared" si="146"/>
        <v/>
      </c>
      <c r="H603" s="1252"/>
      <c r="I603" s="274"/>
      <c r="J603" s="274"/>
      <c r="K603" s="274"/>
      <c r="L603" s="274"/>
      <c r="M603" s="274"/>
      <c r="N603" s="274"/>
      <c r="O603" s="274"/>
      <c r="P603" s="274"/>
      <c r="Q603" s="1707" t="str">
        <f t="shared" si="143"/>
        <v/>
      </c>
      <c r="R603" s="1708"/>
    </row>
    <row r="604" spans="2:18" s="503" customFormat="1" ht="60" hidden="1" customHeight="1" x14ac:dyDescent="0.2">
      <c r="B604" s="1248" t="str">
        <f t="shared" si="144"/>
        <v/>
      </c>
      <c r="C604" s="1248"/>
      <c r="D604" s="1248"/>
      <c r="E604" s="1250" t="str">
        <f t="shared" si="145"/>
        <v/>
      </c>
      <c r="F604" s="1252"/>
      <c r="G604" s="1250" t="str">
        <f t="shared" si="146"/>
        <v/>
      </c>
      <c r="H604" s="1252"/>
      <c r="I604" s="274"/>
      <c r="J604" s="274"/>
      <c r="K604" s="274"/>
      <c r="L604" s="274"/>
      <c r="M604" s="274"/>
      <c r="N604" s="274"/>
      <c r="O604" s="274"/>
      <c r="P604" s="274"/>
      <c r="Q604" s="1707" t="str">
        <f t="shared" si="143"/>
        <v/>
      </c>
      <c r="R604" s="1708"/>
    </row>
    <row r="605" spans="2:18" s="503" customFormat="1" ht="60" hidden="1" customHeight="1" x14ac:dyDescent="0.2">
      <c r="B605" s="1248" t="str">
        <f t="shared" si="144"/>
        <v/>
      </c>
      <c r="C605" s="1248"/>
      <c r="D605" s="1248"/>
      <c r="E605" s="1250" t="str">
        <f t="shared" si="145"/>
        <v/>
      </c>
      <c r="F605" s="1252"/>
      <c r="G605" s="1250" t="str">
        <f t="shared" si="146"/>
        <v/>
      </c>
      <c r="H605" s="1252"/>
      <c r="I605" s="274"/>
      <c r="J605" s="274"/>
      <c r="K605" s="274"/>
      <c r="L605" s="274"/>
      <c r="M605" s="274"/>
      <c r="N605" s="274"/>
      <c r="O605" s="274"/>
      <c r="P605" s="274"/>
      <c r="Q605" s="1707" t="str">
        <f t="shared" si="143"/>
        <v/>
      </c>
      <c r="R605" s="1708"/>
    </row>
    <row r="606" spans="2:18" s="503" customFormat="1" ht="60" hidden="1" customHeight="1" x14ac:dyDescent="0.2">
      <c r="B606" s="1248" t="str">
        <f t="shared" si="144"/>
        <v/>
      </c>
      <c r="C606" s="1248"/>
      <c r="D606" s="1248"/>
      <c r="E606" s="1250" t="str">
        <f t="shared" si="145"/>
        <v/>
      </c>
      <c r="F606" s="1252"/>
      <c r="G606" s="1250" t="str">
        <f t="shared" si="146"/>
        <v/>
      </c>
      <c r="H606" s="1252"/>
      <c r="I606" s="274"/>
      <c r="J606" s="274"/>
      <c r="K606" s="274"/>
      <c r="L606" s="274"/>
      <c r="M606" s="274"/>
      <c r="N606" s="274"/>
      <c r="O606" s="274"/>
      <c r="P606" s="274"/>
      <c r="Q606" s="1707" t="str">
        <f t="shared" si="143"/>
        <v/>
      </c>
      <c r="R606" s="1708"/>
    </row>
    <row r="607" spans="2:18" s="503" customFormat="1" ht="15.95" hidden="1" customHeight="1" x14ac:dyDescent="0.2">
      <c r="B607" s="1729" t="str">
        <f t="shared" ref="B607:B613" si="147">IFERROR(IF(B120="","",B120),"")</f>
        <v>Medidas de Reducción del riesgo de desastres y mitigación ambiental</v>
      </c>
      <c r="C607" s="1730"/>
      <c r="D607" s="1730"/>
      <c r="E607" s="1730"/>
      <c r="F607" s="1730"/>
      <c r="G607" s="1730"/>
      <c r="H607" s="1730"/>
      <c r="I607" s="1730"/>
      <c r="J607" s="1730"/>
      <c r="K607" s="1730"/>
      <c r="L607" s="1730"/>
      <c r="M607" s="1730"/>
      <c r="N607" s="1730"/>
      <c r="O607" s="1730"/>
      <c r="P607" s="1730"/>
      <c r="Q607" s="1730"/>
      <c r="R607" s="1731"/>
    </row>
    <row r="608" spans="2:18" s="503" customFormat="1" ht="60" hidden="1" customHeight="1" x14ac:dyDescent="0.2">
      <c r="B608" s="1248" t="str">
        <f t="shared" si="147"/>
        <v/>
      </c>
      <c r="C608" s="1248"/>
      <c r="D608" s="1248"/>
      <c r="E608" s="1250" t="str">
        <f t="shared" ref="E608:E613" si="148">IFERROR(IF(E121="","",E121),"")</f>
        <v/>
      </c>
      <c r="F608" s="1252"/>
      <c r="G608" s="1250" t="str">
        <f t="shared" ref="G608:G613" si="149">IFERROR(IF(G121="","",G121),"")</f>
        <v/>
      </c>
      <c r="H608" s="1252"/>
      <c r="I608" s="274"/>
      <c r="J608" s="274"/>
      <c r="K608" s="274"/>
      <c r="L608" s="274"/>
      <c r="M608" s="274"/>
      <c r="N608" s="274"/>
      <c r="O608" s="274"/>
      <c r="P608" s="274"/>
      <c r="Q608" s="1707" t="str">
        <f t="shared" ref="Q608:Q613" si="150">IFERROR(IF(AND(I608="",J608="",K608="",L608="",M608="",N608="",O608="",P608=""),"",SUM(I608:P608)),"")</f>
        <v/>
      </c>
      <c r="R608" s="1708"/>
    </row>
    <row r="609" spans="2:18" s="503" customFormat="1" ht="60" hidden="1" customHeight="1" x14ac:dyDescent="0.2">
      <c r="B609" s="1248" t="str">
        <f t="shared" si="147"/>
        <v/>
      </c>
      <c r="C609" s="1248"/>
      <c r="D609" s="1248"/>
      <c r="E609" s="1250" t="str">
        <f t="shared" si="148"/>
        <v/>
      </c>
      <c r="F609" s="1252"/>
      <c r="G609" s="1250" t="str">
        <f t="shared" si="149"/>
        <v/>
      </c>
      <c r="H609" s="1252"/>
      <c r="I609" s="274"/>
      <c r="J609" s="274"/>
      <c r="K609" s="274"/>
      <c r="L609" s="274"/>
      <c r="M609" s="274"/>
      <c r="N609" s="274"/>
      <c r="O609" s="274"/>
      <c r="P609" s="274"/>
      <c r="Q609" s="1707" t="str">
        <f t="shared" si="150"/>
        <v/>
      </c>
      <c r="R609" s="1708"/>
    </row>
    <row r="610" spans="2:18" s="503" customFormat="1" ht="60" hidden="1" customHeight="1" x14ac:dyDescent="0.2">
      <c r="B610" s="1248" t="str">
        <f t="shared" si="147"/>
        <v/>
      </c>
      <c r="C610" s="1248"/>
      <c r="D610" s="1248"/>
      <c r="E610" s="1250" t="str">
        <f t="shared" si="148"/>
        <v/>
      </c>
      <c r="F610" s="1252"/>
      <c r="G610" s="1250" t="str">
        <f t="shared" si="149"/>
        <v/>
      </c>
      <c r="H610" s="1252"/>
      <c r="I610" s="274"/>
      <c r="J610" s="274"/>
      <c r="K610" s="274"/>
      <c r="L610" s="274"/>
      <c r="M610" s="274"/>
      <c r="N610" s="274"/>
      <c r="O610" s="274"/>
      <c r="P610" s="274"/>
      <c r="Q610" s="1707" t="str">
        <f t="shared" si="150"/>
        <v/>
      </c>
      <c r="R610" s="1708"/>
    </row>
    <row r="611" spans="2:18" s="503" customFormat="1" ht="60" hidden="1" customHeight="1" x14ac:dyDescent="0.2">
      <c r="B611" s="1248" t="str">
        <f t="shared" si="147"/>
        <v/>
      </c>
      <c r="C611" s="1248"/>
      <c r="D611" s="1248"/>
      <c r="E611" s="1250" t="str">
        <f t="shared" si="148"/>
        <v/>
      </c>
      <c r="F611" s="1252"/>
      <c r="G611" s="1250" t="str">
        <f t="shared" si="149"/>
        <v/>
      </c>
      <c r="H611" s="1252"/>
      <c r="I611" s="274"/>
      <c r="J611" s="274"/>
      <c r="K611" s="274"/>
      <c r="L611" s="274"/>
      <c r="M611" s="274"/>
      <c r="N611" s="274"/>
      <c r="O611" s="274"/>
      <c r="P611" s="274"/>
      <c r="Q611" s="1707" t="str">
        <f t="shared" si="150"/>
        <v/>
      </c>
      <c r="R611" s="1708"/>
    </row>
    <row r="612" spans="2:18" s="503" customFormat="1" ht="60" hidden="1" customHeight="1" x14ac:dyDescent="0.2">
      <c r="B612" s="1248" t="str">
        <f t="shared" si="147"/>
        <v/>
      </c>
      <c r="C612" s="1248"/>
      <c r="D612" s="1248"/>
      <c r="E612" s="1250" t="str">
        <f t="shared" si="148"/>
        <v/>
      </c>
      <c r="F612" s="1252"/>
      <c r="G612" s="1250" t="str">
        <f t="shared" si="149"/>
        <v/>
      </c>
      <c r="H612" s="1252"/>
      <c r="I612" s="274"/>
      <c r="J612" s="274"/>
      <c r="K612" s="274"/>
      <c r="L612" s="274"/>
      <c r="M612" s="274"/>
      <c r="N612" s="274"/>
      <c r="O612" s="274"/>
      <c r="P612" s="274"/>
      <c r="Q612" s="1707" t="str">
        <f t="shared" si="150"/>
        <v/>
      </c>
      <c r="R612" s="1708"/>
    </row>
    <row r="613" spans="2:18" s="503" customFormat="1" ht="60" hidden="1" customHeight="1" x14ac:dyDescent="0.2">
      <c r="B613" s="1248" t="str">
        <f t="shared" si="147"/>
        <v/>
      </c>
      <c r="C613" s="1248"/>
      <c r="D613" s="1248"/>
      <c r="E613" s="1250" t="str">
        <f t="shared" si="148"/>
        <v/>
      </c>
      <c r="F613" s="1252"/>
      <c r="G613" s="1250" t="str">
        <f t="shared" si="149"/>
        <v/>
      </c>
      <c r="H613" s="1252"/>
      <c r="I613" s="274"/>
      <c r="J613" s="274"/>
      <c r="K613" s="274"/>
      <c r="L613" s="274"/>
      <c r="M613" s="274"/>
      <c r="N613" s="274"/>
      <c r="O613" s="274"/>
      <c r="P613" s="274"/>
      <c r="Q613" s="1707" t="str">
        <f t="shared" si="150"/>
        <v/>
      </c>
      <c r="R613" s="1708"/>
    </row>
    <row r="614" spans="2:18" s="503" customFormat="1" ht="15.95" hidden="1" customHeight="1" x14ac:dyDescent="0.2">
      <c r="B614" s="448" t="str">
        <f>IFERROR(IF(B143="","",B143),"")</f>
        <v>Factor de Producción:</v>
      </c>
      <c r="C614" s="449"/>
      <c r="D614" s="449" t="str">
        <f>IFERROR(IF(D143="","",D143),"")</f>
        <v>Intangibles</v>
      </c>
      <c r="E614" s="449"/>
      <c r="F614" s="449"/>
      <c r="G614" s="449"/>
      <c r="H614" s="449"/>
      <c r="I614" s="449"/>
      <c r="J614" s="449"/>
      <c r="K614" s="449"/>
      <c r="L614" s="449"/>
      <c r="M614" s="449"/>
      <c r="N614" s="449"/>
      <c r="O614" s="449"/>
      <c r="P614" s="449"/>
      <c r="Q614" s="449"/>
      <c r="R614" s="459"/>
    </row>
    <row r="615" spans="2:18" s="503" customFormat="1" ht="60" hidden="1" customHeight="1" x14ac:dyDescent="0.2">
      <c r="B615" s="1248" t="str">
        <f>IFERROR(IF(B144="","",B144),"")</f>
        <v/>
      </c>
      <c r="C615" s="1248"/>
      <c r="D615" s="1248"/>
      <c r="E615" s="1250" t="str">
        <f>IFERROR(IF(E144="","",E144),"")</f>
        <v/>
      </c>
      <c r="F615" s="1252"/>
      <c r="G615" s="1250" t="str">
        <f>IFERROR(IF(G144="","",G144),"")</f>
        <v/>
      </c>
      <c r="H615" s="1252"/>
      <c r="I615" s="274"/>
      <c r="J615" s="274"/>
      <c r="K615" s="274"/>
      <c r="L615" s="274"/>
      <c r="M615" s="274"/>
      <c r="N615" s="274"/>
      <c r="O615" s="274"/>
      <c r="P615" s="274"/>
      <c r="Q615" s="1707" t="str">
        <f t="shared" ref="Q615:Q635" si="151">IFERROR(IF(AND(I615="",J615="",K615="",L615="",M615="",N615="",O615="",P615=""),"",SUM(I615:P615)),"")</f>
        <v/>
      </c>
      <c r="R615" s="1708"/>
    </row>
    <row r="616" spans="2:18" s="503" customFormat="1" ht="60" hidden="1" customHeight="1" x14ac:dyDescent="0.2">
      <c r="B616" s="1248" t="str">
        <f t="shared" ref="B616:B635" si="152">IFERROR(IF(B145="","",B145),"")</f>
        <v/>
      </c>
      <c r="C616" s="1248"/>
      <c r="D616" s="1248"/>
      <c r="E616" s="1250" t="str">
        <f t="shared" ref="E616:E635" si="153">IFERROR(IF(E145="","",E145),"")</f>
        <v/>
      </c>
      <c r="F616" s="1252"/>
      <c r="G616" s="1250" t="str">
        <f t="shared" ref="G616:G635" si="154">IFERROR(IF(G145="","",G145),"")</f>
        <v/>
      </c>
      <c r="H616" s="1252"/>
      <c r="I616" s="274"/>
      <c r="J616" s="274"/>
      <c r="K616" s="274"/>
      <c r="L616" s="274"/>
      <c r="M616" s="274"/>
      <c r="N616" s="274"/>
      <c r="O616" s="274"/>
      <c r="P616" s="274"/>
      <c r="Q616" s="1707" t="str">
        <f t="shared" si="151"/>
        <v/>
      </c>
      <c r="R616" s="1708"/>
    </row>
    <row r="617" spans="2:18" s="503" customFormat="1" ht="60" hidden="1" customHeight="1" x14ac:dyDescent="0.2">
      <c r="B617" s="1248" t="str">
        <f t="shared" si="152"/>
        <v/>
      </c>
      <c r="C617" s="1248"/>
      <c r="D617" s="1248"/>
      <c r="E617" s="1250" t="str">
        <f t="shared" si="153"/>
        <v/>
      </c>
      <c r="F617" s="1252"/>
      <c r="G617" s="1250" t="str">
        <f t="shared" si="154"/>
        <v/>
      </c>
      <c r="H617" s="1252"/>
      <c r="I617" s="274"/>
      <c r="J617" s="274"/>
      <c r="K617" s="274"/>
      <c r="L617" s="274"/>
      <c r="M617" s="274"/>
      <c r="N617" s="274"/>
      <c r="O617" s="274"/>
      <c r="P617" s="274"/>
      <c r="Q617" s="1707" t="str">
        <f t="shared" si="151"/>
        <v/>
      </c>
      <c r="R617" s="1708"/>
    </row>
    <row r="618" spans="2:18" s="503" customFormat="1" ht="60" hidden="1" customHeight="1" x14ac:dyDescent="0.2">
      <c r="B618" s="1248" t="str">
        <f t="shared" si="152"/>
        <v/>
      </c>
      <c r="C618" s="1248"/>
      <c r="D618" s="1248"/>
      <c r="E618" s="1250" t="str">
        <f t="shared" si="153"/>
        <v/>
      </c>
      <c r="F618" s="1252"/>
      <c r="G618" s="1250" t="str">
        <f t="shared" si="154"/>
        <v/>
      </c>
      <c r="H618" s="1252"/>
      <c r="I618" s="274"/>
      <c r="J618" s="274"/>
      <c r="K618" s="274"/>
      <c r="L618" s="274"/>
      <c r="M618" s="274"/>
      <c r="N618" s="274"/>
      <c r="O618" s="274"/>
      <c r="P618" s="274"/>
      <c r="Q618" s="1707" t="str">
        <f t="shared" si="151"/>
        <v/>
      </c>
      <c r="R618" s="1708"/>
    </row>
    <row r="619" spans="2:18" s="503" customFormat="1" ht="60" hidden="1" customHeight="1" x14ac:dyDescent="0.2">
      <c r="B619" s="1248" t="str">
        <f t="shared" si="152"/>
        <v/>
      </c>
      <c r="C619" s="1248"/>
      <c r="D619" s="1248"/>
      <c r="E619" s="1250" t="str">
        <f t="shared" si="153"/>
        <v/>
      </c>
      <c r="F619" s="1252"/>
      <c r="G619" s="1250" t="str">
        <f t="shared" si="154"/>
        <v/>
      </c>
      <c r="H619" s="1252"/>
      <c r="I619" s="274"/>
      <c r="J619" s="274"/>
      <c r="K619" s="274"/>
      <c r="L619" s="274"/>
      <c r="M619" s="274"/>
      <c r="N619" s="274"/>
      <c r="O619" s="274"/>
      <c r="P619" s="274"/>
      <c r="Q619" s="1707" t="str">
        <f t="shared" si="151"/>
        <v/>
      </c>
      <c r="R619" s="1708"/>
    </row>
    <row r="620" spans="2:18" s="503" customFormat="1" ht="60" hidden="1" customHeight="1" x14ac:dyDescent="0.2">
      <c r="B620" s="1248" t="str">
        <f t="shared" si="152"/>
        <v/>
      </c>
      <c r="C620" s="1248"/>
      <c r="D620" s="1248"/>
      <c r="E620" s="1250" t="str">
        <f t="shared" si="153"/>
        <v/>
      </c>
      <c r="F620" s="1252"/>
      <c r="G620" s="1250" t="str">
        <f t="shared" si="154"/>
        <v/>
      </c>
      <c r="H620" s="1252"/>
      <c r="I620" s="274"/>
      <c r="J620" s="274"/>
      <c r="K620" s="274"/>
      <c r="L620" s="274"/>
      <c r="M620" s="274"/>
      <c r="N620" s="274"/>
      <c r="O620" s="274"/>
      <c r="P620" s="274"/>
      <c r="Q620" s="1707" t="str">
        <f t="shared" si="151"/>
        <v/>
      </c>
      <c r="R620" s="1708"/>
    </row>
    <row r="621" spans="2:18" s="503" customFormat="1" ht="60" hidden="1" customHeight="1" x14ac:dyDescent="0.2">
      <c r="B621" s="1248" t="str">
        <f t="shared" si="152"/>
        <v/>
      </c>
      <c r="C621" s="1248"/>
      <c r="D621" s="1248"/>
      <c r="E621" s="1250" t="str">
        <f t="shared" si="153"/>
        <v/>
      </c>
      <c r="F621" s="1252"/>
      <c r="G621" s="1250" t="str">
        <f t="shared" si="154"/>
        <v/>
      </c>
      <c r="H621" s="1252"/>
      <c r="I621" s="274"/>
      <c r="J621" s="274"/>
      <c r="K621" s="274"/>
      <c r="L621" s="274"/>
      <c r="M621" s="274"/>
      <c r="N621" s="274"/>
      <c r="O621" s="274"/>
      <c r="P621" s="274"/>
      <c r="Q621" s="1707" t="str">
        <f t="shared" si="151"/>
        <v/>
      </c>
      <c r="R621" s="1708"/>
    </row>
    <row r="622" spans="2:18" s="503" customFormat="1" ht="60" hidden="1" customHeight="1" x14ac:dyDescent="0.2">
      <c r="B622" s="1248" t="str">
        <f t="shared" si="152"/>
        <v/>
      </c>
      <c r="C622" s="1248"/>
      <c r="D622" s="1248"/>
      <c r="E622" s="1250" t="str">
        <f t="shared" si="153"/>
        <v/>
      </c>
      <c r="F622" s="1252"/>
      <c r="G622" s="1250" t="str">
        <f t="shared" si="154"/>
        <v/>
      </c>
      <c r="H622" s="1252"/>
      <c r="I622" s="274"/>
      <c r="J622" s="274"/>
      <c r="K622" s="274"/>
      <c r="L622" s="274"/>
      <c r="M622" s="274"/>
      <c r="N622" s="274"/>
      <c r="O622" s="274"/>
      <c r="P622" s="274"/>
      <c r="Q622" s="1707" t="str">
        <f t="shared" si="151"/>
        <v/>
      </c>
      <c r="R622" s="1708"/>
    </row>
    <row r="623" spans="2:18" s="503" customFormat="1" ht="60" hidden="1" customHeight="1" x14ac:dyDescent="0.2">
      <c r="B623" s="1248" t="str">
        <f t="shared" si="152"/>
        <v/>
      </c>
      <c r="C623" s="1248"/>
      <c r="D623" s="1248"/>
      <c r="E623" s="1250" t="str">
        <f t="shared" si="153"/>
        <v/>
      </c>
      <c r="F623" s="1252"/>
      <c r="G623" s="1250" t="str">
        <f t="shared" si="154"/>
        <v/>
      </c>
      <c r="H623" s="1252"/>
      <c r="I623" s="274"/>
      <c r="J623" s="274"/>
      <c r="K623" s="274"/>
      <c r="L623" s="274"/>
      <c r="M623" s="274"/>
      <c r="N623" s="274"/>
      <c r="O623" s="274"/>
      <c r="P623" s="274"/>
      <c r="Q623" s="1707" t="str">
        <f t="shared" si="151"/>
        <v/>
      </c>
      <c r="R623" s="1708"/>
    </row>
    <row r="624" spans="2:18" s="503" customFormat="1" ht="60" hidden="1" customHeight="1" x14ac:dyDescent="0.2">
      <c r="B624" s="1248" t="str">
        <f t="shared" si="152"/>
        <v/>
      </c>
      <c r="C624" s="1248"/>
      <c r="D624" s="1248"/>
      <c r="E624" s="1250" t="str">
        <f t="shared" si="153"/>
        <v/>
      </c>
      <c r="F624" s="1252"/>
      <c r="G624" s="1250" t="str">
        <f t="shared" si="154"/>
        <v/>
      </c>
      <c r="H624" s="1252"/>
      <c r="I624" s="274"/>
      <c r="J624" s="274"/>
      <c r="K624" s="274"/>
      <c r="L624" s="274"/>
      <c r="M624" s="274"/>
      <c r="N624" s="274"/>
      <c r="O624" s="274"/>
      <c r="P624" s="274"/>
      <c r="Q624" s="1707" t="str">
        <f t="shared" si="151"/>
        <v/>
      </c>
      <c r="R624" s="1708"/>
    </row>
    <row r="625" spans="2:18" s="503" customFormat="1" ht="60" hidden="1" customHeight="1" x14ac:dyDescent="0.2">
      <c r="B625" s="1248" t="str">
        <f t="shared" si="152"/>
        <v/>
      </c>
      <c r="C625" s="1248"/>
      <c r="D625" s="1248"/>
      <c r="E625" s="1250" t="str">
        <f t="shared" si="153"/>
        <v/>
      </c>
      <c r="F625" s="1252"/>
      <c r="G625" s="1250" t="str">
        <f t="shared" si="154"/>
        <v/>
      </c>
      <c r="H625" s="1252"/>
      <c r="I625" s="274"/>
      <c r="J625" s="274"/>
      <c r="K625" s="274"/>
      <c r="L625" s="274"/>
      <c r="M625" s="274"/>
      <c r="N625" s="274"/>
      <c r="O625" s="274"/>
      <c r="P625" s="274"/>
      <c r="Q625" s="1707" t="str">
        <f t="shared" si="151"/>
        <v/>
      </c>
      <c r="R625" s="1708"/>
    </row>
    <row r="626" spans="2:18" s="503" customFormat="1" ht="60" hidden="1" customHeight="1" x14ac:dyDescent="0.2">
      <c r="B626" s="1248" t="str">
        <f t="shared" si="152"/>
        <v/>
      </c>
      <c r="C626" s="1248"/>
      <c r="D626" s="1248"/>
      <c r="E626" s="1250" t="str">
        <f t="shared" si="153"/>
        <v/>
      </c>
      <c r="F626" s="1252"/>
      <c r="G626" s="1250" t="str">
        <f t="shared" si="154"/>
        <v/>
      </c>
      <c r="H626" s="1252"/>
      <c r="I626" s="274"/>
      <c r="J626" s="274"/>
      <c r="K626" s="274"/>
      <c r="L626" s="274"/>
      <c r="M626" s="274"/>
      <c r="N626" s="274"/>
      <c r="O626" s="274"/>
      <c r="P626" s="274"/>
      <c r="Q626" s="1707" t="str">
        <f t="shared" si="151"/>
        <v/>
      </c>
      <c r="R626" s="1708"/>
    </row>
    <row r="627" spans="2:18" s="503" customFormat="1" ht="60" hidden="1" customHeight="1" x14ac:dyDescent="0.2">
      <c r="B627" s="1248" t="str">
        <f t="shared" si="152"/>
        <v/>
      </c>
      <c r="C627" s="1248"/>
      <c r="D627" s="1248"/>
      <c r="E627" s="1250" t="str">
        <f t="shared" si="153"/>
        <v/>
      </c>
      <c r="F627" s="1252"/>
      <c r="G627" s="1250" t="str">
        <f t="shared" si="154"/>
        <v/>
      </c>
      <c r="H627" s="1252"/>
      <c r="I627" s="274"/>
      <c r="J627" s="274"/>
      <c r="K627" s="274"/>
      <c r="L627" s="274"/>
      <c r="M627" s="274"/>
      <c r="N627" s="274"/>
      <c r="O627" s="274"/>
      <c r="P627" s="274"/>
      <c r="Q627" s="1707" t="str">
        <f t="shared" si="151"/>
        <v/>
      </c>
      <c r="R627" s="1708"/>
    </row>
    <row r="628" spans="2:18" s="503" customFormat="1" ht="60" hidden="1" customHeight="1" x14ac:dyDescent="0.2">
      <c r="B628" s="1248" t="str">
        <f t="shared" si="152"/>
        <v/>
      </c>
      <c r="C628" s="1248"/>
      <c r="D628" s="1248"/>
      <c r="E628" s="1250" t="str">
        <f t="shared" si="153"/>
        <v/>
      </c>
      <c r="F628" s="1252"/>
      <c r="G628" s="1250" t="str">
        <f t="shared" si="154"/>
        <v/>
      </c>
      <c r="H628" s="1252"/>
      <c r="I628" s="274"/>
      <c r="J628" s="274"/>
      <c r="K628" s="274"/>
      <c r="L628" s="274"/>
      <c r="M628" s="274"/>
      <c r="N628" s="274"/>
      <c r="O628" s="274"/>
      <c r="P628" s="274"/>
      <c r="Q628" s="1707" t="str">
        <f t="shared" si="151"/>
        <v/>
      </c>
      <c r="R628" s="1708"/>
    </row>
    <row r="629" spans="2:18" s="503" customFormat="1" ht="60" hidden="1" customHeight="1" x14ac:dyDescent="0.2">
      <c r="B629" s="1248" t="str">
        <f t="shared" si="152"/>
        <v/>
      </c>
      <c r="C629" s="1248"/>
      <c r="D629" s="1248"/>
      <c r="E629" s="1250" t="str">
        <f t="shared" si="153"/>
        <v/>
      </c>
      <c r="F629" s="1252"/>
      <c r="G629" s="1250" t="str">
        <f t="shared" si="154"/>
        <v/>
      </c>
      <c r="H629" s="1252"/>
      <c r="I629" s="274"/>
      <c r="J629" s="274"/>
      <c r="K629" s="274"/>
      <c r="L629" s="274"/>
      <c r="M629" s="274"/>
      <c r="N629" s="274"/>
      <c r="O629" s="274"/>
      <c r="P629" s="274"/>
      <c r="Q629" s="1707" t="str">
        <f t="shared" si="151"/>
        <v/>
      </c>
      <c r="R629" s="1708"/>
    </row>
    <row r="630" spans="2:18" s="503" customFormat="1" ht="60" hidden="1" customHeight="1" x14ac:dyDescent="0.2">
      <c r="B630" s="1248" t="str">
        <f t="shared" si="152"/>
        <v/>
      </c>
      <c r="C630" s="1248"/>
      <c r="D630" s="1248"/>
      <c r="E630" s="1250" t="str">
        <f t="shared" si="153"/>
        <v/>
      </c>
      <c r="F630" s="1252"/>
      <c r="G630" s="1250" t="str">
        <f t="shared" si="154"/>
        <v/>
      </c>
      <c r="H630" s="1252"/>
      <c r="I630" s="274"/>
      <c r="J630" s="274"/>
      <c r="K630" s="274"/>
      <c r="L630" s="274"/>
      <c r="M630" s="274"/>
      <c r="N630" s="274"/>
      <c r="O630" s="274"/>
      <c r="P630" s="274"/>
      <c r="Q630" s="1707" t="str">
        <f t="shared" si="151"/>
        <v/>
      </c>
      <c r="R630" s="1708"/>
    </row>
    <row r="631" spans="2:18" s="503" customFormat="1" ht="60" hidden="1" customHeight="1" x14ac:dyDescent="0.2">
      <c r="B631" s="1248" t="str">
        <f t="shared" si="152"/>
        <v/>
      </c>
      <c r="C631" s="1248"/>
      <c r="D631" s="1248"/>
      <c r="E631" s="1250" t="str">
        <f t="shared" si="153"/>
        <v/>
      </c>
      <c r="F631" s="1252"/>
      <c r="G631" s="1250" t="str">
        <f t="shared" si="154"/>
        <v/>
      </c>
      <c r="H631" s="1252"/>
      <c r="I631" s="274"/>
      <c r="J631" s="274"/>
      <c r="K631" s="274"/>
      <c r="L631" s="274"/>
      <c r="M631" s="274"/>
      <c r="N631" s="274"/>
      <c r="O631" s="274"/>
      <c r="P631" s="274"/>
      <c r="Q631" s="1707" t="str">
        <f t="shared" si="151"/>
        <v/>
      </c>
      <c r="R631" s="1708"/>
    </row>
    <row r="632" spans="2:18" s="503" customFormat="1" ht="60" hidden="1" customHeight="1" x14ac:dyDescent="0.2">
      <c r="B632" s="1248" t="str">
        <f t="shared" si="152"/>
        <v/>
      </c>
      <c r="C632" s="1248"/>
      <c r="D632" s="1248"/>
      <c r="E632" s="1250" t="str">
        <f t="shared" si="153"/>
        <v/>
      </c>
      <c r="F632" s="1252"/>
      <c r="G632" s="1250" t="str">
        <f t="shared" si="154"/>
        <v/>
      </c>
      <c r="H632" s="1252"/>
      <c r="I632" s="274"/>
      <c r="J632" s="274"/>
      <c r="K632" s="274"/>
      <c r="L632" s="274"/>
      <c r="M632" s="274"/>
      <c r="N632" s="274"/>
      <c r="O632" s="274"/>
      <c r="P632" s="274"/>
      <c r="Q632" s="1707" t="str">
        <f t="shared" si="151"/>
        <v/>
      </c>
      <c r="R632" s="1708"/>
    </row>
    <row r="633" spans="2:18" s="503" customFormat="1" ht="60" hidden="1" customHeight="1" x14ac:dyDescent="0.2">
      <c r="B633" s="1248" t="str">
        <f t="shared" si="152"/>
        <v/>
      </c>
      <c r="C633" s="1248"/>
      <c r="D633" s="1248"/>
      <c r="E633" s="1250" t="str">
        <f t="shared" si="153"/>
        <v/>
      </c>
      <c r="F633" s="1252"/>
      <c r="G633" s="1250" t="str">
        <f t="shared" si="154"/>
        <v/>
      </c>
      <c r="H633" s="1252"/>
      <c r="I633" s="274"/>
      <c r="J633" s="274"/>
      <c r="K633" s="274"/>
      <c r="L633" s="274"/>
      <c r="M633" s="274"/>
      <c r="N633" s="274"/>
      <c r="O633" s="274"/>
      <c r="P633" s="274"/>
      <c r="Q633" s="1707" t="str">
        <f t="shared" si="151"/>
        <v/>
      </c>
      <c r="R633" s="1708"/>
    </row>
    <row r="634" spans="2:18" s="503" customFormat="1" ht="60" hidden="1" customHeight="1" x14ac:dyDescent="0.2">
      <c r="B634" s="1248" t="str">
        <f t="shared" si="152"/>
        <v/>
      </c>
      <c r="C634" s="1248"/>
      <c r="D634" s="1248"/>
      <c r="E634" s="1250" t="str">
        <f t="shared" si="153"/>
        <v/>
      </c>
      <c r="F634" s="1252"/>
      <c r="G634" s="1250" t="str">
        <f t="shared" si="154"/>
        <v/>
      </c>
      <c r="H634" s="1252"/>
      <c r="I634" s="274"/>
      <c r="J634" s="274"/>
      <c r="K634" s="274"/>
      <c r="L634" s="274"/>
      <c r="M634" s="274"/>
      <c r="N634" s="274"/>
      <c r="O634" s="274"/>
      <c r="P634" s="274"/>
      <c r="Q634" s="1707" t="str">
        <f t="shared" si="151"/>
        <v/>
      </c>
      <c r="R634" s="1708"/>
    </row>
    <row r="635" spans="2:18" s="503" customFormat="1" ht="60" hidden="1" customHeight="1" x14ac:dyDescent="0.2">
      <c r="B635" s="1248" t="str">
        <f t="shared" si="152"/>
        <v/>
      </c>
      <c r="C635" s="1248"/>
      <c r="D635" s="1248"/>
      <c r="E635" s="1250" t="str">
        <f t="shared" si="153"/>
        <v/>
      </c>
      <c r="F635" s="1252"/>
      <c r="G635" s="1250" t="str">
        <f t="shared" si="154"/>
        <v/>
      </c>
      <c r="H635" s="1252"/>
      <c r="I635" s="274"/>
      <c r="J635" s="274"/>
      <c r="K635" s="274"/>
      <c r="L635" s="274"/>
      <c r="M635" s="274"/>
      <c r="N635" s="274"/>
      <c r="O635" s="274"/>
      <c r="P635" s="274"/>
      <c r="Q635" s="1707" t="str">
        <f t="shared" si="151"/>
        <v/>
      </c>
      <c r="R635" s="1708"/>
    </row>
    <row r="636" spans="2:18" s="503" customFormat="1" ht="15.95" hidden="1" customHeight="1" thickBot="1" x14ac:dyDescent="0.25">
      <c r="B636" s="1729" t="str">
        <f t="shared" ref="B636:B642" si="155">IFERROR(IF(B165="","",B165),"")</f>
        <v>Medidas de Reducción del riesgo de desastres y mitigación ambiental</v>
      </c>
      <c r="C636" s="1730"/>
      <c r="D636" s="1730"/>
      <c r="E636" s="1730"/>
      <c r="F636" s="1730"/>
      <c r="G636" s="1730"/>
      <c r="H636" s="1730"/>
      <c r="I636" s="1730"/>
      <c r="J636" s="1730"/>
      <c r="K636" s="1730"/>
      <c r="L636" s="1730"/>
      <c r="M636" s="1730"/>
      <c r="N636" s="1730"/>
      <c r="O636" s="1730"/>
      <c r="P636" s="1730"/>
      <c r="Q636" s="1730"/>
      <c r="R636" s="1731"/>
    </row>
    <row r="637" spans="2:18" s="503" customFormat="1" ht="60" hidden="1" customHeight="1" x14ac:dyDescent="0.2">
      <c r="B637" s="1248" t="str">
        <f t="shared" si="155"/>
        <v/>
      </c>
      <c r="C637" s="1248"/>
      <c r="D637" s="1248"/>
      <c r="E637" s="1250" t="str">
        <f t="shared" ref="E637:E642" si="156">IFERROR(IF(E166="","",E166),"")</f>
        <v/>
      </c>
      <c r="F637" s="1252"/>
      <c r="G637" s="1250" t="str">
        <f t="shared" ref="G637:G642" si="157">IFERROR(IF(G166="","",G166),"")</f>
        <v/>
      </c>
      <c r="H637" s="1252"/>
      <c r="I637" s="274"/>
      <c r="J637" s="274"/>
      <c r="K637" s="274"/>
      <c r="L637" s="274"/>
      <c r="M637" s="274"/>
      <c r="N637" s="274"/>
      <c r="O637" s="274"/>
      <c r="P637" s="274"/>
      <c r="Q637" s="1707" t="str">
        <f t="shared" ref="Q637:Q642" si="158">IFERROR(IF(AND(I637="",J637="",K637="",L637="",M637="",N637="",O637="",P637=""),"",SUM(I637:P637)),"")</f>
        <v/>
      </c>
      <c r="R637" s="1708"/>
    </row>
    <row r="638" spans="2:18" s="503" customFormat="1" ht="60" hidden="1" customHeight="1" x14ac:dyDescent="0.2">
      <c r="B638" s="1248" t="str">
        <f t="shared" si="155"/>
        <v/>
      </c>
      <c r="C638" s="1248"/>
      <c r="D638" s="1248"/>
      <c r="E638" s="1250" t="str">
        <f t="shared" si="156"/>
        <v/>
      </c>
      <c r="F638" s="1252"/>
      <c r="G638" s="1250" t="str">
        <f t="shared" si="157"/>
        <v/>
      </c>
      <c r="H638" s="1252"/>
      <c r="I638" s="274"/>
      <c r="J638" s="274"/>
      <c r="K638" s="274"/>
      <c r="L638" s="274"/>
      <c r="M638" s="274"/>
      <c r="N638" s="274"/>
      <c r="O638" s="274"/>
      <c r="P638" s="274"/>
      <c r="Q638" s="1707" t="str">
        <f t="shared" si="158"/>
        <v/>
      </c>
      <c r="R638" s="1708"/>
    </row>
    <row r="639" spans="2:18" s="503" customFormat="1" ht="60" hidden="1" customHeight="1" x14ac:dyDescent="0.2">
      <c r="B639" s="1248" t="str">
        <f t="shared" si="155"/>
        <v/>
      </c>
      <c r="C639" s="1248"/>
      <c r="D639" s="1248"/>
      <c r="E639" s="1250" t="str">
        <f t="shared" si="156"/>
        <v/>
      </c>
      <c r="F639" s="1252"/>
      <c r="G639" s="1250" t="str">
        <f t="shared" si="157"/>
        <v/>
      </c>
      <c r="H639" s="1252"/>
      <c r="I639" s="274"/>
      <c r="J639" s="274"/>
      <c r="K639" s="274"/>
      <c r="L639" s="274"/>
      <c r="M639" s="274"/>
      <c r="N639" s="274"/>
      <c r="O639" s="274"/>
      <c r="P639" s="274"/>
      <c r="Q639" s="1707" t="str">
        <f t="shared" si="158"/>
        <v/>
      </c>
      <c r="R639" s="1708"/>
    </row>
    <row r="640" spans="2:18" s="503" customFormat="1" ht="60" hidden="1" customHeight="1" x14ac:dyDescent="0.2">
      <c r="B640" s="1248" t="str">
        <f t="shared" si="155"/>
        <v/>
      </c>
      <c r="C640" s="1248"/>
      <c r="D640" s="1248"/>
      <c r="E640" s="1250" t="str">
        <f t="shared" si="156"/>
        <v/>
      </c>
      <c r="F640" s="1252"/>
      <c r="G640" s="1250" t="str">
        <f t="shared" si="157"/>
        <v/>
      </c>
      <c r="H640" s="1252"/>
      <c r="I640" s="274"/>
      <c r="J640" s="274"/>
      <c r="K640" s="274"/>
      <c r="L640" s="274"/>
      <c r="M640" s="274"/>
      <c r="N640" s="274"/>
      <c r="O640" s="274"/>
      <c r="P640" s="274"/>
      <c r="Q640" s="1707" t="str">
        <f t="shared" si="158"/>
        <v/>
      </c>
      <c r="R640" s="1708"/>
    </row>
    <row r="641" spans="2:18" s="503" customFormat="1" ht="60" hidden="1" customHeight="1" x14ac:dyDescent="0.2">
      <c r="B641" s="1248" t="str">
        <f t="shared" si="155"/>
        <v/>
      </c>
      <c r="C641" s="1248"/>
      <c r="D641" s="1248"/>
      <c r="E641" s="1250" t="str">
        <f t="shared" si="156"/>
        <v/>
      </c>
      <c r="F641" s="1252"/>
      <c r="G641" s="1250" t="str">
        <f t="shared" si="157"/>
        <v/>
      </c>
      <c r="H641" s="1252"/>
      <c r="I641" s="274"/>
      <c r="J641" s="274"/>
      <c r="K641" s="274"/>
      <c r="L641" s="274"/>
      <c r="M641" s="274"/>
      <c r="N641" s="274"/>
      <c r="O641" s="274"/>
      <c r="P641" s="274"/>
      <c r="Q641" s="1707" t="str">
        <f t="shared" si="158"/>
        <v/>
      </c>
      <c r="R641" s="1708"/>
    </row>
    <row r="642" spans="2:18" s="503" customFormat="1" ht="60" hidden="1" customHeight="1" thickBot="1" x14ac:dyDescent="0.25">
      <c r="B642" s="1248" t="str">
        <f t="shared" si="155"/>
        <v/>
      </c>
      <c r="C642" s="1248"/>
      <c r="D642" s="1248"/>
      <c r="E642" s="1250" t="str">
        <f t="shared" si="156"/>
        <v/>
      </c>
      <c r="F642" s="1252"/>
      <c r="G642" s="1250" t="str">
        <f t="shared" si="157"/>
        <v/>
      </c>
      <c r="H642" s="1252"/>
      <c r="I642" s="274"/>
      <c r="J642" s="274"/>
      <c r="K642" s="274"/>
      <c r="L642" s="274"/>
      <c r="M642" s="274"/>
      <c r="N642" s="274"/>
      <c r="O642" s="274"/>
      <c r="P642" s="274"/>
      <c r="Q642" s="1707" t="str">
        <f t="shared" si="158"/>
        <v/>
      </c>
      <c r="R642" s="1708"/>
    </row>
    <row r="643" spans="2:18" s="503" customFormat="1" ht="36.6" hidden="1" customHeight="1" thickBot="1" x14ac:dyDescent="0.25">
      <c r="B643" s="1732" t="s">
        <v>135</v>
      </c>
      <c r="C643" s="1732"/>
      <c r="D643" s="1732"/>
      <c r="E643" s="1732"/>
      <c r="F643" s="1732"/>
      <c r="G643" s="1732"/>
      <c r="H643" s="1732"/>
      <c r="I643" s="1732"/>
      <c r="J643" s="1732"/>
      <c r="K643" s="1732"/>
      <c r="L643" s="1732"/>
      <c r="M643" s="1732"/>
      <c r="N643" s="1732"/>
      <c r="O643" s="1732"/>
      <c r="P643" s="1733"/>
      <c r="Q643" s="1734" t="str">
        <f>IFERROR(IF(AND(Q598="",Q600="",Q602="",Q604="",Q601="",Q605="",Q618="",Q619="",Q642="",Q641="",Q639="",Q638="",Q637="",Q635="",Q634="",Q633="",Q631="",Q630="",Q629="",Q617="",Q616="",Q615="",Q613="",Q612="",Q611="",Q610="",Q609="",Q608="",Q620="",Q621="",Q606="",Q603="",Q599="",Q622="",Q623="",Q624="",Q625="",Q626="",Q627="",Q628="",Q632="",Q640=""),"",SUM(Q598:R606,Q608:R613,Q615:R635,Q637:R642)),"")</f>
        <v/>
      </c>
      <c r="R643" s="1735"/>
    </row>
    <row r="644" spans="2:18" s="503" customFormat="1" ht="12.75" hidden="1" x14ac:dyDescent="0.2">
      <c r="B644" s="56"/>
      <c r="C644" s="75"/>
      <c r="D644" s="56"/>
      <c r="E644" s="56"/>
      <c r="F644" s="56"/>
      <c r="G644" s="75"/>
      <c r="H644" s="526"/>
      <c r="J644" s="75"/>
    </row>
    <row r="645" spans="2:18" s="503" customFormat="1" ht="40.5" hidden="1" customHeight="1" x14ac:dyDescent="0.2">
      <c r="B645" s="1741" t="s">
        <v>112</v>
      </c>
      <c r="C645" s="1742"/>
      <c r="D645" s="502" t="str">
        <f>IF(AND($F$590="MES",$F$591&gt;=1),"MES 01",IF(AND($F$590="BIMESTRE",$F$591&gt;=1),"BIMESTRE 01",IF(AND($F$590="TRIMESTRE",$F$591&gt;=1),"TRIMESTRE 01",IF(AND($F$590="SEMESTRE",$F$591&gt;=1),"SEMESTRE 01",IF(AND($F$590="AÑO",$F$591&gt;=1),"AÑO 01","")))))</f>
        <v/>
      </c>
      <c r="E645" s="502" t="str">
        <f>IF(AND($F$590="MES",$F$591&gt;=2),"MES 02",IF(AND($F$590="BIMESTRE",$F$591&gt;=2),"BIMESTRE 02",IF(AND($F$590="TRIMESTRE",$F$591&gt;=2),"TRIMESTRE 02",IF(AND($F$590="SEMESTRE",$F$591&gt;=2),"SEMESTRE 02",IF(AND($F$590="AÑO",$F$591&gt;=2),"AÑO 02","")))))</f>
        <v/>
      </c>
      <c r="F645" s="502" t="str">
        <f>IF(AND($F$590="MES",$F$591&gt;=3),"MES 03",IF(AND($F$590="BIMESTRE",$F$591&gt;=3),"BIMESTRE 03",IF(AND($F$590="TRIMESTRE",$F$591&gt;=3),"TRIMESTRE 03",IF(AND($F$590="SEMESTRE",$F$591&gt;=3),"SEMESTRE 03",IF(AND($F$590="AÑO",$F$591&gt;=3),"AÑO 03","")))))</f>
        <v/>
      </c>
      <c r="G645" s="502" t="str">
        <f>IF(AND($F$590="MES",$F$591&gt;=4),"MES 04",IF(AND($F$590="BIMESTRE",$F$591&gt;=4),"BIMESTRE 04",IF(AND($F$590="TRIMESTRE",$F$591&gt;=4),"TRIMESTRE 04",IF(AND($F$590="SEMESTRE",$F$591&gt;=4),"SEMESTRE 04",IF(AND($F$590="AÑO",$F$591&gt;=4),"","")))))</f>
        <v/>
      </c>
      <c r="H645" s="502" t="str">
        <f>IF(AND($F$590="MES",$F$591&gt;=5),"MES 05",IF(AND($F$590="BIMESTRE",$F$591&gt;=5),"BIMESTRE 05",IF(AND($F$590="TRIMESTRE",$F$591&gt;=5),"TRIMESTRE 05",IF(AND($F$590="SEMESTRE",$F$591&gt;=5),"SEMESTRE 05",IF(AND($F$590="AÑO",$F$591&gt;=5),"","")))))</f>
        <v/>
      </c>
      <c r="I645" s="502" t="str">
        <f>IF(AND($F$590="MES",$F$591&gt;=6),"MES 06",IF(AND($F$590="BIMESTRE",$F$591&gt;=6),"BIMESTRE 06",IF(AND($F$590="TRIMESTRE",$F$591&gt;=6),"TRIMESTRE 06",IF(AND($F$590="SEMESTRE",$F$591&gt;=6),"SEMESTRE 06",IF(AND($F$590="AÑO",$F$591&gt;=6),"","")))))</f>
        <v/>
      </c>
      <c r="J645" s="502" t="str">
        <f>IF(AND($F$590="MES",$F$591&gt;=7),"MES 07",IF(AND($F$590="BIMESTRE",$F$591&gt;=7),"BIMESTRE 07",IF(AND($F$590="TRIMESTRE",$F$591&gt;=7),"TRIMESTRE 07",IF(AND($F$590="SEMESTRE",$F$591&gt;=7),"SEMESTRE 07",IF(AND($F$590="AÑO",$F$591&gt;=7),"","")))))</f>
        <v/>
      </c>
      <c r="K645" s="502" t="str">
        <f>IF(AND($F$590="MES",$F$591=8),"MES 08",IF(AND($F$590="BIMESTRE",$F$591=8),"BIMESTRE 08",IF(AND($F$590="TRIMESTRE",$F$591=8),"TRIMESTRE 08",IF(AND($F$590="SEMESTRE",$F$591=8),"SEMESTRE 08",IF(AND($F$590="AÑO",$F$591=8),"","")))))</f>
        <v/>
      </c>
      <c r="L645" s="1126" t="s">
        <v>278</v>
      </c>
      <c r="M645" s="1053"/>
    </row>
    <row r="646" spans="2:18" s="503" customFormat="1" ht="5.0999999999999996" hidden="1" customHeight="1" x14ac:dyDescent="0.2">
      <c r="I646" s="56"/>
      <c r="J646" s="56"/>
      <c r="K646" s="56"/>
      <c r="L646" s="56"/>
      <c r="M646" s="56"/>
    </row>
    <row r="647" spans="2:18" s="503" customFormat="1" ht="35.1" hidden="1" customHeight="1" x14ac:dyDescent="0.2">
      <c r="B647" s="1743" t="s">
        <v>113</v>
      </c>
      <c r="C647" s="1744"/>
      <c r="D647" s="274"/>
      <c r="E647" s="274"/>
      <c r="F647" s="274"/>
      <c r="G647" s="274"/>
      <c r="H647" s="274"/>
      <c r="I647" s="274"/>
      <c r="J647" s="274"/>
      <c r="K647" s="274"/>
      <c r="L647" s="1745" t="str">
        <f>IFERROR(IF(AND(D647="",E647="",F647="",G647="",H647="",I647="",J647="",K647=""),"",SUM(D647:K647)),"")</f>
        <v/>
      </c>
      <c r="M647" s="1745"/>
    </row>
    <row r="648" spans="2:18" s="503" customFormat="1" ht="35.1" hidden="1" customHeight="1" x14ac:dyDescent="0.2">
      <c r="B648" s="1743" t="s">
        <v>136</v>
      </c>
      <c r="C648" s="1744"/>
      <c r="D648" s="274"/>
      <c r="E648" s="274"/>
      <c r="F648" s="274"/>
      <c r="G648" s="274"/>
      <c r="H648" s="274"/>
      <c r="I648" s="274"/>
      <c r="J648" s="274"/>
      <c r="K648" s="274"/>
      <c r="L648" s="1745" t="str">
        <f>IFERROR(IF(AND(D648="",E648="",F648="",G648="",H648="",I648="",J648="",K648=""),"",SUM(D648:K648)),"")</f>
        <v/>
      </c>
      <c r="M648" s="1745"/>
    </row>
    <row r="649" spans="2:18" s="503" customFormat="1" ht="35.1" hidden="1" customHeight="1" x14ac:dyDescent="0.2">
      <c r="B649" s="1743" t="s">
        <v>114</v>
      </c>
      <c r="C649" s="1744"/>
      <c r="D649" s="274"/>
      <c r="E649" s="274"/>
      <c r="F649" s="274"/>
      <c r="G649" s="274"/>
      <c r="H649" s="274"/>
      <c r="I649" s="274"/>
      <c r="J649" s="274"/>
      <c r="K649" s="274"/>
      <c r="L649" s="1745" t="str">
        <f>IFERROR(IF(AND(D649="",E649="",F649="",G649="",H649="",I649="",J649="",K649=""),"",SUM(D649:K649)),"")</f>
        <v/>
      </c>
      <c r="M649" s="1745"/>
    </row>
    <row r="650" spans="2:18" s="503" customFormat="1" ht="35.1" hidden="1" customHeight="1" thickBot="1" x14ac:dyDescent="0.25">
      <c r="B650" s="1743" t="s">
        <v>115</v>
      </c>
      <c r="C650" s="1744"/>
      <c r="D650" s="274"/>
      <c r="E650" s="274"/>
      <c r="F650" s="274"/>
      <c r="G650" s="274"/>
      <c r="H650" s="274"/>
      <c r="I650" s="274"/>
      <c r="J650" s="274"/>
      <c r="K650" s="274"/>
      <c r="L650" s="1707" t="str">
        <f>IFERROR(IF(AND(D650="",E650="",F650="",G650="",H650="",I650="",J650="",K650=""),"",SUM(D650:K650)),"")</f>
        <v/>
      </c>
      <c r="M650" s="1708"/>
    </row>
    <row r="651" spans="2:18" s="503" customFormat="1" ht="27.95" hidden="1" customHeight="1" thickBot="1" x14ac:dyDescent="0.25">
      <c r="B651" s="1736" t="s">
        <v>135</v>
      </c>
      <c r="C651" s="1736"/>
      <c r="D651" s="1736"/>
      <c r="E651" s="1736"/>
      <c r="F651" s="1736"/>
      <c r="G651" s="1736"/>
      <c r="H651" s="1736"/>
      <c r="I651" s="1736"/>
      <c r="J651" s="1736"/>
      <c r="K651" s="1736"/>
      <c r="L651" s="1734" t="str">
        <f>IFERROR(IF(AND(L647="",L648="",L649="",L650=""),"",SUM(L647:M650)),"")</f>
        <v/>
      </c>
      <c r="M651" s="1735"/>
    </row>
    <row r="652" spans="2:18" s="503" customFormat="1" ht="27.95" hidden="1" customHeight="1" thickBot="1" x14ac:dyDescent="0.25">
      <c r="B652" s="1737" t="s">
        <v>137</v>
      </c>
      <c r="C652" s="1738"/>
      <c r="D652" s="1738"/>
      <c r="E652" s="1738"/>
      <c r="F652" s="1738"/>
      <c r="G652" s="1738"/>
      <c r="H652" s="1738"/>
      <c r="I652" s="1738"/>
      <c r="J652" s="1738"/>
      <c r="K652" s="1739"/>
      <c r="L652" s="1734" t="str">
        <f>IFERROR(IF(OR(Q643="",L651=""),"",L651+Q643),"")</f>
        <v/>
      </c>
      <c r="M652" s="1735"/>
    </row>
    <row r="653" spans="2:18" s="503" customFormat="1" ht="14.25" hidden="1" x14ac:dyDescent="0.2">
      <c r="B653" s="1740" t="s">
        <v>418</v>
      </c>
      <c r="C653" s="1740"/>
      <c r="D653" s="1740"/>
      <c r="E653" s="1740"/>
      <c r="F653" s="1740"/>
      <c r="G653" s="1740"/>
      <c r="H653" s="1740"/>
      <c r="I653" s="1740"/>
      <c r="J653" s="56"/>
      <c r="K653" s="56"/>
      <c r="L653" s="56"/>
      <c r="M653" s="56"/>
    </row>
    <row r="654" spans="2:18" s="503" customFormat="1" ht="12.75" hidden="1" x14ac:dyDescent="0.2">
      <c r="B654" s="56"/>
      <c r="C654" s="75"/>
      <c r="D654" s="56"/>
      <c r="E654" s="56"/>
      <c r="F654" s="56"/>
      <c r="G654" s="56"/>
      <c r="H654" s="75"/>
      <c r="I654" s="75"/>
      <c r="J654" s="75"/>
      <c r="K654" s="56"/>
      <c r="L654" s="56"/>
      <c r="M654" s="56"/>
    </row>
    <row r="655" spans="2:18" s="503" customFormat="1" ht="12.75" hidden="1" x14ac:dyDescent="0.2">
      <c r="B655" s="68" t="s">
        <v>425</v>
      </c>
      <c r="C655" s="75"/>
      <c r="D655" s="75"/>
      <c r="E655" s="68"/>
      <c r="F655" s="75"/>
      <c r="G655" s="75"/>
      <c r="H655" s="75"/>
      <c r="I655" s="75"/>
      <c r="J655" s="75"/>
      <c r="K655" s="75"/>
      <c r="L655" s="75"/>
      <c r="M655" s="75"/>
    </row>
    <row r="656" spans="2:18" s="503" customFormat="1" ht="12.75" hidden="1" x14ac:dyDescent="0.2">
      <c r="B656" s="61" t="s">
        <v>138</v>
      </c>
      <c r="C656" s="75"/>
      <c r="D656" s="75"/>
      <c r="E656" s="75"/>
      <c r="F656" s="75"/>
      <c r="G656" s="75"/>
      <c r="H656" s="75"/>
      <c r="I656" s="75"/>
      <c r="J656" s="75"/>
      <c r="K656" s="75"/>
      <c r="L656" s="75"/>
      <c r="M656" s="75"/>
    </row>
    <row r="657" spans="2:22" s="503" customFormat="1" ht="12.75" hidden="1" x14ac:dyDescent="0.2">
      <c r="B657" s="61"/>
    </row>
    <row r="658" spans="2:22" s="503" customFormat="1" ht="12.75" hidden="1" x14ac:dyDescent="0.2">
      <c r="B658" s="61"/>
      <c r="C658" s="503" t="s">
        <v>139</v>
      </c>
      <c r="E658" s="458"/>
      <c r="F658" s="1707"/>
      <c r="G658" s="1708"/>
      <c r="H658" s="556" t="b">
        <v>0</v>
      </c>
      <c r="I658" s="68"/>
      <c r="J658" s="75"/>
    </row>
    <row r="659" spans="2:22" s="503" customFormat="1" ht="12.75" hidden="1" x14ac:dyDescent="0.2">
      <c r="B659" s="61"/>
      <c r="I659" s="75"/>
      <c r="J659" s="75"/>
    </row>
    <row r="660" spans="2:22" s="503" customFormat="1" ht="12.75" hidden="1" x14ac:dyDescent="0.2">
      <c r="B660" s="75"/>
      <c r="C660" s="503" t="s">
        <v>426</v>
      </c>
      <c r="E660" s="458"/>
      <c r="F660" s="1707" t="str">
        <f>IF(OR(F658="",L652=""),"",L652-F658)</f>
        <v/>
      </c>
      <c r="G660" s="1708"/>
      <c r="J660" s="75"/>
    </row>
    <row r="661" spans="2:22" s="503" customFormat="1" ht="12.75" hidden="1" x14ac:dyDescent="0.2">
      <c r="B661" s="56"/>
      <c r="C661" s="75"/>
      <c r="D661" s="56"/>
      <c r="E661" s="56"/>
      <c r="F661" s="56"/>
      <c r="G661" s="75"/>
      <c r="H661" s="526"/>
      <c r="J661" s="75"/>
    </row>
    <row r="662" spans="2:22" s="503" customFormat="1" ht="24.95" hidden="1" customHeight="1" x14ac:dyDescent="0.2">
      <c r="B662" s="195" t="s">
        <v>4774</v>
      </c>
      <c r="C662" s="56"/>
      <c r="D662" s="56"/>
      <c r="E662" s="56"/>
      <c r="F662" s="56"/>
      <c r="G662" s="56"/>
      <c r="H662" s="56"/>
      <c r="I662" s="56"/>
      <c r="J662" s="56"/>
      <c r="K662" s="56"/>
      <c r="L662" s="56"/>
      <c r="M662" s="56"/>
    </row>
    <row r="663" spans="2:22" s="503" customFormat="1" ht="12.75" hidden="1" x14ac:dyDescent="0.2">
      <c r="B663" s="104" t="s">
        <v>128</v>
      </c>
      <c r="C663" s="56"/>
      <c r="F663" s="1778"/>
      <c r="G663" s="1779"/>
      <c r="H663" s="85" t="s">
        <v>129</v>
      </c>
      <c r="K663" s="56"/>
      <c r="L663" s="56"/>
      <c r="M663" s="56"/>
    </row>
    <row r="664" spans="2:22" s="503" customFormat="1" ht="12.75" hidden="1" x14ac:dyDescent="0.2">
      <c r="B664" s="104" t="s">
        <v>130</v>
      </c>
      <c r="F664" s="1184"/>
      <c r="G664" s="1185"/>
      <c r="K664" s="56"/>
      <c r="L664" s="56"/>
      <c r="M664" s="56"/>
    </row>
    <row r="665" spans="2:22" s="503" customFormat="1" ht="12.75" hidden="1" x14ac:dyDescent="0.2">
      <c r="B665" s="104" t="s">
        <v>131</v>
      </c>
      <c r="F665" s="1257"/>
      <c r="G665" s="1777"/>
      <c r="H665" s="85" t="s">
        <v>132</v>
      </c>
      <c r="K665" s="56"/>
      <c r="L665" s="56"/>
      <c r="M665" s="56"/>
    </row>
    <row r="666" spans="2:22" s="503" customFormat="1" ht="12.75" hidden="1" customHeight="1" x14ac:dyDescent="0.2">
      <c r="B666" s="56"/>
      <c r="C666" s="56"/>
      <c r="D666" s="56"/>
      <c r="E666" s="56"/>
      <c r="F666" s="56"/>
      <c r="G666" s="56"/>
      <c r="H666" s="56"/>
      <c r="I666" s="56"/>
      <c r="J666" s="56"/>
      <c r="K666" s="56"/>
      <c r="L666" s="56"/>
      <c r="M666" s="56"/>
    </row>
    <row r="667" spans="2:22" s="503" customFormat="1" ht="15" hidden="1" customHeight="1" x14ac:dyDescent="0.2">
      <c r="B667" s="1196" t="s">
        <v>378</v>
      </c>
      <c r="C667" s="1196"/>
      <c r="D667" s="1196"/>
      <c r="E667" s="1196"/>
      <c r="F667" s="1196"/>
      <c r="G667" s="1197" t="s">
        <v>106</v>
      </c>
      <c r="H667" s="1197"/>
      <c r="I667" s="1196" t="s">
        <v>133</v>
      </c>
      <c r="J667" s="1196"/>
      <c r="K667" s="1196"/>
      <c r="L667" s="1196"/>
      <c r="M667" s="1196"/>
      <c r="N667" s="1196"/>
      <c r="O667" s="1196"/>
      <c r="P667" s="1196"/>
      <c r="Q667" s="1197" t="s">
        <v>134</v>
      </c>
      <c r="R667" s="1197"/>
    </row>
    <row r="668" spans="2:22" s="503" customFormat="1" ht="27" hidden="1" customHeight="1" x14ac:dyDescent="0.2">
      <c r="B668" s="1197" t="s">
        <v>4872</v>
      </c>
      <c r="C668" s="1197"/>
      <c r="D668" s="1197"/>
      <c r="E668" s="1197" t="s">
        <v>105</v>
      </c>
      <c r="F668" s="1197"/>
      <c r="G668" s="1197"/>
      <c r="H668" s="1197"/>
      <c r="I668" s="1196" t="str">
        <f>IF(AND($F$664="MES",$F$665&gt;=1),"MES 01",IF(AND($F$664="BIMESTRE",$F$665&gt;=1),"BIMESTRE 01",IF(AND($F$664="TRIMESTRE",$F$665&gt;=1),"TRIMESTRE 01",IF(AND($F$664="SEMESTRE",$F$665&gt;=1),"SEMESTRE 01",IF(AND($F$664="AÑO",$F$665&gt;=1),"AÑO 01","")))))</f>
        <v/>
      </c>
      <c r="J668" s="1196" t="str">
        <f>IF(AND(F664="MES",F665&gt;=2),"MES 02",IF(AND(F664="BIMESTRE",F665&gt;=2),"BIMESTRE 02",IF(AND(F664="TRIMESTRE",F665&gt;=2),"TRIMESTRE 02",IF(AND(F664="SEMESTRE",F665&gt;=2),"SEMESTRE 02",IF(AND(F664="AÑO",F665&gt;=2),"AÑO 02","")))))</f>
        <v/>
      </c>
      <c r="K668" s="1196" t="str">
        <f>IF(AND(F664="MES",F665&gt;=3),"MES 03",IF(AND(F664="BIMESTRE",F665&gt;=3),"BIMESTRE 03",IF(AND(F664="TRIMESTRE",F665&gt;=3),"TRIMESTRE 03",IF(AND(F664="SEMESTRE",F665&gt;=3),"SEMESTRE 03",IF(AND(F664="AÑO",F665&gt;=3),"AÑO 03","")))))</f>
        <v/>
      </c>
      <c r="L668" s="1196" t="str">
        <f>IF(AND(F664="MES",F665&gt;=4),"MES 04",IF(AND(F664="BIMESTRE",F665&gt;=4),"BIMESTRE 04",IF(AND(F664="TRIMESTRE",F665&gt;=4),"TRIMESTRE 04",IF(AND(F664="SEMESTRE",F665&gt;=4),"SEMESTRE 04",IF(AND(F664="AÑO",F665&gt;=4),"","")))))</f>
        <v/>
      </c>
      <c r="M668" s="1196" t="str">
        <f>IF(AND(F664="MES",F665&gt;=5),"MES 05",IF(AND(F664="BIMESTRE",F665&gt;=5),"BIMESTRE 05",IF(AND(F664="TRIMESTRE",F665&gt;=5),"TRIMESTRE 05",IF(AND(F664="SEMESTRE",F665&gt;=5),"SEMESTRE 05",IF(AND(F664="AÑO",F665&gt;=5),"","")))))</f>
        <v/>
      </c>
      <c r="N668" s="1196" t="str">
        <f>IF(AND(F664="MES",F665&gt;=6),"MES 06",IF(AND(F664="BIMESTRE",F665&gt;=6),"BIMESTRE 06",IF(AND(F664="TRIMESTRE",F665&gt;=6),"TRIMESTRE 06",IF(AND(F664="SEMESTRE",F665&gt;=6),"SEMESTRE 06",IF(AND(F664="AÑO",F665&gt;=6),"","")))))</f>
        <v/>
      </c>
      <c r="O668" s="1196" t="str">
        <f>IF(AND(F664="MES",F665&gt;=7),"MES 07",IF(AND(F664="BIMESTRE",F665&gt;=7),"BIMESTRE 07",IF(AND(F664="TRIMESTRE",F665&gt;=7),"TRIMESTRE 07",IF(AND(F664="SEMESTRE",F665&gt;=7),"SEMESTRE 07",IF(AND(F664="AÑO",F665&gt;=7),"","")))))</f>
        <v/>
      </c>
      <c r="P668" s="1196" t="str">
        <f>IF(AND(F664="MES",F665=8),"MES 08",IF(AND(F664="BIMESTRE",F665=8),"BIMESTRE 08",IF(AND(F664="TRIMESTRE",F665=8),"TRIMESTRE 08",IF(AND(F664="SEMESTRE",F665=8),"SEMESTRE 08",IF(AND(F664="AÑO",F665=8),"","")))))</f>
        <v/>
      </c>
      <c r="Q668" s="1197"/>
      <c r="R668" s="1197"/>
    </row>
    <row r="669" spans="2:22" s="503" customFormat="1" ht="12.75" hidden="1" x14ac:dyDescent="0.2">
      <c r="B669" s="1197"/>
      <c r="C669" s="1197"/>
      <c r="D669" s="1197"/>
      <c r="E669" s="1197"/>
      <c r="F669" s="1197"/>
      <c r="G669" s="1197"/>
      <c r="H669" s="1197"/>
      <c r="I669" s="1196"/>
      <c r="J669" s="1196"/>
      <c r="K669" s="1196"/>
      <c r="L669" s="1196"/>
      <c r="M669" s="1196"/>
      <c r="N669" s="1196"/>
      <c r="O669" s="1196"/>
      <c r="P669" s="1196"/>
      <c r="Q669" s="1197"/>
      <c r="R669" s="1197"/>
    </row>
    <row r="670" spans="2:22" s="503" customFormat="1" ht="7.5" hidden="1" customHeight="1" x14ac:dyDescent="0.2">
      <c r="I670" s="56"/>
      <c r="J670" s="56"/>
      <c r="K670" s="56"/>
      <c r="L670" s="56"/>
      <c r="M670" s="56"/>
    </row>
    <row r="671" spans="2:22" s="503" customFormat="1" ht="15.95" hidden="1" customHeight="1" x14ac:dyDescent="0.2">
      <c r="B671" s="448" t="str">
        <f>IFERROR(IF(B200="","",B200),"")</f>
        <v>Factor de Producción:</v>
      </c>
      <c r="C671" s="449"/>
      <c r="D671" s="449" t="str">
        <f>IFERROR(IF(D200="","",D200),"")</f>
        <v>Infraestructura</v>
      </c>
      <c r="E671" s="449"/>
      <c r="F671" s="449"/>
      <c r="G671" s="449"/>
      <c r="H671" s="449"/>
      <c r="I671" s="449"/>
      <c r="J671" s="449"/>
      <c r="K671" s="449"/>
      <c r="L671" s="449"/>
      <c r="M671" s="449"/>
      <c r="N671" s="449"/>
      <c r="O671" s="449"/>
      <c r="P671" s="449"/>
      <c r="Q671" s="449"/>
      <c r="R671" s="459"/>
    </row>
    <row r="672" spans="2:22" s="503" customFormat="1" ht="60" hidden="1" customHeight="1" x14ac:dyDescent="0.2">
      <c r="B672" s="1248" t="str">
        <f>IFERROR(IF(B201="","",B201),"")</f>
        <v/>
      </c>
      <c r="C672" s="1248"/>
      <c r="D672" s="1248"/>
      <c r="E672" s="1250" t="str">
        <f>IFERROR(IF(E201="","",E201),"")</f>
        <v/>
      </c>
      <c r="F672" s="1252"/>
      <c r="G672" s="1250" t="str">
        <f>IFERROR(IF(G201="","",G201),"")</f>
        <v/>
      </c>
      <c r="H672" s="1252"/>
      <c r="I672" s="274"/>
      <c r="J672" s="274"/>
      <c r="K672" s="274"/>
      <c r="L672" s="274"/>
      <c r="M672" s="274"/>
      <c r="N672" s="274"/>
      <c r="O672" s="274"/>
      <c r="P672" s="274"/>
      <c r="Q672" s="1707" t="str">
        <f t="shared" ref="Q672:Q680" si="159">IFERROR(IF(AND(I672="",J672="",K672="",L672="",M672="",N672="",O672="",P672=""),"",SUM(I672:P672)),"")</f>
        <v/>
      </c>
      <c r="R672" s="1708"/>
      <c r="T672" s="465"/>
      <c r="V672" s="558"/>
    </row>
    <row r="673" spans="2:20" s="503" customFormat="1" ht="60" hidden="1" customHeight="1" x14ac:dyDescent="0.2">
      <c r="B673" s="1248" t="str">
        <f t="shared" ref="B673:B680" si="160">IFERROR(IF(B202="","",B202),"")</f>
        <v/>
      </c>
      <c r="C673" s="1248"/>
      <c r="D673" s="1248"/>
      <c r="E673" s="1250" t="str">
        <f t="shared" ref="E673:E680" si="161">IFERROR(IF(E202="","",E202),"")</f>
        <v/>
      </c>
      <c r="F673" s="1252"/>
      <c r="G673" s="1250" t="str">
        <f t="shared" ref="G673:G680" si="162">IFERROR(IF(G202="","",G202),"")</f>
        <v/>
      </c>
      <c r="H673" s="1252"/>
      <c r="I673" s="274"/>
      <c r="J673" s="274"/>
      <c r="K673" s="274"/>
      <c r="L673" s="274"/>
      <c r="M673" s="274"/>
      <c r="N673" s="274"/>
      <c r="O673" s="274"/>
      <c r="P673" s="274"/>
      <c r="Q673" s="1707" t="str">
        <f t="shared" si="159"/>
        <v/>
      </c>
      <c r="R673" s="1708"/>
      <c r="T673" s="465"/>
    </row>
    <row r="674" spans="2:20" s="503" customFormat="1" ht="60" hidden="1" customHeight="1" x14ac:dyDescent="0.2">
      <c r="B674" s="1248" t="str">
        <f t="shared" si="160"/>
        <v/>
      </c>
      <c r="C674" s="1248"/>
      <c r="D674" s="1248"/>
      <c r="E674" s="1250" t="str">
        <f t="shared" si="161"/>
        <v/>
      </c>
      <c r="F674" s="1252"/>
      <c r="G674" s="1250" t="str">
        <f t="shared" si="162"/>
        <v/>
      </c>
      <c r="H674" s="1252"/>
      <c r="I674" s="274"/>
      <c r="J674" s="274"/>
      <c r="K674" s="274"/>
      <c r="L674" s="274"/>
      <c r="M674" s="274"/>
      <c r="N674" s="274"/>
      <c r="O674" s="274"/>
      <c r="P674" s="274"/>
      <c r="Q674" s="1707" t="str">
        <f t="shared" si="159"/>
        <v/>
      </c>
      <c r="R674" s="1708"/>
    </row>
    <row r="675" spans="2:20" s="503" customFormat="1" ht="60" hidden="1" customHeight="1" x14ac:dyDescent="0.2">
      <c r="B675" s="1248" t="str">
        <f t="shared" si="160"/>
        <v/>
      </c>
      <c r="C675" s="1248"/>
      <c r="D675" s="1248"/>
      <c r="E675" s="1250" t="str">
        <f t="shared" si="161"/>
        <v/>
      </c>
      <c r="F675" s="1252"/>
      <c r="G675" s="1250" t="str">
        <f t="shared" si="162"/>
        <v/>
      </c>
      <c r="H675" s="1252"/>
      <c r="I675" s="274"/>
      <c r="J675" s="274"/>
      <c r="K675" s="274"/>
      <c r="L675" s="274"/>
      <c r="M675" s="274"/>
      <c r="N675" s="274"/>
      <c r="O675" s="274"/>
      <c r="P675" s="274"/>
      <c r="Q675" s="1707" t="str">
        <f t="shared" si="159"/>
        <v/>
      </c>
      <c r="R675" s="1708"/>
    </row>
    <row r="676" spans="2:20" s="503" customFormat="1" ht="60" hidden="1" customHeight="1" x14ac:dyDescent="0.2">
      <c r="B676" s="1248" t="str">
        <f t="shared" si="160"/>
        <v/>
      </c>
      <c r="C676" s="1248"/>
      <c r="D676" s="1248"/>
      <c r="E676" s="1250" t="str">
        <f t="shared" si="161"/>
        <v/>
      </c>
      <c r="F676" s="1252"/>
      <c r="G676" s="1250" t="str">
        <f t="shared" si="162"/>
        <v/>
      </c>
      <c r="H676" s="1252"/>
      <c r="I676" s="274"/>
      <c r="J676" s="274"/>
      <c r="K676" s="274"/>
      <c r="L676" s="274"/>
      <c r="M676" s="274"/>
      <c r="N676" s="274"/>
      <c r="O676" s="274"/>
      <c r="P676" s="274"/>
      <c r="Q676" s="1707" t="str">
        <f t="shared" si="159"/>
        <v/>
      </c>
      <c r="R676" s="1708"/>
    </row>
    <row r="677" spans="2:20" s="503" customFormat="1" ht="60" hidden="1" customHeight="1" x14ac:dyDescent="0.2">
      <c r="B677" s="1248" t="str">
        <f t="shared" si="160"/>
        <v/>
      </c>
      <c r="C677" s="1248"/>
      <c r="D677" s="1248"/>
      <c r="E677" s="1250" t="str">
        <f t="shared" si="161"/>
        <v/>
      </c>
      <c r="F677" s="1252"/>
      <c r="G677" s="1250" t="str">
        <f t="shared" si="162"/>
        <v/>
      </c>
      <c r="H677" s="1252"/>
      <c r="I677" s="274"/>
      <c r="J677" s="274"/>
      <c r="K677" s="274"/>
      <c r="L677" s="274"/>
      <c r="M677" s="274"/>
      <c r="N677" s="274"/>
      <c r="O677" s="274"/>
      <c r="P677" s="274"/>
      <c r="Q677" s="1707" t="str">
        <f t="shared" si="159"/>
        <v/>
      </c>
      <c r="R677" s="1708"/>
    </row>
    <row r="678" spans="2:20" s="503" customFormat="1" ht="60" hidden="1" customHeight="1" x14ac:dyDescent="0.2">
      <c r="B678" s="1248" t="str">
        <f t="shared" si="160"/>
        <v/>
      </c>
      <c r="C678" s="1248"/>
      <c r="D678" s="1248"/>
      <c r="E678" s="1250" t="str">
        <f t="shared" si="161"/>
        <v/>
      </c>
      <c r="F678" s="1252"/>
      <c r="G678" s="1250" t="str">
        <f t="shared" si="162"/>
        <v/>
      </c>
      <c r="H678" s="1252"/>
      <c r="I678" s="274"/>
      <c r="J678" s="274"/>
      <c r="K678" s="274"/>
      <c r="L678" s="274"/>
      <c r="M678" s="274"/>
      <c r="N678" s="274"/>
      <c r="O678" s="274"/>
      <c r="P678" s="274"/>
      <c r="Q678" s="1707" t="str">
        <f t="shared" si="159"/>
        <v/>
      </c>
      <c r="R678" s="1708"/>
    </row>
    <row r="679" spans="2:20" s="503" customFormat="1" ht="60" hidden="1" customHeight="1" x14ac:dyDescent="0.2">
      <c r="B679" s="1248" t="str">
        <f t="shared" si="160"/>
        <v/>
      </c>
      <c r="C679" s="1248"/>
      <c r="D679" s="1248"/>
      <c r="E679" s="1250" t="str">
        <f t="shared" si="161"/>
        <v/>
      </c>
      <c r="F679" s="1252"/>
      <c r="G679" s="1250" t="str">
        <f t="shared" si="162"/>
        <v/>
      </c>
      <c r="H679" s="1252"/>
      <c r="I679" s="274"/>
      <c r="J679" s="274"/>
      <c r="K679" s="274"/>
      <c r="L679" s="274"/>
      <c r="M679" s="274"/>
      <c r="N679" s="274"/>
      <c r="O679" s="274"/>
      <c r="P679" s="274"/>
      <c r="Q679" s="1707" t="str">
        <f t="shared" si="159"/>
        <v/>
      </c>
      <c r="R679" s="1708"/>
    </row>
    <row r="680" spans="2:20" s="503" customFormat="1" ht="60" hidden="1" customHeight="1" x14ac:dyDescent="0.2">
      <c r="B680" s="1248" t="str">
        <f t="shared" si="160"/>
        <v/>
      </c>
      <c r="C680" s="1248"/>
      <c r="D680" s="1248"/>
      <c r="E680" s="1250" t="str">
        <f t="shared" si="161"/>
        <v/>
      </c>
      <c r="F680" s="1252"/>
      <c r="G680" s="1250" t="str">
        <f t="shared" si="162"/>
        <v/>
      </c>
      <c r="H680" s="1252"/>
      <c r="I680" s="274"/>
      <c r="J680" s="274"/>
      <c r="K680" s="274"/>
      <c r="L680" s="274"/>
      <c r="M680" s="274"/>
      <c r="N680" s="274"/>
      <c r="O680" s="274"/>
      <c r="P680" s="274"/>
      <c r="Q680" s="1707" t="str">
        <f t="shared" si="159"/>
        <v/>
      </c>
      <c r="R680" s="1708"/>
    </row>
    <row r="681" spans="2:20" s="503" customFormat="1" ht="15.95" hidden="1" customHeight="1" x14ac:dyDescent="0.2">
      <c r="B681" s="1729" t="str">
        <f t="shared" ref="B681:B687" si="163">IFERROR(IF(B210="","",B210),"")</f>
        <v>Medidas de Reducción del riesgo de desastres y mitigación ambiental</v>
      </c>
      <c r="C681" s="1730"/>
      <c r="D681" s="1730"/>
      <c r="E681" s="1730"/>
      <c r="F681" s="1730"/>
      <c r="G681" s="1730"/>
      <c r="H681" s="1730"/>
      <c r="I681" s="1730"/>
      <c r="J681" s="1730"/>
      <c r="K681" s="1730"/>
      <c r="L681" s="1730"/>
      <c r="M681" s="1730"/>
      <c r="N681" s="1730"/>
      <c r="O681" s="1730"/>
      <c r="P681" s="1730"/>
      <c r="Q681" s="1730"/>
      <c r="R681" s="1731"/>
    </row>
    <row r="682" spans="2:20" s="503" customFormat="1" ht="60" hidden="1" customHeight="1" x14ac:dyDescent="0.2">
      <c r="B682" s="1248" t="str">
        <f t="shared" si="163"/>
        <v/>
      </c>
      <c r="C682" s="1248"/>
      <c r="D682" s="1248"/>
      <c r="E682" s="1250" t="str">
        <f t="shared" ref="E682:E687" si="164">IFERROR(IF(E211="","",E211),"")</f>
        <v/>
      </c>
      <c r="F682" s="1252"/>
      <c r="G682" s="1250" t="str">
        <f t="shared" ref="G682:G687" si="165">IFERROR(IF(G211="","",G211),"")</f>
        <v/>
      </c>
      <c r="H682" s="1252"/>
      <c r="I682" s="274"/>
      <c r="J682" s="274"/>
      <c r="K682" s="274"/>
      <c r="L682" s="274"/>
      <c r="M682" s="274"/>
      <c r="N682" s="274"/>
      <c r="O682" s="274"/>
      <c r="P682" s="274"/>
      <c r="Q682" s="1707" t="str">
        <f t="shared" ref="Q682:Q687" si="166">IFERROR(IF(AND(I682="",J682="",K682="",L682="",M682="",N682="",O682="",P682=""),"",SUM(I682:P682)),"")</f>
        <v/>
      </c>
      <c r="R682" s="1708"/>
    </row>
    <row r="683" spans="2:20" s="503" customFormat="1" ht="60" hidden="1" customHeight="1" x14ac:dyDescent="0.2">
      <c r="B683" s="1248" t="str">
        <f t="shared" si="163"/>
        <v/>
      </c>
      <c r="C683" s="1248"/>
      <c r="D683" s="1248"/>
      <c r="E683" s="1250" t="str">
        <f t="shared" si="164"/>
        <v/>
      </c>
      <c r="F683" s="1252"/>
      <c r="G683" s="1250" t="str">
        <f t="shared" si="165"/>
        <v/>
      </c>
      <c r="H683" s="1252"/>
      <c r="I683" s="274"/>
      <c r="J683" s="274"/>
      <c r="K683" s="274"/>
      <c r="L683" s="274"/>
      <c r="M683" s="274"/>
      <c r="N683" s="274"/>
      <c r="O683" s="274"/>
      <c r="P683" s="274"/>
      <c r="Q683" s="1707" t="str">
        <f t="shared" si="166"/>
        <v/>
      </c>
      <c r="R683" s="1708"/>
    </row>
    <row r="684" spans="2:20" s="503" customFormat="1" ht="60" hidden="1" customHeight="1" x14ac:dyDescent="0.2">
      <c r="B684" s="1248" t="str">
        <f t="shared" si="163"/>
        <v/>
      </c>
      <c r="C684" s="1248"/>
      <c r="D684" s="1248"/>
      <c r="E684" s="1250" t="str">
        <f t="shared" si="164"/>
        <v/>
      </c>
      <c r="F684" s="1252"/>
      <c r="G684" s="1250" t="str">
        <f t="shared" si="165"/>
        <v/>
      </c>
      <c r="H684" s="1252"/>
      <c r="I684" s="274"/>
      <c r="J684" s="274"/>
      <c r="K684" s="274"/>
      <c r="L684" s="274"/>
      <c r="M684" s="274"/>
      <c r="N684" s="274"/>
      <c r="O684" s="274"/>
      <c r="P684" s="274"/>
      <c r="Q684" s="1707" t="str">
        <f t="shared" si="166"/>
        <v/>
      </c>
      <c r="R684" s="1708"/>
    </row>
    <row r="685" spans="2:20" s="503" customFormat="1" ht="60" hidden="1" customHeight="1" x14ac:dyDescent="0.2">
      <c r="B685" s="1248" t="str">
        <f t="shared" si="163"/>
        <v/>
      </c>
      <c r="C685" s="1248"/>
      <c r="D685" s="1248"/>
      <c r="E685" s="1250" t="str">
        <f t="shared" si="164"/>
        <v/>
      </c>
      <c r="F685" s="1252"/>
      <c r="G685" s="1250" t="str">
        <f t="shared" si="165"/>
        <v/>
      </c>
      <c r="H685" s="1252"/>
      <c r="I685" s="274"/>
      <c r="J685" s="274"/>
      <c r="K685" s="274"/>
      <c r="L685" s="274"/>
      <c r="M685" s="274"/>
      <c r="N685" s="274"/>
      <c r="O685" s="274"/>
      <c r="P685" s="274"/>
      <c r="Q685" s="1707" t="str">
        <f t="shared" si="166"/>
        <v/>
      </c>
      <c r="R685" s="1708"/>
    </row>
    <row r="686" spans="2:20" s="503" customFormat="1" ht="60" hidden="1" customHeight="1" x14ac:dyDescent="0.2">
      <c r="B686" s="1248" t="str">
        <f t="shared" si="163"/>
        <v/>
      </c>
      <c r="C686" s="1248"/>
      <c r="D686" s="1248"/>
      <c r="E686" s="1250" t="str">
        <f t="shared" si="164"/>
        <v/>
      </c>
      <c r="F686" s="1252"/>
      <c r="G686" s="1250" t="str">
        <f t="shared" si="165"/>
        <v/>
      </c>
      <c r="H686" s="1252"/>
      <c r="I686" s="274"/>
      <c r="J686" s="274"/>
      <c r="K686" s="274"/>
      <c r="L686" s="274"/>
      <c r="M686" s="274"/>
      <c r="N686" s="274"/>
      <c r="O686" s="274"/>
      <c r="P686" s="274"/>
      <c r="Q686" s="1707" t="str">
        <f t="shared" si="166"/>
        <v/>
      </c>
      <c r="R686" s="1708"/>
    </row>
    <row r="687" spans="2:20" s="503" customFormat="1" ht="60" hidden="1" customHeight="1" x14ac:dyDescent="0.2">
      <c r="B687" s="1248" t="str">
        <f t="shared" si="163"/>
        <v/>
      </c>
      <c r="C687" s="1248"/>
      <c r="D687" s="1248"/>
      <c r="E687" s="1250" t="str">
        <f t="shared" si="164"/>
        <v/>
      </c>
      <c r="F687" s="1252"/>
      <c r="G687" s="1250" t="str">
        <f t="shared" si="165"/>
        <v/>
      </c>
      <c r="H687" s="1252"/>
      <c r="I687" s="274"/>
      <c r="J687" s="274"/>
      <c r="K687" s="274"/>
      <c r="L687" s="274"/>
      <c r="M687" s="274"/>
      <c r="N687" s="274"/>
      <c r="O687" s="274"/>
      <c r="P687" s="274"/>
      <c r="Q687" s="1707" t="str">
        <f t="shared" si="166"/>
        <v/>
      </c>
      <c r="R687" s="1708"/>
    </row>
    <row r="688" spans="2:20" s="503" customFormat="1" ht="15.95" hidden="1" customHeight="1" x14ac:dyDescent="0.2">
      <c r="B688" s="448" t="str">
        <f>IFERROR(IF(B233="","",B233),"")</f>
        <v>Factor de Producción:</v>
      </c>
      <c r="C688" s="449"/>
      <c r="D688" s="449" t="str">
        <f>IFERROR(IF(D233="","",D233),"")</f>
        <v>Intangibles</v>
      </c>
      <c r="E688" s="449"/>
      <c r="F688" s="449"/>
      <c r="G688" s="449"/>
      <c r="H688" s="449"/>
      <c r="I688" s="449"/>
      <c r="J688" s="449"/>
      <c r="K688" s="449"/>
      <c r="L688" s="449"/>
      <c r="M688" s="449"/>
      <c r="N688" s="449"/>
      <c r="O688" s="449"/>
      <c r="P688" s="449"/>
      <c r="Q688" s="449"/>
      <c r="R688" s="459"/>
    </row>
    <row r="689" spans="2:18" s="503" customFormat="1" ht="60" hidden="1" customHeight="1" x14ac:dyDescent="0.2">
      <c r="B689" s="1248" t="str">
        <f>IFERROR(IF(B234="","",B234),"")</f>
        <v/>
      </c>
      <c r="C689" s="1248"/>
      <c r="D689" s="1248"/>
      <c r="E689" s="1250" t="str">
        <f>IFERROR(IF(E234="","",E234),"")</f>
        <v/>
      </c>
      <c r="F689" s="1252"/>
      <c r="G689" s="1250" t="str">
        <f>IFERROR(IF(G234="","",G234),"")</f>
        <v/>
      </c>
      <c r="H689" s="1252"/>
      <c r="I689" s="274"/>
      <c r="J689" s="274"/>
      <c r="K689" s="274"/>
      <c r="L689" s="274"/>
      <c r="M689" s="274"/>
      <c r="N689" s="274"/>
      <c r="O689" s="274"/>
      <c r="P689" s="274"/>
      <c r="Q689" s="1707" t="str">
        <f t="shared" ref="Q689:Q709" si="167">IFERROR(IF(AND(I689="",J689="",K689="",L689="",M689="",N689="",O689="",P689=""),"",SUM(I689:P689)),"")</f>
        <v/>
      </c>
      <c r="R689" s="1708"/>
    </row>
    <row r="690" spans="2:18" s="503" customFormat="1" ht="60" hidden="1" customHeight="1" x14ac:dyDescent="0.2">
      <c r="B690" s="1248" t="str">
        <f t="shared" ref="B690:B709" si="168">IFERROR(IF(B235="","",B235),"")</f>
        <v/>
      </c>
      <c r="C690" s="1248"/>
      <c r="D690" s="1248"/>
      <c r="E690" s="1250" t="str">
        <f t="shared" ref="E690:E709" si="169">IFERROR(IF(E235="","",E235),"")</f>
        <v/>
      </c>
      <c r="F690" s="1252"/>
      <c r="G690" s="1250" t="str">
        <f t="shared" ref="G690:G709" si="170">IFERROR(IF(G235="","",G235),"")</f>
        <v/>
      </c>
      <c r="H690" s="1252"/>
      <c r="I690" s="274"/>
      <c r="J690" s="274"/>
      <c r="K690" s="274"/>
      <c r="L690" s="274"/>
      <c r="M690" s="274"/>
      <c r="N690" s="274"/>
      <c r="O690" s="274"/>
      <c r="P690" s="274"/>
      <c r="Q690" s="1707" t="str">
        <f t="shared" si="167"/>
        <v/>
      </c>
      <c r="R690" s="1708"/>
    </row>
    <row r="691" spans="2:18" s="503" customFormat="1" ht="60" hidden="1" customHeight="1" x14ac:dyDescent="0.2">
      <c r="B691" s="1248" t="str">
        <f t="shared" si="168"/>
        <v/>
      </c>
      <c r="C691" s="1248"/>
      <c r="D691" s="1248"/>
      <c r="E691" s="1250" t="str">
        <f t="shared" si="169"/>
        <v/>
      </c>
      <c r="F691" s="1252"/>
      <c r="G691" s="1250" t="str">
        <f t="shared" si="170"/>
        <v/>
      </c>
      <c r="H691" s="1252"/>
      <c r="I691" s="274"/>
      <c r="J691" s="274"/>
      <c r="K691" s="274"/>
      <c r="L691" s="274"/>
      <c r="M691" s="274"/>
      <c r="N691" s="274"/>
      <c r="O691" s="274"/>
      <c r="P691" s="274"/>
      <c r="Q691" s="1707" t="str">
        <f t="shared" si="167"/>
        <v/>
      </c>
      <c r="R691" s="1708"/>
    </row>
    <row r="692" spans="2:18" s="503" customFormat="1" ht="60" hidden="1" customHeight="1" x14ac:dyDescent="0.2">
      <c r="B692" s="1248" t="str">
        <f t="shared" si="168"/>
        <v/>
      </c>
      <c r="C692" s="1248"/>
      <c r="D692" s="1248"/>
      <c r="E692" s="1250" t="str">
        <f t="shared" si="169"/>
        <v/>
      </c>
      <c r="F692" s="1252"/>
      <c r="G692" s="1250" t="str">
        <f t="shared" si="170"/>
        <v/>
      </c>
      <c r="H692" s="1252"/>
      <c r="I692" s="274"/>
      <c r="J692" s="274"/>
      <c r="K692" s="274"/>
      <c r="L692" s="274"/>
      <c r="M692" s="274"/>
      <c r="N692" s="274"/>
      <c r="O692" s="274"/>
      <c r="P692" s="274"/>
      <c r="Q692" s="1707" t="str">
        <f t="shared" si="167"/>
        <v/>
      </c>
      <c r="R692" s="1708"/>
    </row>
    <row r="693" spans="2:18" s="503" customFormat="1" ht="60" hidden="1" customHeight="1" x14ac:dyDescent="0.2">
      <c r="B693" s="1248" t="str">
        <f t="shared" si="168"/>
        <v/>
      </c>
      <c r="C693" s="1248"/>
      <c r="D693" s="1248"/>
      <c r="E693" s="1250" t="str">
        <f t="shared" si="169"/>
        <v/>
      </c>
      <c r="F693" s="1252"/>
      <c r="G693" s="1250" t="str">
        <f t="shared" si="170"/>
        <v/>
      </c>
      <c r="H693" s="1252"/>
      <c r="I693" s="274"/>
      <c r="J693" s="274"/>
      <c r="K693" s="274"/>
      <c r="L693" s="274"/>
      <c r="M693" s="274"/>
      <c r="N693" s="274"/>
      <c r="O693" s="274"/>
      <c r="P693" s="274"/>
      <c r="Q693" s="1707" t="str">
        <f t="shared" si="167"/>
        <v/>
      </c>
      <c r="R693" s="1708"/>
    </row>
    <row r="694" spans="2:18" s="503" customFormat="1" ht="60" hidden="1" customHeight="1" x14ac:dyDescent="0.2">
      <c r="B694" s="1248" t="str">
        <f t="shared" si="168"/>
        <v/>
      </c>
      <c r="C694" s="1248"/>
      <c r="D694" s="1248"/>
      <c r="E694" s="1250" t="str">
        <f t="shared" si="169"/>
        <v/>
      </c>
      <c r="F694" s="1252"/>
      <c r="G694" s="1250" t="str">
        <f t="shared" si="170"/>
        <v/>
      </c>
      <c r="H694" s="1252"/>
      <c r="I694" s="274"/>
      <c r="J694" s="274"/>
      <c r="K694" s="274"/>
      <c r="L694" s="274"/>
      <c r="M694" s="274"/>
      <c r="N694" s="274"/>
      <c r="O694" s="274"/>
      <c r="P694" s="274"/>
      <c r="Q694" s="1707" t="str">
        <f t="shared" si="167"/>
        <v/>
      </c>
      <c r="R694" s="1708"/>
    </row>
    <row r="695" spans="2:18" s="503" customFormat="1" ht="60" hidden="1" customHeight="1" x14ac:dyDescent="0.2">
      <c r="B695" s="1248" t="str">
        <f t="shared" si="168"/>
        <v/>
      </c>
      <c r="C695" s="1248"/>
      <c r="D695" s="1248"/>
      <c r="E695" s="1250" t="str">
        <f t="shared" si="169"/>
        <v/>
      </c>
      <c r="F695" s="1252"/>
      <c r="G695" s="1250" t="str">
        <f t="shared" si="170"/>
        <v/>
      </c>
      <c r="H695" s="1252"/>
      <c r="I695" s="274"/>
      <c r="J695" s="274"/>
      <c r="K695" s="274"/>
      <c r="L695" s="274"/>
      <c r="M695" s="274"/>
      <c r="N695" s="274"/>
      <c r="O695" s="274"/>
      <c r="P695" s="274"/>
      <c r="Q695" s="1707" t="str">
        <f t="shared" si="167"/>
        <v/>
      </c>
      <c r="R695" s="1708"/>
    </row>
    <row r="696" spans="2:18" s="503" customFormat="1" ht="60" hidden="1" customHeight="1" x14ac:dyDescent="0.2">
      <c r="B696" s="1248" t="str">
        <f t="shared" si="168"/>
        <v/>
      </c>
      <c r="C696" s="1248"/>
      <c r="D696" s="1248"/>
      <c r="E696" s="1250" t="str">
        <f t="shared" si="169"/>
        <v/>
      </c>
      <c r="F696" s="1252"/>
      <c r="G696" s="1250" t="str">
        <f t="shared" si="170"/>
        <v/>
      </c>
      <c r="H696" s="1252"/>
      <c r="I696" s="274"/>
      <c r="J696" s="274"/>
      <c r="K696" s="274"/>
      <c r="L696" s="274"/>
      <c r="M696" s="274"/>
      <c r="N696" s="274"/>
      <c r="O696" s="274"/>
      <c r="P696" s="274"/>
      <c r="Q696" s="1707" t="str">
        <f t="shared" si="167"/>
        <v/>
      </c>
      <c r="R696" s="1708"/>
    </row>
    <row r="697" spans="2:18" s="503" customFormat="1" ht="60" hidden="1" customHeight="1" x14ac:dyDescent="0.2">
      <c r="B697" s="1248" t="str">
        <f t="shared" si="168"/>
        <v/>
      </c>
      <c r="C697" s="1248"/>
      <c r="D697" s="1248"/>
      <c r="E697" s="1250" t="str">
        <f t="shared" si="169"/>
        <v/>
      </c>
      <c r="F697" s="1252"/>
      <c r="G697" s="1250" t="str">
        <f t="shared" si="170"/>
        <v/>
      </c>
      <c r="H697" s="1252"/>
      <c r="I697" s="274"/>
      <c r="J697" s="274"/>
      <c r="K697" s="274"/>
      <c r="L697" s="274"/>
      <c r="M697" s="274"/>
      <c r="N697" s="274"/>
      <c r="O697" s="274"/>
      <c r="P697" s="274"/>
      <c r="Q697" s="1707" t="str">
        <f t="shared" si="167"/>
        <v/>
      </c>
      <c r="R697" s="1708"/>
    </row>
    <row r="698" spans="2:18" s="503" customFormat="1" ht="60" hidden="1" customHeight="1" x14ac:dyDescent="0.2">
      <c r="B698" s="1248" t="str">
        <f t="shared" si="168"/>
        <v/>
      </c>
      <c r="C698" s="1248"/>
      <c r="D698" s="1248"/>
      <c r="E698" s="1250" t="str">
        <f t="shared" si="169"/>
        <v/>
      </c>
      <c r="F698" s="1252"/>
      <c r="G698" s="1250" t="str">
        <f t="shared" si="170"/>
        <v/>
      </c>
      <c r="H698" s="1252"/>
      <c r="I698" s="274"/>
      <c r="J698" s="274"/>
      <c r="K698" s="274"/>
      <c r="L698" s="274"/>
      <c r="M698" s="274"/>
      <c r="N698" s="274"/>
      <c r="O698" s="274"/>
      <c r="P698" s="274"/>
      <c r="Q698" s="1707" t="str">
        <f t="shared" si="167"/>
        <v/>
      </c>
      <c r="R698" s="1708"/>
    </row>
    <row r="699" spans="2:18" s="503" customFormat="1" ht="60" hidden="1" customHeight="1" x14ac:dyDescent="0.2">
      <c r="B699" s="1248" t="str">
        <f t="shared" si="168"/>
        <v/>
      </c>
      <c r="C699" s="1248"/>
      <c r="D699" s="1248"/>
      <c r="E699" s="1250" t="str">
        <f t="shared" si="169"/>
        <v/>
      </c>
      <c r="F699" s="1252"/>
      <c r="G699" s="1250" t="str">
        <f t="shared" si="170"/>
        <v/>
      </c>
      <c r="H699" s="1252"/>
      <c r="I699" s="274"/>
      <c r="J699" s="274"/>
      <c r="K699" s="274"/>
      <c r="L699" s="274"/>
      <c r="M699" s="274"/>
      <c r="N699" s="274"/>
      <c r="O699" s="274"/>
      <c r="P699" s="274"/>
      <c r="Q699" s="1707" t="str">
        <f t="shared" si="167"/>
        <v/>
      </c>
      <c r="R699" s="1708"/>
    </row>
    <row r="700" spans="2:18" s="503" customFormat="1" ht="60" hidden="1" customHeight="1" x14ac:dyDescent="0.2">
      <c r="B700" s="1248" t="str">
        <f t="shared" si="168"/>
        <v/>
      </c>
      <c r="C700" s="1248"/>
      <c r="D700" s="1248"/>
      <c r="E700" s="1250" t="str">
        <f t="shared" si="169"/>
        <v/>
      </c>
      <c r="F700" s="1252"/>
      <c r="G700" s="1250" t="str">
        <f t="shared" si="170"/>
        <v/>
      </c>
      <c r="H700" s="1252"/>
      <c r="I700" s="274"/>
      <c r="J700" s="274"/>
      <c r="K700" s="274"/>
      <c r="L700" s="274"/>
      <c r="M700" s="274"/>
      <c r="N700" s="274"/>
      <c r="O700" s="274"/>
      <c r="P700" s="274"/>
      <c r="Q700" s="1707" t="str">
        <f t="shared" si="167"/>
        <v/>
      </c>
      <c r="R700" s="1708"/>
    </row>
    <row r="701" spans="2:18" s="503" customFormat="1" ht="60" hidden="1" customHeight="1" x14ac:dyDescent="0.2">
      <c r="B701" s="1248" t="str">
        <f t="shared" si="168"/>
        <v/>
      </c>
      <c r="C701" s="1248"/>
      <c r="D701" s="1248"/>
      <c r="E701" s="1250" t="str">
        <f t="shared" si="169"/>
        <v/>
      </c>
      <c r="F701" s="1252"/>
      <c r="G701" s="1250" t="str">
        <f t="shared" si="170"/>
        <v/>
      </c>
      <c r="H701" s="1252"/>
      <c r="I701" s="274"/>
      <c r="J701" s="274"/>
      <c r="K701" s="274"/>
      <c r="L701" s="274"/>
      <c r="M701" s="274"/>
      <c r="N701" s="274"/>
      <c r="O701" s="274"/>
      <c r="P701" s="274"/>
      <c r="Q701" s="1707" t="str">
        <f t="shared" si="167"/>
        <v/>
      </c>
      <c r="R701" s="1708"/>
    </row>
    <row r="702" spans="2:18" s="503" customFormat="1" ht="60" hidden="1" customHeight="1" x14ac:dyDescent="0.2">
      <c r="B702" s="1248" t="str">
        <f t="shared" si="168"/>
        <v/>
      </c>
      <c r="C702" s="1248"/>
      <c r="D702" s="1248"/>
      <c r="E702" s="1250" t="str">
        <f t="shared" si="169"/>
        <v/>
      </c>
      <c r="F702" s="1252"/>
      <c r="G702" s="1250" t="str">
        <f t="shared" si="170"/>
        <v/>
      </c>
      <c r="H702" s="1252"/>
      <c r="I702" s="274"/>
      <c r="J702" s="274"/>
      <c r="K702" s="274"/>
      <c r="L702" s="274"/>
      <c r="M702" s="274"/>
      <c r="N702" s="274"/>
      <c r="O702" s="274"/>
      <c r="P702" s="274"/>
      <c r="Q702" s="1707" t="str">
        <f t="shared" si="167"/>
        <v/>
      </c>
      <c r="R702" s="1708"/>
    </row>
    <row r="703" spans="2:18" s="503" customFormat="1" ht="60" hidden="1" customHeight="1" x14ac:dyDescent="0.2">
      <c r="B703" s="1248" t="str">
        <f t="shared" si="168"/>
        <v/>
      </c>
      <c r="C703" s="1248"/>
      <c r="D703" s="1248"/>
      <c r="E703" s="1250" t="str">
        <f t="shared" si="169"/>
        <v/>
      </c>
      <c r="F703" s="1252"/>
      <c r="G703" s="1250" t="str">
        <f t="shared" si="170"/>
        <v/>
      </c>
      <c r="H703" s="1252"/>
      <c r="I703" s="274"/>
      <c r="J703" s="274"/>
      <c r="K703" s="274"/>
      <c r="L703" s="274"/>
      <c r="M703" s="274"/>
      <c r="N703" s="274"/>
      <c r="O703" s="274"/>
      <c r="P703" s="274"/>
      <c r="Q703" s="1707" t="str">
        <f t="shared" si="167"/>
        <v/>
      </c>
      <c r="R703" s="1708"/>
    </row>
    <row r="704" spans="2:18" s="503" customFormat="1" ht="60" hidden="1" customHeight="1" x14ac:dyDescent="0.2">
      <c r="B704" s="1248" t="str">
        <f t="shared" si="168"/>
        <v/>
      </c>
      <c r="C704" s="1248"/>
      <c r="D704" s="1248"/>
      <c r="E704" s="1250" t="str">
        <f t="shared" si="169"/>
        <v/>
      </c>
      <c r="F704" s="1252"/>
      <c r="G704" s="1250" t="str">
        <f t="shared" si="170"/>
        <v/>
      </c>
      <c r="H704" s="1252"/>
      <c r="I704" s="274"/>
      <c r="J704" s="274"/>
      <c r="K704" s="274"/>
      <c r="L704" s="274"/>
      <c r="M704" s="274"/>
      <c r="N704" s="274"/>
      <c r="O704" s="274"/>
      <c r="P704" s="274"/>
      <c r="Q704" s="1707" t="str">
        <f t="shared" si="167"/>
        <v/>
      </c>
      <c r="R704" s="1708"/>
    </row>
    <row r="705" spans="2:18" s="503" customFormat="1" ht="60" hidden="1" customHeight="1" x14ac:dyDescent="0.2">
      <c r="B705" s="1248" t="str">
        <f t="shared" si="168"/>
        <v/>
      </c>
      <c r="C705" s="1248"/>
      <c r="D705" s="1248"/>
      <c r="E705" s="1250" t="str">
        <f t="shared" si="169"/>
        <v/>
      </c>
      <c r="F705" s="1252"/>
      <c r="G705" s="1250" t="str">
        <f t="shared" si="170"/>
        <v/>
      </c>
      <c r="H705" s="1252"/>
      <c r="I705" s="274"/>
      <c r="J705" s="274"/>
      <c r="K705" s="274"/>
      <c r="L705" s="274"/>
      <c r="M705" s="274"/>
      <c r="N705" s="274"/>
      <c r="O705" s="274"/>
      <c r="P705" s="274"/>
      <c r="Q705" s="1707" t="str">
        <f t="shared" si="167"/>
        <v/>
      </c>
      <c r="R705" s="1708"/>
    </row>
    <row r="706" spans="2:18" s="503" customFormat="1" ht="60" hidden="1" customHeight="1" x14ac:dyDescent="0.2">
      <c r="B706" s="1248" t="str">
        <f t="shared" si="168"/>
        <v/>
      </c>
      <c r="C706" s="1248"/>
      <c r="D706" s="1248"/>
      <c r="E706" s="1250" t="str">
        <f t="shared" si="169"/>
        <v/>
      </c>
      <c r="F706" s="1252"/>
      <c r="G706" s="1250" t="str">
        <f t="shared" si="170"/>
        <v/>
      </c>
      <c r="H706" s="1252"/>
      <c r="I706" s="274"/>
      <c r="J706" s="274"/>
      <c r="K706" s="274"/>
      <c r="L706" s="274"/>
      <c r="M706" s="274"/>
      <c r="N706" s="274"/>
      <c r="O706" s="274"/>
      <c r="P706" s="274"/>
      <c r="Q706" s="1707" t="str">
        <f t="shared" si="167"/>
        <v/>
      </c>
      <c r="R706" s="1708"/>
    </row>
    <row r="707" spans="2:18" s="503" customFormat="1" ht="60" hidden="1" customHeight="1" x14ac:dyDescent="0.2">
      <c r="B707" s="1248" t="str">
        <f t="shared" si="168"/>
        <v/>
      </c>
      <c r="C707" s="1248"/>
      <c r="D707" s="1248"/>
      <c r="E707" s="1250" t="str">
        <f t="shared" si="169"/>
        <v/>
      </c>
      <c r="F707" s="1252"/>
      <c r="G707" s="1250" t="str">
        <f t="shared" si="170"/>
        <v/>
      </c>
      <c r="H707" s="1252"/>
      <c r="I707" s="274"/>
      <c r="J707" s="274"/>
      <c r="K707" s="274"/>
      <c r="L707" s="274"/>
      <c r="M707" s="274"/>
      <c r="N707" s="274"/>
      <c r="O707" s="274"/>
      <c r="P707" s="274"/>
      <c r="Q707" s="1707" t="str">
        <f t="shared" si="167"/>
        <v/>
      </c>
      <c r="R707" s="1708"/>
    </row>
    <row r="708" spans="2:18" s="503" customFormat="1" ht="60" hidden="1" customHeight="1" x14ac:dyDescent="0.2">
      <c r="B708" s="1248" t="str">
        <f t="shared" si="168"/>
        <v/>
      </c>
      <c r="C708" s="1248"/>
      <c r="D708" s="1248"/>
      <c r="E708" s="1250" t="str">
        <f t="shared" si="169"/>
        <v/>
      </c>
      <c r="F708" s="1252"/>
      <c r="G708" s="1250" t="str">
        <f t="shared" si="170"/>
        <v/>
      </c>
      <c r="H708" s="1252"/>
      <c r="I708" s="274"/>
      <c r="J708" s="274"/>
      <c r="K708" s="274"/>
      <c r="L708" s="274"/>
      <c r="M708" s="274"/>
      <c r="N708" s="274"/>
      <c r="O708" s="274"/>
      <c r="P708" s="274"/>
      <c r="Q708" s="1707" t="str">
        <f t="shared" si="167"/>
        <v/>
      </c>
      <c r="R708" s="1708"/>
    </row>
    <row r="709" spans="2:18" s="503" customFormat="1" ht="60" hidden="1" customHeight="1" x14ac:dyDescent="0.2">
      <c r="B709" s="1248" t="str">
        <f t="shared" si="168"/>
        <v/>
      </c>
      <c r="C709" s="1248"/>
      <c r="D709" s="1248"/>
      <c r="E709" s="1250" t="str">
        <f t="shared" si="169"/>
        <v/>
      </c>
      <c r="F709" s="1252"/>
      <c r="G709" s="1250" t="str">
        <f t="shared" si="170"/>
        <v/>
      </c>
      <c r="H709" s="1252"/>
      <c r="I709" s="274"/>
      <c r="J709" s="274"/>
      <c r="K709" s="274"/>
      <c r="L709" s="274"/>
      <c r="M709" s="274"/>
      <c r="N709" s="274"/>
      <c r="O709" s="274"/>
      <c r="P709" s="274"/>
      <c r="Q709" s="1707" t="str">
        <f t="shared" si="167"/>
        <v/>
      </c>
      <c r="R709" s="1708"/>
    </row>
    <row r="710" spans="2:18" s="503" customFormat="1" ht="15.95" hidden="1" customHeight="1" thickBot="1" x14ac:dyDescent="0.25">
      <c r="B710" s="1729" t="str">
        <f t="shared" ref="B710:B716" si="171">IFERROR(IF(B255="","",B255),"")</f>
        <v>Medidas de Reducción del riesgo de desastres y mitigación ambiental</v>
      </c>
      <c r="C710" s="1730"/>
      <c r="D710" s="1730"/>
      <c r="E710" s="1730"/>
      <c r="F710" s="1730"/>
      <c r="G710" s="1730"/>
      <c r="H710" s="1730"/>
      <c r="I710" s="1730"/>
      <c r="J710" s="1730"/>
      <c r="K710" s="1730"/>
      <c r="L710" s="1730"/>
      <c r="M710" s="1730"/>
      <c r="N710" s="1730"/>
      <c r="O710" s="1730"/>
      <c r="P710" s="1730"/>
      <c r="Q710" s="1730"/>
      <c r="R710" s="1731"/>
    </row>
    <row r="711" spans="2:18" s="503" customFormat="1" ht="60" hidden="1" customHeight="1" x14ac:dyDescent="0.2">
      <c r="B711" s="1248" t="str">
        <f t="shared" si="171"/>
        <v/>
      </c>
      <c r="C711" s="1248"/>
      <c r="D711" s="1248"/>
      <c r="E711" s="1250" t="str">
        <f t="shared" ref="E711:E716" si="172">IFERROR(IF(E256="","",E256),"")</f>
        <v/>
      </c>
      <c r="F711" s="1252"/>
      <c r="G711" s="1250" t="str">
        <f t="shared" ref="G711:G716" si="173">IFERROR(IF(G256="","",G256),"")</f>
        <v/>
      </c>
      <c r="H711" s="1252"/>
      <c r="I711" s="274"/>
      <c r="J711" s="274"/>
      <c r="K711" s="274"/>
      <c r="L711" s="274"/>
      <c r="M711" s="274"/>
      <c r="N711" s="274"/>
      <c r="O711" s="274"/>
      <c r="P711" s="274"/>
      <c r="Q711" s="1707" t="str">
        <f t="shared" ref="Q711:Q716" si="174">IFERROR(IF(AND(I711="",J711="",K711="",L711="",M711="",N711="",O711="",P711=""),"",SUM(I711:P711)),"")</f>
        <v/>
      </c>
      <c r="R711" s="1708"/>
    </row>
    <row r="712" spans="2:18" s="503" customFormat="1" ht="60" hidden="1" customHeight="1" x14ac:dyDescent="0.2">
      <c r="B712" s="1248" t="str">
        <f t="shared" si="171"/>
        <v/>
      </c>
      <c r="C712" s="1248"/>
      <c r="D712" s="1248"/>
      <c r="E712" s="1250" t="str">
        <f t="shared" si="172"/>
        <v/>
      </c>
      <c r="F712" s="1252"/>
      <c r="G712" s="1250" t="str">
        <f t="shared" si="173"/>
        <v/>
      </c>
      <c r="H712" s="1252"/>
      <c r="I712" s="274"/>
      <c r="J712" s="274"/>
      <c r="K712" s="274"/>
      <c r="L712" s="274"/>
      <c r="M712" s="274"/>
      <c r="N712" s="274"/>
      <c r="O712" s="274"/>
      <c r="P712" s="274"/>
      <c r="Q712" s="1707" t="str">
        <f t="shared" si="174"/>
        <v/>
      </c>
      <c r="R712" s="1708"/>
    </row>
    <row r="713" spans="2:18" s="503" customFormat="1" ht="60" hidden="1" customHeight="1" x14ac:dyDescent="0.2">
      <c r="B713" s="1248" t="str">
        <f t="shared" si="171"/>
        <v/>
      </c>
      <c r="C713" s="1248"/>
      <c r="D713" s="1248"/>
      <c r="E713" s="1250" t="str">
        <f t="shared" si="172"/>
        <v/>
      </c>
      <c r="F713" s="1252"/>
      <c r="G713" s="1250" t="str">
        <f t="shared" si="173"/>
        <v/>
      </c>
      <c r="H713" s="1252"/>
      <c r="I713" s="274"/>
      <c r="J713" s="274"/>
      <c r="K713" s="274"/>
      <c r="L713" s="274"/>
      <c r="M713" s="274"/>
      <c r="N713" s="274"/>
      <c r="O713" s="274"/>
      <c r="P713" s="274"/>
      <c r="Q713" s="1707" t="str">
        <f t="shared" si="174"/>
        <v/>
      </c>
      <c r="R713" s="1708"/>
    </row>
    <row r="714" spans="2:18" s="503" customFormat="1" ht="60" hidden="1" customHeight="1" x14ac:dyDescent="0.2">
      <c r="B714" s="1248" t="str">
        <f t="shared" si="171"/>
        <v/>
      </c>
      <c r="C714" s="1248"/>
      <c r="D714" s="1248"/>
      <c r="E714" s="1250" t="str">
        <f t="shared" si="172"/>
        <v/>
      </c>
      <c r="F714" s="1252"/>
      <c r="G714" s="1250" t="str">
        <f t="shared" si="173"/>
        <v/>
      </c>
      <c r="H714" s="1252"/>
      <c r="I714" s="274"/>
      <c r="J714" s="274"/>
      <c r="K714" s="274"/>
      <c r="L714" s="274"/>
      <c r="M714" s="274"/>
      <c r="N714" s="274"/>
      <c r="O714" s="274"/>
      <c r="P714" s="274"/>
      <c r="Q714" s="1707" t="str">
        <f t="shared" si="174"/>
        <v/>
      </c>
      <c r="R714" s="1708"/>
    </row>
    <row r="715" spans="2:18" s="503" customFormat="1" ht="60" hidden="1" customHeight="1" x14ac:dyDescent="0.2">
      <c r="B715" s="1248" t="str">
        <f t="shared" si="171"/>
        <v/>
      </c>
      <c r="C715" s="1248"/>
      <c r="D715" s="1248"/>
      <c r="E715" s="1250" t="str">
        <f t="shared" si="172"/>
        <v/>
      </c>
      <c r="F715" s="1252"/>
      <c r="G715" s="1250" t="str">
        <f t="shared" si="173"/>
        <v/>
      </c>
      <c r="H715" s="1252"/>
      <c r="I715" s="274"/>
      <c r="J715" s="274"/>
      <c r="K715" s="274"/>
      <c r="L715" s="274"/>
      <c r="M715" s="274"/>
      <c r="N715" s="274"/>
      <c r="O715" s="274"/>
      <c r="P715" s="274"/>
      <c r="Q715" s="1707" t="str">
        <f t="shared" si="174"/>
        <v/>
      </c>
      <c r="R715" s="1708"/>
    </row>
    <row r="716" spans="2:18" s="503" customFormat="1" ht="60" hidden="1" customHeight="1" thickBot="1" x14ac:dyDescent="0.25">
      <c r="B716" s="1248" t="str">
        <f t="shared" si="171"/>
        <v/>
      </c>
      <c r="C716" s="1248"/>
      <c r="D716" s="1248"/>
      <c r="E716" s="1250" t="str">
        <f t="shared" si="172"/>
        <v/>
      </c>
      <c r="F716" s="1252"/>
      <c r="G716" s="1250" t="str">
        <f t="shared" si="173"/>
        <v/>
      </c>
      <c r="H716" s="1252"/>
      <c r="I716" s="274"/>
      <c r="J716" s="274"/>
      <c r="K716" s="274"/>
      <c r="L716" s="274"/>
      <c r="M716" s="274"/>
      <c r="N716" s="274"/>
      <c r="O716" s="274"/>
      <c r="P716" s="274"/>
      <c r="Q716" s="1707" t="str">
        <f t="shared" si="174"/>
        <v/>
      </c>
      <c r="R716" s="1708"/>
    </row>
    <row r="717" spans="2:18" s="503" customFormat="1" ht="36.6" hidden="1" customHeight="1" thickBot="1" x14ac:dyDescent="0.25">
      <c r="B717" s="1732" t="s">
        <v>135</v>
      </c>
      <c r="C717" s="1732"/>
      <c r="D717" s="1732"/>
      <c r="E717" s="1732"/>
      <c r="F717" s="1732"/>
      <c r="G717" s="1732"/>
      <c r="H717" s="1732"/>
      <c r="I717" s="1732"/>
      <c r="J717" s="1732"/>
      <c r="K717" s="1732"/>
      <c r="L717" s="1732"/>
      <c r="M717" s="1732"/>
      <c r="N717" s="1732"/>
      <c r="O717" s="1732"/>
      <c r="P717" s="1733"/>
      <c r="Q717" s="1734" t="str">
        <f>IFERROR(IF(AND(Q672="",Q674="",Q676="",Q678="",Q675="",Q679="",Q692="",Q693="",Q716="",Q715="",Q713="",Q712="",Q711="",Q709="",Q708="",Q707="",Q705="",Q704="",Q703="",Q691="",Q690="",Q689="",Q687="",Q686="",Q685="",Q684="",Q683="",Q682="",Q694="",Q695="",Q680="",Q677="",Q673="",Q696="",Q697="",Q698="",Q699="",Q700="",Q701="",Q702="",Q706="",Q714=""),"",SUM(Q672:R680,Q682:R687,Q689:R709,Q711:R716)),"")</f>
        <v/>
      </c>
      <c r="R717" s="1735"/>
    </row>
    <row r="718" spans="2:18" s="503" customFormat="1" ht="12.75" hidden="1" x14ac:dyDescent="0.2">
      <c r="B718" s="56"/>
      <c r="C718" s="75"/>
      <c r="D718" s="56"/>
      <c r="E718" s="56"/>
      <c r="F718" s="56"/>
      <c r="G718" s="75"/>
      <c r="H718" s="526"/>
      <c r="J718" s="75"/>
    </row>
    <row r="719" spans="2:18" s="503" customFormat="1" ht="40.5" hidden="1" customHeight="1" x14ac:dyDescent="0.2">
      <c r="B719" s="1741" t="s">
        <v>112</v>
      </c>
      <c r="C719" s="1742"/>
      <c r="D719" s="502" t="str">
        <f>IF(AND($F$664="MES",$F$665&gt;=1),"MES 01",IF(AND($F$664="BIMESTRE",$F$665&gt;=1),"BIMESTRE 01",IF(AND($F$664="TRIMESTRE",$F$665&gt;=1),"TRIMESTRE 01",IF(AND($F$664="SEMESTRE",$F$665&gt;=1),"SEMESTRE 01",IF(AND($F$664="AÑO",$F$665&gt;=1),"AÑO 01","")))))</f>
        <v/>
      </c>
      <c r="E719" s="502" t="str">
        <f>IF(AND($F$664="MES",$F$665&gt;=2),"MES 02",IF(AND($F$664="BIMESTRE",$F$665&gt;=2),"BIMESTRE 02",IF(AND($F$664="TRIMESTRE",$F$665&gt;=2),"TRIMESTRE 02",IF(AND($F$664="SEMESTRE",$F$665&gt;=2),"SEMESTRE 02",IF(AND($F$664="AÑO",$F$665&gt;=2),"AÑO 02","")))))</f>
        <v/>
      </c>
      <c r="F719" s="502" t="str">
        <f>IF(AND($F$664="MES",$F$665&gt;=3),"MES 03",IF(AND($F$664="BIMESTRE",$F$665&gt;=3),"BIMESTRE 03",IF(AND($F$664="TRIMESTRE",$F$665&gt;=3),"TRIMESTRE 03",IF(AND($F$664="SEMESTRE",$F$665&gt;=3),"SEMESTRE 03",IF(AND($F$664="AÑO",$F$665&gt;=3),"AÑO 03","")))))</f>
        <v/>
      </c>
      <c r="G719" s="502" t="str">
        <f>IF(AND($F$664="MES",$F$665&gt;=4),"MES 04",IF(AND($F$664="BIMESTRE",$F$665&gt;=4),"BIMESTRE 04",IF(AND($F$664="TRIMESTRE",$F$665&gt;=4),"TRIMESTRE 04",IF(AND($F$664="SEMESTRE",$F$665&gt;=4),"SEMESTRE 04",IF(AND($F$664="AÑO",$F$665&gt;=4),"","")))))</f>
        <v/>
      </c>
      <c r="H719" s="502" t="str">
        <f>IF(AND($F$664="MES",$F$665&gt;=5),"MES 05",IF(AND($F$664="BIMESTRE",$F$665&gt;=5),"BIMESTRE 05",IF(AND($F$664="TRIMESTRE",$F$665&gt;=5),"TRIMESTRE 05",IF(AND($F$664="SEMESTRE",$F$665&gt;=5),"SEMESTRE 05",IF(AND($F$664="AÑO",$F$665&gt;=5),"","")))))</f>
        <v/>
      </c>
      <c r="I719" s="502" t="str">
        <f>IF(AND($F$664="MES",$F$665&gt;=6),"MES 06",IF(AND($F$664="BIMESTRE",$F$665&gt;=6),"BIMESTRE 06",IF(AND($F$664="TRIMESTRE",$F$665&gt;=6),"TRIMESTRE 06",IF(AND($F$664="SEMESTRE",$F$665&gt;=6),"SEMESTRE 06",IF(AND($F$664="AÑO",$F$665&gt;=6),"","")))))</f>
        <v/>
      </c>
      <c r="J719" s="502" t="str">
        <f>IF(AND($F$664="MES",$F$665&gt;=7),"MES 07",IF(AND($F$664="BIMESTRE",$F$665&gt;=7),"BIMESTRE 07",IF(AND($F$664="TRIMESTRE",$F$665&gt;=7),"TRIMESTRE 07",IF(AND($F$664="SEMESTRE",$F$665&gt;=7),"SEMESTRE 07",IF(AND($F$664="AÑO",$F$665&gt;=7),"","")))))</f>
        <v/>
      </c>
      <c r="K719" s="502" t="str">
        <f>IF(AND($F$664="MES",$F$665=8),"MES 08",IF(AND($F$664="BIMESTRE",$F$665=8),"BIMESTRE 08",IF(AND($F$664="TRIMESTRE",$F$665=8),"TRIMESTRE 08",IF(AND($F$664="SEMESTRE",$F$665=8),"SEMESTRE 08",IF(AND($F$664="AÑO",$F$665=8),"","")))))</f>
        <v/>
      </c>
      <c r="L719" s="1126" t="s">
        <v>278</v>
      </c>
      <c r="M719" s="1053"/>
    </row>
    <row r="720" spans="2:18" s="503" customFormat="1" ht="5.0999999999999996" hidden="1" customHeight="1" x14ac:dyDescent="0.2">
      <c r="I720" s="56"/>
      <c r="J720" s="56"/>
      <c r="K720" s="56"/>
      <c r="L720" s="56"/>
      <c r="M720" s="56"/>
    </row>
    <row r="721" spans="2:13" s="503" customFormat="1" ht="35.1" hidden="1" customHeight="1" x14ac:dyDescent="0.2">
      <c r="B721" s="1743" t="s">
        <v>113</v>
      </c>
      <c r="C721" s="1744"/>
      <c r="D721" s="274"/>
      <c r="E721" s="274"/>
      <c r="F721" s="274"/>
      <c r="G721" s="274"/>
      <c r="H721" s="274"/>
      <c r="I721" s="274"/>
      <c r="J721" s="274"/>
      <c r="K721" s="274"/>
      <c r="L721" s="1745" t="str">
        <f>IFERROR(IF(AND(D721="",E721="",F721="",G721="",H721="",I721="",J721="",K721=""),"",SUM(D721:K721)),"")</f>
        <v/>
      </c>
      <c r="M721" s="1745"/>
    </row>
    <row r="722" spans="2:13" s="503" customFormat="1" ht="35.1" hidden="1" customHeight="1" x14ac:dyDescent="0.2">
      <c r="B722" s="1743" t="s">
        <v>136</v>
      </c>
      <c r="C722" s="1744"/>
      <c r="D722" s="274"/>
      <c r="E722" s="274"/>
      <c r="F722" s="274"/>
      <c r="G722" s="274"/>
      <c r="H722" s="274"/>
      <c r="I722" s="274"/>
      <c r="J722" s="274"/>
      <c r="K722" s="274"/>
      <c r="L722" s="1745" t="str">
        <f>IFERROR(IF(AND(D722="",E722="",F722="",G722="",H722="",I722="",J722="",K722=""),"",SUM(D722:K722)),"")</f>
        <v/>
      </c>
      <c r="M722" s="1745"/>
    </row>
    <row r="723" spans="2:13" s="503" customFormat="1" ht="35.1" hidden="1" customHeight="1" x14ac:dyDescent="0.2">
      <c r="B723" s="1743" t="s">
        <v>114</v>
      </c>
      <c r="C723" s="1744"/>
      <c r="D723" s="274"/>
      <c r="E723" s="274"/>
      <c r="F723" s="274"/>
      <c r="G723" s="274"/>
      <c r="H723" s="274"/>
      <c r="I723" s="274"/>
      <c r="J723" s="274"/>
      <c r="K723" s="274"/>
      <c r="L723" s="1745" t="str">
        <f>IFERROR(IF(AND(D723="",E723="",F723="",G723="",H723="",I723="",J723="",K723=""),"",SUM(D723:K723)),"")</f>
        <v/>
      </c>
      <c r="M723" s="1745"/>
    </row>
    <row r="724" spans="2:13" s="503" customFormat="1" ht="35.1" hidden="1" customHeight="1" thickBot="1" x14ac:dyDescent="0.25">
      <c r="B724" s="1743" t="s">
        <v>115</v>
      </c>
      <c r="C724" s="1744"/>
      <c r="D724" s="274"/>
      <c r="E724" s="274"/>
      <c r="F724" s="274"/>
      <c r="G724" s="274"/>
      <c r="H724" s="274"/>
      <c r="I724" s="274"/>
      <c r="J724" s="274"/>
      <c r="K724" s="274"/>
      <c r="L724" s="1745" t="str">
        <f>IFERROR(IF(AND(D724="",E724="",F724="",G724="",H724="",I724="",J724="",K724=""),"",SUM(D724:K724)),"")</f>
        <v/>
      </c>
      <c r="M724" s="1745"/>
    </row>
    <row r="725" spans="2:13" s="503" customFormat="1" ht="27.95" hidden="1" customHeight="1" thickBot="1" x14ac:dyDescent="0.25">
      <c r="B725" s="1736" t="s">
        <v>135</v>
      </c>
      <c r="C725" s="1736"/>
      <c r="D725" s="1736"/>
      <c r="E725" s="1736"/>
      <c r="F725" s="1736"/>
      <c r="G725" s="1736"/>
      <c r="H725" s="1736"/>
      <c r="I725" s="1736"/>
      <c r="J725" s="1736"/>
      <c r="K725" s="1736"/>
      <c r="L725" s="1734" t="str">
        <f>IFERROR(IF(AND(L721="",L722="",L723="",L724=""),"",SUM(L721:M724)),"")</f>
        <v/>
      </c>
      <c r="M725" s="1735"/>
    </row>
    <row r="726" spans="2:13" s="503" customFormat="1" ht="27.95" hidden="1" customHeight="1" thickBot="1" x14ac:dyDescent="0.25">
      <c r="B726" s="1737" t="s">
        <v>137</v>
      </c>
      <c r="C726" s="1738"/>
      <c r="D726" s="1738"/>
      <c r="E726" s="1738"/>
      <c r="F726" s="1738"/>
      <c r="G726" s="1738"/>
      <c r="H726" s="1738"/>
      <c r="I726" s="1738"/>
      <c r="J726" s="1738"/>
      <c r="K726" s="1739"/>
      <c r="L726" s="1734" t="str">
        <f>IFERROR(IF(OR(Q717="",L725=""),"",L725+Q717),"")</f>
        <v/>
      </c>
      <c r="M726" s="1735"/>
    </row>
    <row r="727" spans="2:13" s="503" customFormat="1" ht="14.25" hidden="1" x14ac:dyDescent="0.2">
      <c r="B727" s="1740" t="s">
        <v>418</v>
      </c>
      <c r="C727" s="1740"/>
      <c r="D727" s="1740"/>
      <c r="E727" s="1740"/>
      <c r="F727" s="1740"/>
      <c r="G727" s="1740"/>
      <c r="H727" s="1740"/>
      <c r="I727" s="1740"/>
      <c r="J727" s="56"/>
      <c r="K727" s="56"/>
      <c r="L727" s="56"/>
      <c r="M727" s="56"/>
    </row>
    <row r="728" spans="2:13" s="503" customFormat="1" ht="12.75" hidden="1" x14ac:dyDescent="0.2">
      <c r="B728" s="56"/>
      <c r="C728" s="75"/>
      <c r="D728" s="56"/>
      <c r="E728" s="56"/>
      <c r="F728" s="56"/>
      <c r="G728" s="56"/>
      <c r="H728" s="75"/>
      <c r="I728" s="75"/>
      <c r="J728" s="75"/>
      <c r="K728" s="56"/>
      <c r="L728" s="56"/>
      <c r="M728" s="56"/>
    </row>
    <row r="729" spans="2:13" s="503" customFormat="1" ht="12.75" hidden="1" x14ac:dyDescent="0.2">
      <c r="B729" s="68" t="s">
        <v>425</v>
      </c>
      <c r="C729" s="75"/>
      <c r="D729" s="75"/>
      <c r="E729" s="68"/>
      <c r="F729" s="75"/>
      <c r="G729" s="75"/>
      <c r="H729" s="75"/>
      <c r="I729" s="75"/>
      <c r="J729" s="75"/>
      <c r="K729" s="75"/>
      <c r="L729" s="75"/>
      <c r="M729" s="75"/>
    </row>
    <row r="730" spans="2:13" s="503" customFormat="1" ht="12.75" hidden="1" x14ac:dyDescent="0.2">
      <c r="B730" s="61" t="s">
        <v>138</v>
      </c>
      <c r="C730" s="75"/>
      <c r="D730" s="75"/>
      <c r="E730" s="75"/>
      <c r="F730" s="75"/>
      <c r="G730" s="75"/>
      <c r="H730" s="75"/>
      <c r="I730" s="75"/>
      <c r="J730" s="75"/>
      <c r="K730" s="75"/>
      <c r="L730" s="75"/>
      <c r="M730" s="75"/>
    </row>
    <row r="731" spans="2:13" s="503" customFormat="1" ht="12.75" hidden="1" x14ac:dyDescent="0.2">
      <c r="B731" s="61"/>
    </row>
    <row r="732" spans="2:13" s="503" customFormat="1" ht="12.75" hidden="1" x14ac:dyDescent="0.2">
      <c r="B732" s="61"/>
      <c r="C732" s="503" t="s">
        <v>139</v>
      </c>
      <c r="E732" s="458"/>
      <c r="F732" s="1709"/>
      <c r="G732" s="1710"/>
      <c r="H732" s="556" t="b">
        <v>0</v>
      </c>
      <c r="I732" s="68"/>
      <c r="J732" s="75"/>
    </row>
    <row r="733" spans="2:13" s="503" customFormat="1" ht="12.75" hidden="1" x14ac:dyDescent="0.2">
      <c r="B733" s="61"/>
      <c r="I733" s="75"/>
      <c r="J733" s="75"/>
    </row>
    <row r="734" spans="2:13" s="503" customFormat="1" ht="12.75" hidden="1" x14ac:dyDescent="0.2">
      <c r="B734" s="75"/>
      <c r="C734" s="503" t="s">
        <v>426</v>
      </c>
      <c r="E734" s="458"/>
      <c r="F734" s="1707" t="str">
        <f>IF(OR(F732="",L726=""),"",L726-F732)</f>
        <v/>
      </c>
      <c r="G734" s="1708"/>
      <c r="J734" s="75"/>
    </row>
    <row r="735" spans="2:13" s="503" customFormat="1" ht="12.75" hidden="1" x14ac:dyDescent="0.2">
      <c r="B735" s="56"/>
      <c r="C735" s="75"/>
      <c r="D735" s="56"/>
      <c r="E735" s="56"/>
      <c r="F735" s="56"/>
      <c r="G735" s="75"/>
      <c r="H735" s="526"/>
      <c r="J735" s="75"/>
    </row>
    <row r="736" spans="2:13" s="503" customFormat="1" ht="24.95" hidden="1" customHeight="1" x14ac:dyDescent="0.2">
      <c r="B736" s="195" t="s">
        <v>4773</v>
      </c>
      <c r="C736" s="56"/>
      <c r="D736" s="56"/>
      <c r="E736" s="56"/>
      <c r="F736" s="56"/>
      <c r="G736" s="56"/>
      <c r="H736" s="56"/>
      <c r="I736" s="56"/>
      <c r="J736" s="56"/>
      <c r="K736" s="56"/>
      <c r="L736" s="56"/>
      <c r="M736" s="56"/>
    </row>
    <row r="737" spans="2:21" s="503" customFormat="1" ht="12.75" hidden="1" x14ac:dyDescent="0.2">
      <c r="B737" s="104" t="s">
        <v>128</v>
      </c>
      <c r="C737" s="56"/>
      <c r="F737" s="1778"/>
      <c r="G737" s="1779"/>
      <c r="H737" s="85" t="s">
        <v>129</v>
      </c>
      <c r="K737" s="56"/>
      <c r="L737" s="56"/>
      <c r="M737" s="56"/>
    </row>
    <row r="738" spans="2:21" s="503" customFormat="1" ht="12.75" hidden="1" x14ac:dyDescent="0.2">
      <c r="B738" s="104" t="s">
        <v>130</v>
      </c>
      <c r="F738" s="1184"/>
      <c r="G738" s="1185"/>
      <c r="K738" s="56"/>
      <c r="L738" s="56"/>
      <c r="M738" s="56"/>
    </row>
    <row r="739" spans="2:21" s="503" customFormat="1" ht="12.75" hidden="1" x14ac:dyDescent="0.2">
      <c r="B739" s="104" t="s">
        <v>131</v>
      </c>
      <c r="F739" s="1257"/>
      <c r="G739" s="1777"/>
      <c r="H739" s="85" t="s">
        <v>132</v>
      </c>
      <c r="K739" s="56"/>
      <c r="L739" s="56"/>
      <c r="M739" s="56"/>
    </row>
    <row r="740" spans="2:21" s="503" customFormat="1" ht="12.75" hidden="1" x14ac:dyDescent="0.2">
      <c r="B740" s="56"/>
      <c r="C740" s="56"/>
      <c r="D740" s="56"/>
      <c r="E740" s="56"/>
      <c r="F740" s="56"/>
      <c r="G740" s="56"/>
      <c r="H740" s="56"/>
      <c r="I740" s="56"/>
      <c r="J740" s="56"/>
      <c r="K740" s="56"/>
      <c r="L740" s="56"/>
      <c r="M740" s="56"/>
    </row>
    <row r="741" spans="2:21" s="503" customFormat="1" ht="15" hidden="1" customHeight="1" x14ac:dyDescent="0.2">
      <c r="B741" s="1196" t="s">
        <v>378</v>
      </c>
      <c r="C741" s="1196"/>
      <c r="D741" s="1196"/>
      <c r="E741" s="1196"/>
      <c r="F741" s="1196"/>
      <c r="G741" s="1197" t="s">
        <v>106</v>
      </c>
      <c r="H741" s="1197"/>
      <c r="I741" s="1196" t="s">
        <v>133</v>
      </c>
      <c r="J741" s="1196"/>
      <c r="K741" s="1196"/>
      <c r="L741" s="1196"/>
      <c r="M741" s="1196"/>
      <c r="N741" s="1196"/>
      <c r="O741" s="1196"/>
      <c r="P741" s="1196"/>
      <c r="Q741" s="1197" t="s">
        <v>134</v>
      </c>
      <c r="R741" s="1197"/>
    </row>
    <row r="742" spans="2:21" s="503" customFormat="1" ht="27" hidden="1" customHeight="1" x14ac:dyDescent="0.2">
      <c r="B742" s="1197" t="s">
        <v>4791</v>
      </c>
      <c r="C742" s="1197"/>
      <c r="D742" s="1197"/>
      <c r="E742" s="1197" t="s">
        <v>105</v>
      </c>
      <c r="F742" s="1197"/>
      <c r="G742" s="1197"/>
      <c r="H742" s="1197"/>
      <c r="I742" s="1196" t="str">
        <f>IF(AND($F$738="MES",$F$739&gt;=1),"MES 01",IF(AND($F$738="BIMESTRE",$F$739&gt;=1),"BIMESTRE 01",IF(AND($F$738="TRIMESTRE",$F$739&gt;=1),"TRIMESTRE 01",IF(AND($F$738="SEMESTRE",$F$739&gt;=1),"SEMESTRE 01",IF(AND($F$738="AÑO",$F$739&gt;=1),"AÑO 01","")))))</f>
        <v/>
      </c>
      <c r="J742" s="1196" t="str">
        <f>IF(AND($F$738="MES",$F$739&gt;=2),"MES 02",IF(AND($F$738="BIMESTRE",$F$739&gt;=2),"BIMESTRE 02",IF(AND($F$738="TRIMESTRE",$F$739&gt;=2),"TRIMESTRE 02",IF(AND($F$738="SEMESTRE",$F$739&gt;=2),"SEMESTRE 02",IF(AND($F$738="AÑO",$F$739&gt;=2),"AÑO 02","")))))</f>
        <v/>
      </c>
      <c r="K742" s="1196" t="str">
        <f>IF(AND($F$738="MES",F739&gt;=3),"MES 03",IF(AND($F$738="BIMESTRE",F739&gt;=3),"BIMESTRE 03",IF(AND($F$738="TRIMESTRE",F739&gt;=3),"TRIMESTRE 03",IF(AND($F$738="SEMESTRE",F739&gt;=3),"SEMESTRE 03",IF(AND($F$738="AÑO",F739&gt;=3),"AÑO 03","")))))</f>
        <v/>
      </c>
      <c r="L742" s="1196" t="str">
        <f>IF(AND($F$738="MES",$F$739&gt;=4),"MES 04",IF(AND($F$738="BIMESTRE",$F$739&gt;=4),"BIMESTRE 04",IF(AND($F$738="TRIMESTRE",$F$739&gt;=4),"TRIMESTRE 04",IF(AND($F$738="SEMESTRE",$F$739&gt;=4),"SEMESTRE 04",IF(AND($F$738="AÑO",$F$739&gt;=4),"","")))))</f>
        <v/>
      </c>
      <c r="M742" s="1196" t="str">
        <f>IF(AND($F$738="MES",$F$739&gt;=5),"MES 05",IF(AND($F$738="BIMESTRE",$F$739&gt;=5),"BIMESTRE 05",IF(AND($F$738="TRIMESTRE",$F$739&gt;=5),"TRIMESTRE 05",IF(AND($F$738="SEMESTRE",$F$739&gt;=5),"SEMESTRE 05",IF(AND($F$738="AÑO",$F$739&gt;=5),"","")))))</f>
        <v/>
      </c>
      <c r="N742" s="1196" t="str">
        <f>IF(AND($F$738="MES",$F$739&gt;=6),"MES 06",IF(AND($F$738="BIMESTRE",$F$739&gt;=6),"BIMESTRE 06",IF(AND($F$738="TRIMESTRE",$F$739&gt;=6),"TRIMESTRE 06",IF(AND($F$738="SEMESTRE",$F$739&gt;=6),"SEMESTRE 06",IF(AND($F$738="AÑO",$F$739&gt;=6),"","")))))</f>
        <v/>
      </c>
      <c r="O742" s="1196" t="str">
        <f>IF(AND($F$738="MES",$F$739&gt;=7),"MES 07",IF(AND($F$738="BIMESTRE",$F$739&gt;=7),"BIMESTRE 07",IF(AND($F$738="TRIMESTRE",$F$739&gt;=7),"TRIMESTRE 07",IF(AND($F$738="SEMESTRE",$F$739&gt;=7),"SEMESTRE 07",IF(AND($F$738="AÑO",$F$739&gt;=7),"","")))))</f>
        <v/>
      </c>
      <c r="P742" s="1196" t="str">
        <f>IF(AND($F$738="MES",$F$739=8),"MES 08",IF(AND($F$738="BIMESTRE",$F$739=8),"BIMESTRE 08",IF(AND($F$738="TRIMESTRE",$F$739=8),"TRIMESTRE 08",IF(AND($F$738="SEMESTRE",$F$739=8),"SEMESTRE 08",IF(AND($F$738="AÑO",$F$739=8),"","")))))</f>
        <v/>
      </c>
      <c r="Q742" s="1197"/>
      <c r="R742" s="1197"/>
    </row>
    <row r="743" spans="2:21" s="503" customFormat="1" ht="12.75" hidden="1" x14ac:dyDescent="0.2">
      <c r="B743" s="1197"/>
      <c r="C743" s="1197"/>
      <c r="D743" s="1197"/>
      <c r="E743" s="1197"/>
      <c r="F743" s="1197"/>
      <c r="G743" s="1197"/>
      <c r="H743" s="1197"/>
      <c r="I743" s="1196"/>
      <c r="J743" s="1196"/>
      <c r="K743" s="1196"/>
      <c r="L743" s="1196"/>
      <c r="M743" s="1196"/>
      <c r="N743" s="1196"/>
      <c r="O743" s="1196"/>
      <c r="P743" s="1196"/>
      <c r="Q743" s="1197"/>
      <c r="R743" s="1197"/>
    </row>
    <row r="744" spans="2:21" s="503" customFormat="1" ht="5.0999999999999996" hidden="1" customHeight="1" x14ac:dyDescent="0.2">
      <c r="I744" s="56"/>
      <c r="J744" s="56"/>
      <c r="K744" s="56"/>
      <c r="L744" s="56"/>
      <c r="M744" s="56"/>
    </row>
    <row r="745" spans="2:21" s="503" customFormat="1" ht="15.95" hidden="1" customHeight="1" x14ac:dyDescent="0.2">
      <c r="B745" s="448" t="str">
        <f>IFERROR(IF(B290="","",B290),"")</f>
        <v>Factor de Producción:</v>
      </c>
      <c r="C745" s="449"/>
      <c r="D745" s="449" t="str">
        <f>IFERROR(IF(D290="","",D290),"")</f>
        <v>Infraestructura</v>
      </c>
      <c r="E745" s="449"/>
      <c r="F745" s="449"/>
      <c r="G745" s="449"/>
      <c r="H745" s="449"/>
      <c r="I745" s="449"/>
      <c r="J745" s="449"/>
      <c r="K745" s="449"/>
      <c r="L745" s="449"/>
      <c r="M745" s="449"/>
      <c r="N745" s="449"/>
      <c r="O745" s="449"/>
      <c r="P745" s="449"/>
      <c r="Q745" s="449"/>
      <c r="R745" s="459"/>
    </row>
    <row r="746" spans="2:21" s="503" customFormat="1" ht="60" hidden="1" customHeight="1" x14ac:dyDescent="0.2">
      <c r="B746" s="1248" t="str">
        <f>IFERROR(IF(B291="","",B291),"")</f>
        <v/>
      </c>
      <c r="C746" s="1248"/>
      <c r="D746" s="1248"/>
      <c r="E746" s="1250" t="str">
        <f>IFERROR(IF(E291="","",E291),"")</f>
        <v/>
      </c>
      <c r="F746" s="1252"/>
      <c r="G746" s="1250" t="str">
        <f>IFERROR(IF(G291="","",G291),"")</f>
        <v/>
      </c>
      <c r="H746" s="1252"/>
      <c r="I746" s="274"/>
      <c r="J746" s="274"/>
      <c r="K746" s="274"/>
      <c r="L746" s="274"/>
      <c r="M746" s="274"/>
      <c r="N746" s="274"/>
      <c r="O746" s="274"/>
      <c r="P746" s="274"/>
      <c r="Q746" s="1707" t="str">
        <f t="shared" ref="Q746:Q754" si="175">IFERROR(IF(AND(I746="",J746="",K746="",L746="",M746="",N746="",O746="",P746=""),"",SUM(I746:P746)),"")</f>
        <v/>
      </c>
      <c r="R746" s="1708"/>
      <c r="T746" s="559"/>
      <c r="U746" s="560"/>
    </row>
    <row r="747" spans="2:21" s="503" customFormat="1" ht="60" hidden="1" customHeight="1" x14ac:dyDescent="0.2">
      <c r="B747" s="1248" t="str">
        <f t="shared" ref="B747:B754" si="176">IFERROR(IF(B292="","",B292),"")</f>
        <v/>
      </c>
      <c r="C747" s="1248"/>
      <c r="D747" s="1248"/>
      <c r="E747" s="1250" t="str">
        <f t="shared" ref="E747:E754" si="177">IFERROR(IF(E292="","",E292),"")</f>
        <v/>
      </c>
      <c r="F747" s="1252"/>
      <c r="G747" s="1250" t="str">
        <f t="shared" ref="G747:G754" si="178">IFERROR(IF(G292="","",G292),"")</f>
        <v/>
      </c>
      <c r="H747" s="1252"/>
      <c r="I747" s="274"/>
      <c r="J747" s="274"/>
      <c r="K747" s="274"/>
      <c r="L747" s="274"/>
      <c r="M747" s="274"/>
      <c r="N747" s="274"/>
      <c r="O747" s="274"/>
      <c r="P747" s="274"/>
      <c r="Q747" s="1707" t="str">
        <f t="shared" si="175"/>
        <v/>
      </c>
      <c r="R747" s="1708"/>
      <c r="T747" s="559"/>
    </row>
    <row r="748" spans="2:21" s="503" customFormat="1" ht="60" hidden="1" customHeight="1" x14ac:dyDescent="0.2">
      <c r="B748" s="1248" t="str">
        <f t="shared" si="176"/>
        <v/>
      </c>
      <c r="C748" s="1248"/>
      <c r="D748" s="1248"/>
      <c r="E748" s="1250" t="str">
        <f t="shared" si="177"/>
        <v/>
      </c>
      <c r="F748" s="1252"/>
      <c r="G748" s="1250" t="str">
        <f t="shared" si="178"/>
        <v/>
      </c>
      <c r="H748" s="1252"/>
      <c r="I748" s="274"/>
      <c r="J748" s="274"/>
      <c r="K748" s="274"/>
      <c r="L748" s="274"/>
      <c r="M748" s="274"/>
      <c r="N748" s="274"/>
      <c r="O748" s="274"/>
      <c r="P748" s="274"/>
      <c r="Q748" s="1707" t="str">
        <f t="shared" si="175"/>
        <v/>
      </c>
      <c r="R748" s="1708"/>
    </row>
    <row r="749" spans="2:21" s="503" customFormat="1" ht="60" hidden="1" customHeight="1" x14ac:dyDescent="0.2">
      <c r="B749" s="1248" t="str">
        <f t="shared" si="176"/>
        <v/>
      </c>
      <c r="C749" s="1248"/>
      <c r="D749" s="1248"/>
      <c r="E749" s="1250" t="str">
        <f t="shared" si="177"/>
        <v/>
      </c>
      <c r="F749" s="1252"/>
      <c r="G749" s="1250" t="str">
        <f t="shared" si="178"/>
        <v/>
      </c>
      <c r="H749" s="1252"/>
      <c r="I749" s="274"/>
      <c r="J749" s="274"/>
      <c r="K749" s="274"/>
      <c r="L749" s="274"/>
      <c r="M749" s="274"/>
      <c r="N749" s="274"/>
      <c r="O749" s="274"/>
      <c r="P749" s="274"/>
      <c r="Q749" s="1707" t="str">
        <f t="shared" si="175"/>
        <v/>
      </c>
      <c r="R749" s="1708"/>
    </row>
    <row r="750" spans="2:21" s="503" customFormat="1" ht="60" hidden="1" customHeight="1" x14ac:dyDescent="0.2">
      <c r="B750" s="1248" t="str">
        <f t="shared" si="176"/>
        <v/>
      </c>
      <c r="C750" s="1248"/>
      <c r="D750" s="1248"/>
      <c r="E750" s="1250" t="str">
        <f t="shared" si="177"/>
        <v/>
      </c>
      <c r="F750" s="1252"/>
      <c r="G750" s="1250" t="str">
        <f t="shared" si="178"/>
        <v/>
      </c>
      <c r="H750" s="1252"/>
      <c r="I750" s="274"/>
      <c r="J750" s="274"/>
      <c r="K750" s="274"/>
      <c r="L750" s="274"/>
      <c r="M750" s="274"/>
      <c r="N750" s="274"/>
      <c r="O750" s="274"/>
      <c r="P750" s="274"/>
      <c r="Q750" s="1707" t="str">
        <f t="shared" si="175"/>
        <v/>
      </c>
      <c r="R750" s="1708"/>
    </row>
    <row r="751" spans="2:21" s="503" customFormat="1" ht="60" hidden="1" customHeight="1" x14ac:dyDescent="0.2">
      <c r="B751" s="1248" t="str">
        <f t="shared" si="176"/>
        <v/>
      </c>
      <c r="C751" s="1248"/>
      <c r="D751" s="1248"/>
      <c r="E751" s="1250" t="str">
        <f t="shared" si="177"/>
        <v/>
      </c>
      <c r="F751" s="1252"/>
      <c r="G751" s="1250" t="str">
        <f t="shared" si="178"/>
        <v/>
      </c>
      <c r="H751" s="1252"/>
      <c r="I751" s="274"/>
      <c r="J751" s="274"/>
      <c r="K751" s="274"/>
      <c r="L751" s="274"/>
      <c r="M751" s="274"/>
      <c r="N751" s="274"/>
      <c r="O751" s="274"/>
      <c r="P751" s="274"/>
      <c r="Q751" s="1707" t="str">
        <f t="shared" si="175"/>
        <v/>
      </c>
      <c r="R751" s="1708"/>
    </row>
    <row r="752" spans="2:21" s="503" customFormat="1" ht="60" hidden="1" customHeight="1" x14ac:dyDescent="0.2">
      <c r="B752" s="1248" t="str">
        <f t="shared" si="176"/>
        <v/>
      </c>
      <c r="C752" s="1248"/>
      <c r="D752" s="1248"/>
      <c r="E752" s="1250" t="str">
        <f t="shared" si="177"/>
        <v/>
      </c>
      <c r="F752" s="1252"/>
      <c r="G752" s="1250" t="str">
        <f t="shared" si="178"/>
        <v/>
      </c>
      <c r="H752" s="1252"/>
      <c r="I752" s="274"/>
      <c r="J752" s="274"/>
      <c r="K752" s="274"/>
      <c r="L752" s="274"/>
      <c r="M752" s="274"/>
      <c r="N752" s="274"/>
      <c r="O752" s="274"/>
      <c r="P752" s="274"/>
      <c r="Q752" s="1707" t="str">
        <f t="shared" si="175"/>
        <v/>
      </c>
      <c r="R752" s="1708"/>
    </row>
    <row r="753" spans="2:18" s="503" customFormat="1" ht="60" hidden="1" customHeight="1" x14ac:dyDescent="0.2">
      <c r="B753" s="1248" t="str">
        <f t="shared" si="176"/>
        <v/>
      </c>
      <c r="C753" s="1248"/>
      <c r="D753" s="1248"/>
      <c r="E753" s="1250" t="str">
        <f t="shared" si="177"/>
        <v/>
      </c>
      <c r="F753" s="1252"/>
      <c r="G753" s="1250" t="str">
        <f t="shared" si="178"/>
        <v/>
      </c>
      <c r="H753" s="1252"/>
      <c r="I753" s="274"/>
      <c r="J753" s="274"/>
      <c r="K753" s="274"/>
      <c r="L753" s="274"/>
      <c r="M753" s="274"/>
      <c r="N753" s="274"/>
      <c r="O753" s="274"/>
      <c r="P753" s="274"/>
      <c r="Q753" s="1707" t="str">
        <f t="shared" si="175"/>
        <v/>
      </c>
      <c r="R753" s="1708"/>
    </row>
    <row r="754" spans="2:18" s="503" customFormat="1" ht="60" hidden="1" customHeight="1" x14ac:dyDescent="0.2">
      <c r="B754" s="1248" t="str">
        <f t="shared" si="176"/>
        <v/>
      </c>
      <c r="C754" s="1248"/>
      <c r="D754" s="1248"/>
      <c r="E754" s="1250" t="str">
        <f t="shared" si="177"/>
        <v/>
      </c>
      <c r="F754" s="1252"/>
      <c r="G754" s="1250" t="str">
        <f t="shared" si="178"/>
        <v/>
      </c>
      <c r="H754" s="1252"/>
      <c r="I754" s="274"/>
      <c r="J754" s="274"/>
      <c r="K754" s="274"/>
      <c r="L754" s="274"/>
      <c r="M754" s="274"/>
      <c r="N754" s="274"/>
      <c r="O754" s="274"/>
      <c r="P754" s="274"/>
      <c r="Q754" s="1707" t="str">
        <f t="shared" si="175"/>
        <v/>
      </c>
      <c r="R754" s="1708"/>
    </row>
    <row r="755" spans="2:18" s="503" customFormat="1" ht="15.95" hidden="1" customHeight="1" x14ac:dyDescent="0.2">
      <c r="B755" s="1729" t="str">
        <f t="shared" ref="B755:B761" si="179">IFERROR(IF(B300="","",B300),"")</f>
        <v>Medidas de Reducción del riesgo de desastres y mitigación ambiental</v>
      </c>
      <c r="C755" s="1730"/>
      <c r="D755" s="1730"/>
      <c r="E755" s="1730"/>
      <c r="F755" s="1730"/>
      <c r="G755" s="1730"/>
      <c r="H755" s="1730"/>
      <c r="I755" s="1730"/>
      <c r="J755" s="1730"/>
      <c r="K755" s="1730"/>
      <c r="L755" s="1730"/>
      <c r="M755" s="1730"/>
      <c r="N755" s="1730"/>
      <c r="O755" s="1730"/>
      <c r="P755" s="1730"/>
      <c r="Q755" s="1730"/>
      <c r="R755" s="1731"/>
    </row>
    <row r="756" spans="2:18" s="503" customFormat="1" ht="60" hidden="1" customHeight="1" x14ac:dyDescent="0.2">
      <c r="B756" s="1248" t="str">
        <f t="shared" si="179"/>
        <v/>
      </c>
      <c r="C756" s="1248"/>
      <c r="D756" s="1248"/>
      <c r="E756" s="1250" t="str">
        <f t="shared" ref="E756:E761" si="180">IFERROR(IF(E301="","",E301),"")</f>
        <v/>
      </c>
      <c r="F756" s="1252"/>
      <c r="G756" s="1250" t="str">
        <f t="shared" ref="G756:G761" si="181">IFERROR(IF(G301="","",G301),"")</f>
        <v/>
      </c>
      <c r="H756" s="1252"/>
      <c r="I756" s="274"/>
      <c r="J756" s="274"/>
      <c r="K756" s="274"/>
      <c r="L756" s="274"/>
      <c r="M756" s="274"/>
      <c r="N756" s="274"/>
      <c r="O756" s="274"/>
      <c r="P756" s="274"/>
      <c r="Q756" s="1707" t="str">
        <f t="shared" ref="Q756:Q761" si="182">IFERROR(IF(AND(I756="",J756="",K756="",L756="",M756="",N756="",O756="",P756=""),"",SUM(I756:P756)),"")</f>
        <v/>
      </c>
      <c r="R756" s="1708"/>
    </row>
    <row r="757" spans="2:18" s="503" customFormat="1" ht="60" hidden="1" customHeight="1" x14ac:dyDescent="0.2">
      <c r="B757" s="1248" t="str">
        <f t="shared" si="179"/>
        <v/>
      </c>
      <c r="C757" s="1248"/>
      <c r="D757" s="1248"/>
      <c r="E757" s="1250" t="str">
        <f t="shared" si="180"/>
        <v/>
      </c>
      <c r="F757" s="1252"/>
      <c r="G757" s="1250" t="str">
        <f t="shared" si="181"/>
        <v/>
      </c>
      <c r="H757" s="1252"/>
      <c r="I757" s="274"/>
      <c r="J757" s="274"/>
      <c r="K757" s="274"/>
      <c r="L757" s="274"/>
      <c r="M757" s="274"/>
      <c r="N757" s="274"/>
      <c r="O757" s="274"/>
      <c r="P757" s="274"/>
      <c r="Q757" s="1707" t="str">
        <f t="shared" si="182"/>
        <v/>
      </c>
      <c r="R757" s="1708"/>
    </row>
    <row r="758" spans="2:18" s="503" customFormat="1" ht="60" hidden="1" customHeight="1" x14ac:dyDescent="0.2">
      <c r="B758" s="1248" t="str">
        <f t="shared" si="179"/>
        <v/>
      </c>
      <c r="C758" s="1248"/>
      <c r="D758" s="1248"/>
      <c r="E758" s="1250" t="str">
        <f t="shared" si="180"/>
        <v/>
      </c>
      <c r="F758" s="1252"/>
      <c r="G758" s="1250" t="str">
        <f t="shared" si="181"/>
        <v/>
      </c>
      <c r="H758" s="1252"/>
      <c r="I758" s="274"/>
      <c r="J758" s="274"/>
      <c r="K758" s="274"/>
      <c r="L758" s="274"/>
      <c r="M758" s="274"/>
      <c r="N758" s="274"/>
      <c r="O758" s="274"/>
      <c r="P758" s="274"/>
      <c r="Q758" s="1707" t="str">
        <f t="shared" si="182"/>
        <v/>
      </c>
      <c r="R758" s="1708"/>
    </row>
    <row r="759" spans="2:18" s="503" customFormat="1" ht="60" hidden="1" customHeight="1" x14ac:dyDescent="0.2">
      <c r="B759" s="1248" t="str">
        <f t="shared" si="179"/>
        <v/>
      </c>
      <c r="C759" s="1248"/>
      <c r="D759" s="1248"/>
      <c r="E759" s="1250" t="str">
        <f t="shared" si="180"/>
        <v/>
      </c>
      <c r="F759" s="1252"/>
      <c r="G759" s="1250" t="str">
        <f t="shared" si="181"/>
        <v/>
      </c>
      <c r="H759" s="1252"/>
      <c r="I759" s="274"/>
      <c r="J759" s="274"/>
      <c r="K759" s="274"/>
      <c r="L759" s="274"/>
      <c r="M759" s="274"/>
      <c r="N759" s="274"/>
      <c r="O759" s="274"/>
      <c r="P759" s="274"/>
      <c r="Q759" s="1707" t="str">
        <f t="shared" si="182"/>
        <v/>
      </c>
      <c r="R759" s="1708"/>
    </row>
    <row r="760" spans="2:18" s="503" customFormat="1" ht="60" hidden="1" customHeight="1" x14ac:dyDescent="0.2">
      <c r="B760" s="1248" t="str">
        <f t="shared" si="179"/>
        <v/>
      </c>
      <c r="C760" s="1248"/>
      <c r="D760" s="1248"/>
      <c r="E760" s="1250" t="str">
        <f t="shared" si="180"/>
        <v/>
      </c>
      <c r="F760" s="1252"/>
      <c r="G760" s="1250" t="str">
        <f t="shared" si="181"/>
        <v/>
      </c>
      <c r="H760" s="1252"/>
      <c r="I760" s="274"/>
      <c r="J760" s="274"/>
      <c r="K760" s="274"/>
      <c r="L760" s="274"/>
      <c r="M760" s="274"/>
      <c r="N760" s="274"/>
      <c r="O760" s="274"/>
      <c r="P760" s="274"/>
      <c r="Q760" s="1707" t="str">
        <f t="shared" si="182"/>
        <v/>
      </c>
      <c r="R760" s="1708"/>
    </row>
    <row r="761" spans="2:18" s="503" customFormat="1" ht="60" hidden="1" customHeight="1" x14ac:dyDescent="0.2">
      <c r="B761" s="1248" t="str">
        <f t="shared" si="179"/>
        <v/>
      </c>
      <c r="C761" s="1248"/>
      <c r="D761" s="1248"/>
      <c r="E761" s="1250" t="str">
        <f t="shared" si="180"/>
        <v/>
      </c>
      <c r="F761" s="1252"/>
      <c r="G761" s="1250" t="str">
        <f t="shared" si="181"/>
        <v/>
      </c>
      <c r="H761" s="1252"/>
      <c r="I761" s="274"/>
      <c r="J761" s="274"/>
      <c r="K761" s="274"/>
      <c r="L761" s="274"/>
      <c r="M761" s="274"/>
      <c r="N761" s="274"/>
      <c r="O761" s="274"/>
      <c r="P761" s="274"/>
      <c r="Q761" s="1707" t="str">
        <f t="shared" si="182"/>
        <v/>
      </c>
      <c r="R761" s="1708"/>
    </row>
    <row r="762" spans="2:18" s="503" customFormat="1" ht="15.95" hidden="1" customHeight="1" x14ac:dyDescent="0.2">
      <c r="B762" s="448" t="str">
        <f>IFERROR(IF(B323="","",B323),"")</f>
        <v>Factor de Producción:</v>
      </c>
      <c r="C762" s="449"/>
      <c r="D762" s="449" t="str">
        <f>IFERROR(IF(D323="","",D323),"")</f>
        <v>Intangibles</v>
      </c>
      <c r="E762" s="449"/>
      <c r="F762" s="449"/>
      <c r="G762" s="449"/>
      <c r="H762" s="449"/>
      <c r="I762" s="449"/>
      <c r="J762" s="449"/>
      <c r="K762" s="449"/>
      <c r="L762" s="449"/>
      <c r="M762" s="449"/>
      <c r="N762" s="449"/>
      <c r="O762" s="449"/>
      <c r="P762" s="449"/>
      <c r="Q762" s="449"/>
      <c r="R762" s="459"/>
    </row>
    <row r="763" spans="2:18" s="503" customFormat="1" ht="60" hidden="1" customHeight="1" x14ac:dyDescent="0.2">
      <c r="B763" s="1248" t="str">
        <f>IFERROR(IF(B324="","",B324),"")</f>
        <v/>
      </c>
      <c r="C763" s="1248"/>
      <c r="D763" s="1248"/>
      <c r="E763" s="1250" t="str">
        <f>IFERROR(IF(E324="","",E324),"")</f>
        <v/>
      </c>
      <c r="F763" s="1252"/>
      <c r="G763" s="1250" t="str">
        <f>IFERROR(IF(G324="","",G324),"")</f>
        <v/>
      </c>
      <c r="H763" s="1252"/>
      <c r="I763" s="274"/>
      <c r="J763" s="274"/>
      <c r="K763" s="274"/>
      <c r="L763" s="274"/>
      <c r="M763" s="274"/>
      <c r="N763" s="274"/>
      <c r="O763" s="274"/>
      <c r="P763" s="274"/>
      <c r="Q763" s="1707" t="str">
        <f t="shared" ref="Q763:Q783" si="183">IFERROR(IF(AND(I763="",J763="",K763="",L763="",M763="",N763="",O763="",P763=""),"",SUM(I763:P763)),"")</f>
        <v/>
      </c>
      <c r="R763" s="1708"/>
    </row>
    <row r="764" spans="2:18" s="503" customFormat="1" ht="60" hidden="1" customHeight="1" x14ac:dyDescent="0.2">
      <c r="B764" s="1248" t="str">
        <f t="shared" ref="B764:B783" si="184">IFERROR(IF(B325="","",B325),"")</f>
        <v/>
      </c>
      <c r="C764" s="1248"/>
      <c r="D764" s="1248"/>
      <c r="E764" s="1250" t="str">
        <f t="shared" ref="E764:E783" si="185">IFERROR(IF(E325="","",E325),"")</f>
        <v/>
      </c>
      <c r="F764" s="1252"/>
      <c r="G764" s="1250" t="str">
        <f t="shared" ref="G764:G783" si="186">IFERROR(IF(G325="","",G325),"")</f>
        <v/>
      </c>
      <c r="H764" s="1252"/>
      <c r="I764" s="274"/>
      <c r="J764" s="274"/>
      <c r="K764" s="274"/>
      <c r="L764" s="274"/>
      <c r="M764" s="274"/>
      <c r="N764" s="274"/>
      <c r="O764" s="274"/>
      <c r="P764" s="274"/>
      <c r="Q764" s="1707" t="str">
        <f t="shared" si="183"/>
        <v/>
      </c>
      <c r="R764" s="1708"/>
    </row>
    <row r="765" spans="2:18" s="503" customFormat="1" ht="60" hidden="1" customHeight="1" x14ac:dyDescent="0.2">
      <c r="B765" s="1248" t="str">
        <f t="shared" si="184"/>
        <v/>
      </c>
      <c r="C765" s="1248"/>
      <c r="D765" s="1248"/>
      <c r="E765" s="1250" t="str">
        <f t="shared" si="185"/>
        <v/>
      </c>
      <c r="F765" s="1252"/>
      <c r="G765" s="1250" t="str">
        <f t="shared" si="186"/>
        <v/>
      </c>
      <c r="H765" s="1252"/>
      <c r="I765" s="274"/>
      <c r="J765" s="274"/>
      <c r="K765" s="274"/>
      <c r="L765" s="274"/>
      <c r="M765" s="274"/>
      <c r="N765" s="274"/>
      <c r="O765" s="274"/>
      <c r="P765" s="274"/>
      <c r="Q765" s="1707" t="str">
        <f t="shared" si="183"/>
        <v/>
      </c>
      <c r="R765" s="1708"/>
    </row>
    <row r="766" spans="2:18" s="503" customFormat="1" ht="60" hidden="1" customHeight="1" x14ac:dyDescent="0.2">
      <c r="B766" s="1248" t="str">
        <f t="shared" si="184"/>
        <v/>
      </c>
      <c r="C766" s="1248"/>
      <c r="D766" s="1248"/>
      <c r="E766" s="1250" t="str">
        <f t="shared" si="185"/>
        <v/>
      </c>
      <c r="F766" s="1252"/>
      <c r="G766" s="1250" t="str">
        <f t="shared" si="186"/>
        <v/>
      </c>
      <c r="H766" s="1252"/>
      <c r="I766" s="274"/>
      <c r="J766" s="274"/>
      <c r="K766" s="274"/>
      <c r="L766" s="274"/>
      <c r="M766" s="274"/>
      <c r="N766" s="274"/>
      <c r="O766" s="274"/>
      <c r="P766" s="274"/>
      <c r="Q766" s="1707" t="str">
        <f t="shared" si="183"/>
        <v/>
      </c>
      <c r="R766" s="1708"/>
    </row>
    <row r="767" spans="2:18" s="503" customFormat="1" ht="60" hidden="1" customHeight="1" x14ac:dyDescent="0.2">
      <c r="B767" s="1248" t="str">
        <f t="shared" si="184"/>
        <v/>
      </c>
      <c r="C767" s="1248"/>
      <c r="D767" s="1248"/>
      <c r="E767" s="1250" t="str">
        <f t="shared" si="185"/>
        <v/>
      </c>
      <c r="F767" s="1252"/>
      <c r="G767" s="1250" t="str">
        <f t="shared" si="186"/>
        <v/>
      </c>
      <c r="H767" s="1252"/>
      <c r="I767" s="274"/>
      <c r="J767" s="274"/>
      <c r="K767" s="274"/>
      <c r="L767" s="274"/>
      <c r="M767" s="274"/>
      <c r="N767" s="274"/>
      <c r="O767" s="274"/>
      <c r="P767" s="274"/>
      <c r="Q767" s="1707" t="str">
        <f t="shared" si="183"/>
        <v/>
      </c>
      <c r="R767" s="1708"/>
    </row>
    <row r="768" spans="2:18" s="503" customFormat="1" ht="60" hidden="1" customHeight="1" x14ac:dyDescent="0.2">
      <c r="B768" s="1248" t="str">
        <f t="shared" si="184"/>
        <v/>
      </c>
      <c r="C768" s="1248"/>
      <c r="D768" s="1248"/>
      <c r="E768" s="1250" t="str">
        <f t="shared" si="185"/>
        <v/>
      </c>
      <c r="F768" s="1252"/>
      <c r="G768" s="1250" t="str">
        <f t="shared" si="186"/>
        <v/>
      </c>
      <c r="H768" s="1252"/>
      <c r="I768" s="274"/>
      <c r="J768" s="274"/>
      <c r="K768" s="274"/>
      <c r="L768" s="274"/>
      <c r="M768" s="274"/>
      <c r="N768" s="274"/>
      <c r="O768" s="274"/>
      <c r="P768" s="274"/>
      <c r="Q768" s="1707" t="str">
        <f t="shared" si="183"/>
        <v/>
      </c>
      <c r="R768" s="1708"/>
    </row>
    <row r="769" spans="2:18" s="503" customFormat="1" ht="60" hidden="1" customHeight="1" x14ac:dyDescent="0.2">
      <c r="B769" s="1248" t="str">
        <f t="shared" si="184"/>
        <v/>
      </c>
      <c r="C769" s="1248"/>
      <c r="D769" s="1248"/>
      <c r="E769" s="1250" t="str">
        <f t="shared" si="185"/>
        <v/>
      </c>
      <c r="F769" s="1252"/>
      <c r="G769" s="1250" t="str">
        <f t="shared" si="186"/>
        <v/>
      </c>
      <c r="H769" s="1252"/>
      <c r="I769" s="274"/>
      <c r="J769" s="274"/>
      <c r="K769" s="274"/>
      <c r="L769" s="274"/>
      <c r="M769" s="274"/>
      <c r="N769" s="274"/>
      <c r="O769" s="274"/>
      <c r="P769" s="274"/>
      <c r="Q769" s="1707" t="str">
        <f t="shared" si="183"/>
        <v/>
      </c>
      <c r="R769" s="1708"/>
    </row>
    <row r="770" spans="2:18" s="503" customFormat="1" ht="60" hidden="1" customHeight="1" x14ac:dyDescent="0.2">
      <c r="B770" s="1248" t="str">
        <f t="shared" si="184"/>
        <v/>
      </c>
      <c r="C770" s="1248"/>
      <c r="D770" s="1248"/>
      <c r="E770" s="1250" t="str">
        <f t="shared" si="185"/>
        <v/>
      </c>
      <c r="F770" s="1252"/>
      <c r="G770" s="1250" t="str">
        <f t="shared" si="186"/>
        <v/>
      </c>
      <c r="H770" s="1252"/>
      <c r="I770" s="274"/>
      <c r="J770" s="274"/>
      <c r="K770" s="274"/>
      <c r="L770" s="274"/>
      <c r="M770" s="274"/>
      <c r="N770" s="274"/>
      <c r="O770" s="274"/>
      <c r="P770" s="274"/>
      <c r="Q770" s="1707" t="str">
        <f t="shared" si="183"/>
        <v/>
      </c>
      <c r="R770" s="1708"/>
    </row>
    <row r="771" spans="2:18" s="503" customFormat="1" ht="60" hidden="1" customHeight="1" x14ac:dyDescent="0.2">
      <c r="B771" s="1248" t="str">
        <f t="shared" si="184"/>
        <v/>
      </c>
      <c r="C771" s="1248"/>
      <c r="D771" s="1248"/>
      <c r="E771" s="1250" t="str">
        <f t="shared" si="185"/>
        <v/>
      </c>
      <c r="F771" s="1252"/>
      <c r="G771" s="1250" t="str">
        <f t="shared" si="186"/>
        <v/>
      </c>
      <c r="H771" s="1252"/>
      <c r="I771" s="274"/>
      <c r="J771" s="274"/>
      <c r="K771" s="274"/>
      <c r="L771" s="274"/>
      <c r="M771" s="274"/>
      <c r="N771" s="274"/>
      <c r="O771" s="274"/>
      <c r="P771" s="274"/>
      <c r="Q771" s="1707" t="str">
        <f t="shared" si="183"/>
        <v/>
      </c>
      <c r="R771" s="1708"/>
    </row>
    <row r="772" spans="2:18" s="503" customFormat="1" ht="60" hidden="1" customHeight="1" x14ac:dyDescent="0.2">
      <c r="B772" s="1248" t="str">
        <f t="shared" si="184"/>
        <v/>
      </c>
      <c r="C772" s="1248"/>
      <c r="D772" s="1248"/>
      <c r="E772" s="1250" t="str">
        <f t="shared" si="185"/>
        <v/>
      </c>
      <c r="F772" s="1252"/>
      <c r="G772" s="1250" t="str">
        <f t="shared" si="186"/>
        <v/>
      </c>
      <c r="H772" s="1252"/>
      <c r="I772" s="274"/>
      <c r="J772" s="274"/>
      <c r="K772" s="274"/>
      <c r="L772" s="274"/>
      <c r="M772" s="274"/>
      <c r="N772" s="274"/>
      <c r="O772" s="274"/>
      <c r="P772" s="274"/>
      <c r="Q772" s="1707" t="str">
        <f t="shared" si="183"/>
        <v/>
      </c>
      <c r="R772" s="1708"/>
    </row>
    <row r="773" spans="2:18" s="503" customFormat="1" ht="60" hidden="1" customHeight="1" x14ac:dyDescent="0.2">
      <c r="B773" s="1248" t="str">
        <f t="shared" si="184"/>
        <v/>
      </c>
      <c r="C773" s="1248"/>
      <c r="D773" s="1248"/>
      <c r="E773" s="1250" t="str">
        <f t="shared" si="185"/>
        <v/>
      </c>
      <c r="F773" s="1252"/>
      <c r="G773" s="1250" t="str">
        <f t="shared" si="186"/>
        <v/>
      </c>
      <c r="H773" s="1252"/>
      <c r="I773" s="274"/>
      <c r="J773" s="274"/>
      <c r="K773" s="274"/>
      <c r="L773" s="274"/>
      <c r="M773" s="274"/>
      <c r="N773" s="274"/>
      <c r="O773" s="274"/>
      <c r="P773" s="274"/>
      <c r="Q773" s="1707" t="str">
        <f t="shared" si="183"/>
        <v/>
      </c>
      <c r="R773" s="1708"/>
    </row>
    <row r="774" spans="2:18" s="503" customFormat="1" ht="60" hidden="1" customHeight="1" x14ac:dyDescent="0.2">
      <c r="B774" s="1248" t="str">
        <f t="shared" si="184"/>
        <v/>
      </c>
      <c r="C774" s="1248"/>
      <c r="D774" s="1248"/>
      <c r="E774" s="1250" t="str">
        <f t="shared" si="185"/>
        <v/>
      </c>
      <c r="F774" s="1252"/>
      <c r="G774" s="1250" t="str">
        <f t="shared" si="186"/>
        <v/>
      </c>
      <c r="H774" s="1252"/>
      <c r="I774" s="274"/>
      <c r="J774" s="274"/>
      <c r="K774" s="274"/>
      <c r="L774" s="274"/>
      <c r="M774" s="274"/>
      <c r="N774" s="274"/>
      <c r="O774" s="274"/>
      <c r="P774" s="274"/>
      <c r="Q774" s="1707" t="str">
        <f t="shared" si="183"/>
        <v/>
      </c>
      <c r="R774" s="1708"/>
    </row>
    <row r="775" spans="2:18" s="503" customFormat="1" ht="60" hidden="1" customHeight="1" x14ac:dyDescent="0.2">
      <c r="B775" s="1248" t="str">
        <f t="shared" si="184"/>
        <v/>
      </c>
      <c r="C775" s="1248"/>
      <c r="D775" s="1248"/>
      <c r="E775" s="1250" t="str">
        <f t="shared" si="185"/>
        <v/>
      </c>
      <c r="F775" s="1252"/>
      <c r="G775" s="1250" t="str">
        <f t="shared" si="186"/>
        <v/>
      </c>
      <c r="H775" s="1252"/>
      <c r="I775" s="274"/>
      <c r="J775" s="274"/>
      <c r="K775" s="274"/>
      <c r="L775" s="274"/>
      <c r="M775" s="274"/>
      <c r="N775" s="274"/>
      <c r="O775" s="274"/>
      <c r="P775" s="274"/>
      <c r="Q775" s="1707" t="str">
        <f t="shared" si="183"/>
        <v/>
      </c>
      <c r="R775" s="1708"/>
    </row>
    <row r="776" spans="2:18" s="503" customFormat="1" ht="60" hidden="1" customHeight="1" x14ac:dyDescent="0.2">
      <c r="B776" s="1248" t="str">
        <f t="shared" si="184"/>
        <v/>
      </c>
      <c r="C776" s="1248"/>
      <c r="D776" s="1248"/>
      <c r="E776" s="1250" t="str">
        <f t="shared" si="185"/>
        <v/>
      </c>
      <c r="F776" s="1252"/>
      <c r="G776" s="1250" t="str">
        <f t="shared" si="186"/>
        <v/>
      </c>
      <c r="H776" s="1252"/>
      <c r="I776" s="274"/>
      <c r="J776" s="274"/>
      <c r="K776" s="274"/>
      <c r="L776" s="274"/>
      <c r="M776" s="274"/>
      <c r="N776" s="274"/>
      <c r="O776" s="274"/>
      <c r="P776" s="274"/>
      <c r="Q776" s="1707" t="str">
        <f t="shared" si="183"/>
        <v/>
      </c>
      <c r="R776" s="1708"/>
    </row>
    <row r="777" spans="2:18" s="503" customFormat="1" ht="60" hidden="1" customHeight="1" x14ac:dyDescent="0.2">
      <c r="B777" s="1248" t="str">
        <f t="shared" si="184"/>
        <v/>
      </c>
      <c r="C777" s="1248"/>
      <c r="D777" s="1248"/>
      <c r="E777" s="1250" t="str">
        <f t="shared" si="185"/>
        <v/>
      </c>
      <c r="F777" s="1252"/>
      <c r="G777" s="1250" t="str">
        <f t="shared" si="186"/>
        <v/>
      </c>
      <c r="H777" s="1252"/>
      <c r="I777" s="274"/>
      <c r="J777" s="274"/>
      <c r="K777" s="274"/>
      <c r="L777" s="274"/>
      <c r="M777" s="274"/>
      <c r="N777" s="274"/>
      <c r="O777" s="274"/>
      <c r="P777" s="274"/>
      <c r="Q777" s="1707" t="str">
        <f t="shared" si="183"/>
        <v/>
      </c>
      <c r="R777" s="1708"/>
    </row>
    <row r="778" spans="2:18" s="503" customFormat="1" ht="60" hidden="1" customHeight="1" x14ac:dyDescent="0.2">
      <c r="B778" s="1248" t="str">
        <f t="shared" si="184"/>
        <v/>
      </c>
      <c r="C778" s="1248"/>
      <c r="D778" s="1248"/>
      <c r="E778" s="1250" t="str">
        <f t="shared" si="185"/>
        <v/>
      </c>
      <c r="F778" s="1252"/>
      <c r="G778" s="1250" t="str">
        <f t="shared" si="186"/>
        <v/>
      </c>
      <c r="H778" s="1252"/>
      <c r="I778" s="274"/>
      <c r="J778" s="274"/>
      <c r="K778" s="274"/>
      <c r="L778" s="274"/>
      <c r="M778" s="274"/>
      <c r="N778" s="274"/>
      <c r="O778" s="274"/>
      <c r="P778" s="274"/>
      <c r="Q778" s="1707" t="str">
        <f t="shared" si="183"/>
        <v/>
      </c>
      <c r="R778" s="1708"/>
    </row>
    <row r="779" spans="2:18" s="503" customFormat="1" ht="60" hidden="1" customHeight="1" x14ac:dyDescent="0.2">
      <c r="B779" s="1248" t="str">
        <f t="shared" si="184"/>
        <v/>
      </c>
      <c r="C779" s="1248"/>
      <c r="D779" s="1248"/>
      <c r="E779" s="1250" t="str">
        <f t="shared" si="185"/>
        <v/>
      </c>
      <c r="F779" s="1252"/>
      <c r="G779" s="1250" t="str">
        <f t="shared" si="186"/>
        <v/>
      </c>
      <c r="H779" s="1252"/>
      <c r="I779" s="274"/>
      <c r="J779" s="274"/>
      <c r="K779" s="274"/>
      <c r="L779" s="274"/>
      <c r="M779" s="274"/>
      <c r="N779" s="274"/>
      <c r="O779" s="274"/>
      <c r="P779" s="274"/>
      <c r="Q779" s="1707" t="str">
        <f t="shared" si="183"/>
        <v/>
      </c>
      <c r="R779" s="1708"/>
    </row>
    <row r="780" spans="2:18" s="503" customFormat="1" ht="60" hidden="1" customHeight="1" x14ac:dyDescent="0.2">
      <c r="B780" s="1248" t="str">
        <f t="shared" si="184"/>
        <v/>
      </c>
      <c r="C780" s="1248"/>
      <c r="D780" s="1248"/>
      <c r="E780" s="1250" t="str">
        <f t="shared" si="185"/>
        <v/>
      </c>
      <c r="F780" s="1252"/>
      <c r="G780" s="1250" t="str">
        <f t="shared" si="186"/>
        <v/>
      </c>
      <c r="H780" s="1252"/>
      <c r="I780" s="274"/>
      <c r="J780" s="274"/>
      <c r="K780" s="274"/>
      <c r="L780" s="274"/>
      <c r="M780" s="274"/>
      <c r="N780" s="274"/>
      <c r="O780" s="274"/>
      <c r="P780" s="274"/>
      <c r="Q780" s="1707" t="str">
        <f t="shared" si="183"/>
        <v/>
      </c>
      <c r="R780" s="1708"/>
    </row>
    <row r="781" spans="2:18" s="503" customFormat="1" ht="60" hidden="1" customHeight="1" x14ac:dyDescent="0.2">
      <c r="B781" s="1248" t="str">
        <f t="shared" si="184"/>
        <v/>
      </c>
      <c r="C781" s="1248"/>
      <c r="D781" s="1248"/>
      <c r="E781" s="1250" t="str">
        <f t="shared" si="185"/>
        <v/>
      </c>
      <c r="F781" s="1252"/>
      <c r="G781" s="1250" t="str">
        <f t="shared" si="186"/>
        <v/>
      </c>
      <c r="H781" s="1252"/>
      <c r="I781" s="274"/>
      <c r="J781" s="274"/>
      <c r="K781" s="274"/>
      <c r="L781" s="274"/>
      <c r="M781" s="274"/>
      <c r="N781" s="274"/>
      <c r="O781" s="274"/>
      <c r="P781" s="274"/>
      <c r="Q781" s="1707" t="str">
        <f t="shared" si="183"/>
        <v/>
      </c>
      <c r="R781" s="1708"/>
    </row>
    <row r="782" spans="2:18" s="503" customFormat="1" ht="60" hidden="1" customHeight="1" x14ac:dyDescent="0.2">
      <c r="B782" s="1248" t="str">
        <f t="shared" si="184"/>
        <v/>
      </c>
      <c r="C782" s="1248"/>
      <c r="D782" s="1248"/>
      <c r="E782" s="1250" t="str">
        <f t="shared" si="185"/>
        <v/>
      </c>
      <c r="F782" s="1252"/>
      <c r="G782" s="1250" t="str">
        <f t="shared" si="186"/>
        <v/>
      </c>
      <c r="H782" s="1252"/>
      <c r="I782" s="274"/>
      <c r="J782" s="274"/>
      <c r="K782" s="274"/>
      <c r="L782" s="274"/>
      <c r="M782" s="274"/>
      <c r="N782" s="274"/>
      <c r="O782" s="274"/>
      <c r="P782" s="274"/>
      <c r="Q782" s="1707" t="str">
        <f t="shared" si="183"/>
        <v/>
      </c>
      <c r="R782" s="1708"/>
    </row>
    <row r="783" spans="2:18" s="503" customFormat="1" ht="60" hidden="1" customHeight="1" x14ac:dyDescent="0.2">
      <c r="B783" s="1248" t="str">
        <f t="shared" si="184"/>
        <v/>
      </c>
      <c r="C783" s="1248"/>
      <c r="D783" s="1248"/>
      <c r="E783" s="1250" t="str">
        <f t="shared" si="185"/>
        <v/>
      </c>
      <c r="F783" s="1252"/>
      <c r="G783" s="1250" t="str">
        <f t="shared" si="186"/>
        <v/>
      </c>
      <c r="H783" s="1252"/>
      <c r="I783" s="274"/>
      <c r="J783" s="274"/>
      <c r="K783" s="274"/>
      <c r="L783" s="274"/>
      <c r="M783" s="274"/>
      <c r="N783" s="274"/>
      <c r="O783" s="274"/>
      <c r="P783" s="274"/>
      <c r="Q783" s="1707" t="str">
        <f t="shared" si="183"/>
        <v/>
      </c>
      <c r="R783" s="1708"/>
    </row>
    <row r="784" spans="2:18" s="503" customFormat="1" ht="15.95" hidden="1" customHeight="1" thickBot="1" x14ac:dyDescent="0.25">
      <c r="B784" s="1729" t="str">
        <f t="shared" ref="B784:B790" si="187">IFERROR(IF(B345="","",B345),"")</f>
        <v>Medidas de Reducción del riesgo de desastres y mitigación ambiental</v>
      </c>
      <c r="C784" s="1730"/>
      <c r="D784" s="1730"/>
      <c r="E784" s="1730"/>
      <c r="F784" s="1730"/>
      <c r="G784" s="1730"/>
      <c r="H784" s="1730"/>
      <c r="I784" s="1730"/>
      <c r="J784" s="1730"/>
      <c r="K784" s="1730"/>
      <c r="L784" s="1730"/>
      <c r="M784" s="1730"/>
      <c r="N784" s="1730"/>
      <c r="O784" s="1730"/>
      <c r="P784" s="1730"/>
      <c r="Q784" s="1730"/>
      <c r="R784" s="1731"/>
    </row>
    <row r="785" spans="2:18" s="503" customFormat="1" ht="60" hidden="1" customHeight="1" x14ac:dyDescent="0.2">
      <c r="B785" s="1248" t="str">
        <f t="shared" si="187"/>
        <v/>
      </c>
      <c r="C785" s="1248"/>
      <c r="D785" s="1248"/>
      <c r="E785" s="1250" t="str">
        <f t="shared" ref="E785:E790" si="188">IFERROR(IF(E346="","",E346),"")</f>
        <v/>
      </c>
      <c r="F785" s="1252"/>
      <c r="G785" s="1250" t="str">
        <f t="shared" ref="G785:G790" si="189">IFERROR(IF(G346="","",G346),"")</f>
        <v/>
      </c>
      <c r="H785" s="1252"/>
      <c r="I785" s="274"/>
      <c r="J785" s="274"/>
      <c r="K785" s="274"/>
      <c r="L785" s="274"/>
      <c r="M785" s="274"/>
      <c r="N785" s="274"/>
      <c r="O785" s="274"/>
      <c r="P785" s="274"/>
      <c r="Q785" s="1707" t="str">
        <f t="shared" ref="Q785:Q790" si="190">IFERROR(IF(AND(I785="",J785="",K785="",L785="",M785="",N785="",O785="",P785=""),"",SUM(I785:P785)),"")</f>
        <v/>
      </c>
      <c r="R785" s="1708"/>
    </row>
    <row r="786" spans="2:18" s="503" customFormat="1" ht="60" hidden="1" customHeight="1" x14ac:dyDescent="0.2">
      <c r="B786" s="1248" t="str">
        <f t="shared" si="187"/>
        <v/>
      </c>
      <c r="C786" s="1248"/>
      <c r="D786" s="1248"/>
      <c r="E786" s="1250" t="str">
        <f t="shared" si="188"/>
        <v/>
      </c>
      <c r="F786" s="1252"/>
      <c r="G786" s="1250" t="str">
        <f t="shared" si="189"/>
        <v/>
      </c>
      <c r="H786" s="1252"/>
      <c r="I786" s="274"/>
      <c r="J786" s="274"/>
      <c r="K786" s="274"/>
      <c r="L786" s="274"/>
      <c r="M786" s="274"/>
      <c r="N786" s="274"/>
      <c r="O786" s="274"/>
      <c r="P786" s="274"/>
      <c r="Q786" s="1707" t="str">
        <f t="shared" si="190"/>
        <v/>
      </c>
      <c r="R786" s="1708"/>
    </row>
    <row r="787" spans="2:18" s="503" customFormat="1" ht="60" hidden="1" customHeight="1" x14ac:dyDescent="0.2">
      <c r="B787" s="1248" t="str">
        <f t="shared" si="187"/>
        <v/>
      </c>
      <c r="C787" s="1248"/>
      <c r="D787" s="1248"/>
      <c r="E787" s="1250" t="str">
        <f t="shared" si="188"/>
        <v/>
      </c>
      <c r="F787" s="1252"/>
      <c r="G787" s="1250" t="str">
        <f t="shared" si="189"/>
        <v/>
      </c>
      <c r="H787" s="1252"/>
      <c r="I787" s="274"/>
      <c r="J787" s="274"/>
      <c r="K787" s="274"/>
      <c r="L787" s="274"/>
      <c r="M787" s="274"/>
      <c r="N787" s="274"/>
      <c r="O787" s="274"/>
      <c r="P787" s="274"/>
      <c r="Q787" s="1707" t="str">
        <f t="shared" si="190"/>
        <v/>
      </c>
      <c r="R787" s="1708"/>
    </row>
    <row r="788" spans="2:18" s="503" customFormat="1" ht="60" hidden="1" customHeight="1" x14ac:dyDescent="0.2">
      <c r="B788" s="1248" t="str">
        <f t="shared" si="187"/>
        <v/>
      </c>
      <c r="C788" s="1248"/>
      <c r="D788" s="1248"/>
      <c r="E788" s="1250" t="str">
        <f t="shared" si="188"/>
        <v/>
      </c>
      <c r="F788" s="1252"/>
      <c r="G788" s="1250" t="str">
        <f t="shared" si="189"/>
        <v/>
      </c>
      <c r="H788" s="1252"/>
      <c r="I788" s="274"/>
      <c r="J788" s="274"/>
      <c r="K788" s="274"/>
      <c r="L788" s="274"/>
      <c r="M788" s="274"/>
      <c r="N788" s="274"/>
      <c r="O788" s="274"/>
      <c r="P788" s="274"/>
      <c r="Q788" s="1707" t="str">
        <f t="shared" si="190"/>
        <v/>
      </c>
      <c r="R788" s="1708"/>
    </row>
    <row r="789" spans="2:18" s="503" customFormat="1" ht="60" hidden="1" customHeight="1" x14ac:dyDescent="0.2">
      <c r="B789" s="1248" t="str">
        <f t="shared" si="187"/>
        <v/>
      </c>
      <c r="C789" s="1248"/>
      <c r="D789" s="1248"/>
      <c r="E789" s="1250" t="str">
        <f t="shared" si="188"/>
        <v/>
      </c>
      <c r="F789" s="1252"/>
      <c r="G789" s="1250" t="str">
        <f t="shared" si="189"/>
        <v/>
      </c>
      <c r="H789" s="1252"/>
      <c r="I789" s="274"/>
      <c r="J789" s="274"/>
      <c r="K789" s="274"/>
      <c r="L789" s="274"/>
      <c r="M789" s="274"/>
      <c r="N789" s="274"/>
      <c r="O789" s="274"/>
      <c r="P789" s="274"/>
      <c r="Q789" s="1707" t="str">
        <f t="shared" si="190"/>
        <v/>
      </c>
      <c r="R789" s="1708"/>
    </row>
    <row r="790" spans="2:18" s="503" customFormat="1" ht="60" hidden="1" customHeight="1" thickBot="1" x14ac:dyDescent="0.25">
      <c r="B790" s="1248" t="str">
        <f t="shared" si="187"/>
        <v/>
      </c>
      <c r="C790" s="1248"/>
      <c r="D790" s="1248"/>
      <c r="E790" s="1250" t="str">
        <f t="shared" si="188"/>
        <v/>
      </c>
      <c r="F790" s="1252"/>
      <c r="G790" s="1250" t="str">
        <f t="shared" si="189"/>
        <v/>
      </c>
      <c r="H790" s="1252"/>
      <c r="I790" s="274"/>
      <c r="J790" s="274"/>
      <c r="K790" s="274"/>
      <c r="L790" s="274"/>
      <c r="M790" s="274"/>
      <c r="N790" s="274"/>
      <c r="O790" s="274"/>
      <c r="P790" s="274"/>
      <c r="Q790" s="1707" t="str">
        <f t="shared" si="190"/>
        <v/>
      </c>
      <c r="R790" s="1708"/>
    </row>
    <row r="791" spans="2:18" s="503" customFormat="1" ht="36.6" hidden="1" customHeight="1" thickBot="1" x14ac:dyDescent="0.25">
      <c r="B791" s="1732" t="s">
        <v>135</v>
      </c>
      <c r="C791" s="1732"/>
      <c r="D791" s="1732"/>
      <c r="E791" s="1732"/>
      <c r="F791" s="1732"/>
      <c r="G791" s="1732"/>
      <c r="H791" s="1732"/>
      <c r="I791" s="1732"/>
      <c r="J791" s="1732"/>
      <c r="K791" s="1732"/>
      <c r="L791" s="1732"/>
      <c r="M791" s="1732"/>
      <c r="N791" s="1732"/>
      <c r="O791" s="1732"/>
      <c r="P791" s="1733"/>
      <c r="Q791" s="1734" t="str">
        <f>IFERROR(IF(AND(Q746="",Q748="",Q750="",Q752="",Q749="",Q753="",Q766="",Q767="",Q790="",Q789="",Q787="",Q786="",Q785="",Q783="",Q782="",Q781="",Q779="",Q778="",Q777="",Q765="",Q764="",Q763="",Q761="",Q760="",Q759="",Q758="",Q757="",Q756="",Q768="",Q769="",Q754="",Q751="",Q747="",Q770="",Q771="",Q772="",Q773="",Q774="",Q775="",Q776="",Q780="",Q788=""),"",SUM(Q746:R754,Q756:R761,Q763:R783,Q785:R790)),"")</f>
        <v/>
      </c>
      <c r="R791" s="1735"/>
    </row>
    <row r="792" spans="2:18" s="503" customFormat="1" ht="12.75" hidden="1" x14ac:dyDescent="0.2">
      <c r="B792" s="56"/>
      <c r="C792" s="75"/>
      <c r="D792" s="56"/>
      <c r="E792" s="56"/>
      <c r="F792" s="56"/>
      <c r="G792" s="75"/>
      <c r="H792" s="526"/>
      <c r="J792" s="75"/>
    </row>
    <row r="793" spans="2:18" s="503" customFormat="1" ht="40.5" hidden="1" customHeight="1" x14ac:dyDescent="0.2">
      <c r="B793" s="1741" t="s">
        <v>112</v>
      </c>
      <c r="C793" s="1742"/>
      <c r="D793" s="502" t="str">
        <f>IF(AND($F$738="MES",$F$739&gt;=1),"MES 01",IF(AND($F$738="BIMESTRE",$F$739&gt;=1),"BIMESTRE 01",IF(AND($F$738="TRIMESTRE",$F$739&gt;=1),"TRIMESTRE 01",IF(AND($F$738="SEMESTRE",$F$739&gt;=1),"SEMESTRE 01",IF(AND($F$738="AÑO",$F$739&gt;=1),"AÑO 01","")))))</f>
        <v/>
      </c>
      <c r="E793" s="502" t="str">
        <f>IF(AND($F$738="MES",$F$739&gt;=2),"MES 02",IF(AND($F$738="BIMESTRE",$F$739&gt;=2),"BIMESTRE 02",IF(AND($F$738="TRIMESTRE",$F$739&gt;=2),"TRIMESTRE 02",IF(AND($F$738="SEMESTRE",$F$739&gt;=2),"SEMESTRE 02",IF(AND($F$738="AÑO",$F$739&gt;=2),"AÑO 02","")))))</f>
        <v/>
      </c>
      <c r="F793" s="502" t="str">
        <f>IF(AND($F$738="MES",$F$739&gt;=3),"MES 03",IF(AND($F$738="BIMESTRE",$F$739&gt;=3),"BIMESTRE 03",IF(AND($F$738="TRIMESTRE",$F$739&gt;=3),"TRIMESTRE 03",IF(AND($F$738="SEMESTRE",$F$739&gt;=3),"SEMESTRE 03",IF(AND($F$738="AÑO",$F$739&gt;=3),"AÑO 03","")))))</f>
        <v/>
      </c>
      <c r="G793" s="502" t="str">
        <f>IF(AND($F$738="MES",$F$739&gt;=4),"MES 04",IF(AND($F$738="BIMESTRE",$F$739&gt;=4),"BIMESTRE 04",IF(AND($F$738="TRIMESTRE",$F$739&gt;=4),"TRIMESTRE 04",IF(AND($F$738="SEMESTRE",$F$739&gt;=4),"SEMESTRE 04",IF(AND($F$738="AÑO",$F$739&gt;=4),"","")))))</f>
        <v/>
      </c>
      <c r="H793" s="502" t="str">
        <f>IF(AND($F$738="MES",$F$739&gt;=5),"MES 05",IF(AND($F$738="BIMESTRE",$F$739&gt;=5),"BIMESTRE 05",IF(AND($F$738="TRIMESTRE",$F$739&gt;=5),"TRIMESTRE 05",IF(AND($F$738="SEMESTRE",$F$739&gt;=5),"SEMESTRE 05",IF(AND($F$738="AÑO",$F$739&gt;=5),"","")))))</f>
        <v/>
      </c>
      <c r="I793" s="502" t="str">
        <f>IF(AND($F$738="MES",$F$739&gt;=6),"MES 06",IF(AND($F$738="BIMESTRE",$F$739&gt;=6),"BIMESTRE 06",IF(AND($F$738="TRIMESTRE",$F$739&gt;=6),"TRIMESTRE 06",IF(AND($F$738="SEMESTRE",$F$739&gt;=6),"SEMESTRE 06",IF(AND($F$738="AÑO",$F$739&gt;=6),"","")))))</f>
        <v/>
      </c>
      <c r="J793" s="502" t="str">
        <f>IF(AND($F$738="MES",$F$739&gt;=7),"MES 07",IF(AND($F$738="BIMESTRE",$F$739&gt;=7),"BIMESTRE 07",IF(AND($F$738="TRIMESTRE",$F$739&gt;=7),"TRIMESTRE 07",IF(AND($F$738="SEMESTRE",$F$739&gt;=7),"SEMESTRE 07",IF(AND($F$738="AÑO",$F$739&gt;=7),"","")))))</f>
        <v/>
      </c>
      <c r="K793" s="502" t="str">
        <f>IF(AND($F$738="MES",$F$739=8),"MES 08",IF(AND($F$738="BIMESTRE",$F$739=8),"BIMESTRE 08",IF(AND($F$738="TRIMESTRE",$F$739=8),"TRIMESTRE 08",IF(AND($F$738="SEMESTRE",$F$739=8),"SEMESTRE 08",IF(AND($F$738="AÑO",$F$739=8),"","")))))</f>
        <v/>
      </c>
      <c r="L793" s="1126" t="s">
        <v>278</v>
      </c>
      <c r="M793" s="1053"/>
    </row>
    <row r="794" spans="2:18" s="503" customFormat="1" ht="5.0999999999999996" hidden="1" customHeight="1" x14ac:dyDescent="0.2">
      <c r="I794" s="56"/>
      <c r="J794" s="56"/>
      <c r="K794" s="56"/>
      <c r="L794" s="56"/>
      <c r="M794" s="56"/>
    </row>
    <row r="795" spans="2:18" s="503" customFormat="1" ht="35.1" hidden="1" customHeight="1" x14ac:dyDescent="0.2">
      <c r="B795" s="1743" t="s">
        <v>113</v>
      </c>
      <c r="C795" s="1744"/>
      <c r="D795" s="274"/>
      <c r="E795" s="274"/>
      <c r="F795" s="274"/>
      <c r="G795" s="274"/>
      <c r="H795" s="274"/>
      <c r="I795" s="274"/>
      <c r="J795" s="274"/>
      <c r="K795" s="274"/>
      <c r="L795" s="1745" t="str">
        <f>IFERROR(IF(AND(D795="",E795="",F795="",G795="",H795="",I795="",J795="",K795=""),"",SUM(D795:K795)),"")</f>
        <v/>
      </c>
      <c r="M795" s="1745"/>
    </row>
    <row r="796" spans="2:18" s="503" customFormat="1" ht="35.1" hidden="1" customHeight="1" x14ac:dyDescent="0.2">
      <c r="B796" s="1743" t="s">
        <v>136</v>
      </c>
      <c r="C796" s="1744"/>
      <c r="D796" s="274"/>
      <c r="E796" s="274"/>
      <c r="F796" s="274"/>
      <c r="G796" s="274"/>
      <c r="H796" s="274"/>
      <c r="I796" s="274"/>
      <c r="J796" s="274"/>
      <c r="K796" s="274"/>
      <c r="L796" s="1745" t="str">
        <f>IFERROR(IF(AND(D796="",E796="",F796="",G796="",H796="",I796="",J796="",K796=""),"",SUM(D796:K796)),"")</f>
        <v/>
      </c>
      <c r="M796" s="1745"/>
    </row>
    <row r="797" spans="2:18" s="503" customFormat="1" ht="35.1" hidden="1" customHeight="1" x14ac:dyDescent="0.2">
      <c r="B797" s="1743" t="s">
        <v>114</v>
      </c>
      <c r="C797" s="1744"/>
      <c r="D797" s="274"/>
      <c r="E797" s="274"/>
      <c r="F797" s="274"/>
      <c r="G797" s="274"/>
      <c r="H797" s="274"/>
      <c r="I797" s="274"/>
      <c r="J797" s="274"/>
      <c r="K797" s="274"/>
      <c r="L797" s="1745" t="str">
        <f>IFERROR(IF(AND(D797="",E797="",F797="",G797="",H797="",I797="",J797="",K797=""),"",SUM(D797:K797)),"")</f>
        <v/>
      </c>
      <c r="M797" s="1745"/>
    </row>
    <row r="798" spans="2:18" s="503" customFormat="1" ht="35.1" hidden="1" customHeight="1" thickBot="1" x14ac:dyDescent="0.25">
      <c r="B798" s="1743" t="s">
        <v>115</v>
      </c>
      <c r="C798" s="1744"/>
      <c r="D798" s="274"/>
      <c r="E798" s="274"/>
      <c r="F798" s="274"/>
      <c r="G798" s="274"/>
      <c r="H798" s="274"/>
      <c r="I798" s="274"/>
      <c r="J798" s="274"/>
      <c r="K798" s="274"/>
      <c r="L798" s="1745" t="str">
        <f>IFERROR(IF(AND(D798="",E798="",F798="",G798="",H798="",I798="",J798="",K798=""),"",SUM(D798:K798)),"")</f>
        <v/>
      </c>
      <c r="M798" s="1745"/>
    </row>
    <row r="799" spans="2:18" s="503" customFormat="1" ht="27.95" hidden="1" customHeight="1" thickBot="1" x14ac:dyDescent="0.25">
      <c r="B799" s="1736" t="s">
        <v>135</v>
      </c>
      <c r="C799" s="1736"/>
      <c r="D799" s="1736"/>
      <c r="E799" s="1736"/>
      <c r="F799" s="1736"/>
      <c r="G799" s="1736"/>
      <c r="H799" s="1736"/>
      <c r="I799" s="1736"/>
      <c r="J799" s="1736"/>
      <c r="K799" s="1736"/>
      <c r="L799" s="1734" t="str">
        <f>IFERROR(IF(AND(L795="",L796="",L797="",L798=""),"",SUM(L795:M798)),"")</f>
        <v/>
      </c>
      <c r="M799" s="1735"/>
    </row>
    <row r="800" spans="2:18" s="503" customFormat="1" ht="27.95" hidden="1" customHeight="1" thickBot="1" x14ac:dyDescent="0.25">
      <c r="B800" s="1737" t="s">
        <v>137</v>
      </c>
      <c r="C800" s="1738"/>
      <c r="D800" s="1738"/>
      <c r="E800" s="1738"/>
      <c r="F800" s="1738"/>
      <c r="G800" s="1738"/>
      <c r="H800" s="1738"/>
      <c r="I800" s="1738"/>
      <c r="J800" s="1738"/>
      <c r="K800" s="1739"/>
      <c r="L800" s="1734" t="str">
        <f>IFERROR(IF(OR(Q791="",L799=""),"",L799+Q791),"")</f>
        <v/>
      </c>
      <c r="M800" s="1735"/>
    </row>
    <row r="801" spans="2:18" s="503" customFormat="1" ht="14.25" hidden="1" x14ac:dyDescent="0.2">
      <c r="B801" s="1740" t="s">
        <v>418</v>
      </c>
      <c r="C801" s="1740"/>
      <c r="D801" s="1740"/>
      <c r="E801" s="1740"/>
      <c r="F801" s="1740"/>
      <c r="G801" s="1740"/>
      <c r="H801" s="1740"/>
      <c r="I801" s="1740"/>
      <c r="J801" s="56"/>
      <c r="K801" s="56"/>
      <c r="L801" s="56"/>
      <c r="M801" s="56"/>
    </row>
    <row r="802" spans="2:18" s="503" customFormat="1" ht="12.75" hidden="1" x14ac:dyDescent="0.2">
      <c r="B802" s="56"/>
      <c r="C802" s="75"/>
      <c r="D802" s="56"/>
      <c r="E802" s="56"/>
      <c r="F802" s="56"/>
      <c r="G802" s="56"/>
      <c r="H802" s="75"/>
      <c r="I802" s="75"/>
      <c r="J802" s="75"/>
      <c r="K802" s="56"/>
      <c r="L802" s="56"/>
      <c r="M802" s="56"/>
    </row>
    <row r="803" spans="2:18" s="503" customFormat="1" ht="12.75" hidden="1" x14ac:dyDescent="0.2">
      <c r="B803" s="68" t="s">
        <v>425</v>
      </c>
      <c r="C803" s="75"/>
      <c r="D803" s="75"/>
      <c r="E803" s="68"/>
      <c r="F803" s="75"/>
      <c r="G803" s="75"/>
      <c r="H803" s="75"/>
      <c r="I803" s="75"/>
      <c r="J803" s="75"/>
      <c r="K803" s="75"/>
      <c r="L803" s="75"/>
      <c r="M803" s="75"/>
    </row>
    <row r="804" spans="2:18" s="503" customFormat="1" ht="12.75" hidden="1" x14ac:dyDescent="0.2">
      <c r="B804" s="61" t="s">
        <v>138</v>
      </c>
      <c r="C804" s="75"/>
      <c r="D804" s="75"/>
      <c r="E804" s="75"/>
      <c r="F804" s="75"/>
      <c r="G804" s="75"/>
      <c r="H804" s="75"/>
      <c r="I804" s="75"/>
      <c r="J804" s="75"/>
      <c r="K804" s="75"/>
      <c r="L804" s="75"/>
      <c r="M804" s="75"/>
    </row>
    <row r="805" spans="2:18" s="503" customFormat="1" ht="12.75" hidden="1" x14ac:dyDescent="0.2">
      <c r="B805" s="61"/>
    </row>
    <row r="806" spans="2:18" s="503" customFormat="1" ht="12.75" hidden="1" x14ac:dyDescent="0.2">
      <c r="B806" s="61"/>
      <c r="C806" s="503" t="s">
        <v>139</v>
      </c>
      <c r="E806" s="458"/>
      <c r="F806" s="1707"/>
      <c r="G806" s="1708"/>
      <c r="H806" s="556" t="b">
        <v>0</v>
      </c>
      <c r="I806" s="68"/>
      <c r="J806" s="75"/>
    </row>
    <row r="807" spans="2:18" s="503" customFormat="1" ht="12.75" hidden="1" x14ac:dyDescent="0.2">
      <c r="B807" s="61"/>
      <c r="I807" s="75"/>
      <c r="J807" s="75"/>
    </row>
    <row r="808" spans="2:18" s="503" customFormat="1" ht="12.75" hidden="1" x14ac:dyDescent="0.2">
      <c r="B808" s="75"/>
      <c r="C808" s="503" t="s">
        <v>426</v>
      </c>
      <c r="E808" s="458"/>
      <c r="F808" s="1707" t="str">
        <f>IF(OR(F806="",L800=""),"",L800-F806)</f>
        <v/>
      </c>
      <c r="G808" s="1708"/>
      <c r="J808" s="75"/>
    </row>
    <row r="809" spans="2:18" s="503" customFormat="1" ht="12.75" hidden="1" x14ac:dyDescent="0.2">
      <c r="C809" s="68"/>
      <c r="I809" s="75"/>
      <c r="J809" s="75"/>
    </row>
    <row r="810" spans="2:18" s="69" customFormat="1" ht="34.5" customHeight="1" x14ac:dyDescent="0.25">
      <c r="B810" s="1766" t="s">
        <v>4921</v>
      </c>
      <c r="C810" s="1766"/>
      <c r="D810" s="1766"/>
      <c r="E810" s="1766"/>
      <c r="F810" s="1766"/>
      <c r="G810" s="1766"/>
      <c r="H810" s="1766"/>
      <c r="I810" s="253"/>
      <c r="J810" s="253"/>
      <c r="K810" s="253"/>
      <c r="L810" s="253"/>
      <c r="M810" s="253"/>
    </row>
    <row r="811" spans="2:18" s="503" customFormat="1" ht="24.95" customHeight="1" x14ac:dyDescent="0.2">
      <c r="B811" s="195" t="s">
        <v>4771</v>
      </c>
    </row>
    <row r="812" spans="2:18" s="503" customFormat="1" ht="14.45" customHeight="1" x14ac:dyDescent="0.2">
      <c r="B812" s="1444" t="s">
        <v>378</v>
      </c>
      <c r="C812" s="1445"/>
      <c r="D812" s="1445"/>
      <c r="E812" s="1445"/>
      <c r="F812" s="1446"/>
      <c r="G812" s="1716" t="s">
        <v>106</v>
      </c>
      <c r="H812" s="1717"/>
      <c r="I812" s="1722" t="s">
        <v>4790</v>
      </c>
      <c r="J812" s="1716" t="s">
        <v>140</v>
      </c>
      <c r="K812" s="1725"/>
      <c r="L812" s="1725"/>
      <c r="M812" s="1725"/>
      <c r="N812" s="1725"/>
      <c r="O812" s="1725"/>
      <c r="P812" s="1725"/>
      <c r="Q812" s="1717"/>
      <c r="R812" s="1727" t="s">
        <v>141</v>
      </c>
    </row>
    <row r="813" spans="2:18" s="503" customFormat="1" ht="12.75" customHeight="1" x14ac:dyDescent="0.2">
      <c r="B813" s="1716" t="s">
        <v>4791</v>
      </c>
      <c r="C813" s="1725"/>
      <c r="D813" s="1717"/>
      <c r="E813" s="1716" t="s">
        <v>105</v>
      </c>
      <c r="F813" s="1717"/>
      <c r="G813" s="1718"/>
      <c r="H813" s="1719"/>
      <c r="I813" s="1723"/>
      <c r="J813" s="1720"/>
      <c r="K813" s="1726"/>
      <c r="L813" s="1726"/>
      <c r="M813" s="1726"/>
      <c r="N813" s="1726"/>
      <c r="O813" s="1726"/>
      <c r="P813" s="1726"/>
      <c r="Q813" s="1721"/>
      <c r="R813" s="1727"/>
    </row>
    <row r="814" spans="2:18" s="503" customFormat="1" ht="30" customHeight="1" x14ac:dyDescent="0.2">
      <c r="B814" s="1718"/>
      <c r="C814" s="1728"/>
      <c r="D814" s="1719"/>
      <c r="E814" s="1718"/>
      <c r="F814" s="1719"/>
      <c r="G814" s="1718"/>
      <c r="H814" s="1719"/>
      <c r="I814" s="1723"/>
      <c r="J814" s="507" t="str">
        <f>IF(AND($F$516="MES",$F$517&gt;=1),"MES 01",IF(AND($F$516="BIMESTRE",$F$517&gt;=1),"BIMESTRE 01",IF(AND($F$516="TRIMESTRE",$F$517&gt;=1),"TRIMESTRE 01",IF(AND($F$516="SEMESTRE",$F$517&gt;=1),"SEMESTRE 01",IF(AND($F$516="AÑO",$F$517&gt;=1),"AÑO 01","")))))</f>
        <v/>
      </c>
      <c r="K814" s="507" t="str">
        <f>IF(AND($F$516="MES",$F$517&gt;=2),"MES 02",IF(AND($F$516="BIMESTRE",$F$517&gt;=2),"BIMESTRE 02",IF(AND($F$516="TRIMESTRE",$F$517&gt;=2),"TRIMESTRE 02",IF(AND($F$516="SEMESTRE",$F$517&gt;=2),"SEMESTRE 02",IF(AND($F$516="AÑO",$F$517&gt;=2),"AÑO 02","")))))</f>
        <v/>
      </c>
      <c r="L814" s="507" t="str">
        <f>IF(AND($F$516="MES",$F$517&gt;=3),"MES 03",IF(AND($F$516="BIMESTRE",$F$517&gt;=3),"BIMESTRE 03",IF(AND($F$516="TRIMESTRE",$F$517&gt;=3),"TRIMESTRE 03",IF(AND($F$516="SEMESTRE",$F$517&gt;=3),"SEMESTRE 03",IF(AND($F$516="AÑO",$F$517&gt;=3),"AÑO 03","")))))</f>
        <v/>
      </c>
      <c r="M814" s="507" t="str">
        <f>IF(AND($F$516="MES",$F$517&gt;=4),"MES 04",IF(AND($F$516="BIMESTRE",$F$517&gt;=4),"BIMESTRE 04",IF(AND($F$516="TRIMESTRE",$F$517&gt;=4),"TRIMESTRE 04",IF(AND($F$516="SEMESTRE",$F$517&gt;=4),"SEMESTRE 04",IF(AND($F$516="AÑO",$F$517&gt;=4),"","")))))</f>
        <v/>
      </c>
      <c r="N814" s="507" t="str">
        <f>IF(AND($F$516="MES",$F$517&gt;=5),"MES 05",IF(AND($F$516="BIMESTRE",$F$517&gt;=5),"BIMESTRE 05",IF(AND($F$516="TRIMESTRE",$F$517&gt;=5),"TRIMESTRE 05",IF(AND($F$516="SEMESTRE",$F$517&gt;=5),"SEMESTRE 05",IF(AND($F$516="AÑO",$F$517&gt;=5),"","")))))</f>
        <v/>
      </c>
      <c r="O814" s="507" t="str">
        <f>IF(AND($F$516="MES",$F$517&gt;=6),"MES 06",IF(AND($F$516="BIMESTRE",$F$517&gt;=6),"BIMESTRE 06",IF(AND($F$516="TRIMESTRE",$F$517&gt;=6),"TRIMESTRE 06",IF(AND($F$516="SEMESTRE",$F$517&gt;=6),"SEMESTRE 06",IF(AND($F$516="AÑO",$F$517&gt;=6),"","")))))</f>
        <v/>
      </c>
      <c r="P814" s="507" t="str">
        <f>IF(AND($F$516="MES",$F$517&gt;=7),"MES 07",IF(AND($F$516="BIMESTRE",$F$517&gt;=7),"BIMESTRE 07",IF(AND($F$516="TRIMESTRE",$F$517&gt;=7),"TRIMESTRE 07",IF(AND($F$516="SEMESTRE",$F$517&gt;=7),"SEMESTRE 07",IF(AND($F$516="AÑO",$F$517&gt;=7),"","")))))</f>
        <v/>
      </c>
      <c r="Q814" s="507" t="str">
        <f>IF(AND($F$516="MES",$F$517=8),"MES 08",IF(AND($F$516="BIMESTRE",$F$517=8),"BIMESTRE 08",IF(AND($F$516="TRIMESTRE",$F$517=8),"TRIMESTRE 08",IF(AND($F$516="SEMESTRE",$F$517=8),"SEMESTRE 08",IF(AND($F$516="AÑO",$F$517=8),"","")))))</f>
        <v/>
      </c>
      <c r="R814" s="1727"/>
    </row>
    <row r="815" spans="2:18" s="503" customFormat="1" ht="12.75" x14ac:dyDescent="0.2">
      <c r="B815" s="1720"/>
      <c r="C815" s="1726"/>
      <c r="D815" s="1721"/>
      <c r="E815" s="1720"/>
      <c r="F815" s="1721"/>
      <c r="G815" s="1720"/>
      <c r="H815" s="1721"/>
      <c r="I815" s="1724"/>
      <c r="J815" s="507" t="s">
        <v>142</v>
      </c>
      <c r="K815" s="507" t="s">
        <v>142</v>
      </c>
      <c r="L815" s="507" t="s">
        <v>142</v>
      </c>
      <c r="M815" s="507" t="s">
        <v>142</v>
      </c>
      <c r="N815" s="507" t="s">
        <v>142</v>
      </c>
      <c r="O815" s="507" t="s">
        <v>142</v>
      </c>
      <c r="P815" s="507" t="s">
        <v>142</v>
      </c>
      <c r="Q815" s="507" t="s">
        <v>142</v>
      </c>
      <c r="R815" s="1727"/>
    </row>
    <row r="816" spans="2:18" s="503" customFormat="1" ht="8.1" customHeight="1" x14ac:dyDescent="0.2">
      <c r="I816" s="56"/>
      <c r="J816" s="56"/>
      <c r="K816" s="56"/>
      <c r="L816" s="56"/>
      <c r="M816" s="56"/>
    </row>
    <row r="817" spans="2:18" s="503" customFormat="1" ht="15.95" customHeight="1" x14ac:dyDescent="0.2">
      <c r="B817" s="448" t="str">
        <f>IFERROR(IF(B20="","",B20),"")</f>
        <v>Factor de Producción:</v>
      </c>
      <c r="C817" s="449"/>
      <c r="D817" s="449" t="str">
        <f>IFERROR(IF(D20="","",D20),"")</f>
        <v>Infraestructura</v>
      </c>
      <c r="E817" s="449"/>
      <c r="F817" s="449"/>
      <c r="G817" s="449"/>
      <c r="H817" s="449"/>
      <c r="I817" s="449"/>
      <c r="J817" s="449"/>
      <c r="K817" s="449"/>
      <c r="L817" s="449"/>
      <c r="M817" s="449"/>
      <c r="N817" s="449"/>
      <c r="O817" s="449"/>
      <c r="P817" s="449"/>
      <c r="Q817" s="449"/>
      <c r="R817" s="459"/>
    </row>
    <row r="818" spans="2:18" s="503" customFormat="1" ht="60" customHeight="1" x14ac:dyDescent="0.2">
      <c r="B818" s="1565" t="str">
        <f>IFERROR(IF(B21="","",B21),"")</f>
        <v/>
      </c>
      <c r="C818" s="1566"/>
      <c r="D818" s="1567"/>
      <c r="E818" s="1250" t="str">
        <f>IFERROR(IF(E21="","",E21),"")</f>
        <v/>
      </c>
      <c r="F818" s="1252"/>
      <c r="G818" s="1711" t="str">
        <f>IFERROR(IF(G21="","",G21),"")</f>
        <v/>
      </c>
      <c r="H818" s="1712"/>
      <c r="I818" s="457" t="str">
        <f>IFERROR(IF(I21="","",I21),"")</f>
        <v/>
      </c>
      <c r="J818" s="414"/>
      <c r="K818" s="414"/>
      <c r="L818" s="414"/>
      <c r="M818" s="414"/>
      <c r="N818" s="414"/>
      <c r="O818" s="414"/>
      <c r="P818" s="414"/>
      <c r="Q818" s="414"/>
      <c r="R818" s="415" t="str">
        <f>IFERROR(IF(AND(J818="",K818="",L818="",M818="",N818="",O818="",P818="",Q818=""),"",SUM(J818:Q818)),"")</f>
        <v/>
      </c>
    </row>
    <row r="819" spans="2:18" s="503" customFormat="1" ht="60" hidden="1" customHeight="1" x14ac:dyDescent="0.2">
      <c r="B819" s="1565" t="str">
        <f t="shared" ref="B819:B826" si="191">IFERROR(IF(B22="","",B22),"")</f>
        <v/>
      </c>
      <c r="C819" s="1566"/>
      <c r="D819" s="1567"/>
      <c r="E819" s="1250" t="str">
        <f t="shared" ref="E819:E826" si="192">IFERROR(IF(E22="","",E22),"")</f>
        <v/>
      </c>
      <c r="F819" s="1252"/>
      <c r="G819" s="1711" t="str">
        <f t="shared" ref="G819:G826" si="193">IFERROR(IF(G22="","",G22),"")</f>
        <v/>
      </c>
      <c r="H819" s="1712"/>
      <c r="I819" s="457" t="str">
        <f t="shared" ref="I819:I826" si="194">IFERROR(IF(I22="","",I22),"")</f>
        <v/>
      </c>
      <c r="J819" s="414"/>
      <c r="K819" s="414"/>
      <c r="L819" s="414"/>
      <c r="M819" s="414"/>
      <c r="N819" s="414"/>
      <c r="O819" s="414"/>
      <c r="P819" s="414"/>
      <c r="Q819" s="414"/>
      <c r="R819" s="415" t="str">
        <f t="shared" ref="R819:R862" si="195">IFERROR(IF(AND(J819="",K819="",L819="",M819="",N819="",O819="",P819="",Q819=""),"",SUM(J819:Q819)),"")</f>
        <v/>
      </c>
    </row>
    <row r="820" spans="2:18" s="503" customFormat="1" ht="60" hidden="1" customHeight="1" x14ac:dyDescent="0.2">
      <c r="B820" s="1565" t="str">
        <f t="shared" si="191"/>
        <v/>
      </c>
      <c r="C820" s="1566"/>
      <c r="D820" s="1567"/>
      <c r="E820" s="1250" t="str">
        <f t="shared" si="192"/>
        <v/>
      </c>
      <c r="F820" s="1252"/>
      <c r="G820" s="1711" t="str">
        <f t="shared" si="193"/>
        <v/>
      </c>
      <c r="H820" s="1712"/>
      <c r="I820" s="457" t="str">
        <f t="shared" si="194"/>
        <v/>
      </c>
      <c r="J820" s="414"/>
      <c r="K820" s="414"/>
      <c r="L820" s="414"/>
      <c r="M820" s="414"/>
      <c r="N820" s="414"/>
      <c r="O820" s="414"/>
      <c r="P820" s="414"/>
      <c r="Q820" s="414"/>
      <c r="R820" s="415" t="str">
        <f t="shared" si="195"/>
        <v/>
      </c>
    </row>
    <row r="821" spans="2:18" s="503" customFormat="1" ht="60" hidden="1" customHeight="1" x14ac:dyDescent="0.2">
      <c r="B821" s="1565" t="str">
        <f t="shared" si="191"/>
        <v/>
      </c>
      <c r="C821" s="1566"/>
      <c r="D821" s="1567"/>
      <c r="E821" s="1250" t="str">
        <f t="shared" si="192"/>
        <v/>
      </c>
      <c r="F821" s="1252"/>
      <c r="G821" s="1711" t="str">
        <f t="shared" si="193"/>
        <v/>
      </c>
      <c r="H821" s="1712"/>
      <c r="I821" s="457" t="str">
        <f t="shared" si="194"/>
        <v/>
      </c>
      <c r="J821" s="414"/>
      <c r="K821" s="414"/>
      <c r="L821" s="414"/>
      <c r="M821" s="414"/>
      <c r="N821" s="414"/>
      <c r="O821" s="414"/>
      <c r="P821" s="414"/>
      <c r="Q821" s="414"/>
      <c r="R821" s="415" t="str">
        <f t="shared" si="195"/>
        <v/>
      </c>
    </row>
    <row r="822" spans="2:18" s="503" customFormat="1" ht="60" hidden="1" customHeight="1" x14ac:dyDescent="0.2">
      <c r="B822" s="1565" t="str">
        <f t="shared" si="191"/>
        <v/>
      </c>
      <c r="C822" s="1566"/>
      <c r="D822" s="1567"/>
      <c r="E822" s="1250" t="str">
        <f t="shared" si="192"/>
        <v/>
      </c>
      <c r="F822" s="1252"/>
      <c r="G822" s="1711" t="str">
        <f t="shared" si="193"/>
        <v/>
      </c>
      <c r="H822" s="1712"/>
      <c r="I822" s="457" t="str">
        <f t="shared" si="194"/>
        <v/>
      </c>
      <c r="J822" s="414"/>
      <c r="K822" s="414"/>
      <c r="L822" s="414"/>
      <c r="M822" s="414"/>
      <c r="N822" s="414"/>
      <c r="O822" s="414"/>
      <c r="P822" s="414"/>
      <c r="Q822" s="414"/>
      <c r="R822" s="415" t="str">
        <f t="shared" si="195"/>
        <v/>
      </c>
    </row>
    <row r="823" spans="2:18" s="503" customFormat="1" ht="60" hidden="1" customHeight="1" x14ac:dyDescent="0.2">
      <c r="B823" s="1565" t="str">
        <f t="shared" si="191"/>
        <v/>
      </c>
      <c r="C823" s="1566"/>
      <c r="D823" s="1567"/>
      <c r="E823" s="1250" t="str">
        <f t="shared" si="192"/>
        <v/>
      </c>
      <c r="F823" s="1252"/>
      <c r="G823" s="1711" t="str">
        <f t="shared" si="193"/>
        <v/>
      </c>
      <c r="H823" s="1712"/>
      <c r="I823" s="457" t="str">
        <f t="shared" si="194"/>
        <v/>
      </c>
      <c r="J823" s="414"/>
      <c r="K823" s="414"/>
      <c r="L823" s="414"/>
      <c r="M823" s="414"/>
      <c r="N823" s="414"/>
      <c r="O823" s="414"/>
      <c r="P823" s="414"/>
      <c r="Q823" s="414"/>
      <c r="R823" s="415" t="str">
        <f t="shared" si="195"/>
        <v/>
      </c>
    </row>
    <row r="824" spans="2:18" s="503" customFormat="1" ht="60" hidden="1" customHeight="1" x14ac:dyDescent="0.2">
      <c r="B824" s="1565" t="str">
        <f t="shared" si="191"/>
        <v/>
      </c>
      <c r="C824" s="1566"/>
      <c r="D824" s="1567"/>
      <c r="E824" s="1250" t="str">
        <f t="shared" si="192"/>
        <v/>
      </c>
      <c r="F824" s="1252"/>
      <c r="G824" s="1711" t="str">
        <f t="shared" si="193"/>
        <v/>
      </c>
      <c r="H824" s="1712"/>
      <c r="I824" s="457" t="str">
        <f t="shared" si="194"/>
        <v/>
      </c>
      <c r="J824" s="414"/>
      <c r="K824" s="414"/>
      <c r="L824" s="414"/>
      <c r="M824" s="414"/>
      <c r="N824" s="414"/>
      <c r="O824" s="414"/>
      <c r="P824" s="414"/>
      <c r="Q824" s="414"/>
      <c r="R824" s="415" t="str">
        <f t="shared" si="195"/>
        <v/>
      </c>
    </row>
    <row r="825" spans="2:18" s="503" customFormat="1" ht="60" hidden="1" customHeight="1" x14ac:dyDescent="0.2">
      <c r="B825" s="1565" t="str">
        <f t="shared" si="191"/>
        <v/>
      </c>
      <c r="C825" s="1566"/>
      <c r="D825" s="1567"/>
      <c r="E825" s="1250" t="str">
        <f t="shared" si="192"/>
        <v/>
      </c>
      <c r="F825" s="1252"/>
      <c r="G825" s="1711" t="str">
        <f t="shared" si="193"/>
        <v/>
      </c>
      <c r="H825" s="1712"/>
      <c r="I825" s="457" t="str">
        <f t="shared" si="194"/>
        <v/>
      </c>
      <c r="J825" s="414"/>
      <c r="K825" s="414"/>
      <c r="L825" s="414"/>
      <c r="M825" s="414"/>
      <c r="N825" s="414"/>
      <c r="O825" s="414"/>
      <c r="P825" s="414"/>
      <c r="Q825" s="414"/>
      <c r="R825" s="415" t="str">
        <f t="shared" si="195"/>
        <v/>
      </c>
    </row>
    <row r="826" spans="2:18" s="503" customFormat="1" ht="60" hidden="1" customHeight="1" x14ac:dyDescent="0.2">
      <c r="B826" s="1565" t="str">
        <f t="shared" si="191"/>
        <v/>
      </c>
      <c r="C826" s="1566"/>
      <c r="D826" s="1567"/>
      <c r="E826" s="1250" t="str">
        <f t="shared" si="192"/>
        <v/>
      </c>
      <c r="F826" s="1252"/>
      <c r="G826" s="1711" t="str">
        <f t="shared" si="193"/>
        <v/>
      </c>
      <c r="H826" s="1712"/>
      <c r="I826" s="457" t="str">
        <f t="shared" si="194"/>
        <v/>
      </c>
      <c r="J826" s="414"/>
      <c r="K826" s="414"/>
      <c r="L826" s="414"/>
      <c r="M826" s="414"/>
      <c r="N826" s="414"/>
      <c r="O826" s="414"/>
      <c r="P826" s="414"/>
      <c r="Q826" s="414"/>
      <c r="R826" s="415" t="str">
        <f t="shared" si="195"/>
        <v/>
      </c>
    </row>
    <row r="827" spans="2:18" s="503" customFormat="1" ht="15.95" customHeight="1" x14ac:dyDescent="0.2">
      <c r="B827" s="1713" t="str">
        <f t="shared" ref="B827:B833" si="196">IFERROR(IF(B30="","",B30),"")</f>
        <v>Medidas de Reducción del riesgo de desastres y mitigación ambiental</v>
      </c>
      <c r="C827" s="1714"/>
      <c r="D827" s="1714"/>
      <c r="E827" s="1714"/>
      <c r="F827" s="1714"/>
      <c r="G827" s="1714"/>
      <c r="H827" s="1714"/>
      <c r="I827" s="1714"/>
      <c r="J827" s="1714"/>
      <c r="K827" s="1714"/>
      <c r="L827" s="1714"/>
      <c r="M827" s="1714"/>
      <c r="N827" s="1714"/>
      <c r="O827" s="1714"/>
      <c r="P827" s="1714"/>
      <c r="Q827" s="1714"/>
      <c r="R827" s="1715"/>
    </row>
    <row r="828" spans="2:18" s="503" customFormat="1" ht="60" hidden="1" customHeight="1" x14ac:dyDescent="0.2">
      <c r="B828" s="1565" t="str">
        <f t="shared" si="196"/>
        <v/>
      </c>
      <c r="C828" s="1566"/>
      <c r="D828" s="1567"/>
      <c r="E828" s="1250" t="str">
        <f t="shared" ref="E828:E833" si="197">IFERROR(IF(E31="","",E31),"")</f>
        <v/>
      </c>
      <c r="F828" s="1252"/>
      <c r="G828" s="1711" t="str">
        <f t="shared" ref="G828:G833" si="198">IFERROR(IF(G31="","",G31),"")</f>
        <v/>
      </c>
      <c r="H828" s="1712"/>
      <c r="I828" s="457" t="str">
        <f t="shared" ref="I828:I833" si="199">IFERROR(IF(I31="","",I31),"")</f>
        <v/>
      </c>
      <c r="J828" s="414"/>
      <c r="K828" s="414"/>
      <c r="L828" s="414"/>
      <c r="M828" s="414"/>
      <c r="N828" s="414"/>
      <c r="O828" s="414"/>
      <c r="P828" s="414"/>
      <c r="Q828" s="414"/>
      <c r="R828" s="415" t="str">
        <f t="shared" si="195"/>
        <v/>
      </c>
    </row>
    <row r="829" spans="2:18" s="503" customFormat="1" ht="60" hidden="1" customHeight="1" x14ac:dyDescent="0.2">
      <c r="B829" s="1565" t="str">
        <f t="shared" si="196"/>
        <v/>
      </c>
      <c r="C829" s="1566"/>
      <c r="D829" s="1567"/>
      <c r="E829" s="1250" t="str">
        <f t="shared" si="197"/>
        <v/>
      </c>
      <c r="F829" s="1252"/>
      <c r="G829" s="1711" t="str">
        <f t="shared" si="198"/>
        <v/>
      </c>
      <c r="H829" s="1712"/>
      <c r="I829" s="457" t="str">
        <f t="shared" si="199"/>
        <v/>
      </c>
      <c r="J829" s="414"/>
      <c r="K829" s="414"/>
      <c r="L829" s="414"/>
      <c r="M829" s="414"/>
      <c r="N829" s="414"/>
      <c r="O829" s="414"/>
      <c r="P829" s="414"/>
      <c r="Q829" s="414"/>
      <c r="R829" s="415" t="str">
        <f t="shared" si="195"/>
        <v/>
      </c>
    </row>
    <row r="830" spans="2:18" s="503" customFormat="1" ht="60" hidden="1" customHeight="1" x14ac:dyDescent="0.2">
      <c r="B830" s="1565" t="str">
        <f t="shared" si="196"/>
        <v/>
      </c>
      <c r="C830" s="1566"/>
      <c r="D830" s="1567"/>
      <c r="E830" s="1250" t="str">
        <f t="shared" si="197"/>
        <v/>
      </c>
      <c r="F830" s="1252"/>
      <c r="G830" s="1711" t="str">
        <f t="shared" si="198"/>
        <v/>
      </c>
      <c r="H830" s="1712"/>
      <c r="I830" s="457" t="str">
        <f t="shared" si="199"/>
        <v/>
      </c>
      <c r="J830" s="414"/>
      <c r="K830" s="414"/>
      <c r="L830" s="414"/>
      <c r="M830" s="414"/>
      <c r="N830" s="414"/>
      <c r="O830" s="414"/>
      <c r="P830" s="414"/>
      <c r="Q830" s="414"/>
      <c r="R830" s="415" t="str">
        <f t="shared" si="195"/>
        <v/>
      </c>
    </row>
    <row r="831" spans="2:18" s="503" customFormat="1" ht="60" hidden="1" customHeight="1" x14ac:dyDescent="0.2">
      <c r="B831" s="1565" t="str">
        <f t="shared" si="196"/>
        <v/>
      </c>
      <c r="C831" s="1566"/>
      <c r="D831" s="1567"/>
      <c r="E831" s="1250" t="str">
        <f t="shared" si="197"/>
        <v/>
      </c>
      <c r="F831" s="1252"/>
      <c r="G831" s="1711" t="str">
        <f t="shared" si="198"/>
        <v/>
      </c>
      <c r="H831" s="1712"/>
      <c r="I831" s="457" t="str">
        <f t="shared" si="199"/>
        <v/>
      </c>
      <c r="J831" s="414"/>
      <c r="K831" s="414"/>
      <c r="L831" s="414"/>
      <c r="M831" s="414"/>
      <c r="N831" s="414"/>
      <c r="O831" s="414"/>
      <c r="P831" s="414"/>
      <c r="Q831" s="414"/>
      <c r="R831" s="415" t="str">
        <f t="shared" si="195"/>
        <v/>
      </c>
    </row>
    <row r="832" spans="2:18" s="503" customFormat="1" ht="60" hidden="1" customHeight="1" x14ac:dyDescent="0.2">
      <c r="B832" s="1565" t="str">
        <f t="shared" si="196"/>
        <v/>
      </c>
      <c r="C832" s="1566"/>
      <c r="D832" s="1567"/>
      <c r="E832" s="1250" t="str">
        <f t="shared" si="197"/>
        <v/>
      </c>
      <c r="F832" s="1252"/>
      <c r="G832" s="1711" t="str">
        <f t="shared" si="198"/>
        <v/>
      </c>
      <c r="H832" s="1712"/>
      <c r="I832" s="457" t="str">
        <f t="shared" si="199"/>
        <v/>
      </c>
      <c r="J832" s="414"/>
      <c r="K832" s="414"/>
      <c r="L832" s="414"/>
      <c r="M832" s="414"/>
      <c r="N832" s="414"/>
      <c r="O832" s="414"/>
      <c r="P832" s="414"/>
      <c r="Q832" s="414"/>
      <c r="R832" s="415" t="str">
        <f t="shared" si="195"/>
        <v/>
      </c>
    </row>
    <row r="833" spans="2:18" s="503" customFormat="1" ht="60" hidden="1" customHeight="1" x14ac:dyDescent="0.2">
      <c r="B833" s="1565" t="str">
        <f t="shared" si="196"/>
        <v/>
      </c>
      <c r="C833" s="1566"/>
      <c r="D833" s="1567"/>
      <c r="E833" s="1250" t="str">
        <f t="shared" si="197"/>
        <v/>
      </c>
      <c r="F833" s="1252"/>
      <c r="G833" s="1711" t="str">
        <f t="shared" si="198"/>
        <v/>
      </c>
      <c r="H833" s="1712"/>
      <c r="I833" s="457" t="str">
        <f t="shared" si="199"/>
        <v/>
      </c>
      <c r="J833" s="414"/>
      <c r="K833" s="414"/>
      <c r="L833" s="414"/>
      <c r="M833" s="414"/>
      <c r="N833" s="414"/>
      <c r="O833" s="414"/>
      <c r="P833" s="414"/>
      <c r="Q833" s="414"/>
      <c r="R833" s="415" t="str">
        <f t="shared" si="195"/>
        <v/>
      </c>
    </row>
    <row r="834" spans="2:18" s="503" customFormat="1" ht="15.95" customHeight="1" x14ac:dyDescent="0.2">
      <c r="B834" s="448" t="str">
        <f>IFERROR(IF(B53="","",B53),"")</f>
        <v>Factor de Producción:</v>
      </c>
      <c r="C834" s="463"/>
      <c r="D834" s="449" t="str">
        <f>IFERROR(IF(D53="","",D53),"")</f>
        <v>Intangibles</v>
      </c>
      <c r="E834" s="463" t="str">
        <f>IFERROR(IF(E537="","",E537),"")</f>
        <v/>
      </c>
      <c r="F834" s="463"/>
      <c r="G834" s="464" t="str">
        <f>IFERROR(IF(G537="","",G537),"")</f>
        <v/>
      </c>
      <c r="H834" s="464"/>
      <c r="I834" s="461" t="str">
        <f>IFERROR(IF(I70="","",I70),"")</f>
        <v/>
      </c>
      <c r="J834" s="527"/>
      <c r="K834" s="527"/>
      <c r="L834" s="527"/>
      <c r="M834" s="527"/>
      <c r="N834" s="527"/>
      <c r="O834" s="527"/>
      <c r="P834" s="527"/>
      <c r="Q834" s="527"/>
      <c r="R834" s="462" t="str">
        <f t="shared" si="195"/>
        <v/>
      </c>
    </row>
    <row r="835" spans="2:18" s="503" customFormat="1" ht="60" customHeight="1" x14ac:dyDescent="0.2">
      <c r="B835" s="1565" t="str">
        <f>IFERROR(IF(B54="","",B54),"")</f>
        <v/>
      </c>
      <c r="C835" s="1566"/>
      <c r="D835" s="1567"/>
      <c r="E835" s="1250" t="str">
        <f>IFERROR(IF(E54="","",E54),"")</f>
        <v/>
      </c>
      <c r="F835" s="1252"/>
      <c r="G835" s="1711" t="str">
        <f>IFERROR(IF(G54="","",G54),"")</f>
        <v/>
      </c>
      <c r="H835" s="1712"/>
      <c r="I835" s="457" t="str">
        <f>IFERROR(IF(I54="","",I54),"")</f>
        <v/>
      </c>
      <c r="J835" s="414"/>
      <c r="K835" s="414"/>
      <c r="L835" s="414"/>
      <c r="M835" s="414"/>
      <c r="N835" s="414"/>
      <c r="O835" s="414"/>
      <c r="P835" s="414"/>
      <c r="Q835" s="414"/>
      <c r="R835" s="415" t="str">
        <f t="shared" si="195"/>
        <v/>
      </c>
    </row>
    <row r="836" spans="2:18" s="503" customFormat="1" ht="60" hidden="1" customHeight="1" x14ac:dyDescent="0.2">
      <c r="B836" s="1565" t="str">
        <f t="shared" ref="B836:B862" si="200">IFERROR(IF(B55="","",B55),"")</f>
        <v/>
      </c>
      <c r="C836" s="1566"/>
      <c r="D836" s="1567"/>
      <c r="E836" s="1250" t="str">
        <f t="shared" ref="E836:E862" si="201">IFERROR(IF(E55="","",E55),"")</f>
        <v/>
      </c>
      <c r="F836" s="1252"/>
      <c r="G836" s="1711" t="str">
        <f t="shared" ref="G836:G862" si="202">IFERROR(IF(G55="","",G55),"")</f>
        <v/>
      </c>
      <c r="H836" s="1712"/>
      <c r="I836" s="457" t="str">
        <f t="shared" ref="I836:I862" si="203">IFERROR(IF(I55="","",I55),"")</f>
        <v/>
      </c>
      <c r="J836" s="414"/>
      <c r="K836" s="414"/>
      <c r="L836" s="414"/>
      <c r="M836" s="414"/>
      <c r="N836" s="414"/>
      <c r="O836" s="414"/>
      <c r="P836" s="414"/>
      <c r="Q836" s="414"/>
      <c r="R836" s="415" t="str">
        <f t="shared" si="195"/>
        <v/>
      </c>
    </row>
    <row r="837" spans="2:18" s="503" customFormat="1" ht="60" hidden="1" customHeight="1" x14ac:dyDescent="0.2">
      <c r="B837" s="1565" t="str">
        <f t="shared" si="200"/>
        <v/>
      </c>
      <c r="C837" s="1566"/>
      <c r="D837" s="1567"/>
      <c r="E837" s="1250" t="str">
        <f t="shared" si="201"/>
        <v/>
      </c>
      <c r="F837" s="1252"/>
      <c r="G837" s="1711" t="str">
        <f t="shared" si="202"/>
        <v/>
      </c>
      <c r="H837" s="1712"/>
      <c r="I837" s="457" t="str">
        <f t="shared" si="203"/>
        <v/>
      </c>
      <c r="J837" s="414"/>
      <c r="K837" s="414"/>
      <c r="L837" s="414"/>
      <c r="M837" s="414"/>
      <c r="N837" s="414"/>
      <c r="O837" s="414"/>
      <c r="P837" s="414"/>
      <c r="Q837" s="414"/>
      <c r="R837" s="415" t="str">
        <f t="shared" si="195"/>
        <v/>
      </c>
    </row>
    <row r="838" spans="2:18" s="503" customFormat="1" ht="60" hidden="1" customHeight="1" x14ac:dyDescent="0.2">
      <c r="B838" s="1565" t="str">
        <f t="shared" si="200"/>
        <v/>
      </c>
      <c r="C838" s="1566"/>
      <c r="D838" s="1567"/>
      <c r="E838" s="1250" t="str">
        <f t="shared" si="201"/>
        <v/>
      </c>
      <c r="F838" s="1252"/>
      <c r="G838" s="1711" t="str">
        <f t="shared" si="202"/>
        <v/>
      </c>
      <c r="H838" s="1712"/>
      <c r="I838" s="457" t="str">
        <f t="shared" si="203"/>
        <v/>
      </c>
      <c r="J838" s="414"/>
      <c r="K838" s="414"/>
      <c r="L838" s="414"/>
      <c r="M838" s="414"/>
      <c r="N838" s="414"/>
      <c r="O838" s="414"/>
      <c r="P838" s="414"/>
      <c r="Q838" s="414"/>
      <c r="R838" s="415" t="str">
        <f t="shared" si="195"/>
        <v/>
      </c>
    </row>
    <row r="839" spans="2:18" s="503" customFormat="1" ht="60" hidden="1" customHeight="1" x14ac:dyDescent="0.2">
      <c r="B839" s="1565" t="str">
        <f t="shared" si="200"/>
        <v/>
      </c>
      <c r="C839" s="1566"/>
      <c r="D839" s="1567"/>
      <c r="E839" s="1250" t="str">
        <f t="shared" si="201"/>
        <v/>
      </c>
      <c r="F839" s="1252"/>
      <c r="G839" s="1711" t="str">
        <f t="shared" si="202"/>
        <v/>
      </c>
      <c r="H839" s="1712"/>
      <c r="I839" s="457" t="str">
        <f t="shared" si="203"/>
        <v/>
      </c>
      <c r="J839" s="414"/>
      <c r="K839" s="414"/>
      <c r="L839" s="414"/>
      <c r="M839" s="414"/>
      <c r="N839" s="414"/>
      <c r="O839" s="414"/>
      <c r="P839" s="414"/>
      <c r="Q839" s="414"/>
      <c r="R839" s="415" t="str">
        <f t="shared" si="195"/>
        <v/>
      </c>
    </row>
    <row r="840" spans="2:18" s="503" customFormat="1" ht="60" hidden="1" customHeight="1" x14ac:dyDescent="0.2">
      <c r="B840" s="1565" t="str">
        <f t="shared" si="200"/>
        <v/>
      </c>
      <c r="C840" s="1566"/>
      <c r="D840" s="1567"/>
      <c r="E840" s="1250" t="str">
        <f t="shared" si="201"/>
        <v/>
      </c>
      <c r="F840" s="1252"/>
      <c r="G840" s="1711" t="str">
        <f t="shared" si="202"/>
        <v/>
      </c>
      <c r="H840" s="1712"/>
      <c r="I840" s="457" t="str">
        <f t="shared" si="203"/>
        <v/>
      </c>
      <c r="J840" s="414"/>
      <c r="K840" s="414"/>
      <c r="L840" s="414"/>
      <c r="M840" s="414"/>
      <c r="N840" s="414"/>
      <c r="O840" s="414"/>
      <c r="P840" s="414"/>
      <c r="Q840" s="414"/>
      <c r="R840" s="415" t="str">
        <f t="shared" si="195"/>
        <v/>
      </c>
    </row>
    <row r="841" spans="2:18" s="503" customFormat="1" ht="60" hidden="1" customHeight="1" x14ac:dyDescent="0.2">
      <c r="B841" s="1565" t="str">
        <f t="shared" si="200"/>
        <v/>
      </c>
      <c r="C841" s="1566"/>
      <c r="D841" s="1567"/>
      <c r="E841" s="1250" t="str">
        <f t="shared" si="201"/>
        <v/>
      </c>
      <c r="F841" s="1252"/>
      <c r="G841" s="1711" t="str">
        <f t="shared" si="202"/>
        <v/>
      </c>
      <c r="H841" s="1712"/>
      <c r="I841" s="457" t="str">
        <f t="shared" si="203"/>
        <v/>
      </c>
      <c r="J841" s="414"/>
      <c r="K841" s="414"/>
      <c r="L841" s="414"/>
      <c r="M841" s="414"/>
      <c r="N841" s="414"/>
      <c r="O841" s="414"/>
      <c r="P841" s="414"/>
      <c r="Q841" s="414"/>
      <c r="R841" s="415" t="str">
        <f t="shared" si="195"/>
        <v/>
      </c>
    </row>
    <row r="842" spans="2:18" s="503" customFormat="1" ht="60" hidden="1" customHeight="1" x14ac:dyDescent="0.2">
      <c r="B842" s="1565" t="str">
        <f t="shared" si="200"/>
        <v/>
      </c>
      <c r="C842" s="1566"/>
      <c r="D842" s="1567"/>
      <c r="E842" s="1250" t="str">
        <f t="shared" si="201"/>
        <v/>
      </c>
      <c r="F842" s="1252"/>
      <c r="G842" s="1711" t="str">
        <f t="shared" si="202"/>
        <v/>
      </c>
      <c r="H842" s="1712"/>
      <c r="I842" s="457" t="str">
        <f t="shared" si="203"/>
        <v/>
      </c>
      <c r="J842" s="414"/>
      <c r="K842" s="414"/>
      <c r="L842" s="414"/>
      <c r="M842" s="414"/>
      <c r="N842" s="414"/>
      <c r="O842" s="414"/>
      <c r="P842" s="414"/>
      <c r="Q842" s="414"/>
      <c r="R842" s="415" t="str">
        <f t="shared" si="195"/>
        <v/>
      </c>
    </row>
    <row r="843" spans="2:18" s="503" customFormat="1" ht="60" hidden="1" customHeight="1" x14ac:dyDescent="0.2">
      <c r="B843" s="1565" t="str">
        <f t="shared" si="200"/>
        <v/>
      </c>
      <c r="C843" s="1566"/>
      <c r="D843" s="1567"/>
      <c r="E843" s="1250" t="str">
        <f t="shared" si="201"/>
        <v/>
      </c>
      <c r="F843" s="1252"/>
      <c r="G843" s="1711" t="str">
        <f t="shared" si="202"/>
        <v/>
      </c>
      <c r="H843" s="1712"/>
      <c r="I843" s="457" t="str">
        <f t="shared" si="203"/>
        <v/>
      </c>
      <c r="J843" s="414"/>
      <c r="K843" s="414"/>
      <c r="L843" s="414"/>
      <c r="M843" s="414"/>
      <c r="N843" s="414"/>
      <c r="O843" s="414"/>
      <c r="P843" s="414"/>
      <c r="Q843" s="414"/>
      <c r="R843" s="415" t="str">
        <f t="shared" si="195"/>
        <v/>
      </c>
    </row>
    <row r="844" spans="2:18" s="503" customFormat="1" ht="60" hidden="1" customHeight="1" x14ac:dyDescent="0.2">
      <c r="B844" s="1565" t="str">
        <f t="shared" si="200"/>
        <v/>
      </c>
      <c r="C844" s="1566"/>
      <c r="D844" s="1567"/>
      <c r="E844" s="1250" t="str">
        <f t="shared" si="201"/>
        <v/>
      </c>
      <c r="F844" s="1252"/>
      <c r="G844" s="1711" t="str">
        <f t="shared" si="202"/>
        <v/>
      </c>
      <c r="H844" s="1712"/>
      <c r="I844" s="457" t="str">
        <f t="shared" si="203"/>
        <v/>
      </c>
      <c r="J844" s="414"/>
      <c r="K844" s="414"/>
      <c r="L844" s="414"/>
      <c r="M844" s="414"/>
      <c r="N844" s="414"/>
      <c r="O844" s="414"/>
      <c r="P844" s="414"/>
      <c r="Q844" s="414"/>
      <c r="R844" s="415" t="str">
        <f t="shared" si="195"/>
        <v/>
      </c>
    </row>
    <row r="845" spans="2:18" s="503" customFormat="1" ht="60" hidden="1" customHeight="1" x14ac:dyDescent="0.2">
      <c r="B845" s="1565" t="str">
        <f t="shared" si="200"/>
        <v/>
      </c>
      <c r="C845" s="1566"/>
      <c r="D845" s="1567"/>
      <c r="E845" s="1250" t="str">
        <f t="shared" si="201"/>
        <v/>
      </c>
      <c r="F845" s="1252"/>
      <c r="G845" s="1711" t="str">
        <f t="shared" si="202"/>
        <v/>
      </c>
      <c r="H845" s="1712"/>
      <c r="I845" s="457" t="str">
        <f t="shared" si="203"/>
        <v/>
      </c>
      <c r="J845" s="414"/>
      <c r="K845" s="414"/>
      <c r="L845" s="414"/>
      <c r="M845" s="414"/>
      <c r="N845" s="414"/>
      <c r="O845" s="414"/>
      <c r="P845" s="414"/>
      <c r="Q845" s="414"/>
      <c r="R845" s="415" t="str">
        <f t="shared" si="195"/>
        <v/>
      </c>
    </row>
    <row r="846" spans="2:18" s="503" customFormat="1" ht="60" hidden="1" customHeight="1" x14ac:dyDescent="0.2">
      <c r="B846" s="1565" t="str">
        <f t="shared" si="200"/>
        <v/>
      </c>
      <c r="C846" s="1566"/>
      <c r="D846" s="1567"/>
      <c r="E846" s="1250" t="str">
        <f t="shared" si="201"/>
        <v/>
      </c>
      <c r="F846" s="1252"/>
      <c r="G846" s="1711" t="str">
        <f t="shared" si="202"/>
        <v/>
      </c>
      <c r="H846" s="1712"/>
      <c r="I846" s="457" t="str">
        <f t="shared" si="203"/>
        <v/>
      </c>
      <c r="J846" s="414"/>
      <c r="K846" s="414"/>
      <c r="L846" s="414"/>
      <c r="M846" s="414"/>
      <c r="N846" s="414"/>
      <c r="O846" s="414"/>
      <c r="P846" s="414"/>
      <c r="Q846" s="414"/>
      <c r="R846" s="415" t="str">
        <f t="shared" si="195"/>
        <v/>
      </c>
    </row>
    <row r="847" spans="2:18" s="503" customFormat="1" ht="60" hidden="1" customHeight="1" x14ac:dyDescent="0.2">
      <c r="B847" s="1565" t="str">
        <f t="shared" si="200"/>
        <v/>
      </c>
      <c r="C847" s="1566"/>
      <c r="D847" s="1567"/>
      <c r="E847" s="1250" t="str">
        <f t="shared" si="201"/>
        <v/>
      </c>
      <c r="F847" s="1252"/>
      <c r="G847" s="1711" t="str">
        <f t="shared" si="202"/>
        <v/>
      </c>
      <c r="H847" s="1712"/>
      <c r="I847" s="457" t="str">
        <f t="shared" si="203"/>
        <v/>
      </c>
      <c r="J847" s="414"/>
      <c r="K847" s="414"/>
      <c r="L847" s="414"/>
      <c r="M847" s="414"/>
      <c r="N847" s="414"/>
      <c r="O847" s="414"/>
      <c r="P847" s="414"/>
      <c r="Q847" s="414"/>
      <c r="R847" s="415" t="str">
        <f t="shared" si="195"/>
        <v/>
      </c>
    </row>
    <row r="848" spans="2:18" s="503" customFormat="1" ht="60" hidden="1" customHeight="1" x14ac:dyDescent="0.2">
      <c r="B848" s="1565" t="str">
        <f t="shared" si="200"/>
        <v/>
      </c>
      <c r="C848" s="1566"/>
      <c r="D848" s="1567"/>
      <c r="E848" s="1250" t="str">
        <f t="shared" si="201"/>
        <v/>
      </c>
      <c r="F848" s="1252"/>
      <c r="G848" s="1711" t="str">
        <f t="shared" si="202"/>
        <v/>
      </c>
      <c r="H848" s="1712"/>
      <c r="I848" s="457" t="str">
        <f t="shared" si="203"/>
        <v/>
      </c>
      <c r="J848" s="414"/>
      <c r="K848" s="414"/>
      <c r="L848" s="414"/>
      <c r="M848" s="414"/>
      <c r="N848" s="414"/>
      <c r="O848" s="414"/>
      <c r="P848" s="414"/>
      <c r="Q848" s="414"/>
      <c r="R848" s="415" t="str">
        <f t="shared" si="195"/>
        <v/>
      </c>
    </row>
    <row r="849" spans="2:18" s="503" customFormat="1" ht="60" hidden="1" customHeight="1" x14ac:dyDescent="0.2">
      <c r="B849" s="1565" t="str">
        <f t="shared" si="200"/>
        <v/>
      </c>
      <c r="C849" s="1566"/>
      <c r="D849" s="1567"/>
      <c r="E849" s="1250" t="str">
        <f t="shared" si="201"/>
        <v/>
      </c>
      <c r="F849" s="1252"/>
      <c r="G849" s="1711" t="str">
        <f t="shared" si="202"/>
        <v/>
      </c>
      <c r="H849" s="1712"/>
      <c r="I849" s="457" t="str">
        <f t="shared" si="203"/>
        <v/>
      </c>
      <c r="J849" s="414"/>
      <c r="K849" s="414"/>
      <c r="L849" s="414"/>
      <c r="M849" s="414"/>
      <c r="N849" s="414"/>
      <c r="O849" s="414"/>
      <c r="P849" s="414"/>
      <c r="Q849" s="414"/>
      <c r="R849" s="415" t="str">
        <f t="shared" si="195"/>
        <v/>
      </c>
    </row>
    <row r="850" spans="2:18" s="503" customFormat="1" ht="60" hidden="1" customHeight="1" x14ac:dyDescent="0.2">
      <c r="B850" s="1565" t="str">
        <f t="shared" si="200"/>
        <v/>
      </c>
      <c r="C850" s="1566"/>
      <c r="D850" s="1567"/>
      <c r="E850" s="1250" t="str">
        <f t="shared" si="201"/>
        <v/>
      </c>
      <c r="F850" s="1252"/>
      <c r="G850" s="1711" t="str">
        <f t="shared" si="202"/>
        <v/>
      </c>
      <c r="H850" s="1712"/>
      <c r="I850" s="457" t="str">
        <f t="shared" si="203"/>
        <v/>
      </c>
      <c r="J850" s="414"/>
      <c r="K850" s="414"/>
      <c r="L850" s="414"/>
      <c r="M850" s="414"/>
      <c r="N850" s="414"/>
      <c r="O850" s="414"/>
      <c r="P850" s="414"/>
      <c r="Q850" s="414"/>
      <c r="R850" s="415" t="str">
        <f t="shared" si="195"/>
        <v/>
      </c>
    </row>
    <row r="851" spans="2:18" s="503" customFormat="1" ht="60" hidden="1" customHeight="1" x14ac:dyDescent="0.2">
      <c r="B851" s="1565" t="str">
        <f t="shared" si="200"/>
        <v/>
      </c>
      <c r="C851" s="1566"/>
      <c r="D851" s="1567"/>
      <c r="E851" s="1250" t="str">
        <f t="shared" si="201"/>
        <v/>
      </c>
      <c r="F851" s="1252"/>
      <c r="G851" s="1711" t="str">
        <f t="shared" si="202"/>
        <v/>
      </c>
      <c r="H851" s="1712"/>
      <c r="I851" s="457" t="str">
        <f t="shared" si="203"/>
        <v/>
      </c>
      <c r="J851" s="414"/>
      <c r="K851" s="414"/>
      <c r="L851" s="414"/>
      <c r="M851" s="414"/>
      <c r="N851" s="414"/>
      <c r="O851" s="414"/>
      <c r="P851" s="414"/>
      <c r="Q851" s="414"/>
      <c r="R851" s="415" t="str">
        <f t="shared" si="195"/>
        <v/>
      </c>
    </row>
    <row r="852" spans="2:18" s="503" customFormat="1" ht="60" hidden="1" customHeight="1" x14ac:dyDescent="0.2">
      <c r="B852" s="1565" t="str">
        <f t="shared" si="200"/>
        <v/>
      </c>
      <c r="C852" s="1566"/>
      <c r="D852" s="1567"/>
      <c r="E852" s="1250" t="str">
        <f t="shared" si="201"/>
        <v/>
      </c>
      <c r="F852" s="1252"/>
      <c r="G852" s="1711" t="str">
        <f t="shared" si="202"/>
        <v/>
      </c>
      <c r="H852" s="1712"/>
      <c r="I852" s="457" t="str">
        <f t="shared" si="203"/>
        <v/>
      </c>
      <c r="J852" s="414"/>
      <c r="K852" s="414"/>
      <c r="L852" s="414"/>
      <c r="M852" s="414"/>
      <c r="N852" s="414"/>
      <c r="O852" s="414"/>
      <c r="P852" s="414"/>
      <c r="Q852" s="414"/>
      <c r="R852" s="415" t="str">
        <f t="shared" si="195"/>
        <v/>
      </c>
    </row>
    <row r="853" spans="2:18" s="503" customFormat="1" ht="60" hidden="1" customHeight="1" x14ac:dyDescent="0.2">
      <c r="B853" s="1565" t="str">
        <f t="shared" si="200"/>
        <v/>
      </c>
      <c r="C853" s="1566"/>
      <c r="D853" s="1567"/>
      <c r="E853" s="1250" t="str">
        <f t="shared" si="201"/>
        <v/>
      </c>
      <c r="F853" s="1252"/>
      <c r="G853" s="1711" t="str">
        <f t="shared" si="202"/>
        <v/>
      </c>
      <c r="H853" s="1712"/>
      <c r="I853" s="457" t="str">
        <f t="shared" si="203"/>
        <v/>
      </c>
      <c r="J853" s="414"/>
      <c r="K853" s="414"/>
      <c r="L853" s="414"/>
      <c r="M853" s="414"/>
      <c r="N853" s="414"/>
      <c r="O853" s="414"/>
      <c r="P853" s="414"/>
      <c r="Q853" s="414"/>
      <c r="R853" s="415" t="str">
        <f t="shared" si="195"/>
        <v/>
      </c>
    </row>
    <row r="854" spans="2:18" s="503" customFormat="1" ht="60" hidden="1" customHeight="1" x14ac:dyDescent="0.2">
      <c r="B854" s="1565" t="str">
        <f t="shared" si="200"/>
        <v/>
      </c>
      <c r="C854" s="1566"/>
      <c r="D854" s="1567"/>
      <c r="E854" s="1250" t="str">
        <f t="shared" si="201"/>
        <v/>
      </c>
      <c r="F854" s="1252"/>
      <c r="G854" s="1711" t="str">
        <f t="shared" si="202"/>
        <v/>
      </c>
      <c r="H854" s="1712"/>
      <c r="I854" s="457" t="str">
        <f t="shared" si="203"/>
        <v/>
      </c>
      <c r="J854" s="414"/>
      <c r="K854" s="414"/>
      <c r="L854" s="414"/>
      <c r="M854" s="414"/>
      <c r="N854" s="414"/>
      <c r="O854" s="414"/>
      <c r="P854" s="414"/>
      <c r="Q854" s="414"/>
      <c r="R854" s="415" t="str">
        <f t="shared" si="195"/>
        <v/>
      </c>
    </row>
    <row r="855" spans="2:18" s="503" customFormat="1" ht="60" hidden="1" customHeight="1" x14ac:dyDescent="0.2">
      <c r="B855" s="1565" t="str">
        <f t="shared" si="200"/>
        <v/>
      </c>
      <c r="C855" s="1566"/>
      <c r="D855" s="1567"/>
      <c r="E855" s="1250" t="str">
        <f t="shared" si="201"/>
        <v/>
      </c>
      <c r="F855" s="1252"/>
      <c r="G855" s="1711" t="str">
        <f t="shared" si="202"/>
        <v/>
      </c>
      <c r="H855" s="1712"/>
      <c r="I855" s="457" t="str">
        <f t="shared" si="203"/>
        <v/>
      </c>
      <c r="J855" s="414"/>
      <c r="K855" s="414"/>
      <c r="L855" s="414"/>
      <c r="M855" s="414"/>
      <c r="N855" s="414"/>
      <c r="O855" s="414"/>
      <c r="P855" s="414"/>
      <c r="Q855" s="414"/>
      <c r="R855" s="415" t="str">
        <f t="shared" si="195"/>
        <v/>
      </c>
    </row>
    <row r="856" spans="2:18" s="503" customFormat="1" ht="15.95" customHeight="1" x14ac:dyDescent="0.2">
      <c r="B856" s="1713" t="str">
        <f>IFERROR(IF(B75="","",B75),"")</f>
        <v>Medidas de Reducción del riesgo de desastres y mitigación ambiental</v>
      </c>
      <c r="C856" s="1714"/>
      <c r="D856" s="1714"/>
      <c r="E856" s="1714"/>
      <c r="F856" s="1714"/>
      <c r="G856" s="1714"/>
      <c r="H856" s="1714"/>
      <c r="I856" s="1714"/>
      <c r="J856" s="1714"/>
      <c r="K856" s="1714"/>
      <c r="L856" s="1714"/>
      <c r="M856" s="1714"/>
      <c r="N856" s="1714"/>
      <c r="O856" s="1714"/>
      <c r="P856" s="1714"/>
      <c r="Q856" s="1714"/>
      <c r="R856" s="1715"/>
    </row>
    <row r="857" spans="2:18" s="503" customFormat="1" ht="60" hidden="1" customHeight="1" x14ac:dyDescent="0.2">
      <c r="B857" s="1565" t="str">
        <f t="shared" si="200"/>
        <v/>
      </c>
      <c r="C857" s="1566"/>
      <c r="D857" s="1567"/>
      <c r="E857" s="1250" t="str">
        <f t="shared" si="201"/>
        <v/>
      </c>
      <c r="F857" s="1252"/>
      <c r="G857" s="1711" t="str">
        <f t="shared" si="202"/>
        <v/>
      </c>
      <c r="H857" s="1712"/>
      <c r="I857" s="457" t="str">
        <f t="shared" si="203"/>
        <v/>
      </c>
      <c r="J857" s="414"/>
      <c r="K857" s="414"/>
      <c r="L857" s="414"/>
      <c r="M857" s="414"/>
      <c r="N857" s="414"/>
      <c r="O857" s="414"/>
      <c r="P857" s="414"/>
      <c r="Q857" s="414"/>
      <c r="R857" s="415" t="str">
        <f t="shared" si="195"/>
        <v/>
      </c>
    </row>
    <row r="858" spans="2:18" s="503" customFormat="1" ht="60" hidden="1" customHeight="1" x14ac:dyDescent="0.2">
      <c r="B858" s="1565" t="str">
        <f t="shared" si="200"/>
        <v/>
      </c>
      <c r="C858" s="1566"/>
      <c r="D858" s="1567"/>
      <c r="E858" s="1250" t="str">
        <f t="shared" si="201"/>
        <v/>
      </c>
      <c r="F858" s="1252"/>
      <c r="G858" s="1711" t="str">
        <f t="shared" si="202"/>
        <v/>
      </c>
      <c r="H858" s="1712"/>
      <c r="I858" s="457" t="str">
        <f t="shared" si="203"/>
        <v/>
      </c>
      <c r="J858" s="414"/>
      <c r="K858" s="414"/>
      <c r="L858" s="414"/>
      <c r="M858" s="414"/>
      <c r="N858" s="414"/>
      <c r="O858" s="414"/>
      <c r="P858" s="414"/>
      <c r="Q858" s="414"/>
      <c r="R858" s="415" t="str">
        <f t="shared" si="195"/>
        <v/>
      </c>
    </row>
    <row r="859" spans="2:18" s="503" customFormat="1" ht="60" hidden="1" customHeight="1" x14ac:dyDescent="0.2">
      <c r="B859" s="1565" t="str">
        <f t="shared" si="200"/>
        <v/>
      </c>
      <c r="C859" s="1566"/>
      <c r="D859" s="1567"/>
      <c r="E859" s="1250" t="str">
        <f t="shared" si="201"/>
        <v/>
      </c>
      <c r="F859" s="1252"/>
      <c r="G859" s="1711" t="str">
        <f t="shared" si="202"/>
        <v/>
      </c>
      <c r="H859" s="1712"/>
      <c r="I859" s="457" t="str">
        <f t="shared" si="203"/>
        <v/>
      </c>
      <c r="J859" s="414"/>
      <c r="K859" s="414"/>
      <c r="L859" s="414"/>
      <c r="M859" s="414"/>
      <c r="N859" s="414"/>
      <c r="O859" s="414"/>
      <c r="P859" s="414"/>
      <c r="Q859" s="414"/>
      <c r="R859" s="415" t="str">
        <f t="shared" si="195"/>
        <v/>
      </c>
    </row>
    <row r="860" spans="2:18" s="503" customFormat="1" ht="60" hidden="1" customHeight="1" x14ac:dyDescent="0.2">
      <c r="B860" s="1565" t="str">
        <f t="shared" si="200"/>
        <v/>
      </c>
      <c r="C860" s="1566"/>
      <c r="D860" s="1567"/>
      <c r="E860" s="1250" t="str">
        <f t="shared" si="201"/>
        <v/>
      </c>
      <c r="F860" s="1252"/>
      <c r="G860" s="1711" t="str">
        <f t="shared" si="202"/>
        <v/>
      </c>
      <c r="H860" s="1712"/>
      <c r="I860" s="457" t="str">
        <f t="shared" si="203"/>
        <v/>
      </c>
      <c r="J860" s="414"/>
      <c r="K860" s="414"/>
      <c r="L860" s="414"/>
      <c r="M860" s="414"/>
      <c r="N860" s="414"/>
      <c r="O860" s="414"/>
      <c r="P860" s="414"/>
      <c r="Q860" s="414"/>
      <c r="R860" s="415" t="str">
        <f t="shared" si="195"/>
        <v/>
      </c>
    </row>
    <row r="861" spans="2:18" s="503" customFormat="1" ht="60" hidden="1" customHeight="1" x14ac:dyDescent="0.2">
      <c r="B861" s="1565" t="str">
        <f t="shared" si="200"/>
        <v/>
      </c>
      <c r="C861" s="1566"/>
      <c r="D861" s="1567"/>
      <c r="E861" s="1250" t="str">
        <f t="shared" si="201"/>
        <v/>
      </c>
      <c r="F861" s="1252"/>
      <c r="G861" s="1711" t="str">
        <f t="shared" si="202"/>
        <v/>
      </c>
      <c r="H861" s="1712"/>
      <c r="I861" s="457" t="str">
        <f t="shared" si="203"/>
        <v/>
      </c>
      <c r="J861" s="414"/>
      <c r="K861" s="414"/>
      <c r="L861" s="414"/>
      <c r="M861" s="414"/>
      <c r="N861" s="414"/>
      <c r="O861" s="414"/>
      <c r="P861" s="414"/>
      <c r="Q861" s="414"/>
      <c r="R861" s="415" t="str">
        <f t="shared" si="195"/>
        <v/>
      </c>
    </row>
    <row r="862" spans="2:18" s="503" customFormat="1" ht="60" hidden="1" customHeight="1" x14ac:dyDescent="0.2">
      <c r="B862" s="1565" t="str">
        <f t="shared" si="200"/>
        <v/>
      </c>
      <c r="C862" s="1566"/>
      <c r="D862" s="1567"/>
      <c r="E862" s="1250" t="str">
        <f t="shared" si="201"/>
        <v/>
      </c>
      <c r="F862" s="1252"/>
      <c r="G862" s="1711" t="str">
        <f t="shared" si="202"/>
        <v/>
      </c>
      <c r="H862" s="1712"/>
      <c r="I862" s="457" t="str">
        <f t="shared" si="203"/>
        <v/>
      </c>
      <c r="J862" s="414"/>
      <c r="K862" s="414"/>
      <c r="L862" s="414"/>
      <c r="M862" s="414"/>
      <c r="N862" s="414"/>
      <c r="O862" s="414"/>
      <c r="P862" s="414"/>
      <c r="Q862" s="414"/>
      <c r="R862" s="415" t="str">
        <f t="shared" si="195"/>
        <v/>
      </c>
    </row>
    <row r="863" spans="2:18" s="503" customFormat="1" ht="12.95" customHeight="1" x14ac:dyDescent="0.2">
      <c r="B863" s="1790" t="s">
        <v>393</v>
      </c>
      <c r="C863" s="1790"/>
      <c r="D863" s="1790"/>
      <c r="E863" s="1790"/>
      <c r="F863" s="1790"/>
      <c r="G863" s="1790"/>
      <c r="H863" s="1790"/>
      <c r="I863" s="1790"/>
      <c r="J863" s="1790"/>
      <c r="K863" s="1790"/>
      <c r="L863" s="1790"/>
      <c r="M863" s="1790"/>
      <c r="N863" s="1790"/>
      <c r="O863" s="1790"/>
      <c r="P863" s="1790"/>
      <c r="Q863" s="1790"/>
      <c r="R863" s="1790"/>
    </row>
    <row r="864" spans="2:18" s="503" customFormat="1" ht="12.95" customHeight="1" x14ac:dyDescent="0.2">
      <c r="B864" s="1791"/>
      <c r="C864" s="1791"/>
      <c r="D864" s="1791"/>
      <c r="E864" s="1791"/>
      <c r="F864" s="1791"/>
      <c r="G864" s="1791"/>
      <c r="H864" s="1791"/>
      <c r="I864" s="1791"/>
      <c r="J864" s="1791"/>
      <c r="K864" s="1791"/>
      <c r="L864" s="1791"/>
      <c r="M864" s="1791"/>
      <c r="N864" s="1791"/>
      <c r="O864" s="1791"/>
      <c r="P864" s="1791"/>
      <c r="Q864" s="1791"/>
      <c r="R864" s="1791"/>
    </row>
    <row r="865" spans="1:18" ht="24.95" hidden="1" customHeight="1" x14ac:dyDescent="0.25">
      <c r="A865" s="503"/>
      <c r="B865" s="195" t="s">
        <v>4772</v>
      </c>
      <c r="C865" s="503"/>
      <c r="D865" s="503"/>
      <c r="E865" s="503"/>
      <c r="F865" s="503"/>
      <c r="G865" s="503"/>
      <c r="H865" s="503"/>
      <c r="I865" s="503"/>
      <c r="J865" s="503"/>
      <c r="K865" s="503"/>
      <c r="L865" s="503"/>
      <c r="M865" s="503"/>
      <c r="N865" s="503"/>
      <c r="O865" s="503"/>
      <c r="P865" s="503"/>
      <c r="Q865" s="503"/>
      <c r="R865" s="503"/>
    </row>
    <row r="866" spans="1:18" ht="12.75" hidden="1" customHeight="1" x14ac:dyDescent="0.25">
      <c r="A866" s="503"/>
      <c r="B866" s="1444" t="s">
        <v>378</v>
      </c>
      <c r="C866" s="1445"/>
      <c r="D866" s="1445"/>
      <c r="E866" s="1445"/>
      <c r="F866" s="1446"/>
      <c r="G866" s="1716" t="s">
        <v>106</v>
      </c>
      <c r="H866" s="1717"/>
      <c r="I866" s="1722" t="s">
        <v>4790</v>
      </c>
      <c r="J866" s="1716" t="s">
        <v>140</v>
      </c>
      <c r="K866" s="1725"/>
      <c r="L866" s="1725"/>
      <c r="M866" s="1725"/>
      <c r="N866" s="1725"/>
      <c r="O866" s="1725"/>
      <c r="P866" s="1725"/>
      <c r="Q866" s="1717"/>
      <c r="R866" s="1727" t="s">
        <v>141</v>
      </c>
    </row>
    <row r="867" spans="1:18" ht="12.75" hidden="1" customHeight="1" x14ac:dyDescent="0.25">
      <c r="A867" s="503"/>
      <c r="B867" s="1716" t="s">
        <v>4791</v>
      </c>
      <c r="C867" s="1725"/>
      <c r="D867" s="1717"/>
      <c r="E867" s="1716" t="s">
        <v>105</v>
      </c>
      <c r="F867" s="1717"/>
      <c r="G867" s="1718"/>
      <c r="H867" s="1719"/>
      <c r="I867" s="1723"/>
      <c r="J867" s="1720"/>
      <c r="K867" s="1726"/>
      <c r="L867" s="1726"/>
      <c r="M867" s="1726"/>
      <c r="N867" s="1726"/>
      <c r="O867" s="1726"/>
      <c r="P867" s="1726"/>
      <c r="Q867" s="1721"/>
      <c r="R867" s="1727"/>
    </row>
    <row r="868" spans="1:18" ht="22.5" hidden="1" customHeight="1" x14ac:dyDescent="0.25">
      <c r="A868" s="503"/>
      <c r="B868" s="1718"/>
      <c r="C868" s="1728"/>
      <c r="D868" s="1719"/>
      <c r="E868" s="1718"/>
      <c r="F868" s="1719"/>
      <c r="G868" s="1718"/>
      <c r="H868" s="1719"/>
      <c r="I868" s="1723"/>
      <c r="J868" s="507" t="str">
        <f>IF(AND($F$590="MES",$F$591&gt;=1),"MES 01",IF(AND($F$590="BIMESTRE",$F$591&gt;=1),"BIMESTRE 01",IF(AND($F$590="TRIMESTRE",$F$591&gt;=1),"TRIMESTRE 01",IF(AND($F$590="SEMESTRE",$F$591&gt;=1),"SEMESTRE 01",IF(AND($F$590="AÑO",$F$591&gt;=1),"AÑO 01","")))))</f>
        <v/>
      </c>
      <c r="K868" s="507" t="str">
        <f>IF(AND($F$590="MES",$F$591&gt;=2),"MES 02",IF(AND($F$590="BIMESTRE",$F$591&gt;=2),"BIMESTRE 02",IF(AND($F$590="TRIMESTRE",$F$591&gt;=2),"TRIMESTRE 02",IF(AND($F$590="SEMESTRE",$F$591&gt;=2),"SEMESTRE 02",IF(AND($F$590="AÑO",$F$591&gt;=2),"AÑO 02","")))))</f>
        <v/>
      </c>
      <c r="L868" s="507" t="str">
        <f>IF(AND($F$590="MES",$F$591&gt;=3),"MES 03",IF(AND($F$590="BIMESTRE",$F$591&gt;=3),"BIMESTRE 03",IF(AND($F$590="TRIMESTRE",$F$591&gt;=3),"TRIMESTRE 03",IF(AND($F$590="SEMESTRE",$F$591&gt;=3),"SEMESTRE 03",IF(AND($F$590="AÑO",$F$591&gt;=3),"AÑO 03","")))))</f>
        <v/>
      </c>
      <c r="M868" s="507" t="str">
        <f>IF(AND($F$590="MES",$F$591&gt;=4),"MES 04",IF(AND($F$590="BIMESTRE",$F$591&gt;=4),"BIMESTRE 04",IF(AND($F$590="TRIMESTRE",$F$591&gt;=4),"TRIMESTRE 04",IF(AND($F$590="SEMESTRE",$F$591&gt;=4),"SEMESTRE 04",IF(AND($F$590="AÑO",$F$591&gt;=4),"","")))))</f>
        <v/>
      </c>
      <c r="N868" s="507" t="str">
        <f>IF(AND($F$590="MES",$F$591&gt;=5),"MES 05",IF(AND($F$590="BIMESTRE",$F$591&gt;=5),"BIMESTRE 05",IF(AND($F$590="TRIMESTRE",$F$591&gt;=5),"TRIMESTRE 05",IF(AND($F$590="SEMESTRE",$F$591&gt;=5),"SEMESTRE 05",IF(AND($F$590="AÑO",$F$591&gt;=5),"","")))))</f>
        <v/>
      </c>
      <c r="O868" s="507" t="str">
        <f>IF(AND($F$590="MES",$F$591&gt;=6),"MES 06",IF(AND($F$590="BIMESTRE",$F$591&gt;=6),"BIMESTRE 06",IF(AND($F$590="TRIMESTRE",$F$591&gt;=6),"TRIMESTRE 06",IF(AND($F$590="SEMESTRE",$F$591&gt;=6),"SEMESTRE 06",IF(AND($F$590="AÑO",$F$591&gt;=6),"","")))))</f>
        <v/>
      </c>
      <c r="P868" s="507" t="str">
        <f>IF(AND($F$590="MES",$F$591&gt;=7),"MES 07",IF(AND($F$590="BIMESTRE",$F$591&gt;=7),"BIMESTRE 07",IF(AND($F$590="TRIMESTRE",$F$591&gt;=7),"TRIMESTRE 07",IF(AND($F$590="SEMESTRE",$F$591&gt;=7),"SEMESTRE 07",IF(AND($F$590="AÑO",$F$591&gt;=7),"","")))))</f>
        <v/>
      </c>
      <c r="Q868" s="507" t="str">
        <f>IF(AND($F$590="MES",$F$591=8),"MES 08",IF(AND($F$590="BIMESTRE",$F$591=8),"BIMESTRE 08",IF(AND($F$590="TRIMESTRE",$F$591=8),"TRIMESTRE 08",IF(AND($F$590="SEMESTRE",$F$591=8),"SEMESTRE 08",IF(AND($F$590="AÑO",$F$591=8),"","")))))</f>
        <v/>
      </c>
      <c r="R868" s="1727"/>
    </row>
    <row r="869" spans="1:18" hidden="1" x14ac:dyDescent="0.25">
      <c r="A869" s="503"/>
      <c r="B869" s="1720"/>
      <c r="C869" s="1726"/>
      <c r="D869" s="1721"/>
      <c r="E869" s="1720"/>
      <c r="F869" s="1721"/>
      <c r="G869" s="1720"/>
      <c r="H869" s="1721"/>
      <c r="I869" s="1724"/>
      <c r="J869" s="507" t="s">
        <v>142</v>
      </c>
      <c r="K869" s="507" t="s">
        <v>142</v>
      </c>
      <c r="L869" s="507" t="s">
        <v>142</v>
      </c>
      <c r="M869" s="507" t="s">
        <v>142</v>
      </c>
      <c r="N869" s="507" t="s">
        <v>142</v>
      </c>
      <c r="O869" s="507" t="s">
        <v>142</v>
      </c>
      <c r="P869" s="507" t="s">
        <v>142</v>
      </c>
      <c r="Q869" s="507" t="s">
        <v>142</v>
      </c>
      <c r="R869" s="1727"/>
    </row>
    <row r="870" spans="1:18" ht="5.0999999999999996" hidden="1" customHeight="1" x14ac:dyDescent="0.25">
      <c r="A870" s="503"/>
      <c r="B870" s="503"/>
      <c r="C870" s="503"/>
      <c r="D870" s="503"/>
      <c r="E870" s="503"/>
      <c r="F870" s="503"/>
      <c r="G870" s="503"/>
      <c r="H870" s="503"/>
      <c r="I870" s="56"/>
      <c r="J870" s="56"/>
      <c r="K870" s="56"/>
      <c r="L870" s="56"/>
      <c r="M870" s="56"/>
      <c r="N870" s="503"/>
      <c r="O870" s="503"/>
      <c r="P870" s="503"/>
      <c r="Q870" s="503"/>
      <c r="R870" s="503"/>
    </row>
    <row r="871" spans="1:18" ht="15.95" hidden="1" customHeight="1" x14ac:dyDescent="0.25">
      <c r="A871" s="503"/>
      <c r="B871" s="448" t="str">
        <f>IFERROR(IF(B110="","",B110),"")</f>
        <v>Factor de Producción:</v>
      </c>
      <c r="C871" s="449"/>
      <c r="D871" s="449" t="str">
        <f>IFERROR(IF(D110="","",D110),"")</f>
        <v>Infraestructura</v>
      </c>
      <c r="E871" s="449"/>
      <c r="F871" s="449"/>
      <c r="G871" s="449"/>
      <c r="H871" s="449"/>
      <c r="I871" s="449"/>
      <c r="J871" s="449"/>
      <c r="K871" s="449"/>
      <c r="L871" s="449"/>
      <c r="M871" s="449"/>
      <c r="N871" s="449"/>
      <c r="O871" s="449"/>
      <c r="P871" s="449"/>
      <c r="Q871" s="449"/>
      <c r="R871" s="459"/>
    </row>
    <row r="872" spans="1:18" ht="60" hidden="1" customHeight="1" x14ac:dyDescent="0.25">
      <c r="A872" s="503"/>
      <c r="B872" s="1565" t="str">
        <f>IFERROR(IF(B111="","",B111),"")</f>
        <v/>
      </c>
      <c r="C872" s="1566"/>
      <c r="D872" s="1567"/>
      <c r="E872" s="1250" t="str">
        <f>IFERROR(IF(E111="","",E111),"")</f>
        <v/>
      </c>
      <c r="F872" s="1252"/>
      <c r="G872" s="1711" t="str">
        <f>IFERROR(IF(G111="","",G111),"")</f>
        <v/>
      </c>
      <c r="H872" s="1712"/>
      <c r="I872" s="457" t="str">
        <f>IFERROR(IF(I111="","",I111),"")</f>
        <v/>
      </c>
      <c r="J872" s="414"/>
      <c r="K872" s="414"/>
      <c r="L872" s="414"/>
      <c r="M872" s="414"/>
      <c r="N872" s="414"/>
      <c r="O872" s="414"/>
      <c r="P872" s="414"/>
      <c r="Q872" s="414"/>
      <c r="R872" s="415" t="str">
        <f>IFERROR(IF(AND(J872="",K872="",L872="",M872="",N872="",O872="",P872="",Q872=""),"",SUM(J872:Q872)),"")</f>
        <v/>
      </c>
    </row>
    <row r="873" spans="1:18" ht="60" hidden="1" customHeight="1" x14ac:dyDescent="0.25">
      <c r="A873" s="503"/>
      <c r="B873" s="1565" t="str">
        <f t="shared" ref="B873:B880" si="204">IFERROR(IF(B112="","",B112),"")</f>
        <v/>
      </c>
      <c r="C873" s="1566"/>
      <c r="D873" s="1567"/>
      <c r="E873" s="1250" t="str">
        <f t="shared" ref="E873:E880" si="205">IFERROR(IF(E112="","",E112),"")</f>
        <v/>
      </c>
      <c r="F873" s="1252"/>
      <c r="G873" s="1711" t="str">
        <f t="shared" ref="G873:G880" si="206">IFERROR(IF(G112="","",G112),"")</f>
        <v/>
      </c>
      <c r="H873" s="1712"/>
      <c r="I873" s="457" t="str">
        <f t="shared" ref="I873:I880" si="207">IFERROR(IF(I112="","",I112),"")</f>
        <v/>
      </c>
      <c r="J873" s="414"/>
      <c r="K873" s="414"/>
      <c r="L873" s="414"/>
      <c r="M873" s="414"/>
      <c r="N873" s="414"/>
      <c r="O873" s="414"/>
      <c r="P873" s="414"/>
      <c r="Q873" s="414"/>
      <c r="R873" s="415" t="str">
        <f t="shared" ref="R873:R880" si="208">IFERROR(IF(AND(J873="",K873="",L873="",M873="",N873="",O873="",P873="",Q873=""),"",SUM(J873:Q873)),"")</f>
        <v/>
      </c>
    </row>
    <row r="874" spans="1:18" ht="60" hidden="1" customHeight="1" x14ac:dyDescent="0.25">
      <c r="A874" s="503"/>
      <c r="B874" s="1565" t="str">
        <f t="shared" si="204"/>
        <v/>
      </c>
      <c r="C874" s="1566"/>
      <c r="D874" s="1567"/>
      <c r="E874" s="1250" t="str">
        <f t="shared" si="205"/>
        <v/>
      </c>
      <c r="F874" s="1252"/>
      <c r="G874" s="1711" t="str">
        <f t="shared" si="206"/>
        <v/>
      </c>
      <c r="H874" s="1712"/>
      <c r="I874" s="457" t="str">
        <f t="shared" si="207"/>
        <v/>
      </c>
      <c r="J874" s="414"/>
      <c r="K874" s="414"/>
      <c r="L874" s="414"/>
      <c r="M874" s="414"/>
      <c r="N874" s="414"/>
      <c r="O874" s="414"/>
      <c r="P874" s="414"/>
      <c r="Q874" s="414"/>
      <c r="R874" s="415" t="str">
        <f t="shared" si="208"/>
        <v/>
      </c>
    </row>
    <row r="875" spans="1:18" ht="60" hidden="1" customHeight="1" x14ac:dyDescent="0.25">
      <c r="A875" s="503"/>
      <c r="B875" s="1565" t="str">
        <f t="shared" si="204"/>
        <v/>
      </c>
      <c r="C875" s="1566"/>
      <c r="D875" s="1567"/>
      <c r="E875" s="1250" t="str">
        <f t="shared" si="205"/>
        <v/>
      </c>
      <c r="F875" s="1252"/>
      <c r="G875" s="1711" t="str">
        <f t="shared" si="206"/>
        <v/>
      </c>
      <c r="H875" s="1712"/>
      <c r="I875" s="457" t="str">
        <f t="shared" si="207"/>
        <v/>
      </c>
      <c r="J875" s="414"/>
      <c r="K875" s="414"/>
      <c r="L875" s="414"/>
      <c r="M875" s="414"/>
      <c r="N875" s="414"/>
      <c r="O875" s="414"/>
      <c r="P875" s="414"/>
      <c r="Q875" s="414"/>
      <c r="R875" s="415" t="str">
        <f t="shared" si="208"/>
        <v/>
      </c>
    </row>
    <row r="876" spans="1:18" ht="60" hidden="1" customHeight="1" x14ac:dyDescent="0.25">
      <c r="A876" s="503"/>
      <c r="B876" s="1565" t="str">
        <f t="shared" si="204"/>
        <v/>
      </c>
      <c r="C876" s="1566"/>
      <c r="D876" s="1567"/>
      <c r="E876" s="1250" t="str">
        <f t="shared" si="205"/>
        <v/>
      </c>
      <c r="F876" s="1252"/>
      <c r="G876" s="1711" t="str">
        <f t="shared" si="206"/>
        <v/>
      </c>
      <c r="H876" s="1712"/>
      <c r="I876" s="457" t="str">
        <f t="shared" si="207"/>
        <v/>
      </c>
      <c r="J876" s="414"/>
      <c r="K876" s="414"/>
      <c r="L876" s="414"/>
      <c r="M876" s="414"/>
      <c r="N876" s="414"/>
      <c r="O876" s="414"/>
      <c r="P876" s="414"/>
      <c r="Q876" s="414"/>
      <c r="R876" s="415" t="str">
        <f t="shared" si="208"/>
        <v/>
      </c>
    </row>
    <row r="877" spans="1:18" ht="60" hidden="1" customHeight="1" x14ac:dyDescent="0.25">
      <c r="A877" s="503"/>
      <c r="B877" s="1565" t="str">
        <f t="shared" si="204"/>
        <v/>
      </c>
      <c r="C877" s="1566"/>
      <c r="D877" s="1567"/>
      <c r="E877" s="1250" t="str">
        <f t="shared" si="205"/>
        <v/>
      </c>
      <c r="F877" s="1252"/>
      <c r="G877" s="1711" t="str">
        <f t="shared" si="206"/>
        <v/>
      </c>
      <c r="H877" s="1712"/>
      <c r="I877" s="457" t="str">
        <f t="shared" si="207"/>
        <v/>
      </c>
      <c r="J877" s="414"/>
      <c r="K877" s="414"/>
      <c r="L877" s="414"/>
      <c r="M877" s="414"/>
      <c r="N877" s="414"/>
      <c r="O877" s="414"/>
      <c r="P877" s="414"/>
      <c r="Q877" s="414"/>
      <c r="R877" s="415" t="str">
        <f t="shared" si="208"/>
        <v/>
      </c>
    </row>
    <row r="878" spans="1:18" ht="60" hidden="1" customHeight="1" x14ac:dyDescent="0.25">
      <c r="A878" s="503"/>
      <c r="B878" s="1565" t="str">
        <f t="shared" si="204"/>
        <v/>
      </c>
      <c r="C878" s="1566"/>
      <c r="D878" s="1567"/>
      <c r="E878" s="1250" t="str">
        <f t="shared" si="205"/>
        <v/>
      </c>
      <c r="F878" s="1252"/>
      <c r="G878" s="1711" t="str">
        <f t="shared" si="206"/>
        <v/>
      </c>
      <c r="H878" s="1712"/>
      <c r="I878" s="457" t="str">
        <f t="shared" si="207"/>
        <v/>
      </c>
      <c r="J878" s="414"/>
      <c r="K878" s="414"/>
      <c r="L878" s="414"/>
      <c r="M878" s="414"/>
      <c r="N878" s="414"/>
      <c r="O878" s="414"/>
      <c r="P878" s="414"/>
      <c r="Q878" s="414"/>
      <c r="R878" s="415" t="str">
        <f t="shared" si="208"/>
        <v/>
      </c>
    </row>
    <row r="879" spans="1:18" ht="60" hidden="1" customHeight="1" x14ac:dyDescent="0.25">
      <c r="A879" s="503"/>
      <c r="B879" s="1565" t="str">
        <f t="shared" si="204"/>
        <v/>
      </c>
      <c r="C879" s="1566"/>
      <c r="D879" s="1567"/>
      <c r="E879" s="1250" t="str">
        <f t="shared" si="205"/>
        <v/>
      </c>
      <c r="F879" s="1252"/>
      <c r="G879" s="1711" t="str">
        <f t="shared" si="206"/>
        <v/>
      </c>
      <c r="H879" s="1712"/>
      <c r="I879" s="457" t="str">
        <f t="shared" si="207"/>
        <v/>
      </c>
      <c r="J879" s="414"/>
      <c r="K879" s="414"/>
      <c r="L879" s="414"/>
      <c r="M879" s="414"/>
      <c r="N879" s="414"/>
      <c r="O879" s="414"/>
      <c r="P879" s="414"/>
      <c r="Q879" s="414"/>
      <c r="R879" s="415" t="str">
        <f t="shared" si="208"/>
        <v/>
      </c>
    </row>
    <row r="880" spans="1:18" ht="60" hidden="1" customHeight="1" x14ac:dyDescent="0.25">
      <c r="A880" s="503"/>
      <c r="B880" s="1565" t="str">
        <f t="shared" si="204"/>
        <v/>
      </c>
      <c r="C880" s="1566"/>
      <c r="D880" s="1567"/>
      <c r="E880" s="1250" t="str">
        <f t="shared" si="205"/>
        <v/>
      </c>
      <c r="F880" s="1252"/>
      <c r="G880" s="1711" t="str">
        <f t="shared" si="206"/>
        <v/>
      </c>
      <c r="H880" s="1712"/>
      <c r="I880" s="457" t="str">
        <f t="shared" si="207"/>
        <v/>
      </c>
      <c r="J880" s="414"/>
      <c r="K880" s="414"/>
      <c r="L880" s="414"/>
      <c r="M880" s="414"/>
      <c r="N880" s="414"/>
      <c r="O880" s="414"/>
      <c r="P880" s="414"/>
      <c r="Q880" s="414"/>
      <c r="R880" s="415" t="str">
        <f t="shared" si="208"/>
        <v/>
      </c>
    </row>
    <row r="881" spans="1:18" ht="15.95" hidden="1" customHeight="1" x14ac:dyDescent="0.25">
      <c r="A881" s="503"/>
      <c r="B881" s="1713" t="str">
        <f t="shared" ref="B881:B887" si="209">IFERROR(IF(B120="","",B120),"")</f>
        <v>Medidas de Reducción del riesgo de desastres y mitigación ambiental</v>
      </c>
      <c r="C881" s="1714"/>
      <c r="D881" s="1714"/>
      <c r="E881" s="1714"/>
      <c r="F881" s="1714"/>
      <c r="G881" s="1714"/>
      <c r="H881" s="1714"/>
      <c r="I881" s="1714"/>
      <c r="J881" s="1714"/>
      <c r="K881" s="1714"/>
      <c r="L881" s="1714"/>
      <c r="M881" s="1714"/>
      <c r="N881" s="1714"/>
      <c r="O881" s="1714"/>
      <c r="P881" s="1714"/>
      <c r="Q881" s="1714"/>
      <c r="R881" s="1715"/>
    </row>
    <row r="882" spans="1:18" ht="60" hidden="1" customHeight="1" x14ac:dyDescent="0.25">
      <c r="A882" s="503"/>
      <c r="B882" s="1565" t="str">
        <f t="shared" si="209"/>
        <v/>
      </c>
      <c r="C882" s="1566"/>
      <c r="D882" s="1567"/>
      <c r="E882" s="1250" t="str">
        <f t="shared" ref="E882:E887" si="210">IFERROR(IF(E121="","",E121),"")</f>
        <v/>
      </c>
      <c r="F882" s="1252"/>
      <c r="G882" s="1711" t="str">
        <f t="shared" ref="G882:G887" si="211">IFERROR(IF(G121="","",G121),"")</f>
        <v/>
      </c>
      <c r="H882" s="1712"/>
      <c r="I882" s="457" t="str">
        <f t="shared" ref="I882:I887" si="212">IFERROR(IF(I121="","",I121),"")</f>
        <v/>
      </c>
      <c r="J882" s="414"/>
      <c r="K882" s="414"/>
      <c r="L882" s="414"/>
      <c r="M882" s="414"/>
      <c r="N882" s="414"/>
      <c r="O882" s="414"/>
      <c r="P882" s="414"/>
      <c r="Q882" s="414"/>
      <c r="R882" s="415" t="str">
        <f t="shared" ref="R882:R909" si="213">IFERROR(IF(AND(J882="",K882="",L882="",M882="",N882="",O882="",P882="",Q882=""),"",SUM(J882:Q882)),"")</f>
        <v/>
      </c>
    </row>
    <row r="883" spans="1:18" ht="60" hidden="1" customHeight="1" x14ac:dyDescent="0.25">
      <c r="A883" s="503"/>
      <c r="B883" s="1565" t="str">
        <f t="shared" si="209"/>
        <v/>
      </c>
      <c r="C883" s="1566"/>
      <c r="D883" s="1567"/>
      <c r="E883" s="1250" t="str">
        <f t="shared" si="210"/>
        <v/>
      </c>
      <c r="F883" s="1252"/>
      <c r="G883" s="1711" t="str">
        <f t="shared" si="211"/>
        <v/>
      </c>
      <c r="H883" s="1712"/>
      <c r="I883" s="457" t="str">
        <f t="shared" si="212"/>
        <v/>
      </c>
      <c r="J883" s="414"/>
      <c r="K883" s="414"/>
      <c r="L883" s="414"/>
      <c r="M883" s="414"/>
      <c r="N883" s="414"/>
      <c r="O883" s="414"/>
      <c r="P883" s="414"/>
      <c r="Q883" s="414"/>
      <c r="R883" s="415" t="str">
        <f t="shared" si="213"/>
        <v/>
      </c>
    </row>
    <row r="884" spans="1:18" ht="60" hidden="1" customHeight="1" x14ac:dyDescent="0.25">
      <c r="A884" s="503"/>
      <c r="B884" s="1565" t="str">
        <f t="shared" si="209"/>
        <v/>
      </c>
      <c r="C884" s="1566"/>
      <c r="D884" s="1567"/>
      <c r="E884" s="1250" t="str">
        <f t="shared" si="210"/>
        <v/>
      </c>
      <c r="F884" s="1252"/>
      <c r="G884" s="1711" t="str">
        <f t="shared" si="211"/>
        <v/>
      </c>
      <c r="H884" s="1712"/>
      <c r="I884" s="457" t="str">
        <f t="shared" si="212"/>
        <v/>
      </c>
      <c r="J884" s="414"/>
      <c r="K884" s="414"/>
      <c r="L884" s="414"/>
      <c r="M884" s="414"/>
      <c r="N884" s="414"/>
      <c r="O884" s="414"/>
      <c r="P884" s="414"/>
      <c r="Q884" s="414"/>
      <c r="R884" s="415" t="str">
        <f t="shared" si="213"/>
        <v/>
      </c>
    </row>
    <row r="885" spans="1:18" ht="60" hidden="1" customHeight="1" x14ac:dyDescent="0.25">
      <c r="A885" s="503"/>
      <c r="B885" s="1565" t="str">
        <f t="shared" si="209"/>
        <v/>
      </c>
      <c r="C885" s="1566"/>
      <c r="D885" s="1567"/>
      <c r="E885" s="1250" t="str">
        <f t="shared" si="210"/>
        <v/>
      </c>
      <c r="F885" s="1252"/>
      <c r="G885" s="1711" t="str">
        <f t="shared" si="211"/>
        <v/>
      </c>
      <c r="H885" s="1712"/>
      <c r="I885" s="457" t="str">
        <f t="shared" si="212"/>
        <v/>
      </c>
      <c r="J885" s="414"/>
      <c r="K885" s="414"/>
      <c r="L885" s="414"/>
      <c r="M885" s="414"/>
      <c r="N885" s="414"/>
      <c r="O885" s="414"/>
      <c r="P885" s="414"/>
      <c r="Q885" s="414"/>
      <c r="R885" s="415" t="str">
        <f t="shared" si="213"/>
        <v/>
      </c>
    </row>
    <row r="886" spans="1:18" ht="60" hidden="1" customHeight="1" x14ac:dyDescent="0.25">
      <c r="A886" s="503"/>
      <c r="B886" s="1565" t="str">
        <f t="shared" si="209"/>
        <v/>
      </c>
      <c r="C886" s="1566"/>
      <c r="D886" s="1567"/>
      <c r="E886" s="1250" t="str">
        <f t="shared" si="210"/>
        <v/>
      </c>
      <c r="F886" s="1252"/>
      <c r="G886" s="1711" t="str">
        <f t="shared" si="211"/>
        <v/>
      </c>
      <c r="H886" s="1712"/>
      <c r="I886" s="457" t="str">
        <f t="shared" si="212"/>
        <v/>
      </c>
      <c r="J886" s="414"/>
      <c r="K886" s="414"/>
      <c r="L886" s="414"/>
      <c r="M886" s="414"/>
      <c r="N886" s="414"/>
      <c r="O886" s="414"/>
      <c r="P886" s="414"/>
      <c r="Q886" s="414"/>
      <c r="R886" s="415" t="str">
        <f t="shared" si="213"/>
        <v/>
      </c>
    </row>
    <row r="887" spans="1:18" ht="60" hidden="1" customHeight="1" x14ac:dyDescent="0.25">
      <c r="A887" s="503"/>
      <c r="B887" s="1565" t="str">
        <f t="shared" si="209"/>
        <v/>
      </c>
      <c r="C887" s="1566"/>
      <c r="D887" s="1567"/>
      <c r="E887" s="1250" t="str">
        <f t="shared" si="210"/>
        <v/>
      </c>
      <c r="F887" s="1252"/>
      <c r="G887" s="1711" t="str">
        <f t="shared" si="211"/>
        <v/>
      </c>
      <c r="H887" s="1712"/>
      <c r="I887" s="457" t="str">
        <f t="shared" si="212"/>
        <v/>
      </c>
      <c r="J887" s="414"/>
      <c r="K887" s="414"/>
      <c r="L887" s="414"/>
      <c r="M887" s="414"/>
      <c r="N887" s="414"/>
      <c r="O887" s="414"/>
      <c r="P887" s="414"/>
      <c r="Q887" s="414"/>
      <c r="R887" s="415" t="str">
        <f t="shared" si="213"/>
        <v/>
      </c>
    </row>
    <row r="888" spans="1:18" ht="15.95" hidden="1" customHeight="1" x14ac:dyDescent="0.25">
      <c r="A888" s="503"/>
      <c r="B888" s="448" t="str">
        <f>IFERROR(IF(B143="","",B143),"")</f>
        <v>Factor de Producción:</v>
      </c>
      <c r="C888" s="463"/>
      <c r="D888" s="449" t="str">
        <f>IFERROR(IF(D143="","",D143),"")</f>
        <v>Intangibles</v>
      </c>
      <c r="E888" s="463" t="str">
        <f>IFERROR(IF(E591="","",E591),"")</f>
        <v/>
      </c>
      <c r="F888" s="463"/>
      <c r="G888" s="464" t="str">
        <f>IFERROR(IF(G591="","",G591),"")</f>
        <v/>
      </c>
      <c r="H888" s="464"/>
      <c r="I888" s="461" t="str">
        <f>IFERROR(IF(I124="","",I124),"")</f>
        <v/>
      </c>
      <c r="J888" s="527"/>
      <c r="K888" s="527"/>
      <c r="L888" s="527"/>
      <c r="M888" s="527"/>
      <c r="N888" s="527"/>
      <c r="O888" s="527"/>
      <c r="P888" s="527"/>
      <c r="Q888" s="527"/>
      <c r="R888" s="462" t="str">
        <f t="shared" si="213"/>
        <v/>
      </c>
    </row>
    <row r="889" spans="1:18" ht="60" hidden="1" customHeight="1" x14ac:dyDescent="0.25">
      <c r="A889" s="503"/>
      <c r="B889" s="1565" t="str">
        <f>IFERROR(IF(B144="","",B144),"")</f>
        <v/>
      </c>
      <c r="C889" s="1566"/>
      <c r="D889" s="1567"/>
      <c r="E889" s="1250" t="str">
        <f>IFERROR(IF(E144="","",E144),"")</f>
        <v/>
      </c>
      <c r="F889" s="1252"/>
      <c r="G889" s="1711" t="str">
        <f>IFERROR(IF(G144="","",G144),"")</f>
        <v/>
      </c>
      <c r="H889" s="1712"/>
      <c r="I889" s="457" t="str">
        <f>IFERROR(IF(I144="","",I144),"")</f>
        <v/>
      </c>
      <c r="J889" s="414"/>
      <c r="K889" s="414"/>
      <c r="L889" s="414"/>
      <c r="M889" s="414"/>
      <c r="N889" s="414"/>
      <c r="O889" s="414"/>
      <c r="P889" s="414"/>
      <c r="Q889" s="414"/>
      <c r="R889" s="415" t="str">
        <f t="shared" si="213"/>
        <v/>
      </c>
    </row>
    <row r="890" spans="1:18" ht="60" hidden="1" customHeight="1" x14ac:dyDescent="0.25">
      <c r="A890" s="503"/>
      <c r="B890" s="1565" t="str">
        <f t="shared" ref="B890:B909" si="214">IFERROR(IF(B145="","",B145),"")</f>
        <v/>
      </c>
      <c r="C890" s="1566"/>
      <c r="D890" s="1567"/>
      <c r="E890" s="1250" t="str">
        <f t="shared" ref="E890:E909" si="215">IFERROR(IF(E145="","",E145),"")</f>
        <v/>
      </c>
      <c r="F890" s="1252"/>
      <c r="G890" s="1711" t="str">
        <f t="shared" ref="G890:G909" si="216">IFERROR(IF(G145="","",G145),"")</f>
        <v/>
      </c>
      <c r="H890" s="1712"/>
      <c r="I890" s="457" t="str">
        <f t="shared" ref="I890:I909" si="217">IFERROR(IF(I145="","",I145),"")</f>
        <v/>
      </c>
      <c r="J890" s="414"/>
      <c r="K890" s="414"/>
      <c r="L890" s="414"/>
      <c r="M890" s="414"/>
      <c r="N890" s="414"/>
      <c r="O890" s="414"/>
      <c r="P890" s="414"/>
      <c r="Q890" s="414"/>
      <c r="R890" s="415" t="str">
        <f t="shared" si="213"/>
        <v/>
      </c>
    </row>
    <row r="891" spans="1:18" ht="60" hidden="1" customHeight="1" x14ac:dyDescent="0.25">
      <c r="A891" s="503"/>
      <c r="B891" s="1565" t="str">
        <f t="shared" si="214"/>
        <v/>
      </c>
      <c r="C891" s="1566"/>
      <c r="D891" s="1567"/>
      <c r="E891" s="1250" t="str">
        <f t="shared" si="215"/>
        <v/>
      </c>
      <c r="F891" s="1252"/>
      <c r="G891" s="1711" t="str">
        <f t="shared" si="216"/>
        <v/>
      </c>
      <c r="H891" s="1712"/>
      <c r="I891" s="457" t="str">
        <f t="shared" si="217"/>
        <v/>
      </c>
      <c r="J891" s="414"/>
      <c r="K891" s="414"/>
      <c r="L891" s="414"/>
      <c r="M891" s="414"/>
      <c r="N891" s="414"/>
      <c r="O891" s="414"/>
      <c r="P891" s="414"/>
      <c r="Q891" s="414"/>
      <c r="R891" s="415" t="str">
        <f t="shared" si="213"/>
        <v/>
      </c>
    </row>
    <row r="892" spans="1:18" ht="60" hidden="1" customHeight="1" x14ac:dyDescent="0.25">
      <c r="A892" s="503"/>
      <c r="B892" s="1565" t="str">
        <f t="shared" si="214"/>
        <v/>
      </c>
      <c r="C892" s="1566"/>
      <c r="D892" s="1567"/>
      <c r="E892" s="1250" t="str">
        <f t="shared" si="215"/>
        <v/>
      </c>
      <c r="F892" s="1252"/>
      <c r="G892" s="1711" t="str">
        <f t="shared" si="216"/>
        <v/>
      </c>
      <c r="H892" s="1712"/>
      <c r="I892" s="457" t="str">
        <f t="shared" si="217"/>
        <v/>
      </c>
      <c r="J892" s="414"/>
      <c r="K892" s="414"/>
      <c r="L892" s="414"/>
      <c r="M892" s="414"/>
      <c r="N892" s="414"/>
      <c r="O892" s="414"/>
      <c r="P892" s="414"/>
      <c r="Q892" s="414"/>
      <c r="R892" s="415" t="str">
        <f t="shared" si="213"/>
        <v/>
      </c>
    </row>
    <row r="893" spans="1:18" ht="60" hidden="1" customHeight="1" x14ac:dyDescent="0.25">
      <c r="A893" s="503"/>
      <c r="B893" s="1565" t="str">
        <f t="shared" si="214"/>
        <v/>
      </c>
      <c r="C893" s="1566"/>
      <c r="D893" s="1567"/>
      <c r="E893" s="1250" t="str">
        <f t="shared" si="215"/>
        <v/>
      </c>
      <c r="F893" s="1252"/>
      <c r="G893" s="1711" t="str">
        <f t="shared" si="216"/>
        <v/>
      </c>
      <c r="H893" s="1712"/>
      <c r="I893" s="457" t="str">
        <f t="shared" si="217"/>
        <v/>
      </c>
      <c r="J893" s="414"/>
      <c r="K893" s="414"/>
      <c r="L893" s="414"/>
      <c r="M893" s="414"/>
      <c r="N893" s="414"/>
      <c r="O893" s="414"/>
      <c r="P893" s="414"/>
      <c r="Q893" s="414"/>
      <c r="R893" s="415" t="str">
        <f t="shared" si="213"/>
        <v/>
      </c>
    </row>
    <row r="894" spans="1:18" ht="60" hidden="1" customHeight="1" x14ac:dyDescent="0.25">
      <c r="A894" s="503"/>
      <c r="B894" s="1565" t="str">
        <f t="shared" si="214"/>
        <v/>
      </c>
      <c r="C894" s="1566"/>
      <c r="D894" s="1567"/>
      <c r="E894" s="1250" t="str">
        <f t="shared" si="215"/>
        <v/>
      </c>
      <c r="F894" s="1252"/>
      <c r="G894" s="1711" t="str">
        <f t="shared" si="216"/>
        <v/>
      </c>
      <c r="H894" s="1712"/>
      <c r="I894" s="457" t="str">
        <f t="shared" si="217"/>
        <v/>
      </c>
      <c r="J894" s="414"/>
      <c r="K894" s="414"/>
      <c r="L894" s="414"/>
      <c r="M894" s="414"/>
      <c r="N894" s="414"/>
      <c r="O894" s="414"/>
      <c r="P894" s="414"/>
      <c r="Q894" s="414"/>
      <c r="R894" s="415" t="str">
        <f t="shared" si="213"/>
        <v/>
      </c>
    </row>
    <row r="895" spans="1:18" ht="60" hidden="1" customHeight="1" x14ac:dyDescent="0.25">
      <c r="A895" s="503"/>
      <c r="B895" s="1565" t="str">
        <f t="shared" si="214"/>
        <v/>
      </c>
      <c r="C895" s="1566"/>
      <c r="D895" s="1567"/>
      <c r="E895" s="1250" t="str">
        <f t="shared" si="215"/>
        <v/>
      </c>
      <c r="F895" s="1252"/>
      <c r="G895" s="1711" t="str">
        <f t="shared" si="216"/>
        <v/>
      </c>
      <c r="H895" s="1712"/>
      <c r="I895" s="457" t="str">
        <f t="shared" si="217"/>
        <v/>
      </c>
      <c r="J895" s="414"/>
      <c r="K895" s="414"/>
      <c r="L895" s="414"/>
      <c r="M895" s="414"/>
      <c r="N895" s="414"/>
      <c r="O895" s="414"/>
      <c r="P895" s="414"/>
      <c r="Q895" s="414"/>
      <c r="R895" s="415" t="str">
        <f t="shared" si="213"/>
        <v/>
      </c>
    </row>
    <row r="896" spans="1:18" ht="60" hidden="1" customHeight="1" x14ac:dyDescent="0.25">
      <c r="A896" s="503"/>
      <c r="B896" s="1565" t="str">
        <f t="shared" si="214"/>
        <v/>
      </c>
      <c r="C896" s="1566"/>
      <c r="D896" s="1567"/>
      <c r="E896" s="1250" t="str">
        <f t="shared" si="215"/>
        <v/>
      </c>
      <c r="F896" s="1252"/>
      <c r="G896" s="1711" t="str">
        <f t="shared" si="216"/>
        <v/>
      </c>
      <c r="H896" s="1712"/>
      <c r="I896" s="457" t="str">
        <f t="shared" si="217"/>
        <v/>
      </c>
      <c r="J896" s="414"/>
      <c r="K896" s="414"/>
      <c r="L896" s="414"/>
      <c r="M896" s="414"/>
      <c r="N896" s="414"/>
      <c r="O896" s="414"/>
      <c r="P896" s="414"/>
      <c r="Q896" s="414"/>
      <c r="R896" s="415" t="str">
        <f t="shared" si="213"/>
        <v/>
      </c>
    </row>
    <row r="897" spans="1:18" ht="60" hidden="1" customHeight="1" x14ac:dyDescent="0.25">
      <c r="A897" s="503"/>
      <c r="B897" s="1565" t="str">
        <f t="shared" si="214"/>
        <v/>
      </c>
      <c r="C897" s="1566"/>
      <c r="D897" s="1567"/>
      <c r="E897" s="1250" t="str">
        <f t="shared" si="215"/>
        <v/>
      </c>
      <c r="F897" s="1252"/>
      <c r="G897" s="1711" t="str">
        <f t="shared" si="216"/>
        <v/>
      </c>
      <c r="H897" s="1712"/>
      <c r="I897" s="457" t="str">
        <f t="shared" si="217"/>
        <v/>
      </c>
      <c r="J897" s="414"/>
      <c r="K897" s="414"/>
      <c r="L897" s="414"/>
      <c r="M897" s="414"/>
      <c r="N897" s="414"/>
      <c r="O897" s="414"/>
      <c r="P897" s="414"/>
      <c r="Q897" s="414"/>
      <c r="R897" s="415" t="str">
        <f t="shared" si="213"/>
        <v/>
      </c>
    </row>
    <row r="898" spans="1:18" ht="60" hidden="1" customHeight="1" x14ac:dyDescent="0.25">
      <c r="A898" s="503"/>
      <c r="B898" s="1565" t="str">
        <f t="shared" si="214"/>
        <v/>
      </c>
      <c r="C898" s="1566"/>
      <c r="D898" s="1567"/>
      <c r="E898" s="1250" t="str">
        <f t="shared" si="215"/>
        <v/>
      </c>
      <c r="F898" s="1252"/>
      <c r="G898" s="1711" t="str">
        <f t="shared" si="216"/>
        <v/>
      </c>
      <c r="H898" s="1712"/>
      <c r="I898" s="457" t="str">
        <f t="shared" si="217"/>
        <v/>
      </c>
      <c r="J898" s="414"/>
      <c r="K898" s="414"/>
      <c r="L898" s="414"/>
      <c r="M898" s="414"/>
      <c r="N898" s="414"/>
      <c r="O898" s="414"/>
      <c r="P898" s="414"/>
      <c r="Q898" s="414"/>
      <c r="R898" s="415" t="str">
        <f t="shared" si="213"/>
        <v/>
      </c>
    </row>
    <row r="899" spans="1:18" ht="60" hidden="1" customHeight="1" x14ac:dyDescent="0.25">
      <c r="A899" s="503"/>
      <c r="B899" s="1565" t="str">
        <f t="shared" si="214"/>
        <v/>
      </c>
      <c r="C899" s="1566"/>
      <c r="D899" s="1567"/>
      <c r="E899" s="1250" t="str">
        <f t="shared" si="215"/>
        <v/>
      </c>
      <c r="F899" s="1252"/>
      <c r="G899" s="1711" t="str">
        <f t="shared" si="216"/>
        <v/>
      </c>
      <c r="H899" s="1712"/>
      <c r="I899" s="457" t="str">
        <f t="shared" si="217"/>
        <v/>
      </c>
      <c r="J899" s="414"/>
      <c r="K899" s="414"/>
      <c r="L899" s="414"/>
      <c r="M899" s="414"/>
      <c r="N899" s="414"/>
      <c r="O899" s="414"/>
      <c r="P899" s="414"/>
      <c r="Q899" s="414"/>
      <c r="R899" s="415" t="str">
        <f t="shared" si="213"/>
        <v/>
      </c>
    </row>
    <row r="900" spans="1:18" ht="60" hidden="1" customHeight="1" x14ac:dyDescent="0.25">
      <c r="A900" s="503"/>
      <c r="B900" s="1565" t="str">
        <f t="shared" si="214"/>
        <v/>
      </c>
      <c r="C900" s="1566"/>
      <c r="D900" s="1567"/>
      <c r="E900" s="1250" t="str">
        <f t="shared" si="215"/>
        <v/>
      </c>
      <c r="F900" s="1252"/>
      <c r="G900" s="1711" t="str">
        <f t="shared" si="216"/>
        <v/>
      </c>
      <c r="H900" s="1712"/>
      <c r="I900" s="457" t="str">
        <f t="shared" si="217"/>
        <v/>
      </c>
      <c r="J900" s="414"/>
      <c r="K900" s="414"/>
      <c r="L900" s="414"/>
      <c r="M900" s="414"/>
      <c r="N900" s="414"/>
      <c r="O900" s="414"/>
      <c r="P900" s="414"/>
      <c r="Q900" s="414"/>
      <c r="R900" s="415" t="str">
        <f t="shared" si="213"/>
        <v/>
      </c>
    </row>
    <row r="901" spans="1:18" ht="60" hidden="1" customHeight="1" x14ac:dyDescent="0.25">
      <c r="A901" s="503"/>
      <c r="B901" s="1565" t="str">
        <f t="shared" si="214"/>
        <v/>
      </c>
      <c r="C901" s="1566"/>
      <c r="D901" s="1567"/>
      <c r="E901" s="1250" t="str">
        <f t="shared" si="215"/>
        <v/>
      </c>
      <c r="F901" s="1252"/>
      <c r="G901" s="1711" t="str">
        <f t="shared" si="216"/>
        <v/>
      </c>
      <c r="H901" s="1712"/>
      <c r="I901" s="457" t="str">
        <f t="shared" si="217"/>
        <v/>
      </c>
      <c r="J901" s="414"/>
      <c r="K901" s="414"/>
      <c r="L901" s="414"/>
      <c r="M901" s="414"/>
      <c r="N901" s="414"/>
      <c r="O901" s="414"/>
      <c r="P901" s="414"/>
      <c r="Q901" s="414"/>
      <c r="R901" s="415" t="str">
        <f t="shared" si="213"/>
        <v/>
      </c>
    </row>
    <row r="902" spans="1:18" ht="60" hidden="1" customHeight="1" x14ac:dyDescent="0.25">
      <c r="A902" s="503"/>
      <c r="B902" s="1565" t="str">
        <f t="shared" si="214"/>
        <v/>
      </c>
      <c r="C902" s="1566"/>
      <c r="D902" s="1567"/>
      <c r="E902" s="1250" t="str">
        <f t="shared" si="215"/>
        <v/>
      </c>
      <c r="F902" s="1252"/>
      <c r="G902" s="1711" t="str">
        <f t="shared" si="216"/>
        <v/>
      </c>
      <c r="H902" s="1712"/>
      <c r="I902" s="457" t="str">
        <f t="shared" si="217"/>
        <v/>
      </c>
      <c r="J902" s="414"/>
      <c r="K902" s="414"/>
      <c r="L902" s="414"/>
      <c r="M902" s="414"/>
      <c r="N902" s="414"/>
      <c r="O902" s="414"/>
      <c r="P902" s="414"/>
      <c r="Q902" s="414"/>
      <c r="R902" s="415" t="str">
        <f t="shared" si="213"/>
        <v/>
      </c>
    </row>
    <row r="903" spans="1:18" ht="60" hidden="1" customHeight="1" x14ac:dyDescent="0.25">
      <c r="A903" s="503"/>
      <c r="B903" s="1565" t="str">
        <f t="shared" si="214"/>
        <v/>
      </c>
      <c r="C903" s="1566"/>
      <c r="D903" s="1567"/>
      <c r="E903" s="1250" t="str">
        <f t="shared" si="215"/>
        <v/>
      </c>
      <c r="F903" s="1252"/>
      <c r="G903" s="1711" t="str">
        <f t="shared" si="216"/>
        <v/>
      </c>
      <c r="H903" s="1712"/>
      <c r="I903" s="457" t="str">
        <f t="shared" si="217"/>
        <v/>
      </c>
      <c r="J903" s="414"/>
      <c r="K903" s="414"/>
      <c r="L903" s="414"/>
      <c r="M903" s="414"/>
      <c r="N903" s="414"/>
      <c r="O903" s="414"/>
      <c r="P903" s="414"/>
      <c r="Q903" s="414"/>
      <c r="R903" s="415" t="str">
        <f t="shared" si="213"/>
        <v/>
      </c>
    </row>
    <row r="904" spans="1:18" ht="60" hidden="1" customHeight="1" x14ac:dyDescent="0.25">
      <c r="A904" s="503"/>
      <c r="B904" s="1565" t="str">
        <f t="shared" si="214"/>
        <v/>
      </c>
      <c r="C904" s="1566"/>
      <c r="D904" s="1567"/>
      <c r="E904" s="1250" t="str">
        <f t="shared" si="215"/>
        <v/>
      </c>
      <c r="F904" s="1252"/>
      <c r="G904" s="1711" t="str">
        <f t="shared" si="216"/>
        <v/>
      </c>
      <c r="H904" s="1712"/>
      <c r="I904" s="457" t="str">
        <f t="shared" si="217"/>
        <v/>
      </c>
      <c r="J904" s="414"/>
      <c r="K904" s="414"/>
      <c r="L904" s="414"/>
      <c r="M904" s="414"/>
      <c r="N904" s="414"/>
      <c r="O904" s="414"/>
      <c r="P904" s="414"/>
      <c r="Q904" s="414"/>
      <c r="R904" s="415" t="str">
        <f t="shared" si="213"/>
        <v/>
      </c>
    </row>
    <row r="905" spans="1:18" ht="60" hidden="1" customHeight="1" x14ac:dyDescent="0.25">
      <c r="A905" s="503"/>
      <c r="B905" s="1565" t="str">
        <f t="shared" si="214"/>
        <v/>
      </c>
      <c r="C905" s="1566"/>
      <c r="D905" s="1567"/>
      <c r="E905" s="1250" t="str">
        <f t="shared" si="215"/>
        <v/>
      </c>
      <c r="F905" s="1252"/>
      <c r="G905" s="1711" t="str">
        <f t="shared" si="216"/>
        <v/>
      </c>
      <c r="H905" s="1712"/>
      <c r="I905" s="457" t="str">
        <f t="shared" si="217"/>
        <v/>
      </c>
      <c r="J905" s="414"/>
      <c r="K905" s="414"/>
      <c r="L905" s="414"/>
      <c r="M905" s="414"/>
      <c r="N905" s="414"/>
      <c r="O905" s="414"/>
      <c r="P905" s="414"/>
      <c r="Q905" s="414"/>
      <c r="R905" s="415" t="str">
        <f t="shared" si="213"/>
        <v/>
      </c>
    </row>
    <row r="906" spans="1:18" ht="60" hidden="1" customHeight="1" x14ac:dyDescent="0.25">
      <c r="A906" s="503"/>
      <c r="B906" s="1565" t="str">
        <f t="shared" si="214"/>
        <v/>
      </c>
      <c r="C906" s="1566"/>
      <c r="D906" s="1567"/>
      <c r="E906" s="1250" t="str">
        <f t="shared" si="215"/>
        <v/>
      </c>
      <c r="F906" s="1252"/>
      <c r="G906" s="1711" t="str">
        <f t="shared" si="216"/>
        <v/>
      </c>
      <c r="H906" s="1712"/>
      <c r="I906" s="457" t="str">
        <f t="shared" si="217"/>
        <v/>
      </c>
      <c r="J906" s="414"/>
      <c r="K906" s="414"/>
      <c r="L906" s="414"/>
      <c r="M906" s="414"/>
      <c r="N906" s="414"/>
      <c r="O906" s="414"/>
      <c r="P906" s="414"/>
      <c r="Q906" s="414"/>
      <c r="R906" s="415" t="str">
        <f t="shared" si="213"/>
        <v/>
      </c>
    </row>
    <row r="907" spans="1:18" ht="60" hidden="1" customHeight="1" x14ac:dyDescent="0.25">
      <c r="A907" s="503"/>
      <c r="B907" s="1565" t="str">
        <f t="shared" si="214"/>
        <v/>
      </c>
      <c r="C907" s="1566"/>
      <c r="D907" s="1567"/>
      <c r="E907" s="1250" t="str">
        <f t="shared" si="215"/>
        <v/>
      </c>
      <c r="F907" s="1252"/>
      <c r="G907" s="1711" t="str">
        <f t="shared" si="216"/>
        <v/>
      </c>
      <c r="H907" s="1712"/>
      <c r="I907" s="457" t="str">
        <f t="shared" si="217"/>
        <v/>
      </c>
      <c r="J907" s="414"/>
      <c r="K907" s="414"/>
      <c r="L907" s="414"/>
      <c r="M907" s="414"/>
      <c r="N907" s="414"/>
      <c r="O907" s="414"/>
      <c r="P907" s="414"/>
      <c r="Q907" s="414"/>
      <c r="R907" s="415" t="str">
        <f t="shared" si="213"/>
        <v/>
      </c>
    </row>
    <row r="908" spans="1:18" ht="60" hidden="1" customHeight="1" x14ac:dyDescent="0.25">
      <c r="A908" s="503"/>
      <c r="B908" s="1565" t="str">
        <f t="shared" si="214"/>
        <v/>
      </c>
      <c r="C908" s="1566"/>
      <c r="D908" s="1567"/>
      <c r="E908" s="1250" t="str">
        <f t="shared" si="215"/>
        <v/>
      </c>
      <c r="F908" s="1252"/>
      <c r="G908" s="1711" t="str">
        <f t="shared" si="216"/>
        <v/>
      </c>
      <c r="H908" s="1712"/>
      <c r="I908" s="457" t="str">
        <f t="shared" si="217"/>
        <v/>
      </c>
      <c r="J908" s="414"/>
      <c r="K908" s="414"/>
      <c r="L908" s="414"/>
      <c r="M908" s="414"/>
      <c r="N908" s="414"/>
      <c r="O908" s="414"/>
      <c r="P908" s="414"/>
      <c r="Q908" s="414"/>
      <c r="R908" s="415" t="str">
        <f t="shared" si="213"/>
        <v/>
      </c>
    </row>
    <row r="909" spans="1:18" ht="60" hidden="1" customHeight="1" x14ac:dyDescent="0.25">
      <c r="A909" s="503"/>
      <c r="B909" s="1565" t="str">
        <f t="shared" si="214"/>
        <v/>
      </c>
      <c r="C909" s="1566"/>
      <c r="D909" s="1567"/>
      <c r="E909" s="1250" t="str">
        <f t="shared" si="215"/>
        <v/>
      </c>
      <c r="F909" s="1252"/>
      <c r="G909" s="1711" t="str">
        <f t="shared" si="216"/>
        <v/>
      </c>
      <c r="H909" s="1712"/>
      <c r="I909" s="457" t="str">
        <f t="shared" si="217"/>
        <v/>
      </c>
      <c r="J909" s="414"/>
      <c r="K909" s="414"/>
      <c r="L909" s="414"/>
      <c r="M909" s="414"/>
      <c r="N909" s="414"/>
      <c r="O909" s="414"/>
      <c r="P909" s="414"/>
      <c r="Q909" s="414"/>
      <c r="R909" s="415" t="str">
        <f t="shared" si="213"/>
        <v/>
      </c>
    </row>
    <row r="910" spans="1:18" ht="15.95" hidden="1" customHeight="1" x14ac:dyDescent="0.25">
      <c r="A910" s="503"/>
      <c r="B910" s="1713" t="str">
        <f t="shared" ref="B910:B916" si="218">IFERROR(IF(B165="","",B165),"")</f>
        <v>Medidas de Reducción del riesgo de desastres y mitigación ambiental</v>
      </c>
      <c r="C910" s="1714"/>
      <c r="D910" s="1714"/>
      <c r="E910" s="1714"/>
      <c r="F910" s="1714"/>
      <c r="G910" s="1714"/>
      <c r="H910" s="1714"/>
      <c r="I910" s="1714"/>
      <c r="J910" s="1714"/>
      <c r="K910" s="1714"/>
      <c r="L910" s="1714"/>
      <c r="M910" s="1714"/>
      <c r="N910" s="1714"/>
      <c r="O910" s="1714"/>
      <c r="P910" s="1714"/>
      <c r="Q910" s="1714"/>
      <c r="R910" s="1715"/>
    </row>
    <row r="911" spans="1:18" ht="60" hidden="1" customHeight="1" x14ac:dyDescent="0.25">
      <c r="A911" s="503"/>
      <c r="B911" s="1565" t="str">
        <f t="shared" si="218"/>
        <v/>
      </c>
      <c r="C911" s="1566"/>
      <c r="D911" s="1567"/>
      <c r="E911" s="1250" t="str">
        <f t="shared" ref="E911:E916" si="219">IFERROR(IF(E166="","",E166),"")</f>
        <v/>
      </c>
      <c r="F911" s="1252"/>
      <c r="G911" s="1711" t="str">
        <f t="shared" ref="G911:G916" si="220">IFERROR(IF(G166="","",G166),"")</f>
        <v/>
      </c>
      <c r="H911" s="1712"/>
      <c r="I911" s="457" t="str">
        <f t="shared" ref="I911:I916" si="221">IFERROR(IF(I166="","",I166),"")</f>
        <v/>
      </c>
      <c r="J911" s="414"/>
      <c r="K911" s="414"/>
      <c r="L911" s="414"/>
      <c r="M911" s="414"/>
      <c r="N911" s="414"/>
      <c r="O911" s="414"/>
      <c r="P911" s="414"/>
      <c r="Q911" s="414"/>
      <c r="R911" s="415" t="str">
        <f t="shared" ref="R911:R916" si="222">IFERROR(IF(AND(J911="",K911="",L911="",M911="",N911="",O911="",P911="",Q911=""),"",SUM(J911:Q911)),"")</f>
        <v/>
      </c>
    </row>
    <row r="912" spans="1:18" ht="60" hidden="1" customHeight="1" x14ac:dyDescent="0.25">
      <c r="A912" s="503"/>
      <c r="B912" s="1565" t="str">
        <f t="shared" si="218"/>
        <v/>
      </c>
      <c r="C912" s="1566"/>
      <c r="D912" s="1567"/>
      <c r="E912" s="1250" t="str">
        <f t="shared" si="219"/>
        <v/>
      </c>
      <c r="F912" s="1252"/>
      <c r="G912" s="1711" t="str">
        <f t="shared" si="220"/>
        <v/>
      </c>
      <c r="H912" s="1712"/>
      <c r="I912" s="457" t="str">
        <f t="shared" si="221"/>
        <v/>
      </c>
      <c r="J912" s="414"/>
      <c r="K912" s="414"/>
      <c r="L912" s="414"/>
      <c r="M912" s="414"/>
      <c r="N912" s="414"/>
      <c r="O912" s="414"/>
      <c r="P912" s="414"/>
      <c r="Q912" s="414"/>
      <c r="R912" s="415" t="str">
        <f t="shared" si="222"/>
        <v/>
      </c>
    </row>
    <row r="913" spans="1:18" ht="60" hidden="1" customHeight="1" x14ac:dyDescent="0.25">
      <c r="A913" s="503"/>
      <c r="B913" s="1565" t="str">
        <f t="shared" si="218"/>
        <v/>
      </c>
      <c r="C913" s="1566"/>
      <c r="D913" s="1567"/>
      <c r="E913" s="1250" t="str">
        <f t="shared" si="219"/>
        <v/>
      </c>
      <c r="F913" s="1252"/>
      <c r="G913" s="1711" t="str">
        <f t="shared" si="220"/>
        <v/>
      </c>
      <c r="H913" s="1712"/>
      <c r="I913" s="457" t="str">
        <f t="shared" si="221"/>
        <v/>
      </c>
      <c r="J913" s="414"/>
      <c r="K913" s="414"/>
      <c r="L913" s="414"/>
      <c r="M913" s="414"/>
      <c r="N913" s="414"/>
      <c r="O913" s="414"/>
      <c r="P913" s="414"/>
      <c r="Q913" s="414"/>
      <c r="R913" s="415" t="str">
        <f t="shared" si="222"/>
        <v/>
      </c>
    </row>
    <row r="914" spans="1:18" ht="60" hidden="1" customHeight="1" x14ac:dyDescent="0.25">
      <c r="A914" s="503"/>
      <c r="B914" s="1565" t="str">
        <f t="shared" si="218"/>
        <v/>
      </c>
      <c r="C914" s="1566"/>
      <c r="D914" s="1567"/>
      <c r="E914" s="1250" t="str">
        <f t="shared" si="219"/>
        <v/>
      </c>
      <c r="F914" s="1252"/>
      <c r="G914" s="1711" t="str">
        <f t="shared" si="220"/>
        <v/>
      </c>
      <c r="H914" s="1712"/>
      <c r="I914" s="457" t="str">
        <f t="shared" si="221"/>
        <v/>
      </c>
      <c r="J914" s="414"/>
      <c r="K914" s="414"/>
      <c r="L914" s="414"/>
      <c r="M914" s="414"/>
      <c r="N914" s="414"/>
      <c r="O914" s="414"/>
      <c r="P914" s="414"/>
      <c r="Q914" s="414"/>
      <c r="R914" s="415" t="str">
        <f t="shared" si="222"/>
        <v/>
      </c>
    </row>
    <row r="915" spans="1:18" ht="60" hidden="1" customHeight="1" x14ac:dyDescent="0.25">
      <c r="A915" s="503"/>
      <c r="B915" s="1565" t="str">
        <f t="shared" si="218"/>
        <v/>
      </c>
      <c r="C915" s="1566"/>
      <c r="D915" s="1567"/>
      <c r="E915" s="1250" t="str">
        <f t="shared" si="219"/>
        <v/>
      </c>
      <c r="F915" s="1252"/>
      <c r="G915" s="1711" t="str">
        <f t="shared" si="220"/>
        <v/>
      </c>
      <c r="H915" s="1712"/>
      <c r="I915" s="457" t="str">
        <f t="shared" si="221"/>
        <v/>
      </c>
      <c r="J915" s="414"/>
      <c r="K915" s="414"/>
      <c r="L915" s="414"/>
      <c r="M915" s="414"/>
      <c r="N915" s="414"/>
      <c r="O915" s="414"/>
      <c r="P915" s="414"/>
      <c r="Q915" s="414"/>
      <c r="R915" s="415" t="str">
        <f t="shared" si="222"/>
        <v/>
      </c>
    </row>
    <row r="916" spans="1:18" ht="60" hidden="1" customHeight="1" x14ac:dyDescent="0.25">
      <c r="A916" s="503"/>
      <c r="B916" s="1565" t="str">
        <f t="shared" si="218"/>
        <v/>
      </c>
      <c r="C916" s="1566"/>
      <c r="D916" s="1567"/>
      <c r="E916" s="1250" t="str">
        <f t="shared" si="219"/>
        <v/>
      </c>
      <c r="F916" s="1252"/>
      <c r="G916" s="1711" t="str">
        <f t="shared" si="220"/>
        <v/>
      </c>
      <c r="H916" s="1712"/>
      <c r="I916" s="457" t="str">
        <f t="shared" si="221"/>
        <v/>
      </c>
      <c r="J916" s="414"/>
      <c r="K916" s="414"/>
      <c r="L916" s="414"/>
      <c r="M916" s="414"/>
      <c r="N916" s="414"/>
      <c r="O916" s="414"/>
      <c r="P916" s="414"/>
      <c r="Q916" s="414"/>
      <c r="R916" s="415" t="str">
        <f t="shared" si="222"/>
        <v/>
      </c>
    </row>
    <row r="917" spans="1:18" hidden="1" x14ac:dyDescent="0.25">
      <c r="A917" s="503"/>
      <c r="B917" s="1790" t="s">
        <v>393</v>
      </c>
      <c r="C917" s="1790"/>
      <c r="D917" s="1790"/>
      <c r="E917" s="1790"/>
      <c r="F917" s="1790"/>
      <c r="G917" s="1790"/>
      <c r="H917" s="1790"/>
      <c r="I917" s="1790"/>
      <c r="J917" s="1790"/>
      <c r="K917" s="1790"/>
      <c r="L917" s="1790"/>
      <c r="M917" s="1790"/>
      <c r="N917" s="1790"/>
      <c r="O917" s="1790"/>
      <c r="P917" s="1790"/>
      <c r="Q917" s="1790"/>
      <c r="R917" s="1790"/>
    </row>
    <row r="918" spans="1:18" hidden="1" x14ac:dyDescent="0.25">
      <c r="A918" s="503"/>
      <c r="B918" s="1791"/>
      <c r="C918" s="1791"/>
      <c r="D918" s="1791"/>
      <c r="E918" s="1791"/>
      <c r="F918" s="1791"/>
      <c r="G918" s="1791"/>
      <c r="H918" s="1791"/>
      <c r="I918" s="1791"/>
      <c r="J918" s="1791"/>
      <c r="K918" s="1791"/>
      <c r="L918" s="1791"/>
      <c r="M918" s="1791"/>
      <c r="N918" s="1791"/>
      <c r="O918" s="1791"/>
      <c r="P918" s="1791"/>
      <c r="Q918" s="1791"/>
      <c r="R918" s="1791"/>
    </row>
    <row r="919" spans="1:18" ht="24.95" hidden="1" customHeight="1" x14ac:dyDescent="0.25">
      <c r="B919" s="195" t="s">
        <v>4774</v>
      </c>
      <c r="C919" s="503"/>
      <c r="D919" s="503"/>
      <c r="E919" s="503"/>
      <c r="F919" s="503"/>
      <c r="G919" s="503"/>
      <c r="H919" s="503"/>
      <c r="I919" s="503"/>
      <c r="J919" s="503"/>
      <c r="K919" s="503"/>
      <c r="L919" s="503"/>
      <c r="M919" s="503"/>
      <c r="N919" s="503"/>
      <c r="O919" s="503"/>
      <c r="P919" s="503"/>
      <c r="Q919" s="503"/>
      <c r="R919" s="503"/>
    </row>
    <row r="920" spans="1:18" s="503" customFormat="1" ht="12.75" hidden="1" customHeight="1" x14ac:dyDescent="0.2">
      <c r="B920" s="1444" t="s">
        <v>378</v>
      </c>
      <c r="C920" s="1445"/>
      <c r="D920" s="1445"/>
      <c r="E920" s="1445"/>
      <c r="F920" s="1446"/>
      <c r="G920" s="1716" t="s">
        <v>106</v>
      </c>
      <c r="H920" s="1717"/>
      <c r="I920" s="1722" t="s">
        <v>4790</v>
      </c>
      <c r="J920" s="1716" t="s">
        <v>140</v>
      </c>
      <c r="K920" s="1725"/>
      <c r="L920" s="1725"/>
      <c r="M920" s="1725"/>
      <c r="N920" s="1725"/>
      <c r="O920" s="1725"/>
      <c r="P920" s="1725"/>
      <c r="Q920" s="1717"/>
      <c r="R920" s="1727" t="s">
        <v>141</v>
      </c>
    </row>
    <row r="921" spans="1:18" s="503" customFormat="1" ht="12.75" hidden="1" customHeight="1" x14ac:dyDescent="0.25">
      <c r="A921" s="50"/>
      <c r="B921" s="1716" t="s">
        <v>4791</v>
      </c>
      <c r="C921" s="1725"/>
      <c r="D921" s="1717"/>
      <c r="E921" s="1716" t="s">
        <v>105</v>
      </c>
      <c r="F921" s="1717"/>
      <c r="G921" s="1718"/>
      <c r="H921" s="1719"/>
      <c r="I921" s="1723"/>
      <c r="J921" s="1720"/>
      <c r="K921" s="1726"/>
      <c r="L921" s="1726"/>
      <c r="M921" s="1726"/>
      <c r="N921" s="1726"/>
      <c r="O921" s="1726"/>
      <c r="P921" s="1726"/>
      <c r="Q921" s="1721"/>
      <c r="R921" s="1727"/>
    </row>
    <row r="922" spans="1:18" ht="22.5" hidden="1" customHeight="1" x14ac:dyDescent="0.25">
      <c r="A922" s="503"/>
      <c r="B922" s="1718"/>
      <c r="C922" s="1728"/>
      <c r="D922" s="1719"/>
      <c r="E922" s="1718"/>
      <c r="F922" s="1719"/>
      <c r="G922" s="1718"/>
      <c r="H922" s="1719"/>
      <c r="I922" s="1723"/>
      <c r="J922" s="507" t="str">
        <f>IF(AND($F$664="MES",$F$665&gt;=1),"MES 01",IF(AND($F$664="BIMESTRE",$F$665&gt;=1),"BIMESTRE 01",IF(AND($F$664="TRIMESTRE",$F$665&gt;=1),"TRIMESTRE 01",IF(AND($F$664="SEMESTRE",$F$665&gt;=1),"SEMESTRE 01",IF(AND($F$664="AÑO",$F$665&gt;=1),"AÑO 01","")))))</f>
        <v/>
      </c>
      <c r="K922" s="507" t="str">
        <f>IF(AND($F$664="MES",$F$665&gt;=2),"MES 02",IF(AND($F$664="BIMESTRE",$F$665&gt;=2),"BIMESTRE 02",IF(AND($F$664="TRIMESTRE",$F$665&gt;=2),"TRIMESTRE 02",IF(AND($F$664="SEMESTRE",$F$665&gt;=2),"SEMESTRE 02",IF(AND($F$664="AÑO",$F$665&gt;=2),"AÑO 02","")))))</f>
        <v/>
      </c>
      <c r="L922" s="507" t="str">
        <f>IF(AND($F$664="MES",$F$665&gt;=3),"MES 03",IF(AND($F$664="BIMESTRE",$F$665&gt;=3),"BIMESTRE 03",IF(AND($F$664="TRIMESTRE",$F$665&gt;=3),"TRIMESTRE 03",IF(AND($F$664="SEMESTRE",$F$665&gt;=3),"SEMESTRE 03",IF(AND($F$664="AÑO",$F$665&gt;=3),"AÑO 03","")))))</f>
        <v/>
      </c>
      <c r="M922" s="507" t="str">
        <f>IF(AND($F$664="MES",$F$665&gt;=4),"MES 04",IF(AND($F$664="BIMESTRE",$F$665&gt;=4),"BIMESTRE 04",IF(AND($F$664="TRIMESTRE",$F$665&gt;=4),"TRIMESTRE 04",IF(AND($F$664="SEMESTRE",$F$665&gt;=4),"SEMESTRE 04",IF(AND($F$664="AÑO",$F$665&gt;=4),"","")))))</f>
        <v/>
      </c>
      <c r="N922" s="507" t="str">
        <f>IF(AND($F$664="MES",$F$665&gt;=5),"MES 05",IF(AND($F$664="BIMESTRE",$F$665&gt;=5),"BIMESTRE 05",IF(AND($F$664="TRIMESTRE",$F$665&gt;=5),"TRIMESTRE 05",IF(AND($F$664="SEMESTRE",$F$665&gt;=5),"SEMESTRE 05",IF(AND($F$664="AÑO",$F$665&gt;=5),"","")))))</f>
        <v/>
      </c>
      <c r="O922" s="507" t="str">
        <f>IF(AND($F$664="MES",$F$665&gt;=6),"MES 06",IF(AND($F$664="BIMESTRE",$F$665&gt;=6),"BIMESTRE 06",IF(AND($F$664="TRIMESTRE",$F$665&gt;=6),"TRIMESTRE 06",IF(AND($F$664="SEMESTRE",$F$665&gt;=6),"SEMESTRE 06",IF(AND($F$664="AÑO",$F$665&gt;=6),"","")))))</f>
        <v/>
      </c>
      <c r="P922" s="507" t="str">
        <f>IF(AND($F$664="MES",$F$665&gt;=7),"MES 07",IF(AND($F$664="BIMESTRE",$F$665&gt;=7),"BIMESTRE 07",IF(AND($F$664="TRIMESTRE",$F$665&gt;=7),"TRIMESTRE 07",IF(AND($F$664="SEMESTRE",$F$665&gt;=7),"SEMESTRE 07",IF(AND($F$664="AÑO",$F$665&gt;=7),"","")))))</f>
        <v/>
      </c>
      <c r="Q922" s="507" t="str">
        <f>IF(AND($F$664="MES",$F$665=8),"MES 08",IF(AND($F$664="BIMESTRE",$F$665=8),"BIMESTRE 08",IF(AND($F$664="TRIMESTRE",$F$665=8),"TRIMESTRE 08",IF(AND($F$664="SEMESTRE",$F$665=8),"SEMESTRE 08",IF(AND($F$664="AÑO",$F$665=8),"","")))))</f>
        <v/>
      </c>
      <c r="R922" s="1727"/>
    </row>
    <row r="923" spans="1:18" hidden="1" x14ac:dyDescent="0.25">
      <c r="B923" s="1720"/>
      <c r="C923" s="1726"/>
      <c r="D923" s="1721"/>
      <c r="E923" s="1720"/>
      <c r="F923" s="1721"/>
      <c r="G923" s="1720"/>
      <c r="H923" s="1721"/>
      <c r="I923" s="1724"/>
      <c r="J923" s="507" t="s">
        <v>142</v>
      </c>
      <c r="K923" s="507" t="s">
        <v>142</v>
      </c>
      <c r="L923" s="507" t="s">
        <v>142</v>
      </c>
      <c r="M923" s="507" t="s">
        <v>142</v>
      </c>
      <c r="N923" s="507" t="s">
        <v>142</v>
      </c>
      <c r="O923" s="507" t="s">
        <v>142</v>
      </c>
      <c r="P923" s="507" t="s">
        <v>142</v>
      </c>
      <c r="Q923" s="507" t="s">
        <v>142</v>
      </c>
      <c r="R923" s="1727"/>
    </row>
    <row r="924" spans="1:18" ht="5.0999999999999996" hidden="1" customHeight="1" x14ac:dyDescent="0.25">
      <c r="A924" s="503"/>
      <c r="B924" s="503"/>
      <c r="C924" s="503"/>
      <c r="D924" s="503"/>
      <c r="E924" s="503"/>
      <c r="F924" s="503"/>
      <c r="G924" s="503"/>
      <c r="H924" s="503"/>
      <c r="I924" s="56"/>
      <c r="J924" s="56"/>
      <c r="K924" s="56"/>
      <c r="L924" s="56"/>
      <c r="M924" s="56"/>
      <c r="N924" s="503"/>
      <c r="O924" s="503"/>
      <c r="P924" s="503"/>
      <c r="Q924" s="503"/>
      <c r="R924" s="503"/>
    </row>
    <row r="925" spans="1:18" ht="15.95" hidden="1" customHeight="1" x14ac:dyDescent="0.25">
      <c r="B925" s="448" t="str">
        <f>IFERROR(IF(B200="","",B200),"")</f>
        <v>Factor de Producción:</v>
      </c>
      <c r="C925" s="449"/>
      <c r="D925" s="449" t="str">
        <f>IFERROR(IF(D200="","",D200),"")</f>
        <v>Infraestructura</v>
      </c>
      <c r="E925" s="449"/>
      <c r="F925" s="449"/>
      <c r="G925" s="449"/>
      <c r="H925" s="449"/>
      <c r="I925" s="449"/>
      <c r="J925" s="449"/>
      <c r="K925" s="449"/>
      <c r="L925" s="449"/>
      <c r="M925" s="449"/>
      <c r="N925" s="449"/>
      <c r="O925" s="449"/>
      <c r="P925" s="449"/>
      <c r="Q925" s="449"/>
      <c r="R925" s="459"/>
    </row>
    <row r="926" spans="1:18" ht="60" hidden="1" customHeight="1" x14ac:dyDescent="0.25">
      <c r="A926" s="503"/>
      <c r="B926" s="1565" t="str">
        <f>IFERROR(IF(B201="","",B201),"")</f>
        <v/>
      </c>
      <c r="C926" s="1566"/>
      <c r="D926" s="1567"/>
      <c r="E926" s="1250" t="str">
        <f>IFERROR(IF(E201="","",E201),"")</f>
        <v/>
      </c>
      <c r="F926" s="1252"/>
      <c r="G926" s="1711" t="str">
        <f>IFERROR(IF(G201="","",G201),"")</f>
        <v/>
      </c>
      <c r="H926" s="1712"/>
      <c r="I926" s="457" t="str">
        <f>IFERROR(IF(I201="","",I201),"")</f>
        <v/>
      </c>
      <c r="J926" s="414"/>
      <c r="K926" s="414"/>
      <c r="L926" s="414"/>
      <c r="M926" s="414"/>
      <c r="N926" s="414"/>
      <c r="O926" s="414"/>
      <c r="P926" s="414"/>
      <c r="Q926" s="414"/>
      <c r="R926" s="415" t="str">
        <f>IFERROR(IF(AND(J926="",K926="",L926="",M926="",N926="",O926="",P926="",Q926=""),"",SUM(J926:Q926)),"")</f>
        <v/>
      </c>
    </row>
    <row r="927" spans="1:18" ht="60" hidden="1" customHeight="1" x14ac:dyDescent="0.25">
      <c r="B927" s="1565" t="str">
        <f t="shared" ref="B927:B934" si="223">IFERROR(IF(B202="","",B202),"")</f>
        <v/>
      </c>
      <c r="C927" s="1566"/>
      <c r="D927" s="1567"/>
      <c r="E927" s="1250" t="str">
        <f t="shared" ref="E927:E934" si="224">IFERROR(IF(E202="","",E202),"")</f>
        <v/>
      </c>
      <c r="F927" s="1252"/>
      <c r="G927" s="1711" t="str">
        <f t="shared" ref="G927:G934" si="225">IFERROR(IF(G202="","",G202),"")</f>
        <v/>
      </c>
      <c r="H927" s="1712"/>
      <c r="I927" s="457" t="str">
        <f t="shared" ref="I927:I934" si="226">IFERROR(IF(I202="","",I202),"")</f>
        <v/>
      </c>
      <c r="J927" s="414"/>
      <c r="K927" s="414"/>
      <c r="L927" s="414"/>
      <c r="M927" s="414"/>
      <c r="N927" s="414"/>
      <c r="O927" s="414"/>
      <c r="P927" s="414"/>
      <c r="Q927" s="414"/>
      <c r="R927" s="415" t="str">
        <f t="shared" ref="R927:R934" si="227">IFERROR(IF(AND(J927="",K927="",L927="",M927="",N927="",O927="",P927="",Q927=""),"",SUM(J927:Q927)),"")</f>
        <v/>
      </c>
    </row>
    <row r="928" spans="1:18" ht="60" hidden="1" customHeight="1" x14ac:dyDescent="0.25">
      <c r="A928" s="503"/>
      <c r="B928" s="1565" t="str">
        <f t="shared" si="223"/>
        <v/>
      </c>
      <c r="C928" s="1566"/>
      <c r="D928" s="1567"/>
      <c r="E928" s="1250" t="str">
        <f t="shared" si="224"/>
        <v/>
      </c>
      <c r="F928" s="1252"/>
      <c r="G928" s="1711" t="str">
        <f t="shared" si="225"/>
        <v/>
      </c>
      <c r="H928" s="1712"/>
      <c r="I928" s="457" t="str">
        <f t="shared" si="226"/>
        <v/>
      </c>
      <c r="J928" s="414"/>
      <c r="K928" s="414"/>
      <c r="L928" s="414"/>
      <c r="M928" s="414"/>
      <c r="N928" s="414"/>
      <c r="O928" s="414"/>
      <c r="P928" s="414"/>
      <c r="Q928" s="414"/>
      <c r="R928" s="415" t="str">
        <f t="shared" si="227"/>
        <v/>
      </c>
    </row>
    <row r="929" spans="1:18" ht="60" hidden="1" customHeight="1" x14ac:dyDescent="0.25">
      <c r="B929" s="1565" t="str">
        <f t="shared" si="223"/>
        <v/>
      </c>
      <c r="C929" s="1566"/>
      <c r="D929" s="1567"/>
      <c r="E929" s="1250" t="str">
        <f t="shared" si="224"/>
        <v/>
      </c>
      <c r="F929" s="1252"/>
      <c r="G929" s="1711" t="str">
        <f t="shared" si="225"/>
        <v/>
      </c>
      <c r="H929" s="1712"/>
      <c r="I929" s="457" t="str">
        <f t="shared" si="226"/>
        <v/>
      </c>
      <c r="J929" s="414"/>
      <c r="K929" s="414"/>
      <c r="L929" s="414"/>
      <c r="M929" s="414"/>
      <c r="N929" s="414"/>
      <c r="O929" s="414"/>
      <c r="P929" s="414"/>
      <c r="Q929" s="414"/>
      <c r="R929" s="415" t="str">
        <f t="shared" si="227"/>
        <v/>
      </c>
    </row>
    <row r="930" spans="1:18" ht="60" hidden="1" customHeight="1" x14ac:dyDescent="0.25">
      <c r="A930" s="503"/>
      <c r="B930" s="1565" t="str">
        <f t="shared" si="223"/>
        <v/>
      </c>
      <c r="C930" s="1566"/>
      <c r="D930" s="1567"/>
      <c r="E930" s="1250" t="str">
        <f t="shared" si="224"/>
        <v/>
      </c>
      <c r="F930" s="1252"/>
      <c r="G930" s="1711" t="str">
        <f t="shared" si="225"/>
        <v/>
      </c>
      <c r="H930" s="1712"/>
      <c r="I930" s="457" t="str">
        <f t="shared" si="226"/>
        <v/>
      </c>
      <c r="J930" s="414"/>
      <c r="K930" s="414"/>
      <c r="L930" s="414"/>
      <c r="M930" s="414"/>
      <c r="N930" s="414"/>
      <c r="O930" s="414"/>
      <c r="P930" s="414"/>
      <c r="Q930" s="414"/>
      <c r="R930" s="415" t="str">
        <f t="shared" si="227"/>
        <v/>
      </c>
    </row>
    <row r="931" spans="1:18" ht="60" hidden="1" customHeight="1" x14ac:dyDescent="0.25">
      <c r="B931" s="1565" t="str">
        <f t="shared" si="223"/>
        <v/>
      </c>
      <c r="C931" s="1566"/>
      <c r="D931" s="1567"/>
      <c r="E931" s="1250" t="str">
        <f t="shared" si="224"/>
        <v/>
      </c>
      <c r="F931" s="1252"/>
      <c r="G931" s="1711" t="str">
        <f t="shared" si="225"/>
        <v/>
      </c>
      <c r="H931" s="1712"/>
      <c r="I931" s="457" t="str">
        <f t="shared" si="226"/>
        <v/>
      </c>
      <c r="J931" s="414"/>
      <c r="K931" s="414"/>
      <c r="L931" s="414"/>
      <c r="M931" s="414"/>
      <c r="N931" s="414"/>
      <c r="O931" s="414"/>
      <c r="P931" s="414"/>
      <c r="Q931" s="414"/>
      <c r="R931" s="415" t="str">
        <f t="shared" si="227"/>
        <v/>
      </c>
    </row>
    <row r="932" spans="1:18" ht="60" hidden="1" customHeight="1" x14ac:dyDescent="0.25">
      <c r="A932" s="503"/>
      <c r="B932" s="1565" t="str">
        <f t="shared" si="223"/>
        <v/>
      </c>
      <c r="C932" s="1566"/>
      <c r="D932" s="1567"/>
      <c r="E932" s="1250" t="str">
        <f t="shared" si="224"/>
        <v/>
      </c>
      <c r="F932" s="1252"/>
      <c r="G932" s="1711" t="str">
        <f t="shared" si="225"/>
        <v/>
      </c>
      <c r="H932" s="1712"/>
      <c r="I932" s="457" t="str">
        <f t="shared" si="226"/>
        <v/>
      </c>
      <c r="J932" s="414"/>
      <c r="K932" s="414"/>
      <c r="L932" s="414"/>
      <c r="M932" s="414"/>
      <c r="N932" s="414"/>
      <c r="O932" s="414"/>
      <c r="P932" s="414"/>
      <c r="Q932" s="414"/>
      <c r="R932" s="415" t="str">
        <f t="shared" si="227"/>
        <v/>
      </c>
    </row>
    <row r="933" spans="1:18" ht="60" hidden="1" customHeight="1" x14ac:dyDescent="0.25">
      <c r="B933" s="1565" t="str">
        <f t="shared" si="223"/>
        <v/>
      </c>
      <c r="C933" s="1566"/>
      <c r="D933" s="1567"/>
      <c r="E933" s="1250" t="str">
        <f t="shared" si="224"/>
        <v/>
      </c>
      <c r="F933" s="1252"/>
      <c r="G933" s="1711" t="str">
        <f t="shared" si="225"/>
        <v/>
      </c>
      <c r="H933" s="1712"/>
      <c r="I933" s="457" t="str">
        <f t="shared" si="226"/>
        <v/>
      </c>
      <c r="J933" s="414"/>
      <c r="K933" s="414"/>
      <c r="L933" s="414"/>
      <c r="M933" s="414"/>
      <c r="N933" s="414"/>
      <c r="O933" s="414"/>
      <c r="P933" s="414"/>
      <c r="Q933" s="414"/>
      <c r="R933" s="415" t="str">
        <f t="shared" si="227"/>
        <v/>
      </c>
    </row>
    <row r="934" spans="1:18" ht="60" hidden="1" customHeight="1" x14ac:dyDescent="0.25">
      <c r="A934" s="503"/>
      <c r="B934" s="1565" t="str">
        <f t="shared" si="223"/>
        <v/>
      </c>
      <c r="C934" s="1566"/>
      <c r="D934" s="1567"/>
      <c r="E934" s="1250" t="str">
        <f t="shared" si="224"/>
        <v/>
      </c>
      <c r="F934" s="1252"/>
      <c r="G934" s="1711" t="str">
        <f t="shared" si="225"/>
        <v/>
      </c>
      <c r="H934" s="1712"/>
      <c r="I934" s="457" t="str">
        <f t="shared" si="226"/>
        <v/>
      </c>
      <c r="J934" s="414"/>
      <c r="K934" s="414"/>
      <c r="L934" s="414"/>
      <c r="M934" s="414"/>
      <c r="N934" s="414"/>
      <c r="O934" s="414"/>
      <c r="P934" s="414"/>
      <c r="Q934" s="414"/>
      <c r="R934" s="415" t="str">
        <f t="shared" si="227"/>
        <v/>
      </c>
    </row>
    <row r="935" spans="1:18" ht="15.95" hidden="1" customHeight="1" x14ac:dyDescent="0.25">
      <c r="B935" s="1713" t="str">
        <f t="shared" ref="B935:B941" si="228">IFERROR(IF(B210="","",B210),"")</f>
        <v>Medidas de Reducción del riesgo de desastres y mitigación ambiental</v>
      </c>
      <c r="C935" s="1714"/>
      <c r="D935" s="1714"/>
      <c r="E935" s="1714"/>
      <c r="F935" s="1714"/>
      <c r="G935" s="1714"/>
      <c r="H935" s="1714"/>
      <c r="I935" s="1714"/>
      <c r="J935" s="1714"/>
      <c r="K935" s="1714"/>
      <c r="L935" s="1714"/>
      <c r="M935" s="1714"/>
      <c r="N935" s="1714"/>
      <c r="O935" s="1714"/>
      <c r="P935" s="1714"/>
      <c r="Q935" s="1714"/>
      <c r="R935" s="1715"/>
    </row>
    <row r="936" spans="1:18" ht="60" hidden="1" customHeight="1" x14ac:dyDescent="0.25">
      <c r="A936" s="503"/>
      <c r="B936" s="1565" t="str">
        <f t="shared" si="228"/>
        <v/>
      </c>
      <c r="C936" s="1566"/>
      <c r="D936" s="1567"/>
      <c r="E936" s="1250" t="str">
        <f t="shared" ref="E936:E941" si="229">IFERROR(IF(E211="","",E211),"")</f>
        <v/>
      </c>
      <c r="F936" s="1252"/>
      <c r="G936" s="1711" t="str">
        <f t="shared" ref="G936:G941" si="230">IFERROR(IF(G211="","",G211),"")</f>
        <v/>
      </c>
      <c r="H936" s="1712"/>
      <c r="I936" s="457" t="str">
        <f t="shared" ref="I936:I941" si="231">IFERROR(IF(I211="","",I211),"")</f>
        <v/>
      </c>
      <c r="J936" s="414"/>
      <c r="K936" s="414"/>
      <c r="L936" s="414"/>
      <c r="M936" s="414"/>
      <c r="N936" s="414"/>
      <c r="O936" s="414"/>
      <c r="P936" s="414"/>
      <c r="Q936" s="414"/>
      <c r="R936" s="415" t="str">
        <f t="shared" ref="R936:R963" si="232">IFERROR(IF(AND(J936="",K936="",L936="",M936="",N936="",O936="",P936="",Q936=""),"",SUM(J936:Q936)),"")</f>
        <v/>
      </c>
    </row>
    <row r="937" spans="1:18" ht="60" hidden="1" customHeight="1" x14ac:dyDescent="0.25">
      <c r="B937" s="1565" t="str">
        <f t="shared" si="228"/>
        <v/>
      </c>
      <c r="C937" s="1566"/>
      <c r="D937" s="1567"/>
      <c r="E937" s="1250" t="str">
        <f t="shared" si="229"/>
        <v/>
      </c>
      <c r="F937" s="1252"/>
      <c r="G937" s="1711" t="str">
        <f t="shared" si="230"/>
        <v/>
      </c>
      <c r="H937" s="1712"/>
      <c r="I937" s="457" t="str">
        <f t="shared" si="231"/>
        <v/>
      </c>
      <c r="J937" s="414"/>
      <c r="K937" s="414"/>
      <c r="L937" s="414"/>
      <c r="M937" s="414"/>
      <c r="N937" s="414"/>
      <c r="O937" s="414"/>
      <c r="P937" s="414"/>
      <c r="Q937" s="414"/>
      <c r="R937" s="415" t="str">
        <f t="shared" si="232"/>
        <v/>
      </c>
    </row>
    <row r="938" spans="1:18" ht="60" hidden="1" customHeight="1" x14ac:dyDescent="0.25">
      <c r="A938" s="503"/>
      <c r="B938" s="1565" t="str">
        <f t="shared" si="228"/>
        <v/>
      </c>
      <c r="C938" s="1566"/>
      <c r="D938" s="1567"/>
      <c r="E938" s="1250" t="str">
        <f t="shared" si="229"/>
        <v/>
      </c>
      <c r="F938" s="1252"/>
      <c r="G938" s="1711" t="str">
        <f t="shared" si="230"/>
        <v/>
      </c>
      <c r="H938" s="1712"/>
      <c r="I938" s="457" t="str">
        <f t="shared" si="231"/>
        <v/>
      </c>
      <c r="J938" s="414"/>
      <c r="K938" s="414"/>
      <c r="L938" s="414"/>
      <c r="M938" s="414"/>
      <c r="N938" s="414"/>
      <c r="O938" s="414"/>
      <c r="P938" s="414"/>
      <c r="Q938" s="414"/>
      <c r="R938" s="415" t="str">
        <f t="shared" si="232"/>
        <v/>
      </c>
    </row>
    <row r="939" spans="1:18" ht="60" hidden="1" customHeight="1" x14ac:dyDescent="0.25">
      <c r="B939" s="1565" t="str">
        <f t="shared" si="228"/>
        <v/>
      </c>
      <c r="C939" s="1566"/>
      <c r="D939" s="1567"/>
      <c r="E939" s="1250" t="str">
        <f t="shared" si="229"/>
        <v/>
      </c>
      <c r="F939" s="1252"/>
      <c r="G939" s="1711" t="str">
        <f t="shared" si="230"/>
        <v/>
      </c>
      <c r="H939" s="1712"/>
      <c r="I939" s="457" t="str">
        <f t="shared" si="231"/>
        <v/>
      </c>
      <c r="J939" s="414"/>
      <c r="K939" s="414"/>
      <c r="L939" s="414"/>
      <c r="M939" s="414"/>
      <c r="N939" s="414"/>
      <c r="O939" s="414"/>
      <c r="P939" s="414"/>
      <c r="Q939" s="414"/>
      <c r="R939" s="415" t="str">
        <f t="shared" si="232"/>
        <v/>
      </c>
    </row>
    <row r="940" spans="1:18" ht="60" hidden="1" customHeight="1" x14ac:dyDescent="0.25">
      <c r="A940" s="503"/>
      <c r="B940" s="1565" t="str">
        <f t="shared" si="228"/>
        <v/>
      </c>
      <c r="C940" s="1566"/>
      <c r="D940" s="1567"/>
      <c r="E940" s="1250" t="str">
        <f t="shared" si="229"/>
        <v/>
      </c>
      <c r="F940" s="1252"/>
      <c r="G940" s="1711" t="str">
        <f t="shared" si="230"/>
        <v/>
      </c>
      <c r="H940" s="1712"/>
      <c r="I940" s="457" t="str">
        <f t="shared" si="231"/>
        <v/>
      </c>
      <c r="J940" s="414"/>
      <c r="K940" s="414"/>
      <c r="L940" s="414"/>
      <c r="M940" s="414"/>
      <c r="N940" s="414"/>
      <c r="O940" s="414"/>
      <c r="P940" s="414"/>
      <c r="Q940" s="414"/>
      <c r="R940" s="415" t="str">
        <f t="shared" si="232"/>
        <v/>
      </c>
    </row>
    <row r="941" spans="1:18" ht="60" hidden="1" customHeight="1" x14ac:dyDescent="0.25">
      <c r="B941" s="1565" t="str">
        <f t="shared" si="228"/>
        <v/>
      </c>
      <c r="C941" s="1566"/>
      <c r="D941" s="1567"/>
      <c r="E941" s="1250" t="str">
        <f t="shared" si="229"/>
        <v/>
      </c>
      <c r="F941" s="1252"/>
      <c r="G941" s="1711" t="str">
        <f t="shared" si="230"/>
        <v/>
      </c>
      <c r="H941" s="1712"/>
      <c r="I941" s="457" t="str">
        <f t="shared" si="231"/>
        <v/>
      </c>
      <c r="J941" s="414"/>
      <c r="K941" s="414"/>
      <c r="L941" s="414"/>
      <c r="M941" s="414"/>
      <c r="N941" s="414"/>
      <c r="O941" s="414"/>
      <c r="P941" s="414"/>
      <c r="Q941" s="414"/>
      <c r="R941" s="415" t="str">
        <f t="shared" si="232"/>
        <v/>
      </c>
    </row>
    <row r="942" spans="1:18" ht="15.95" hidden="1" customHeight="1" x14ac:dyDescent="0.25">
      <c r="A942" s="503"/>
      <c r="B942" s="448" t="str">
        <f>IFERROR(IF(B233="","",B233),"")</f>
        <v>Factor de Producción:</v>
      </c>
      <c r="C942" s="463"/>
      <c r="D942" s="449" t="str">
        <f>IFERROR(IF(D233="","",D233),"")</f>
        <v>Intangibles</v>
      </c>
      <c r="E942" s="463" t="str">
        <f>IFERROR(IF(E645="","",E645),"")</f>
        <v/>
      </c>
      <c r="F942" s="463"/>
      <c r="G942" s="464" t="str">
        <f>IFERROR(IF(G645="","",G645),"")</f>
        <v/>
      </c>
      <c r="H942" s="464"/>
      <c r="I942" s="461" t="str">
        <f>IFERROR(IF(I178="","",I178),"")</f>
        <v/>
      </c>
      <c r="J942" s="527"/>
      <c r="K942" s="527"/>
      <c r="L942" s="527"/>
      <c r="M942" s="527"/>
      <c r="N942" s="527"/>
      <c r="O942" s="527"/>
      <c r="P942" s="527"/>
      <c r="Q942" s="527"/>
      <c r="R942" s="462" t="str">
        <f t="shared" si="232"/>
        <v/>
      </c>
    </row>
    <row r="943" spans="1:18" ht="60" hidden="1" customHeight="1" x14ac:dyDescent="0.25">
      <c r="B943" s="1565" t="str">
        <f>IFERROR(IF(B234="","",B234),"")</f>
        <v/>
      </c>
      <c r="C943" s="1566"/>
      <c r="D943" s="1567"/>
      <c r="E943" s="1250" t="str">
        <f>IFERROR(IF(E234="","",E234),"")</f>
        <v/>
      </c>
      <c r="F943" s="1252"/>
      <c r="G943" s="1711" t="str">
        <f>IFERROR(IF(G234="","",G234),"")</f>
        <v/>
      </c>
      <c r="H943" s="1712"/>
      <c r="I943" s="457" t="str">
        <f>IFERROR(IF(I234="","",I234),"")</f>
        <v/>
      </c>
      <c r="J943" s="414"/>
      <c r="K943" s="414"/>
      <c r="L943" s="414"/>
      <c r="M943" s="414"/>
      <c r="N943" s="414"/>
      <c r="O943" s="414"/>
      <c r="P943" s="414"/>
      <c r="Q943" s="414"/>
      <c r="R943" s="415" t="str">
        <f t="shared" si="232"/>
        <v/>
      </c>
    </row>
    <row r="944" spans="1:18" ht="60" hidden="1" customHeight="1" x14ac:dyDescent="0.25">
      <c r="A944" s="503"/>
      <c r="B944" s="1565" t="str">
        <f t="shared" ref="B944:B963" si="233">IFERROR(IF(B235="","",B235),"")</f>
        <v/>
      </c>
      <c r="C944" s="1566"/>
      <c r="D944" s="1567"/>
      <c r="E944" s="1250" t="str">
        <f t="shared" ref="E944:E963" si="234">IFERROR(IF(E235="","",E235),"")</f>
        <v/>
      </c>
      <c r="F944" s="1252"/>
      <c r="G944" s="1711" t="str">
        <f t="shared" ref="G944:G963" si="235">IFERROR(IF(G235="","",G235),"")</f>
        <v/>
      </c>
      <c r="H944" s="1712"/>
      <c r="I944" s="457" t="str">
        <f t="shared" ref="I944:I963" si="236">IFERROR(IF(I235="","",I235),"")</f>
        <v/>
      </c>
      <c r="J944" s="414"/>
      <c r="K944" s="414"/>
      <c r="L944" s="414"/>
      <c r="M944" s="414"/>
      <c r="N944" s="414"/>
      <c r="O944" s="414"/>
      <c r="P944" s="414"/>
      <c r="Q944" s="414"/>
      <c r="R944" s="415" t="str">
        <f t="shared" si="232"/>
        <v/>
      </c>
    </row>
    <row r="945" spans="1:18" ht="60" hidden="1" customHeight="1" x14ac:dyDescent="0.25">
      <c r="B945" s="1565" t="str">
        <f t="shared" si="233"/>
        <v/>
      </c>
      <c r="C945" s="1566"/>
      <c r="D945" s="1567"/>
      <c r="E945" s="1250" t="str">
        <f t="shared" si="234"/>
        <v/>
      </c>
      <c r="F945" s="1252"/>
      <c r="G945" s="1711" t="str">
        <f t="shared" si="235"/>
        <v/>
      </c>
      <c r="H945" s="1712"/>
      <c r="I945" s="457" t="str">
        <f t="shared" si="236"/>
        <v/>
      </c>
      <c r="J945" s="414"/>
      <c r="K945" s="414"/>
      <c r="L945" s="414"/>
      <c r="M945" s="414"/>
      <c r="N945" s="414"/>
      <c r="O945" s="414"/>
      <c r="P945" s="414"/>
      <c r="Q945" s="414"/>
      <c r="R945" s="415" t="str">
        <f t="shared" si="232"/>
        <v/>
      </c>
    </row>
    <row r="946" spans="1:18" ht="60" hidden="1" customHeight="1" x14ac:dyDescent="0.25">
      <c r="A946" s="503"/>
      <c r="B946" s="1565" t="str">
        <f t="shared" si="233"/>
        <v/>
      </c>
      <c r="C946" s="1566"/>
      <c r="D946" s="1567"/>
      <c r="E946" s="1250" t="str">
        <f t="shared" si="234"/>
        <v/>
      </c>
      <c r="F946" s="1252"/>
      <c r="G946" s="1711" t="str">
        <f t="shared" si="235"/>
        <v/>
      </c>
      <c r="H946" s="1712"/>
      <c r="I946" s="457" t="str">
        <f t="shared" si="236"/>
        <v/>
      </c>
      <c r="J946" s="414"/>
      <c r="K946" s="414"/>
      <c r="L946" s="414"/>
      <c r="M946" s="414"/>
      <c r="N946" s="414"/>
      <c r="O946" s="414"/>
      <c r="P946" s="414"/>
      <c r="Q946" s="414"/>
      <c r="R946" s="415" t="str">
        <f t="shared" si="232"/>
        <v/>
      </c>
    </row>
    <row r="947" spans="1:18" ht="60" hidden="1" customHeight="1" x14ac:dyDescent="0.25">
      <c r="B947" s="1565" t="str">
        <f t="shared" si="233"/>
        <v/>
      </c>
      <c r="C947" s="1566"/>
      <c r="D947" s="1567"/>
      <c r="E947" s="1250" t="str">
        <f t="shared" si="234"/>
        <v/>
      </c>
      <c r="F947" s="1252"/>
      <c r="G947" s="1711" t="str">
        <f t="shared" si="235"/>
        <v/>
      </c>
      <c r="H947" s="1712"/>
      <c r="I947" s="457" t="str">
        <f t="shared" si="236"/>
        <v/>
      </c>
      <c r="J947" s="414"/>
      <c r="K947" s="414"/>
      <c r="L947" s="414"/>
      <c r="M947" s="414"/>
      <c r="N947" s="414"/>
      <c r="O947" s="414"/>
      <c r="P947" s="414"/>
      <c r="Q947" s="414"/>
      <c r="R947" s="415" t="str">
        <f t="shared" si="232"/>
        <v/>
      </c>
    </row>
    <row r="948" spans="1:18" ht="60" hidden="1" customHeight="1" x14ac:dyDescent="0.25">
      <c r="A948" s="503"/>
      <c r="B948" s="1565" t="str">
        <f t="shared" si="233"/>
        <v/>
      </c>
      <c r="C948" s="1566"/>
      <c r="D948" s="1567"/>
      <c r="E948" s="1250" t="str">
        <f t="shared" si="234"/>
        <v/>
      </c>
      <c r="F948" s="1252"/>
      <c r="G948" s="1711" t="str">
        <f t="shared" si="235"/>
        <v/>
      </c>
      <c r="H948" s="1712"/>
      <c r="I948" s="457" t="str">
        <f t="shared" si="236"/>
        <v/>
      </c>
      <c r="J948" s="414"/>
      <c r="K948" s="414"/>
      <c r="L948" s="414"/>
      <c r="M948" s="414"/>
      <c r="N948" s="414"/>
      <c r="O948" s="414"/>
      <c r="P948" s="414"/>
      <c r="Q948" s="414"/>
      <c r="R948" s="415" t="str">
        <f t="shared" si="232"/>
        <v/>
      </c>
    </row>
    <row r="949" spans="1:18" ht="60" hidden="1" customHeight="1" x14ac:dyDescent="0.25">
      <c r="B949" s="1565" t="str">
        <f t="shared" si="233"/>
        <v/>
      </c>
      <c r="C949" s="1566"/>
      <c r="D949" s="1567"/>
      <c r="E949" s="1250" t="str">
        <f t="shared" si="234"/>
        <v/>
      </c>
      <c r="F949" s="1252"/>
      <c r="G949" s="1711" t="str">
        <f t="shared" si="235"/>
        <v/>
      </c>
      <c r="H949" s="1712"/>
      <c r="I949" s="457" t="str">
        <f t="shared" si="236"/>
        <v/>
      </c>
      <c r="J949" s="414"/>
      <c r="K949" s="414"/>
      <c r="L949" s="414"/>
      <c r="M949" s="414"/>
      <c r="N949" s="414"/>
      <c r="O949" s="414"/>
      <c r="P949" s="414"/>
      <c r="Q949" s="414"/>
      <c r="R949" s="415" t="str">
        <f t="shared" si="232"/>
        <v/>
      </c>
    </row>
    <row r="950" spans="1:18" ht="60" hidden="1" customHeight="1" x14ac:dyDescent="0.25">
      <c r="A950" s="503"/>
      <c r="B950" s="1565" t="str">
        <f t="shared" si="233"/>
        <v/>
      </c>
      <c r="C950" s="1566"/>
      <c r="D950" s="1567"/>
      <c r="E950" s="1250" t="str">
        <f t="shared" si="234"/>
        <v/>
      </c>
      <c r="F950" s="1252"/>
      <c r="G950" s="1711" t="str">
        <f t="shared" si="235"/>
        <v/>
      </c>
      <c r="H950" s="1712"/>
      <c r="I950" s="457" t="str">
        <f t="shared" si="236"/>
        <v/>
      </c>
      <c r="J950" s="414"/>
      <c r="K950" s="414"/>
      <c r="L950" s="414"/>
      <c r="M950" s="414"/>
      <c r="N950" s="414"/>
      <c r="O950" s="414"/>
      <c r="P950" s="414"/>
      <c r="Q950" s="414"/>
      <c r="R950" s="415" t="str">
        <f t="shared" si="232"/>
        <v/>
      </c>
    </row>
    <row r="951" spans="1:18" ht="60" hidden="1" customHeight="1" x14ac:dyDescent="0.25">
      <c r="B951" s="1565" t="str">
        <f t="shared" si="233"/>
        <v/>
      </c>
      <c r="C951" s="1566"/>
      <c r="D951" s="1567"/>
      <c r="E951" s="1250" t="str">
        <f t="shared" si="234"/>
        <v/>
      </c>
      <c r="F951" s="1252"/>
      <c r="G951" s="1711" t="str">
        <f t="shared" si="235"/>
        <v/>
      </c>
      <c r="H951" s="1712"/>
      <c r="I951" s="457" t="str">
        <f t="shared" si="236"/>
        <v/>
      </c>
      <c r="J951" s="414"/>
      <c r="K951" s="414"/>
      <c r="L951" s="414"/>
      <c r="M951" s="414"/>
      <c r="N951" s="414"/>
      <c r="O951" s="414"/>
      <c r="P951" s="414"/>
      <c r="Q951" s="414"/>
      <c r="R951" s="415" t="str">
        <f t="shared" si="232"/>
        <v/>
      </c>
    </row>
    <row r="952" spans="1:18" ht="60" hidden="1" customHeight="1" x14ac:dyDescent="0.25">
      <c r="A952" s="503"/>
      <c r="B952" s="1565" t="str">
        <f t="shared" si="233"/>
        <v/>
      </c>
      <c r="C952" s="1566"/>
      <c r="D952" s="1567"/>
      <c r="E952" s="1250" t="str">
        <f t="shared" si="234"/>
        <v/>
      </c>
      <c r="F952" s="1252"/>
      <c r="G952" s="1711" t="str">
        <f t="shared" si="235"/>
        <v/>
      </c>
      <c r="H952" s="1712"/>
      <c r="I952" s="457" t="str">
        <f t="shared" si="236"/>
        <v/>
      </c>
      <c r="J952" s="414"/>
      <c r="K952" s="414"/>
      <c r="L952" s="414"/>
      <c r="M952" s="414"/>
      <c r="N952" s="414"/>
      <c r="O952" s="414"/>
      <c r="P952" s="414"/>
      <c r="Q952" s="414"/>
      <c r="R952" s="415" t="str">
        <f t="shared" si="232"/>
        <v/>
      </c>
    </row>
    <row r="953" spans="1:18" ht="60" hidden="1" customHeight="1" x14ac:dyDescent="0.25">
      <c r="B953" s="1565" t="str">
        <f t="shared" si="233"/>
        <v/>
      </c>
      <c r="C953" s="1566"/>
      <c r="D953" s="1567"/>
      <c r="E953" s="1250" t="str">
        <f t="shared" si="234"/>
        <v/>
      </c>
      <c r="F953" s="1252"/>
      <c r="G953" s="1711" t="str">
        <f t="shared" si="235"/>
        <v/>
      </c>
      <c r="H953" s="1712"/>
      <c r="I953" s="457" t="str">
        <f t="shared" si="236"/>
        <v/>
      </c>
      <c r="J953" s="414"/>
      <c r="K953" s="414"/>
      <c r="L953" s="414"/>
      <c r="M953" s="414"/>
      <c r="N953" s="414"/>
      <c r="O953" s="414"/>
      <c r="P953" s="414"/>
      <c r="Q953" s="414"/>
      <c r="R953" s="415" t="str">
        <f t="shared" si="232"/>
        <v/>
      </c>
    </row>
    <row r="954" spans="1:18" ht="60" hidden="1" customHeight="1" x14ac:dyDescent="0.25">
      <c r="A954" s="503"/>
      <c r="B954" s="1565" t="str">
        <f t="shared" si="233"/>
        <v/>
      </c>
      <c r="C954" s="1566"/>
      <c r="D954" s="1567"/>
      <c r="E954" s="1250" t="str">
        <f t="shared" si="234"/>
        <v/>
      </c>
      <c r="F954" s="1252"/>
      <c r="G954" s="1711" t="str">
        <f t="shared" si="235"/>
        <v/>
      </c>
      <c r="H954" s="1712"/>
      <c r="I954" s="457" t="str">
        <f t="shared" si="236"/>
        <v/>
      </c>
      <c r="J954" s="414"/>
      <c r="K954" s="414"/>
      <c r="L954" s="414"/>
      <c r="M954" s="414"/>
      <c r="N954" s="414"/>
      <c r="O954" s="414"/>
      <c r="P954" s="414"/>
      <c r="Q954" s="414"/>
      <c r="R954" s="415" t="str">
        <f t="shared" si="232"/>
        <v/>
      </c>
    </row>
    <row r="955" spans="1:18" ht="60" hidden="1" customHeight="1" x14ac:dyDescent="0.25">
      <c r="B955" s="1565" t="str">
        <f t="shared" si="233"/>
        <v/>
      </c>
      <c r="C955" s="1566"/>
      <c r="D955" s="1567"/>
      <c r="E955" s="1250" t="str">
        <f t="shared" si="234"/>
        <v/>
      </c>
      <c r="F955" s="1252"/>
      <c r="G955" s="1711" t="str">
        <f t="shared" si="235"/>
        <v/>
      </c>
      <c r="H955" s="1712"/>
      <c r="I955" s="457" t="str">
        <f t="shared" si="236"/>
        <v/>
      </c>
      <c r="J955" s="414"/>
      <c r="K955" s="414"/>
      <c r="L955" s="414"/>
      <c r="M955" s="414"/>
      <c r="N955" s="414"/>
      <c r="O955" s="414"/>
      <c r="P955" s="414"/>
      <c r="Q955" s="414"/>
      <c r="R955" s="415" t="str">
        <f t="shared" si="232"/>
        <v/>
      </c>
    </row>
    <row r="956" spans="1:18" ht="60" hidden="1" customHeight="1" x14ac:dyDescent="0.25">
      <c r="A956" s="503"/>
      <c r="B956" s="1565" t="str">
        <f t="shared" si="233"/>
        <v/>
      </c>
      <c r="C956" s="1566"/>
      <c r="D956" s="1567"/>
      <c r="E956" s="1250" t="str">
        <f t="shared" si="234"/>
        <v/>
      </c>
      <c r="F956" s="1252"/>
      <c r="G956" s="1711" t="str">
        <f t="shared" si="235"/>
        <v/>
      </c>
      <c r="H956" s="1712"/>
      <c r="I956" s="457" t="str">
        <f t="shared" si="236"/>
        <v/>
      </c>
      <c r="J956" s="414"/>
      <c r="K956" s="414"/>
      <c r="L956" s="414"/>
      <c r="M956" s="414"/>
      <c r="N956" s="414"/>
      <c r="O956" s="414"/>
      <c r="P956" s="414"/>
      <c r="Q956" s="414"/>
      <c r="R956" s="415" t="str">
        <f t="shared" si="232"/>
        <v/>
      </c>
    </row>
    <row r="957" spans="1:18" ht="60" hidden="1" customHeight="1" x14ac:dyDescent="0.25">
      <c r="B957" s="1565" t="str">
        <f t="shared" si="233"/>
        <v/>
      </c>
      <c r="C957" s="1566"/>
      <c r="D957" s="1567"/>
      <c r="E957" s="1250" t="str">
        <f t="shared" si="234"/>
        <v/>
      </c>
      <c r="F957" s="1252"/>
      <c r="G957" s="1711" t="str">
        <f t="shared" si="235"/>
        <v/>
      </c>
      <c r="H957" s="1712"/>
      <c r="I957" s="457" t="str">
        <f t="shared" si="236"/>
        <v/>
      </c>
      <c r="J957" s="414"/>
      <c r="K957" s="414"/>
      <c r="L957" s="414"/>
      <c r="M957" s="414"/>
      <c r="N957" s="414"/>
      <c r="O957" s="414"/>
      <c r="P957" s="414"/>
      <c r="Q957" s="414"/>
      <c r="R957" s="415" t="str">
        <f t="shared" si="232"/>
        <v/>
      </c>
    </row>
    <row r="958" spans="1:18" ht="60" hidden="1" customHeight="1" x14ac:dyDescent="0.25">
      <c r="A958" s="503"/>
      <c r="B958" s="1565" t="str">
        <f t="shared" si="233"/>
        <v/>
      </c>
      <c r="C958" s="1566"/>
      <c r="D958" s="1567"/>
      <c r="E958" s="1250" t="str">
        <f t="shared" si="234"/>
        <v/>
      </c>
      <c r="F958" s="1252"/>
      <c r="G958" s="1711" t="str">
        <f t="shared" si="235"/>
        <v/>
      </c>
      <c r="H958" s="1712"/>
      <c r="I958" s="457" t="str">
        <f t="shared" si="236"/>
        <v/>
      </c>
      <c r="J958" s="414"/>
      <c r="K958" s="414"/>
      <c r="L958" s="414"/>
      <c r="M958" s="414"/>
      <c r="N958" s="414"/>
      <c r="O958" s="414"/>
      <c r="P958" s="414"/>
      <c r="Q958" s="414"/>
      <c r="R958" s="415" t="str">
        <f t="shared" si="232"/>
        <v/>
      </c>
    </row>
    <row r="959" spans="1:18" ht="60" hidden="1" customHeight="1" x14ac:dyDescent="0.25">
      <c r="B959" s="1565" t="str">
        <f t="shared" si="233"/>
        <v/>
      </c>
      <c r="C959" s="1566"/>
      <c r="D959" s="1567"/>
      <c r="E959" s="1250" t="str">
        <f t="shared" si="234"/>
        <v/>
      </c>
      <c r="F959" s="1252"/>
      <c r="G959" s="1711" t="str">
        <f t="shared" si="235"/>
        <v/>
      </c>
      <c r="H959" s="1712"/>
      <c r="I959" s="457" t="str">
        <f t="shared" si="236"/>
        <v/>
      </c>
      <c r="J959" s="414"/>
      <c r="K959" s="414"/>
      <c r="L959" s="414"/>
      <c r="M959" s="414"/>
      <c r="N959" s="414"/>
      <c r="O959" s="414"/>
      <c r="P959" s="414"/>
      <c r="Q959" s="414"/>
      <c r="R959" s="415" t="str">
        <f t="shared" si="232"/>
        <v/>
      </c>
    </row>
    <row r="960" spans="1:18" ht="60" hidden="1" customHeight="1" x14ac:dyDescent="0.25">
      <c r="A960" s="503"/>
      <c r="B960" s="1565" t="str">
        <f t="shared" si="233"/>
        <v/>
      </c>
      <c r="C960" s="1566"/>
      <c r="D960" s="1567"/>
      <c r="E960" s="1250" t="str">
        <f t="shared" si="234"/>
        <v/>
      </c>
      <c r="F960" s="1252"/>
      <c r="G960" s="1711" t="str">
        <f t="shared" si="235"/>
        <v/>
      </c>
      <c r="H960" s="1712"/>
      <c r="I960" s="457" t="str">
        <f t="shared" si="236"/>
        <v/>
      </c>
      <c r="J960" s="414"/>
      <c r="K960" s="414"/>
      <c r="L960" s="414"/>
      <c r="M960" s="414"/>
      <c r="N960" s="414"/>
      <c r="O960" s="414"/>
      <c r="P960" s="414"/>
      <c r="Q960" s="414"/>
      <c r="R960" s="415" t="str">
        <f t="shared" si="232"/>
        <v/>
      </c>
    </row>
    <row r="961" spans="1:18" ht="60" hidden="1" customHeight="1" x14ac:dyDescent="0.25">
      <c r="B961" s="1565" t="str">
        <f t="shared" si="233"/>
        <v/>
      </c>
      <c r="C961" s="1566"/>
      <c r="D961" s="1567"/>
      <c r="E961" s="1250" t="str">
        <f t="shared" si="234"/>
        <v/>
      </c>
      <c r="F961" s="1252"/>
      <c r="G961" s="1711" t="str">
        <f t="shared" si="235"/>
        <v/>
      </c>
      <c r="H961" s="1712"/>
      <c r="I961" s="457" t="str">
        <f t="shared" si="236"/>
        <v/>
      </c>
      <c r="J961" s="414"/>
      <c r="K961" s="414"/>
      <c r="L961" s="414"/>
      <c r="M961" s="414"/>
      <c r="N961" s="414"/>
      <c r="O961" s="414"/>
      <c r="P961" s="414"/>
      <c r="Q961" s="414"/>
      <c r="R961" s="415" t="str">
        <f t="shared" si="232"/>
        <v/>
      </c>
    </row>
    <row r="962" spans="1:18" ht="60" hidden="1" customHeight="1" x14ac:dyDescent="0.25">
      <c r="A962" s="503"/>
      <c r="B962" s="1565" t="str">
        <f t="shared" si="233"/>
        <v/>
      </c>
      <c r="C962" s="1566"/>
      <c r="D962" s="1567"/>
      <c r="E962" s="1250" t="str">
        <f t="shared" si="234"/>
        <v/>
      </c>
      <c r="F962" s="1252"/>
      <c r="G962" s="1711" t="str">
        <f t="shared" si="235"/>
        <v/>
      </c>
      <c r="H962" s="1712"/>
      <c r="I962" s="457" t="str">
        <f t="shared" si="236"/>
        <v/>
      </c>
      <c r="J962" s="414"/>
      <c r="K962" s="414"/>
      <c r="L962" s="414"/>
      <c r="M962" s="414"/>
      <c r="N962" s="414"/>
      <c r="O962" s="414"/>
      <c r="P962" s="414"/>
      <c r="Q962" s="414"/>
      <c r="R962" s="415" t="str">
        <f t="shared" si="232"/>
        <v/>
      </c>
    </row>
    <row r="963" spans="1:18" ht="60" hidden="1" customHeight="1" x14ac:dyDescent="0.25">
      <c r="B963" s="1565" t="str">
        <f t="shared" si="233"/>
        <v/>
      </c>
      <c r="C963" s="1566"/>
      <c r="D963" s="1567"/>
      <c r="E963" s="1250" t="str">
        <f t="shared" si="234"/>
        <v/>
      </c>
      <c r="F963" s="1252"/>
      <c r="G963" s="1711" t="str">
        <f t="shared" si="235"/>
        <v/>
      </c>
      <c r="H963" s="1712"/>
      <c r="I963" s="457" t="str">
        <f t="shared" si="236"/>
        <v/>
      </c>
      <c r="J963" s="414"/>
      <c r="K963" s="414"/>
      <c r="L963" s="414"/>
      <c r="M963" s="414"/>
      <c r="N963" s="414"/>
      <c r="O963" s="414"/>
      <c r="P963" s="414"/>
      <c r="Q963" s="414"/>
      <c r="R963" s="415" t="str">
        <f t="shared" si="232"/>
        <v/>
      </c>
    </row>
    <row r="964" spans="1:18" ht="15.95" hidden="1" customHeight="1" x14ac:dyDescent="0.25">
      <c r="A964" s="503"/>
      <c r="B964" s="1713" t="str">
        <f t="shared" ref="B964:B970" si="237">IFERROR(IF(B255="","",B255),"")</f>
        <v>Medidas de Reducción del riesgo de desastres y mitigación ambiental</v>
      </c>
      <c r="C964" s="1714"/>
      <c r="D964" s="1714"/>
      <c r="E964" s="1714"/>
      <c r="F964" s="1714"/>
      <c r="G964" s="1714"/>
      <c r="H964" s="1714"/>
      <c r="I964" s="1714"/>
      <c r="J964" s="1714"/>
      <c r="K964" s="1714"/>
      <c r="L964" s="1714"/>
      <c r="M964" s="1714"/>
      <c r="N964" s="1714"/>
      <c r="O964" s="1714"/>
      <c r="P964" s="1714"/>
      <c r="Q964" s="1714"/>
      <c r="R964" s="1715"/>
    </row>
    <row r="965" spans="1:18" ht="60" hidden="1" customHeight="1" x14ac:dyDescent="0.25">
      <c r="B965" s="1565" t="str">
        <f t="shared" si="237"/>
        <v/>
      </c>
      <c r="C965" s="1566"/>
      <c r="D965" s="1567"/>
      <c r="E965" s="1250" t="str">
        <f t="shared" ref="E965:E970" si="238">IFERROR(IF(E256="","",E256),"")</f>
        <v/>
      </c>
      <c r="F965" s="1252"/>
      <c r="G965" s="1711" t="str">
        <f t="shared" ref="G965:G970" si="239">IFERROR(IF(G256="","",G256),"")</f>
        <v/>
      </c>
      <c r="H965" s="1712"/>
      <c r="I965" s="457" t="str">
        <f t="shared" ref="I965:I970" si="240">IFERROR(IF(I256="","",I256),"")</f>
        <v/>
      </c>
      <c r="J965" s="414"/>
      <c r="K965" s="414"/>
      <c r="L965" s="414"/>
      <c r="M965" s="414"/>
      <c r="N965" s="414"/>
      <c r="O965" s="414"/>
      <c r="P965" s="414"/>
      <c r="Q965" s="414"/>
      <c r="R965" s="415" t="str">
        <f t="shared" ref="R965:R970" si="241">IFERROR(IF(AND(J965="",K965="",L965="",M965="",N965="",O965="",P965="",Q965=""),"",SUM(J965:Q965)),"")</f>
        <v/>
      </c>
    </row>
    <row r="966" spans="1:18" ht="60" hidden="1" customHeight="1" x14ac:dyDescent="0.25">
      <c r="A966" s="503"/>
      <c r="B966" s="1565" t="str">
        <f t="shared" si="237"/>
        <v/>
      </c>
      <c r="C966" s="1566"/>
      <c r="D966" s="1567"/>
      <c r="E966" s="1250" t="str">
        <f t="shared" si="238"/>
        <v/>
      </c>
      <c r="F966" s="1252"/>
      <c r="G966" s="1711" t="str">
        <f t="shared" si="239"/>
        <v/>
      </c>
      <c r="H966" s="1712"/>
      <c r="I966" s="457" t="str">
        <f t="shared" si="240"/>
        <v/>
      </c>
      <c r="J966" s="414"/>
      <c r="K966" s="414"/>
      <c r="L966" s="414"/>
      <c r="M966" s="414"/>
      <c r="N966" s="414"/>
      <c r="O966" s="414"/>
      <c r="P966" s="414"/>
      <c r="Q966" s="414"/>
      <c r="R966" s="415" t="str">
        <f t="shared" si="241"/>
        <v/>
      </c>
    </row>
    <row r="967" spans="1:18" ht="60" hidden="1" customHeight="1" x14ac:dyDescent="0.25">
      <c r="A967" s="503"/>
      <c r="B967" s="1565" t="str">
        <f t="shared" si="237"/>
        <v/>
      </c>
      <c r="C967" s="1566"/>
      <c r="D967" s="1567"/>
      <c r="E967" s="1250" t="str">
        <f t="shared" si="238"/>
        <v/>
      </c>
      <c r="F967" s="1252"/>
      <c r="G967" s="1711" t="str">
        <f t="shared" si="239"/>
        <v/>
      </c>
      <c r="H967" s="1712"/>
      <c r="I967" s="457" t="str">
        <f t="shared" si="240"/>
        <v/>
      </c>
      <c r="J967" s="414"/>
      <c r="K967" s="414"/>
      <c r="L967" s="414"/>
      <c r="M967" s="414"/>
      <c r="N967" s="414"/>
      <c r="O967" s="414"/>
      <c r="P967" s="414"/>
      <c r="Q967" s="414"/>
      <c r="R967" s="415" t="str">
        <f t="shared" si="241"/>
        <v/>
      </c>
    </row>
    <row r="968" spans="1:18" ht="60" hidden="1" customHeight="1" x14ac:dyDescent="0.25">
      <c r="A968" s="503"/>
      <c r="B968" s="1565" t="str">
        <f t="shared" si="237"/>
        <v/>
      </c>
      <c r="C968" s="1566"/>
      <c r="D968" s="1567"/>
      <c r="E968" s="1250" t="str">
        <f t="shared" si="238"/>
        <v/>
      </c>
      <c r="F968" s="1252"/>
      <c r="G968" s="1711" t="str">
        <f t="shared" si="239"/>
        <v/>
      </c>
      <c r="H968" s="1712"/>
      <c r="I968" s="457" t="str">
        <f t="shared" si="240"/>
        <v/>
      </c>
      <c r="J968" s="414"/>
      <c r="K968" s="414"/>
      <c r="L968" s="414"/>
      <c r="M968" s="414"/>
      <c r="N968" s="414"/>
      <c r="O968" s="414"/>
      <c r="P968" s="414"/>
      <c r="Q968" s="414"/>
      <c r="R968" s="415" t="str">
        <f t="shared" si="241"/>
        <v/>
      </c>
    </row>
    <row r="969" spans="1:18" ht="60" hidden="1" customHeight="1" x14ac:dyDescent="0.25">
      <c r="B969" s="1565" t="str">
        <f t="shared" si="237"/>
        <v/>
      </c>
      <c r="C969" s="1566"/>
      <c r="D969" s="1567"/>
      <c r="E969" s="1250" t="str">
        <f t="shared" si="238"/>
        <v/>
      </c>
      <c r="F969" s="1252"/>
      <c r="G969" s="1711" t="str">
        <f t="shared" si="239"/>
        <v/>
      </c>
      <c r="H969" s="1712"/>
      <c r="I969" s="457" t="str">
        <f t="shared" si="240"/>
        <v/>
      </c>
      <c r="J969" s="414"/>
      <c r="K969" s="414"/>
      <c r="L969" s="414"/>
      <c r="M969" s="414"/>
      <c r="N969" s="414"/>
      <c r="O969" s="414"/>
      <c r="P969" s="414"/>
      <c r="Q969" s="414"/>
      <c r="R969" s="415" t="str">
        <f t="shared" si="241"/>
        <v/>
      </c>
    </row>
    <row r="970" spans="1:18" ht="60" hidden="1" customHeight="1" x14ac:dyDescent="0.25">
      <c r="A970" s="503"/>
      <c r="B970" s="1565" t="str">
        <f t="shared" si="237"/>
        <v/>
      </c>
      <c r="C970" s="1566"/>
      <c r="D970" s="1567"/>
      <c r="E970" s="1250" t="str">
        <f t="shared" si="238"/>
        <v/>
      </c>
      <c r="F970" s="1252"/>
      <c r="G970" s="1711" t="str">
        <f t="shared" si="239"/>
        <v/>
      </c>
      <c r="H970" s="1712"/>
      <c r="I970" s="457" t="str">
        <f t="shared" si="240"/>
        <v/>
      </c>
      <c r="J970" s="414"/>
      <c r="K970" s="414"/>
      <c r="L970" s="414"/>
      <c r="M970" s="414"/>
      <c r="N970" s="414"/>
      <c r="O970" s="414"/>
      <c r="P970" s="414"/>
      <c r="Q970" s="414"/>
      <c r="R970" s="415" t="str">
        <f t="shared" si="241"/>
        <v/>
      </c>
    </row>
    <row r="971" spans="1:18" hidden="1" x14ac:dyDescent="0.25">
      <c r="B971" s="1790" t="s">
        <v>393</v>
      </c>
      <c r="C971" s="1790"/>
      <c r="D971" s="1790"/>
      <c r="E971" s="1790"/>
      <c r="F971" s="1790"/>
      <c r="G971" s="1790"/>
      <c r="H971" s="1790"/>
      <c r="I971" s="1790"/>
      <c r="J971" s="1790"/>
      <c r="K971" s="1790"/>
      <c r="L971" s="1790"/>
      <c r="M971" s="1790"/>
      <c r="N971" s="1790"/>
      <c r="O971" s="1790"/>
      <c r="P971" s="1790"/>
      <c r="Q971" s="1790"/>
      <c r="R971" s="1790"/>
    </row>
    <row r="972" spans="1:18" hidden="1" x14ac:dyDescent="0.25">
      <c r="A972" s="503"/>
      <c r="B972" s="1791"/>
      <c r="C972" s="1791"/>
      <c r="D972" s="1791"/>
      <c r="E972" s="1791"/>
      <c r="F972" s="1791"/>
      <c r="G972" s="1791"/>
      <c r="H972" s="1791"/>
      <c r="I972" s="1791"/>
      <c r="J972" s="1791"/>
      <c r="K972" s="1791"/>
      <c r="L972" s="1791"/>
      <c r="M972" s="1791"/>
      <c r="N972" s="1791"/>
      <c r="O972" s="1791"/>
      <c r="P972" s="1791"/>
      <c r="Q972" s="1791"/>
      <c r="R972" s="1791"/>
    </row>
    <row r="973" spans="1:18" ht="24.95" hidden="1" customHeight="1" x14ac:dyDescent="0.25">
      <c r="B973" s="195" t="s">
        <v>4773</v>
      </c>
      <c r="C973" s="503"/>
      <c r="D973" s="503"/>
      <c r="E973" s="503"/>
      <c r="F973" s="503"/>
      <c r="G973" s="503"/>
      <c r="H973" s="503"/>
      <c r="I973" s="503"/>
      <c r="J973" s="503"/>
      <c r="K973" s="503"/>
      <c r="L973" s="503"/>
      <c r="M973" s="503"/>
      <c r="N973" s="503"/>
      <c r="O973" s="503"/>
      <c r="P973" s="503"/>
      <c r="Q973" s="503"/>
      <c r="R973" s="503"/>
    </row>
    <row r="974" spans="1:18" ht="12.75" hidden="1" customHeight="1" x14ac:dyDescent="0.25">
      <c r="B974" s="1444" t="s">
        <v>378</v>
      </c>
      <c r="C974" s="1445"/>
      <c r="D974" s="1445"/>
      <c r="E974" s="1445"/>
      <c r="F974" s="1446"/>
      <c r="G974" s="1716" t="s">
        <v>106</v>
      </c>
      <c r="H974" s="1717"/>
      <c r="I974" s="1722" t="s">
        <v>4790</v>
      </c>
      <c r="J974" s="1716" t="s">
        <v>140</v>
      </c>
      <c r="K974" s="1725"/>
      <c r="L974" s="1725"/>
      <c r="M974" s="1725"/>
      <c r="N974" s="1725"/>
      <c r="O974" s="1725"/>
      <c r="P974" s="1725"/>
      <c r="Q974" s="1717"/>
      <c r="R974" s="1727" t="s">
        <v>141</v>
      </c>
    </row>
    <row r="975" spans="1:18" ht="12.75" hidden="1" customHeight="1" x14ac:dyDescent="0.25">
      <c r="B975" s="1716" t="s">
        <v>4791</v>
      </c>
      <c r="C975" s="1725"/>
      <c r="D975" s="1717"/>
      <c r="E975" s="1716" t="s">
        <v>105</v>
      </c>
      <c r="F975" s="1717"/>
      <c r="G975" s="1718"/>
      <c r="H975" s="1719"/>
      <c r="I975" s="1723"/>
      <c r="J975" s="1720"/>
      <c r="K975" s="1726"/>
      <c r="L975" s="1726"/>
      <c r="M975" s="1726"/>
      <c r="N975" s="1726"/>
      <c r="O975" s="1726"/>
      <c r="P975" s="1726"/>
      <c r="Q975" s="1721"/>
      <c r="R975" s="1727"/>
    </row>
    <row r="976" spans="1:18" ht="22.5" hidden="1" customHeight="1" x14ac:dyDescent="0.25">
      <c r="B976" s="1718"/>
      <c r="C976" s="1728"/>
      <c r="D976" s="1719"/>
      <c r="E976" s="1718"/>
      <c r="F976" s="1719"/>
      <c r="G976" s="1718"/>
      <c r="H976" s="1719"/>
      <c r="I976" s="1723"/>
      <c r="J976" s="507" t="str">
        <f>IF(AND($F$738="MES",$F$739&gt;=1),"MES 01",IF(AND($F$738="BIMESTRE",$F$739&gt;=1),"BIMESTRE 01",IF(AND($F$738="TRIMESTRE",$F$739&gt;=1),"TRIMESTRE 01",IF(AND($F$738="SEMESTRE",$F$739&gt;=1),"SEMESTRE 01",IF(AND($F$738="AÑO",$F$739&gt;=1),"AÑO 01","")))))</f>
        <v/>
      </c>
      <c r="K976" s="507" t="str">
        <f>IF(AND($F$738="MES",$F$739&gt;=2),"MES 02",IF(AND($F$738="BIMESTRE",$F$739&gt;=2),"BIMESTRE 02",IF(AND($F$738="TRIMESTRE",$F$739&gt;=2),"TRIMESTRE 02",IF(AND($F$738="SEMESTRE",$F$739&gt;=2),"SEMESTRE 02",IF(AND($F$738="AÑO",$F$739&gt;=2),"AÑO 02","")))))</f>
        <v/>
      </c>
      <c r="L976" s="507" t="str">
        <f>IF(AND($F$738="MES",$F$739&gt;=3),"MES 03",IF(AND($F$738="BIMESTRE",$F$739&gt;=3),"BIMESTRE 03",IF(AND($F$738="TRIMESTRE",$F$739&gt;=3),"TRIMESTRE 03",IF(AND($F$738="SEMESTRE",$F$739&gt;=3),"SEMESTRE 03",IF(AND($F$738="AÑO",$F$739&gt;=3),"AÑO 03","")))))</f>
        <v/>
      </c>
      <c r="M976" s="507" t="str">
        <f>IF(AND($F$738="MES",$F$739&gt;=4),"MES 04",IF(AND($F$738="BIMESTRE",$F$739&gt;=4),"BIMESTRE 04",IF(AND($F$738="TRIMESTRE",$F$739&gt;=4),"TRIMESTRE 04",IF(AND($F$738="SEMESTRE",$F$739&gt;=4),"SEMESTRE 04",IF(AND($F$738="AÑO",$F$739&gt;=4),"","")))))</f>
        <v/>
      </c>
      <c r="N976" s="507" t="str">
        <f>IF(AND($F$738="MES",$F$739&gt;=5),"MES 05",IF(AND($F$738="BIMESTRE",$F$739&gt;=5),"BIMESTRE 05",IF(AND($F$738="TRIMESTRE",$F$739&gt;=5),"TRIMESTRE 05",IF(AND($F$738="SEMESTRE",$F$739&gt;=5),"SEMESTRE 05",IF(AND($F$738="AÑO",$F$739&gt;=5),"","")))))</f>
        <v/>
      </c>
      <c r="O976" s="507" t="str">
        <f>IF(AND($F$738="MES",$F$739&gt;=6),"MES 06",IF(AND($F$738="BIMESTRE",$F$739&gt;=6),"BIMESTRE 06",IF(AND($F$738="TRIMESTRE",$F$739&gt;=6),"TRIMESTRE 06",IF(AND($F$738="SEMESTRE",$F$739&gt;=6),"SEMESTRE 06",IF(AND($F$738="AÑO",$F$739&gt;=6),"","")))))</f>
        <v/>
      </c>
      <c r="P976" s="507" t="str">
        <f>IF(AND($F$738="MES",$F$739&gt;=7),"MES 07",IF(AND($F$738="BIMESTRE",$F$739&gt;=7),"BIMESTRE 07",IF(AND($F$738="TRIMESTRE",$F$739&gt;=7),"TRIMESTRE 07",IF(AND($F$738="SEMESTRE",$F$739&gt;=7),"SEMESTRE 07",IF(AND($F$738="AÑO",$F$739&gt;=7),"","")))))</f>
        <v/>
      </c>
      <c r="Q976" s="507" t="str">
        <f>IF(AND($F$738="MES",$F$739=8),"MES 08",IF(AND($F$738="BIMESTRE",$F$739=8),"BIMESTRE 08",IF(AND($F$738="TRIMESTRE",$F$739=8),"TRIMESTRE 08",IF(AND($F$738="SEMESTRE",$F$739=8),"SEMESTRE 08",IF(AND($F$738="AÑO",$F$739=8),"","")))))</f>
        <v/>
      </c>
      <c r="R976" s="1727"/>
    </row>
    <row r="977" spans="2:18" hidden="1" x14ac:dyDescent="0.25">
      <c r="B977" s="1720"/>
      <c r="C977" s="1726"/>
      <c r="D977" s="1721"/>
      <c r="E977" s="1720"/>
      <c r="F977" s="1721"/>
      <c r="G977" s="1720"/>
      <c r="H977" s="1721"/>
      <c r="I977" s="1724"/>
      <c r="J977" s="507" t="s">
        <v>142</v>
      </c>
      <c r="K977" s="507" t="s">
        <v>142</v>
      </c>
      <c r="L977" s="507" t="s">
        <v>142</v>
      </c>
      <c r="M977" s="507" t="s">
        <v>142</v>
      </c>
      <c r="N977" s="507" t="s">
        <v>142</v>
      </c>
      <c r="O977" s="507" t="s">
        <v>142</v>
      </c>
      <c r="P977" s="507" t="s">
        <v>142</v>
      </c>
      <c r="Q977" s="507" t="s">
        <v>142</v>
      </c>
      <c r="R977" s="1727"/>
    </row>
    <row r="978" spans="2:18" ht="5.0999999999999996" hidden="1" customHeight="1" x14ac:dyDescent="0.25">
      <c r="B978" s="503"/>
      <c r="C978" s="503"/>
      <c r="D978" s="503"/>
      <c r="E978" s="503"/>
      <c r="F978" s="503"/>
      <c r="G978" s="503"/>
      <c r="H978" s="503"/>
      <c r="I978" s="56"/>
      <c r="J978" s="56"/>
      <c r="K978" s="56"/>
      <c r="L978" s="56"/>
      <c r="M978" s="56"/>
      <c r="N978" s="503"/>
      <c r="O978" s="503"/>
      <c r="P978" s="503"/>
      <c r="Q978" s="503"/>
      <c r="R978" s="503"/>
    </row>
    <row r="979" spans="2:18" ht="15.95" hidden="1" customHeight="1" x14ac:dyDescent="0.25">
      <c r="B979" s="448" t="str">
        <f>IFERROR(IF(B290="","",B290),"")</f>
        <v>Factor de Producción:</v>
      </c>
      <c r="C979" s="449"/>
      <c r="D979" s="449" t="str">
        <f>IFERROR(IF(D290="","",D290),"")</f>
        <v>Infraestructura</v>
      </c>
      <c r="E979" s="449"/>
      <c r="F979" s="449"/>
      <c r="G979" s="449"/>
      <c r="H979" s="449"/>
      <c r="I979" s="449"/>
      <c r="J979" s="449"/>
      <c r="K979" s="449"/>
      <c r="L979" s="449"/>
      <c r="M979" s="449"/>
      <c r="N979" s="449"/>
      <c r="O979" s="449"/>
      <c r="P979" s="449"/>
      <c r="Q979" s="449"/>
      <c r="R979" s="459"/>
    </row>
    <row r="980" spans="2:18" ht="60" hidden="1" customHeight="1" x14ac:dyDescent="0.25">
      <c r="B980" s="1565" t="str">
        <f>IFERROR(IF(B291="","",B291),"")</f>
        <v/>
      </c>
      <c r="C980" s="1566"/>
      <c r="D980" s="1567"/>
      <c r="E980" s="1250" t="str">
        <f>IFERROR(IF(E291="","",E291),"")</f>
        <v/>
      </c>
      <c r="F980" s="1252"/>
      <c r="G980" s="1711" t="str">
        <f>IFERROR(IF(G291="","",G291),"")</f>
        <v/>
      </c>
      <c r="H980" s="1712"/>
      <c r="I980" s="457" t="str">
        <f>IFERROR(IF(I291="","",I291),"")</f>
        <v/>
      </c>
      <c r="J980" s="414"/>
      <c r="K980" s="414"/>
      <c r="L980" s="414"/>
      <c r="M980" s="414"/>
      <c r="N980" s="414"/>
      <c r="O980" s="414"/>
      <c r="P980" s="414"/>
      <c r="Q980" s="414"/>
      <c r="R980" s="415" t="str">
        <f>IFERROR(IF(AND(J980="",K980="",L980="",M980="",N980="",O980="",P980="",Q980=""),"",SUM(J980:Q980)),"")</f>
        <v/>
      </c>
    </row>
    <row r="981" spans="2:18" ht="60" hidden="1" customHeight="1" x14ac:dyDescent="0.25">
      <c r="B981" s="1565" t="str">
        <f t="shared" ref="B981:B988" si="242">IFERROR(IF(B292="","",B292),"")</f>
        <v/>
      </c>
      <c r="C981" s="1566"/>
      <c r="D981" s="1567"/>
      <c r="E981" s="1250" t="str">
        <f t="shared" ref="E981:E988" si="243">IFERROR(IF(E292="","",E292),"")</f>
        <v/>
      </c>
      <c r="F981" s="1252"/>
      <c r="G981" s="1711" t="str">
        <f t="shared" ref="G981:G988" si="244">IFERROR(IF(G292="","",G292),"")</f>
        <v/>
      </c>
      <c r="H981" s="1712"/>
      <c r="I981" s="457" t="str">
        <f t="shared" ref="I981:I988" si="245">IFERROR(IF(I292="","",I292),"")</f>
        <v/>
      </c>
      <c r="J981" s="414"/>
      <c r="K981" s="414"/>
      <c r="L981" s="414"/>
      <c r="M981" s="414"/>
      <c r="N981" s="414"/>
      <c r="O981" s="414"/>
      <c r="P981" s="414"/>
      <c r="Q981" s="414"/>
      <c r="R981" s="415" t="str">
        <f t="shared" ref="R981:R988" si="246">IFERROR(IF(AND(J981="",K981="",L981="",M981="",N981="",O981="",P981="",Q981=""),"",SUM(J981:Q981)),"")</f>
        <v/>
      </c>
    </row>
    <row r="982" spans="2:18" ht="60" hidden="1" customHeight="1" x14ac:dyDescent="0.25">
      <c r="B982" s="1565" t="str">
        <f t="shared" si="242"/>
        <v/>
      </c>
      <c r="C982" s="1566"/>
      <c r="D982" s="1567"/>
      <c r="E982" s="1250" t="str">
        <f t="shared" si="243"/>
        <v/>
      </c>
      <c r="F982" s="1252"/>
      <c r="G982" s="1711" t="str">
        <f t="shared" si="244"/>
        <v/>
      </c>
      <c r="H982" s="1712"/>
      <c r="I982" s="457" t="str">
        <f t="shared" si="245"/>
        <v/>
      </c>
      <c r="J982" s="414"/>
      <c r="K982" s="414"/>
      <c r="L982" s="414"/>
      <c r="M982" s="414"/>
      <c r="N982" s="414"/>
      <c r="O982" s="414"/>
      <c r="P982" s="414"/>
      <c r="Q982" s="414"/>
      <c r="R982" s="415" t="str">
        <f t="shared" si="246"/>
        <v/>
      </c>
    </row>
    <row r="983" spans="2:18" ht="60" hidden="1" customHeight="1" x14ac:dyDescent="0.25">
      <c r="B983" s="1565" t="str">
        <f t="shared" si="242"/>
        <v/>
      </c>
      <c r="C983" s="1566"/>
      <c r="D983" s="1567"/>
      <c r="E983" s="1250" t="str">
        <f t="shared" si="243"/>
        <v/>
      </c>
      <c r="F983" s="1252"/>
      <c r="G983" s="1711" t="str">
        <f t="shared" si="244"/>
        <v/>
      </c>
      <c r="H983" s="1712"/>
      <c r="I983" s="457" t="str">
        <f t="shared" si="245"/>
        <v/>
      </c>
      <c r="J983" s="414"/>
      <c r="K983" s="414"/>
      <c r="L983" s="414"/>
      <c r="M983" s="414"/>
      <c r="N983" s="414"/>
      <c r="O983" s="414"/>
      <c r="P983" s="414"/>
      <c r="Q983" s="414"/>
      <c r="R983" s="415" t="str">
        <f t="shared" si="246"/>
        <v/>
      </c>
    </row>
    <row r="984" spans="2:18" ht="60" hidden="1" customHeight="1" x14ac:dyDescent="0.25">
      <c r="B984" s="1565" t="str">
        <f t="shared" si="242"/>
        <v/>
      </c>
      <c r="C984" s="1566"/>
      <c r="D984" s="1567"/>
      <c r="E984" s="1250" t="str">
        <f t="shared" si="243"/>
        <v/>
      </c>
      <c r="F984" s="1252"/>
      <c r="G984" s="1711" t="str">
        <f t="shared" si="244"/>
        <v/>
      </c>
      <c r="H984" s="1712"/>
      <c r="I984" s="457" t="str">
        <f t="shared" si="245"/>
        <v/>
      </c>
      <c r="J984" s="414"/>
      <c r="K984" s="414"/>
      <c r="L984" s="414"/>
      <c r="M984" s="414"/>
      <c r="N984" s="414"/>
      <c r="O984" s="414"/>
      <c r="P984" s="414"/>
      <c r="Q984" s="414"/>
      <c r="R984" s="415" t="str">
        <f t="shared" si="246"/>
        <v/>
      </c>
    </row>
    <row r="985" spans="2:18" ht="60" hidden="1" customHeight="1" x14ac:dyDescent="0.25">
      <c r="B985" s="1565" t="str">
        <f t="shared" si="242"/>
        <v/>
      </c>
      <c r="C985" s="1566"/>
      <c r="D985" s="1567"/>
      <c r="E985" s="1250" t="str">
        <f t="shared" si="243"/>
        <v/>
      </c>
      <c r="F985" s="1252"/>
      <c r="G985" s="1711" t="str">
        <f t="shared" si="244"/>
        <v/>
      </c>
      <c r="H985" s="1712"/>
      <c r="I985" s="457" t="str">
        <f t="shared" si="245"/>
        <v/>
      </c>
      <c r="J985" s="414"/>
      <c r="K985" s="414"/>
      <c r="L985" s="414"/>
      <c r="M985" s="414"/>
      <c r="N985" s="414"/>
      <c r="O985" s="414"/>
      <c r="P985" s="414"/>
      <c r="Q985" s="414"/>
      <c r="R985" s="415" t="str">
        <f t="shared" si="246"/>
        <v/>
      </c>
    </row>
    <row r="986" spans="2:18" ht="60" hidden="1" customHeight="1" x14ac:dyDescent="0.25">
      <c r="B986" s="1565" t="str">
        <f t="shared" si="242"/>
        <v/>
      </c>
      <c r="C986" s="1566"/>
      <c r="D986" s="1567"/>
      <c r="E986" s="1250" t="str">
        <f t="shared" si="243"/>
        <v/>
      </c>
      <c r="F986" s="1252"/>
      <c r="G986" s="1711" t="str">
        <f t="shared" si="244"/>
        <v/>
      </c>
      <c r="H986" s="1712"/>
      <c r="I986" s="457" t="str">
        <f t="shared" si="245"/>
        <v/>
      </c>
      <c r="J986" s="414"/>
      <c r="K986" s="414"/>
      <c r="L986" s="414"/>
      <c r="M986" s="414"/>
      <c r="N986" s="414"/>
      <c r="O986" s="414"/>
      <c r="P986" s="414"/>
      <c r="Q986" s="414"/>
      <c r="R986" s="415" t="str">
        <f t="shared" si="246"/>
        <v/>
      </c>
    </row>
    <row r="987" spans="2:18" ht="60" hidden="1" customHeight="1" x14ac:dyDescent="0.25">
      <c r="B987" s="1565" t="str">
        <f t="shared" si="242"/>
        <v/>
      </c>
      <c r="C987" s="1566"/>
      <c r="D987" s="1567"/>
      <c r="E987" s="1250" t="str">
        <f t="shared" si="243"/>
        <v/>
      </c>
      <c r="F987" s="1252"/>
      <c r="G987" s="1711" t="str">
        <f t="shared" si="244"/>
        <v/>
      </c>
      <c r="H987" s="1712"/>
      <c r="I987" s="457" t="str">
        <f t="shared" si="245"/>
        <v/>
      </c>
      <c r="J987" s="414"/>
      <c r="K987" s="414"/>
      <c r="L987" s="414"/>
      <c r="M987" s="414"/>
      <c r="N987" s="414"/>
      <c r="O987" s="414"/>
      <c r="P987" s="414"/>
      <c r="Q987" s="414"/>
      <c r="R987" s="415" t="str">
        <f t="shared" si="246"/>
        <v/>
      </c>
    </row>
    <row r="988" spans="2:18" ht="60" hidden="1" customHeight="1" x14ac:dyDescent="0.25">
      <c r="B988" s="1565" t="str">
        <f t="shared" si="242"/>
        <v/>
      </c>
      <c r="C988" s="1566"/>
      <c r="D988" s="1567"/>
      <c r="E988" s="1250" t="str">
        <f t="shared" si="243"/>
        <v/>
      </c>
      <c r="F988" s="1252"/>
      <c r="G988" s="1711" t="str">
        <f t="shared" si="244"/>
        <v/>
      </c>
      <c r="H988" s="1712"/>
      <c r="I988" s="457" t="str">
        <f t="shared" si="245"/>
        <v/>
      </c>
      <c r="J988" s="414"/>
      <c r="K988" s="414"/>
      <c r="L988" s="414"/>
      <c r="M988" s="414"/>
      <c r="N988" s="414"/>
      <c r="O988" s="414"/>
      <c r="P988" s="414"/>
      <c r="Q988" s="414"/>
      <c r="R988" s="415" t="str">
        <f t="shared" si="246"/>
        <v/>
      </c>
    </row>
    <row r="989" spans="2:18" ht="15.95" hidden="1" customHeight="1" x14ac:dyDescent="0.25">
      <c r="B989" s="1713" t="str">
        <f t="shared" ref="B989:B995" si="247">IFERROR(IF(B300="","",B300),"")</f>
        <v>Medidas de Reducción del riesgo de desastres y mitigación ambiental</v>
      </c>
      <c r="C989" s="1714"/>
      <c r="D989" s="1714"/>
      <c r="E989" s="1714"/>
      <c r="F989" s="1714"/>
      <c r="G989" s="1714"/>
      <c r="H989" s="1714"/>
      <c r="I989" s="1714"/>
      <c r="J989" s="1714"/>
      <c r="K989" s="1714"/>
      <c r="L989" s="1714"/>
      <c r="M989" s="1714"/>
      <c r="N989" s="1714"/>
      <c r="O989" s="1714"/>
      <c r="P989" s="1714"/>
      <c r="Q989" s="1714"/>
      <c r="R989" s="1715"/>
    </row>
    <row r="990" spans="2:18" ht="60" hidden="1" customHeight="1" x14ac:dyDescent="0.25">
      <c r="B990" s="1565" t="str">
        <f t="shared" si="247"/>
        <v/>
      </c>
      <c r="C990" s="1566"/>
      <c r="D990" s="1567"/>
      <c r="E990" s="1250" t="str">
        <f t="shared" ref="E990:E995" si="248">IFERROR(IF(E301="","",E301),"")</f>
        <v/>
      </c>
      <c r="F990" s="1252"/>
      <c r="G990" s="1711" t="str">
        <f t="shared" ref="G990:G995" si="249">IFERROR(IF(G301="","",G301),"")</f>
        <v/>
      </c>
      <c r="H990" s="1712"/>
      <c r="I990" s="457" t="str">
        <f t="shared" ref="I990:I995" si="250">IFERROR(IF(I301="","",I301),"")</f>
        <v/>
      </c>
      <c r="J990" s="414"/>
      <c r="K990" s="414"/>
      <c r="L990" s="414"/>
      <c r="M990" s="414"/>
      <c r="N990" s="414"/>
      <c r="O990" s="414"/>
      <c r="P990" s="414"/>
      <c r="Q990" s="414"/>
      <c r="R990" s="415" t="str">
        <f t="shared" ref="R990:R1017" si="251">IFERROR(IF(AND(J990="",K990="",L990="",M990="",N990="",O990="",P990="",Q990=""),"",SUM(J990:Q990)),"")</f>
        <v/>
      </c>
    </row>
    <row r="991" spans="2:18" ht="60" hidden="1" customHeight="1" x14ac:dyDescent="0.25">
      <c r="B991" s="1565" t="str">
        <f t="shared" si="247"/>
        <v/>
      </c>
      <c r="C991" s="1566"/>
      <c r="D991" s="1567"/>
      <c r="E991" s="1250" t="str">
        <f t="shared" si="248"/>
        <v/>
      </c>
      <c r="F991" s="1252"/>
      <c r="G991" s="1711" t="str">
        <f t="shared" si="249"/>
        <v/>
      </c>
      <c r="H991" s="1712"/>
      <c r="I991" s="457" t="str">
        <f t="shared" si="250"/>
        <v/>
      </c>
      <c r="J991" s="414"/>
      <c r="K991" s="414"/>
      <c r="L991" s="414"/>
      <c r="M991" s="414"/>
      <c r="N991" s="414"/>
      <c r="O991" s="414"/>
      <c r="P991" s="414"/>
      <c r="Q991" s="414"/>
      <c r="R991" s="415" t="str">
        <f t="shared" si="251"/>
        <v/>
      </c>
    </row>
    <row r="992" spans="2:18" ht="60" hidden="1" customHeight="1" x14ac:dyDescent="0.25">
      <c r="B992" s="1565" t="str">
        <f t="shared" si="247"/>
        <v/>
      </c>
      <c r="C992" s="1566"/>
      <c r="D992" s="1567"/>
      <c r="E992" s="1250" t="str">
        <f t="shared" si="248"/>
        <v/>
      </c>
      <c r="F992" s="1252"/>
      <c r="G992" s="1711" t="str">
        <f t="shared" si="249"/>
        <v/>
      </c>
      <c r="H992" s="1712"/>
      <c r="I992" s="457" t="str">
        <f t="shared" si="250"/>
        <v/>
      </c>
      <c r="J992" s="414"/>
      <c r="K992" s="414"/>
      <c r="L992" s="414"/>
      <c r="M992" s="414"/>
      <c r="N992" s="414"/>
      <c r="O992" s="414"/>
      <c r="P992" s="414"/>
      <c r="Q992" s="414"/>
      <c r="R992" s="415" t="str">
        <f t="shared" si="251"/>
        <v/>
      </c>
    </row>
    <row r="993" spans="2:18" ht="60" hidden="1" customHeight="1" x14ac:dyDescent="0.25">
      <c r="B993" s="1565" t="str">
        <f t="shared" si="247"/>
        <v/>
      </c>
      <c r="C993" s="1566"/>
      <c r="D993" s="1567"/>
      <c r="E993" s="1250" t="str">
        <f t="shared" si="248"/>
        <v/>
      </c>
      <c r="F993" s="1252"/>
      <c r="G993" s="1711" t="str">
        <f t="shared" si="249"/>
        <v/>
      </c>
      <c r="H993" s="1712"/>
      <c r="I993" s="457" t="str">
        <f t="shared" si="250"/>
        <v/>
      </c>
      <c r="J993" s="414"/>
      <c r="K993" s="414"/>
      <c r="L993" s="414"/>
      <c r="M993" s="414"/>
      <c r="N993" s="414"/>
      <c r="O993" s="414"/>
      <c r="P993" s="414"/>
      <c r="Q993" s="414"/>
      <c r="R993" s="415" t="str">
        <f t="shared" si="251"/>
        <v/>
      </c>
    </row>
    <row r="994" spans="2:18" ht="60" hidden="1" customHeight="1" x14ac:dyDescent="0.25">
      <c r="B994" s="1565" t="str">
        <f t="shared" si="247"/>
        <v/>
      </c>
      <c r="C994" s="1566"/>
      <c r="D994" s="1567"/>
      <c r="E994" s="1250" t="str">
        <f t="shared" si="248"/>
        <v/>
      </c>
      <c r="F994" s="1252"/>
      <c r="G994" s="1711" t="str">
        <f t="shared" si="249"/>
        <v/>
      </c>
      <c r="H994" s="1712"/>
      <c r="I994" s="457" t="str">
        <f t="shared" si="250"/>
        <v/>
      </c>
      <c r="J994" s="414"/>
      <c r="K994" s="414"/>
      <c r="L994" s="414"/>
      <c r="M994" s="414"/>
      <c r="N994" s="414"/>
      <c r="O994" s="414"/>
      <c r="P994" s="414"/>
      <c r="Q994" s="414"/>
      <c r="R994" s="415" t="str">
        <f t="shared" si="251"/>
        <v/>
      </c>
    </row>
    <row r="995" spans="2:18" ht="60" hidden="1" customHeight="1" x14ac:dyDescent="0.25">
      <c r="B995" s="1565" t="str">
        <f t="shared" si="247"/>
        <v/>
      </c>
      <c r="C995" s="1566"/>
      <c r="D995" s="1567"/>
      <c r="E995" s="1250" t="str">
        <f t="shared" si="248"/>
        <v/>
      </c>
      <c r="F995" s="1252"/>
      <c r="G995" s="1711" t="str">
        <f t="shared" si="249"/>
        <v/>
      </c>
      <c r="H995" s="1712"/>
      <c r="I995" s="457" t="str">
        <f t="shared" si="250"/>
        <v/>
      </c>
      <c r="J995" s="414"/>
      <c r="K995" s="414"/>
      <c r="L995" s="414"/>
      <c r="M995" s="414"/>
      <c r="N995" s="414"/>
      <c r="O995" s="414"/>
      <c r="P995" s="414"/>
      <c r="Q995" s="414"/>
      <c r="R995" s="415" t="str">
        <f t="shared" si="251"/>
        <v/>
      </c>
    </row>
    <row r="996" spans="2:18" ht="15.95" hidden="1" customHeight="1" x14ac:dyDescent="0.25">
      <c r="B996" s="448" t="str">
        <f>IFERROR(IF(B323="","",B323),"")</f>
        <v>Factor de Producción:</v>
      </c>
      <c r="C996" s="463"/>
      <c r="D996" s="449" t="str">
        <f>IFERROR(IF(D323="","",D323),"")</f>
        <v>Intangibles</v>
      </c>
      <c r="E996" s="463" t="str">
        <f>IFERROR(IF(E699="","",E699),"")</f>
        <v/>
      </c>
      <c r="F996" s="463"/>
      <c r="G996" s="464" t="str">
        <f>IFERROR(IF(G699="","",G699),"")</f>
        <v/>
      </c>
      <c r="H996" s="464"/>
      <c r="I996" s="461" t="str">
        <f>IFERROR(IF(I232="","",I232),"")</f>
        <v/>
      </c>
      <c r="J996" s="527"/>
      <c r="K996" s="527"/>
      <c r="L996" s="527"/>
      <c r="M996" s="527"/>
      <c r="N996" s="527"/>
      <c r="O996" s="527"/>
      <c r="P996" s="527"/>
      <c r="Q996" s="527"/>
      <c r="R996" s="462" t="str">
        <f t="shared" si="251"/>
        <v/>
      </c>
    </row>
    <row r="997" spans="2:18" ht="60" hidden="1" customHeight="1" x14ac:dyDescent="0.25">
      <c r="B997" s="1565" t="str">
        <f>IFERROR(IF(B324="","",B324),"")</f>
        <v/>
      </c>
      <c r="C997" s="1566"/>
      <c r="D997" s="1567"/>
      <c r="E997" s="1250" t="str">
        <f>IFERROR(IF(E324="","",E324),"")</f>
        <v/>
      </c>
      <c r="F997" s="1252"/>
      <c r="G997" s="1711" t="str">
        <f>IFERROR(IF(G324="","",G324),"")</f>
        <v/>
      </c>
      <c r="H997" s="1712"/>
      <c r="I997" s="457" t="str">
        <f>IFERROR(IF(I324="","",I324),"")</f>
        <v/>
      </c>
      <c r="J997" s="414"/>
      <c r="K997" s="414"/>
      <c r="L997" s="414"/>
      <c r="M997" s="414"/>
      <c r="N997" s="414"/>
      <c r="O997" s="414"/>
      <c r="P997" s="414"/>
      <c r="Q997" s="414"/>
      <c r="R997" s="415" t="str">
        <f t="shared" si="251"/>
        <v/>
      </c>
    </row>
    <row r="998" spans="2:18" ht="60" hidden="1" customHeight="1" x14ac:dyDescent="0.25">
      <c r="B998" s="1565" t="str">
        <f t="shared" ref="B998:B1017" si="252">IFERROR(IF(B325="","",B325),"")</f>
        <v/>
      </c>
      <c r="C998" s="1566"/>
      <c r="D998" s="1567"/>
      <c r="E998" s="1250" t="str">
        <f t="shared" ref="E998:E1017" si="253">IFERROR(IF(E325="","",E325),"")</f>
        <v/>
      </c>
      <c r="F998" s="1252"/>
      <c r="G998" s="1711" t="str">
        <f t="shared" ref="G998:G1017" si="254">IFERROR(IF(G325="","",G325),"")</f>
        <v/>
      </c>
      <c r="H998" s="1712"/>
      <c r="I998" s="457" t="str">
        <f t="shared" ref="I998:I1017" si="255">IFERROR(IF(I325="","",I325),"")</f>
        <v/>
      </c>
      <c r="J998" s="414"/>
      <c r="K998" s="414"/>
      <c r="L998" s="414"/>
      <c r="M998" s="414"/>
      <c r="N998" s="414"/>
      <c r="O998" s="414"/>
      <c r="P998" s="414"/>
      <c r="Q998" s="414"/>
      <c r="R998" s="415" t="str">
        <f t="shared" si="251"/>
        <v/>
      </c>
    </row>
    <row r="999" spans="2:18" ht="60" hidden="1" customHeight="1" x14ac:dyDescent="0.25">
      <c r="B999" s="1565" t="str">
        <f t="shared" si="252"/>
        <v/>
      </c>
      <c r="C999" s="1566"/>
      <c r="D999" s="1567"/>
      <c r="E999" s="1250" t="str">
        <f t="shared" si="253"/>
        <v/>
      </c>
      <c r="F999" s="1252"/>
      <c r="G999" s="1711" t="str">
        <f t="shared" si="254"/>
        <v/>
      </c>
      <c r="H999" s="1712"/>
      <c r="I999" s="457" t="str">
        <f t="shared" si="255"/>
        <v/>
      </c>
      <c r="J999" s="414"/>
      <c r="K999" s="414"/>
      <c r="L999" s="414"/>
      <c r="M999" s="414"/>
      <c r="N999" s="414"/>
      <c r="O999" s="414"/>
      <c r="P999" s="414"/>
      <c r="Q999" s="414"/>
      <c r="R999" s="415" t="str">
        <f t="shared" si="251"/>
        <v/>
      </c>
    </row>
    <row r="1000" spans="2:18" ht="60" hidden="1" customHeight="1" x14ac:dyDescent="0.25">
      <c r="B1000" s="1565" t="str">
        <f t="shared" si="252"/>
        <v/>
      </c>
      <c r="C1000" s="1566"/>
      <c r="D1000" s="1567"/>
      <c r="E1000" s="1250" t="str">
        <f t="shared" si="253"/>
        <v/>
      </c>
      <c r="F1000" s="1252"/>
      <c r="G1000" s="1711" t="str">
        <f t="shared" si="254"/>
        <v/>
      </c>
      <c r="H1000" s="1712"/>
      <c r="I1000" s="457" t="str">
        <f t="shared" si="255"/>
        <v/>
      </c>
      <c r="J1000" s="414"/>
      <c r="K1000" s="414"/>
      <c r="L1000" s="414"/>
      <c r="M1000" s="414"/>
      <c r="N1000" s="414"/>
      <c r="O1000" s="414"/>
      <c r="P1000" s="414"/>
      <c r="Q1000" s="414"/>
      <c r="R1000" s="415" t="str">
        <f t="shared" si="251"/>
        <v/>
      </c>
    </row>
    <row r="1001" spans="2:18" ht="60" hidden="1" customHeight="1" x14ac:dyDescent="0.25">
      <c r="B1001" s="1565" t="str">
        <f t="shared" si="252"/>
        <v/>
      </c>
      <c r="C1001" s="1566"/>
      <c r="D1001" s="1567"/>
      <c r="E1001" s="1250" t="str">
        <f t="shared" si="253"/>
        <v/>
      </c>
      <c r="F1001" s="1252"/>
      <c r="G1001" s="1711" t="str">
        <f t="shared" si="254"/>
        <v/>
      </c>
      <c r="H1001" s="1712"/>
      <c r="I1001" s="457" t="str">
        <f t="shared" si="255"/>
        <v/>
      </c>
      <c r="J1001" s="414"/>
      <c r="K1001" s="414"/>
      <c r="L1001" s="414"/>
      <c r="M1001" s="414"/>
      <c r="N1001" s="414"/>
      <c r="O1001" s="414"/>
      <c r="P1001" s="414"/>
      <c r="Q1001" s="414"/>
      <c r="R1001" s="415" t="str">
        <f t="shared" si="251"/>
        <v/>
      </c>
    </row>
    <row r="1002" spans="2:18" ht="60" hidden="1" customHeight="1" x14ac:dyDescent="0.25">
      <c r="B1002" s="1565" t="str">
        <f t="shared" si="252"/>
        <v/>
      </c>
      <c r="C1002" s="1566"/>
      <c r="D1002" s="1567"/>
      <c r="E1002" s="1250" t="str">
        <f t="shared" si="253"/>
        <v/>
      </c>
      <c r="F1002" s="1252"/>
      <c r="G1002" s="1711" t="str">
        <f t="shared" si="254"/>
        <v/>
      </c>
      <c r="H1002" s="1712"/>
      <c r="I1002" s="457" t="str">
        <f t="shared" si="255"/>
        <v/>
      </c>
      <c r="J1002" s="414"/>
      <c r="K1002" s="414"/>
      <c r="L1002" s="414"/>
      <c r="M1002" s="414"/>
      <c r="N1002" s="414"/>
      <c r="O1002" s="414"/>
      <c r="P1002" s="414"/>
      <c r="Q1002" s="414"/>
      <c r="R1002" s="415" t="str">
        <f t="shared" si="251"/>
        <v/>
      </c>
    </row>
    <row r="1003" spans="2:18" ht="60" hidden="1" customHeight="1" x14ac:dyDescent="0.25">
      <c r="B1003" s="1565" t="str">
        <f t="shared" si="252"/>
        <v/>
      </c>
      <c r="C1003" s="1566"/>
      <c r="D1003" s="1567"/>
      <c r="E1003" s="1250" t="str">
        <f t="shared" si="253"/>
        <v/>
      </c>
      <c r="F1003" s="1252"/>
      <c r="G1003" s="1711" t="str">
        <f t="shared" si="254"/>
        <v/>
      </c>
      <c r="H1003" s="1712"/>
      <c r="I1003" s="457" t="str">
        <f t="shared" si="255"/>
        <v/>
      </c>
      <c r="J1003" s="414"/>
      <c r="K1003" s="414"/>
      <c r="L1003" s="414"/>
      <c r="M1003" s="414"/>
      <c r="N1003" s="414"/>
      <c r="O1003" s="414"/>
      <c r="P1003" s="414"/>
      <c r="Q1003" s="414"/>
      <c r="R1003" s="415" t="str">
        <f t="shared" si="251"/>
        <v/>
      </c>
    </row>
    <row r="1004" spans="2:18" ht="60" hidden="1" customHeight="1" x14ac:dyDescent="0.25">
      <c r="B1004" s="1565" t="str">
        <f t="shared" si="252"/>
        <v/>
      </c>
      <c r="C1004" s="1566"/>
      <c r="D1004" s="1567"/>
      <c r="E1004" s="1250" t="str">
        <f t="shared" si="253"/>
        <v/>
      </c>
      <c r="F1004" s="1252"/>
      <c r="G1004" s="1711" t="str">
        <f t="shared" si="254"/>
        <v/>
      </c>
      <c r="H1004" s="1712"/>
      <c r="I1004" s="457" t="str">
        <f t="shared" si="255"/>
        <v/>
      </c>
      <c r="J1004" s="414"/>
      <c r="K1004" s="414"/>
      <c r="L1004" s="414"/>
      <c r="M1004" s="414"/>
      <c r="N1004" s="414"/>
      <c r="O1004" s="414"/>
      <c r="P1004" s="414"/>
      <c r="Q1004" s="414"/>
      <c r="R1004" s="415" t="str">
        <f t="shared" si="251"/>
        <v/>
      </c>
    </row>
    <row r="1005" spans="2:18" ht="60" hidden="1" customHeight="1" x14ac:dyDescent="0.25">
      <c r="B1005" s="1565" t="str">
        <f t="shared" si="252"/>
        <v/>
      </c>
      <c r="C1005" s="1566"/>
      <c r="D1005" s="1567"/>
      <c r="E1005" s="1250" t="str">
        <f t="shared" si="253"/>
        <v/>
      </c>
      <c r="F1005" s="1252"/>
      <c r="G1005" s="1711" t="str">
        <f t="shared" si="254"/>
        <v/>
      </c>
      <c r="H1005" s="1712"/>
      <c r="I1005" s="457" t="str">
        <f t="shared" si="255"/>
        <v/>
      </c>
      <c r="J1005" s="414"/>
      <c r="K1005" s="414"/>
      <c r="L1005" s="414"/>
      <c r="M1005" s="414"/>
      <c r="N1005" s="414"/>
      <c r="O1005" s="414"/>
      <c r="P1005" s="414"/>
      <c r="Q1005" s="414"/>
      <c r="R1005" s="415" t="str">
        <f t="shared" si="251"/>
        <v/>
      </c>
    </row>
    <row r="1006" spans="2:18" ht="60" hidden="1" customHeight="1" x14ac:dyDescent="0.25">
      <c r="B1006" s="1565" t="str">
        <f t="shared" si="252"/>
        <v/>
      </c>
      <c r="C1006" s="1566"/>
      <c r="D1006" s="1567"/>
      <c r="E1006" s="1250" t="str">
        <f t="shared" si="253"/>
        <v/>
      </c>
      <c r="F1006" s="1252"/>
      <c r="G1006" s="1711" t="str">
        <f t="shared" si="254"/>
        <v/>
      </c>
      <c r="H1006" s="1712"/>
      <c r="I1006" s="457" t="str">
        <f t="shared" si="255"/>
        <v/>
      </c>
      <c r="J1006" s="414"/>
      <c r="K1006" s="414"/>
      <c r="L1006" s="414"/>
      <c r="M1006" s="414"/>
      <c r="N1006" s="414"/>
      <c r="O1006" s="414"/>
      <c r="P1006" s="414"/>
      <c r="Q1006" s="414"/>
      <c r="R1006" s="415" t="str">
        <f t="shared" si="251"/>
        <v/>
      </c>
    </row>
    <row r="1007" spans="2:18" ht="60" hidden="1" customHeight="1" x14ac:dyDescent="0.25">
      <c r="B1007" s="1565" t="str">
        <f t="shared" si="252"/>
        <v/>
      </c>
      <c r="C1007" s="1566"/>
      <c r="D1007" s="1567"/>
      <c r="E1007" s="1250" t="str">
        <f t="shared" si="253"/>
        <v/>
      </c>
      <c r="F1007" s="1252"/>
      <c r="G1007" s="1711" t="str">
        <f t="shared" si="254"/>
        <v/>
      </c>
      <c r="H1007" s="1712"/>
      <c r="I1007" s="457" t="str">
        <f t="shared" si="255"/>
        <v/>
      </c>
      <c r="J1007" s="414"/>
      <c r="K1007" s="414"/>
      <c r="L1007" s="414"/>
      <c r="M1007" s="414"/>
      <c r="N1007" s="414"/>
      <c r="O1007" s="414"/>
      <c r="P1007" s="414"/>
      <c r="Q1007" s="414"/>
      <c r="R1007" s="415" t="str">
        <f t="shared" si="251"/>
        <v/>
      </c>
    </row>
    <row r="1008" spans="2:18" ht="60" hidden="1" customHeight="1" x14ac:dyDescent="0.25">
      <c r="B1008" s="1565" t="str">
        <f t="shared" si="252"/>
        <v/>
      </c>
      <c r="C1008" s="1566"/>
      <c r="D1008" s="1567"/>
      <c r="E1008" s="1250" t="str">
        <f t="shared" si="253"/>
        <v/>
      </c>
      <c r="F1008" s="1252"/>
      <c r="G1008" s="1711" t="str">
        <f t="shared" si="254"/>
        <v/>
      </c>
      <c r="H1008" s="1712"/>
      <c r="I1008" s="457" t="str">
        <f t="shared" si="255"/>
        <v/>
      </c>
      <c r="J1008" s="414"/>
      <c r="K1008" s="414"/>
      <c r="L1008" s="414"/>
      <c r="M1008" s="414"/>
      <c r="N1008" s="414"/>
      <c r="O1008" s="414"/>
      <c r="P1008" s="414"/>
      <c r="Q1008" s="414"/>
      <c r="R1008" s="415" t="str">
        <f t="shared" si="251"/>
        <v/>
      </c>
    </row>
    <row r="1009" spans="2:18" ht="60" hidden="1" customHeight="1" x14ac:dyDescent="0.25">
      <c r="B1009" s="1565" t="str">
        <f t="shared" si="252"/>
        <v/>
      </c>
      <c r="C1009" s="1566"/>
      <c r="D1009" s="1567"/>
      <c r="E1009" s="1250" t="str">
        <f t="shared" si="253"/>
        <v/>
      </c>
      <c r="F1009" s="1252"/>
      <c r="G1009" s="1711" t="str">
        <f t="shared" si="254"/>
        <v/>
      </c>
      <c r="H1009" s="1712"/>
      <c r="I1009" s="457" t="str">
        <f t="shared" si="255"/>
        <v/>
      </c>
      <c r="J1009" s="414"/>
      <c r="K1009" s="414"/>
      <c r="L1009" s="414"/>
      <c r="M1009" s="414"/>
      <c r="N1009" s="414"/>
      <c r="O1009" s="414"/>
      <c r="P1009" s="414"/>
      <c r="Q1009" s="414"/>
      <c r="R1009" s="415" t="str">
        <f t="shared" si="251"/>
        <v/>
      </c>
    </row>
    <row r="1010" spans="2:18" ht="60" hidden="1" customHeight="1" x14ac:dyDescent="0.25">
      <c r="B1010" s="1565" t="str">
        <f t="shared" si="252"/>
        <v/>
      </c>
      <c r="C1010" s="1566"/>
      <c r="D1010" s="1567"/>
      <c r="E1010" s="1250" t="str">
        <f t="shared" si="253"/>
        <v/>
      </c>
      <c r="F1010" s="1252"/>
      <c r="G1010" s="1711" t="str">
        <f t="shared" si="254"/>
        <v/>
      </c>
      <c r="H1010" s="1712"/>
      <c r="I1010" s="457" t="str">
        <f t="shared" si="255"/>
        <v/>
      </c>
      <c r="J1010" s="414"/>
      <c r="K1010" s="414"/>
      <c r="L1010" s="414"/>
      <c r="M1010" s="414"/>
      <c r="N1010" s="414"/>
      <c r="O1010" s="414"/>
      <c r="P1010" s="414"/>
      <c r="Q1010" s="414"/>
      <c r="R1010" s="415" t="str">
        <f t="shared" si="251"/>
        <v/>
      </c>
    </row>
    <row r="1011" spans="2:18" ht="60" hidden="1" customHeight="1" x14ac:dyDescent="0.25">
      <c r="B1011" s="1565" t="str">
        <f t="shared" si="252"/>
        <v/>
      </c>
      <c r="C1011" s="1566"/>
      <c r="D1011" s="1567"/>
      <c r="E1011" s="1250" t="str">
        <f t="shared" si="253"/>
        <v/>
      </c>
      <c r="F1011" s="1252"/>
      <c r="G1011" s="1711" t="str">
        <f t="shared" si="254"/>
        <v/>
      </c>
      <c r="H1011" s="1712"/>
      <c r="I1011" s="457" t="str">
        <f t="shared" si="255"/>
        <v/>
      </c>
      <c r="J1011" s="414"/>
      <c r="K1011" s="414"/>
      <c r="L1011" s="414"/>
      <c r="M1011" s="414"/>
      <c r="N1011" s="414"/>
      <c r="O1011" s="414"/>
      <c r="P1011" s="414"/>
      <c r="Q1011" s="414"/>
      <c r="R1011" s="415" t="str">
        <f t="shared" si="251"/>
        <v/>
      </c>
    </row>
    <row r="1012" spans="2:18" ht="60" hidden="1" customHeight="1" x14ac:dyDescent="0.25">
      <c r="B1012" s="1565" t="str">
        <f t="shared" si="252"/>
        <v/>
      </c>
      <c r="C1012" s="1566"/>
      <c r="D1012" s="1567"/>
      <c r="E1012" s="1250" t="str">
        <f t="shared" si="253"/>
        <v/>
      </c>
      <c r="F1012" s="1252"/>
      <c r="G1012" s="1711" t="str">
        <f t="shared" si="254"/>
        <v/>
      </c>
      <c r="H1012" s="1712"/>
      <c r="I1012" s="457" t="str">
        <f t="shared" si="255"/>
        <v/>
      </c>
      <c r="J1012" s="414"/>
      <c r="K1012" s="414"/>
      <c r="L1012" s="414"/>
      <c r="M1012" s="414"/>
      <c r="N1012" s="414"/>
      <c r="O1012" s="414"/>
      <c r="P1012" s="414"/>
      <c r="Q1012" s="414"/>
      <c r="R1012" s="415" t="str">
        <f t="shared" si="251"/>
        <v/>
      </c>
    </row>
    <row r="1013" spans="2:18" ht="60" hidden="1" customHeight="1" x14ac:dyDescent="0.25">
      <c r="B1013" s="1565" t="str">
        <f t="shared" si="252"/>
        <v/>
      </c>
      <c r="C1013" s="1566"/>
      <c r="D1013" s="1567"/>
      <c r="E1013" s="1250" t="str">
        <f t="shared" si="253"/>
        <v/>
      </c>
      <c r="F1013" s="1252"/>
      <c r="G1013" s="1711" t="str">
        <f t="shared" si="254"/>
        <v/>
      </c>
      <c r="H1013" s="1712"/>
      <c r="I1013" s="457" t="str">
        <f t="shared" si="255"/>
        <v/>
      </c>
      <c r="J1013" s="414"/>
      <c r="K1013" s="414"/>
      <c r="L1013" s="414"/>
      <c r="M1013" s="414"/>
      <c r="N1013" s="414"/>
      <c r="O1013" s="414"/>
      <c r="P1013" s="414"/>
      <c r="Q1013" s="414"/>
      <c r="R1013" s="415" t="str">
        <f t="shared" si="251"/>
        <v/>
      </c>
    </row>
    <row r="1014" spans="2:18" ht="60" hidden="1" customHeight="1" x14ac:dyDescent="0.25">
      <c r="B1014" s="1565" t="str">
        <f t="shared" si="252"/>
        <v/>
      </c>
      <c r="C1014" s="1566"/>
      <c r="D1014" s="1567"/>
      <c r="E1014" s="1250" t="str">
        <f t="shared" si="253"/>
        <v/>
      </c>
      <c r="F1014" s="1252"/>
      <c r="G1014" s="1711" t="str">
        <f t="shared" si="254"/>
        <v/>
      </c>
      <c r="H1014" s="1712"/>
      <c r="I1014" s="457" t="str">
        <f t="shared" si="255"/>
        <v/>
      </c>
      <c r="J1014" s="414"/>
      <c r="K1014" s="414"/>
      <c r="L1014" s="414"/>
      <c r="M1014" s="414"/>
      <c r="N1014" s="414"/>
      <c r="O1014" s="414"/>
      <c r="P1014" s="414"/>
      <c r="Q1014" s="414"/>
      <c r="R1014" s="415" t="str">
        <f t="shared" si="251"/>
        <v/>
      </c>
    </row>
    <row r="1015" spans="2:18" ht="60" hidden="1" customHeight="1" x14ac:dyDescent="0.25">
      <c r="B1015" s="1565" t="str">
        <f t="shared" si="252"/>
        <v/>
      </c>
      <c r="C1015" s="1566"/>
      <c r="D1015" s="1567"/>
      <c r="E1015" s="1250" t="str">
        <f t="shared" si="253"/>
        <v/>
      </c>
      <c r="F1015" s="1252"/>
      <c r="G1015" s="1711" t="str">
        <f t="shared" si="254"/>
        <v/>
      </c>
      <c r="H1015" s="1712"/>
      <c r="I1015" s="457" t="str">
        <f t="shared" si="255"/>
        <v/>
      </c>
      <c r="J1015" s="414"/>
      <c r="K1015" s="414"/>
      <c r="L1015" s="414"/>
      <c r="M1015" s="414"/>
      <c r="N1015" s="414"/>
      <c r="O1015" s="414"/>
      <c r="P1015" s="414"/>
      <c r="Q1015" s="414"/>
      <c r="R1015" s="415" t="str">
        <f t="shared" si="251"/>
        <v/>
      </c>
    </row>
    <row r="1016" spans="2:18" ht="60" hidden="1" customHeight="1" x14ac:dyDescent="0.25">
      <c r="B1016" s="1565" t="str">
        <f t="shared" si="252"/>
        <v/>
      </c>
      <c r="C1016" s="1566"/>
      <c r="D1016" s="1567"/>
      <c r="E1016" s="1250" t="str">
        <f t="shared" si="253"/>
        <v/>
      </c>
      <c r="F1016" s="1252"/>
      <c r="G1016" s="1711" t="str">
        <f t="shared" si="254"/>
        <v/>
      </c>
      <c r="H1016" s="1712"/>
      <c r="I1016" s="457" t="str">
        <f t="shared" si="255"/>
        <v/>
      </c>
      <c r="J1016" s="414"/>
      <c r="K1016" s="414"/>
      <c r="L1016" s="414"/>
      <c r="M1016" s="414"/>
      <c r="N1016" s="414"/>
      <c r="O1016" s="414"/>
      <c r="P1016" s="414"/>
      <c r="Q1016" s="414"/>
      <c r="R1016" s="415" t="str">
        <f t="shared" si="251"/>
        <v/>
      </c>
    </row>
    <row r="1017" spans="2:18" ht="60" hidden="1" customHeight="1" x14ac:dyDescent="0.25">
      <c r="B1017" s="1565" t="str">
        <f t="shared" si="252"/>
        <v/>
      </c>
      <c r="C1017" s="1566"/>
      <c r="D1017" s="1567"/>
      <c r="E1017" s="1250" t="str">
        <f t="shared" si="253"/>
        <v/>
      </c>
      <c r="F1017" s="1252"/>
      <c r="G1017" s="1711" t="str">
        <f t="shared" si="254"/>
        <v/>
      </c>
      <c r="H1017" s="1712"/>
      <c r="I1017" s="457" t="str">
        <f t="shared" si="255"/>
        <v/>
      </c>
      <c r="J1017" s="414"/>
      <c r="K1017" s="414"/>
      <c r="L1017" s="414"/>
      <c r="M1017" s="414"/>
      <c r="N1017" s="414"/>
      <c r="O1017" s="414"/>
      <c r="P1017" s="414"/>
      <c r="Q1017" s="414"/>
      <c r="R1017" s="415" t="str">
        <f t="shared" si="251"/>
        <v/>
      </c>
    </row>
    <row r="1018" spans="2:18" ht="15.95" hidden="1" customHeight="1" x14ac:dyDescent="0.25">
      <c r="B1018" s="1713" t="str">
        <f t="shared" ref="B1018:B1024" si="256">IFERROR(IF(B345="","",B345),"")</f>
        <v>Medidas de Reducción del riesgo de desastres y mitigación ambiental</v>
      </c>
      <c r="C1018" s="1714"/>
      <c r="D1018" s="1714"/>
      <c r="E1018" s="1714"/>
      <c r="F1018" s="1714"/>
      <c r="G1018" s="1714"/>
      <c r="H1018" s="1714"/>
      <c r="I1018" s="1714"/>
      <c r="J1018" s="1714"/>
      <c r="K1018" s="1714"/>
      <c r="L1018" s="1714"/>
      <c r="M1018" s="1714"/>
      <c r="N1018" s="1714"/>
      <c r="O1018" s="1714"/>
      <c r="P1018" s="1714"/>
      <c r="Q1018" s="1714"/>
      <c r="R1018" s="1715"/>
    </row>
    <row r="1019" spans="2:18" ht="60" hidden="1" customHeight="1" x14ac:dyDescent="0.25">
      <c r="B1019" s="1565" t="str">
        <f t="shared" si="256"/>
        <v/>
      </c>
      <c r="C1019" s="1566"/>
      <c r="D1019" s="1567"/>
      <c r="E1019" s="1250" t="str">
        <f t="shared" ref="E1019:E1024" si="257">IFERROR(IF(E346="","",E346),"")</f>
        <v/>
      </c>
      <c r="F1019" s="1252"/>
      <c r="G1019" s="1711" t="str">
        <f t="shared" ref="G1019:G1024" si="258">IFERROR(IF(G346="","",G346),"")</f>
        <v/>
      </c>
      <c r="H1019" s="1712"/>
      <c r="I1019" s="457" t="str">
        <f t="shared" ref="I1019:I1024" si="259">IFERROR(IF(I346="","",I346),"")</f>
        <v/>
      </c>
      <c r="J1019" s="414"/>
      <c r="K1019" s="414"/>
      <c r="L1019" s="414"/>
      <c r="M1019" s="414"/>
      <c r="N1019" s="414"/>
      <c r="O1019" s="414"/>
      <c r="P1019" s="414"/>
      <c r="Q1019" s="414"/>
      <c r="R1019" s="415" t="str">
        <f t="shared" ref="R1019:R1024" si="260">IFERROR(IF(AND(J1019="",K1019="",L1019="",M1019="",N1019="",O1019="",P1019="",Q1019=""),"",SUM(J1019:Q1019)),"")</f>
        <v/>
      </c>
    </row>
    <row r="1020" spans="2:18" ht="60" hidden="1" customHeight="1" x14ac:dyDescent="0.25">
      <c r="B1020" s="1565" t="str">
        <f t="shared" si="256"/>
        <v/>
      </c>
      <c r="C1020" s="1566"/>
      <c r="D1020" s="1567"/>
      <c r="E1020" s="1250" t="str">
        <f t="shared" si="257"/>
        <v/>
      </c>
      <c r="F1020" s="1252"/>
      <c r="G1020" s="1711" t="str">
        <f t="shared" si="258"/>
        <v/>
      </c>
      <c r="H1020" s="1712"/>
      <c r="I1020" s="457" t="str">
        <f t="shared" si="259"/>
        <v/>
      </c>
      <c r="J1020" s="414"/>
      <c r="K1020" s="414"/>
      <c r="L1020" s="414"/>
      <c r="M1020" s="414"/>
      <c r="N1020" s="414"/>
      <c r="O1020" s="414"/>
      <c r="P1020" s="414"/>
      <c r="Q1020" s="414"/>
      <c r="R1020" s="415" t="str">
        <f t="shared" si="260"/>
        <v/>
      </c>
    </row>
    <row r="1021" spans="2:18" ht="60" hidden="1" customHeight="1" x14ac:dyDescent="0.25">
      <c r="B1021" s="1565" t="str">
        <f t="shared" si="256"/>
        <v/>
      </c>
      <c r="C1021" s="1566"/>
      <c r="D1021" s="1567"/>
      <c r="E1021" s="1250" t="str">
        <f t="shared" si="257"/>
        <v/>
      </c>
      <c r="F1021" s="1252"/>
      <c r="G1021" s="1711" t="str">
        <f t="shared" si="258"/>
        <v/>
      </c>
      <c r="H1021" s="1712"/>
      <c r="I1021" s="457" t="str">
        <f t="shared" si="259"/>
        <v/>
      </c>
      <c r="J1021" s="414"/>
      <c r="K1021" s="414"/>
      <c r="L1021" s="414"/>
      <c r="M1021" s="414"/>
      <c r="N1021" s="414"/>
      <c r="O1021" s="414"/>
      <c r="P1021" s="414"/>
      <c r="Q1021" s="414"/>
      <c r="R1021" s="415" t="str">
        <f t="shared" si="260"/>
        <v/>
      </c>
    </row>
    <row r="1022" spans="2:18" ht="60" hidden="1" customHeight="1" x14ac:dyDescent="0.25">
      <c r="B1022" s="1565" t="str">
        <f t="shared" si="256"/>
        <v/>
      </c>
      <c r="C1022" s="1566"/>
      <c r="D1022" s="1567"/>
      <c r="E1022" s="1250" t="str">
        <f t="shared" si="257"/>
        <v/>
      </c>
      <c r="F1022" s="1252"/>
      <c r="G1022" s="1711" t="str">
        <f t="shared" si="258"/>
        <v/>
      </c>
      <c r="H1022" s="1712"/>
      <c r="I1022" s="457" t="str">
        <f t="shared" si="259"/>
        <v/>
      </c>
      <c r="J1022" s="414"/>
      <c r="K1022" s="414"/>
      <c r="L1022" s="414"/>
      <c r="M1022" s="414"/>
      <c r="N1022" s="414"/>
      <c r="O1022" s="414"/>
      <c r="P1022" s="414"/>
      <c r="Q1022" s="414"/>
      <c r="R1022" s="415" t="str">
        <f t="shared" si="260"/>
        <v/>
      </c>
    </row>
    <row r="1023" spans="2:18" ht="60" hidden="1" customHeight="1" x14ac:dyDescent="0.25">
      <c r="B1023" s="1565" t="str">
        <f t="shared" si="256"/>
        <v/>
      </c>
      <c r="C1023" s="1566"/>
      <c r="D1023" s="1567"/>
      <c r="E1023" s="1250" t="str">
        <f t="shared" si="257"/>
        <v/>
      </c>
      <c r="F1023" s="1252"/>
      <c r="G1023" s="1711" t="str">
        <f t="shared" si="258"/>
        <v/>
      </c>
      <c r="H1023" s="1712"/>
      <c r="I1023" s="457" t="str">
        <f t="shared" si="259"/>
        <v/>
      </c>
      <c r="J1023" s="414"/>
      <c r="K1023" s="414"/>
      <c r="L1023" s="414"/>
      <c r="M1023" s="414"/>
      <c r="N1023" s="414"/>
      <c r="O1023" s="414"/>
      <c r="P1023" s="414"/>
      <c r="Q1023" s="414"/>
      <c r="R1023" s="415" t="str">
        <f t="shared" si="260"/>
        <v/>
      </c>
    </row>
    <row r="1024" spans="2:18" ht="60" hidden="1" customHeight="1" x14ac:dyDescent="0.25">
      <c r="B1024" s="1565" t="str">
        <f t="shared" si="256"/>
        <v/>
      </c>
      <c r="C1024" s="1566"/>
      <c r="D1024" s="1567"/>
      <c r="E1024" s="1250" t="str">
        <f t="shared" si="257"/>
        <v/>
      </c>
      <c r="F1024" s="1252"/>
      <c r="G1024" s="1711" t="str">
        <f t="shared" si="258"/>
        <v/>
      </c>
      <c r="H1024" s="1712"/>
      <c r="I1024" s="457" t="str">
        <f t="shared" si="259"/>
        <v/>
      </c>
      <c r="J1024" s="414"/>
      <c r="K1024" s="414"/>
      <c r="L1024" s="414"/>
      <c r="M1024" s="414"/>
      <c r="N1024" s="414"/>
      <c r="O1024" s="414"/>
      <c r="P1024" s="414"/>
      <c r="Q1024" s="414"/>
      <c r="R1024" s="415" t="str">
        <f t="shared" si="260"/>
        <v/>
      </c>
    </row>
    <row r="1025" spans="2:18" hidden="1" x14ac:dyDescent="0.25">
      <c r="B1025" s="1790" t="s">
        <v>393</v>
      </c>
      <c r="C1025" s="1790"/>
      <c r="D1025" s="1790"/>
      <c r="E1025" s="1790"/>
      <c r="F1025" s="1790"/>
      <c r="G1025" s="1790"/>
      <c r="H1025" s="1790"/>
      <c r="I1025" s="1790"/>
      <c r="J1025" s="1790"/>
      <c r="K1025" s="1790"/>
      <c r="L1025" s="1790"/>
      <c r="M1025" s="1790"/>
      <c r="N1025" s="1790"/>
      <c r="O1025" s="1790"/>
      <c r="P1025" s="1790"/>
      <c r="Q1025" s="1790"/>
      <c r="R1025" s="1790"/>
    </row>
    <row r="1026" spans="2:18" hidden="1" x14ac:dyDescent="0.25">
      <c r="B1026" s="1791"/>
      <c r="C1026" s="1791"/>
      <c r="D1026" s="1791"/>
      <c r="E1026" s="1791"/>
      <c r="F1026" s="1791"/>
      <c r="G1026" s="1791"/>
      <c r="H1026" s="1791"/>
      <c r="I1026" s="1791"/>
      <c r="J1026" s="1791"/>
      <c r="K1026" s="1791"/>
      <c r="L1026" s="1791"/>
      <c r="M1026" s="1791"/>
      <c r="N1026" s="1791"/>
      <c r="O1026" s="1791"/>
      <c r="P1026" s="1791"/>
      <c r="Q1026" s="1791"/>
      <c r="R1026" s="1791"/>
    </row>
  </sheetData>
  <sheetProtection algorithmName="SHA-512" hashValue="h/MgasIxroMYLgijAI2gUDz+tucp5nLf1ZuL18H80wkHzNw38dFiRRGBFNJsjvQYTuI+idpsZsldIQ9aYVRt+g==" saltValue="SdpVr1euzfgsDaQ2+uv82Q==" spinCount="100000" sheet="1" objects="1" scenarios="1"/>
  <dataConsolidate/>
  <mergeCells count="2264">
    <mergeCell ref="G558:H558"/>
    <mergeCell ref="B562:R562"/>
    <mergeCell ref="B566:D566"/>
    <mergeCell ref="E566:F566"/>
    <mergeCell ref="G566:H566"/>
    <mergeCell ref="Q544:R544"/>
    <mergeCell ref="Q545:R545"/>
    <mergeCell ref="Q546:R546"/>
    <mergeCell ref="Q547:R547"/>
    <mergeCell ref="Q548:R548"/>
    <mergeCell ref="Q549:R549"/>
    <mergeCell ref="Q550:R550"/>
    <mergeCell ref="Q551:R551"/>
    <mergeCell ref="Q552:R552"/>
    <mergeCell ref="Q553:R553"/>
    <mergeCell ref="Q554:R554"/>
    <mergeCell ref="Q558:R558"/>
    <mergeCell ref="Q566:R566"/>
    <mergeCell ref="B551:D551"/>
    <mergeCell ref="B552:D552"/>
    <mergeCell ref="B553:D553"/>
    <mergeCell ref="E548:F548"/>
    <mergeCell ref="E549:F549"/>
    <mergeCell ref="E550:F550"/>
    <mergeCell ref="E551:F551"/>
    <mergeCell ref="E552:F552"/>
    <mergeCell ref="E553:F553"/>
    <mergeCell ref="G544:H544"/>
    <mergeCell ref="G545:H545"/>
    <mergeCell ref="G546:H546"/>
    <mergeCell ref="G547:H547"/>
    <mergeCell ref="G548:H548"/>
    <mergeCell ref="G549:H549"/>
    <mergeCell ref="G27:H27"/>
    <mergeCell ref="G26:H26"/>
    <mergeCell ref="G25:H25"/>
    <mergeCell ref="G24:H24"/>
    <mergeCell ref="G23:H23"/>
    <mergeCell ref="G22:H22"/>
    <mergeCell ref="G550:H550"/>
    <mergeCell ref="G551:H551"/>
    <mergeCell ref="G552:H552"/>
    <mergeCell ref="G553:H553"/>
    <mergeCell ref="G554:H554"/>
    <mergeCell ref="B22:D22"/>
    <mergeCell ref="B23:D23"/>
    <mergeCell ref="B24:D24"/>
    <mergeCell ref="B25:D25"/>
    <mergeCell ref="B26:D26"/>
    <mergeCell ref="B27:D27"/>
    <mergeCell ref="E22:F22"/>
    <mergeCell ref="E23:F23"/>
    <mergeCell ref="E24:F24"/>
    <mergeCell ref="E25:F25"/>
    <mergeCell ref="E26:F26"/>
    <mergeCell ref="E27:F27"/>
    <mergeCell ref="B488:F488"/>
    <mergeCell ref="B385:C386"/>
    <mergeCell ref="D385:D386"/>
    <mergeCell ref="E385:E386"/>
    <mergeCell ref="F385:O385"/>
    <mergeCell ref="B388:C388"/>
    <mergeCell ref="B501:C507"/>
    <mergeCell ref="D501:E501"/>
    <mergeCell ref="B793:C793"/>
    <mergeCell ref="L793:M793"/>
    <mergeCell ref="B795:C795"/>
    <mergeCell ref="L795:M795"/>
    <mergeCell ref="B796:C796"/>
    <mergeCell ref="L796:M796"/>
    <mergeCell ref="B797:C797"/>
    <mergeCell ref="L797:M797"/>
    <mergeCell ref="B798:C798"/>
    <mergeCell ref="L798:M798"/>
    <mergeCell ref="B791:P791"/>
    <mergeCell ref="B782:D782"/>
    <mergeCell ref="E782:F782"/>
    <mergeCell ref="G782:H782"/>
    <mergeCell ref="B783:D783"/>
    <mergeCell ref="E783:F783"/>
    <mergeCell ref="G783:H783"/>
    <mergeCell ref="G788:H788"/>
    <mergeCell ref="B778:D778"/>
    <mergeCell ref="E778:F778"/>
    <mergeCell ref="G778:H778"/>
    <mergeCell ref="B554:D554"/>
    <mergeCell ref="B558:D558"/>
    <mergeCell ref="E544:F544"/>
    <mergeCell ref="E545:F545"/>
    <mergeCell ref="E546:F546"/>
    <mergeCell ref="E547:F547"/>
    <mergeCell ref="Q791:R791"/>
    <mergeCell ref="B789:D789"/>
    <mergeCell ref="E789:F789"/>
    <mergeCell ref="G789:H789"/>
    <mergeCell ref="Q789:R789"/>
    <mergeCell ref="B790:D790"/>
    <mergeCell ref="E790:F790"/>
    <mergeCell ref="G790:H790"/>
    <mergeCell ref="Q790:R790"/>
    <mergeCell ref="B775:D775"/>
    <mergeCell ref="E775:F775"/>
    <mergeCell ref="G775:H775"/>
    <mergeCell ref="Q775:R775"/>
    <mergeCell ref="B776:D776"/>
    <mergeCell ref="E776:F776"/>
    <mergeCell ref="G776:H776"/>
    <mergeCell ref="Q776:R776"/>
    <mergeCell ref="B777:D777"/>
    <mergeCell ref="E777:F777"/>
    <mergeCell ref="G777:H777"/>
    <mergeCell ref="Q777:R777"/>
    <mergeCell ref="Q778:R778"/>
    <mergeCell ref="B772:D772"/>
    <mergeCell ref="B799:K799"/>
    <mergeCell ref="L799:M799"/>
    <mergeCell ref="B800:K800"/>
    <mergeCell ref="L800:M800"/>
    <mergeCell ref="B801:I801"/>
    <mergeCell ref="B786:D786"/>
    <mergeCell ref="E786:F786"/>
    <mergeCell ref="G786:H786"/>
    <mergeCell ref="Q786:R786"/>
    <mergeCell ref="B779:D779"/>
    <mergeCell ref="E779:F779"/>
    <mergeCell ref="G779:H779"/>
    <mergeCell ref="Q779:R779"/>
    <mergeCell ref="B780:D780"/>
    <mergeCell ref="E780:F780"/>
    <mergeCell ref="G780:H780"/>
    <mergeCell ref="Q780:R780"/>
    <mergeCell ref="B781:D781"/>
    <mergeCell ref="E781:F781"/>
    <mergeCell ref="G781:H781"/>
    <mergeCell ref="Q781:R781"/>
    <mergeCell ref="B784:R784"/>
    <mergeCell ref="B785:D785"/>
    <mergeCell ref="E785:F785"/>
    <mergeCell ref="G785:H785"/>
    <mergeCell ref="Q785:R785"/>
    <mergeCell ref="B787:D787"/>
    <mergeCell ref="E787:F787"/>
    <mergeCell ref="G787:H787"/>
    <mergeCell ref="Q787:R787"/>
    <mergeCell ref="B788:D788"/>
    <mergeCell ref="E788:F788"/>
    <mergeCell ref="E772:F772"/>
    <mergeCell ref="G772:H772"/>
    <mergeCell ref="Q772:R772"/>
    <mergeCell ref="B774:D774"/>
    <mergeCell ref="E774:F774"/>
    <mergeCell ref="G774:H774"/>
    <mergeCell ref="Q774:R774"/>
    <mergeCell ref="B770:D770"/>
    <mergeCell ref="E770:F770"/>
    <mergeCell ref="G770:H770"/>
    <mergeCell ref="Q770:R770"/>
    <mergeCell ref="B771:D771"/>
    <mergeCell ref="E771:F771"/>
    <mergeCell ref="G771:H771"/>
    <mergeCell ref="Q771:R771"/>
    <mergeCell ref="B769:D769"/>
    <mergeCell ref="E769:F769"/>
    <mergeCell ref="G769:H769"/>
    <mergeCell ref="Q769:R769"/>
    <mergeCell ref="B773:D773"/>
    <mergeCell ref="E773:F773"/>
    <mergeCell ref="G773:H773"/>
    <mergeCell ref="Q773:R773"/>
    <mergeCell ref="B761:D761"/>
    <mergeCell ref="E761:F761"/>
    <mergeCell ref="G761:H761"/>
    <mergeCell ref="Q761:R761"/>
    <mergeCell ref="B766:D766"/>
    <mergeCell ref="E766:F766"/>
    <mergeCell ref="G766:H766"/>
    <mergeCell ref="Q766:R766"/>
    <mergeCell ref="B767:D767"/>
    <mergeCell ref="E767:F767"/>
    <mergeCell ref="G767:H767"/>
    <mergeCell ref="Q767:R767"/>
    <mergeCell ref="B768:D768"/>
    <mergeCell ref="E768:F768"/>
    <mergeCell ref="G768:H768"/>
    <mergeCell ref="Q768:R768"/>
    <mergeCell ref="B763:D763"/>
    <mergeCell ref="E763:F763"/>
    <mergeCell ref="G763:H763"/>
    <mergeCell ref="Q763:R763"/>
    <mergeCell ref="B764:D764"/>
    <mergeCell ref="E764:F764"/>
    <mergeCell ref="G764:H764"/>
    <mergeCell ref="Q764:R764"/>
    <mergeCell ref="B765:D765"/>
    <mergeCell ref="E765:F765"/>
    <mergeCell ref="G765:H765"/>
    <mergeCell ref="Q765:R765"/>
    <mergeCell ref="B756:D756"/>
    <mergeCell ref="E756:F756"/>
    <mergeCell ref="G756:H756"/>
    <mergeCell ref="Q756:R756"/>
    <mergeCell ref="B751:D751"/>
    <mergeCell ref="E751:F751"/>
    <mergeCell ref="G751:H751"/>
    <mergeCell ref="Q751:R751"/>
    <mergeCell ref="B752:D752"/>
    <mergeCell ref="E752:F752"/>
    <mergeCell ref="G752:H752"/>
    <mergeCell ref="Q752:R752"/>
    <mergeCell ref="B760:D760"/>
    <mergeCell ref="E760:F760"/>
    <mergeCell ref="G760:H760"/>
    <mergeCell ref="Q760:R760"/>
    <mergeCell ref="B758:D758"/>
    <mergeCell ref="E758:F758"/>
    <mergeCell ref="G758:H758"/>
    <mergeCell ref="Q758:R758"/>
    <mergeCell ref="B759:D759"/>
    <mergeCell ref="E759:F759"/>
    <mergeCell ref="G759:H759"/>
    <mergeCell ref="Q759:R759"/>
    <mergeCell ref="B757:D757"/>
    <mergeCell ref="E757:F757"/>
    <mergeCell ref="G757:H757"/>
    <mergeCell ref="Q757:R757"/>
    <mergeCell ref="B748:D748"/>
    <mergeCell ref="E748:F748"/>
    <mergeCell ref="G748:H748"/>
    <mergeCell ref="Q748:R748"/>
    <mergeCell ref="B750:D750"/>
    <mergeCell ref="E750:F750"/>
    <mergeCell ref="G750:H750"/>
    <mergeCell ref="Q750:R750"/>
    <mergeCell ref="B746:D746"/>
    <mergeCell ref="E746:F746"/>
    <mergeCell ref="G746:H746"/>
    <mergeCell ref="Q746:R746"/>
    <mergeCell ref="B747:D747"/>
    <mergeCell ref="E747:F747"/>
    <mergeCell ref="G747:H747"/>
    <mergeCell ref="Q747:R747"/>
    <mergeCell ref="B754:D754"/>
    <mergeCell ref="E754:F754"/>
    <mergeCell ref="G754:H754"/>
    <mergeCell ref="Q754:R754"/>
    <mergeCell ref="B722:C722"/>
    <mergeCell ref="L722:M722"/>
    <mergeCell ref="B723:C723"/>
    <mergeCell ref="L723:M723"/>
    <mergeCell ref="B724:C724"/>
    <mergeCell ref="L724:M724"/>
    <mergeCell ref="F737:G737"/>
    <mergeCell ref="F738:G738"/>
    <mergeCell ref="F739:G739"/>
    <mergeCell ref="B741:F741"/>
    <mergeCell ref="G741:H743"/>
    <mergeCell ref="I741:P741"/>
    <mergeCell ref="Q741:R743"/>
    <mergeCell ref="B742:D743"/>
    <mergeCell ref="E742:F743"/>
    <mergeCell ref="I742:I743"/>
    <mergeCell ref="J742:J743"/>
    <mergeCell ref="K742:K743"/>
    <mergeCell ref="L742:L743"/>
    <mergeCell ref="M742:M743"/>
    <mergeCell ref="N742:N743"/>
    <mergeCell ref="O742:O743"/>
    <mergeCell ref="P742:P743"/>
    <mergeCell ref="B712:D712"/>
    <mergeCell ref="E712:F712"/>
    <mergeCell ref="G712:H712"/>
    <mergeCell ref="Q712:R712"/>
    <mergeCell ref="B708:D708"/>
    <mergeCell ref="E708:F708"/>
    <mergeCell ref="G708:H708"/>
    <mergeCell ref="Q708:R708"/>
    <mergeCell ref="B709:D709"/>
    <mergeCell ref="E709:F709"/>
    <mergeCell ref="G709:H709"/>
    <mergeCell ref="Q709:R709"/>
    <mergeCell ref="B707:D707"/>
    <mergeCell ref="E707:F707"/>
    <mergeCell ref="G707:H707"/>
    <mergeCell ref="Q707:R707"/>
    <mergeCell ref="B710:R710"/>
    <mergeCell ref="B711:D711"/>
    <mergeCell ref="E711:F711"/>
    <mergeCell ref="G711:H711"/>
    <mergeCell ref="Q711:R711"/>
    <mergeCell ref="B704:D704"/>
    <mergeCell ref="E704:F704"/>
    <mergeCell ref="G704:H704"/>
    <mergeCell ref="Q704:R704"/>
    <mergeCell ref="B705:D705"/>
    <mergeCell ref="E705:F705"/>
    <mergeCell ref="G705:H705"/>
    <mergeCell ref="Q705:R705"/>
    <mergeCell ref="B706:D706"/>
    <mergeCell ref="E706:F706"/>
    <mergeCell ref="G706:H706"/>
    <mergeCell ref="Q706:R706"/>
    <mergeCell ref="B701:D701"/>
    <mergeCell ref="E701:F701"/>
    <mergeCell ref="G701:H701"/>
    <mergeCell ref="Q701:R701"/>
    <mergeCell ref="B702:D702"/>
    <mergeCell ref="E702:F702"/>
    <mergeCell ref="G702:H702"/>
    <mergeCell ref="Q702:R702"/>
    <mergeCell ref="B703:D703"/>
    <mergeCell ref="E703:F703"/>
    <mergeCell ref="G703:H703"/>
    <mergeCell ref="Q703:R703"/>
    <mergeCell ref="B698:D698"/>
    <mergeCell ref="E698:F698"/>
    <mergeCell ref="G698:H698"/>
    <mergeCell ref="Q698:R698"/>
    <mergeCell ref="B700:D700"/>
    <mergeCell ref="E700:F700"/>
    <mergeCell ref="G700:H700"/>
    <mergeCell ref="Q700:R700"/>
    <mergeCell ref="B696:D696"/>
    <mergeCell ref="E696:F696"/>
    <mergeCell ref="G696:H696"/>
    <mergeCell ref="Q696:R696"/>
    <mergeCell ref="B697:D697"/>
    <mergeCell ref="E697:F697"/>
    <mergeCell ref="G697:H697"/>
    <mergeCell ref="Q697:R697"/>
    <mergeCell ref="B695:D695"/>
    <mergeCell ref="E695:F695"/>
    <mergeCell ref="G695:H695"/>
    <mergeCell ref="Q695:R695"/>
    <mergeCell ref="B699:D699"/>
    <mergeCell ref="E699:F699"/>
    <mergeCell ref="G699:H699"/>
    <mergeCell ref="Q699:R699"/>
    <mergeCell ref="B692:D692"/>
    <mergeCell ref="E692:F692"/>
    <mergeCell ref="G692:H692"/>
    <mergeCell ref="Q692:R692"/>
    <mergeCell ref="B693:D693"/>
    <mergeCell ref="E693:F693"/>
    <mergeCell ref="G693:H693"/>
    <mergeCell ref="Q693:R693"/>
    <mergeCell ref="B694:D694"/>
    <mergeCell ref="E694:F694"/>
    <mergeCell ref="G694:H694"/>
    <mergeCell ref="Q694:R694"/>
    <mergeCell ref="B689:D689"/>
    <mergeCell ref="E689:F689"/>
    <mergeCell ref="G689:H689"/>
    <mergeCell ref="Q689:R689"/>
    <mergeCell ref="B690:D690"/>
    <mergeCell ref="E690:F690"/>
    <mergeCell ref="G690:H690"/>
    <mergeCell ref="Q690:R690"/>
    <mergeCell ref="B691:D691"/>
    <mergeCell ref="E691:F691"/>
    <mergeCell ref="G691:H691"/>
    <mergeCell ref="Q691:R691"/>
    <mergeCell ref="B686:D686"/>
    <mergeCell ref="E686:F686"/>
    <mergeCell ref="G686:H686"/>
    <mergeCell ref="Q686:R686"/>
    <mergeCell ref="B684:D684"/>
    <mergeCell ref="E684:F684"/>
    <mergeCell ref="G684:H684"/>
    <mergeCell ref="Q684:R684"/>
    <mergeCell ref="B685:D685"/>
    <mergeCell ref="E685:F685"/>
    <mergeCell ref="G685:H685"/>
    <mergeCell ref="Q685:R685"/>
    <mergeCell ref="B683:D683"/>
    <mergeCell ref="E683:F683"/>
    <mergeCell ref="G683:H683"/>
    <mergeCell ref="Q683:R683"/>
    <mergeCell ref="B687:D687"/>
    <mergeCell ref="E687:F687"/>
    <mergeCell ref="G687:H687"/>
    <mergeCell ref="Q687:R687"/>
    <mergeCell ref="B680:D680"/>
    <mergeCell ref="E680:F680"/>
    <mergeCell ref="G680:H680"/>
    <mergeCell ref="Q680:R680"/>
    <mergeCell ref="B682:D682"/>
    <mergeCell ref="E682:F682"/>
    <mergeCell ref="G682:H682"/>
    <mergeCell ref="Q682:R682"/>
    <mergeCell ref="B677:D677"/>
    <mergeCell ref="E677:F677"/>
    <mergeCell ref="G677:H677"/>
    <mergeCell ref="Q677:R677"/>
    <mergeCell ref="B678:D678"/>
    <mergeCell ref="E678:F678"/>
    <mergeCell ref="G678:H678"/>
    <mergeCell ref="Q678:R678"/>
    <mergeCell ref="B679:D679"/>
    <mergeCell ref="E679:F679"/>
    <mergeCell ref="G679:H679"/>
    <mergeCell ref="Q679:R679"/>
    <mergeCell ref="B681:R681"/>
    <mergeCell ref="B674:D674"/>
    <mergeCell ref="E674:F674"/>
    <mergeCell ref="G674:H674"/>
    <mergeCell ref="Q674:R674"/>
    <mergeCell ref="B676:D676"/>
    <mergeCell ref="E676:F676"/>
    <mergeCell ref="G676:H676"/>
    <mergeCell ref="Q676:R676"/>
    <mergeCell ref="B672:D672"/>
    <mergeCell ref="E672:F672"/>
    <mergeCell ref="G672:H672"/>
    <mergeCell ref="Q672:R672"/>
    <mergeCell ref="B673:D673"/>
    <mergeCell ref="E673:F673"/>
    <mergeCell ref="G673:H673"/>
    <mergeCell ref="Q673:R673"/>
    <mergeCell ref="B675:D675"/>
    <mergeCell ref="E675:F675"/>
    <mergeCell ref="G675:H675"/>
    <mergeCell ref="Q675:R675"/>
    <mergeCell ref="B650:C650"/>
    <mergeCell ref="L650:M650"/>
    <mergeCell ref="B651:K651"/>
    <mergeCell ref="L651:M651"/>
    <mergeCell ref="B643:P643"/>
    <mergeCell ref="Q643:R643"/>
    <mergeCell ref="B645:C645"/>
    <mergeCell ref="L645:M645"/>
    <mergeCell ref="B647:C647"/>
    <mergeCell ref="L647:M647"/>
    <mergeCell ref="Q667:R669"/>
    <mergeCell ref="B668:D669"/>
    <mergeCell ref="E668:F669"/>
    <mergeCell ref="I668:I669"/>
    <mergeCell ref="J668:J669"/>
    <mergeCell ref="K668:K669"/>
    <mergeCell ref="L668:L669"/>
    <mergeCell ref="M668:M669"/>
    <mergeCell ref="N668:N669"/>
    <mergeCell ref="O668:O669"/>
    <mergeCell ref="P668:P669"/>
    <mergeCell ref="B652:K652"/>
    <mergeCell ref="L652:M652"/>
    <mergeCell ref="B653:I653"/>
    <mergeCell ref="F663:G663"/>
    <mergeCell ref="F664:G664"/>
    <mergeCell ref="F665:G665"/>
    <mergeCell ref="B667:F667"/>
    <mergeCell ref="G667:H669"/>
    <mergeCell ref="I667:P667"/>
    <mergeCell ref="B642:D642"/>
    <mergeCell ref="E642:F642"/>
    <mergeCell ref="G642:H642"/>
    <mergeCell ref="Q642:R642"/>
    <mergeCell ref="B639:D639"/>
    <mergeCell ref="E639:F639"/>
    <mergeCell ref="G639:H639"/>
    <mergeCell ref="Q639:R639"/>
    <mergeCell ref="B640:D640"/>
    <mergeCell ref="E640:F640"/>
    <mergeCell ref="G640:H640"/>
    <mergeCell ref="Q640:R640"/>
    <mergeCell ref="B648:C648"/>
    <mergeCell ref="L648:M648"/>
    <mergeCell ref="B649:C649"/>
    <mergeCell ref="L649:M649"/>
    <mergeCell ref="B638:D638"/>
    <mergeCell ref="E638:F638"/>
    <mergeCell ref="G638:H638"/>
    <mergeCell ref="Q638:R638"/>
    <mergeCell ref="B641:D641"/>
    <mergeCell ref="E641:F641"/>
    <mergeCell ref="G641:H641"/>
    <mergeCell ref="Q641:R641"/>
    <mergeCell ref="Q630:R630"/>
    <mergeCell ref="B635:D635"/>
    <mergeCell ref="E635:F635"/>
    <mergeCell ref="G635:H635"/>
    <mergeCell ref="Q635:R635"/>
    <mergeCell ref="B637:D637"/>
    <mergeCell ref="E637:F637"/>
    <mergeCell ref="G637:H637"/>
    <mergeCell ref="Q637:R637"/>
    <mergeCell ref="B632:D632"/>
    <mergeCell ref="E632:F632"/>
    <mergeCell ref="G632:H632"/>
    <mergeCell ref="Q632:R632"/>
    <mergeCell ref="B633:D633"/>
    <mergeCell ref="E633:F633"/>
    <mergeCell ref="G633:H633"/>
    <mergeCell ref="Q633:R633"/>
    <mergeCell ref="B634:D634"/>
    <mergeCell ref="E634:F634"/>
    <mergeCell ref="G634:H634"/>
    <mergeCell ref="Q634:R634"/>
    <mergeCell ref="B636:R636"/>
    <mergeCell ref="Q620:R620"/>
    <mergeCell ref="B621:D621"/>
    <mergeCell ref="E621:F621"/>
    <mergeCell ref="G621:H621"/>
    <mergeCell ref="Q621:R621"/>
    <mergeCell ref="B622:D622"/>
    <mergeCell ref="E622:F622"/>
    <mergeCell ref="G622:H622"/>
    <mergeCell ref="Q622:R622"/>
    <mergeCell ref="B629:D629"/>
    <mergeCell ref="E629:F629"/>
    <mergeCell ref="G629:H629"/>
    <mergeCell ref="Q629:R629"/>
    <mergeCell ref="B631:D631"/>
    <mergeCell ref="E631:F631"/>
    <mergeCell ref="G631:H631"/>
    <mergeCell ref="Q631:R631"/>
    <mergeCell ref="B627:D627"/>
    <mergeCell ref="E627:F627"/>
    <mergeCell ref="G627:H627"/>
    <mergeCell ref="Q627:R627"/>
    <mergeCell ref="B628:D628"/>
    <mergeCell ref="E628:F628"/>
    <mergeCell ref="G628:H628"/>
    <mergeCell ref="Q628:R628"/>
    <mergeCell ref="B626:D626"/>
    <mergeCell ref="E626:F626"/>
    <mergeCell ref="G626:H626"/>
    <mergeCell ref="Q626:R626"/>
    <mergeCell ref="B630:D630"/>
    <mergeCell ref="E630:F630"/>
    <mergeCell ref="G630:H630"/>
    <mergeCell ref="Q599:R599"/>
    <mergeCell ref="B600:D600"/>
    <mergeCell ref="E600:F600"/>
    <mergeCell ref="G600:H600"/>
    <mergeCell ref="Q600:R600"/>
    <mergeCell ref="E602:F602"/>
    <mergeCell ref="G602:H602"/>
    <mergeCell ref="Q602:R602"/>
    <mergeCell ref="B619:D619"/>
    <mergeCell ref="E619:F619"/>
    <mergeCell ref="G619:H619"/>
    <mergeCell ref="Q619:R619"/>
    <mergeCell ref="B615:D615"/>
    <mergeCell ref="E615:F615"/>
    <mergeCell ref="G615:H615"/>
    <mergeCell ref="Q615:R615"/>
    <mergeCell ref="B616:D616"/>
    <mergeCell ref="E616:F616"/>
    <mergeCell ref="G616:H616"/>
    <mergeCell ref="Q616:R616"/>
    <mergeCell ref="B606:D606"/>
    <mergeCell ref="E606:F606"/>
    <mergeCell ref="G606:H606"/>
    <mergeCell ref="Q606:R606"/>
    <mergeCell ref="B607:R607"/>
    <mergeCell ref="B610:D610"/>
    <mergeCell ref="E610:F610"/>
    <mergeCell ref="G610:H610"/>
    <mergeCell ref="Q610:R610"/>
    <mergeCell ref="B618:D618"/>
    <mergeCell ref="E618:F618"/>
    <mergeCell ref="G618:H618"/>
    <mergeCell ref="B1020:D1020"/>
    <mergeCell ref="E1020:F1020"/>
    <mergeCell ref="G1020:H1020"/>
    <mergeCell ref="E1023:F1023"/>
    <mergeCell ref="G1023:H1023"/>
    <mergeCell ref="E1024:F1024"/>
    <mergeCell ref="G1024:H1024"/>
    <mergeCell ref="B1016:D1016"/>
    <mergeCell ref="E1016:F1016"/>
    <mergeCell ref="G1016:H1016"/>
    <mergeCell ref="B1017:D1017"/>
    <mergeCell ref="E1017:F1017"/>
    <mergeCell ref="G1017:H1017"/>
    <mergeCell ref="B1023:D1023"/>
    <mergeCell ref="B1024:D1024"/>
    <mergeCell ref="B1025:R1026"/>
    <mergeCell ref="B861:D861"/>
    <mergeCell ref="B862:D862"/>
    <mergeCell ref="B1012:D1012"/>
    <mergeCell ref="E1012:F1012"/>
    <mergeCell ref="G1012:H1012"/>
    <mergeCell ref="B1013:D1013"/>
    <mergeCell ref="E1013:F1013"/>
    <mergeCell ref="G1013:H1013"/>
    <mergeCell ref="B1014:D1014"/>
    <mergeCell ref="E1014:F1014"/>
    <mergeCell ref="G1014:H1014"/>
    <mergeCell ref="B1008:D1008"/>
    <mergeCell ref="E1008:F1008"/>
    <mergeCell ref="G1008:H1008"/>
    <mergeCell ref="B1009:D1009"/>
    <mergeCell ref="E1009:F1009"/>
    <mergeCell ref="G1009:H1009"/>
    <mergeCell ref="B1010:D1010"/>
    <mergeCell ref="E1010:F1010"/>
    <mergeCell ref="G1010:H1010"/>
    <mergeCell ref="B1004:D1004"/>
    <mergeCell ref="E1004:F1004"/>
    <mergeCell ref="B611:D611"/>
    <mergeCell ref="E611:F611"/>
    <mergeCell ref="G611:H611"/>
    <mergeCell ref="G1004:H1004"/>
    <mergeCell ref="B1005:D1005"/>
    <mergeCell ref="E1005:F1005"/>
    <mergeCell ref="G1005:H1005"/>
    <mergeCell ref="B1006:D1006"/>
    <mergeCell ref="E1006:F1006"/>
    <mergeCell ref="G1006:H1006"/>
    <mergeCell ref="B1000:D1000"/>
    <mergeCell ref="E1000:F1000"/>
    <mergeCell ref="G1000:H1000"/>
    <mergeCell ref="B1001:D1001"/>
    <mergeCell ref="E1001:F1001"/>
    <mergeCell ref="G1001:H1001"/>
    <mergeCell ref="B1002:D1002"/>
    <mergeCell ref="E1002:F1002"/>
    <mergeCell ref="G1002:H1002"/>
    <mergeCell ref="B999:D999"/>
    <mergeCell ref="E999:F999"/>
    <mergeCell ref="G999:H999"/>
    <mergeCell ref="B1003:D1003"/>
    <mergeCell ref="E1003:F1003"/>
    <mergeCell ref="G1003:H1003"/>
    <mergeCell ref="E990:F990"/>
    <mergeCell ref="G990:H990"/>
    <mergeCell ref="B984:D984"/>
    <mergeCell ref="E984:F984"/>
    <mergeCell ref="G984:H984"/>
    <mergeCell ref="B985:D985"/>
    <mergeCell ref="E985:F985"/>
    <mergeCell ref="G985:H985"/>
    <mergeCell ref="B986:D986"/>
    <mergeCell ref="E986:F986"/>
    <mergeCell ref="G986:H986"/>
    <mergeCell ref="B997:D997"/>
    <mergeCell ref="E997:F997"/>
    <mergeCell ref="G997:H997"/>
    <mergeCell ref="B998:D998"/>
    <mergeCell ref="E998:F998"/>
    <mergeCell ref="G998:H998"/>
    <mergeCell ref="B992:D992"/>
    <mergeCell ref="E992:F992"/>
    <mergeCell ref="G992:H992"/>
    <mergeCell ref="B993:D993"/>
    <mergeCell ref="E993:F993"/>
    <mergeCell ref="G993:H993"/>
    <mergeCell ref="B994:D994"/>
    <mergeCell ref="E994:F994"/>
    <mergeCell ref="G994:H994"/>
    <mergeCell ref="B964:R964"/>
    <mergeCell ref="B966:D966"/>
    <mergeCell ref="E966:F966"/>
    <mergeCell ref="G966:H966"/>
    <mergeCell ref="E969:F969"/>
    <mergeCell ref="G969:H969"/>
    <mergeCell ref="E970:F970"/>
    <mergeCell ref="G970:H970"/>
    <mergeCell ref="B969:D969"/>
    <mergeCell ref="B970:D970"/>
    <mergeCell ref="B980:D980"/>
    <mergeCell ref="E980:F980"/>
    <mergeCell ref="G980:H980"/>
    <mergeCell ref="B981:D981"/>
    <mergeCell ref="E981:F981"/>
    <mergeCell ref="G981:H981"/>
    <mergeCell ref="B982:D982"/>
    <mergeCell ref="E982:F982"/>
    <mergeCell ref="G982:H982"/>
    <mergeCell ref="B971:R972"/>
    <mergeCell ref="B974:F974"/>
    <mergeCell ref="G974:H977"/>
    <mergeCell ref="I974:I977"/>
    <mergeCell ref="J974:Q975"/>
    <mergeCell ref="R974:R977"/>
    <mergeCell ref="B975:D977"/>
    <mergeCell ref="E975:F977"/>
    <mergeCell ref="B965:D965"/>
    <mergeCell ref="E965:F965"/>
    <mergeCell ref="G965:H965"/>
    <mergeCell ref="B967:D967"/>
    <mergeCell ref="B962:D962"/>
    <mergeCell ref="E962:F962"/>
    <mergeCell ref="G962:H962"/>
    <mergeCell ref="B963:D963"/>
    <mergeCell ref="E963:F963"/>
    <mergeCell ref="G963:H963"/>
    <mergeCell ref="B958:D958"/>
    <mergeCell ref="E958:F958"/>
    <mergeCell ref="G958:H958"/>
    <mergeCell ref="B959:D959"/>
    <mergeCell ref="E959:F959"/>
    <mergeCell ref="G959:H959"/>
    <mergeCell ref="B960:D960"/>
    <mergeCell ref="E960:F960"/>
    <mergeCell ref="G960:H960"/>
    <mergeCell ref="B957:D957"/>
    <mergeCell ref="E957:F957"/>
    <mergeCell ref="G957:H957"/>
    <mergeCell ref="B961:D961"/>
    <mergeCell ref="E961:F961"/>
    <mergeCell ref="G961:H961"/>
    <mergeCell ref="B956:D956"/>
    <mergeCell ref="E956:F956"/>
    <mergeCell ref="G956:H956"/>
    <mergeCell ref="B950:D950"/>
    <mergeCell ref="E950:F950"/>
    <mergeCell ref="G950:H950"/>
    <mergeCell ref="B951:D951"/>
    <mergeCell ref="E951:F951"/>
    <mergeCell ref="G951:H951"/>
    <mergeCell ref="B952:D952"/>
    <mergeCell ref="E952:F952"/>
    <mergeCell ref="G952:H952"/>
    <mergeCell ref="B949:D949"/>
    <mergeCell ref="E949:F949"/>
    <mergeCell ref="G949:H949"/>
    <mergeCell ref="B953:D953"/>
    <mergeCell ref="E953:F953"/>
    <mergeCell ref="G953:H953"/>
    <mergeCell ref="B948:D948"/>
    <mergeCell ref="E948:F948"/>
    <mergeCell ref="G948:H948"/>
    <mergeCell ref="B943:D943"/>
    <mergeCell ref="E943:F943"/>
    <mergeCell ref="G943:H943"/>
    <mergeCell ref="B944:D944"/>
    <mergeCell ref="E944:F944"/>
    <mergeCell ref="G944:H944"/>
    <mergeCell ref="B945:D945"/>
    <mergeCell ref="E945:F945"/>
    <mergeCell ref="G945:H945"/>
    <mergeCell ref="B954:D954"/>
    <mergeCell ref="E954:F954"/>
    <mergeCell ref="G954:H954"/>
    <mergeCell ref="B955:D955"/>
    <mergeCell ref="E955:F955"/>
    <mergeCell ref="G955:H955"/>
    <mergeCell ref="B939:D939"/>
    <mergeCell ref="E939:F939"/>
    <mergeCell ref="G939:H939"/>
    <mergeCell ref="B940:D940"/>
    <mergeCell ref="E940:F940"/>
    <mergeCell ref="G940:H940"/>
    <mergeCell ref="B934:D934"/>
    <mergeCell ref="E934:F934"/>
    <mergeCell ref="G934:H934"/>
    <mergeCell ref="B936:D936"/>
    <mergeCell ref="E936:F936"/>
    <mergeCell ref="G936:H936"/>
    <mergeCell ref="B946:D946"/>
    <mergeCell ref="E946:F946"/>
    <mergeCell ref="G946:H946"/>
    <mergeCell ref="B947:D947"/>
    <mergeCell ref="E947:F947"/>
    <mergeCell ref="G947:H947"/>
    <mergeCell ref="B941:D941"/>
    <mergeCell ref="E941:F941"/>
    <mergeCell ref="G941:H941"/>
    <mergeCell ref="B931:D931"/>
    <mergeCell ref="E931:F931"/>
    <mergeCell ref="G931:H931"/>
    <mergeCell ref="B932:D932"/>
    <mergeCell ref="E932:F932"/>
    <mergeCell ref="G932:H932"/>
    <mergeCell ref="B926:D926"/>
    <mergeCell ref="E926:F926"/>
    <mergeCell ref="G926:H926"/>
    <mergeCell ref="B927:D927"/>
    <mergeCell ref="E927:F927"/>
    <mergeCell ref="G927:H927"/>
    <mergeCell ref="B928:D928"/>
    <mergeCell ref="E928:F928"/>
    <mergeCell ref="G928:H928"/>
    <mergeCell ref="B938:D938"/>
    <mergeCell ref="E938:F938"/>
    <mergeCell ref="G938:H938"/>
    <mergeCell ref="G937:H937"/>
    <mergeCell ref="B917:R918"/>
    <mergeCell ref="B920:F920"/>
    <mergeCell ref="G920:H923"/>
    <mergeCell ref="I920:I923"/>
    <mergeCell ref="J920:Q921"/>
    <mergeCell ref="R920:R923"/>
    <mergeCell ref="B921:D923"/>
    <mergeCell ref="E921:F923"/>
    <mergeCell ref="E915:F915"/>
    <mergeCell ref="G915:H915"/>
    <mergeCell ref="E916:F916"/>
    <mergeCell ref="G916:H916"/>
    <mergeCell ref="B915:D915"/>
    <mergeCell ref="B916:D916"/>
    <mergeCell ref="B930:D930"/>
    <mergeCell ref="E930:F930"/>
    <mergeCell ref="G930:H930"/>
    <mergeCell ref="B909:D909"/>
    <mergeCell ref="E909:F909"/>
    <mergeCell ref="G909:H909"/>
    <mergeCell ref="B912:D912"/>
    <mergeCell ref="E912:F912"/>
    <mergeCell ref="G912:H912"/>
    <mergeCell ref="B905:D905"/>
    <mergeCell ref="E905:F905"/>
    <mergeCell ref="G905:H905"/>
    <mergeCell ref="B906:D906"/>
    <mergeCell ref="E906:F906"/>
    <mergeCell ref="G906:H906"/>
    <mergeCell ref="B908:D908"/>
    <mergeCell ref="E908:F908"/>
    <mergeCell ref="G908:H908"/>
    <mergeCell ref="B907:D907"/>
    <mergeCell ref="E907:F907"/>
    <mergeCell ref="G907:H907"/>
    <mergeCell ref="B910:R910"/>
    <mergeCell ref="B911:D911"/>
    <mergeCell ref="E911:F911"/>
    <mergeCell ref="G911:H911"/>
    <mergeCell ref="B901:D901"/>
    <mergeCell ref="E901:F901"/>
    <mergeCell ref="G901:H901"/>
    <mergeCell ref="B902:D902"/>
    <mergeCell ref="E902:F902"/>
    <mergeCell ref="G902:H902"/>
    <mergeCell ref="B904:D904"/>
    <mergeCell ref="E904:F904"/>
    <mergeCell ref="G904:H904"/>
    <mergeCell ref="B897:D897"/>
    <mergeCell ref="E897:F897"/>
    <mergeCell ref="G897:H897"/>
    <mergeCell ref="B898:D898"/>
    <mergeCell ref="E898:F898"/>
    <mergeCell ref="G898:H898"/>
    <mergeCell ref="B900:D900"/>
    <mergeCell ref="E900:F900"/>
    <mergeCell ref="G900:H900"/>
    <mergeCell ref="B899:D899"/>
    <mergeCell ref="E899:F899"/>
    <mergeCell ref="G899:H899"/>
    <mergeCell ref="B903:D903"/>
    <mergeCell ref="E903:F903"/>
    <mergeCell ref="G903:H903"/>
    <mergeCell ref="B893:D893"/>
    <mergeCell ref="E893:F893"/>
    <mergeCell ref="G893:H893"/>
    <mergeCell ref="B894:D894"/>
    <mergeCell ref="E894:F894"/>
    <mergeCell ref="G894:H894"/>
    <mergeCell ref="B896:D896"/>
    <mergeCell ref="E896:F896"/>
    <mergeCell ref="G896:H896"/>
    <mergeCell ref="B889:D889"/>
    <mergeCell ref="E889:F889"/>
    <mergeCell ref="G889:H889"/>
    <mergeCell ref="B890:D890"/>
    <mergeCell ref="E890:F890"/>
    <mergeCell ref="G890:H890"/>
    <mergeCell ref="B892:D892"/>
    <mergeCell ref="E892:F892"/>
    <mergeCell ref="G892:H892"/>
    <mergeCell ref="B891:D891"/>
    <mergeCell ref="E891:F891"/>
    <mergeCell ref="G891:H891"/>
    <mergeCell ref="B895:D895"/>
    <mergeCell ref="E895:F895"/>
    <mergeCell ref="G895:H895"/>
    <mergeCell ref="B885:D885"/>
    <mergeCell ref="E885:F885"/>
    <mergeCell ref="G885:H885"/>
    <mergeCell ref="B886:D886"/>
    <mergeCell ref="E886:F886"/>
    <mergeCell ref="G886:H886"/>
    <mergeCell ref="B882:D882"/>
    <mergeCell ref="E882:F882"/>
    <mergeCell ref="G882:H882"/>
    <mergeCell ref="B884:D884"/>
    <mergeCell ref="E884:F884"/>
    <mergeCell ref="G884:H884"/>
    <mergeCell ref="B883:D883"/>
    <mergeCell ref="E883:F883"/>
    <mergeCell ref="G883:H883"/>
    <mergeCell ref="B887:D887"/>
    <mergeCell ref="E887:F887"/>
    <mergeCell ref="G887:H887"/>
    <mergeCell ref="E880:F880"/>
    <mergeCell ref="G880:H880"/>
    <mergeCell ref="B873:D873"/>
    <mergeCell ref="E873:F873"/>
    <mergeCell ref="G873:H873"/>
    <mergeCell ref="B874:D874"/>
    <mergeCell ref="E874:F874"/>
    <mergeCell ref="G874:H874"/>
    <mergeCell ref="B876:D876"/>
    <mergeCell ref="E876:F876"/>
    <mergeCell ref="G876:H876"/>
    <mergeCell ref="F589:G589"/>
    <mergeCell ref="F590:G590"/>
    <mergeCell ref="F591:G591"/>
    <mergeCell ref="B593:F593"/>
    <mergeCell ref="G593:H595"/>
    <mergeCell ref="I593:P593"/>
    <mergeCell ref="B594:D595"/>
    <mergeCell ref="E594:F595"/>
    <mergeCell ref="I594:I595"/>
    <mergeCell ref="J594:J595"/>
    <mergeCell ref="K594:K595"/>
    <mergeCell ref="L594:L595"/>
    <mergeCell ref="M594:M595"/>
    <mergeCell ref="N594:N595"/>
    <mergeCell ref="O594:O595"/>
    <mergeCell ref="P594:P595"/>
    <mergeCell ref="B598:D598"/>
    <mergeCell ref="E598:F598"/>
    <mergeCell ref="B605:D605"/>
    <mergeCell ref="E605:F605"/>
    <mergeCell ref="G605:H605"/>
    <mergeCell ref="G567:H567"/>
    <mergeCell ref="B612:D612"/>
    <mergeCell ref="E612:F612"/>
    <mergeCell ref="G612:H612"/>
    <mergeCell ref="B613:D613"/>
    <mergeCell ref="E613:F613"/>
    <mergeCell ref="G613:H613"/>
    <mergeCell ref="B608:D608"/>
    <mergeCell ref="E608:F608"/>
    <mergeCell ref="G608:H608"/>
    <mergeCell ref="Q561:R561"/>
    <mergeCell ref="B877:D877"/>
    <mergeCell ref="E877:F877"/>
    <mergeCell ref="G877:H877"/>
    <mergeCell ref="B878:D878"/>
    <mergeCell ref="E878:F878"/>
    <mergeCell ref="G878:H878"/>
    <mergeCell ref="Q593:R595"/>
    <mergeCell ref="Q605:R605"/>
    <mergeCell ref="G598:H598"/>
    <mergeCell ref="B603:D603"/>
    <mergeCell ref="E603:F603"/>
    <mergeCell ref="G603:H603"/>
    <mergeCell ref="Q603:R603"/>
    <mergeCell ref="B604:D604"/>
    <mergeCell ref="E604:F604"/>
    <mergeCell ref="G604:H604"/>
    <mergeCell ref="Q604:R604"/>
    <mergeCell ref="Q598:R598"/>
    <mergeCell ref="B599:D599"/>
    <mergeCell ref="E599:F599"/>
    <mergeCell ref="G599:H599"/>
    <mergeCell ref="D502:E502"/>
    <mergeCell ref="D503:E503"/>
    <mergeCell ref="D504:E504"/>
    <mergeCell ref="D505:E505"/>
    <mergeCell ref="D506:E506"/>
    <mergeCell ref="D507:E507"/>
    <mergeCell ref="B508:C509"/>
    <mergeCell ref="D508:E508"/>
    <mergeCell ref="D509:E509"/>
    <mergeCell ref="E538:F538"/>
    <mergeCell ref="E542:F542"/>
    <mergeCell ref="E556:F556"/>
    <mergeCell ref="E560:F560"/>
    <mergeCell ref="E564:F564"/>
    <mergeCell ref="E568:F568"/>
    <mergeCell ref="B567:D567"/>
    <mergeCell ref="E567:F567"/>
    <mergeCell ref="E554:F554"/>
    <mergeCell ref="E558:F558"/>
    <mergeCell ref="G488:H488"/>
    <mergeCell ref="B489:F489"/>
    <mergeCell ref="G489:H489"/>
    <mergeCell ref="B491:C492"/>
    <mergeCell ref="D491:E492"/>
    <mergeCell ref="F491:O491"/>
    <mergeCell ref="B494:C500"/>
    <mergeCell ref="D494:E494"/>
    <mergeCell ref="D495:E495"/>
    <mergeCell ref="D496:E496"/>
    <mergeCell ref="D497:E497"/>
    <mergeCell ref="D498:E498"/>
    <mergeCell ref="D499:E499"/>
    <mergeCell ref="D500:E500"/>
    <mergeCell ref="B475:C481"/>
    <mergeCell ref="D475:E475"/>
    <mergeCell ref="D476:E476"/>
    <mergeCell ref="D477:E477"/>
    <mergeCell ref="D478:E478"/>
    <mergeCell ref="D479:E479"/>
    <mergeCell ref="D480:E480"/>
    <mergeCell ref="D481:E481"/>
    <mergeCell ref="B482:C483"/>
    <mergeCell ref="D482:E482"/>
    <mergeCell ref="D483:E483"/>
    <mergeCell ref="B389:C389"/>
    <mergeCell ref="B390:C390"/>
    <mergeCell ref="B393:C394"/>
    <mergeCell ref="D393:D394"/>
    <mergeCell ref="E393:E394"/>
    <mergeCell ref="F393:O393"/>
    <mergeCell ref="E529:F529"/>
    <mergeCell ref="E535:F535"/>
    <mergeCell ref="B534:D534"/>
    <mergeCell ref="B437:F437"/>
    <mergeCell ref="G437:H437"/>
    <mergeCell ref="B439:C440"/>
    <mergeCell ref="D439:E440"/>
    <mergeCell ref="F439:O439"/>
    <mergeCell ref="B442:C448"/>
    <mergeCell ref="D442:E442"/>
    <mergeCell ref="D443:E443"/>
    <mergeCell ref="D444:E444"/>
    <mergeCell ref="D445:E445"/>
    <mergeCell ref="D446:E446"/>
    <mergeCell ref="D447:E447"/>
    <mergeCell ref="D448:E448"/>
    <mergeCell ref="B406:C406"/>
    <mergeCell ref="B401:C402"/>
    <mergeCell ref="D401:D402"/>
    <mergeCell ref="E401:E402"/>
    <mergeCell ref="B531:D531"/>
    <mergeCell ref="E531:F531"/>
    <mergeCell ref="G531:H531"/>
    <mergeCell ref="D428:E428"/>
    <mergeCell ref="D429:E429"/>
    <mergeCell ref="F413:O413"/>
    <mergeCell ref="B396:C396"/>
    <mergeCell ref="B397:C397"/>
    <mergeCell ref="B398:C398"/>
    <mergeCell ref="F401:O401"/>
    <mergeCell ref="B404:C404"/>
    <mergeCell ref="B405:C405"/>
    <mergeCell ref="B436:F436"/>
    <mergeCell ref="G436:H436"/>
    <mergeCell ref="B462:F462"/>
    <mergeCell ref="G462:H462"/>
    <mergeCell ref="B463:F463"/>
    <mergeCell ref="G463:H463"/>
    <mergeCell ref="B465:C466"/>
    <mergeCell ref="D465:E466"/>
    <mergeCell ref="F465:O465"/>
    <mergeCell ref="B468:C474"/>
    <mergeCell ref="D468:E468"/>
    <mergeCell ref="D469:E469"/>
    <mergeCell ref="D470:E470"/>
    <mergeCell ref="D471:E471"/>
    <mergeCell ref="D472:E472"/>
    <mergeCell ref="D473:E473"/>
    <mergeCell ref="D474:E474"/>
    <mergeCell ref="B449:C455"/>
    <mergeCell ref="D449:E449"/>
    <mergeCell ref="D450:E450"/>
    <mergeCell ref="D451:E451"/>
    <mergeCell ref="D452:E452"/>
    <mergeCell ref="D453:E453"/>
    <mergeCell ref="D454:E454"/>
    <mergeCell ref="D418:E418"/>
    <mergeCell ref="D419:E419"/>
    <mergeCell ref="G563:H563"/>
    <mergeCell ref="Q563:R563"/>
    <mergeCell ref="B564:D564"/>
    <mergeCell ref="G564:H564"/>
    <mergeCell ref="Q564:R564"/>
    <mergeCell ref="B565:D565"/>
    <mergeCell ref="Q565:R565"/>
    <mergeCell ref="Q567:R567"/>
    <mergeCell ref="B568:D568"/>
    <mergeCell ref="G568:H568"/>
    <mergeCell ref="Q568:R568"/>
    <mergeCell ref="Q539:R539"/>
    <mergeCell ref="Q525:R525"/>
    <mergeCell ref="Q556:R556"/>
    <mergeCell ref="B557:D557"/>
    <mergeCell ref="E557:F557"/>
    <mergeCell ref="G557:H557"/>
    <mergeCell ref="Q557:R557"/>
    <mergeCell ref="Q541:R541"/>
    <mergeCell ref="B542:D542"/>
    <mergeCell ref="G542:H542"/>
    <mergeCell ref="Q542:R542"/>
    <mergeCell ref="B543:D543"/>
    <mergeCell ref="E543:F543"/>
    <mergeCell ref="G543:H543"/>
    <mergeCell ref="Q543:R543"/>
    <mergeCell ref="G541:H541"/>
    <mergeCell ref="B527:D527"/>
    <mergeCell ref="E527:F527"/>
    <mergeCell ref="G527:H527"/>
    <mergeCell ref="Q560:R560"/>
    <mergeCell ref="Q527:R527"/>
    <mergeCell ref="E258:F258"/>
    <mergeCell ref="G258:H258"/>
    <mergeCell ref="B260:D260"/>
    <mergeCell ref="E260:F260"/>
    <mergeCell ref="G260:H260"/>
    <mergeCell ref="B261:D261"/>
    <mergeCell ref="E261:F261"/>
    <mergeCell ref="G261:H261"/>
    <mergeCell ref="B254:D254"/>
    <mergeCell ref="E254:F254"/>
    <mergeCell ref="G254:H254"/>
    <mergeCell ref="B256:D256"/>
    <mergeCell ref="E256:F256"/>
    <mergeCell ref="G256:H256"/>
    <mergeCell ref="B257:D257"/>
    <mergeCell ref="E257:F257"/>
    <mergeCell ref="G257:H257"/>
    <mergeCell ref="B215:D215"/>
    <mergeCell ref="E215:F215"/>
    <mergeCell ref="G215:H215"/>
    <mergeCell ref="B216:D216"/>
    <mergeCell ref="E216:F216"/>
    <mergeCell ref="G216:H216"/>
    <mergeCell ref="B217:M217"/>
    <mergeCell ref="E234:F234"/>
    <mergeCell ref="G234:H234"/>
    <mergeCell ref="B236:D236"/>
    <mergeCell ref="E236:F236"/>
    <mergeCell ref="G236:H236"/>
    <mergeCell ref="B237:D237"/>
    <mergeCell ref="E237:F237"/>
    <mergeCell ref="B213:D213"/>
    <mergeCell ref="E213:F213"/>
    <mergeCell ref="E212:F212"/>
    <mergeCell ref="G212:H212"/>
    <mergeCell ref="G213:H213"/>
    <mergeCell ref="B229:F229"/>
    <mergeCell ref="G229:H231"/>
    <mergeCell ref="I229:J229"/>
    <mergeCell ref="K229:L229"/>
    <mergeCell ref="M229:M231"/>
    <mergeCell ref="B214:D214"/>
    <mergeCell ref="E214:F214"/>
    <mergeCell ref="G214:H214"/>
    <mergeCell ref="B212:D212"/>
    <mergeCell ref="B206:D206"/>
    <mergeCell ref="E206:F206"/>
    <mergeCell ref="G206:H206"/>
    <mergeCell ref="B208:D208"/>
    <mergeCell ref="E208:F208"/>
    <mergeCell ref="G208:H208"/>
    <mergeCell ref="B209:D209"/>
    <mergeCell ref="E209:F209"/>
    <mergeCell ref="G209:H209"/>
    <mergeCell ref="B207:D207"/>
    <mergeCell ref="E207:F207"/>
    <mergeCell ref="G207:H207"/>
    <mergeCell ref="B211:D211"/>
    <mergeCell ref="E211:F211"/>
    <mergeCell ref="G211:H211"/>
    <mergeCell ref="G202:H202"/>
    <mergeCell ref="B204:D204"/>
    <mergeCell ref="E204:F204"/>
    <mergeCell ref="G204:H204"/>
    <mergeCell ref="B205:D205"/>
    <mergeCell ref="E205:F205"/>
    <mergeCell ref="G205:H205"/>
    <mergeCell ref="B201:D201"/>
    <mergeCell ref="E201:F201"/>
    <mergeCell ref="G201:H201"/>
    <mergeCell ref="B197:D198"/>
    <mergeCell ref="E197:F198"/>
    <mergeCell ref="I197:I198"/>
    <mergeCell ref="J197:J198"/>
    <mergeCell ref="K197:K198"/>
    <mergeCell ref="L197:L198"/>
    <mergeCell ref="B203:D203"/>
    <mergeCell ref="E203:F203"/>
    <mergeCell ref="G203:H203"/>
    <mergeCell ref="B147:D147"/>
    <mergeCell ref="E147:F147"/>
    <mergeCell ref="G147:H147"/>
    <mergeCell ref="B148:D148"/>
    <mergeCell ref="E148:F148"/>
    <mergeCell ref="G148:H148"/>
    <mergeCell ref="B153:D153"/>
    <mergeCell ref="E153:F153"/>
    <mergeCell ref="G153:H153"/>
    <mergeCell ref="B155:D155"/>
    <mergeCell ref="E155:F155"/>
    <mergeCell ref="G155:H155"/>
    <mergeCell ref="B156:D156"/>
    <mergeCell ref="E156:F156"/>
    <mergeCell ref="G156:H156"/>
    <mergeCell ref="B161:D161"/>
    <mergeCell ref="E161:F161"/>
    <mergeCell ref="G161:H161"/>
    <mergeCell ref="B158:D158"/>
    <mergeCell ref="E158:F158"/>
    <mergeCell ref="G158:H158"/>
    <mergeCell ref="B157:D157"/>
    <mergeCell ref="E157:F157"/>
    <mergeCell ref="G157:H157"/>
    <mergeCell ref="B159:D159"/>
    <mergeCell ref="B103:L103"/>
    <mergeCell ref="M103:N103"/>
    <mergeCell ref="B106:F106"/>
    <mergeCell ref="G106:H108"/>
    <mergeCell ref="I106:J106"/>
    <mergeCell ref="K106:L106"/>
    <mergeCell ref="M106:M108"/>
    <mergeCell ref="N106:N108"/>
    <mergeCell ref="B137:L137"/>
    <mergeCell ref="M137:N137"/>
    <mergeCell ref="B139:F139"/>
    <mergeCell ref="G139:H141"/>
    <mergeCell ref="I139:J139"/>
    <mergeCell ref="K139:L139"/>
    <mergeCell ref="M139:M141"/>
    <mergeCell ref="N139:N141"/>
    <mergeCell ref="B140:D141"/>
    <mergeCell ref="E140:F141"/>
    <mergeCell ref="I140:I141"/>
    <mergeCell ref="J140:J141"/>
    <mergeCell ref="B107:D108"/>
    <mergeCell ref="E107:F108"/>
    <mergeCell ref="I107:I108"/>
    <mergeCell ref="J107:J108"/>
    <mergeCell ref="K107:K108"/>
    <mergeCell ref="L107:L108"/>
    <mergeCell ref="E113:F113"/>
    <mergeCell ref="B121:D121"/>
    <mergeCell ref="E121:F121"/>
    <mergeCell ref="B119:D119"/>
    <mergeCell ref="E119:F119"/>
    <mergeCell ref="G119:H119"/>
    <mergeCell ref="B111:D111"/>
    <mergeCell ref="E111:F111"/>
    <mergeCell ref="G111:H111"/>
    <mergeCell ref="B112:D112"/>
    <mergeCell ref="E112:F112"/>
    <mergeCell ref="G112:H112"/>
    <mergeCell ref="B113:D113"/>
    <mergeCell ref="B88:L88"/>
    <mergeCell ref="M88:N88"/>
    <mergeCell ref="B90:L90"/>
    <mergeCell ref="M90:N90"/>
    <mergeCell ref="B92:L92"/>
    <mergeCell ref="M92:N92"/>
    <mergeCell ref="M94:N94"/>
    <mergeCell ref="B94:L94"/>
    <mergeCell ref="B96:L96"/>
    <mergeCell ref="B97:L97"/>
    <mergeCell ref="B98:L98"/>
    <mergeCell ref="B99:L99"/>
    <mergeCell ref="B101:L101"/>
    <mergeCell ref="M101:N101"/>
    <mergeCell ref="M96:N96"/>
    <mergeCell ref="M97:N97"/>
    <mergeCell ref="M98:N98"/>
    <mergeCell ref="M99:N99"/>
    <mergeCell ref="G117:H117"/>
    <mergeCell ref="B118:D118"/>
    <mergeCell ref="Q529:R529"/>
    <mergeCell ref="K520:K521"/>
    <mergeCell ref="G28:H28"/>
    <mergeCell ref="B32:D32"/>
    <mergeCell ref="E32:F32"/>
    <mergeCell ref="G32:H32"/>
    <mergeCell ref="B54:D54"/>
    <mergeCell ref="B55:D55"/>
    <mergeCell ref="B56:D56"/>
    <mergeCell ref="E54:F54"/>
    <mergeCell ref="E55:F55"/>
    <mergeCell ref="E56:F56"/>
    <mergeCell ref="G54:H54"/>
    <mergeCell ref="G55:H55"/>
    <mergeCell ref="G56:H56"/>
    <mergeCell ref="B74:D74"/>
    <mergeCell ref="B63:D63"/>
    <mergeCell ref="B76:D76"/>
    <mergeCell ref="E74:F74"/>
    <mergeCell ref="E63:F63"/>
    <mergeCell ref="E76:F76"/>
    <mergeCell ref="G74:H74"/>
    <mergeCell ref="G63:H63"/>
    <mergeCell ref="G76:H76"/>
    <mergeCell ref="B70:D70"/>
    <mergeCell ref="B71:D71"/>
    <mergeCell ref="B72:D72"/>
    <mergeCell ref="E70:F70"/>
    <mergeCell ref="E71:F71"/>
    <mergeCell ref="E72:F72"/>
    <mergeCell ref="G70:H70"/>
    <mergeCell ref="G71:H71"/>
    <mergeCell ref="B818:D818"/>
    <mergeCell ref="B819:D819"/>
    <mergeCell ref="B576:C576"/>
    <mergeCell ref="B569:P569"/>
    <mergeCell ref="B577:K577"/>
    <mergeCell ref="I812:I815"/>
    <mergeCell ref="G812:H815"/>
    <mergeCell ref="B812:F812"/>
    <mergeCell ref="B813:D815"/>
    <mergeCell ref="B123:D123"/>
    <mergeCell ref="E123:F123"/>
    <mergeCell ref="G123:H123"/>
    <mergeCell ref="B124:D124"/>
    <mergeCell ref="E124:F124"/>
    <mergeCell ref="B863:R864"/>
    <mergeCell ref="B579:I579"/>
    <mergeCell ref="I520:I521"/>
    <mergeCell ref="B574:C574"/>
    <mergeCell ref="B528:D528"/>
    <mergeCell ref="E528:F528"/>
    <mergeCell ref="G528:H528"/>
    <mergeCell ref="G519:H521"/>
    <mergeCell ref="B520:D521"/>
    <mergeCell ref="E520:F521"/>
    <mergeCell ref="B530:D530"/>
    <mergeCell ref="E530:F530"/>
    <mergeCell ref="J812:Q813"/>
    <mergeCell ref="L575:M575"/>
    <mergeCell ref="Q569:R569"/>
    <mergeCell ref="L576:M576"/>
    <mergeCell ref="R812:R815"/>
    <mergeCell ref="B573:C573"/>
    <mergeCell ref="Q532:R532"/>
    <mergeCell ref="L573:M573"/>
    <mergeCell ref="Q530:R530"/>
    <mergeCell ref="E561:F561"/>
    <mergeCell ref="G561:H561"/>
    <mergeCell ref="Q537:R537"/>
    <mergeCell ref="B538:D538"/>
    <mergeCell ref="G538:H538"/>
    <mergeCell ref="Q538:R538"/>
    <mergeCell ref="B539:D539"/>
    <mergeCell ref="L574:M574"/>
    <mergeCell ref="L571:M571"/>
    <mergeCell ref="E534:F534"/>
    <mergeCell ref="G534:H534"/>
    <mergeCell ref="Q534:R534"/>
    <mergeCell ref="B535:D535"/>
    <mergeCell ref="G535:H535"/>
    <mergeCell ref="Q535:R535"/>
    <mergeCell ref="B536:D536"/>
    <mergeCell ref="E536:F536"/>
    <mergeCell ref="G536:H536"/>
    <mergeCell ref="Q536:R536"/>
    <mergeCell ref="B537:D537"/>
    <mergeCell ref="B533:R533"/>
    <mergeCell ref="B555:D555"/>
    <mergeCell ref="E555:F555"/>
    <mergeCell ref="G555:H555"/>
    <mergeCell ref="Q555:R555"/>
    <mergeCell ref="B556:D556"/>
    <mergeCell ref="G556:H556"/>
    <mergeCell ref="Q531:R531"/>
    <mergeCell ref="B544:D544"/>
    <mergeCell ref="B578:K578"/>
    <mergeCell ref="L578:M578"/>
    <mergeCell ref="O520:O521"/>
    <mergeCell ref="P520:P521"/>
    <mergeCell ref="B519:F519"/>
    <mergeCell ref="M520:M521"/>
    <mergeCell ref="L520:L521"/>
    <mergeCell ref="B524:D524"/>
    <mergeCell ref="E524:F524"/>
    <mergeCell ref="G524:H524"/>
    <mergeCell ref="E526:F526"/>
    <mergeCell ref="B526:D526"/>
    <mergeCell ref="E525:F525"/>
    <mergeCell ref="B541:D541"/>
    <mergeCell ref="E541:F541"/>
    <mergeCell ref="B525:D525"/>
    <mergeCell ref="B529:D529"/>
    <mergeCell ref="G525:H525"/>
    <mergeCell ref="G529:H529"/>
    <mergeCell ref="B532:D532"/>
    <mergeCell ref="E532:F532"/>
    <mergeCell ref="G532:H532"/>
    <mergeCell ref="B545:D545"/>
    <mergeCell ref="B546:D546"/>
    <mergeCell ref="B547:D547"/>
    <mergeCell ref="B548:D548"/>
    <mergeCell ref="B549:D549"/>
    <mergeCell ref="B550:D550"/>
    <mergeCell ref="G526:H526"/>
    <mergeCell ref="N520:N521"/>
    <mergeCell ref="B563:D563"/>
    <mergeCell ref="E563:F563"/>
    <mergeCell ref="B14:F14"/>
    <mergeCell ref="I17:I18"/>
    <mergeCell ref="J17:J18"/>
    <mergeCell ref="G31:H31"/>
    <mergeCell ref="G33:H33"/>
    <mergeCell ref="B31:D31"/>
    <mergeCell ref="B33:D33"/>
    <mergeCell ref="G121:H121"/>
    <mergeCell ref="G124:H124"/>
    <mergeCell ref="K16:L16"/>
    <mergeCell ref="K17:K18"/>
    <mergeCell ref="L17:L18"/>
    <mergeCell ref="B17:D18"/>
    <mergeCell ref="B21:D21"/>
    <mergeCell ref="E17:F18"/>
    <mergeCell ref="E21:F21"/>
    <mergeCell ref="E29:F29"/>
    <mergeCell ref="G21:H21"/>
    <mergeCell ref="B34:D34"/>
    <mergeCell ref="B35:D35"/>
    <mergeCell ref="B36:D36"/>
    <mergeCell ref="E34:F34"/>
    <mergeCell ref="E35:F35"/>
    <mergeCell ref="E36:F36"/>
    <mergeCell ref="G34:H34"/>
    <mergeCell ref="G35:H35"/>
    <mergeCell ref="G36:H36"/>
    <mergeCell ref="B37:M37"/>
    <mergeCell ref="B41:L41"/>
    <mergeCell ref="B42:L42"/>
    <mergeCell ref="B43:L43"/>
    <mergeCell ref="M41:N41"/>
    <mergeCell ref="N16:N18"/>
    <mergeCell ref="G16:H18"/>
    <mergeCell ref="G410:H410"/>
    <mergeCell ref="M16:M18"/>
    <mergeCell ref="G29:H29"/>
    <mergeCell ref="I16:J16"/>
    <mergeCell ref="B29:D29"/>
    <mergeCell ref="B16:F16"/>
    <mergeCell ref="G411:H411"/>
    <mergeCell ref="B28:D28"/>
    <mergeCell ref="E28:F28"/>
    <mergeCell ref="B377:C378"/>
    <mergeCell ref="B575:C575"/>
    <mergeCell ref="B571:C571"/>
    <mergeCell ref="E539:F539"/>
    <mergeCell ref="G539:H539"/>
    <mergeCell ref="E565:F565"/>
    <mergeCell ref="G565:H565"/>
    <mergeCell ref="B559:D559"/>
    <mergeCell ref="E31:F31"/>
    <mergeCell ref="E33:F33"/>
    <mergeCell ref="D420:E420"/>
    <mergeCell ref="B413:C414"/>
    <mergeCell ref="B416:C422"/>
    <mergeCell ref="B410:F410"/>
    <mergeCell ref="D422:E422"/>
    <mergeCell ref="B381:C381"/>
    <mergeCell ref="B382:C382"/>
    <mergeCell ref="D377:D378"/>
    <mergeCell ref="E377:E378"/>
    <mergeCell ref="B411:F411"/>
    <mergeCell ref="E79:F79"/>
    <mergeCell ref="D413:E414"/>
    <mergeCell ref="B380:C380"/>
    <mergeCell ref="B408:H408"/>
    <mergeCell ref="F377:O377"/>
    <mergeCell ref="E813:F815"/>
    <mergeCell ref="I519:P519"/>
    <mergeCell ref="J520:J521"/>
    <mergeCell ref="B430:C431"/>
    <mergeCell ref="D430:E430"/>
    <mergeCell ref="D431:E431"/>
    <mergeCell ref="B423:C429"/>
    <mergeCell ref="D426:E426"/>
    <mergeCell ref="D427:E427"/>
    <mergeCell ref="F516:G516"/>
    <mergeCell ref="F517:G517"/>
    <mergeCell ref="B513:H513"/>
    <mergeCell ref="F515:G515"/>
    <mergeCell ref="D424:E424"/>
    <mergeCell ref="D425:E425"/>
    <mergeCell ref="D416:E416"/>
    <mergeCell ref="D417:E417"/>
    <mergeCell ref="D421:E421"/>
    <mergeCell ref="D423:E423"/>
    <mergeCell ref="B810:H810"/>
    <mergeCell ref="L577:M577"/>
    <mergeCell ref="E537:F537"/>
    <mergeCell ref="G537:H537"/>
    <mergeCell ref="B560:D560"/>
    <mergeCell ref="G560:H560"/>
    <mergeCell ref="B561:D561"/>
    <mergeCell ref="D455:E455"/>
    <mergeCell ref="B456:C457"/>
    <mergeCell ref="D456:E456"/>
    <mergeCell ref="D457:E457"/>
    <mergeCell ref="E838:F838"/>
    <mergeCell ref="E839:F839"/>
    <mergeCell ref="E559:F559"/>
    <mergeCell ref="G559:H559"/>
    <mergeCell ref="Q559:R559"/>
    <mergeCell ref="B820:D820"/>
    <mergeCell ref="B822:D822"/>
    <mergeCell ref="B823:D823"/>
    <mergeCell ref="B824:D824"/>
    <mergeCell ref="B826:D826"/>
    <mergeCell ref="B850:D850"/>
    <mergeCell ref="B851:D851"/>
    <mergeCell ref="E818:F818"/>
    <mergeCell ref="E819:F819"/>
    <mergeCell ref="E820:F820"/>
    <mergeCell ref="E822:F822"/>
    <mergeCell ref="E823:F823"/>
    <mergeCell ref="E824:F824"/>
    <mergeCell ref="E826:F826"/>
    <mergeCell ref="B601:D601"/>
    <mergeCell ref="E601:F601"/>
    <mergeCell ref="G601:H601"/>
    <mergeCell ref="Q601:R601"/>
    <mergeCell ref="Q519:R521"/>
    <mergeCell ref="G530:H530"/>
    <mergeCell ref="Q524:R524"/>
    <mergeCell ref="Q526:R526"/>
    <mergeCell ref="Q528:R528"/>
    <mergeCell ref="E846:F846"/>
    <mergeCell ref="B602:D602"/>
    <mergeCell ref="G852:H852"/>
    <mergeCell ref="G850:H850"/>
    <mergeCell ref="G851:H851"/>
    <mergeCell ref="B852:D852"/>
    <mergeCell ref="G839:H839"/>
    <mergeCell ref="G840:H840"/>
    <mergeCell ref="G842:H842"/>
    <mergeCell ref="G843:H843"/>
    <mergeCell ref="G844:H844"/>
    <mergeCell ref="G846:H846"/>
    <mergeCell ref="G847:H847"/>
    <mergeCell ref="G848:H848"/>
    <mergeCell ref="B828:D828"/>
    <mergeCell ref="B830:D830"/>
    <mergeCell ref="B831:D831"/>
    <mergeCell ref="B832:D832"/>
    <mergeCell ref="B835:D835"/>
    <mergeCell ref="B836:D836"/>
    <mergeCell ref="B838:D838"/>
    <mergeCell ref="B839:D839"/>
    <mergeCell ref="B840:D840"/>
    <mergeCell ref="G828:H828"/>
    <mergeCell ref="G830:H830"/>
    <mergeCell ref="E828:F828"/>
    <mergeCell ref="E830:F830"/>
    <mergeCell ref="E831:F831"/>
    <mergeCell ref="E832:F832"/>
    <mergeCell ref="E835:F835"/>
    <mergeCell ref="E836:F836"/>
    <mergeCell ref="B842:D842"/>
    <mergeCell ref="B843:D843"/>
    <mergeCell ref="E844:F844"/>
    <mergeCell ref="E854:F854"/>
    <mergeCell ref="E855:F855"/>
    <mergeCell ref="E860:F860"/>
    <mergeCell ref="G818:H818"/>
    <mergeCell ref="G819:H819"/>
    <mergeCell ref="G820:H820"/>
    <mergeCell ref="G822:H822"/>
    <mergeCell ref="G823:H823"/>
    <mergeCell ref="G824:H824"/>
    <mergeCell ref="G826:H826"/>
    <mergeCell ref="G831:H831"/>
    <mergeCell ref="G832:H832"/>
    <mergeCell ref="G835:H835"/>
    <mergeCell ref="G836:H836"/>
    <mergeCell ref="G838:H838"/>
    <mergeCell ref="B821:D821"/>
    <mergeCell ref="B825:D825"/>
    <mergeCell ref="B827:R827"/>
    <mergeCell ref="E821:F821"/>
    <mergeCell ref="E825:F825"/>
    <mergeCell ref="G821:H821"/>
    <mergeCell ref="G825:H825"/>
    <mergeCell ref="B829:D829"/>
    <mergeCell ref="B833:D833"/>
    <mergeCell ref="E829:F829"/>
    <mergeCell ref="E833:F833"/>
    <mergeCell ref="G854:H854"/>
    <mergeCell ref="G855:H855"/>
    <mergeCell ref="G860:H860"/>
    <mergeCell ref="B854:D854"/>
    <mergeCell ref="B855:D855"/>
    <mergeCell ref="B860:D860"/>
    <mergeCell ref="M42:N42"/>
    <mergeCell ref="M43:N43"/>
    <mergeCell ref="B39:L39"/>
    <mergeCell ref="M39:N39"/>
    <mergeCell ref="M45:N45"/>
    <mergeCell ref="M47:N47"/>
    <mergeCell ref="B45:L45"/>
    <mergeCell ref="B47:L47"/>
    <mergeCell ref="B49:F49"/>
    <mergeCell ref="G49:H51"/>
    <mergeCell ref="I49:J49"/>
    <mergeCell ref="K49:L49"/>
    <mergeCell ref="M49:M51"/>
    <mergeCell ref="N49:N51"/>
    <mergeCell ref="B50:D51"/>
    <mergeCell ref="E50:F51"/>
    <mergeCell ref="I50:I51"/>
    <mergeCell ref="J50:J51"/>
    <mergeCell ref="K50:K51"/>
    <mergeCell ref="L50:L51"/>
    <mergeCell ref="E57:F57"/>
    <mergeCell ref="E58:F58"/>
    <mergeCell ref="E59:F59"/>
    <mergeCell ref="E60:F60"/>
    <mergeCell ref="E61:F61"/>
    <mergeCell ref="E62:F62"/>
    <mergeCell ref="E64:F64"/>
    <mergeCell ref="E65:F65"/>
    <mergeCell ref="E66:F66"/>
    <mergeCell ref="E67:F67"/>
    <mergeCell ref="E68:F68"/>
    <mergeCell ref="B86:L86"/>
    <mergeCell ref="M86:N86"/>
    <mergeCell ref="B87:L87"/>
    <mergeCell ref="M87:N87"/>
    <mergeCell ref="B57:D57"/>
    <mergeCell ref="B58:D58"/>
    <mergeCell ref="B59:D59"/>
    <mergeCell ref="B60:D60"/>
    <mergeCell ref="B61:D61"/>
    <mergeCell ref="B62:D62"/>
    <mergeCell ref="B64:D64"/>
    <mergeCell ref="B65:D65"/>
    <mergeCell ref="B66:D66"/>
    <mergeCell ref="B67:D67"/>
    <mergeCell ref="B68:D68"/>
    <mergeCell ref="G57:H57"/>
    <mergeCell ref="G58:H58"/>
    <mergeCell ref="G59:H59"/>
    <mergeCell ref="G72:H72"/>
    <mergeCell ref="B73:D73"/>
    <mergeCell ref="E73:F73"/>
    <mergeCell ref="E118:F118"/>
    <mergeCell ref="G118:H118"/>
    <mergeCell ref="B69:D69"/>
    <mergeCell ref="E69:F69"/>
    <mergeCell ref="G69:H69"/>
    <mergeCell ref="G73:H73"/>
    <mergeCell ref="B77:D77"/>
    <mergeCell ref="E77:F77"/>
    <mergeCell ref="G77:H77"/>
    <mergeCell ref="B78:D78"/>
    <mergeCell ref="B79:D79"/>
    <mergeCell ref="B80:D80"/>
    <mergeCell ref="E78:F78"/>
    <mergeCell ref="E80:F80"/>
    <mergeCell ref="G78:H78"/>
    <mergeCell ref="G79:H79"/>
    <mergeCell ref="G80:H80"/>
    <mergeCell ref="B81:D81"/>
    <mergeCell ref="E81:F81"/>
    <mergeCell ref="G81:H81"/>
    <mergeCell ref="G60:H60"/>
    <mergeCell ref="G61:H61"/>
    <mergeCell ref="G62:H62"/>
    <mergeCell ref="G64:H64"/>
    <mergeCell ref="G65:H65"/>
    <mergeCell ref="G66:H66"/>
    <mergeCell ref="G67:H67"/>
    <mergeCell ref="G68:H68"/>
    <mergeCell ref="B122:D122"/>
    <mergeCell ref="E122:F122"/>
    <mergeCell ref="G122:H122"/>
    <mergeCell ref="B126:D126"/>
    <mergeCell ref="E126:F126"/>
    <mergeCell ref="G126:H126"/>
    <mergeCell ref="B127:M127"/>
    <mergeCell ref="B129:L129"/>
    <mergeCell ref="M129:N129"/>
    <mergeCell ref="B82:M82"/>
    <mergeCell ref="B84:L84"/>
    <mergeCell ref="M84:N84"/>
    <mergeCell ref="G113:H113"/>
    <mergeCell ref="B114:D114"/>
    <mergeCell ref="E114:F114"/>
    <mergeCell ref="G114:H114"/>
    <mergeCell ref="B115:D115"/>
    <mergeCell ref="E115:F115"/>
    <mergeCell ref="G115:H115"/>
    <mergeCell ref="B116:D116"/>
    <mergeCell ref="E116:F116"/>
    <mergeCell ref="G116:H116"/>
    <mergeCell ref="B117:D117"/>
    <mergeCell ref="E117:F117"/>
    <mergeCell ref="B131:L131"/>
    <mergeCell ref="M131:N131"/>
    <mergeCell ref="B132:L132"/>
    <mergeCell ref="M132:N132"/>
    <mergeCell ref="B133:L133"/>
    <mergeCell ref="M133:N133"/>
    <mergeCell ref="B135:L135"/>
    <mergeCell ref="M135:N135"/>
    <mergeCell ref="B125:D125"/>
    <mergeCell ref="E125:F125"/>
    <mergeCell ref="G125:H125"/>
    <mergeCell ref="K140:K141"/>
    <mergeCell ref="L140:L141"/>
    <mergeCell ref="B146:D146"/>
    <mergeCell ref="E146:F146"/>
    <mergeCell ref="G146:H146"/>
    <mergeCell ref="B150:D150"/>
    <mergeCell ref="E150:F150"/>
    <mergeCell ref="G150:H150"/>
    <mergeCell ref="B154:D154"/>
    <mergeCell ref="E154:F154"/>
    <mergeCell ref="G154:H154"/>
    <mergeCell ref="B144:D144"/>
    <mergeCell ref="E144:F144"/>
    <mergeCell ref="G144:H144"/>
    <mergeCell ref="B152:D152"/>
    <mergeCell ref="E152:F152"/>
    <mergeCell ref="G152:H152"/>
    <mergeCell ref="B149:D149"/>
    <mergeCell ref="E149:F149"/>
    <mergeCell ref="G149:H149"/>
    <mergeCell ref="B151:D151"/>
    <mergeCell ref="E151:F151"/>
    <mergeCell ref="G151:H151"/>
    <mergeCell ref="B145:D145"/>
    <mergeCell ref="E145:F145"/>
    <mergeCell ref="G145:H145"/>
    <mergeCell ref="E159:F159"/>
    <mergeCell ref="G159:H159"/>
    <mergeCell ref="B160:D160"/>
    <mergeCell ref="E160:F160"/>
    <mergeCell ref="G160:H160"/>
    <mergeCell ref="B166:D166"/>
    <mergeCell ref="E166:F166"/>
    <mergeCell ref="G166:H166"/>
    <mergeCell ref="B167:D167"/>
    <mergeCell ref="E167:F167"/>
    <mergeCell ref="G167:H167"/>
    <mergeCell ref="B168:D168"/>
    <mergeCell ref="E168:F168"/>
    <mergeCell ref="G168:H168"/>
    <mergeCell ref="B169:D169"/>
    <mergeCell ref="E169:F169"/>
    <mergeCell ref="G169:H169"/>
    <mergeCell ref="B163:D163"/>
    <mergeCell ref="E163:F163"/>
    <mergeCell ref="G163:H163"/>
    <mergeCell ref="B164:D164"/>
    <mergeCell ref="E164:F164"/>
    <mergeCell ref="G164:H164"/>
    <mergeCell ref="B162:D162"/>
    <mergeCell ref="E162:F162"/>
    <mergeCell ref="G162:H162"/>
    <mergeCell ref="B170:D170"/>
    <mergeCell ref="E170:F170"/>
    <mergeCell ref="G170:H170"/>
    <mergeCell ref="B172:M172"/>
    <mergeCell ref="B174:L174"/>
    <mergeCell ref="M174:N174"/>
    <mergeCell ref="B176:L176"/>
    <mergeCell ref="M176:N176"/>
    <mergeCell ref="B177:L177"/>
    <mergeCell ref="M177:N177"/>
    <mergeCell ref="B178:L178"/>
    <mergeCell ref="M178:N178"/>
    <mergeCell ref="B180:L180"/>
    <mergeCell ref="M180:N180"/>
    <mergeCell ref="B182:L182"/>
    <mergeCell ref="M182:N182"/>
    <mergeCell ref="B184:L184"/>
    <mergeCell ref="M184:N184"/>
    <mergeCell ref="B171:D171"/>
    <mergeCell ref="E171:F171"/>
    <mergeCell ref="G171:H171"/>
    <mergeCell ref="B186:L186"/>
    <mergeCell ref="M186:N186"/>
    <mergeCell ref="B187:L187"/>
    <mergeCell ref="M187:N187"/>
    <mergeCell ref="B188:L188"/>
    <mergeCell ref="M188:N188"/>
    <mergeCell ref="B219:L219"/>
    <mergeCell ref="M219:N219"/>
    <mergeCell ref="B221:L221"/>
    <mergeCell ref="M221:N221"/>
    <mergeCell ref="B222:L222"/>
    <mergeCell ref="M222:N222"/>
    <mergeCell ref="B223:L223"/>
    <mergeCell ref="M223:N223"/>
    <mergeCell ref="B225:L225"/>
    <mergeCell ref="M225:N225"/>
    <mergeCell ref="B227:L227"/>
    <mergeCell ref="M227:N227"/>
    <mergeCell ref="B189:L189"/>
    <mergeCell ref="M189:N189"/>
    <mergeCell ref="B191:L191"/>
    <mergeCell ref="M191:N191"/>
    <mergeCell ref="B193:L193"/>
    <mergeCell ref="M193:N193"/>
    <mergeCell ref="B196:F196"/>
    <mergeCell ref="G196:H198"/>
    <mergeCell ref="I196:J196"/>
    <mergeCell ref="K196:L196"/>
    <mergeCell ref="M196:M198"/>
    <mergeCell ref="N196:N198"/>
    <mergeCell ref="B202:D202"/>
    <mergeCell ref="E202:F202"/>
    <mergeCell ref="N229:N231"/>
    <mergeCell ref="B230:D231"/>
    <mergeCell ref="E230:F231"/>
    <mergeCell ref="I230:I231"/>
    <mergeCell ref="J230:J231"/>
    <mergeCell ref="K230:K231"/>
    <mergeCell ref="L230:L231"/>
    <mergeCell ref="B235:D235"/>
    <mergeCell ref="E235:F235"/>
    <mergeCell ref="G235:H235"/>
    <mergeCell ref="B239:D239"/>
    <mergeCell ref="E239:F239"/>
    <mergeCell ref="G239:H239"/>
    <mergeCell ref="B243:D243"/>
    <mergeCell ref="E243:F243"/>
    <mergeCell ref="G243:H243"/>
    <mergeCell ref="B247:D247"/>
    <mergeCell ref="E247:F247"/>
    <mergeCell ref="G247:H247"/>
    <mergeCell ref="B234:D234"/>
    <mergeCell ref="G237:H237"/>
    <mergeCell ref="B244:D244"/>
    <mergeCell ref="E244:F244"/>
    <mergeCell ref="G244:H244"/>
    <mergeCell ref="B245:D245"/>
    <mergeCell ref="E245:F245"/>
    <mergeCell ref="G245:H245"/>
    <mergeCell ref="B238:D238"/>
    <mergeCell ref="E238:F238"/>
    <mergeCell ref="G238:H238"/>
    <mergeCell ref="B246:D246"/>
    <mergeCell ref="E246:F246"/>
    <mergeCell ref="B251:D251"/>
    <mergeCell ref="E251:F251"/>
    <mergeCell ref="G251:H251"/>
    <mergeCell ref="B259:D259"/>
    <mergeCell ref="E259:F259"/>
    <mergeCell ref="G259:H259"/>
    <mergeCell ref="G249:H249"/>
    <mergeCell ref="B240:D240"/>
    <mergeCell ref="E240:F240"/>
    <mergeCell ref="G240:H240"/>
    <mergeCell ref="B241:D241"/>
    <mergeCell ref="E241:F241"/>
    <mergeCell ref="G241:H241"/>
    <mergeCell ref="B242:D242"/>
    <mergeCell ref="E242:F242"/>
    <mergeCell ref="G242:H242"/>
    <mergeCell ref="B250:D250"/>
    <mergeCell ref="E250:F250"/>
    <mergeCell ref="G250:H250"/>
    <mergeCell ref="B252:D252"/>
    <mergeCell ref="E253:F253"/>
    <mergeCell ref="G253:H253"/>
    <mergeCell ref="G246:H246"/>
    <mergeCell ref="B248:D248"/>
    <mergeCell ref="E248:F248"/>
    <mergeCell ref="G248:H248"/>
    <mergeCell ref="B249:D249"/>
    <mergeCell ref="E249:F249"/>
    <mergeCell ref="E252:F252"/>
    <mergeCell ref="G252:H252"/>
    <mergeCell ref="B253:D253"/>
    <mergeCell ref="B258:D258"/>
    <mergeCell ref="B262:M262"/>
    <mergeCell ref="B264:L264"/>
    <mergeCell ref="M264:N264"/>
    <mergeCell ref="B266:L266"/>
    <mergeCell ref="M266:N266"/>
    <mergeCell ref="B267:L267"/>
    <mergeCell ref="M267:N267"/>
    <mergeCell ref="B270:L270"/>
    <mergeCell ref="M270:N270"/>
    <mergeCell ref="B272:L272"/>
    <mergeCell ref="M272:N272"/>
    <mergeCell ref="B274:L274"/>
    <mergeCell ref="M274:N274"/>
    <mergeCell ref="B276:L276"/>
    <mergeCell ref="M276:N276"/>
    <mergeCell ref="B277:L277"/>
    <mergeCell ref="M277:N277"/>
    <mergeCell ref="B268:L268"/>
    <mergeCell ref="M268:N268"/>
    <mergeCell ref="B278:L278"/>
    <mergeCell ref="M278:N278"/>
    <mergeCell ref="B279:L279"/>
    <mergeCell ref="M279:N279"/>
    <mergeCell ref="B281:L281"/>
    <mergeCell ref="M281:N281"/>
    <mergeCell ref="B283:L283"/>
    <mergeCell ref="M283:N283"/>
    <mergeCell ref="B286:F286"/>
    <mergeCell ref="G286:H288"/>
    <mergeCell ref="I286:J286"/>
    <mergeCell ref="K286:L286"/>
    <mergeCell ref="M286:M288"/>
    <mergeCell ref="N286:N288"/>
    <mergeCell ref="B287:D288"/>
    <mergeCell ref="E287:F288"/>
    <mergeCell ref="I287:I288"/>
    <mergeCell ref="J287:J288"/>
    <mergeCell ref="K287:K288"/>
    <mergeCell ref="L287:L288"/>
    <mergeCell ref="B291:D291"/>
    <mergeCell ref="E291:F291"/>
    <mergeCell ref="G291:H291"/>
    <mergeCell ref="B292:D292"/>
    <mergeCell ref="E292:F292"/>
    <mergeCell ref="G292:H292"/>
    <mergeCell ref="B293:D293"/>
    <mergeCell ref="E293:F293"/>
    <mergeCell ref="G293:H293"/>
    <mergeCell ref="B294:D294"/>
    <mergeCell ref="E294:F294"/>
    <mergeCell ref="G294:H294"/>
    <mergeCell ref="B295:D295"/>
    <mergeCell ref="E295:F295"/>
    <mergeCell ref="G295:H295"/>
    <mergeCell ref="B296:D296"/>
    <mergeCell ref="E296:F296"/>
    <mergeCell ref="G296:H296"/>
    <mergeCell ref="B297:D297"/>
    <mergeCell ref="E297:F297"/>
    <mergeCell ref="G297:H297"/>
    <mergeCell ref="B298:D298"/>
    <mergeCell ref="E298:F298"/>
    <mergeCell ref="G298:H298"/>
    <mergeCell ref="B299:D299"/>
    <mergeCell ref="E299:F299"/>
    <mergeCell ref="G299:H299"/>
    <mergeCell ref="B301:D301"/>
    <mergeCell ref="E301:F301"/>
    <mergeCell ref="G301:H301"/>
    <mergeCell ref="B302:D302"/>
    <mergeCell ref="E302:F302"/>
    <mergeCell ref="G302:H302"/>
    <mergeCell ref="B303:D303"/>
    <mergeCell ref="E303:F303"/>
    <mergeCell ref="G303:H303"/>
    <mergeCell ref="B304:D304"/>
    <mergeCell ref="E304:F304"/>
    <mergeCell ref="G304:H304"/>
    <mergeCell ref="B305:D305"/>
    <mergeCell ref="E305:F305"/>
    <mergeCell ref="G305:H305"/>
    <mergeCell ref="B306:D306"/>
    <mergeCell ref="E306:F306"/>
    <mergeCell ref="G306:H306"/>
    <mergeCell ref="B307:M307"/>
    <mergeCell ref="B309:L309"/>
    <mergeCell ref="M309:N309"/>
    <mergeCell ref="B311:L311"/>
    <mergeCell ref="M311:N311"/>
    <mergeCell ref="B312:L312"/>
    <mergeCell ref="M312:N312"/>
    <mergeCell ref="B313:L313"/>
    <mergeCell ref="M313:N313"/>
    <mergeCell ref="B315:L315"/>
    <mergeCell ref="M315:N315"/>
    <mergeCell ref="B317:L317"/>
    <mergeCell ref="M317:N317"/>
    <mergeCell ref="B319:F319"/>
    <mergeCell ref="G319:H321"/>
    <mergeCell ref="I319:J319"/>
    <mergeCell ref="K319:L319"/>
    <mergeCell ref="M319:M321"/>
    <mergeCell ref="N319:N321"/>
    <mergeCell ref="B320:D321"/>
    <mergeCell ref="E320:F321"/>
    <mergeCell ref="I320:I321"/>
    <mergeCell ref="J320:J321"/>
    <mergeCell ref="K320:K321"/>
    <mergeCell ref="L320:L321"/>
    <mergeCell ref="B324:D324"/>
    <mergeCell ref="E324:F324"/>
    <mergeCell ref="G324:H324"/>
    <mergeCell ref="B325:D325"/>
    <mergeCell ref="E325:F325"/>
    <mergeCell ref="G325:H325"/>
    <mergeCell ref="B326:D326"/>
    <mergeCell ref="E326:F326"/>
    <mergeCell ref="G326:H326"/>
    <mergeCell ref="B327:D327"/>
    <mergeCell ref="E327:F327"/>
    <mergeCell ref="G327:H327"/>
    <mergeCell ref="B328:D328"/>
    <mergeCell ref="E328:F328"/>
    <mergeCell ref="G328:H328"/>
    <mergeCell ref="B329:D329"/>
    <mergeCell ref="E329:F329"/>
    <mergeCell ref="G329:H329"/>
    <mergeCell ref="B330:D330"/>
    <mergeCell ref="E330:F330"/>
    <mergeCell ref="G330:H330"/>
    <mergeCell ref="B331:D331"/>
    <mergeCell ref="E331:F331"/>
    <mergeCell ref="G331:H331"/>
    <mergeCell ref="B332:D332"/>
    <mergeCell ref="E332:F332"/>
    <mergeCell ref="G332:H332"/>
    <mergeCell ref="B333:D333"/>
    <mergeCell ref="E333:F333"/>
    <mergeCell ref="G333:H333"/>
    <mergeCell ref="B334:D334"/>
    <mergeCell ref="E334:F334"/>
    <mergeCell ref="G334:H334"/>
    <mergeCell ref="B335:D335"/>
    <mergeCell ref="E335:F335"/>
    <mergeCell ref="G335:H335"/>
    <mergeCell ref="B336:D336"/>
    <mergeCell ref="E336:F336"/>
    <mergeCell ref="G336:H336"/>
    <mergeCell ref="B337:D337"/>
    <mergeCell ref="E337:F337"/>
    <mergeCell ref="G337:H337"/>
    <mergeCell ref="B338:D338"/>
    <mergeCell ref="E338:F338"/>
    <mergeCell ref="G338:H338"/>
    <mergeCell ref="B339:D339"/>
    <mergeCell ref="E339:F339"/>
    <mergeCell ref="G339:H339"/>
    <mergeCell ref="B340:D340"/>
    <mergeCell ref="E340:F340"/>
    <mergeCell ref="G340:H340"/>
    <mergeCell ref="B341:D341"/>
    <mergeCell ref="E341:F341"/>
    <mergeCell ref="G341:H341"/>
    <mergeCell ref="B342:D342"/>
    <mergeCell ref="E342:F342"/>
    <mergeCell ref="G342:H342"/>
    <mergeCell ref="M360:N360"/>
    <mergeCell ref="B343:D343"/>
    <mergeCell ref="E343:F343"/>
    <mergeCell ref="G343:H343"/>
    <mergeCell ref="B344:D344"/>
    <mergeCell ref="E344:F344"/>
    <mergeCell ref="G344:H344"/>
    <mergeCell ref="B346:D346"/>
    <mergeCell ref="E346:F346"/>
    <mergeCell ref="G346:H346"/>
    <mergeCell ref="B347:D347"/>
    <mergeCell ref="E347:F347"/>
    <mergeCell ref="G347:H347"/>
    <mergeCell ref="B348:D348"/>
    <mergeCell ref="E348:F348"/>
    <mergeCell ref="G348:H348"/>
    <mergeCell ref="B349:D349"/>
    <mergeCell ref="E349:F349"/>
    <mergeCell ref="G349:H349"/>
    <mergeCell ref="B362:L362"/>
    <mergeCell ref="M362:N362"/>
    <mergeCell ref="B364:L364"/>
    <mergeCell ref="M364:N364"/>
    <mergeCell ref="B366:L366"/>
    <mergeCell ref="M366:N366"/>
    <mergeCell ref="B367:L367"/>
    <mergeCell ref="M367:N367"/>
    <mergeCell ref="B368:L368"/>
    <mergeCell ref="M368:N368"/>
    <mergeCell ref="B369:L369"/>
    <mergeCell ref="M369:N369"/>
    <mergeCell ref="B371:L371"/>
    <mergeCell ref="M371:N371"/>
    <mergeCell ref="B373:L373"/>
    <mergeCell ref="M373:N373"/>
    <mergeCell ref="B350:D350"/>
    <mergeCell ref="E350:F350"/>
    <mergeCell ref="G350:H350"/>
    <mergeCell ref="B351:D351"/>
    <mergeCell ref="E351:F351"/>
    <mergeCell ref="G351:H351"/>
    <mergeCell ref="B352:M352"/>
    <mergeCell ref="B354:L354"/>
    <mergeCell ref="M354:N354"/>
    <mergeCell ref="B356:L356"/>
    <mergeCell ref="M356:N356"/>
    <mergeCell ref="B357:L357"/>
    <mergeCell ref="M357:N357"/>
    <mergeCell ref="B358:L358"/>
    <mergeCell ref="M358:N358"/>
    <mergeCell ref="B360:L360"/>
    <mergeCell ref="Q618:R618"/>
    <mergeCell ref="Q611:R611"/>
    <mergeCell ref="Q612:R612"/>
    <mergeCell ref="Q613:R613"/>
    <mergeCell ref="Q608:R608"/>
    <mergeCell ref="B609:D609"/>
    <mergeCell ref="E609:F609"/>
    <mergeCell ref="G609:H609"/>
    <mergeCell ref="Q609:R609"/>
    <mergeCell ref="B617:D617"/>
    <mergeCell ref="E617:F617"/>
    <mergeCell ref="G617:H617"/>
    <mergeCell ref="Q617:R617"/>
    <mergeCell ref="B713:D713"/>
    <mergeCell ref="E713:F713"/>
    <mergeCell ref="G713:H713"/>
    <mergeCell ref="Q713:R713"/>
    <mergeCell ref="B623:D623"/>
    <mergeCell ref="E623:F623"/>
    <mergeCell ref="G623:H623"/>
    <mergeCell ref="Q623:R623"/>
    <mergeCell ref="B624:D624"/>
    <mergeCell ref="E624:F624"/>
    <mergeCell ref="G624:H624"/>
    <mergeCell ref="Q624:R624"/>
    <mergeCell ref="B625:D625"/>
    <mergeCell ref="E625:F625"/>
    <mergeCell ref="G625:H625"/>
    <mergeCell ref="Q625:R625"/>
    <mergeCell ref="B620:D620"/>
    <mergeCell ref="E620:F620"/>
    <mergeCell ref="G620:H620"/>
    <mergeCell ref="B714:D714"/>
    <mergeCell ref="E714:F714"/>
    <mergeCell ref="G714:H714"/>
    <mergeCell ref="Q714:R714"/>
    <mergeCell ref="B749:D749"/>
    <mergeCell ref="E749:F749"/>
    <mergeCell ref="G749:H749"/>
    <mergeCell ref="Q749:R749"/>
    <mergeCell ref="B753:D753"/>
    <mergeCell ref="E753:F753"/>
    <mergeCell ref="G753:H753"/>
    <mergeCell ref="Q753:R753"/>
    <mergeCell ref="B755:R755"/>
    <mergeCell ref="B717:P717"/>
    <mergeCell ref="Q717:R717"/>
    <mergeCell ref="B715:D715"/>
    <mergeCell ref="E715:F715"/>
    <mergeCell ref="G715:H715"/>
    <mergeCell ref="Q715:R715"/>
    <mergeCell ref="B716:D716"/>
    <mergeCell ref="E716:F716"/>
    <mergeCell ref="G716:H716"/>
    <mergeCell ref="Q716:R716"/>
    <mergeCell ref="B725:K725"/>
    <mergeCell ref="L725:M725"/>
    <mergeCell ref="B726:K726"/>
    <mergeCell ref="L726:M726"/>
    <mergeCell ref="B727:I727"/>
    <mergeCell ref="B719:C719"/>
    <mergeCell ref="L719:M719"/>
    <mergeCell ref="B721:C721"/>
    <mergeCell ref="L721:M721"/>
    <mergeCell ref="Q788:R788"/>
    <mergeCell ref="Q782:R782"/>
    <mergeCell ref="Q783:R783"/>
    <mergeCell ref="G829:H829"/>
    <mergeCell ref="G833:H833"/>
    <mergeCell ref="B837:D837"/>
    <mergeCell ref="B841:D841"/>
    <mergeCell ref="B845:D845"/>
    <mergeCell ref="B849:D849"/>
    <mergeCell ref="B853:D853"/>
    <mergeCell ref="E837:F837"/>
    <mergeCell ref="E841:F841"/>
    <mergeCell ref="E845:F845"/>
    <mergeCell ref="E849:F849"/>
    <mergeCell ref="E853:F853"/>
    <mergeCell ref="G837:H837"/>
    <mergeCell ref="G841:H841"/>
    <mergeCell ref="G845:H845"/>
    <mergeCell ref="G849:H849"/>
    <mergeCell ref="G853:H853"/>
    <mergeCell ref="E850:F850"/>
    <mergeCell ref="E851:F851"/>
    <mergeCell ref="E852:F852"/>
    <mergeCell ref="E840:F840"/>
    <mergeCell ref="B846:D846"/>
    <mergeCell ref="B847:D847"/>
    <mergeCell ref="B848:D848"/>
    <mergeCell ref="E842:F842"/>
    <mergeCell ref="E843:F843"/>
    <mergeCell ref="E847:F847"/>
    <mergeCell ref="E848:F848"/>
    <mergeCell ref="B844:D844"/>
    <mergeCell ref="B856:R856"/>
    <mergeCell ref="B857:D857"/>
    <mergeCell ref="B858:D858"/>
    <mergeCell ref="B859:D859"/>
    <mergeCell ref="E857:F857"/>
    <mergeCell ref="E858:F858"/>
    <mergeCell ref="E859:F859"/>
    <mergeCell ref="G857:H857"/>
    <mergeCell ref="G858:H858"/>
    <mergeCell ref="G859:H859"/>
    <mergeCell ref="B875:D875"/>
    <mergeCell ref="E875:F875"/>
    <mergeCell ref="G875:H875"/>
    <mergeCell ref="B879:D879"/>
    <mergeCell ref="E879:F879"/>
    <mergeCell ref="G879:H879"/>
    <mergeCell ref="B881:R881"/>
    <mergeCell ref="G861:H861"/>
    <mergeCell ref="G862:H862"/>
    <mergeCell ref="E862:F862"/>
    <mergeCell ref="E861:F861"/>
    <mergeCell ref="B866:F866"/>
    <mergeCell ref="G866:H869"/>
    <mergeCell ref="I866:I869"/>
    <mergeCell ref="J866:Q867"/>
    <mergeCell ref="R866:R869"/>
    <mergeCell ref="B867:D869"/>
    <mergeCell ref="E867:F869"/>
    <mergeCell ref="B872:D872"/>
    <mergeCell ref="E872:F872"/>
    <mergeCell ref="G872:H872"/>
    <mergeCell ref="B880:D880"/>
    <mergeCell ref="B1018:R1018"/>
    <mergeCell ref="B1019:D1019"/>
    <mergeCell ref="E1019:F1019"/>
    <mergeCell ref="G1019:H1019"/>
    <mergeCell ref="B1021:D1021"/>
    <mergeCell ref="E1021:F1021"/>
    <mergeCell ref="G1021:H1021"/>
    <mergeCell ref="B1022:D1022"/>
    <mergeCell ref="E1022:F1022"/>
    <mergeCell ref="G1022:H1022"/>
    <mergeCell ref="E967:F967"/>
    <mergeCell ref="G967:H967"/>
    <mergeCell ref="B968:D968"/>
    <mergeCell ref="E968:F968"/>
    <mergeCell ref="G968:H968"/>
    <mergeCell ref="B983:D983"/>
    <mergeCell ref="E983:F983"/>
    <mergeCell ref="G983:H983"/>
    <mergeCell ref="B987:D987"/>
    <mergeCell ref="E987:F987"/>
    <mergeCell ref="G987:H987"/>
    <mergeCell ref="B989:R989"/>
    <mergeCell ref="B991:D991"/>
    <mergeCell ref="E991:F991"/>
    <mergeCell ref="G991:H991"/>
    <mergeCell ref="B995:D995"/>
    <mergeCell ref="E995:F995"/>
    <mergeCell ref="G995:H995"/>
    <mergeCell ref="B988:D988"/>
    <mergeCell ref="E988:F988"/>
    <mergeCell ref="G988:H988"/>
    <mergeCell ref="B990:D990"/>
    <mergeCell ref="F584:G584"/>
    <mergeCell ref="F586:G586"/>
    <mergeCell ref="F658:G658"/>
    <mergeCell ref="F660:G660"/>
    <mergeCell ref="F732:G732"/>
    <mergeCell ref="F734:G734"/>
    <mergeCell ref="F806:G806"/>
    <mergeCell ref="F808:G808"/>
    <mergeCell ref="B1007:D1007"/>
    <mergeCell ref="E1007:F1007"/>
    <mergeCell ref="G1007:H1007"/>
    <mergeCell ref="B1011:D1011"/>
    <mergeCell ref="E1011:F1011"/>
    <mergeCell ref="G1011:H1011"/>
    <mergeCell ref="B1015:D1015"/>
    <mergeCell ref="E1015:F1015"/>
    <mergeCell ref="G1015:H1015"/>
    <mergeCell ref="B913:D913"/>
    <mergeCell ref="E913:F913"/>
    <mergeCell ref="G913:H913"/>
    <mergeCell ref="B914:D914"/>
    <mergeCell ref="E914:F914"/>
    <mergeCell ref="G914:H914"/>
    <mergeCell ref="B929:D929"/>
    <mergeCell ref="E929:F929"/>
    <mergeCell ref="G929:H929"/>
    <mergeCell ref="B933:D933"/>
    <mergeCell ref="E933:F933"/>
    <mergeCell ref="G933:H933"/>
    <mergeCell ref="B935:R935"/>
    <mergeCell ref="B937:D937"/>
    <mergeCell ref="E937:F937"/>
  </mergeCells>
  <conditionalFormatting sqref="K31:L31 K32:K36">
    <cfRule type="expression" dxfId="312" priority="233">
      <formula>$G$31="Intangibles"</formula>
    </cfRule>
  </conditionalFormatting>
  <conditionalFormatting sqref="L32">
    <cfRule type="expression" dxfId="311" priority="232">
      <formula>$G$32="Intangibles"</formula>
    </cfRule>
  </conditionalFormatting>
  <conditionalFormatting sqref="L33:L36">
    <cfRule type="expression" dxfId="310" priority="231">
      <formula>$G$33="Intangibles"</formula>
    </cfRule>
  </conditionalFormatting>
  <conditionalFormatting sqref="K21:L21">
    <cfRule type="expression" dxfId="309" priority="50">
      <formula>$G$21="Intangibles"</formula>
    </cfRule>
  </conditionalFormatting>
  <conditionalFormatting sqref="K22:K29">
    <cfRule type="expression" dxfId="308" priority="49">
      <formula>$G$21="Intangibles"</formula>
    </cfRule>
  </conditionalFormatting>
  <conditionalFormatting sqref="L22:L29">
    <cfRule type="expression" dxfId="307" priority="48">
      <formula>$G$21="Intangibles"</formula>
    </cfRule>
  </conditionalFormatting>
  <conditionalFormatting sqref="K76:L76 K77:K81">
    <cfRule type="expression" dxfId="306" priority="47">
      <formula>$G$31="Intangibles"</formula>
    </cfRule>
  </conditionalFormatting>
  <conditionalFormatting sqref="L77">
    <cfRule type="expression" dxfId="305" priority="46">
      <formula>$G$32="Intangibles"</formula>
    </cfRule>
  </conditionalFormatting>
  <conditionalFormatting sqref="L78:L81">
    <cfRule type="expression" dxfId="304" priority="45">
      <formula>$G$33="Intangibles"</formula>
    </cfRule>
  </conditionalFormatting>
  <conditionalFormatting sqref="K54:L54">
    <cfRule type="expression" dxfId="303" priority="44">
      <formula>$G$21="Intangibles"</formula>
    </cfRule>
  </conditionalFormatting>
  <conditionalFormatting sqref="K55:K74">
    <cfRule type="expression" dxfId="302" priority="43">
      <formula>$G$21="Intangibles"</formula>
    </cfRule>
  </conditionalFormatting>
  <conditionalFormatting sqref="L55:L74">
    <cfRule type="expression" dxfId="301" priority="42">
      <formula>$G$21="Intangibles"</formula>
    </cfRule>
  </conditionalFormatting>
  <conditionalFormatting sqref="K121:L121 K122:K126">
    <cfRule type="expression" dxfId="300" priority="41">
      <formula>$G$31="Intangibles"</formula>
    </cfRule>
  </conditionalFormatting>
  <conditionalFormatting sqref="L122">
    <cfRule type="expression" dxfId="299" priority="40">
      <formula>$G$32="Intangibles"</formula>
    </cfRule>
  </conditionalFormatting>
  <conditionalFormatting sqref="L123:L126">
    <cfRule type="expression" dxfId="298" priority="39">
      <formula>$G$33="Intangibles"</formula>
    </cfRule>
  </conditionalFormatting>
  <conditionalFormatting sqref="K111:L119">
    <cfRule type="expression" dxfId="297" priority="38">
      <formula>$G$21="Intangibles"</formula>
    </cfRule>
  </conditionalFormatting>
  <conditionalFormatting sqref="K166:L166 K167:K171">
    <cfRule type="expression" dxfId="296" priority="35">
      <formula>$G$31="Intangibles"</formula>
    </cfRule>
  </conditionalFormatting>
  <conditionalFormatting sqref="L167">
    <cfRule type="expression" dxfId="295" priority="34">
      <formula>$G$32="Intangibles"</formula>
    </cfRule>
  </conditionalFormatting>
  <conditionalFormatting sqref="L168:L171">
    <cfRule type="expression" dxfId="294" priority="33">
      <formula>$G$33="Intangibles"</formula>
    </cfRule>
  </conditionalFormatting>
  <conditionalFormatting sqref="K144:L144">
    <cfRule type="expression" dxfId="293" priority="32">
      <formula>$G$21="Intangibles"</formula>
    </cfRule>
  </conditionalFormatting>
  <conditionalFormatting sqref="K145:K164">
    <cfRule type="expression" dxfId="292" priority="31">
      <formula>$G$21="Intangibles"</formula>
    </cfRule>
  </conditionalFormatting>
  <conditionalFormatting sqref="L145:L164">
    <cfRule type="expression" dxfId="291" priority="30">
      <formula>$G$21="Intangibles"</formula>
    </cfRule>
  </conditionalFormatting>
  <conditionalFormatting sqref="K211:L211 K212:K216">
    <cfRule type="expression" dxfId="290" priority="29">
      <formula>$G$31="Intangibles"</formula>
    </cfRule>
  </conditionalFormatting>
  <conditionalFormatting sqref="L212">
    <cfRule type="expression" dxfId="289" priority="28">
      <formula>$G$32="Intangibles"</formula>
    </cfRule>
  </conditionalFormatting>
  <conditionalFormatting sqref="L213:L216">
    <cfRule type="expression" dxfId="288" priority="27">
      <formula>$G$33="Intangibles"</formula>
    </cfRule>
  </conditionalFormatting>
  <conditionalFormatting sqref="K201:L209">
    <cfRule type="expression" dxfId="287" priority="26">
      <formula>$G$21="Intangibles"</formula>
    </cfRule>
  </conditionalFormatting>
  <conditionalFormatting sqref="K256:L256 K257:K261">
    <cfRule type="expression" dxfId="286" priority="23">
      <formula>$G$31="Intangibles"</formula>
    </cfRule>
  </conditionalFormatting>
  <conditionalFormatting sqref="L257">
    <cfRule type="expression" dxfId="285" priority="22">
      <formula>$G$32="Intangibles"</formula>
    </cfRule>
  </conditionalFormatting>
  <conditionalFormatting sqref="L258:L261">
    <cfRule type="expression" dxfId="284" priority="21">
      <formula>$G$33="Intangibles"</formula>
    </cfRule>
  </conditionalFormatting>
  <conditionalFormatting sqref="K234:L234">
    <cfRule type="expression" dxfId="283" priority="20">
      <formula>$G$21="Intangibles"</formula>
    </cfRule>
  </conditionalFormatting>
  <conditionalFormatting sqref="K235:K254">
    <cfRule type="expression" dxfId="282" priority="19">
      <formula>$G$21="Intangibles"</formula>
    </cfRule>
  </conditionalFormatting>
  <conditionalFormatting sqref="L235:L254">
    <cfRule type="expression" dxfId="281" priority="18">
      <formula>$G$21="Intangibles"</formula>
    </cfRule>
  </conditionalFormatting>
  <conditionalFormatting sqref="K301:L301 K302:K306">
    <cfRule type="expression" dxfId="280" priority="17">
      <formula>$G$31="Intangibles"</formula>
    </cfRule>
  </conditionalFormatting>
  <conditionalFormatting sqref="L302">
    <cfRule type="expression" dxfId="279" priority="16">
      <formula>$G$32="Intangibles"</formula>
    </cfRule>
  </conditionalFormatting>
  <conditionalFormatting sqref="L303:L306">
    <cfRule type="expression" dxfId="278" priority="15">
      <formula>$G$33="Intangibles"</formula>
    </cfRule>
  </conditionalFormatting>
  <conditionalFormatting sqref="K291:L299">
    <cfRule type="expression" dxfId="277" priority="14">
      <formula>$G$21="Intangibles"</formula>
    </cfRule>
  </conditionalFormatting>
  <conditionalFormatting sqref="K346:L346 K347:K351">
    <cfRule type="expression" dxfId="276" priority="11">
      <formula>$G$31="Intangibles"</formula>
    </cfRule>
  </conditionalFormatting>
  <conditionalFormatting sqref="L347">
    <cfRule type="expression" dxfId="275" priority="10">
      <formula>$G$32="Intangibles"</formula>
    </cfRule>
  </conditionalFormatting>
  <conditionalFormatting sqref="L348:L351">
    <cfRule type="expression" dxfId="274" priority="9">
      <formula>$G$33="Intangibles"</formula>
    </cfRule>
  </conditionalFormatting>
  <conditionalFormatting sqref="K324:L324">
    <cfRule type="expression" dxfId="273" priority="8">
      <formula>$G$21="Intangibles"</formula>
    </cfRule>
  </conditionalFormatting>
  <conditionalFormatting sqref="K325:K344">
    <cfRule type="expression" dxfId="272" priority="7">
      <formula>$G$21="Intangibles"</formula>
    </cfRule>
  </conditionalFormatting>
  <conditionalFormatting sqref="L325:L344">
    <cfRule type="expression" dxfId="271" priority="6">
      <formula>$G$21="Intangibles"</formula>
    </cfRule>
  </conditionalFormatting>
  <conditionalFormatting sqref="C584:G586">
    <cfRule type="expression" dxfId="270" priority="5">
      <formula>$H$584=FALSE</formula>
    </cfRule>
  </conditionalFormatting>
  <conditionalFormatting sqref="C658:G660">
    <cfRule type="expression" dxfId="269" priority="3">
      <formula>$H$658=FALSE</formula>
    </cfRule>
  </conditionalFormatting>
  <conditionalFormatting sqref="C732:G734">
    <cfRule type="expression" dxfId="268" priority="2">
      <formula>$H$732=FALSE</formula>
    </cfRule>
  </conditionalFormatting>
  <conditionalFormatting sqref="C806:G808">
    <cfRule type="expression" dxfId="267" priority="1">
      <formula>$H$806=FALSE</formula>
    </cfRule>
  </conditionalFormatting>
  <dataValidations xWindow="1058" yWindow="606" count="83">
    <dataValidation type="list" allowBlank="1" showInputMessage="1" showErrorMessage="1" promptTitle="Periodo" prompt="Seleccione el tipo de periodo con que se analizará el cronograma de inversiones de metas financieras del Proyecto de Inversión." sqref="F738:G738 F590:G590 F664:G664 F516:G516">
      <formula1>"Mes,Bimestre,Trimestre,Semestre,Año"</formula1>
    </dataValidation>
    <dataValidation type="decimal" operator="greaterThan" allowBlank="1" showInputMessage="1" showErrorMessage="1" errorTitle="Error" error="Ha ingresado un valor incorrecto, intente de nuevo." promptTitle="Costo Unitario" prompt="Ingresar el valor del costo unitario de la dimensión física del activo que se busca crear o intervenir con el Proyecto de Inversión." sqref="M21:M29 M166:M171 M121:M126 M54:M74 M76:M81 M111:M119 M31:M36 M301:M306 M201:M209 M144:M164 M256:M261 M211:M216 M291:M299 M234:M254 M346:M351 M324:M344">
      <formula1>0</formula1>
    </dataValidation>
    <dataValidation type="decimal" operator="greaterThan" allowBlank="1" showInputMessage="1" showErrorMessage="1" errorTitle="Error" error="Ha ingresado un valor erróneo, intente de nuevo" promptTitle="Reinversión" prompt="Ingrese el costo a precios de mercado de la reinversión del activo analizado." sqref="F380:O382 F388:O390 F396:O398 F404:O406">
      <formula1>0</formula1>
    </dataValidation>
    <dataValidation type="list" allowBlank="1" showInputMessage="1" showErrorMessage="1" promptTitle="Activo" prompt="Seleccione el activo que requiere reinversión a lo largo del periodo de funcionamiento del proyecto" sqref="B380:C382 B388:C390 B396:C398 B404:C406">
      <formula1>Infraestructura</formula1>
    </dataValidation>
    <dataValidation type="whole" operator="greaterThan" allowBlank="1" showInputMessage="1" showErrorMessage="1" errorTitle="Error" error="Ha ingresado un valor erróneo, intente de nuevo." promptTitle="Cantidad" prompt="Ingrese la cantidad de activos que requieren reinversión a lo largo del periodo de funcionamiento." sqref="E380:E382 E388:E390 E396:E398 E404:E406">
      <formula1>0</formula1>
    </dataValidation>
    <dataValidation type="date" operator="greaterThan" allowBlank="1" showInputMessage="1" showErrorMessage="1" errorTitle="Error" error="Ha ingresado un valor erróneo, Intente de nuevo." promptTitle="Inicio de Operaciones" prompt="Ingrese la fecha prevista del inicio de operaciones del Proyecto._x000a_Puede dar doble Click y seleccionar la fecha" sqref="G410:H410 G436:H436 G462:H462 G488:H488">
      <formula1>43466</formula1>
    </dataValidation>
    <dataValidation type="list" allowBlank="1" showInputMessage="1" showErrorMessage="1" promptTitle="Periodos" prompt="Selecciones el número de periodos." sqref="F517:G517 F591:G591 F665:G665 F739:G739">
      <formula1>"1,2,3,4,5,6,7,8"</formula1>
    </dataValidation>
    <dataValidation allowBlank="1" showInputMessage="1" showErrorMessage="1" promptTitle="Inicio de Ejecución" prompt="Ingrese la fecha prevista del inicio de ejecución del Proyecto._x000a_Puede dar doble Click y seleccionar la fecha" sqref="F515:G515 F589:G589 F663:G663 F737:G737"/>
    <dataValidation type="custom" allowBlank="1" showInputMessage="1" showErrorMessage="1" errorTitle="Error" error="Ingrese valor numérico entre 0 y 100%." promptTitle="Porcentaje de avance" prompt="Ingrese el valor del porcentaje de avance que ha determinado realizar en el mes de la actividad. " sqref="J818:Q826 J828:Q855 J857:Q862 J872:Q880 J882:Q909 J911:Q916 J926:Q934 J936:Q963 J965:Q970 J980:Q988 J990:Q1017 J1019:Q1024">
      <formula1>AND(J818&lt;=1,$R818&lt;=1)</formula1>
    </dataValidation>
    <dataValidation type="list" allowBlank="1" showInputMessage="1" showErrorMessage="1" promptTitle="Naturaleza" prompt="Seleccionar la Naturaleza de la Medida de Reducción de Riesgo en el Contexto de Cambio Climático." sqref="B301:D306">
      <formula1>_cd111</formula1>
    </dataValidation>
    <dataValidation type="list" allowBlank="1" showInputMessage="1" showErrorMessage="1" promptTitle="Activo" prompt="Seleccionar el activo en que se va a aplicar las medidas de reducción de riesgos de desastres y mitigación ambiental." sqref="E31:F36 E121:F126 E211:F216 E301:F306">
      <formula1>Infraestructura</formula1>
    </dataValidation>
    <dataValidation type="decimal" operator="greaterThanOrEqual" allowBlank="1" showInputMessage="1" showErrorMessage="1" errorTitle="Error" error="El dato que ha ingresado no es un valor numérico, intente nuevamente." promptTitle="Costos a Precios de Mercado" prompt="Ingrese el valor del costo a precios de mercado del item de la columna de la izquierda." sqref="M356:N358 M311:N313 M131:N133 M176:N178 M221:N223 M266:N268">
      <formula1>0</formula1>
    </dataValidation>
    <dataValidation type="whole" allowBlank="1" showInputMessage="1" showErrorMessage="1" errorTitle="Error" error="Ha ingresado un valor erróneo. Vuelva intentar." promptTitle="Unidad Física" prompt="Ingrese el valor numérico de las unidades del activo que se busca crear o intervenir con el Proyecto de Inversión._x000a_El máximo valor es 50." sqref="J31:J36 J76:J81 J121:J126 J166:J171 J211:J216 J256:J261 J301:J306 J346:J351">
      <formula1>0</formula1>
      <formula2>50</formula2>
    </dataValidation>
    <dataValidation type="decimal" operator="greaterThan" allowBlank="1" showInputMessage="1" showErrorMessage="1" errorTitle="Error" error="Ha ingresado un valor incorrecto, vuelva a intentarlo." promptTitle="Dimensión" prompt="Ingrese el valor de la dimensión física del activo que se busca crear o intervenir con el Proyecto" sqref="L31:L36 L121:L126 L211:L216 L301:L306">
      <formula1>0</formula1>
    </dataValidation>
    <dataValidation type="list" allowBlank="1" showInputMessage="1" showErrorMessage="1" promptTitle="Naturaleza" prompt="Seleccione la naturaleza de la Medida de Reducción de Riesgo en el Contexto del Cambio Climático." sqref="B346:D351">
      <formula1>_cd411</formula1>
    </dataValidation>
    <dataValidation type="list" allowBlank="1" showInputMessage="1" showErrorMessage="1" promptTitle="Activo" prompt="Seleccionar el activo en que se va a aplicar las medidas de reducción de riesgos de desastres y mitigación ambiental." sqref="E76:F81 E166:F171 E256:F261 E346:F351">
      <formula1>Intangibles</formula1>
    </dataValidation>
    <dataValidation type="whole" operator="greaterThan" allowBlank="1" showInputMessage="1" showErrorMessage="1" errorTitle="Error" error="El dato que ha ingresado no es un valor numérico, intente nuevamente." promptTitle="Costos a precios de mercado" prompt="Ingrese el valor del costo a precios de mercado del item de la columna de la izquierda." sqref="M366:N369 M186:N189 M276:N279">
      <formula1>0</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D573:D576">
      <formula1>AND(D573&lt;=M96,L573&lt;=M96)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E573:E576">
      <formula1>AND(E573&lt;=M96,L573&lt;=M96)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F573:F576">
      <formula1>AND(F573&lt;=M96,L573&lt;=M96)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G573:G576">
      <formula1>AND(G573&lt;=M96,L573&lt;=M96)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H573:H576">
      <formula1>AND(H573&lt;=M96,L573&lt;=M96)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I573:I576">
      <formula1>AND(I573&lt;=M96,L573&lt;=M96)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J573:J576">
      <formula1>AND(J573&lt;=M96,L573&lt;=M96)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K573:K576">
      <formula1>AND(K573&lt;=M96,L573&lt;=M96)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D647:D650">
      <formula1>AND(D647&lt;=M186,L647&lt;=M186)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E647:E650 F649:H649">
      <formula1>AND(E647&lt;=M186,L647&lt;=M186)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F647:F648 F650">
      <formula1>AND(F647&lt;=M186,L647&lt;=M186)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G647:G648 G650">
      <formula1>AND(G647&lt;=M186,L647&lt;=M186)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H647:H648 H650">
      <formula1>AND(H647&lt;=M186,L647&lt;=M186)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I647:I650">
      <formula1>AND(I647&lt;=M186,L647&lt;=M186)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J647:J650">
      <formula1>AND(J647&lt;=M186,L647&lt;=M186)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K647:K650">
      <formula1>AND(K647&lt;=M186,L647&lt;=M186)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D721:D724">
      <formula1>AND(D721&lt;=M276,L721&lt;=M276)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E721:E724">
      <formula1>AND(E721&lt;=M276,L721&lt;=M276)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F721:F724 G723:H723">
      <formula1>AND(F721&lt;=M276,L721&lt;=M276)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G721:G722 G724">
      <formula1>AND(G721&lt;=M276,L721&lt;=M276)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H721:H722 H724">
      <formula1>AND(H721&lt;=M276,L721&lt;=M276)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I721:I724">
      <formula1>AND(I721&lt;=M276,L721&lt;=M276)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J721:J724">
      <formula1>AND(J721&lt;=M276,L721&lt;=M276)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K721:K724">
      <formula1>AND(K721&lt;=M276,L721&lt;=M276)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D795:D798">
      <formula1>AND(D795&lt;=M366,L795&lt;=M366)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E795:E798">
      <formula1>AND(E795&lt;=M366,L795&lt;=M366)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F795:F798">
      <formula1>AND(F795&lt;=M366,L795&lt;=M366)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G795:G798">
      <formula1>AND(G795&lt;=M366,L795&lt;=M366)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H795:H798">
      <formula1>AND(H795&lt;=M366,L795&lt;=M366)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I795:I798">
      <formula1>AND(I795&lt;=M366,L795&lt;=M366)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J795:J798">
      <formula1>AND(J795&lt;=M366,L795&lt;=M366)</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K795:K798">
      <formula1>AND(K795&lt;=M366,L795&lt;=M366)</formula1>
    </dataValidation>
    <dataValidation type="decimal" operator="greaterThanOrEqual" allowBlank="1" showInputMessage="1" showErrorMessage="1" errorTitle="Error" error="Ha ingresado un valor erróneo, intente de nuevo." promptTitle="Actividades" prompt="Ingrese el costo de las actividades de mantenimiento  que incurre  la Unidad Productora en la situación actual." sqref="F422:O422 F474:O474 F500:O500 F507:O507">
      <formula1>0</formula1>
    </dataValidation>
    <dataValidation type="decimal" operator="greaterThanOrEqual" allowBlank="1" showInputMessage="1" showErrorMessage="1" errorTitle="Error" error="Ha ingresado un valor erróneo, intente de nuevo." promptTitle="Actividades" prompt="Ingrese el costo de las actividades de mantenimiento que incurrirá  la Unidad Productora en la situación con proyecto." sqref="F429:O429 F455:O455 F481:O481">
      <formula1>0</formula1>
    </dataValidation>
    <dataValidation type="decimal" operator="greaterThanOrEqual" allowBlank="1" showInputMessage="1" showErrorMessage="1" errorTitle="Error" error="Ha ingresado un valor erróneo, intente de nuevo" promptTitle="Personal" prompt="Ingrese el costo del Personal responsable de la operación de la Unidad Productora en la situación actual." sqref="F417:O420 F443:O443 F469:O469 F495:O495">
      <formula1>0</formula1>
    </dataValidation>
    <dataValidation type="decimal" operator="greaterThanOrEqual" allowBlank="1" showInputMessage="1" showErrorMessage="1" errorTitle="Error" error="Ha ingresado un valor erróneo, intente de nuevo" promptTitle="Bienes" prompt="Ingrese el costo de los bienes utilizados en la operación de la Unidad Productora en la situación actual." sqref="F444:O444 F470:O470 F496:O496">
      <formula1>0</formula1>
    </dataValidation>
    <dataValidation type="decimal" operator="greaterThanOrEqual" allowBlank="1" showInputMessage="1" showErrorMessage="1" errorTitle="Error" error="Ha ingresado un valor erróneo, intente de nuevvo." promptTitle="Servicios" prompt="Ingrese el costo de los servicios utilizados en la operación de la Unidad Productora en la situación actual." sqref="F445:O445 F471:O471 F497:O497">
      <formula1>0</formula1>
    </dataValidation>
    <dataValidation type="decimal" operator="greaterThanOrEqual" allowBlank="1" showInputMessage="1" showErrorMessage="1" errorTitle="Error" error="Ha ingresado un valor erróneo, intente de nuevo." promptTitle="Otros" prompt="Ingrese el costo de otros gastos realizados en la operación de la Unidad Productora en la situación actual." sqref="F446:O446 F448:O448 F472:O472 F498:O498">
      <formula1>0</formula1>
    </dataValidation>
    <dataValidation type="decimal" operator="greaterThanOrEqual" allowBlank="1" showInputMessage="1" showErrorMessage="1" errorTitle="Error" error="Ha ingresado un valor erróneo, intente de nuevo." promptTitle="Personal" prompt="Ingrese el costo del Personal responsable de la operación de la Unidad Productora en la situación con Proyecto." sqref="F424:O424 F450:O450 F476:O476 F502:O502">
      <formula1>0</formula1>
    </dataValidation>
    <dataValidation type="decimal" operator="greaterThanOrEqual" allowBlank="1" showInputMessage="1" showErrorMessage="1" errorTitle="Error" error="Ha ingresaado un valor erróneo, intente de nuevo." promptTitle="Bienes" prompt="Ingrese el costo de los bienes utilizados en la operación de la Unidad Productora en la situación con proyecto." sqref="F425:O425 F451:O451 F477:O477 F503:O503">
      <formula1>0</formula1>
    </dataValidation>
    <dataValidation type="decimal" operator="greaterThanOrEqual" allowBlank="1" showInputMessage="1" showErrorMessage="1" errorTitle="Error" error="Ha ingresado un valor erróneo, intente de nuevo" promptTitle="Servicios" prompt="Ingrese el costo de los servicios utilizados en la operación de la Unidad Productora en la situación con proyecto." sqref="F426:O426 F452:O452 F478:O478 F504:O504">
      <formula1>0</formula1>
    </dataValidation>
    <dataValidation type="decimal" operator="greaterThanOrEqual" allowBlank="1" showInputMessage="1" showErrorMessage="1" errorTitle="Error" error="Ha ingresado un valor erróneo, intente de nuevo." promptTitle="Otros" prompt="Ingrese el costo de otros gastos realizados en la operación de la Unidad Productora en la situación con proyecto." sqref="F427:O427 F453:O453 F479:O479 F505:O505">
      <formula1>0</formula1>
    </dataValidation>
    <dataValidation type="list" allowBlank="1" showInputMessage="1" showErrorMessage="1" sqref="M30 M75 M165 M210 M255 M345 M300 M120">
      <formula1>"1,2,3,4,5,6"</formula1>
    </dataValidation>
    <dataValidation type="list" allowBlank="1" showInputMessage="1" showErrorMessage="1" promptTitle="Naturaleza" prompt="Seleccionar la naturaleza de la acción de la Medida de Reducción de Riesgo en el Contexto del Cambio Climático." sqref="B31:D36">
      <formula1>_cd111</formula1>
    </dataValidation>
    <dataValidation type="list" allowBlank="1" showInputMessage="1" showErrorMessage="1" promptTitle="Naturaleza" prompt="Seleccionar la naturaleza de la Medida de Reducción de Riesgo en el Contexto del Cambio Climático-" sqref="B76:D81">
      <formula1>_cd411</formula1>
    </dataValidation>
    <dataValidation type="list" allowBlank="1" showInputMessage="1" showErrorMessage="1" promptTitle="Naturaleza" prompt="Seleccionar la naturaleza de la Medida de Reducción de Riesgos en el Cotexto del Cambio Climático." sqref="B121:D126">
      <formula1>_cd111</formula1>
    </dataValidation>
    <dataValidation type="list" allowBlank="1" showInputMessage="1" showErrorMessage="1" promptTitle="Naturaleza" prompt="Seleccionar la Naturaleza de la Medida de Reducción de Riesgo en el Contexto del Cambio Climático." sqref="B166:D171 B256:D261">
      <formula1>_cd411</formula1>
    </dataValidation>
    <dataValidation type="list" allowBlank="1" showInputMessage="1" showErrorMessage="1" promptTitle="Naturaleza" prompt="Seleccionar la Naturlaeza de la Medida de Reducción de Riesgo en el Contexto del Cambio Climático." sqref="B211:D216">
      <formula1>_cd111</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I534:P539 I524:P532">
      <formula1>AND(I524&lt;=$N21*(1+$M$45/$N$37),$Q524&lt;=$N21*(1+$M$45/$N$37))</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I541:P561 I563:P568">
      <formula1>AND(I541&lt;=$N54*(1+$M$90/$N$82),$Q541&lt;=$N54*(1+$M$90/$N$82))</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I608:P613 I598:P606">
      <formula1>AND(I598&lt;=$N111*(1+$M$135/$N$127),$Q598&lt;=$N111*(1+$M$135/$N$127))</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I615:P635 I637:P642">
      <formula1>AND(I615&lt;=$N144*(1+$M$180/$N$172),$Q615&lt;=$N144*(1+$M$180/$N$172))</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I672:P680 I682:P687">
      <formula1>AND(I672&lt;=$N201*(1+$M$225/$N$217),$Q672&lt;=$N201*(1+$M$225/$N$217))</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I711:P716 I689:P709">
      <formula1>AND(I689&lt;=$N234*(1+$M$270/$N$262),$Q689&lt;=$N234*(1+$M$270/$N$262))</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I746:P754 I756:P761">
      <formula1>AND(I746&lt;=$N291*(1+$M$315/$N$307),$Q746&lt;=$N291*(1+$M$315/$N$307))</formula1>
    </dataValidation>
    <dataValidation type="custom" allowBlank="1" showInputMessage="1" showErrorMessage="1" errorTitle="Error" error="Ha ingresado un valor mayor al costo del componente/acción, o el valor ingresado genera que el costo estimado sea superior al costo del componente/acción." promptTitle="Costo de Inversión" prompt="Ingrese el costo de inversión programado para el periodo del componente/acción que se está analizando." sqref="I785:P790 I763:P783">
      <formula1>AND(I763&lt;=$N324*(1+$M$360/$N$352),$Q763&lt;=$N324*(1+$M$360/$N$352))</formula1>
    </dataValidation>
    <dataValidation type="decimal" operator="greaterThanOrEqual" allowBlank="1" showInputMessage="1" showErrorMessage="1" errorTitle="Error" error="El dato que ha ingresado no es un valor numérico, intente nuevamente." promptTitle="Gastos Generales" prompt="Ingrese el valor de los gastos generales calculados para el presente proyecto." sqref="M41:N41">
      <formula1>0</formula1>
    </dataValidation>
    <dataValidation type="decimal" operator="greaterThanOrEqual" allowBlank="1" showInputMessage="1" showErrorMessage="1" errorTitle="Error" error="El dato que ha ingresado no es un valor numérico, intente nuevamente." promptTitle="Utilidad" prompt="Ingrese el valor del monto de la utilidad calculada para el presente proyecto." sqref="M42:N42">
      <formula1>0</formula1>
    </dataValidation>
    <dataValidation type="decimal" operator="greaterThanOrEqual" allowBlank="1" showInputMessage="1" showErrorMessage="1" errorTitle="Error" error="El dato que ha ingresado no es un valor numérico, intente nuevamente." promptTitle="Impuesto General a las Ventas" prompt="Ingrese el valor del Impuesto General a las Ventas (IGV) determinado para el presente proyecto." sqref="M43:N43">
      <formula1>0</formula1>
    </dataValidation>
    <dataValidation type="decimal" operator="greaterThanOrEqual" allowBlank="1" showInputMessage="1" showErrorMessage="1" errorTitle="Error" error="El dato que ha ingresado no es un valor numérico, intente nuevamente." promptTitle="Gastos Generales" prompt="Ingrese el monto de los Gastos Generales calculados para el presente proyecto." sqref="M86:N86">
      <formula1>0</formula1>
    </dataValidation>
    <dataValidation type="decimal" operator="greaterThanOrEqual" allowBlank="1" showInputMessage="1" showErrorMessage="1" errorTitle="Error" error="El dato que ha ingresado no es un valor numérico, intente nuevamente." promptTitle="Utilidad" prompt="Ingrese el monto de las Utilidades calculadas para el presente proyecto." sqref="M87:N87">
      <formula1>0</formula1>
    </dataValidation>
    <dataValidation type="decimal" operator="greaterThanOrEqual" allowBlank="1" showInputMessage="1" showErrorMessage="1" errorTitle="Error" error="El dato que ha ingresado no es un valor numérico, intente nuevamente." promptTitle="Impuesto General a las Ventas" prompt="Ingrese el monto del Impuesto General a las Ventas (IGV) determinado para el presente proyecto." sqref="M88:N88">
      <formula1>0</formula1>
    </dataValidation>
    <dataValidation type="whole" operator="greaterThanOrEqual" allowBlank="1" showInputMessage="1" showErrorMessage="1" errorTitle="Error" error="El dato que ha ingresado no es un valor numérico, intente nuevamente." promptTitle="Gestión del Proyecto" prompt="Ingrese el monto determinado para los gastos de Gestión del Proyecto para el presente proyecto." sqref="M96:N96">
      <formula1>0</formula1>
    </dataValidation>
    <dataValidation type="whole" operator="greaterThanOrEqual" allowBlank="1" showInputMessage="1" showErrorMessage="1" errorTitle="Error" error="El dato que ha ingresado no es un valor numérico, intente nuevamente." promptTitle="Expediente Técnico" prompt="Ingrese el monto determinado para la elaboración del expediente técnico o documenrto equivalente para el presente proyecto." sqref="M97:N97">
      <formula1>0</formula1>
    </dataValidation>
    <dataValidation type="whole" operator="greaterThanOrEqual" allowBlank="1" showInputMessage="1" showErrorMessage="1" errorTitle="Error" error="El dato que ha ingresado no es un valor numérico, intente nuevamente." promptTitle="Supervisión" prompt="Ingrese el monto determinado para las actividades de Supervisión del Proyecto." sqref="M98:N98">
      <formula1>0</formula1>
    </dataValidation>
    <dataValidation type="whole" operator="greaterThanOrEqual" allowBlank="1" showInputMessage="1" showErrorMessage="1" errorTitle="Error" error="El dato que ha ingresado no es un valor numérico, intente nuevamente." promptTitle="Liquidación" prompt="Ingrese el monto determinado para las actividades de liquidación del presente proyecto." sqref="M99:N99">
      <formula1>0</formula1>
    </dataValidation>
  </dataValidations>
  <pageMargins left="0.70866141732283472" right="0.70866141732283472" top="0.74803149606299213" bottom="0.74803149606299213" header="0.31496062992125984" footer="0.31496062992125984"/>
  <pageSetup paperSize="9" scale="39"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rowBreaks count="1" manualBreakCount="1">
    <brk id="864" min="1" max="17" man="1"/>
  </rowBreaks>
  <drawing r:id="rId2"/>
  <legacyDrawing r:id="rId3"/>
  <controls>
    <mc:AlternateContent xmlns:mc="http://schemas.openxmlformats.org/markup-compatibility/2006">
      <mc:Choice Requires="x14">
        <control shapeId="47115" r:id="rId4" name="OptionButton1">
          <controlPr defaultSize="0" autoLine="0" linkedCell="H584" r:id="rId5">
            <anchor moveWithCells="1">
              <from>
                <xdr:col>5</xdr:col>
                <xdr:colOff>180975</xdr:colOff>
                <xdr:row>580</xdr:row>
                <xdr:rowOff>47625</xdr:rowOff>
              </from>
              <to>
                <xdr:col>5</xdr:col>
                <xdr:colOff>552450</xdr:colOff>
                <xdr:row>581</xdr:row>
                <xdr:rowOff>123825</xdr:rowOff>
              </to>
            </anchor>
          </controlPr>
        </control>
      </mc:Choice>
      <mc:Fallback>
        <control shapeId="47115" r:id="rId4" name="OptionButton1"/>
      </mc:Fallback>
    </mc:AlternateContent>
    <mc:AlternateContent xmlns:mc="http://schemas.openxmlformats.org/markup-compatibility/2006">
      <mc:Choice Requires="x14">
        <control shapeId="47116" r:id="rId6" name="OptionButton2">
          <controlPr defaultSize="0" autoLine="0" r:id="rId7">
            <anchor moveWithCells="1">
              <from>
                <xdr:col>6</xdr:col>
                <xdr:colOff>104775</xdr:colOff>
                <xdr:row>580</xdr:row>
                <xdr:rowOff>47625</xdr:rowOff>
              </from>
              <to>
                <xdr:col>6</xdr:col>
                <xdr:colOff>504825</xdr:colOff>
                <xdr:row>581</xdr:row>
                <xdr:rowOff>123825</xdr:rowOff>
              </to>
            </anchor>
          </controlPr>
        </control>
      </mc:Choice>
      <mc:Fallback>
        <control shapeId="47116" r:id="rId6" name="OptionButton2"/>
      </mc:Fallback>
    </mc:AlternateContent>
    <mc:AlternateContent xmlns:mc="http://schemas.openxmlformats.org/markup-compatibility/2006">
      <mc:Choice Requires="x14">
        <control shapeId="47117" r:id="rId8" name="OptionButton3">
          <controlPr defaultSize="0" autoLine="0" linkedCell="H658" r:id="rId9">
            <anchor moveWithCells="1">
              <from>
                <xdr:col>0</xdr:col>
                <xdr:colOff>200025</xdr:colOff>
                <xdr:row>1044</xdr:row>
                <xdr:rowOff>85725</xdr:rowOff>
              </from>
              <to>
                <xdr:col>0</xdr:col>
                <xdr:colOff>352425</xdr:colOff>
                <xdr:row>1044</xdr:row>
                <xdr:rowOff>180975</xdr:rowOff>
              </to>
            </anchor>
          </controlPr>
        </control>
      </mc:Choice>
      <mc:Fallback>
        <control shapeId="47117" r:id="rId8" name="OptionButton3"/>
      </mc:Fallback>
    </mc:AlternateContent>
    <mc:AlternateContent xmlns:mc="http://schemas.openxmlformats.org/markup-compatibility/2006">
      <mc:Choice Requires="x14">
        <control shapeId="47118" r:id="rId10" name="OptionButton4">
          <controlPr defaultSize="0" autoLine="0" r:id="rId11">
            <anchor moveWithCells="1">
              <from>
                <xdr:col>0</xdr:col>
                <xdr:colOff>200025</xdr:colOff>
                <xdr:row>1044</xdr:row>
                <xdr:rowOff>114300</xdr:rowOff>
              </from>
              <to>
                <xdr:col>0</xdr:col>
                <xdr:colOff>371475</xdr:colOff>
                <xdr:row>1045</xdr:row>
                <xdr:rowOff>28575</xdr:rowOff>
              </to>
            </anchor>
          </controlPr>
        </control>
      </mc:Choice>
      <mc:Fallback>
        <control shapeId="47118" r:id="rId10" name="OptionButton4"/>
      </mc:Fallback>
    </mc:AlternateContent>
    <mc:AlternateContent xmlns:mc="http://schemas.openxmlformats.org/markup-compatibility/2006">
      <mc:Choice Requires="x14">
        <control shapeId="47119" r:id="rId12" name="OptionButton5">
          <controlPr defaultSize="0" autoLine="0" linkedCell="H732" r:id="rId13">
            <anchor moveWithCells="1">
              <from>
                <xdr:col>0</xdr:col>
                <xdr:colOff>209550</xdr:colOff>
                <xdr:row>1044</xdr:row>
                <xdr:rowOff>19050</xdr:rowOff>
              </from>
              <to>
                <xdr:col>0</xdr:col>
                <xdr:colOff>342900</xdr:colOff>
                <xdr:row>1045</xdr:row>
                <xdr:rowOff>76200</xdr:rowOff>
              </to>
            </anchor>
          </controlPr>
        </control>
      </mc:Choice>
      <mc:Fallback>
        <control shapeId="47119" r:id="rId12" name="OptionButton5"/>
      </mc:Fallback>
    </mc:AlternateContent>
    <mc:AlternateContent xmlns:mc="http://schemas.openxmlformats.org/markup-compatibility/2006">
      <mc:Choice Requires="x14">
        <control shapeId="47120" r:id="rId14" name="OptionButton6">
          <controlPr autoLine="0" r:id="rId15">
            <anchor moveWithCells="1">
              <from>
                <xdr:col>0</xdr:col>
                <xdr:colOff>200025</xdr:colOff>
                <xdr:row>1044</xdr:row>
                <xdr:rowOff>38100</xdr:rowOff>
              </from>
              <to>
                <xdr:col>0</xdr:col>
                <xdr:colOff>419100</xdr:colOff>
                <xdr:row>1045</xdr:row>
                <xdr:rowOff>85725</xdr:rowOff>
              </to>
            </anchor>
          </controlPr>
        </control>
      </mc:Choice>
      <mc:Fallback>
        <control shapeId="47120" r:id="rId14" name="OptionButton6"/>
      </mc:Fallback>
    </mc:AlternateContent>
    <mc:AlternateContent xmlns:mc="http://schemas.openxmlformats.org/markup-compatibility/2006">
      <mc:Choice Requires="x14">
        <control shapeId="47121" r:id="rId16" name="OptionButton7">
          <controlPr defaultSize="0" autoLine="0" linkedCell="H806" r:id="rId17">
            <anchor moveWithCells="1">
              <from>
                <xdr:col>0</xdr:col>
                <xdr:colOff>247650</xdr:colOff>
                <xdr:row>1044</xdr:row>
                <xdr:rowOff>38100</xdr:rowOff>
              </from>
              <to>
                <xdr:col>0</xdr:col>
                <xdr:colOff>371475</xdr:colOff>
                <xdr:row>1045</xdr:row>
                <xdr:rowOff>38100</xdr:rowOff>
              </to>
            </anchor>
          </controlPr>
        </control>
      </mc:Choice>
      <mc:Fallback>
        <control shapeId="47121" r:id="rId16" name="OptionButton7"/>
      </mc:Fallback>
    </mc:AlternateContent>
    <mc:AlternateContent xmlns:mc="http://schemas.openxmlformats.org/markup-compatibility/2006">
      <mc:Choice Requires="x14">
        <control shapeId="47122" r:id="rId18" name="OptionButton8">
          <controlPr defaultSize="0" autoLine="0" r:id="rId19">
            <anchor moveWithCells="1">
              <from>
                <xdr:col>0</xdr:col>
                <xdr:colOff>209550</xdr:colOff>
                <xdr:row>1044</xdr:row>
                <xdr:rowOff>47625</xdr:rowOff>
              </from>
              <to>
                <xdr:col>0</xdr:col>
                <xdr:colOff>390525</xdr:colOff>
                <xdr:row>1045</xdr:row>
                <xdr:rowOff>57150</xdr:rowOff>
              </to>
            </anchor>
          </controlPr>
        </control>
      </mc:Choice>
      <mc:Fallback>
        <control shapeId="47122" r:id="rId18" name="OptionButton8"/>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0" tint="-0.14999847407452621"/>
  </sheetPr>
  <dimension ref="A1:AC650"/>
  <sheetViews>
    <sheetView showGridLines="0" zoomScale="95" zoomScaleNormal="95" zoomScaleSheetLayoutView="70" workbookViewId="0">
      <pane ySplit="9" topLeftCell="A10" activePane="bottomLeft" state="frozen"/>
      <selection sqref="A1:XFD1048576"/>
      <selection pane="bottomLeft" activeCell="D23" sqref="D23"/>
    </sheetView>
  </sheetViews>
  <sheetFormatPr baseColWidth="10" defaultColWidth="11.42578125" defaultRowHeight="15" x14ac:dyDescent="0.25"/>
  <cols>
    <col min="1" max="1" width="11.42578125" style="50"/>
    <col min="2" max="2" width="36.85546875" style="50" customWidth="1"/>
    <col min="3" max="13" width="15.7109375" style="50" customWidth="1"/>
    <col min="14" max="15" width="11.42578125" style="50"/>
    <col min="16" max="17" width="11.5703125" style="50" bestFit="1" customWidth="1"/>
    <col min="18" max="22" width="13.140625" style="50" bestFit="1" customWidth="1"/>
    <col min="23" max="24" width="12.42578125" style="50" bestFit="1" customWidth="1"/>
    <col min="25" max="16384" width="11.42578125" style="50"/>
  </cols>
  <sheetData>
    <row r="1" spans="1:29" x14ac:dyDescent="0.25">
      <c r="A1" s="275"/>
      <c r="B1" s="275"/>
      <c r="C1" s="275"/>
      <c r="D1" s="275"/>
      <c r="E1" s="275"/>
      <c r="F1" s="275"/>
      <c r="G1" s="275"/>
      <c r="H1" s="275"/>
      <c r="I1" s="275"/>
      <c r="J1" s="275"/>
      <c r="K1" s="275"/>
      <c r="L1" s="275"/>
      <c r="M1" s="275"/>
      <c r="N1" s="41"/>
      <c r="O1" s="41"/>
      <c r="P1" s="41"/>
      <c r="Q1" s="41"/>
      <c r="R1" s="41"/>
      <c r="S1" s="41"/>
      <c r="T1" s="41"/>
      <c r="U1" s="41"/>
      <c r="V1" s="41"/>
      <c r="W1" s="41"/>
      <c r="X1" s="41"/>
      <c r="Y1" s="41"/>
      <c r="Z1" s="41"/>
      <c r="AA1" s="41"/>
      <c r="AB1" s="41"/>
      <c r="AC1" s="41"/>
    </row>
    <row r="2" spans="1:29" x14ac:dyDescent="0.25">
      <c r="A2" s="275"/>
      <c r="B2" s="275"/>
      <c r="C2" s="275"/>
      <c r="D2" s="275"/>
      <c r="E2" s="275"/>
      <c r="F2" s="275"/>
      <c r="G2" s="275"/>
      <c r="H2" s="275"/>
      <c r="I2" s="275"/>
      <c r="J2" s="275"/>
      <c r="K2" s="275"/>
      <c r="L2" s="275"/>
      <c r="M2" s="275"/>
      <c r="N2" s="41"/>
      <c r="O2" s="41"/>
      <c r="P2" s="41"/>
      <c r="Q2" s="41"/>
      <c r="R2" s="41"/>
      <c r="S2" s="41"/>
      <c r="T2" s="41"/>
      <c r="U2" s="41"/>
      <c r="V2" s="41"/>
      <c r="W2" s="41"/>
      <c r="X2" s="41"/>
      <c r="Y2" s="41"/>
      <c r="Z2" s="41"/>
      <c r="AA2" s="41"/>
      <c r="AB2" s="41"/>
      <c r="AC2" s="41"/>
    </row>
    <row r="3" spans="1:29" x14ac:dyDescent="0.25">
      <c r="A3" s="275"/>
      <c r="B3" s="275"/>
      <c r="C3" s="275"/>
      <c r="D3" s="275"/>
      <c r="E3" s="275"/>
      <c r="F3" s="275"/>
      <c r="G3" s="275"/>
      <c r="H3" s="275"/>
      <c r="I3" s="275"/>
      <c r="J3" s="275"/>
      <c r="K3" s="275"/>
      <c r="L3" s="275"/>
      <c r="M3" s="275"/>
      <c r="N3" s="41"/>
      <c r="O3" s="41"/>
      <c r="P3" s="41"/>
      <c r="Q3" s="41"/>
      <c r="R3" s="41"/>
      <c r="S3" s="41"/>
      <c r="T3" s="41"/>
      <c r="U3" s="41"/>
      <c r="V3" s="41"/>
      <c r="W3" s="41"/>
      <c r="X3" s="41"/>
      <c r="Y3" s="41"/>
      <c r="Z3" s="41"/>
      <c r="AA3" s="41"/>
      <c r="AB3" s="41"/>
      <c r="AC3" s="41"/>
    </row>
    <row r="4" spans="1:29" x14ac:dyDescent="0.25">
      <c r="A4" s="275"/>
      <c r="B4" s="275"/>
      <c r="C4" s="275"/>
      <c r="D4" s="275"/>
      <c r="E4" s="275"/>
      <c r="F4" s="275"/>
      <c r="G4" s="275"/>
      <c r="H4" s="275"/>
      <c r="I4" s="275"/>
      <c r="J4" s="275"/>
      <c r="K4" s="275"/>
      <c r="L4" s="275"/>
      <c r="M4" s="275"/>
      <c r="N4" s="41"/>
      <c r="O4" s="41"/>
      <c r="P4" s="41"/>
      <c r="Q4" s="41"/>
      <c r="R4" s="41"/>
      <c r="S4" s="41"/>
      <c r="T4" s="41"/>
      <c r="U4" s="41"/>
      <c r="V4" s="41"/>
      <c r="W4" s="41"/>
      <c r="X4" s="41"/>
      <c r="Y4" s="41"/>
      <c r="Z4" s="41"/>
      <c r="AA4" s="41"/>
      <c r="AB4" s="41"/>
      <c r="AC4" s="41"/>
    </row>
    <row r="5" spans="1:29" x14ac:dyDescent="0.25">
      <c r="A5" s="275"/>
      <c r="B5" s="275"/>
      <c r="C5" s="275"/>
      <c r="D5" s="275"/>
      <c r="E5" s="275"/>
      <c r="F5" s="275"/>
      <c r="G5" s="275"/>
      <c r="H5" s="275"/>
      <c r="I5" s="275"/>
      <c r="J5" s="275"/>
      <c r="K5" s="275"/>
      <c r="L5" s="275"/>
      <c r="M5" s="275"/>
      <c r="N5" s="41"/>
      <c r="O5" s="41"/>
      <c r="P5" s="41"/>
      <c r="Q5" s="41"/>
      <c r="R5" s="41"/>
      <c r="S5" s="41"/>
      <c r="T5" s="41"/>
      <c r="U5" s="41"/>
      <c r="V5" s="41"/>
      <c r="W5" s="41"/>
      <c r="X5" s="41"/>
      <c r="Y5" s="41"/>
      <c r="Z5" s="41"/>
      <c r="AA5" s="41"/>
      <c r="AB5" s="41"/>
      <c r="AC5" s="41"/>
    </row>
    <row r="6" spans="1:29" x14ac:dyDescent="0.25">
      <c r="A6" s="275"/>
      <c r="B6" s="275"/>
      <c r="C6" s="275"/>
      <c r="D6" s="275"/>
      <c r="E6" s="275"/>
      <c r="F6" s="275"/>
      <c r="G6" s="275"/>
      <c r="H6" s="275"/>
      <c r="I6" s="275"/>
      <c r="J6" s="275"/>
      <c r="K6" s="275"/>
      <c r="L6" s="275"/>
      <c r="M6" s="275"/>
      <c r="N6" s="41"/>
      <c r="O6" s="41"/>
      <c r="P6" s="41"/>
      <c r="Q6" s="41"/>
      <c r="R6" s="41"/>
      <c r="S6" s="41"/>
      <c r="T6" s="41"/>
      <c r="U6" s="41"/>
      <c r="V6" s="41"/>
      <c r="W6" s="41"/>
      <c r="X6" s="41"/>
      <c r="Y6" s="41"/>
      <c r="Z6" s="41"/>
      <c r="AA6" s="41"/>
      <c r="AB6" s="41"/>
      <c r="AC6" s="41"/>
    </row>
    <row r="7" spans="1:29" x14ac:dyDescent="0.25">
      <c r="A7" s="275"/>
      <c r="B7" s="275"/>
      <c r="C7" s="275"/>
      <c r="D7" s="275"/>
      <c r="E7" s="275"/>
      <c r="F7" s="275"/>
      <c r="G7" s="275"/>
      <c r="H7" s="275"/>
      <c r="I7" s="275"/>
      <c r="J7" s="275"/>
      <c r="K7" s="275"/>
      <c r="L7" s="275"/>
      <c r="M7" s="275"/>
      <c r="N7" s="41"/>
      <c r="O7" s="41"/>
      <c r="P7" s="41"/>
      <c r="Q7" s="41"/>
      <c r="R7" s="41"/>
      <c r="S7" s="41"/>
      <c r="T7" s="41"/>
      <c r="U7" s="41"/>
      <c r="V7" s="41"/>
      <c r="W7" s="41"/>
      <c r="X7" s="41"/>
      <c r="Y7" s="41"/>
      <c r="Z7" s="41"/>
      <c r="AA7" s="41"/>
      <c r="AB7" s="41"/>
      <c r="AC7" s="41"/>
    </row>
    <row r="8" spans="1:29" x14ac:dyDescent="0.25">
      <c r="A8" s="275"/>
      <c r="B8" s="275"/>
      <c r="C8" s="275"/>
      <c r="D8" s="275"/>
      <c r="E8" s="275"/>
      <c r="F8" s="275"/>
      <c r="G8" s="275"/>
      <c r="H8" s="275"/>
      <c r="I8" s="275"/>
      <c r="J8" s="275"/>
      <c r="K8" s="275"/>
      <c r="L8" s="275"/>
      <c r="M8" s="275"/>
      <c r="N8" s="41"/>
      <c r="O8" s="41"/>
      <c r="P8" s="41"/>
      <c r="Q8" s="41"/>
      <c r="R8" s="41"/>
      <c r="S8" s="41"/>
      <c r="T8" s="41"/>
      <c r="U8" s="41"/>
      <c r="V8" s="41"/>
      <c r="W8" s="41"/>
      <c r="X8" s="41"/>
      <c r="Y8" s="41"/>
      <c r="Z8" s="41"/>
      <c r="AA8" s="41"/>
      <c r="AB8" s="41"/>
      <c r="AC8" s="41"/>
    </row>
    <row r="9" spans="1:29" x14ac:dyDescent="0.25">
      <c r="A9" s="275"/>
      <c r="B9" s="275"/>
      <c r="C9" s="275"/>
      <c r="D9" s="275"/>
      <c r="E9" s="275"/>
      <c r="F9" s="275"/>
      <c r="G9" s="275"/>
      <c r="H9" s="275"/>
      <c r="I9" s="275"/>
      <c r="J9" s="275"/>
      <c r="K9" s="275"/>
      <c r="L9" s="275"/>
      <c r="M9" s="275"/>
      <c r="N9" s="41"/>
      <c r="O9" s="41"/>
      <c r="P9" s="41"/>
      <c r="Q9" s="41"/>
      <c r="R9" s="41"/>
      <c r="S9" s="41"/>
      <c r="T9" s="41"/>
      <c r="U9" s="41"/>
      <c r="V9" s="41"/>
      <c r="W9" s="41"/>
      <c r="X9" s="41"/>
      <c r="Y9" s="41"/>
      <c r="Z9" s="41"/>
      <c r="AA9" s="41"/>
      <c r="AB9" s="41"/>
      <c r="AC9" s="41"/>
    </row>
    <row r="10" spans="1:29" s="82" customFormat="1" ht="18.75" x14ac:dyDescent="0.3">
      <c r="B10" s="82" t="s">
        <v>4946</v>
      </c>
    </row>
    <row r="12" spans="1:29" ht="24" customHeight="1" x14ac:dyDescent="0.25">
      <c r="B12" s="1089" t="s">
        <v>427</v>
      </c>
      <c r="C12" s="1089"/>
      <c r="D12" s="1089"/>
      <c r="E12" s="1089"/>
      <c r="F12" s="1089"/>
      <c r="G12" s="1089"/>
      <c r="H12" s="1089"/>
      <c r="I12" s="1089"/>
      <c r="J12" s="1089"/>
      <c r="K12" s="1089"/>
      <c r="L12" s="1089"/>
      <c r="M12" s="1089"/>
    </row>
    <row r="13" spans="1:29" x14ac:dyDescent="0.25">
      <c r="B13" s="276"/>
      <c r="C13" s="277"/>
      <c r="D13" s="277"/>
      <c r="E13" s="278"/>
      <c r="F13" s="277"/>
      <c r="G13" s="277"/>
      <c r="H13" s="277"/>
      <c r="I13" s="277"/>
      <c r="J13" s="279"/>
      <c r="K13" s="277"/>
      <c r="L13" s="277"/>
      <c r="M13" s="277"/>
    </row>
    <row r="14" spans="1:29" ht="18.75" customHeight="1" x14ac:dyDescent="0.25">
      <c r="B14" s="1817" t="s">
        <v>4947</v>
      </c>
      <c r="C14" s="1817"/>
      <c r="D14" s="1817"/>
      <c r="E14" s="1817"/>
      <c r="F14" s="1817"/>
      <c r="G14" s="1817"/>
      <c r="H14" s="1817"/>
      <c r="I14" s="1817"/>
      <c r="J14" s="1817"/>
      <c r="K14" s="1817"/>
      <c r="L14" s="1817"/>
      <c r="M14" s="1817"/>
    </row>
    <row r="15" spans="1:29" ht="15" customHeight="1" x14ac:dyDescent="0.25">
      <c r="B15" s="276"/>
      <c r="C15" s="277"/>
      <c r="D15" s="277"/>
      <c r="E15" s="278"/>
      <c r="F15" s="279"/>
      <c r="G15" s="279"/>
      <c r="H15" s="279"/>
      <c r="I15" s="279"/>
      <c r="J15" s="279"/>
      <c r="K15" s="277"/>
      <c r="L15" s="277"/>
      <c r="M15" s="277"/>
    </row>
    <row r="16" spans="1:29" ht="26.25" customHeight="1" x14ac:dyDescent="0.25">
      <c r="B16" s="219" t="s">
        <v>380</v>
      </c>
      <c r="C16" s="1818" t="s">
        <v>230</v>
      </c>
      <c r="D16" s="1818"/>
      <c r="E16" s="1818" t="s">
        <v>25</v>
      </c>
      <c r="F16" s="1818"/>
      <c r="G16" s="1818"/>
      <c r="H16" s="1818" t="s">
        <v>231</v>
      </c>
      <c r="I16" s="1818"/>
      <c r="J16" s="1818"/>
      <c r="K16" s="1818" t="s">
        <v>143</v>
      </c>
      <c r="L16" s="1818"/>
      <c r="M16" s="1818"/>
    </row>
    <row r="17" spans="2:15" ht="4.5" customHeight="1" x14ac:dyDescent="0.25"/>
    <row r="18" spans="2:15" ht="251.25" customHeight="1" x14ac:dyDescent="0.25">
      <c r="B18" s="546" t="s">
        <v>5237</v>
      </c>
      <c r="C18" s="1799" t="s">
        <v>4763</v>
      </c>
      <c r="D18" s="1799"/>
      <c r="E18" s="1800" t="s">
        <v>5239</v>
      </c>
      <c r="F18" s="1801"/>
      <c r="G18" s="1802"/>
      <c r="H18" s="1804" t="s">
        <v>5240</v>
      </c>
      <c r="I18" s="1801"/>
      <c r="J18" s="1802"/>
      <c r="K18" s="1804" t="s">
        <v>5238</v>
      </c>
      <c r="L18" s="1801"/>
      <c r="M18" s="1802"/>
    </row>
    <row r="19" spans="2:15" x14ac:dyDescent="0.25">
      <c r="B19" s="276"/>
      <c r="C19" s="279"/>
      <c r="D19" s="277"/>
      <c r="E19" s="278"/>
      <c r="F19" s="277"/>
      <c r="G19" s="277"/>
      <c r="H19" s="277"/>
      <c r="I19" s="277"/>
      <c r="J19" s="279"/>
      <c r="K19" s="277"/>
      <c r="L19" s="277"/>
      <c r="M19" s="277"/>
    </row>
    <row r="20" spans="2:15" x14ac:dyDescent="0.25">
      <c r="B20" s="276"/>
      <c r="C20" s="279"/>
      <c r="D20" s="277"/>
      <c r="E20" s="278"/>
      <c r="F20" s="277"/>
      <c r="G20" s="277"/>
      <c r="H20" s="277"/>
      <c r="I20" s="277"/>
      <c r="J20" s="279"/>
      <c r="K20" s="277"/>
      <c r="L20" s="277"/>
      <c r="M20" s="277"/>
    </row>
    <row r="21" spans="2:15" x14ac:dyDescent="0.25">
      <c r="B21" s="280"/>
      <c r="C21" s="279"/>
      <c r="D21" s="279"/>
      <c r="E21" s="278"/>
      <c r="F21" s="279"/>
      <c r="G21" s="279"/>
      <c r="H21" s="279"/>
      <c r="I21" s="279"/>
      <c r="J21" s="279"/>
      <c r="K21" s="277"/>
      <c r="L21" s="277"/>
      <c r="M21" s="277"/>
    </row>
    <row r="22" spans="2:15" ht="15.75" customHeight="1" x14ac:dyDescent="0.25">
      <c r="B22" s="281" t="s">
        <v>163</v>
      </c>
      <c r="C22" s="282">
        <v>0</v>
      </c>
      <c r="D22" s="282">
        <v>1</v>
      </c>
      <c r="E22" s="282">
        <v>2</v>
      </c>
      <c r="F22" s="282">
        <v>3</v>
      </c>
      <c r="G22" s="282">
        <v>4</v>
      </c>
      <c r="H22" s="282">
        <v>5</v>
      </c>
      <c r="I22" s="282">
        <v>6</v>
      </c>
      <c r="J22" s="282">
        <v>7</v>
      </c>
      <c r="K22" s="282">
        <v>8</v>
      </c>
      <c r="L22" s="282">
        <v>9</v>
      </c>
      <c r="M22" s="282">
        <v>10</v>
      </c>
    </row>
    <row r="23" spans="2:15" x14ac:dyDescent="0.25">
      <c r="B23" s="283" t="s">
        <v>144</v>
      </c>
      <c r="C23" s="400"/>
      <c r="D23" s="487">
        <f>IFERROR(IF(Evaluacion_economicaAnexo!D241="","",Evaluacion_economicaAnexo!D241),"")</f>
        <v>0</v>
      </c>
      <c r="E23" s="487">
        <f>IFERROR(IF(Evaluacion_economicaAnexo!E241="","",Evaluacion_economicaAnexo!E241),"")</f>
        <v>0</v>
      </c>
      <c r="F23" s="487">
        <f>IFERROR(IF(Evaluacion_economicaAnexo!F241="","",Evaluacion_economicaAnexo!F241),"")</f>
        <v>0</v>
      </c>
      <c r="G23" s="487">
        <f>IFERROR(IF(Evaluacion_economicaAnexo!G241="","",Evaluacion_economicaAnexo!G241),"")</f>
        <v>0</v>
      </c>
      <c r="H23" s="487">
        <f>IFERROR(IF(Evaluacion_economicaAnexo!H241="","",Evaluacion_economicaAnexo!H241),"")</f>
        <v>0</v>
      </c>
      <c r="I23" s="487">
        <f>IFERROR(IF(Evaluacion_economicaAnexo!I241="","",Evaluacion_economicaAnexo!I241),"")</f>
        <v>0</v>
      </c>
      <c r="J23" s="487">
        <f>IFERROR(IF(Evaluacion_economicaAnexo!J241="","",Evaluacion_economicaAnexo!J241),"")</f>
        <v>0</v>
      </c>
      <c r="K23" s="487">
        <f>IFERROR(IF(Evaluacion_economicaAnexo!K241="","",Evaluacion_economicaAnexo!K241),"")</f>
        <v>0</v>
      </c>
      <c r="L23" s="487">
        <f>IFERROR(IF(Evaluacion_economicaAnexo!L241="","",Evaluacion_economicaAnexo!L241),"")</f>
        <v>0</v>
      </c>
      <c r="M23" s="487">
        <f>IFERROR(IF(Evaluacion_economicaAnexo!M241="","",Evaluacion_economicaAnexo!M241),"")</f>
        <v>0</v>
      </c>
      <c r="O23" s="401"/>
    </row>
    <row r="24" spans="2:15" x14ac:dyDescent="0.25">
      <c r="B24" s="283" t="s">
        <v>145</v>
      </c>
      <c r="C24" s="400"/>
      <c r="D24" s="487"/>
      <c r="E24" s="618"/>
      <c r="F24" s="618"/>
      <c r="G24" s="618"/>
      <c r="H24" s="487" t="str">
        <f>IFERROR(IF(#REF!="","",#REF!),"")</f>
        <v/>
      </c>
      <c r="I24" s="618"/>
      <c r="J24" s="618"/>
      <c r="K24" s="618"/>
      <c r="L24" s="618"/>
      <c r="M24" s="618"/>
    </row>
    <row r="25" spans="2:15" x14ac:dyDescent="0.25">
      <c r="B25" s="283" t="s">
        <v>146</v>
      </c>
      <c r="C25" s="400"/>
      <c r="D25" s="487"/>
      <c r="E25" s="618"/>
      <c r="F25" s="618"/>
      <c r="G25" s="618"/>
      <c r="H25" s="618"/>
      <c r="I25" s="618"/>
      <c r="J25" s="618"/>
      <c r="K25" s="618"/>
      <c r="L25" s="618"/>
      <c r="M25" s="618"/>
    </row>
    <row r="26" spans="2:15" x14ac:dyDescent="0.25">
      <c r="B26" s="283" t="s">
        <v>227</v>
      </c>
      <c r="C26" s="400"/>
      <c r="D26" s="487"/>
      <c r="E26" s="618"/>
      <c r="F26" s="618"/>
      <c r="G26" s="618"/>
      <c r="H26" s="618"/>
      <c r="I26" s="618"/>
      <c r="J26" s="618"/>
      <c r="K26" s="618"/>
      <c r="L26" s="618"/>
      <c r="M26" s="618"/>
    </row>
    <row r="27" spans="2:15" x14ac:dyDescent="0.25">
      <c r="B27" s="284"/>
      <c r="C27" s="285"/>
      <c r="D27" s="285"/>
      <c r="E27" s="286"/>
      <c r="F27" s="285"/>
      <c r="G27" s="285"/>
      <c r="H27" s="285"/>
      <c r="I27" s="285"/>
      <c r="J27" s="285"/>
      <c r="K27" s="285"/>
      <c r="L27" s="285"/>
      <c r="M27" s="285"/>
    </row>
    <row r="28" spans="2:15" x14ac:dyDescent="0.25">
      <c r="B28" s="287"/>
      <c r="C28" s="279"/>
      <c r="D28" s="279"/>
      <c r="E28" s="278"/>
      <c r="F28" s="279"/>
      <c r="G28" s="279"/>
      <c r="H28" s="402"/>
      <c r="I28" s="279"/>
      <c r="J28" s="279"/>
      <c r="K28" s="277"/>
      <c r="L28" s="277"/>
      <c r="M28" s="277"/>
    </row>
    <row r="29" spans="2:15" ht="18" customHeight="1" x14ac:dyDescent="0.25">
      <c r="B29" s="1803" t="s">
        <v>4948</v>
      </c>
      <c r="C29" s="1803"/>
      <c r="D29" s="1803"/>
      <c r="E29" s="1803"/>
      <c r="F29" s="1803"/>
      <c r="G29" s="1803"/>
      <c r="H29" s="1803"/>
      <c r="I29" s="1803"/>
      <c r="J29" s="1803"/>
      <c r="K29" s="1803"/>
      <c r="L29" s="1803"/>
      <c r="M29" s="1803"/>
    </row>
    <row r="30" spans="2:15" x14ac:dyDescent="0.25">
      <c r="B30" s="287"/>
      <c r="C30" s="279"/>
      <c r="D30" s="279"/>
      <c r="E30" s="278"/>
      <c r="F30" s="279"/>
      <c r="G30" s="279"/>
      <c r="H30" s="279"/>
      <c r="I30" s="279"/>
      <c r="J30" s="279"/>
      <c r="K30" s="277"/>
      <c r="L30" s="547"/>
      <c r="M30" s="277"/>
    </row>
    <row r="31" spans="2:15" x14ac:dyDescent="0.25">
      <c r="B31" s="288" t="s">
        <v>381</v>
      </c>
      <c r="C31" s="279"/>
      <c r="D31" s="279"/>
      <c r="E31" s="278"/>
      <c r="F31" s="279"/>
      <c r="G31" s="279"/>
      <c r="H31" s="279"/>
      <c r="I31" s="279"/>
      <c r="J31" s="279"/>
      <c r="K31" s="277"/>
      <c r="L31" s="547"/>
      <c r="M31" s="277"/>
    </row>
    <row r="32" spans="2:15" x14ac:dyDescent="0.25">
      <c r="B32" s="287"/>
      <c r="C32" s="279"/>
      <c r="D32" s="279"/>
      <c r="E32" s="278"/>
      <c r="F32" s="279"/>
      <c r="G32" s="279"/>
      <c r="H32" s="279"/>
      <c r="I32" s="279"/>
      <c r="J32" s="279"/>
      <c r="K32" s="277"/>
      <c r="L32" s="547"/>
      <c r="M32" s="277"/>
    </row>
    <row r="33" spans="2:13" x14ac:dyDescent="0.25">
      <c r="B33" s="287" t="s">
        <v>148</v>
      </c>
      <c r="C33" s="279"/>
      <c r="D33" s="1798"/>
      <c r="E33" s="1798"/>
      <c r="F33" s="1798"/>
      <c r="G33" s="278"/>
      <c r="H33" s="608"/>
      <c r="I33" s="608"/>
      <c r="J33" s="608"/>
      <c r="K33" s="608"/>
      <c r="L33" s="547"/>
      <c r="M33" s="277"/>
    </row>
    <row r="34" spans="2:13" ht="6" customHeight="1" x14ac:dyDescent="0.25">
      <c r="B34" s="287"/>
      <c r="C34" s="279"/>
      <c r="D34" s="279"/>
      <c r="E34" s="278"/>
      <c r="F34" s="279"/>
      <c r="G34" s="279"/>
    </row>
    <row r="35" spans="2:13" ht="38.25" x14ac:dyDescent="0.25">
      <c r="B35" s="289" t="s">
        <v>62</v>
      </c>
      <c r="C35" s="290" t="s">
        <v>149</v>
      </c>
      <c r="D35" s="290" t="s">
        <v>150</v>
      </c>
      <c r="E35" s="290" t="s">
        <v>316</v>
      </c>
      <c r="F35" s="290" t="s">
        <v>152</v>
      </c>
      <c r="H35" s="595"/>
      <c r="I35" s="595"/>
      <c r="J35" s="595"/>
      <c r="K35" s="595"/>
      <c r="L35" s="547"/>
    </row>
    <row r="36" spans="2:13" ht="6" customHeight="1" x14ac:dyDescent="0.25">
      <c r="E36" s="291"/>
      <c r="H36" s="597"/>
      <c r="I36" s="597"/>
      <c r="J36" s="610"/>
      <c r="K36" s="597"/>
    </row>
    <row r="37" spans="2:13" x14ac:dyDescent="0.25">
      <c r="B37" s="292" t="s">
        <v>153</v>
      </c>
      <c r="C37" s="293">
        <f>SUM(C38:C43)</f>
        <v>0</v>
      </c>
      <c r="D37" s="490" t="str">
        <f>IFERROR(IF('COSTO TOTAL'!Z21="","",'COSTO TOTAL'!Z21),"")</f>
        <v/>
      </c>
      <c r="E37" s="295"/>
      <c r="F37" s="492" t="str">
        <f>IF(AND(F38="",F39="",F40="",F41="",F42="",F43=""),"",SUM(F38:F43))</f>
        <v/>
      </c>
      <c r="H37" s="611"/>
      <c r="I37" s="603"/>
      <c r="J37" s="602"/>
      <c r="K37" s="603"/>
    </row>
    <row r="38" spans="2:13" hidden="1" x14ac:dyDescent="0.25">
      <c r="B38" s="296" t="s">
        <v>154</v>
      </c>
      <c r="C38" s="343"/>
      <c r="D38" s="1797" t="str">
        <f>IFERROR('COSTO TOTAL'!Y21,"")</f>
        <v xml:space="preserve"> </v>
      </c>
      <c r="E38" s="297">
        <f>1/1.18</f>
        <v>0.84745762711864414</v>
      </c>
      <c r="F38" s="300" t="str">
        <f t="shared" ref="F38:F43" si="0">IFERROR(IF(OR(C38="",$D$37=""),"",C38*E38*$D$37),"")</f>
        <v/>
      </c>
      <c r="H38" s="617"/>
      <c r="I38" s="615"/>
      <c r="J38" s="594"/>
      <c r="K38" s="604"/>
    </row>
    <row r="39" spans="2:13" hidden="1" x14ac:dyDescent="0.25">
      <c r="B39" s="296" t="s">
        <v>317</v>
      </c>
      <c r="C39" s="344"/>
      <c r="D39" s="1795"/>
      <c r="E39" s="298">
        <v>1.08</v>
      </c>
      <c r="F39" s="300" t="str">
        <f t="shared" si="0"/>
        <v/>
      </c>
      <c r="H39" s="617"/>
      <c r="I39" s="615"/>
      <c r="J39" s="594"/>
      <c r="K39" s="604"/>
    </row>
    <row r="40" spans="2:13" hidden="1" x14ac:dyDescent="0.25">
      <c r="B40" s="296" t="s">
        <v>155</v>
      </c>
      <c r="C40" s="344"/>
      <c r="D40" s="1795"/>
      <c r="E40" s="346"/>
      <c r="F40" s="300" t="str">
        <f t="shared" si="0"/>
        <v/>
      </c>
      <c r="H40" s="617"/>
      <c r="I40" s="615"/>
      <c r="J40" s="594"/>
      <c r="K40" s="604"/>
    </row>
    <row r="41" spans="2:13" hidden="1" x14ac:dyDescent="0.25">
      <c r="B41" s="296" t="s">
        <v>156</v>
      </c>
      <c r="C41" s="344"/>
      <c r="D41" s="1795"/>
      <c r="E41" s="345"/>
      <c r="F41" s="300" t="str">
        <f t="shared" si="0"/>
        <v/>
      </c>
      <c r="H41" s="617"/>
      <c r="I41" s="615"/>
      <c r="J41" s="594"/>
      <c r="K41" s="604"/>
    </row>
    <row r="42" spans="2:13" hidden="1" x14ac:dyDescent="0.25">
      <c r="B42" s="296" t="s">
        <v>318</v>
      </c>
      <c r="C42" s="344"/>
      <c r="D42" s="1795"/>
      <c r="E42" s="345"/>
      <c r="F42" s="300" t="str">
        <f t="shared" si="0"/>
        <v/>
      </c>
      <c r="H42" s="617"/>
      <c r="I42" s="615"/>
      <c r="J42" s="594"/>
      <c r="K42" s="604"/>
    </row>
    <row r="43" spans="2:13" hidden="1" x14ac:dyDescent="0.25">
      <c r="B43" s="296" t="s">
        <v>100</v>
      </c>
      <c r="C43" s="344"/>
      <c r="D43" s="1796"/>
      <c r="E43" s="346"/>
      <c r="F43" s="300" t="str">
        <f t="shared" si="0"/>
        <v/>
      </c>
      <c r="H43" s="617"/>
      <c r="I43" s="615"/>
      <c r="J43" s="594"/>
      <c r="K43" s="604"/>
    </row>
    <row r="44" spans="2:13" hidden="1" x14ac:dyDescent="0.25">
      <c r="B44" s="292" t="s">
        <v>4764</v>
      </c>
      <c r="C44" s="293">
        <f>SUM(C45:C50)</f>
        <v>0</v>
      </c>
      <c r="D44" s="490" t="str">
        <f>IFERROR(IF('COSTO TOTAL'!Z22="","",'COSTO TOTAL'!Z22),"")</f>
        <v/>
      </c>
      <c r="E44" s="295"/>
      <c r="F44" s="492" t="str">
        <f>IF(AND(F45="",F46="",F47="",F48="",F49="",F50=""),"",SUM(F45:F50))</f>
        <v/>
      </c>
      <c r="H44" s="611"/>
      <c r="I44" s="603"/>
      <c r="J44" s="602"/>
      <c r="K44" s="603"/>
    </row>
    <row r="45" spans="2:13" hidden="1" x14ac:dyDescent="0.25">
      <c r="B45" s="296" t="s">
        <v>154</v>
      </c>
      <c r="C45" s="343"/>
      <c r="D45" s="1797" t="str">
        <f>IFERROR('COSTO TOTAL'!Y22,"")</f>
        <v xml:space="preserve"> </v>
      </c>
      <c r="E45" s="297">
        <f>1/1.18</f>
        <v>0.84745762711864414</v>
      </c>
      <c r="F45" s="300" t="str">
        <f t="shared" ref="F45:F50" si="1">IFERROR(IF(OR(C45="",$D$44=""),"",C45*E45*$D$44),"")</f>
        <v/>
      </c>
      <c r="H45" s="617"/>
      <c r="I45" s="615"/>
      <c r="J45" s="594"/>
      <c r="K45" s="604"/>
    </row>
    <row r="46" spans="2:13" hidden="1" x14ac:dyDescent="0.25">
      <c r="B46" s="296" t="s">
        <v>317</v>
      </c>
      <c r="C46" s="344"/>
      <c r="D46" s="1795"/>
      <c r="E46" s="298">
        <v>1.08</v>
      </c>
      <c r="F46" s="300" t="str">
        <f t="shared" si="1"/>
        <v/>
      </c>
      <c r="H46" s="617"/>
      <c r="I46" s="615"/>
      <c r="J46" s="594"/>
      <c r="K46" s="604"/>
    </row>
    <row r="47" spans="2:13" hidden="1" x14ac:dyDescent="0.25">
      <c r="B47" s="296" t="s">
        <v>155</v>
      </c>
      <c r="C47" s="344"/>
      <c r="D47" s="1795"/>
      <c r="E47" s="346"/>
      <c r="F47" s="300" t="str">
        <f t="shared" si="1"/>
        <v/>
      </c>
      <c r="H47" s="617"/>
      <c r="I47" s="615"/>
      <c r="J47" s="594"/>
      <c r="K47" s="604"/>
    </row>
    <row r="48" spans="2:13" hidden="1" x14ac:dyDescent="0.25">
      <c r="B48" s="296" t="s">
        <v>156</v>
      </c>
      <c r="C48" s="344"/>
      <c r="D48" s="1795"/>
      <c r="E48" s="345"/>
      <c r="F48" s="300" t="str">
        <f t="shared" si="1"/>
        <v/>
      </c>
      <c r="H48" s="617"/>
      <c r="I48" s="615"/>
      <c r="J48" s="594"/>
      <c r="K48" s="604"/>
    </row>
    <row r="49" spans="2:11" hidden="1" x14ac:dyDescent="0.25">
      <c r="B49" s="296" t="s">
        <v>318</v>
      </c>
      <c r="C49" s="344"/>
      <c r="D49" s="1795"/>
      <c r="E49" s="345"/>
      <c r="F49" s="300" t="str">
        <f t="shared" si="1"/>
        <v/>
      </c>
      <c r="H49" s="617"/>
      <c r="I49" s="615"/>
      <c r="J49" s="594"/>
      <c r="K49" s="604"/>
    </row>
    <row r="50" spans="2:11" hidden="1" x14ac:dyDescent="0.25">
      <c r="B50" s="296" t="s">
        <v>100</v>
      </c>
      <c r="C50" s="344"/>
      <c r="D50" s="1796"/>
      <c r="E50" s="346"/>
      <c r="F50" s="300" t="str">
        <f t="shared" si="1"/>
        <v/>
      </c>
      <c r="H50" s="617"/>
      <c r="I50" s="615"/>
      <c r="J50" s="594"/>
      <c r="K50" s="604"/>
    </row>
    <row r="51" spans="2:11" hidden="1" x14ac:dyDescent="0.25">
      <c r="B51" s="292" t="s">
        <v>4765</v>
      </c>
      <c r="C51" s="293">
        <f>SUM(C52:C57)</f>
        <v>0</v>
      </c>
      <c r="D51" s="490" t="str">
        <f>IFERROR(IF('COSTO TOTAL'!Z23="","",'COSTO TOTAL'!Z23),"")</f>
        <v/>
      </c>
      <c r="E51" s="295"/>
      <c r="F51" s="492" t="str">
        <f>IF(AND(F52="",F53="",F54="",F55="",F56="",F57=""),"",SUM(F52:F57))</f>
        <v/>
      </c>
      <c r="H51" s="611"/>
      <c r="I51" s="603"/>
      <c r="J51" s="602"/>
      <c r="K51" s="603"/>
    </row>
    <row r="52" spans="2:11" hidden="1" x14ac:dyDescent="0.25">
      <c r="B52" s="296" t="s">
        <v>154</v>
      </c>
      <c r="C52" s="343"/>
      <c r="D52" s="1797" t="str">
        <f>IFERROR('COSTO TOTAL'!Y23,"")</f>
        <v xml:space="preserve"> </v>
      </c>
      <c r="E52" s="297">
        <f>1/1.18</f>
        <v>0.84745762711864414</v>
      </c>
      <c r="F52" s="300" t="str">
        <f t="shared" ref="F52:F57" si="2">IFERROR(IF(OR(C52="",$D$51=""),"",C52*E52*$D$51),"")</f>
        <v/>
      </c>
      <c r="H52" s="617"/>
      <c r="I52" s="615"/>
      <c r="J52" s="594"/>
      <c r="K52" s="604"/>
    </row>
    <row r="53" spans="2:11" hidden="1" x14ac:dyDescent="0.25">
      <c r="B53" s="296" t="s">
        <v>317</v>
      </c>
      <c r="C53" s="344"/>
      <c r="D53" s="1795"/>
      <c r="E53" s="298">
        <v>1.08</v>
      </c>
      <c r="F53" s="300" t="str">
        <f t="shared" si="2"/>
        <v/>
      </c>
      <c r="H53" s="617"/>
      <c r="I53" s="615"/>
      <c r="J53" s="594"/>
      <c r="K53" s="604"/>
    </row>
    <row r="54" spans="2:11" hidden="1" x14ac:dyDescent="0.25">
      <c r="B54" s="296" t="s">
        <v>155</v>
      </c>
      <c r="C54" s="344"/>
      <c r="D54" s="1795"/>
      <c r="E54" s="346"/>
      <c r="F54" s="300" t="str">
        <f t="shared" si="2"/>
        <v/>
      </c>
      <c r="H54" s="617"/>
      <c r="I54" s="615"/>
      <c r="J54" s="594"/>
      <c r="K54" s="604"/>
    </row>
    <row r="55" spans="2:11" hidden="1" x14ac:dyDescent="0.25">
      <c r="B55" s="296" t="s">
        <v>156</v>
      </c>
      <c r="C55" s="344"/>
      <c r="D55" s="1795"/>
      <c r="E55" s="345"/>
      <c r="F55" s="300" t="str">
        <f t="shared" si="2"/>
        <v/>
      </c>
      <c r="H55" s="617"/>
      <c r="I55" s="615"/>
      <c r="J55" s="594"/>
      <c r="K55" s="604"/>
    </row>
    <row r="56" spans="2:11" hidden="1" x14ac:dyDescent="0.25">
      <c r="B56" s="296" t="s">
        <v>318</v>
      </c>
      <c r="C56" s="344"/>
      <c r="D56" s="1795"/>
      <c r="E56" s="345"/>
      <c r="F56" s="300" t="str">
        <f t="shared" si="2"/>
        <v/>
      </c>
      <c r="H56" s="617"/>
      <c r="I56" s="615"/>
      <c r="J56" s="594"/>
      <c r="K56" s="604"/>
    </row>
    <row r="57" spans="2:11" hidden="1" x14ac:dyDescent="0.25">
      <c r="B57" s="296" t="s">
        <v>100</v>
      </c>
      <c r="C57" s="344"/>
      <c r="D57" s="1796"/>
      <c r="E57" s="346"/>
      <c r="F57" s="300" t="str">
        <f t="shared" si="2"/>
        <v/>
      </c>
      <c r="H57" s="617"/>
      <c r="I57" s="615"/>
      <c r="J57" s="594"/>
      <c r="K57" s="604"/>
    </row>
    <row r="58" spans="2:11" hidden="1" x14ac:dyDescent="0.25">
      <c r="B58" s="292" t="s">
        <v>4766</v>
      </c>
      <c r="C58" s="293">
        <f>SUM(C59:C64)</f>
        <v>0</v>
      </c>
      <c r="D58" s="490" t="str">
        <f>IFERROR(IF('COSTO TOTAL'!Z24="","",'COSTO TOTAL'!Z24),"")</f>
        <v/>
      </c>
      <c r="E58" s="295"/>
      <c r="F58" s="492" t="str">
        <f>IF(AND(F59="",F60="",F61="",F62="",F63="",F64=""),"",SUM(F59:F64))</f>
        <v/>
      </c>
      <c r="H58" s="611"/>
      <c r="I58" s="603"/>
      <c r="J58" s="602"/>
      <c r="K58" s="603"/>
    </row>
    <row r="59" spans="2:11" hidden="1" x14ac:dyDescent="0.25">
      <c r="B59" s="296" t="s">
        <v>154</v>
      </c>
      <c r="C59" s="343"/>
      <c r="D59" s="1797" t="str">
        <f>IFERROR('COSTO TOTAL'!Y24,"")</f>
        <v xml:space="preserve"> </v>
      </c>
      <c r="E59" s="297">
        <f>1/1.18</f>
        <v>0.84745762711864414</v>
      </c>
      <c r="F59" s="300" t="str">
        <f t="shared" ref="F59:F64" si="3">IFERROR(IF(OR(C59="",$D$58=""),"",C59*E59*$D$58),"")</f>
        <v/>
      </c>
      <c r="H59" s="617"/>
      <c r="I59" s="615"/>
      <c r="J59" s="594"/>
      <c r="K59" s="604"/>
    </row>
    <row r="60" spans="2:11" hidden="1" x14ac:dyDescent="0.25">
      <c r="B60" s="296" t="s">
        <v>317</v>
      </c>
      <c r="C60" s="344"/>
      <c r="D60" s="1795"/>
      <c r="E60" s="298">
        <v>1.08</v>
      </c>
      <c r="F60" s="300" t="str">
        <f t="shared" si="3"/>
        <v/>
      </c>
      <c r="H60" s="617"/>
      <c r="I60" s="615"/>
      <c r="J60" s="594"/>
      <c r="K60" s="604"/>
    </row>
    <row r="61" spans="2:11" hidden="1" x14ac:dyDescent="0.25">
      <c r="B61" s="296" t="s">
        <v>155</v>
      </c>
      <c r="C61" s="344"/>
      <c r="D61" s="1795"/>
      <c r="E61" s="346"/>
      <c r="F61" s="300" t="str">
        <f t="shared" si="3"/>
        <v/>
      </c>
      <c r="H61" s="617"/>
      <c r="I61" s="615"/>
      <c r="J61" s="594"/>
      <c r="K61" s="604"/>
    </row>
    <row r="62" spans="2:11" hidden="1" x14ac:dyDescent="0.25">
      <c r="B62" s="296" t="s">
        <v>156</v>
      </c>
      <c r="C62" s="344"/>
      <c r="D62" s="1795"/>
      <c r="E62" s="345"/>
      <c r="F62" s="300" t="str">
        <f t="shared" si="3"/>
        <v/>
      </c>
      <c r="H62" s="617"/>
      <c r="I62" s="615"/>
      <c r="J62" s="594"/>
      <c r="K62" s="604"/>
    </row>
    <row r="63" spans="2:11" hidden="1" x14ac:dyDescent="0.25">
      <c r="B63" s="296" t="s">
        <v>318</v>
      </c>
      <c r="C63" s="344"/>
      <c r="D63" s="1795"/>
      <c r="E63" s="345"/>
      <c r="F63" s="300" t="str">
        <f t="shared" si="3"/>
        <v/>
      </c>
      <c r="H63" s="617"/>
      <c r="I63" s="615"/>
      <c r="J63" s="594"/>
      <c r="K63" s="604"/>
    </row>
    <row r="64" spans="2:11" hidden="1" x14ac:dyDescent="0.25">
      <c r="B64" s="296" t="s">
        <v>100</v>
      </c>
      <c r="C64" s="344"/>
      <c r="D64" s="1796"/>
      <c r="E64" s="346"/>
      <c r="F64" s="300" t="str">
        <f t="shared" si="3"/>
        <v/>
      </c>
      <c r="H64" s="617"/>
      <c r="I64" s="615"/>
      <c r="J64" s="594"/>
      <c r="K64" s="604"/>
    </row>
    <row r="65" spans="2:11" hidden="1" x14ac:dyDescent="0.25">
      <c r="B65" s="292" t="s">
        <v>4767</v>
      </c>
      <c r="C65" s="293">
        <f>SUM(C66:C71)</f>
        <v>0</v>
      </c>
      <c r="D65" s="490" t="str">
        <f>IFERROR(IF('COSTO TOTAL'!Z25="","",'COSTO TOTAL'!Z25),"")</f>
        <v/>
      </c>
      <c r="E65" s="295"/>
      <c r="F65" s="492" t="str">
        <f>IF(AND(F66="",F67="",F68="",F69="",F70="",F71=""),"",SUM(F66:F71))</f>
        <v/>
      </c>
      <c r="H65" s="611"/>
      <c r="I65" s="603"/>
      <c r="J65" s="602"/>
      <c r="K65" s="603"/>
    </row>
    <row r="66" spans="2:11" hidden="1" x14ac:dyDescent="0.25">
      <c r="B66" s="296" t="s">
        <v>154</v>
      </c>
      <c r="C66" s="343"/>
      <c r="D66" s="1797" t="str">
        <f>IFERROR('COSTO TOTAL'!Y25,"")</f>
        <v xml:space="preserve"> </v>
      </c>
      <c r="E66" s="297">
        <f>1/1.18</f>
        <v>0.84745762711864414</v>
      </c>
      <c r="F66" s="300" t="str">
        <f t="shared" ref="F66:F71" si="4">IFERROR(IF(OR(C66="",$D$65=""),"",C66*E66*$D$65),"")</f>
        <v/>
      </c>
      <c r="H66" s="617"/>
      <c r="I66" s="615"/>
      <c r="J66" s="594"/>
      <c r="K66" s="604"/>
    </row>
    <row r="67" spans="2:11" hidden="1" x14ac:dyDescent="0.25">
      <c r="B67" s="296" t="s">
        <v>317</v>
      </c>
      <c r="C67" s="344"/>
      <c r="D67" s="1795"/>
      <c r="E67" s="298">
        <v>1.08</v>
      </c>
      <c r="F67" s="300" t="str">
        <f t="shared" si="4"/>
        <v/>
      </c>
      <c r="H67" s="617"/>
      <c r="I67" s="615"/>
      <c r="J67" s="594"/>
      <c r="K67" s="604"/>
    </row>
    <row r="68" spans="2:11" hidden="1" x14ac:dyDescent="0.25">
      <c r="B68" s="296" t="s">
        <v>155</v>
      </c>
      <c r="C68" s="344"/>
      <c r="D68" s="1795"/>
      <c r="E68" s="346"/>
      <c r="F68" s="300" t="str">
        <f t="shared" si="4"/>
        <v/>
      </c>
      <c r="H68" s="617"/>
      <c r="I68" s="615"/>
      <c r="J68" s="594"/>
      <c r="K68" s="604"/>
    </row>
    <row r="69" spans="2:11" hidden="1" x14ac:dyDescent="0.25">
      <c r="B69" s="296" t="s">
        <v>156</v>
      </c>
      <c r="C69" s="344"/>
      <c r="D69" s="1795"/>
      <c r="E69" s="345"/>
      <c r="F69" s="300" t="str">
        <f t="shared" si="4"/>
        <v/>
      </c>
      <c r="H69" s="617"/>
      <c r="I69" s="615"/>
      <c r="J69" s="594"/>
      <c r="K69" s="604"/>
    </row>
    <row r="70" spans="2:11" hidden="1" x14ac:dyDescent="0.25">
      <c r="B70" s="296" t="s">
        <v>318</v>
      </c>
      <c r="C70" s="344"/>
      <c r="D70" s="1795"/>
      <c r="E70" s="345"/>
      <c r="F70" s="300" t="str">
        <f t="shared" si="4"/>
        <v/>
      </c>
      <c r="H70" s="617"/>
      <c r="I70" s="615"/>
      <c r="J70" s="594"/>
      <c r="K70" s="604"/>
    </row>
    <row r="71" spans="2:11" hidden="1" x14ac:dyDescent="0.25">
      <c r="B71" s="296" t="s">
        <v>100</v>
      </c>
      <c r="C71" s="344"/>
      <c r="D71" s="1796"/>
      <c r="E71" s="346"/>
      <c r="F71" s="300" t="str">
        <f t="shared" si="4"/>
        <v/>
      </c>
      <c r="H71" s="617"/>
      <c r="I71" s="615"/>
      <c r="J71" s="594"/>
      <c r="K71" s="604"/>
    </row>
    <row r="72" spans="2:11" hidden="1" x14ac:dyDescent="0.25">
      <c r="B72" s="292" t="s">
        <v>4768</v>
      </c>
      <c r="C72" s="293">
        <f>SUM(C73:C78)</f>
        <v>0</v>
      </c>
      <c r="D72" s="490" t="str">
        <f>IFERROR(IF('COSTO TOTAL'!Z26="","",'COSTO TOTAL'!Z26),"")</f>
        <v/>
      </c>
      <c r="E72" s="295"/>
      <c r="F72" s="492" t="str">
        <f>IF(AND(F73="",F74="",F75="",F76="",F77="",F78=""),"",SUM(F73:F78))</f>
        <v/>
      </c>
      <c r="H72" s="611"/>
      <c r="I72" s="603"/>
      <c r="J72" s="602"/>
      <c r="K72" s="603"/>
    </row>
    <row r="73" spans="2:11" hidden="1" x14ac:dyDescent="0.25">
      <c r="B73" s="296" t="s">
        <v>154</v>
      </c>
      <c r="C73" s="343"/>
      <c r="D73" s="1797" t="str">
        <f>IFERROR('COSTO TOTAL'!Y26,"")</f>
        <v xml:space="preserve"> </v>
      </c>
      <c r="E73" s="297">
        <f>1/1.18</f>
        <v>0.84745762711864414</v>
      </c>
      <c r="F73" s="300" t="str">
        <f t="shared" ref="F73:F78" si="5">IFERROR(IF(OR(C73="",$D$72=""),"",C73*E73*$D$72),"")</f>
        <v/>
      </c>
      <c r="H73" s="617"/>
      <c r="I73" s="615"/>
      <c r="J73" s="594"/>
      <c r="K73" s="604"/>
    </row>
    <row r="74" spans="2:11" hidden="1" x14ac:dyDescent="0.25">
      <c r="B74" s="296" t="s">
        <v>317</v>
      </c>
      <c r="C74" s="344"/>
      <c r="D74" s="1795"/>
      <c r="E74" s="298">
        <v>1.08</v>
      </c>
      <c r="F74" s="300" t="str">
        <f t="shared" si="5"/>
        <v/>
      </c>
      <c r="H74" s="617"/>
      <c r="I74" s="615"/>
      <c r="J74" s="594"/>
      <c r="K74" s="604"/>
    </row>
    <row r="75" spans="2:11" hidden="1" x14ac:dyDescent="0.25">
      <c r="B75" s="296" t="s">
        <v>155</v>
      </c>
      <c r="C75" s="344"/>
      <c r="D75" s="1795"/>
      <c r="E75" s="346">
        <v>0.8</v>
      </c>
      <c r="F75" s="300" t="str">
        <f t="shared" si="5"/>
        <v/>
      </c>
      <c r="H75" s="617"/>
      <c r="I75" s="615"/>
      <c r="J75" s="594"/>
      <c r="K75" s="604"/>
    </row>
    <row r="76" spans="2:11" hidden="1" x14ac:dyDescent="0.25">
      <c r="B76" s="296" t="s">
        <v>156</v>
      </c>
      <c r="C76" s="344"/>
      <c r="D76" s="1795"/>
      <c r="E76" s="345">
        <v>0.65</v>
      </c>
      <c r="F76" s="300" t="str">
        <f t="shared" si="5"/>
        <v/>
      </c>
      <c r="H76" s="617"/>
      <c r="I76" s="615"/>
      <c r="J76" s="594"/>
      <c r="K76" s="604"/>
    </row>
    <row r="77" spans="2:11" hidden="1" x14ac:dyDescent="0.25">
      <c r="B77" s="296" t="s">
        <v>318</v>
      </c>
      <c r="C77" s="344"/>
      <c r="D77" s="1795"/>
      <c r="E77" s="345"/>
      <c r="F77" s="300" t="str">
        <f t="shared" si="5"/>
        <v/>
      </c>
      <c r="H77" s="617"/>
      <c r="I77" s="615"/>
      <c r="J77" s="594"/>
      <c r="K77" s="604"/>
    </row>
    <row r="78" spans="2:11" hidden="1" x14ac:dyDescent="0.25">
      <c r="B78" s="296" t="s">
        <v>100</v>
      </c>
      <c r="C78" s="344"/>
      <c r="D78" s="1796"/>
      <c r="E78" s="346"/>
      <c r="F78" s="300" t="str">
        <f t="shared" si="5"/>
        <v/>
      </c>
      <c r="H78" s="617"/>
      <c r="I78" s="615"/>
      <c r="J78" s="594"/>
      <c r="K78" s="604"/>
    </row>
    <row r="79" spans="2:11" hidden="1" x14ac:dyDescent="0.25">
      <c r="B79" s="292" t="s">
        <v>4828</v>
      </c>
      <c r="C79" s="293">
        <f>SUM(C80:C85)</f>
        <v>0</v>
      </c>
      <c r="D79" s="490" t="str">
        <f>IFERROR(IF('COSTO TOTAL'!Z27="","",'COSTO TOTAL'!Z27),"")</f>
        <v/>
      </c>
      <c r="E79" s="295"/>
      <c r="F79" s="492" t="str">
        <f>IF(AND(F80="",F81="",F82="",F83="",F84="",F85=""),"",SUM(F80:F85))</f>
        <v/>
      </c>
      <c r="H79" s="611"/>
      <c r="I79" s="603"/>
      <c r="J79" s="602"/>
      <c r="K79" s="603"/>
    </row>
    <row r="80" spans="2:11" hidden="1" x14ac:dyDescent="0.25">
      <c r="B80" s="296" t="s">
        <v>154</v>
      </c>
      <c r="C80" s="343"/>
      <c r="D80" s="1797" t="str">
        <f>IFERROR('COSTO TOTAL'!Y27,"")</f>
        <v xml:space="preserve"> </v>
      </c>
      <c r="E80" s="297">
        <f>1/1.18</f>
        <v>0.84745762711864414</v>
      </c>
      <c r="F80" s="300" t="str">
        <f t="shared" ref="F80:F85" si="6">IFERROR(IF(OR(C80="",$D$79=""),"",C80*E80*$D$79),"")</f>
        <v/>
      </c>
      <c r="H80" s="617"/>
      <c r="I80" s="615"/>
      <c r="J80" s="594"/>
      <c r="K80" s="604"/>
    </row>
    <row r="81" spans="2:11" hidden="1" x14ac:dyDescent="0.25">
      <c r="B81" s="296" t="s">
        <v>317</v>
      </c>
      <c r="C81" s="344"/>
      <c r="D81" s="1795"/>
      <c r="E81" s="298">
        <v>1.08</v>
      </c>
      <c r="F81" s="300" t="str">
        <f t="shared" si="6"/>
        <v/>
      </c>
      <c r="H81" s="617"/>
      <c r="I81" s="615"/>
      <c r="J81" s="594"/>
      <c r="K81" s="604"/>
    </row>
    <row r="82" spans="2:11" hidden="1" x14ac:dyDescent="0.25">
      <c r="B82" s="296" t="s">
        <v>155</v>
      </c>
      <c r="C82" s="344"/>
      <c r="D82" s="1795"/>
      <c r="E82" s="346"/>
      <c r="F82" s="300" t="str">
        <f t="shared" si="6"/>
        <v/>
      </c>
      <c r="H82" s="617"/>
      <c r="I82" s="615"/>
      <c r="J82" s="594"/>
      <c r="K82" s="604"/>
    </row>
    <row r="83" spans="2:11" hidden="1" x14ac:dyDescent="0.25">
      <c r="B83" s="296" t="s">
        <v>156</v>
      </c>
      <c r="C83" s="344"/>
      <c r="D83" s="1795"/>
      <c r="E83" s="345"/>
      <c r="F83" s="300" t="str">
        <f t="shared" si="6"/>
        <v/>
      </c>
      <c r="H83" s="617"/>
      <c r="I83" s="615"/>
      <c r="J83" s="594"/>
      <c r="K83" s="604"/>
    </row>
    <row r="84" spans="2:11" hidden="1" x14ac:dyDescent="0.25">
      <c r="B84" s="296" t="s">
        <v>318</v>
      </c>
      <c r="C84" s="344"/>
      <c r="D84" s="1795"/>
      <c r="E84" s="345"/>
      <c r="F84" s="300" t="str">
        <f t="shared" si="6"/>
        <v/>
      </c>
      <c r="H84" s="617"/>
      <c r="I84" s="615"/>
      <c r="J84" s="594"/>
      <c r="K84" s="604"/>
    </row>
    <row r="85" spans="2:11" hidden="1" x14ac:dyDescent="0.25">
      <c r="B85" s="296" t="s">
        <v>100</v>
      </c>
      <c r="C85" s="344"/>
      <c r="D85" s="1796"/>
      <c r="E85" s="346"/>
      <c r="F85" s="300" t="str">
        <f t="shared" si="6"/>
        <v/>
      </c>
      <c r="H85" s="617"/>
      <c r="I85" s="615"/>
      <c r="J85" s="594"/>
      <c r="K85" s="604"/>
    </row>
    <row r="86" spans="2:11" hidden="1" x14ac:dyDescent="0.25">
      <c r="B86" s="292" t="s">
        <v>4829</v>
      </c>
      <c r="C86" s="293">
        <f>SUM(C87:C92)</f>
        <v>0</v>
      </c>
      <c r="D86" s="490" t="str">
        <f>IFERROR(IF('COSTO TOTAL'!Z28="","",'COSTO TOTAL'!Z28),"")</f>
        <v/>
      </c>
      <c r="E86" s="295"/>
      <c r="F86" s="492" t="str">
        <f>IF(AND(F87="",F88="",F89="",F90="",F91="",F92=""),"",SUM(F87:F92))</f>
        <v/>
      </c>
      <c r="H86" s="611"/>
      <c r="I86" s="603"/>
      <c r="J86" s="602"/>
      <c r="K86" s="603"/>
    </row>
    <row r="87" spans="2:11" hidden="1" x14ac:dyDescent="0.25">
      <c r="B87" s="296" t="s">
        <v>154</v>
      </c>
      <c r="C87" s="343"/>
      <c r="D87" s="1797" t="str">
        <f>IFERROR('COSTO TOTAL'!Y28,"")</f>
        <v xml:space="preserve"> </v>
      </c>
      <c r="E87" s="297">
        <f>1/1.18</f>
        <v>0.84745762711864414</v>
      </c>
      <c r="F87" s="300" t="str">
        <f t="shared" ref="F87:F92" si="7">IFERROR(IF(OR(C87="",$D$86=""),"",C87*E87*$D$86),"")</f>
        <v/>
      </c>
      <c r="H87" s="617"/>
      <c r="I87" s="615"/>
      <c r="J87" s="594"/>
      <c r="K87" s="604"/>
    </row>
    <row r="88" spans="2:11" hidden="1" x14ac:dyDescent="0.25">
      <c r="B88" s="296" t="s">
        <v>317</v>
      </c>
      <c r="C88" s="344"/>
      <c r="D88" s="1795"/>
      <c r="E88" s="298">
        <v>1.08</v>
      </c>
      <c r="F88" s="300" t="str">
        <f t="shared" si="7"/>
        <v/>
      </c>
      <c r="H88" s="617"/>
      <c r="I88" s="615"/>
      <c r="J88" s="594"/>
      <c r="K88" s="604"/>
    </row>
    <row r="89" spans="2:11" hidden="1" x14ac:dyDescent="0.25">
      <c r="B89" s="296" t="s">
        <v>155</v>
      </c>
      <c r="C89" s="344"/>
      <c r="D89" s="1795"/>
      <c r="E89" s="346"/>
      <c r="F89" s="300" t="str">
        <f t="shared" si="7"/>
        <v/>
      </c>
      <c r="H89" s="617"/>
      <c r="I89" s="615"/>
      <c r="J89" s="594"/>
      <c r="K89" s="604"/>
    </row>
    <row r="90" spans="2:11" hidden="1" x14ac:dyDescent="0.25">
      <c r="B90" s="296" t="s">
        <v>156</v>
      </c>
      <c r="C90" s="344"/>
      <c r="D90" s="1795"/>
      <c r="E90" s="345"/>
      <c r="F90" s="300" t="str">
        <f t="shared" si="7"/>
        <v/>
      </c>
      <c r="H90" s="617"/>
      <c r="I90" s="615"/>
      <c r="J90" s="594"/>
      <c r="K90" s="604"/>
    </row>
    <row r="91" spans="2:11" hidden="1" x14ac:dyDescent="0.25">
      <c r="B91" s="296" t="s">
        <v>318</v>
      </c>
      <c r="C91" s="344"/>
      <c r="D91" s="1795"/>
      <c r="E91" s="345"/>
      <c r="F91" s="300" t="str">
        <f t="shared" si="7"/>
        <v/>
      </c>
      <c r="H91" s="617"/>
      <c r="I91" s="615"/>
      <c r="J91" s="594"/>
      <c r="K91" s="604"/>
    </row>
    <row r="92" spans="2:11" hidden="1" x14ac:dyDescent="0.25">
      <c r="B92" s="296" t="s">
        <v>100</v>
      </c>
      <c r="C92" s="344"/>
      <c r="D92" s="1796"/>
      <c r="E92" s="346"/>
      <c r="F92" s="300" t="str">
        <f t="shared" si="7"/>
        <v/>
      </c>
      <c r="H92" s="617"/>
      <c r="I92" s="615"/>
      <c r="J92" s="594"/>
      <c r="K92" s="604"/>
    </row>
    <row r="93" spans="2:11" hidden="1" x14ac:dyDescent="0.25">
      <c r="B93" s="292" t="s">
        <v>4830</v>
      </c>
      <c r="C93" s="293">
        <f>SUM(C94:C99)</f>
        <v>0</v>
      </c>
      <c r="D93" s="490" t="str">
        <f>IFERROR(IF('COSTO TOTAL'!Z29="","",'COSTO TOTAL'!Z29),"")</f>
        <v/>
      </c>
      <c r="E93" s="295"/>
      <c r="F93" s="492" t="str">
        <f>IF(AND(F94="",F95="",F96="",F97="",F98="",F99=""),"",SUM(F94:F99))</f>
        <v/>
      </c>
      <c r="H93" s="611"/>
      <c r="I93" s="603"/>
      <c r="J93" s="602"/>
      <c r="K93" s="604"/>
    </row>
    <row r="94" spans="2:11" hidden="1" x14ac:dyDescent="0.25">
      <c r="B94" s="296" t="s">
        <v>154</v>
      </c>
      <c r="C94" s="343"/>
      <c r="D94" s="1797" t="str">
        <f>IFERROR('COSTO TOTAL'!Y29,"")</f>
        <v xml:space="preserve"> </v>
      </c>
      <c r="E94" s="297">
        <f>1/1.18</f>
        <v>0.84745762711864414</v>
      </c>
      <c r="F94" s="300" t="str">
        <f t="shared" ref="F94:F99" si="8">IFERROR(IF(OR(C94="",$D$93=""),"",C94*E94*$D$93),"")</f>
        <v/>
      </c>
      <c r="H94" s="617"/>
      <c r="I94" s="615"/>
      <c r="J94" s="594"/>
      <c r="K94" s="604"/>
    </row>
    <row r="95" spans="2:11" hidden="1" x14ac:dyDescent="0.25">
      <c r="B95" s="296" t="s">
        <v>317</v>
      </c>
      <c r="C95" s="344"/>
      <c r="D95" s="1795"/>
      <c r="E95" s="298">
        <v>1.08</v>
      </c>
      <c r="F95" s="300" t="str">
        <f t="shared" si="8"/>
        <v/>
      </c>
      <c r="H95" s="617"/>
      <c r="I95" s="615"/>
      <c r="J95" s="594"/>
      <c r="K95" s="604"/>
    </row>
    <row r="96" spans="2:11" hidden="1" x14ac:dyDescent="0.25">
      <c r="B96" s="296" t="s">
        <v>155</v>
      </c>
      <c r="C96" s="344"/>
      <c r="D96" s="1795"/>
      <c r="E96" s="346"/>
      <c r="F96" s="300" t="str">
        <f t="shared" si="8"/>
        <v/>
      </c>
      <c r="H96" s="617"/>
      <c r="I96" s="615"/>
      <c r="J96" s="594"/>
      <c r="K96" s="604"/>
    </row>
    <row r="97" spans="2:11" hidden="1" x14ac:dyDescent="0.25">
      <c r="B97" s="296" t="s">
        <v>156</v>
      </c>
      <c r="C97" s="344"/>
      <c r="D97" s="1795"/>
      <c r="E97" s="345"/>
      <c r="F97" s="300" t="str">
        <f t="shared" si="8"/>
        <v/>
      </c>
      <c r="H97" s="617"/>
      <c r="I97" s="615"/>
      <c r="J97" s="594"/>
      <c r="K97" s="604"/>
    </row>
    <row r="98" spans="2:11" hidden="1" x14ac:dyDescent="0.25">
      <c r="B98" s="296" t="s">
        <v>318</v>
      </c>
      <c r="C98" s="344"/>
      <c r="D98" s="1795"/>
      <c r="E98" s="345"/>
      <c r="F98" s="300" t="str">
        <f t="shared" si="8"/>
        <v/>
      </c>
      <c r="H98" s="617"/>
      <c r="I98" s="615"/>
      <c r="J98" s="594"/>
      <c r="K98" s="604"/>
    </row>
    <row r="99" spans="2:11" hidden="1" x14ac:dyDescent="0.25">
      <c r="B99" s="296" t="s">
        <v>100</v>
      </c>
      <c r="C99" s="344"/>
      <c r="D99" s="1796"/>
      <c r="E99" s="346"/>
      <c r="F99" s="300" t="str">
        <f t="shared" si="8"/>
        <v/>
      </c>
      <c r="H99" s="617"/>
      <c r="I99" s="615"/>
      <c r="J99" s="594"/>
      <c r="K99" s="604"/>
    </row>
    <row r="100" spans="2:11" hidden="1" x14ac:dyDescent="0.25">
      <c r="B100" s="292" t="s">
        <v>4831</v>
      </c>
      <c r="C100" s="293">
        <f>SUM(C101:C106)</f>
        <v>0</v>
      </c>
      <c r="D100" s="294" t="str">
        <f>IFERROR(IF('COSTO TOTAL'!Z30="","",'COSTO TOTAL'!Z30),"")</f>
        <v/>
      </c>
      <c r="E100" s="295"/>
      <c r="F100" s="491" t="str">
        <f>IF(AND(F101="",F102="",F103="",F104="",F105="",F106=""),"",SUM(F101:F106))</f>
        <v/>
      </c>
      <c r="H100" s="611"/>
      <c r="I100" s="603"/>
      <c r="J100" s="602"/>
      <c r="K100" s="603"/>
    </row>
    <row r="101" spans="2:11" hidden="1" x14ac:dyDescent="0.25">
      <c r="B101" s="296" t="s">
        <v>154</v>
      </c>
      <c r="C101" s="343"/>
      <c r="D101" s="1797" t="str">
        <f>IFERROR('COSTO TOTAL'!Y30,"")</f>
        <v xml:space="preserve"> </v>
      </c>
      <c r="E101" s="297">
        <f>1/1.18</f>
        <v>0.84745762711864414</v>
      </c>
      <c r="F101" s="300" t="str">
        <f t="shared" ref="F101:F106" si="9">IFERROR(IF(OR(C101="",$D$100=""),"",C101*E101*$D$100),"")</f>
        <v/>
      </c>
      <c r="H101" s="617"/>
      <c r="I101" s="615"/>
      <c r="J101" s="594"/>
      <c r="K101" s="604"/>
    </row>
    <row r="102" spans="2:11" hidden="1" x14ac:dyDescent="0.25">
      <c r="B102" s="296" t="s">
        <v>317</v>
      </c>
      <c r="C102" s="344"/>
      <c r="D102" s="1795"/>
      <c r="E102" s="298">
        <v>1.08</v>
      </c>
      <c r="F102" s="300" t="str">
        <f t="shared" si="9"/>
        <v/>
      </c>
      <c r="H102" s="617"/>
      <c r="I102" s="615"/>
      <c r="J102" s="594"/>
      <c r="K102" s="604"/>
    </row>
    <row r="103" spans="2:11" hidden="1" x14ac:dyDescent="0.25">
      <c r="B103" s="296" t="s">
        <v>155</v>
      </c>
      <c r="C103" s="344"/>
      <c r="D103" s="1795"/>
      <c r="E103" s="346"/>
      <c r="F103" s="300" t="str">
        <f t="shared" si="9"/>
        <v/>
      </c>
      <c r="H103" s="617"/>
      <c r="I103" s="615"/>
      <c r="J103" s="594"/>
      <c r="K103" s="604"/>
    </row>
    <row r="104" spans="2:11" hidden="1" x14ac:dyDescent="0.25">
      <c r="B104" s="296" t="s">
        <v>156</v>
      </c>
      <c r="C104" s="344"/>
      <c r="D104" s="1795"/>
      <c r="E104" s="345"/>
      <c r="F104" s="300" t="str">
        <f t="shared" si="9"/>
        <v/>
      </c>
      <c r="H104" s="617"/>
      <c r="I104" s="615"/>
      <c r="J104" s="594"/>
      <c r="K104" s="604"/>
    </row>
    <row r="105" spans="2:11" hidden="1" x14ac:dyDescent="0.25">
      <c r="B105" s="296" t="s">
        <v>318</v>
      </c>
      <c r="C105" s="344"/>
      <c r="D105" s="1795"/>
      <c r="E105" s="345"/>
      <c r="F105" s="300" t="str">
        <f t="shared" si="9"/>
        <v/>
      </c>
      <c r="H105" s="617"/>
      <c r="I105" s="615"/>
      <c r="J105" s="594"/>
      <c r="K105" s="604"/>
    </row>
    <row r="106" spans="2:11" hidden="1" x14ac:dyDescent="0.25">
      <c r="B106" s="296" t="s">
        <v>100</v>
      </c>
      <c r="C106" s="344"/>
      <c r="D106" s="1796"/>
      <c r="E106" s="346"/>
      <c r="F106" s="300" t="str">
        <f t="shared" si="9"/>
        <v/>
      </c>
      <c r="H106" s="617"/>
      <c r="I106" s="615"/>
      <c r="J106" s="594"/>
      <c r="K106" s="604"/>
    </row>
    <row r="107" spans="2:11" hidden="1" x14ac:dyDescent="0.25">
      <c r="B107" s="292" t="s">
        <v>4832</v>
      </c>
      <c r="C107" s="293">
        <f>SUM(C108:C113)</f>
        <v>0</v>
      </c>
      <c r="D107" s="490" t="str">
        <f>IFERROR(IF('COSTO TOTAL'!Z31="","",'COSTO TOTAL'!Z31),"")</f>
        <v/>
      </c>
      <c r="E107" s="295"/>
      <c r="F107" s="492" t="str">
        <f>IF(AND(F108="",F109="",F110="",F111="",F112="",F113=""),"",SUM(F108:F113))</f>
        <v/>
      </c>
      <c r="H107" s="611"/>
      <c r="I107" s="603"/>
      <c r="J107" s="602"/>
      <c r="K107" s="603"/>
    </row>
    <row r="108" spans="2:11" hidden="1" x14ac:dyDescent="0.25">
      <c r="B108" s="296" t="s">
        <v>154</v>
      </c>
      <c r="C108" s="343"/>
      <c r="D108" s="1797" t="str">
        <f>IFERROR('COSTO TOTAL'!Y31,"")</f>
        <v xml:space="preserve"> </v>
      </c>
      <c r="E108" s="297">
        <f>1/1.18</f>
        <v>0.84745762711864414</v>
      </c>
      <c r="F108" s="300" t="str">
        <f t="shared" ref="F108:F113" si="10">IFERROR(IF(OR(C108="",$D$107=""),"",C108*E108*$D$107),"")</f>
        <v/>
      </c>
      <c r="H108" s="617"/>
      <c r="I108" s="615"/>
      <c r="J108" s="594"/>
      <c r="K108" s="604"/>
    </row>
    <row r="109" spans="2:11" hidden="1" x14ac:dyDescent="0.25">
      <c r="B109" s="296" t="s">
        <v>317</v>
      </c>
      <c r="C109" s="344"/>
      <c r="D109" s="1795"/>
      <c r="E109" s="298">
        <v>1.08</v>
      </c>
      <c r="F109" s="300" t="str">
        <f t="shared" si="10"/>
        <v/>
      </c>
      <c r="H109" s="617"/>
      <c r="I109" s="615"/>
      <c r="J109" s="594"/>
      <c r="K109" s="604"/>
    </row>
    <row r="110" spans="2:11" hidden="1" x14ac:dyDescent="0.25">
      <c r="B110" s="296" t="s">
        <v>155</v>
      </c>
      <c r="C110" s="344"/>
      <c r="D110" s="1795"/>
      <c r="E110" s="346"/>
      <c r="F110" s="300" t="str">
        <f t="shared" si="10"/>
        <v/>
      </c>
      <c r="H110" s="617"/>
      <c r="I110" s="615"/>
      <c r="J110" s="594"/>
      <c r="K110" s="604"/>
    </row>
    <row r="111" spans="2:11" hidden="1" x14ac:dyDescent="0.25">
      <c r="B111" s="296" t="s">
        <v>156</v>
      </c>
      <c r="C111" s="344"/>
      <c r="D111" s="1795"/>
      <c r="E111" s="345"/>
      <c r="F111" s="300" t="str">
        <f t="shared" si="10"/>
        <v/>
      </c>
      <c r="H111" s="617"/>
      <c r="I111" s="615"/>
      <c r="J111" s="594"/>
      <c r="K111" s="604"/>
    </row>
    <row r="112" spans="2:11" hidden="1" x14ac:dyDescent="0.25">
      <c r="B112" s="296" t="s">
        <v>318</v>
      </c>
      <c r="C112" s="344"/>
      <c r="D112" s="1795"/>
      <c r="E112" s="345"/>
      <c r="F112" s="300" t="str">
        <f t="shared" si="10"/>
        <v/>
      </c>
      <c r="H112" s="617"/>
      <c r="I112" s="615"/>
      <c r="J112" s="594"/>
      <c r="K112" s="604"/>
    </row>
    <row r="113" spans="2:15" hidden="1" x14ac:dyDescent="0.25">
      <c r="B113" s="296" t="s">
        <v>100</v>
      </c>
      <c r="C113" s="344"/>
      <c r="D113" s="1796"/>
      <c r="E113" s="346"/>
      <c r="F113" s="300" t="str">
        <f t="shared" si="10"/>
        <v/>
      </c>
      <c r="H113" s="617"/>
      <c r="I113" s="615"/>
      <c r="J113" s="594"/>
      <c r="K113" s="604"/>
    </row>
    <row r="114" spans="2:15" hidden="1" x14ac:dyDescent="0.25">
      <c r="B114" s="292" t="s">
        <v>4833</v>
      </c>
      <c r="C114" s="293">
        <f>SUM(C115:C120)</f>
        <v>0</v>
      </c>
      <c r="D114" s="490" t="str">
        <f>IFERROR(IF('COSTO TOTAL'!Z32="","",'COSTO TOTAL'!Z32),"")</f>
        <v/>
      </c>
      <c r="E114" s="295"/>
      <c r="F114" s="492" t="str">
        <f>IF(AND(F115="",F116="",F117="",F118="",F119="",F120=""),"",SUM(F115:F120))</f>
        <v/>
      </c>
      <c r="H114" s="611"/>
      <c r="I114" s="603"/>
      <c r="J114" s="602"/>
      <c r="K114" s="603"/>
    </row>
    <row r="115" spans="2:15" hidden="1" x14ac:dyDescent="0.25">
      <c r="B115" s="296" t="s">
        <v>154</v>
      </c>
      <c r="C115" s="343"/>
      <c r="D115" s="1797" t="str">
        <f>IFERROR('COSTO TOTAL'!Y32,"")</f>
        <v xml:space="preserve"> </v>
      </c>
      <c r="E115" s="297">
        <f>1/1.18</f>
        <v>0.84745762711864414</v>
      </c>
      <c r="F115" s="300" t="str">
        <f t="shared" ref="F115:F120" si="11">IFERROR(IF(OR(C115="",$D$114=""),"",C115*E115*$D$114),"")</f>
        <v/>
      </c>
      <c r="H115" s="617"/>
      <c r="I115" s="615"/>
      <c r="J115" s="594"/>
      <c r="K115" s="604"/>
    </row>
    <row r="116" spans="2:15" hidden="1" x14ac:dyDescent="0.25">
      <c r="B116" s="296" t="s">
        <v>317</v>
      </c>
      <c r="C116" s="344"/>
      <c r="D116" s="1795"/>
      <c r="E116" s="298">
        <v>1.08</v>
      </c>
      <c r="F116" s="300" t="str">
        <f t="shared" si="11"/>
        <v/>
      </c>
      <c r="H116" s="617"/>
      <c r="I116" s="615"/>
      <c r="J116" s="594"/>
      <c r="K116" s="604"/>
    </row>
    <row r="117" spans="2:15" hidden="1" x14ac:dyDescent="0.25">
      <c r="B117" s="296" t="s">
        <v>155</v>
      </c>
      <c r="C117" s="344"/>
      <c r="D117" s="1795"/>
      <c r="E117" s="346"/>
      <c r="F117" s="300" t="str">
        <f t="shared" si="11"/>
        <v/>
      </c>
      <c r="H117" s="617"/>
      <c r="I117" s="615"/>
      <c r="J117" s="594"/>
      <c r="K117" s="604"/>
    </row>
    <row r="118" spans="2:15" hidden="1" x14ac:dyDescent="0.25">
      <c r="B118" s="296" t="s">
        <v>156</v>
      </c>
      <c r="C118" s="344"/>
      <c r="D118" s="1795"/>
      <c r="E118" s="345"/>
      <c r="F118" s="300" t="str">
        <f t="shared" si="11"/>
        <v/>
      </c>
      <c r="H118" s="617"/>
      <c r="I118" s="615"/>
      <c r="J118" s="594"/>
      <c r="K118" s="604"/>
      <c r="O118" s="212"/>
    </row>
    <row r="119" spans="2:15" hidden="1" x14ac:dyDescent="0.25">
      <c r="B119" s="296" t="s">
        <v>318</v>
      </c>
      <c r="C119" s="344"/>
      <c r="D119" s="1795"/>
      <c r="E119" s="345"/>
      <c r="F119" s="300" t="str">
        <f t="shared" si="11"/>
        <v/>
      </c>
      <c r="H119" s="617"/>
      <c r="I119" s="615"/>
      <c r="J119" s="594"/>
      <c r="K119" s="604"/>
    </row>
    <row r="120" spans="2:15" hidden="1" x14ac:dyDescent="0.25">
      <c r="B120" s="296" t="s">
        <v>100</v>
      </c>
      <c r="C120" s="344"/>
      <c r="D120" s="1796"/>
      <c r="E120" s="347"/>
      <c r="F120" s="300" t="str">
        <f t="shared" si="11"/>
        <v/>
      </c>
      <c r="H120" s="617"/>
      <c r="I120" s="615"/>
      <c r="J120" s="602"/>
      <c r="K120" s="604"/>
    </row>
    <row r="121" spans="2:15" hidden="1" x14ac:dyDescent="0.25">
      <c r="B121" s="292" t="s">
        <v>4834</v>
      </c>
      <c r="C121" s="293">
        <f>SUM(C122:C127)</f>
        <v>0</v>
      </c>
      <c r="D121" s="294" t="str">
        <f>IFERROR(IF('COSTO TOTAL'!Z33="","",'COSTO TOTAL'!Z33),"")</f>
        <v/>
      </c>
      <c r="E121" s="295"/>
      <c r="F121" s="492" t="str">
        <f>IF(AND(F122="",F123="",F124="",F125="",F126="",F127=""),"",SUM(F122:F127))</f>
        <v/>
      </c>
      <c r="H121" s="611"/>
      <c r="I121" s="603"/>
      <c r="J121" s="602"/>
      <c r="K121" s="603"/>
    </row>
    <row r="122" spans="2:15" hidden="1" x14ac:dyDescent="0.25">
      <c r="B122" s="296" t="s">
        <v>154</v>
      </c>
      <c r="C122" s="343"/>
      <c r="D122" s="1797" t="str">
        <f>IFERROR('COSTO TOTAL'!Y33,"")</f>
        <v xml:space="preserve"> </v>
      </c>
      <c r="E122" s="297">
        <f>1/1.18</f>
        <v>0.84745762711864414</v>
      </c>
      <c r="F122" s="300" t="str">
        <f t="shared" ref="F122:F127" si="12">IFERROR(IF(OR(C122="",$D$121=""),"",C122*E122*$D$121),"")</f>
        <v/>
      </c>
      <c r="H122" s="617"/>
      <c r="I122" s="615"/>
      <c r="J122" s="594"/>
      <c r="K122" s="604"/>
    </row>
    <row r="123" spans="2:15" hidden="1" x14ac:dyDescent="0.25">
      <c r="B123" s="296" t="s">
        <v>317</v>
      </c>
      <c r="C123" s="344"/>
      <c r="D123" s="1795"/>
      <c r="E123" s="298">
        <v>1.08</v>
      </c>
      <c r="F123" s="300" t="str">
        <f t="shared" si="12"/>
        <v/>
      </c>
      <c r="H123" s="617"/>
      <c r="I123" s="615"/>
      <c r="J123" s="594"/>
      <c r="K123" s="604"/>
    </row>
    <row r="124" spans="2:15" hidden="1" x14ac:dyDescent="0.25">
      <c r="B124" s="296" t="s">
        <v>155</v>
      </c>
      <c r="C124" s="344"/>
      <c r="D124" s="1795"/>
      <c r="E124" s="346"/>
      <c r="F124" s="300" t="str">
        <f t="shared" si="12"/>
        <v/>
      </c>
      <c r="H124" s="617"/>
      <c r="I124" s="615"/>
      <c r="J124" s="594"/>
      <c r="K124" s="604"/>
    </row>
    <row r="125" spans="2:15" hidden="1" x14ac:dyDescent="0.25">
      <c r="B125" s="296" t="s">
        <v>156</v>
      </c>
      <c r="C125" s="344"/>
      <c r="D125" s="1795"/>
      <c r="E125" s="345"/>
      <c r="F125" s="300" t="str">
        <f t="shared" si="12"/>
        <v/>
      </c>
      <c r="H125" s="617"/>
      <c r="I125" s="615"/>
      <c r="J125" s="594"/>
      <c r="K125" s="604"/>
    </row>
    <row r="126" spans="2:15" hidden="1" x14ac:dyDescent="0.25">
      <c r="B126" s="296" t="s">
        <v>318</v>
      </c>
      <c r="C126" s="344"/>
      <c r="D126" s="1795"/>
      <c r="E126" s="345"/>
      <c r="F126" s="300" t="str">
        <f t="shared" si="12"/>
        <v/>
      </c>
      <c r="H126" s="617"/>
      <c r="I126" s="615"/>
      <c r="J126" s="594"/>
      <c r="K126" s="604"/>
    </row>
    <row r="127" spans="2:15" hidden="1" x14ac:dyDescent="0.25">
      <c r="B127" s="296" t="s">
        <v>100</v>
      </c>
      <c r="C127" s="344"/>
      <c r="D127" s="1796"/>
      <c r="E127" s="346"/>
      <c r="F127" s="300" t="str">
        <f t="shared" si="12"/>
        <v/>
      </c>
      <c r="H127" s="617"/>
      <c r="I127" s="615"/>
      <c r="J127" s="594"/>
      <c r="K127" s="604"/>
    </row>
    <row r="128" spans="2:15" hidden="1" x14ac:dyDescent="0.25">
      <c r="B128" s="292" t="s">
        <v>4835</v>
      </c>
      <c r="C128" s="293">
        <f>SUM(C129:C134)</f>
        <v>0</v>
      </c>
      <c r="D128" s="490" t="str">
        <f>IFERROR(IF('COSTO TOTAL'!Z34="","",'COSTO TOTAL'!Z34),"")</f>
        <v/>
      </c>
      <c r="E128" s="295"/>
      <c r="F128" s="492" t="str">
        <f>IF(AND(F129="",F130="",F131="",F132="",F133="",F134=""),"",SUM(F129:F134))</f>
        <v/>
      </c>
      <c r="H128" s="611"/>
      <c r="I128" s="603"/>
      <c r="J128" s="602"/>
      <c r="K128" s="603"/>
    </row>
    <row r="129" spans="2:11" hidden="1" x14ac:dyDescent="0.25">
      <c r="B129" s="296" t="s">
        <v>154</v>
      </c>
      <c r="C129" s="343"/>
      <c r="D129" s="1797" t="str">
        <f>IFERROR('COSTO TOTAL'!Y34,"")</f>
        <v xml:space="preserve"> </v>
      </c>
      <c r="E129" s="297">
        <f>1/1.18</f>
        <v>0.84745762711864414</v>
      </c>
      <c r="F129" s="300" t="str">
        <f t="shared" ref="F129:F134" si="13">IFERROR(IF(OR(C129="",$D$128=""),"",C129*E129*$D$128),"")</f>
        <v/>
      </c>
      <c r="H129" s="617"/>
      <c r="I129" s="615"/>
      <c r="J129" s="594"/>
      <c r="K129" s="604"/>
    </row>
    <row r="130" spans="2:11" hidden="1" x14ac:dyDescent="0.25">
      <c r="B130" s="296" t="s">
        <v>317</v>
      </c>
      <c r="C130" s="344"/>
      <c r="D130" s="1795"/>
      <c r="E130" s="298">
        <v>1.08</v>
      </c>
      <c r="F130" s="300" t="str">
        <f t="shared" si="13"/>
        <v/>
      </c>
      <c r="H130" s="617"/>
      <c r="I130" s="615"/>
      <c r="J130" s="594"/>
      <c r="K130" s="604"/>
    </row>
    <row r="131" spans="2:11" hidden="1" x14ac:dyDescent="0.25">
      <c r="B131" s="296" t="s">
        <v>155</v>
      </c>
      <c r="C131" s="344"/>
      <c r="D131" s="1795"/>
      <c r="E131" s="346"/>
      <c r="F131" s="300" t="str">
        <f t="shared" si="13"/>
        <v/>
      </c>
      <c r="H131" s="617"/>
      <c r="I131" s="615"/>
      <c r="J131" s="594"/>
      <c r="K131" s="604"/>
    </row>
    <row r="132" spans="2:11" hidden="1" x14ac:dyDescent="0.25">
      <c r="B132" s="296" t="s">
        <v>156</v>
      </c>
      <c r="C132" s="344"/>
      <c r="D132" s="1795"/>
      <c r="E132" s="345"/>
      <c r="F132" s="300" t="str">
        <f t="shared" si="13"/>
        <v/>
      </c>
      <c r="H132" s="617"/>
      <c r="I132" s="615"/>
      <c r="J132" s="594"/>
      <c r="K132" s="604"/>
    </row>
    <row r="133" spans="2:11" hidden="1" x14ac:dyDescent="0.25">
      <c r="B133" s="296" t="s">
        <v>318</v>
      </c>
      <c r="C133" s="344"/>
      <c r="D133" s="1795"/>
      <c r="E133" s="345"/>
      <c r="F133" s="300" t="str">
        <f t="shared" si="13"/>
        <v/>
      </c>
      <c r="H133" s="617"/>
      <c r="I133" s="615"/>
      <c r="J133" s="594"/>
      <c r="K133" s="604"/>
    </row>
    <row r="134" spans="2:11" hidden="1" x14ac:dyDescent="0.25">
      <c r="B134" s="296" t="s">
        <v>100</v>
      </c>
      <c r="C134" s="344"/>
      <c r="D134" s="1796"/>
      <c r="E134" s="346"/>
      <c r="F134" s="300" t="str">
        <f t="shared" si="13"/>
        <v/>
      </c>
      <c r="H134" s="617"/>
      <c r="I134" s="615"/>
      <c r="J134" s="594"/>
      <c r="K134" s="604"/>
    </row>
    <row r="135" spans="2:11" hidden="1" x14ac:dyDescent="0.25">
      <c r="B135" s="292" t="s">
        <v>4836</v>
      </c>
      <c r="C135" s="293">
        <f>SUM(C136:C141)</f>
        <v>0</v>
      </c>
      <c r="D135" s="490" t="str">
        <f>IFERROR(IF('COSTO TOTAL'!Z35="","",'COSTO TOTAL'!Z35),"")</f>
        <v/>
      </c>
      <c r="E135" s="295"/>
      <c r="F135" s="492" t="str">
        <f>IF(AND(F136="",F137="",F138="",F139="",F140="",F141=""),"",SUM(F136:F141))</f>
        <v/>
      </c>
      <c r="H135" s="611"/>
      <c r="I135" s="603"/>
      <c r="J135" s="602"/>
      <c r="K135" s="603"/>
    </row>
    <row r="136" spans="2:11" hidden="1" x14ac:dyDescent="0.25">
      <c r="B136" s="296" t="s">
        <v>154</v>
      </c>
      <c r="C136" s="343"/>
      <c r="D136" s="1797" t="str">
        <f>IFERROR('COSTO TOTAL'!Y35,"")</f>
        <v xml:space="preserve"> </v>
      </c>
      <c r="E136" s="297">
        <f>1/1.18</f>
        <v>0.84745762711864414</v>
      </c>
      <c r="F136" s="300" t="str">
        <f t="shared" ref="F136:F141" si="14">IFERROR(IF(OR(C136="",$D$135=""),"",C136*E136*$D$135),"")</f>
        <v/>
      </c>
      <c r="H136" s="617"/>
      <c r="I136" s="615"/>
      <c r="J136" s="594"/>
      <c r="K136" s="604"/>
    </row>
    <row r="137" spans="2:11" hidden="1" x14ac:dyDescent="0.25">
      <c r="B137" s="296" t="s">
        <v>317</v>
      </c>
      <c r="C137" s="344"/>
      <c r="D137" s="1795"/>
      <c r="E137" s="298">
        <v>1.08</v>
      </c>
      <c r="F137" s="300" t="str">
        <f t="shared" si="14"/>
        <v/>
      </c>
      <c r="H137" s="617"/>
      <c r="I137" s="615"/>
      <c r="J137" s="594"/>
      <c r="K137" s="604"/>
    </row>
    <row r="138" spans="2:11" hidden="1" x14ac:dyDescent="0.25">
      <c r="B138" s="296" t="s">
        <v>155</v>
      </c>
      <c r="C138" s="344"/>
      <c r="D138" s="1795"/>
      <c r="E138" s="346"/>
      <c r="F138" s="300" t="str">
        <f t="shared" si="14"/>
        <v/>
      </c>
      <c r="H138" s="617"/>
      <c r="I138" s="615"/>
      <c r="J138" s="594"/>
      <c r="K138" s="604"/>
    </row>
    <row r="139" spans="2:11" hidden="1" x14ac:dyDescent="0.25">
      <c r="B139" s="296" t="s">
        <v>156</v>
      </c>
      <c r="C139" s="344"/>
      <c r="D139" s="1795"/>
      <c r="E139" s="345"/>
      <c r="F139" s="300" t="str">
        <f t="shared" si="14"/>
        <v/>
      </c>
      <c r="H139" s="617"/>
      <c r="I139" s="615"/>
      <c r="J139" s="594"/>
      <c r="K139" s="604"/>
    </row>
    <row r="140" spans="2:11" hidden="1" x14ac:dyDescent="0.25">
      <c r="B140" s="296" t="s">
        <v>318</v>
      </c>
      <c r="C140" s="344"/>
      <c r="D140" s="1795"/>
      <c r="E140" s="345"/>
      <c r="F140" s="300" t="str">
        <f t="shared" si="14"/>
        <v/>
      </c>
      <c r="H140" s="617"/>
      <c r="I140" s="615"/>
      <c r="J140" s="594"/>
      <c r="K140" s="604"/>
    </row>
    <row r="141" spans="2:11" hidden="1" x14ac:dyDescent="0.25">
      <c r="B141" s="296" t="s">
        <v>100</v>
      </c>
      <c r="C141" s="344"/>
      <c r="D141" s="1796"/>
      <c r="E141" s="346"/>
      <c r="F141" s="300" t="str">
        <f t="shared" si="14"/>
        <v/>
      </c>
      <c r="H141" s="617"/>
      <c r="I141" s="615"/>
      <c r="J141" s="594"/>
      <c r="K141" s="604"/>
    </row>
    <row r="142" spans="2:11" hidden="1" x14ac:dyDescent="0.25">
      <c r="B142" s="292" t="s">
        <v>4837</v>
      </c>
      <c r="C142" s="293">
        <f>SUM(C143:C148)</f>
        <v>0</v>
      </c>
      <c r="D142" s="294" t="str">
        <f>IFERROR(IF('COSTO TOTAL'!Z36="","",'COSTO TOTAL'!Z36),"")</f>
        <v/>
      </c>
      <c r="E142" s="295"/>
      <c r="F142" s="491" t="str">
        <f>IF(AND(F143="",F144="",F145="",F146="",F147="",F148=""),"",SUM(F143:F148))</f>
        <v/>
      </c>
      <c r="H142" s="611"/>
      <c r="I142" s="603"/>
      <c r="J142" s="602"/>
      <c r="K142" s="603"/>
    </row>
    <row r="143" spans="2:11" hidden="1" x14ac:dyDescent="0.25">
      <c r="B143" s="296" t="s">
        <v>154</v>
      </c>
      <c r="C143" s="343"/>
      <c r="D143" s="1795" t="str">
        <f>IFERROR('COSTO TOTAL'!Y36,"")</f>
        <v xml:space="preserve"> </v>
      </c>
      <c r="E143" s="297">
        <f>1/1.18</f>
        <v>0.84745762711864414</v>
      </c>
      <c r="F143" s="300" t="str">
        <f t="shared" ref="F143:F148" si="15">IFERROR(IF(OR(C143="",$D$142=""),"",C143*E143*$D$142),"")</f>
        <v/>
      </c>
      <c r="H143" s="617"/>
      <c r="I143" s="615"/>
      <c r="J143" s="594"/>
      <c r="K143" s="604"/>
    </row>
    <row r="144" spans="2:11" hidden="1" x14ac:dyDescent="0.25">
      <c r="B144" s="296" t="s">
        <v>317</v>
      </c>
      <c r="C144" s="344"/>
      <c r="D144" s="1795"/>
      <c r="E144" s="298">
        <v>1.08</v>
      </c>
      <c r="F144" s="300" t="str">
        <f t="shared" si="15"/>
        <v/>
      </c>
      <c r="H144" s="617"/>
      <c r="I144" s="615"/>
      <c r="J144" s="594"/>
      <c r="K144" s="604"/>
    </row>
    <row r="145" spans="2:15" hidden="1" x14ac:dyDescent="0.25">
      <c r="B145" s="296" t="s">
        <v>155</v>
      </c>
      <c r="C145" s="344"/>
      <c r="D145" s="1795"/>
      <c r="E145" s="346"/>
      <c r="F145" s="300" t="str">
        <f t="shared" si="15"/>
        <v/>
      </c>
      <c r="H145" s="617"/>
      <c r="I145" s="615"/>
      <c r="J145" s="594"/>
      <c r="K145" s="604"/>
    </row>
    <row r="146" spans="2:15" hidden="1" x14ac:dyDescent="0.25">
      <c r="B146" s="296" t="s">
        <v>156</v>
      </c>
      <c r="C146" s="344"/>
      <c r="D146" s="1795"/>
      <c r="E146" s="345"/>
      <c r="F146" s="300" t="str">
        <f t="shared" si="15"/>
        <v/>
      </c>
      <c r="H146" s="617"/>
      <c r="I146" s="615"/>
      <c r="J146" s="594"/>
      <c r="K146" s="604"/>
    </row>
    <row r="147" spans="2:15" hidden="1" x14ac:dyDescent="0.25">
      <c r="B147" s="296" t="s">
        <v>318</v>
      </c>
      <c r="C147" s="344"/>
      <c r="D147" s="1795"/>
      <c r="E147" s="345"/>
      <c r="F147" s="300" t="str">
        <f t="shared" si="15"/>
        <v/>
      </c>
      <c r="H147" s="617"/>
      <c r="I147" s="615"/>
      <c r="J147" s="594"/>
      <c r="K147" s="604"/>
    </row>
    <row r="148" spans="2:15" hidden="1" x14ac:dyDescent="0.25">
      <c r="B148" s="296" t="s">
        <v>100</v>
      </c>
      <c r="C148" s="344"/>
      <c r="D148" s="1796"/>
      <c r="E148" s="346"/>
      <c r="F148" s="300" t="str">
        <f t="shared" si="15"/>
        <v/>
      </c>
      <c r="H148" s="617"/>
      <c r="I148" s="615"/>
      <c r="J148" s="594"/>
      <c r="K148" s="604"/>
    </row>
    <row r="149" spans="2:15" hidden="1" x14ac:dyDescent="0.25">
      <c r="B149" s="292" t="s">
        <v>4838</v>
      </c>
      <c r="C149" s="293">
        <f>SUM(C150:C155)</f>
        <v>0</v>
      </c>
      <c r="D149" s="490" t="str">
        <f>IFERROR(IF('COSTO TOTAL'!Z37="","",'COSTO TOTAL'!Z37),"")</f>
        <v/>
      </c>
      <c r="E149" s="295"/>
      <c r="F149" s="492" t="str">
        <f>IF(AND(F150="",F151="",F152="",F153="",F154="",F155=""),"",SUM(F150:F155))</f>
        <v/>
      </c>
      <c r="H149" s="611"/>
      <c r="I149" s="603"/>
      <c r="J149" s="602"/>
      <c r="K149" s="603"/>
    </row>
    <row r="150" spans="2:15" hidden="1" x14ac:dyDescent="0.25">
      <c r="B150" s="296" t="s">
        <v>154</v>
      </c>
      <c r="C150" s="343"/>
      <c r="D150" s="1795" t="str">
        <f>IFERROR('COSTO TOTAL'!Y37,"")</f>
        <v xml:space="preserve"> </v>
      </c>
      <c r="E150" s="297">
        <f>1/1.18</f>
        <v>0.84745762711864414</v>
      </c>
      <c r="F150" s="300" t="str">
        <f t="shared" ref="F150:F155" si="16">IFERROR(IF(OR(C150="",$D$149=""),"",C150*E150*$D$149),"")</f>
        <v/>
      </c>
      <c r="H150" s="617"/>
      <c r="I150" s="615"/>
      <c r="J150" s="594"/>
      <c r="K150" s="604"/>
    </row>
    <row r="151" spans="2:15" hidden="1" x14ac:dyDescent="0.25">
      <c r="B151" s="296" t="s">
        <v>317</v>
      </c>
      <c r="C151" s="344"/>
      <c r="D151" s="1795"/>
      <c r="E151" s="298">
        <v>1.08</v>
      </c>
      <c r="F151" s="300" t="str">
        <f t="shared" si="16"/>
        <v/>
      </c>
      <c r="H151" s="617"/>
      <c r="I151" s="615"/>
      <c r="J151" s="594"/>
      <c r="K151" s="604"/>
    </row>
    <row r="152" spans="2:15" hidden="1" x14ac:dyDescent="0.25">
      <c r="B152" s="296" t="s">
        <v>155</v>
      </c>
      <c r="C152" s="344"/>
      <c r="D152" s="1795"/>
      <c r="E152" s="346"/>
      <c r="F152" s="300" t="str">
        <f t="shared" si="16"/>
        <v/>
      </c>
      <c r="H152" s="617"/>
      <c r="I152" s="615"/>
      <c r="J152" s="594"/>
      <c r="K152" s="604"/>
    </row>
    <row r="153" spans="2:15" hidden="1" x14ac:dyDescent="0.25">
      <c r="B153" s="296" t="s">
        <v>156</v>
      </c>
      <c r="C153" s="344"/>
      <c r="D153" s="1795"/>
      <c r="E153" s="345"/>
      <c r="F153" s="300" t="str">
        <f t="shared" si="16"/>
        <v/>
      </c>
      <c r="H153" s="617"/>
      <c r="I153" s="615"/>
      <c r="J153" s="594"/>
      <c r="K153" s="604"/>
    </row>
    <row r="154" spans="2:15" hidden="1" x14ac:dyDescent="0.25">
      <c r="B154" s="296" t="s">
        <v>318</v>
      </c>
      <c r="C154" s="344"/>
      <c r="D154" s="1795"/>
      <c r="E154" s="345"/>
      <c r="F154" s="300" t="str">
        <f t="shared" si="16"/>
        <v/>
      </c>
      <c r="H154" s="617"/>
      <c r="I154" s="615"/>
      <c r="J154" s="594"/>
      <c r="K154" s="604"/>
      <c r="O154" s="212"/>
    </row>
    <row r="155" spans="2:15" hidden="1" x14ac:dyDescent="0.25">
      <c r="B155" s="296" t="s">
        <v>100</v>
      </c>
      <c r="C155" s="344"/>
      <c r="D155" s="1796"/>
      <c r="E155" s="346"/>
      <c r="F155" s="300" t="str">
        <f t="shared" si="16"/>
        <v/>
      </c>
      <c r="H155" s="617"/>
      <c r="I155" s="615"/>
      <c r="J155" s="594"/>
      <c r="K155" s="604"/>
    </row>
    <row r="156" spans="2:15" hidden="1" x14ac:dyDescent="0.25">
      <c r="B156" s="292" t="s">
        <v>4839</v>
      </c>
      <c r="C156" s="293">
        <f>SUM(C157:C162)</f>
        <v>0</v>
      </c>
      <c r="D156" s="490" t="str">
        <f>IFERROR(IF('COSTO TOTAL'!Z38="","",'COSTO TOTAL'!Z38),"")</f>
        <v/>
      </c>
      <c r="E156" s="295"/>
      <c r="F156" s="492" t="str">
        <f>IF(AND(F157="",F158="",F159="",F160="",F161="",F162=""),"",SUM(F157:F162))</f>
        <v/>
      </c>
      <c r="H156" s="611"/>
      <c r="I156" s="603"/>
      <c r="J156" s="602"/>
      <c r="K156" s="603"/>
    </row>
    <row r="157" spans="2:15" hidden="1" x14ac:dyDescent="0.25">
      <c r="B157" s="296" t="s">
        <v>154</v>
      </c>
      <c r="C157" s="343"/>
      <c r="D157" s="1795" t="str">
        <f>IFERROR('COSTO TOTAL'!Y38,"")</f>
        <v xml:space="preserve"> </v>
      </c>
      <c r="E157" s="297">
        <f>1/1.18</f>
        <v>0.84745762711864414</v>
      </c>
      <c r="F157" s="300" t="str">
        <f t="shared" ref="F157:F162" si="17">IFERROR(IF(OR(C157="",$D$156=""),"",C157*E157*$D$156),"")</f>
        <v/>
      </c>
      <c r="H157" s="617"/>
      <c r="I157" s="615"/>
      <c r="J157" s="594"/>
      <c r="K157" s="604"/>
    </row>
    <row r="158" spans="2:15" hidden="1" x14ac:dyDescent="0.25">
      <c r="B158" s="296" t="s">
        <v>317</v>
      </c>
      <c r="C158" s="344"/>
      <c r="D158" s="1795"/>
      <c r="E158" s="298">
        <v>1.08</v>
      </c>
      <c r="F158" s="300" t="str">
        <f t="shared" si="17"/>
        <v/>
      </c>
      <c r="H158" s="617"/>
      <c r="I158" s="615"/>
      <c r="J158" s="594"/>
      <c r="K158" s="604"/>
    </row>
    <row r="159" spans="2:15" hidden="1" x14ac:dyDescent="0.25">
      <c r="B159" s="296" t="s">
        <v>155</v>
      </c>
      <c r="C159" s="344"/>
      <c r="D159" s="1795"/>
      <c r="E159" s="346"/>
      <c r="F159" s="300" t="str">
        <f t="shared" si="17"/>
        <v/>
      </c>
      <c r="H159" s="617"/>
      <c r="I159" s="615"/>
      <c r="J159" s="594"/>
      <c r="K159" s="604"/>
    </row>
    <row r="160" spans="2:15" hidden="1" x14ac:dyDescent="0.25">
      <c r="B160" s="296" t="s">
        <v>156</v>
      </c>
      <c r="C160" s="344"/>
      <c r="D160" s="1795"/>
      <c r="E160" s="345"/>
      <c r="F160" s="300" t="str">
        <f t="shared" si="17"/>
        <v/>
      </c>
      <c r="H160" s="617"/>
      <c r="I160" s="615"/>
      <c r="J160" s="594"/>
      <c r="K160" s="604"/>
    </row>
    <row r="161" spans="2:15" hidden="1" x14ac:dyDescent="0.25">
      <c r="B161" s="296" t="s">
        <v>318</v>
      </c>
      <c r="C161" s="344"/>
      <c r="D161" s="1795"/>
      <c r="E161" s="345"/>
      <c r="F161" s="300" t="str">
        <f t="shared" si="17"/>
        <v/>
      </c>
      <c r="H161" s="617"/>
      <c r="I161" s="615"/>
      <c r="J161" s="594"/>
      <c r="K161" s="604"/>
    </row>
    <row r="162" spans="2:15" hidden="1" x14ac:dyDescent="0.25">
      <c r="B162" s="296" t="s">
        <v>100</v>
      </c>
      <c r="C162" s="344"/>
      <c r="D162" s="1796"/>
      <c r="E162" s="347"/>
      <c r="F162" s="300" t="str">
        <f t="shared" si="17"/>
        <v/>
      </c>
      <c r="H162" s="617"/>
      <c r="I162" s="615"/>
      <c r="J162" s="602"/>
      <c r="K162" s="604"/>
    </row>
    <row r="163" spans="2:15" hidden="1" x14ac:dyDescent="0.25">
      <c r="B163" s="292" t="s">
        <v>4840</v>
      </c>
      <c r="C163" s="293">
        <f>SUM(C164:C169)</f>
        <v>0</v>
      </c>
      <c r="D163" s="490" t="str">
        <f>IFERROR(IF('COSTO TOTAL'!Z39="","",'COSTO TOTAL'!Z39),"")</f>
        <v/>
      </c>
      <c r="E163" s="295"/>
      <c r="F163" s="492" t="str">
        <f>IF(AND(F164="",F165="",F166="",F167="",F168="",F169=""),"",SUM(F164:F169))</f>
        <v/>
      </c>
      <c r="H163" s="611"/>
      <c r="I163" s="603"/>
      <c r="J163" s="602"/>
      <c r="K163" s="603"/>
    </row>
    <row r="164" spans="2:15" hidden="1" x14ac:dyDescent="0.25">
      <c r="B164" s="296" t="s">
        <v>154</v>
      </c>
      <c r="C164" s="343"/>
      <c r="D164" s="1797" t="str">
        <f>IFERROR('COSTO TOTAL'!Y39,"")</f>
        <v xml:space="preserve"> </v>
      </c>
      <c r="E164" s="297">
        <f>1/1.18</f>
        <v>0.84745762711864414</v>
      </c>
      <c r="F164" s="300" t="str">
        <f t="shared" ref="F164:F169" si="18">IFERROR(IF(OR(C164="",$D$163=""),"",C164*E164*$D$163),"")</f>
        <v/>
      </c>
      <c r="H164" s="617"/>
      <c r="I164" s="615"/>
      <c r="J164" s="594"/>
      <c r="K164" s="604"/>
    </row>
    <row r="165" spans="2:15" hidden="1" x14ac:dyDescent="0.25">
      <c r="B165" s="296" t="s">
        <v>317</v>
      </c>
      <c r="C165" s="344"/>
      <c r="D165" s="1795"/>
      <c r="E165" s="298">
        <v>1.08</v>
      </c>
      <c r="F165" s="300" t="str">
        <f t="shared" si="18"/>
        <v/>
      </c>
      <c r="H165" s="617"/>
      <c r="I165" s="615"/>
      <c r="J165" s="594"/>
      <c r="K165" s="604"/>
    </row>
    <row r="166" spans="2:15" hidden="1" x14ac:dyDescent="0.25">
      <c r="B166" s="296" t="s">
        <v>155</v>
      </c>
      <c r="C166" s="344"/>
      <c r="D166" s="1795"/>
      <c r="E166" s="346"/>
      <c r="F166" s="300" t="str">
        <f t="shared" si="18"/>
        <v/>
      </c>
      <c r="H166" s="617"/>
      <c r="I166" s="615"/>
      <c r="J166" s="594"/>
      <c r="K166" s="604"/>
    </row>
    <row r="167" spans="2:15" hidden="1" x14ac:dyDescent="0.25">
      <c r="B167" s="296" t="s">
        <v>156</v>
      </c>
      <c r="C167" s="344"/>
      <c r="D167" s="1795"/>
      <c r="E167" s="345"/>
      <c r="F167" s="300" t="str">
        <f t="shared" si="18"/>
        <v/>
      </c>
      <c r="H167" s="617"/>
      <c r="I167" s="615"/>
      <c r="J167" s="594"/>
      <c r="K167" s="604"/>
    </row>
    <row r="168" spans="2:15" hidden="1" x14ac:dyDescent="0.25">
      <c r="B168" s="296" t="s">
        <v>318</v>
      </c>
      <c r="C168" s="344"/>
      <c r="D168" s="1795"/>
      <c r="E168" s="345"/>
      <c r="F168" s="300" t="str">
        <f t="shared" si="18"/>
        <v/>
      </c>
      <c r="H168" s="617"/>
      <c r="I168" s="615"/>
      <c r="J168" s="594"/>
      <c r="K168" s="604"/>
    </row>
    <row r="169" spans="2:15" hidden="1" x14ac:dyDescent="0.25">
      <c r="B169" s="296" t="s">
        <v>100</v>
      </c>
      <c r="C169" s="344"/>
      <c r="D169" s="1796"/>
      <c r="E169" s="346"/>
      <c r="F169" s="300" t="str">
        <f t="shared" si="18"/>
        <v/>
      </c>
      <c r="H169" s="617"/>
      <c r="I169" s="615"/>
      <c r="J169" s="594"/>
      <c r="K169" s="604"/>
    </row>
    <row r="170" spans="2:15" hidden="1" x14ac:dyDescent="0.25">
      <c r="B170" s="292" t="s">
        <v>4841</v>
      </c>
      <c r="C170" s="293">
        <f>SUM(C171:C176)</f>
        <v>0</v>
      </c>
      <c r="D170" s="490" t="str">
        <f>IFERROR(IF('COSTO TOTAL'!Z40="","",'COSTO TOTAL'!Z40),"")</f>
        <v/>
      </c>
      <c r="E170" s="295"/>
      <c r="F170" s="492" t="str">
        <f>IF(AND(F171="",F172="",F173="",F174="",F175="",F176=""),"",SUM(F171:F176))</f>
        <v/>
      </c>
      <c r="H170" s="611"/>
      <c r="I170" s="603"/>
      <c r="J170" s="602"/>
      <c r="K170" s="603"/>
    </row>
    <row r="171" spans="2:15" hidden="1" x14ac:dyDescent="0.25">
      <c r="B171" s="296" t="s">
        <v>154</v>
      </c>
      <c r="C171" s="343"/>
      <c r="D171" s="1805" t="str">
        <f>IFERROR('COSTO TOTAL'!Y40,"")</f>
        <v xml:space="preserve"> </v>
      </c>
      <c r="E171" s="297">
        <f>1/1.18</f>
        <v>0.84745762711864414</v>
      </c>
      <c r="F171" s="300" t="str">
        <f t="shared" ref="F171:F176" si="19">IFERROR(IF(OR(C171="",$D$170=""),"",C171*E171*$D$170),"")</f>
        <v/>
      </c>
      <c r="H171" s="617"/>
      <c r="I171" s="615"/>
      <c r="J171" s="594"/>
      <c r="K171" s="604"/>
    </row>
    <row r="172" spans="2:15" hidden="1" x14ac:dyDescent="0.25">
      <c r="B172" s="296" t="s">
        <v>317</v>
      </c>
      <c r="C172" s="344"/>
      <c r="D172" s="1806"/>
      <c r="E172" s="298">
        <v>1.08</v>
      </c>
      <c r="F172" s="300" t="str">
        <f t="shared" si="19"/>
        <v/>
      </c>
      <c r="H172" s="617"/>
      <c r="I172" s="615"/>
      <c r="J172" s="594"/>
      <c r="K172" s="604"/>
    </row>
    <row r="173" spans="2:15" hidden="1" x14ac:dyDescent="0.25">
      <c r="B173" s="296" t="s">
        <v>155</v>
      </c>
      <c r="C173" s="344"/>
      <c r="D173" s="1806"/>
      <c r="E173" s="346"/>
      <c r="F173" s="300" t="str">
        <f t="shared" si="19"/>
        <v/>
      </c>
      <c r="H173" s="617"/>
      <c r="I173" s="615"/>
      <c r="J173" s="594"/>
      <c r="K173" s="604"/>
    </row>
    <row r="174" spans="2:15" hidden="1" x14ac:dyDescent="0.25">
      <c r="B174" s="296" t="s">
        <v>156</v>
      </c>
      <c r="C174" s="344"/>
      <c r="D174" s="1806"/>
      <c r="E174" s="345"/>
      <c r="F174" s="300" t="str">
        <f t="shared" si="19"/>
        <v/>
      </c>
      <c r="H174" s="617"/>
      <c r="I174" s="615"/>
      <c r="J174" s="594"/>
      <c r="K174" s="604"/>
    </row>
    <row r="175" spans="2:15" hidden="1" x14ac:dyDescent="0.25">
      <c r="B175" s="296" t="s">
        <v>318</v>
      </c>
      <c r="C175" s="344"/>
      <c r="D175" s="1806"/>
      <c r="E175" s="345"/>
      <c r="F175" s="300" t="str">
        <f t="shared" si="19"/>
        <v/>
      </c>
      <c r="H175" s="617"/>
      <c r="I175" s="615"/>
      <c r="J175" s="594"/>
      <c r="K175" s="604"/>
      <c r="O175" s="212"/>
    </row>
    <row r="176" spans="2:15" hidden="1" x14ac:dyDescent="0.25">
      <c r="B176" s="296" t="s">
        <v>100</v>
      </c>
      <c r="C176" s="344"/>
      <c r="D176" s="1807"/>
      <c r="E176" s="346"/>
      <c r="F176" s="300" t="str">
        <f t="shared" si="19"/>
        <v/>
      </c>
      <c r="H176" s="617"/>
      <c r="I176" s="615"/>
      <c r="J176" s="594"/>
      <c r="K176" s="604"/>
    </row>
    <row r="177" spans="2:11" hidden="1" x14ac:dyDescent="0.25">
      <c r="B177" s="292" t="s">
        <v>4842</v>
      </c>
      <c r="C177" s="293">
        <f>SUM(C178:C183)</f>
        <v>0</v>
      </c>
      <c r="D177" s="294" t="str">
        <f>IFERROR(IF('COSTO TOTAL'!Z41="","",'COSTO TOTAL'!Z41),"")</f>
        <v/>
      </c>
      <c r="E177" s="295"/>
      <c r="F177" s="491" t="str">
        <f>IF(AND(F178="",F179="",F180="",F181="",F182="",F183=""),"",SUM(F178:F183))</f>
        <v/>
      </c>
      <c r="H177" s="611"/>
      <c r="I177" s="603"/>
      <c r="J177" s="602"/>
      <c r="K177" s="603"/>
    </row>
    <row r="178" spans="2:11" hidden="1" x14ac:dyDescent="0.25">
      <c r="B178" s="296" t="s">
        <v>154</v>
      </c>
      <c r="C178" s="343"/>
      <c r="D178" s="1795" t="str">
        <f>IFERROR('COSTO TOTAL'!Y41,"")</f>
        <v xml:space="preserve"> </v>
      </c>
      <c r="E178" s="297">
        <f>1/1.18</f>
        <v>0.84745762711864414</v>
      </c>
      <c r="F178" s="300" t="str">
        <f t="shared" ref="F178:F183" si="20">IFERROR(IF(OR(C178="",$D$177=""),"",C178*E178*$D$177),"")</f>
        <v/>
      </c>
      <c r="H178" s="617"/>
      <c r="I178" s="615"/>
      <c r="J178" s="594"/>
      <c r="K178" s="604"/>
    </row>
    <row r="179" spans="2:11" hidden="1" x14ac:dyDescent="0.25">
      <c r="B179" s="296" t="s">
        <v>317</v>
      </c>
      <c r="C179" s="344"/>
      <c r="D179" s="1795"/>
      <c r="E179" s="298">
        <v>1.08</v>
      </c>
      <c r="F179" s="300" t="str">
        <f t="shared" si="20"/>
        <v/>
      </c>
      <c r="H179" s="617"/>
      <c r="I179" s="615"/>
      <c r="J179" s="594"/>
      <c r="K179" s="604"/>
    </row>
    <row r="180" spans="2:11" hidden="1" x14ac:dyDescent="0.25">
      <c r="B180" s="296" t="s">
        <v>155</v>
      </c>
      <c r="C180" s="344"/>
      <c r="D180" s="1795"/>
      <c r="E180" s="346"/>
      <c r="F180" s="300" t="str">
        <f t="shared" si="20"/>
        <v/>
      </c>
      <c r="H180" s="617"/>
      <c r="I180" s="615"/>
      <c r="J180" s="594"/>
      <c r="K180" s="604"/>
    </row>
    <row r="181" spans="2:11" hidden="1" x14ac:dyDescent="0.25">
      <c r="B181" s="296" t="s">
        <v>156</v>
      </c>
      <c r="C181" s="344"/>
      <c r="D181" s="1795"/>
      <c r="E181" s="345"/>
      <c r="F181" s="300" t="str">
        <f t="shared" si="20"/>
        <v/>
      </c>
      <c r="H181" s="617"/>
      <c r="I181" s="615"/>
      <c r="J181" s="594"/>
      <c r="K181" s="604"/>
    </row>
    <row r="182" spans="2:11" hidden="1" x14ac:dyDescent="0.25">
      <c r="B182" s="296" t="s">
        <v>318</v>
      </c>
      <c r="C182" s="344"/>
      <c r="D182" s="1795"/>
      <c r="E182" s="345"/>
      <c r="F182" s="300" t="str">
        <f t="shared" si="20"/>
        <v/>
      </c>
      <c r="H182" s="617"/>
      <c r="I182" s="615"/>
      <c r="J182" s="594"/>
      <c r="K182" s="604"/>
    </row>
    <row r="183" spans="2:11" hidden="1" x14ac:dyDescent="0.25">
      <c r="B183" s="296" t="s">
        <v>100</v>
      </c>
      <c r="C183" s="344"/>
      <c r="D183" s="1796"/>
      <c r="E183" s="346"/>
      <c r="F183" s="300" t="str">
        <f t="shared" si="20"/>
        <v/>
      </c>
      <c r="H183" s="617"/>
      <c r="I183" s="615"/>
      <c r="J183" s="594"/>
      <c r="K183" s="604"/>
    </row>
    <row r="184" spans="2:11" hidden="1" x14ac:dyDescent="0.25">
      <c r="B184" s="292" t="s">
        <v>4843</v>
      </c>
      <c r="C184" s="293">
        <f>SUM(C185:C190)</f>
        <v>0</v>
      </c>
      <c r="D184" s="490" t="str">
        <f>IFERROR(IF('COSTO TOTAL'!Z42="","",'COSTO TOTAL'!Z42),"")</f>
        <v/>
      </c>
      <c r="E184" s="295"/>
      <c r="F184" s="492" t="str">
        <f>IF(AND(F185="",F186="",F187="",F188="",F189="",F190=""),"",SUM(F185:F190))</f>
        <v/>
      </c>
      <c r="H184" s="611"/>
      <c r="I184" s="603"/>
      <c r="J184" s="602"/>
      <c r="K184" s="603"/>
    </row>
    <row r="185" spans="2:11" hidden="1" x14ac:dyDescent="0.25">
      <c r="B185" s="296" t="s">
        <v>154</v>
      </c>
      <c r="C185" s="343"/>
      <c r="D185" s="1795" t="str">
        <f>IFERROR('COSTO TOTAL'!Y42,"")</f>
        <v xml:space="preserve"> </v>
      </c>
      <c r="E185" s="297">
        <f>1/1.18</f>
        <v>0.84745762711864414</v>
      </c>
      <c r="F185" s="300" t="str">
        <f t="shared" ref="F185:F190" si="21">IFERROR(IF(OR(C185="",$D$184=""),"",C185*E185*$D$184),"")</f>
        <v/>
      </c>
      <c r="H185" s="617"/>
      <c r="I185" s="615"/>
      <c r="J185" s="594"/>
      <c r="K185" s="604"/>
    </row>
    <row r="186" spans="2:11" hidden="1" x14ac:dyDescent="0.25">
      <c r="B186" s="296" t="s">
        <v>317</v>
      </c>
      <c r="C186" s="344"/>
      <c r="D186" s="1795"/>
      <c r="E186" s="298">
        <v>1.08</v>
      </c>
      <c r="F186" s="300" t="str">
        <f t="shared" si="21"/>
        <v/>
      </c>
      <c r="H186" s="617"/>
      <c r="I186" s="615"/>
      <c r="J186" s="594"/>
      <c r="K186" s="604"/>
    </row>
    <row r="187" spans="2:11" hidden="1" x14ac:dyDescent="0.25">
      <c r="B187" s="296" t="s">
        <v>155</v>
      </c>
      <c r="C187" s="344"/>
      <c r="D187" s="1795"/>
      <c r="E187" s="346"/>
      <c r="F187" s="300" t="str">
        <f t="shared" si="21"/>
        <v/>
      </c>
      <c r="H187" s="617"/>
      <c r="I187" s="615"/>
      <c r="J187" s="594"/>
      <c r="K187" s="604"/>
    </row>
    <row r="188" spans="2:11" hidden="1" x14ac:dyDescent="0.25">
      <c r="B188" s="296" t="s">
        <v>156</v>
      </c>
      <c r="C188" s="344"/>
      <c r="D188" s="1795"/>
      <c r="E188" s="345"/>
      <c r="F188" s="300" t="str">
        <f t="shared" si="21"/>
        <v/>
      </c>
      <c r="H188" s="617"/>
      <c r="I188" s="615"/>
      <c r="J188" s="594"/>
      <c r="K188" s="604"/>
    </row>
    <row r="189" spans="2:11" hidden="1" x14ac:dyDescent="0.25">
      <c r="B189" s="296" t="s">
        <v>318</v>
      </c>
      <c r="C189" s="344"/>
      <c r="D189" s="1795"/>
      <c r="E189" s="345"/>
      <c r="F189" s="300" t="str">
        <f t="shared" si="21"/>
        <v/>
      </c>
      <c r="H189" s="617"/>
      <c r="I189" s="615"/>
      <c r="J189" s="594"/>
      <c r="K189" s="604"/>
    </row>
    <row r="190" spans="2:11" hidden="1" x14ac:dyDescent="0.25">
      <c r="B190" s="296" t="s">
        <v>100</v>
      </c>
      <c r="C190" s="344"/>
      <c r="D190" s="1796"/>
      <c r="E190" s="346"/>
      <c r="F190" s="300" t="str">
        <f t="shared" si="21"/>
        <v/>
      </c>
      <c r="H190" s="617"/>
      <c r="I190" s="615"/>
      <c r="J190" s="594"/>
      <c r="K190" s="604"/>
    </row>
    <row r="191" spans="2:11" hidden="1" x14ac:dyDescent="0.25">
      <c r="B191" s="292" t="s">
        <v>4844</v>
      </c>
      <c r="C191" s="293">
        <f>SUM(C192:C197)</f>
        <v>0</v>
      </c>
      <c r="D191" s="490" t="str">
        <f>IFERROR(IF('COSTO TOTAL'!Z43="","",'COSTO TOTAL'!Z43),"")</f>
        <v/>
      </c>
      <c r="E191" s="295"/>
      <c r="F191" s="492" t="str">
        <f>IF(AND(F192="",F193="",F194="",F195="",F196="",F197=""),"",SUM(F192:F197))</f>
        <v/>
      </c>
      <c r="H191" s="611"/>
      <c r="I191" s="603"/>
      <c r="J191" s="602"/>
      <c r="K191" s="603"/>
    </row>
    <row r="192" spans="2:11" hidden="1" x14ac:dyDescent="0.25">
      <c r="B192" s="296" t="s">
        <v>154</v>
      </c>
      <c r="C192" s="343"/>
      <c r="D192" s="1795" t="str">
        <f>IFERROR('COSTO TOTAL'!Y43,"")</f>
        <v xml:space="preserve"> </v>
      </c>
      <c r="E192" s="297">
        <f>1/1.18</f>
        <v>0.84745762711864414</v>
      </c>
      <c r="F192" s="300" t="str">
        <f t="shared" ref="F192:F197" si="22">IFERROR(IF(OR(C192="",$D$191=""),"",C192*E192*$D$191),"")</f>
        <v/>
      </c>
      <c r="H192" s="617"/>
      <c r="I192" s="615"/>
      <c r="J192" s="594"/>
      <c r="K192" s="604"/>
    </row>
    <row r="193" spans="2:11" hidden="1" x14ac:dyDescent="0.25">
      <c r="B193" s="296" t="s">
        <v>317</v>
      </c>
      <c r="C193" s="344"/>
      <c r="D193" s="1795"/>
      <c r="E193" s="298">
        <v>1.08</v>
      </c>
      <c r="F193" s="300" t="str">
        <f t="shared" si="22"/>
        <v/>
      </c>
      <c r="H193" s="617"/>
      <c r="I193" s="615"/>
      <c r="J193" s="594"/>
      <c r="K193" s="604"/>
    </row>
    <row r="194" spans="2:11" hidden="1" x14ac:dyDescent="0.25">
      <c r="B194" s="296" t="s">
        <v>155</v>
      </c>
      <c r="C194" s="344"/>
      <c r="D194" s="1795"/>
      <c r="E194" s="346"/>
      <c r="F194" s="300" t="str">
        <f t="shared" si="22"/>
        <v/>
      </c>
      <c r="H194" s="617"/>
      <c r="I194" s="615"/>
      <c r="J194" s="594"/>
      <c r="K194" s="604"/>
    </row>
    <row r="195" spans="2:11" hidden="1" x14ac:dyDescent="0.25">
      <c r="B195" s="296" t="s">
        <v>156</v>
      </c>
      <c r="C195" s="344"/>
      <c r="D195" s="1795"/>
      <c r="E195" s="345"/>
      <c r="F195" s="300" t="str">
        <f t="shared" si="22"/>
        <v/>
      </c>
      <c r="H195" s="617"/>
      <c r="I195" s="615"/>
      <c r="J195" s="594"/>
      <c r="K195" s="604"/>
    </row>
    <row r="196" spans="2:11" hidden="1" x14ac:dyDescent="0.25">
      <c r="B196" s="296" t="s">
        <v>318</v>
      </c>
      <c r="C196" s="344"/>
      <c r="D196" s="1795"/>
      <c r="E196" s="345"/>
      <c r="F196" s="300" t="str">
        <f t="shared" si="22"/>
        <v/>
      </c>
      <c r="H196" s="617"/>
      <c r="I196" s="615"/>
      <c r="J196" s="594"/>
      <c r="K196" s="604"/>
    </row>
    <row r="197" spans="2:11" hidden="1" x14ac:dyDescent="0.25">
      <c r="B197" s="296" t="s">
        <v>100</v>
      </c>
      <c r="C197" s="344"/>
      <c r="D197" s="1796"/>
      <c r="E197" s="346"/>
      <c r="F197" s="300" t="str">
        <f t="shared" si="22"/>
        <v/>
      </c>
      <c r="H197" s="617"/>
      <c r="I197" s="615"/>
      <c r="J197" s="594"/>
      <c r="K197" s="604"/>
    </row>
    <row r="198" spans="2:11" hidden="1" x14ac:dyDescent="0.25">
      <c r="B198" s="292" t="s">
        <v>4845</v>
      </c>
      <c r="C198" s="293">
        <f>SUM(C199:C204)</f>
        <v>0</v>
      </c>
      <c r="D198" s="490" t="str">
        <f>IFERROR(IF('COSTO TOTAL'!Z44="","",'COSTO TOTAL'!Z44),"")</f>
        <v/>
      </c>
      <c r="E198" s="295"/>
      <c r="F198" s="492" t="str">
        <f>IF(AND(F199="",F200="",F201="",F202="",F203="",F204=""),"",SUM(F199:F204))</f>
        <v/>
      </c>
      <c r="H198" s="611"/>
      <c r="I198" s="603"/>
      <c r="J198" s="602"/>
      <c r="K198" s="603"/>
    </row>
    <row r="199" spans="2:11" hidden="1" x14ac:dyDescent="0.25">
      <c r="B199" s="296" t="s">
        <v>154</v>
      </c>
      <c r="C199" s="343"/>
      <c r="D199" s="1795" t="str">
        <f>IFERROR('COSTO TOTAL'!Y44,"")</f>
        <v xml:space="preserve"> </v>
      </c>
      <c r="E199" s="297">
        <f>1/1.18</f>
        <v>0.84745762711864414</v>
      </c>
      <c r="F199" s="300" t="str">
        <f t="shared" ref="F199:F204" si="23">IFERROR(IF(OR(C199="",$D$198=""),"",C199*E199*$D$198),"")</f>
        <v/>
      </c>
      <c r="H199" s="617"/>
      <c r="I199" s="615"/>
      <c r="J199" s="594"/>
      <c r="K199" s="604"/>
    </row>
    <row r="200" spans="2:11" hidden="1" x14ac:dyDescent="0.25">
      <c r="B200" s="296" t="s">
        <v>317</v>
      </c>
      <c r="C200" s="344"/>
      <c r="D200" s="1795"/>
      <c r="E200" s="298">
        <v>1.08</v>
      </c>
      <c r="F200" s="300" t="str">
        <f t="shared" si="23"/>
        <v/>
      </c>
      <c r="H200" s="617"/>
      <c r="I200" s="615"/>
      <c r="J200" s="594"/>
      <c r="K200" s="604"/>
    </row>
    <row r="201" spans="2:11" hidden="1" x14ac:dyDescent="0.25">
      <c r="B201" s="296" t="s">
        <v>155</v>
      </c>
      <c r="C201" s="344"/>
      <c r="D201" s="1795"/>
      <c r="E201" s="346"/>
      <c r="F201" s="300" t="str">
        <f t="shared" si="23"/>
        <v/>
      </c>
      <c r="H201" s="617"/>
      <c r="I201" s="615"/>
      <c r="J201" s="594"/>
      <c r="K201" s="604"/>
    </row>
    <row r="202" spans="2:11" hidden="1" x14ac:dyDescent="0.25">
      <c r="B202" s="296" t="s">
        <v>156</v>
      </c>
      <c r="C202" s="344"/>
      <c r="D202" s="1795"/>
      <c r="E202" s="345"/>
      <c r="F202" s="300" t="str">
        <f t="shared" si="23"/>
        <v/>
      </c>
      <c r="H202" s="617"/>
      <c r="I202" s="615"/>
      <c r="J202" s="594"/>
      <c r="K202" s="604"/>
    </row>
    <row r="203" spans="2:11" hidden="1" x14ac:dyDescent="0.25">
      <c r="B203" s="296" t="s">
        <v>318</v>
      </c>
      <c r="C203" s="344"/>
      <c r="D203" s="1795"/>
      <c r="E203" s="345"/>
      <c r="F203" s="300" t="str">
        <f t="shared" si="23"/>
        <v/>
      </c>
      <c r="H203" s="617"/>
      <c r="I203" s="615"/>
      <c r="J203" s="594"/>
      <c r="K203" s="604"/>
    </row>
    <row r="204" spans="2:11" hidden="1" x14ac:dyDescent="0.25">
      <c r="B204" s="296" t="s">
        <v>100</v>
      </c>
      <c r="C204" s="344"/>
      <c r="D204" s="1796"/>
      <c r="E204" s="347"/>
      <c r="F204" s="300" t="str">
        <f t="shared" si="23"/>
        <v/>
      </c>
      <c r="H204" s="617"/>
      <c r="I204" s="615"/>
      <c r="J204" s="602"/>
      <c r="K204" s="604"/>
    </row>
    <row r="205" spans="2:11" hidden="1" x14ac:dyDescent="0.25">
      <c r="B205" s="292" t="s">
        <v>4846</v>
      </c>
      <c r="C205" s="293">
        <f>SUM(C206:C211)</f>
        <v>0</v>
      </c>
      <c r="D205" s="490" t="str">
        <f>IFERROR(IF('COSTO TOTAL'!Z45="","",'COSTO TOTAL'!Z45),"")</f>
        <v/>
      </c>
      <c r="E205" s="295"/>
      <c r="F205" s="492" t="str">
        <f>IF(AND(F206="",F207="",F208="",F209="",F210="",F211=""),"",SUM(F206:F211))</f>
        <v/>
      </c>
      <c r="H205" s="611"/>
      <c r="I205" s="603"/>
      <c r="J205" s="602"/>
      <c r="K205" s="603"/>
    </row>
    <row r="206" spans="2:11" hidden="1" x14ac:dyDescent="0.25">
      <c r="B206" s="296" t="s">
        <v>154</v>
      </c>
      <c r="C206" s="343"/>
      <c r="D206" s="1797" t="str">
        <f>IFERROR('COSTO TOTAL'!Y45,"")</f>
        <v xml:space="preserve"> </v>
      </c>
      <c r="E206" s="297">
        <f>1/1.18</f>
        <v>0.84745762711864414</v>
      </c>
      <c r="F206" s="300" t="str">
        <f t="shared" ref="F206:F211" si="24">IFERROR(IF(OR(C206="",$D$205=""),"",C206*E206*$D$205),"")</f>
        <v/>
      </c>
      <c r="H206" s="617"/>
      <c r="I206" s="615"/>
      <c r="J206" s="594"/>
      <c r="K206" s="604"/>
    </row>
    <row r="207" spans="2:11" hidden="1" x14ac:dyDescent="0.25">
      <c r="B207" s="296" t="s">
        <v>317</v>
      </c>
      <c r="C207" s="344"/>
      <c r="D207" s="1795"/>
      <c r="E207" s="298">
        <v>1.08</v>
      </c>
      <c r="F207" s="300" t="str">
        <f t="shared" si="24"/>
        <v/>
      </c>
      <c r="H207" s="617"/>
      <c r="I207" s="615"/>
      <c r="J207" s="594"/>
      <c r="K207" s="604"/>
    </row>
    <row r="208" spans="2:11" hidden="1" x14ac:dyDescent="0.25">
      <c r="B208" s="296" t="s">
        <v>155</v>
      </c>
      <c r="C208" s="344"/>
      <c r="D208" s="1795"/>
      <c r="E208" s="346"/>
      <c r="F208" s="300" t="str">
        <f t="shared" si="24"/>
        <v/>
      </c>
      <c r="H208" s="617"/>
      <c r="I208" s="615"/>
      <c r="J208" s="594"/>
      <c r="K208" s="604"/>
    </row>
    <row r="209" spans="2:11" hidden="1" x14ac:dyDescent="0.25">
      <c r="B209" s="296" t="s">
        <v>156</v>
      </c>
      <c r="C209" s="344"/>
      <c r="D209" s="1795"/>
      <c r="E209" s="345"/>
      <c r="F209" s="300" t="str">
        <f t="shared" si="24"/>
        <v/>
      </c>
      <c r="H209" s="617"/>
      <c r="I209" s="615"/>
      <c r="J209" s="594"/>
      <c r="K209" s="604"/>
    </row>
    <row r="210" spans="2:11" hidden="1" x14ac:dyDescent="0.25">
      <c r="B210" s="296" t="s">
        <v>318</v>
      </c>
      <c r="C210" s="344"/>
      <c r="D210" s="1795"/>
      <c r="E210" s="345"/>
      <c r="F210" s="300" t="str">
        <f t="shared" si="24"/>
        <v/>
      </c>
      <c r="H210" s="617"/>
      <c r="I210" s="615"/>
      <c r="J210" s="594"/>
      <c r="K210" s="604"/>
    </row>
    <row r="211" spans="2:11" hidden="1" x14ac:dyDescent="0.25">
      <c r="B211" s="296" t="s">
        <v>100</v>
      </c>
      <c r="C211" s="344"/>
      <c r="D211" s="1796"/>
      <c r="E211" s="346"/>
      <c r="F211" s="300" t="str">
        <f t="shared" si="24"/>
        <v/>
      </c>
      <c r="H211" s="617"/>
      <c r="I211" s="615"/>
      <c r="J211" s="594"/>
      <c r="K211" s="604"/>
    </row>
    <row r="212" spans="2:11" hidden="1" x14ac:dyDescent="0.25">
      <c r="B212" s="292" t="s">
        <v>4847</v>
      </c>
      <c r="C212" s="293">
        <f>SUM(C213:C218)</f>
        <v>0</v>
      </c>
      <c r="D212" s="490" t="str">
        <f>IFERROR(IF('COSTO TOTAL'!Z46="","",'COSTO TOTAL'!Z46),"")</f>
        <v/>
      </c>
      <c r="E212" s="295"/>
      <c r="F212" s="492" t="str">
        <f>IF(AND(F213="",F214="",F215="",F216="",F217="",F218=""),"",SUM(F213:F218))</f>
        <v/>
      </c>
      <c r="H212" s="611"/>
      <c r="I212" s="603"/>
      <c r="J212" s="602"/>
      <c r="K212" s="603"/>
    </row>
    <row r="213" spans="2:11" hidden="1" x14ac:dyDescent="0.25">
      <c r="B213" s="296" t="s">
        <v>154</v>
      </c>
      <c r="C213" s="343"/>
      <c r="D213" s="1797" t="str">
        <f>IFERROR('COSTO TOTAL'!Y46,"")</f>
        <v xml:space="preserve"> </v>
      </c>
      <c r="E213" s="297">
        <f>1/1.18</f>
        <v>0.84745762711864414</v>
      </c>
      <c r="F213" s="300" t="str">
        <f t="shared" ref="F213:F218" si="25">IFERROR(IF(OR(C213="",$D$212=""),"",C213*E213*$D$212),"")</f>
        <v/>
      </c>
      <c r="H213" s="617"/>
      <c r="I213" s="615"/>
      <c r="J213" s="594"/>
      <c r="K213" s="604"/>
    </row>
    <row r="214" spans="2:11" hidden="1" x14ac:dyDescent="0.25">
      <c r="B214" s="296" t="s">
        <v>317</v>
      </c>
      <c r="C214" s="344"/>
      <c r="D214" s="1795"/>
      <c r="E214" s="298">
        <v>1.08</v>
      </c>
      <c r="F214" s="300" t="str">
        <f t="shared" si="25"/>
        <v/>
      </c>
      <c r="H214" s="617"/>
      <c r="I214" s="615"/>
      <c r="J214" s="594"/>
      <c r="K214" s="604"/>
    </row>
    <row r="215" spans="2:11" hidden="1" x14ac:dyDescent="0.25">
      <c r="B215" s="296" t="s">
        <v>155</v>
      </c>
      <c r="C215" s="344"/>
      <c r="D215" s="1795"/>
      <c r="E215" s="346"/>
      <c r="F215" s="300" t="str">
        <f t="shared" si="25"/>
        <v/>
      </c>
      <c r="H215" s="617"/>
      <c r="I215" s="615"/>
      <c r="J215" s="594"/>
      <c r="K215" s="604"/>
    </row>
    <row r="216" spans="2:11" hidden="1" x14ac:dyDescent="0.25">
      <c r="B216" s="296" t="s">
        <v>156</v>
      </c>
      <c r="C216" s="344"/>
      <c r="D216" s="1795"/>
      <c r="E216" s="345"/>
      <c r="F216" s="300" t="str">
        <f t="shared" si="25"/>
        <v/>
      </c>
      <c r="H216" s="617"/>
      <c r="I216" s="615"/>
      <c r="J216" s="594"/>
      <c r="K216" s="604"/>
    </row>
    <row r="217" spans="2:11" hidden="1" x14ac:dyDescent="0.25">
      <c r="B217" s="296" t="s">
        <v>318</v>
      </c>
      <c r="C217" s="344"/>
      <c r="D217" s="1795"/>
      <c r="E217" s="345"/>
      <c r="F217" s="300" t="str">
        <f t="shared" si="25"/>
        <v/>
      </c>
      <c r="H217" s="617"/>
      <c r="I217" s="615"/>
      <c r="J217" s="594"/>
      <c r="K217" s="604"/>
    </row>
    <row r="218" spans="2:11" hidden="1" x14ac:dyDescent="0.25">
      <c r="B218" s="296" t="s">
        <v>100</v>
      </c>
      <c r="C218" s="344"/>
      <c r="D218" s="1796"/>
      <c r="E218" s="346"/>
      <c r="F218" s="300" t="str">
        <f t="shared" si="25"/>
        <v/>
      </c>
      <c r="H218" s="617"/>
      <c r="I218" s="615"/>
      <c r="J218" s="594"/>
      <c r="K218" s="604"/>
    </row>
    <row r="219" spans="2:11" hidden="1" x14ac:dyDescent="0.25">
      <c r="B219" s="292" t="s">
        <v>4848</v>
      </c>
      <c r="C219" s="293">
        <f>SUM(C220:C225)</f>
        <v>0</v>
      </c>
      <c r="D219" s="490" t="str">
        <f>IFERROR(IF('COSTO TOTAL'!Z47="","",'COSTO TOTAL'!Z47),"")</f>
        <v/>
      </c>
      <c r="E219" s="295"/>
      <c r="F219" s="492" t="str">
        <f>IF(AND(F220="",F221="",F222="",F223="",F224="",F225=""),"",SUM(F220:F225))</f>
        <v/>
      </c>
      <c r="H219" s="611"/>
      <c r="I219" s="603"/>
      <c r="J219" s="602"/>
      <c r="K219" s="603"/>
    </row>
    <row r="220" spans="2:11" hidden="1" x14ac:dyDescent="0.25">
      <c r="B220" s="296" t="s">
        <v>154</v>
      </c>
      <c r="C220" s="343"/>
      <c r="D220" s="1795" t="str">
        <f>IFERROR('COSTO TOTAL'!Y47,"")</f>
        <v xml:space="preserve"> </v>
      </c>
      <c r="E220" s="297">
        <f>1/1.18</f>
        <v>0.84745762711864414</v>
      </c>
      <c r="F220" s="300" t="str">
        <f t="shared" ref="F220:F225" si="26">IFERROR(IF(OR(C220="",$D$219=""),"",C220*E220*$D$219),"")</f>
        <v/>
      </c>
      <c r="H220" s="617"/>
      <c r="I220" s="615"/>
      <c r="J220" s="594"/>
      <c r="K220" s="604"/>
    </row>
    <row r="221" spans="2:11" hidden="1" x14ac:dyDescent="0.25">
      <c r="B221" s="296" t="s">
        <v>317</v>
      </c>
      <c r="C221" s="344"/>
      <c r="D221" s="1795"/>
      <c r="E221" s="298">
        <v>1.08</v>
      </c>
      <c r="F221" s="300" t="str">
        <f t="shared" si="26"/>
        <v/>
      </c>
      <c r="H221" s="617"/>
      <c r="I221" s="615"/>
      <c r="J221" s="594"/>
      <c r="K221" s="604"/>
    </row>
    <row r="222" spans="2:11" hidden="1" x14ac:dyDescent="0.25">
      <c r="B222" s="296" t="s">
        <v>155</v>
      </c>
      <c r="C222" s="344"/>
      <c r="D222" s="1795"/>
      <c r="E222" s="346"/>
      <c r="F222" s="300" t="str">
        <f t="shared" si="26"/>
        <v/>
      </c>
      <c r="H222" s="617"/>
      <c r="I222" s="615"/>
      <c r="J222" s="594"/>
      <c r="K222" s="604"/>
    </row>
    <row r="223" spans="2:11" hidden="1" x14ac:dyDescent="0.25">
      <c r="B223" s="296" t="s">
        <v>156</v>
      </c>
      <c r="C223" s="344"/>
      <c r="D223" s="1795"/>
      <c r="E223" s="345"/>
      <c r="F223" s="300" t="str">
        <f t="shared" si="26"/>
        <v/>
      </c>
      <c r="H223" s="617"/>
      <c r="I223" s="615"/>
      <c r="J223" s="594"/>
      <c r="K223" s="604"/>
    </row>
    <row r="224" spans="2:11" hidden="1" x14ac:dyDescent="0.25">
      <c r="B224" s="296" t="s">
        <v>318</v>
      </c>
      <c r="C224" s="344"/>
      <c r="D224" s="1795"/>
      <c r="E224" s="345"/>
      <c r="F224" s="300" t="str">
        <f t="shared" si="26"/>
        <v/>
      </c>
      <c r="H224" s="617"/>
      <c r="I224" s="615"/>
      <c r="J224" s="594"/>
      <c r="K224" s="604"/>
    </row>
    <row r="225" spans="2:11" hidden="1" x14ac:dyDescent="0.25">
      <c r="B225" s="296" t="s">
        <v>100</v>
      </c>
      <c r="C225" s="344"/>
      <c r="D225" s="1796"/>
      <c r="E225" s="346"/>
      <c r="F225" s="300" t="str">
        <f t="shared" si="26"/>
        <v/>
      </c>
      <c r="H225" s="617"/>
      <c r="I225" s="615"/>
      <c r="J225" s="594"/>
      <c r="K225" s="604"/>
    </row>
    <row r="226" spans="2:11" hidden="1" x14ac:dyDescent="0.25">
      <c r="B226" s="292" t="s">
        <v>4849</v>
      </c>
      <c r="C226" s="293">
        <f>SUM(C227:C232)</f>
        <v>0</v>
      </c>
      <c r="D226" s="490" t="str">
        <f>IFERROR(IF('COSTO TOTAL'!Z48="","",'COSTO TOTAL'!Z48),"")</f>
        <v/>
      </c>
      <c r="E226" s="295"/>
      <c r="F226" s="492" t="str">
        <f>IF(AND(F227="",F228="",F229="",F230="",F231="",F232=""),"",SUM(F227:F232))</f>
        <v/>
      </c>
      <c r="H226" s="611"/>
      <c r="I226" s="603"/>
      <c r="J226" s="602"/>
      <c r="K226" s="603"/>
    </row>
    <row r="227" spans="2:11" hidden="1" x14ac:dyDescent="0.25">
      <c r="B227" s="296" t="s">
        <v>154</v>
      </c>
      <c r="C227" s="343"/>
      <c r="D227" s="1795" t="str">
        <f>IFERROR('COSTO TOTAL'!Y48,"")</f>
        <v xml:space="preserve"> </v>
      </c>
      <c r="E227" s="297">
        <f>1/1.18</f>
        <v>0.84745762711864414</v>
      </c>
      <c r="F227" s="300" t="str">
        <f t="shared" ref="F227:F232" si="27">IFERROR(IF(OR(C227="",$D$226=""),"",C227*E227*$D$226),"")</f>
        <v/>
      </c>
      <c r="H227" s="617"/>
      <c r="I227" s="615"/>
      <c r="J227" s="594"/>
      <c r="K227" s="604"/>
    </row>
    <row r="228" spans="2:11" hidden="1" x14ac:dyDescent="0.25">
      <c r="B228" s="296" t="s">
        <v>317</v>
      </c>
      <c r="C228" s="344"/>
      <c r="D228" s="1795"/>
      <c r="E228" s="298">
        <v>1.08</v>
      </c>
      <c r="F228" s="300" t="str">
        <f t="shared" si="27"/>
        <v/>
      </c>
      <c r="H228" s="617"/>
      <c r="I228" s="615"/>
      <c r="J228" s="594"/>
      <c r="K228" s="604"/>
    </row>
    <row r="229" spans="2:11" hidden="1" x14ac:dyDescent="0.25">
      <c r="B229" s="296" t="s">
        <v>155</v>
      </c>
      <c r="C229" s="344"/>
      <c r="D229" s="1795"/>
      <c r="E229" s="346"/>
      <c r="F229" s="300" t="str">
        <f t="shared" si="27"/>
        <v/>
      </c>
      <c r="H229" s="617"/>
      <c r="I229" s="615"/>
      <c r="J229" s="594"/>
      <c r="K229" s="604"/>
    </row>
    <row r="230" spans="2:11" hidden="1" x14ac:dyDescent="0.25">
      <c r="B230" s="296" t="s">
        <v>156</v>
      </c>
      <c r="C230" s="344"/>
      <c r="D230" s="1795"/>
      <c r="E230" s="345"/>
      <c r="F230" s="300" t="str">
        <f t="shared" si="27"/>
        <v/>
      </c>
      <c r="H230" s="617"/>
      <c r="I230" s="615"/>
      <c r="J230" s="594"/>
      <c r="K230" s="604"/>
    </row>
    <row r="231" spans="2:11" hidden="1" x14ac:dyDescent="0.25">
      <c r="B231" s="296" t="s">
        <v>318</v>
      </c>
      <c r="C231" s="344"/>
      <c r="D231" s="1795"/>
      <c r="E231" s="345"/>
      <c r="F231" s="300" t="str">
        <f t="shared" si="27"/>
        <v/>
      </c>
      <c r="H231" s="617"/>
      <c r="I231" s="615"/>
      <c r="J231" s="594"/>
      <c r="K231" s="604"/>
    </row>
    <row r="232" spans="2:11" hidden="1" x14ac:dyDescent="0.25">
      <c r="B232" s="296" t="s">
        <v>100</v>
      </c>
      <c r="C232" s="344"/>
      <c r="D232" s="1796"/>
      <c r="E232" s="346"/>
      <c r="F232" s="300" t="str">
        <f t="shared" si="27"/>
        <v/>
      </c>
      <c r="H232" s="617"/>
      <c r="I232" s="615"/>
      <c r="J232" s="594"/>
      <c r="K232" s="604"/>
    </row>
    <row r="233" spans="2:11" hidden="1" x14ac:dyDescent="0.25">
      <c r="B233" s="292" t="s">
        <v>4850</v>
      </c>
      <c r="C233" s="293">
        <f>SUM(C234:C239)</f>
        <v>0</v>
      </c>
      <c r="D233" s="490" t="str">
        <f>IFERROR(IF('COSTO TOTAL'!Z49="","",'COSTO TOTAL'!Z49),"")</f>
        <v/>
      </c>
      <c r="E233" s="295"/>
      <c r="F233" s="492" t="str">
        <f>IF(AND(F234="",F235="",F236="",F237="",F238="",F239=""),"",SUM(F234:F239))</f>
        <v/>
      </c>
      <c r="H233" s="611"/>
      <c r="I233" s="603"/>
      <c r="J233" s="602"/>
      <c r="K233" s="603"/>
    </row>
    <row r="234" spans="2:11" hidden="1" x14ac:dyDescent="0.25">
      <c r="B234" s="296" t="s">
        <v>154</v>
      </c>
      <c r="C234" s="343"/>
      <c r="D234" s="1795" t="str">
        <f>IFERROR('COSTO TOTAL'!Y49,"")</f>
        <v xml:space="preserve"> </v>
      </c>
      <c r="E234" s="297">
        <f>1/1.18</f>
        <v>0.84745762711864414</v>
      </c>
      <c r="F234" s="300" t="str">
        <f t="shared" ref="F234:F239" si="28">IFERROR(IF(OR(C234="",$D$233=""),"",C234*E234*$D$233),"")</f>
        <v/>
      </c>
      <c r="H234" s="617"/>
      <c r="I234" s="615"/>
      <c r="J234" s="594"/>
      <c r="K234" s="604"/>
    </row>
    <row r="235" spans="2:11" hidden="1" x14ac:dyDescent="0.25">
      <c r="B235" s="296" t="s">
        <v>317</v>
      </c>
      <c r="C235" s="344"/>
      <c r="D235" s="1795"/>
      <c r="E235" s="298">
        <v>1.08</v>
      </c>
      <c r="F235" s="300" t="str">
        <f t="shared" si="28"/>
        <v/>
      </c>
      <c r="H235" s="617"/>
      <c r="I235" s="615"/>
      <c r="J235" s="594"/>
      <c r="K235" s="604"/>
    </row>
    <row r="236" spans="2:11" hidden="1" x14ac:dyDescent="0.25">
      <c r="B236" s="296" t="s">
        <v>155</v>
      </c>
      <c r="C236" s="344"/>
      <c r="D236" s="1795"/>
      <c r="E236" s="346"/>
      <c r="F236" s="300" t="str">
        <f t="shared" si="28"/>
        <v/>
      </c>
      <c r="H236" s="617"/>
      <c r="I236" s="615"/>
      <c r="J236" s="594"/>
      <c r="K236" s="604"/>
    </row>
    <row r="237" spans="2:11" hidden="1" x14ac:dyDescent="0.25">
      <c r="B237" s="296" t="s">
        <v>156</v>
      </c>
      <c r="C237" s="344"/>
      <c r="D237" s="1795"/>
      <c r="E237" s="345"/>
      <c r="F237" s="300" t="str">
        <f t="shared" si="28"/>
        <v/>
      </c>
      <c r="H237" s="617"/>
      <c r="I237" s="615"/>
      <c r="J237" s="594"/>
      <c r="K237" s="604"/>
    </row>
    <row r="238" spans="2:11" hidden="1" x14ac:dyDescent="0.25">
      <c r="B238" s="296" t="s">
        <v>318</v>
      </c>
      <c r="C238" s="344"/>
      <c r="D238" s="1795"/>
      <c r="E238" s="345"/>
      <c r="F238" s="300" t="str">
        <f t="shared" si="28"/>
        <v/>
      </c>
      <c r="H238" s="617"/>
      <c r="I238" s="615"/>
      <c r="J238" s="594"/>
      <c r="K238" s="604"/>
    </row>
    <row r="239" spans="2:11" hidden="1" x14ac:dyDescent="0.25">
      <c r="B239" s="296" t="s">
        <v>100</v>
      </c>
      <c r="C239" s="344"/>
      <c r="D239" s="1796"/>
      <c r="E239" s="346"/>
      <c r="F239" s="300" t="str">
        <f t="shared" si="28"/>
        <v/>
      </c>
      <c r="H239" s="617"/>
      <c r="I239" s="615"/>
      <c r="J239" s="594"/>
      <c r="K239" s="604"/>
    </row>
    <row r="240" spans="2:11" hidden="1" x14ac:dyDescent="0.25">
      <c r="B240" s="292" t="s">
        <v>4851</v>
      </c>
      <c r="C240" s="293">
        <f>SUM(C241:C246)</f>
        <v>0</v>
      </c>
      <c r="D240" s="490" t="str">
        <f>IFERROR(IF('COSTO TOTAL'!Z50="","",'COSTO TOTAL'!Z50),"")</f>
        <v/>
      </c>
      <c r="E240" s="295"/>
      <c r="F240" s="492" t="str">
        <f>IF(AND(F241="",F242="",F243="",F244="",F245="",F246=""),"",SUM(F241:F246))</f>
        <v/>
      </c>
      <c r="H240" s="611"/>
      <c r="I240" s="603"/>
      <c r="J240" s="602"/>
      <c r="K240" s="603"/>
    </row>
    <row r="241" spans="2:13" hidden="1" x14ac:dyDescent="0.25">
      <c r="B241" s="296" t="s">
        <v>154</v>
      </c>
      <c r="C241" s="343"/>
      <c r="D241" s="1795" t="str">
        <f>IFERROR('COSTO TOTAL'!Y50,"")</f>
        <v xml:space="preserve"> </v>
      </c>
      <c r="E241" s="297">
        <f>1/1.18</f>
        <v>0.84745762711864414</v>
      </c>
      <c r="F241" s="300" t="str">
        <f t="shared" ref="F241:F246" si="29">IFERROR(IF(OR(C241="",$D$240=""),"",C241*E241*$D$240),"")</f>
        <v/>
      </c>
      <c r="H241" s="617"/>
      <c r="I241" s="615"/>
      <c r="J241" s="594"/>
      <c r="K241" s="604"/>
    </row>
    <row r="242" spans="2:13" hidden="1" x14ac:dyDescent="0.25">
      <c r="B242" s="296" t="s">
        <v>317</v>
      </c>
      <c r="C242" s="344"/>
      <c r="D242" s="1795"/>
      <c r="E242" s="298">
        <v>1.08</v>
      </c>
      <c r="F242" s="300" t="str">
        <f t="shared" si="29"/>
        <v/>
      </c>
      <c r="H242" s="617"/>
      <c r="I242" s="615"/>
      <c r="J242" s="594"/>
      <c r="K242" s="604"/>
    </row>
    <row r="243" spans="2:13" hidden="1" x14ac:dyDescent="0.25">
      <c r="B243" s="296" t="s">
        <v>155</v>
      </c>
      <c r="C243" s="344"/>
      <c r="D243" s="1795"/>
      <c r="E243" s="346"/>
      <c r="F243" s="300" t="str">
        <f t="shared" si="29"/>
        <v/>
      </c>
      <c r="H243" s="617"/>
      <c r="I243" s="615"/>
      <c r="J243" s="594"/>
      <c r="K243" s="604"/>
    </row>
    <row r="244" spans="2:13" hidden="1" x14ac:dyDescent="0.25">
      <c r="B244" s="296" t="s">
        <v>156</v>
      </c>
      <c r="C244" s="344"/>
      <c r="D244" s="1795"/>
      <c r="E244" s="345"/>
      <c r="F244" s="300" t="str">
        <f t="shared" si="29"/>
        <v/>
      </c>
      <c r="H244" s="617"/>
      <c r="I244" s="615"/>
      <c r="J244" s="594"/>
      <c r="K244" s="604"/>
    </row>
    <row r="245" spans="2:13" hidden="1" x14ac:dyDescent="0.25">
      <c r="B245" s="296" t="s">
        <v>318</v>
      </c>
      <c r="C245" s="344"/>
      <c r="D245" s="1795"/>
      <c r="E245" s="345"/>
      <c r="F245" s="300" t="str">
        <f t="shared" si="29"/>
        <v/>
      </c>
      <c r="H245" s="617"/>
      <c r="I245" s="615"/>
      <c r="J245" s="594"/>
      <c r="K245" s="604"/>
    </row>
    <row r="246" spans="2:13" hidden="1" x14ac:dyDescent="0.25">
      <c r="B246" s="296" t="s">
        <v>100</v>
      </c>
      <c r="C246" s="344"/>
      <c r="D246" s="1796"/>
      <c r="E246" s="347"/>
      <c r="F246" s="300" t="str">
        <f t="shared" si="29"/>
        <v/>
      </c>
      <c r="H246" s="617"/>
      <c r="I246" s="615"/>
      <c r="J246" s="602"/>
      <c r="K246" s="604"/>
    </row>
    <row r="247" spans="2:13" x14ac:dyDescent="0.25">
      <c r="B247" s="299" t="s">
        <v>113</v>
      </c>
      <c r="C247" s="1823"/>
      <c r="D247" s="300" t="str">
        <f>IFERROR(IF('COSTO TOTAL'!M96="","",'COSTO TOTAL'!M96),"")</f>
        <v/>
      </c>
      <c r="E247" s="297">
        <f>1/1.18</f>
        <v>0.84745762711864414</v>
      </c>
      <c r="F247" s="300" t="str">
        <f>IF(D247="","",D247*E247)</f>
        <v/>
      </c>
      <c r="H247" s="614"/>
      <c r="I247" s="604"/>
      <c r="J247" s="594"/>
      <c r="K247" s="604"/>
      <c r="L247" s="277"/>
      <c r="M247" s="277"/>
    </row>
    <row r="248" spans="2:13" x14ac:dyDescent="0.25">
      <c r="B248" s="299" t="s">
        <v>136</v>
      </c>
      <c r="C248" s="1824"/>
      <c r="D248" s="300" t="str">
        <f>IFERROR(IF('COSTO TOTAL'!M97="","",'COSTO TOTAL'!M97),"")</f>
        <v/>
      </c>
      <c r="E248" s="297">
        <f>1/1.18</f>
        <v>0.84745762711864414</v>
      </c>
      <c r="F248" s="300" t="str">
        <f>IF(D248="","",D248*E248)</f>
        <v/>
      </c>
      <c r="H248" s="614"/>
      <c r="I248" s="604"/>
      <c r="J248" s="594"/>
      <c r="K248" s="604"/>
      <c r="L248" s="277"/>
      <c r="M248" s="277"/>
    </row>
    <row r="249" spans="2:13" x14ac:dyDescent="0.25">
      <c r="B249" s="301" t="s">
        <v>114</v>
      </c>
      <c r="C249" s="1824"/>
      <c r="D249" s="300" t="str">
        <f>IFERROR(IF('COSTO TOTAL'!M98="","",'COSTO TOTAL'!M98),"")</f>
        <v/>
      </c>
      <c r="E249" s="297">
        <f>1/1.18</f>
        <v>0.84745762711864414</v>
      </c>
      <c r="F249" s="300" t="str">
        <f>IF(D249="","",D249*E249)</f>
        <v/>
      </c>
      <c r="H249" s="614"/>
      <c r="I249" s="604"/>
      <c r="J249" s="594"/>
      <c r="K249" s="604"/>
      <c r="L249" s="277"/>
      <c r="M249" s="277"/>
    </row>
    <row r="250" spans="2:13" x14ac:dyDescent="0.25">
      <c r="B250" s="301" t="s">
        <v>115</v>
      </c>
      <c r="C250" s="1824"/>
      <c r="D250" s="300" t="str">
        <f>IFERROR(IF('COSTO TOTAL'!M99="","",'COSTO TOTAL'!M99),"")</f>
        <v/>
      </c>
      <c r="E250" s="297">
        <f>1/1.18</f>
        <v>0.84745762711864414</v>
      </c>
      <c r="F250" s="300" t="str">
        <f>IF(D250="","",D250*E250)</f>
        <v/>
      </c>
      <c r="H250" s="614"/>
      <c r="I250" s="604"/>
      <c r="J250" s="594"/>
      <c r="K250" s="604"/>
      <c r="L250" s="277"/>
      <c r="M250" s="277"/>
    </row>
    <row r="251" spans="2:13" ht="15.75" customHeight="1" thickBot="1" x14ac:dyDescent="0.3">
      <c r="B251" s="301" t="s">
        <v>334</v>
      </c>
      <c r="C251" s="1825"/>
      <c r="D251" s="300" t="str">
        <f>IFERROR(IF('COSTO TOTAL'!M100="","",'COSTO TOTAL'!M100),"")</f>
        <v/>
      </c>
      <c r="E251" s="297">
        <f>1/1.18</f>
        <v>0.84745762711864414</v>
      </c>
      <c r="F251" s="300" t="str">
        <f>IF(D251="","",D251*E251)</f>
        <v/>
      </c>
      <c r="H251" s="614"/>
      <c r="I251" s="604"/>
      <c r="J251" s="594"/>
      <c r="K251" s="604"/>
      <c r="L251" s="277"/>
      <c r="M251" s="277"/>
    </row>
    <row r="252" spans="2:13" ht="15" customHeight="1" thickBot="1" x14ac:dyDescent="0.3">
      <c r="B252" s="302" t="s">
        <v>157</v>
      </c>
      <c r="C252" s="303"/>
      <c r="D252" s="304" t="str">
        <f>IFERROR(IF(AND(D37="",D44="",D51="",D58="",D65="",D72="",D247="",D248="",D249="",D250="",D251="",D79="",D86="",D93="",D100="",D107="",D114="",D121="",D128="",D135="",D142="",D149="",D156="",D163="",D170="",D177="",D184="",D191="",D198="",D205="",D212="",D219="",D226="",D233="",D240=""),"",SUM(D247:D251,D72,D65,D58,D51,D44,D37,D79,D86,D93,D100,D107,D114,D121,D128,D135,D142,D149,D156,D163,D170,D177,D184,D191,D198,D205,D212,D219,D226,D233,D240)),"")</f>
        <v/>
      </c>
      <c r="E252" s="305"/>
      <c r="F252" s="304" t="str">
        <f>IFERROR(IF(AND(F37="",F44="",F51="",F58="",F65="",F72="",F247="",F248="",F249="",F250="",F251="",F79="",F86="",F93="",F100="",F107="",F114="",F121="",F128="",F135="",F142="",F149="",F156="",F163="",F170="",F177="",F184="",F191="",F198="",F205="",F212="",F219="",F226="",F233="",F240=""),"",SUM(F247:F251,F72,F65,F58,F51,F44,F37,F79,F86,F93,F100,F107,F114,F121,F128,F135,F142,F149,F156,F163,F170,F177,F184,F191,F198,F205,F212,F219,F226,F233,F240)),"")</f>
        <v/>
      </c>
      <c r="H252" s="612"/>
      <c r="I252" s="609"/>
      <c r="J252" s="613"/>
      <c r="K252" s="609"/>
      <c r="L252" s="277"/>
      <c r="M252" s="277"/>
    </row>
    <row r="253" spans="2:13" ht="6.75" customHeight="1" x14ac:dyDescent="0.25">
      <c r="E253" s="291"/>
      <c r="J253" s="279"/>
      <c r="K253" s="277"/>
      <c r="L253" s="277"/>
      <c r="M253" s="277"/>
    </row>
    <row r="254" spans="2:13" ht="6" customHeight="1" x14ac:dyDescent="0.25">
      <c r="E254" s="291"/>
      <c r="J254" s="279"/>
      <c r="K254" s="277"/>
      <c r="L254" s="277"/>
      <c r="M254" s="277"/>
    </row>
    <row r="255" spans="2:13" x14ac:dyDescent="0.25">
      <c r="B255" s="284" t="s">
        <v>321</v>
      </c>
      <c r="E255" s="291"/>
      <c r="J255" s="279"/>
      <c r="K255" s="277"/>
      <c r="L255" s="277"/>
      <c r="M255" s="277"/>
    </row>
    <row r="256" spans="2:13" x14ac:dyDescent="0.25">
      <c r="B256" s="284" t="s">
        <v>319</v>
      </c>
      <c r="C256" s="279"/>
      <c r="D256" s="279"/>
      <c r="E256" s="278"/>
      <c r="F256" s="279"/>
      <c r="G256" s="279"/>
      <c r="H256" s="279"/>
      <c r="I256" s="279"/>
      <c r="J256" s="279"/>
      <c r="K256" s="277"/>
      <c r="L256" s="277"/>
      <c r="M256" s="277"/>
    </row>
    <row r="257" spans="2:13" x14ac:dyDescent="0.25">
      <c r="B257" s="284" t="s">
        <v>320</v>
      </c>
      <c r="E257" s="291"/>
      <c r="J257" s="279"/>
      <c r="K257" s="277"/>
      <c r="L257" s="277"/>
      <c r="M257" s="277"/>
    </row>
    <row r="258" spans="2:13" x14ac:dyDescent="0.25">
      <c r="B258" s="284"/>
      <c r="E258" s="291"/>
      <c r="J258" s="279"/>
      <c r="K258" s="277"/>
      <c r="L258" s="277"/>
      <c r="M258" s="277"/>
    </row>
    <row r="259" spans="2:13" x14ac:dyDescent="0.25">
      <c r="B259" s="288" t="s">
        <v>382</v>
      </c>
      <c r="E259" s="291"/>
      <c r="J259" s="279"/>
      <c r="K259" s="277"/>
      <c r="L259" s="277"/>
      <c r="M259" s="277"/>
    </row>
    <row r="260" spans="2:13" x14ac:dyDescent="0.25">
      <c r="D260" s="1798" t="s">
        <v>4775</v>
      </c>
      <c r="E260" s="1798"/>
      <c r="F260" s="1798"/>
      <c r="G260" s="278"/>
      <c r="H260" s="608"/>
      <c r="I260" s="608"/>
      <c r="J260" s="608"/>
      <c r="K260" s="608"/>
      <c r="L260" s="277"/>
      <c r="M260" s="277"/>
    </row>
    <row r="261" spans="2:13" ht="38.25" x14ac:dyDescent="0.25">
      <c r="C261" s="290" t="s">
        <v>158</v>
      </c>
      <c r="D261" s="290" t="s">
        <v>150</v>
      </c>
      <c r="E261" s="306" t="s">
        <v>151</v>
      </c>
      <c r="F261" s="290" t="s">
        <v>152</v>
      </c>
      <c r="H261" s="595"/>
      <c r="I261" s="595"/>
      <c r="J261" s="596"/>
      <c r="K261" s="595"/>
      <c r="L261" s="277"/>
      <c r="M261" s="277"/>
    </row>
    <row r="262" spans="2:13" ht="8.25" customHeight="1" thickBot="1" x14ac:dyDescent="0.3">
      <c r="H262" s="597"/>
      <c r="I262" s="597"/>
      <c r="J262" s="597"/>
      <c r="K262" s="597"/>
      <c r="L262" s="277"/>
      <c r="M262" s="277"/>
    </row>
    <row r="263" spans="2:13" ht="28.5" customHeight="1" thickBot="1" x14ac:dyDescent="0.3">
      <c r="B263" s="307" t="s">
        <v>162</v>
      </c>
      <c r="C263" s="308"/>
      <c r="D263" s="481" t="str">
        <f>IFERROR(IF(AND(D264="",D268="",D275="",D282=""),"",D264+D268+D275+D282),"")</f>
        <v/>
      </c>
      <c r="E263" s="479"/>
      <c r="F263" s="481">
        <f>IFERROR(F264+F268+F282+F275,"")</f>
        <v>0</v>
      </c>
      <c r="H263" s="276"/>
      <c r="I263" s="598"/>
      <c r="J263" s="599"/>
      <c r="K263" s="598"/>
      <c r="L263" s="277"/>
      <c r="M263" s="277"/>
    </row>
    <row r="264" spans="2:13" x14ac:dyDescent="0.25">
      <c r="B264" s="310" t="s">
        <v>122</v>
      </c>
      <c r="C264" s="311">
        <f>SUM(C265:C267)</f>
        <v>0</v>
      </c>
      <c r="D264" s="482" t="str">
        <f>IF(AND('COSTO TOTAL'!F424="",'COSTO TOTAL'!F417=""),"",'COSTO TOTAL'!F424-'COSTO TOTAL'!F417)</f>
        <v/>
      </c>
      <c r="E264" s="309"/>
      <c r="F264" s="483">
        <f>IFERROR(SUM(F265:F267),"")</f>
        <v>0</v>
      </c>
      <c r="H264" s="600"/>
      <c r="I264" s="601"/>
      <c r="J264" s="602"/>
      <c r="K264" s="603"/>
      <c r="L264" s="277"/>
      <c r="M264" s="277"/>
    </row>
    <row r="265" spans="2:13" x14ac:dyDescent="0.25">
      <c r="B265" s="296" t="s">
        <v>155</v>
      </c>
      <c r="C265" s="348"/>
      <c r="D265" s="1820"/>
      <c r="E265" s="346"/>
      <c r="F265" s="300" t="str">
        <f>IFERROR(IF(OR(C265="",$D$264=""),"",C265*E265*$D$264),"")</f>
        <v/>
      </c>
      <c r="H265" s="616"/>
      <c r="I265" s="614"/>
      <c r="J265" s="593"/>
      <c r="K265" s="604"/>
      <c r="L265" s="277"/>
      <c r="M265" s="277"/>
    </row>
    <row r="266" spans="2:13" x14ac:dyDescent="0.25">
      <c r="B266" s="296" t="s">
        <v>156</v>
      </c>
      <c r="C266" s="348"/>
      <c r="D266" s="1820"/>
      <c r="E266" s="345"/>
      <c r="F266" s="300" t="str">
        <f>IFERROR(IF(OR(C266="",$D$264=""),"",C266*E266*$D$264),"")</f>
        <v/>
      </c>
      <c r="H266" s="616"/>
      <c r="I266" s="614"/>
      <c r="J266" s="593"/>
      <c r="K266" s="604"/>
      <c r="L266" s="277"/>
      <c r="M266" s="277"/>
    </row>
    <row r="267" spans="2:13" x14ac:dyDescent="0.25">
      <c r="B267" s="296" t="s">
        <v>160</v>
      </c>
      <c r="C267" s="348"/>
      <c r="D267" s="1820"/>
      <c r="E267" s="345"/>
      <c r="F267" s="300" t="str">
        <f>IFERROR(IF(OR(C267="",$D$264=""),"",C267*E267*$D$264),"")</f>
        <v/>
      </c>
      <c r="H267" s="616"/>
      <c r="I267" s="614"/>
      <c r="J267" s="593"/>
      <c r="K267" s="604"/>
      <c r="L267" s="277"/>
      <c r="M267" s="277"/>
    </row>
    <row r="268" spans="2:13" x14ac:dyDescent="0.25">
      <c r="B268" s="310" t="s">
        <v>123</v>
      </c>
      <c r="C268" s="311">
        <f>SUM(C269:C274)</f>
        <v>0</v>
      </c>
      <c r="D268" s="482" t="str">
        <f>IFERROR(IF(AND('COSTO TOTAL'!F418="",'COSTO TOTAL'!F425=""),"",'COSTO TOTAL'!F425-'COSTO TOTAL'!F418),"")</f>
        <v/>
      </c>
      <c r="E268" s="295"/>
      <c r="F268" s="484">
        <f>IFERROR(SUM(F269:F274),"")</f>
        <v>0</v>
      </c>
      <c r="H268" s="600"/>
      <c r="I268" s="601"/>
      <c r="J268" s="602"/>
      <c r="K268" s="603"/>
      <c r="L268" s="277"/>
      <c r="M268" s="277"/>
    </row>
    <row r="269" spans="2:13" x14ac:dyDescent="0.25">
      <c r="B269" s="296" t="s">
        <v>154</v>
      </c>
      <c r="C269" s="348"/>
      <c r="D269" s="1821"/>
      <c r="E269" s="297">
        <f>1/1.18</f>
        <v>0.84745762711864414</v>
      </c>
      <c r="F269" s="300" t="str">
        <f t="shared" ref="F269:F274" si="30">IFERROR(IF(OR(C269="",$D$268=""),"",C269*E269*$D$268),"")</f>
        <v/>
      </c>
      <c r="H269" s="616"/>
      <c r="I269" s="614"/>
      <c r="J269" s="594"/>
      <c r="K269" s="604"/>
      <c r="L269" s="277"/>
      <c r="M269" s="277"/>
    </row>
    <row r="270" spans="2:13" x14ac:dyDescent="0.25">
      <c r="B270" s="296" t="s">
        <v>161</v>
      </c>
      <c r="C270" s="348"/>
      <c r="D270" s="1820"/>
      <c r="E270" s="298">
        <v>1.08</v>
      </c>
      <c r="F270" s="300" t="str">
        <f t="shared" si="30"/>
        <v/>
      </c>
      <c r="H270" s="616"/>
      <c r="I270" s="614"/>
      <c r="J270" s="594"/>
      <c r="K270" s="604"/>
      <c r="L270" s="277"/>
      <c r="M270" s="277"/>
    </row>
    <row r="271" spans="2:13" x14ac:dyDescent="0.25">
      <c r="B271" s="296" t="s">
        <v>155</v>
      </c>
      <c r="C271" s="348"/>
      <c r="D271" s="1820"/>
      <c r="E271" s="346"/>
      <c r="F271" s="300" t="str">
        <f t="shared" si="30"/>
        <v/>
      </c>
      <c r="H271" s="616"/>
      <c r="I271" s="614"/>
      <c r="J271" s="593"/>
      <c r="K271" s="604"/>
      <c r="L271" s="277"/>
      <c r="M271" s="277"/>
    </row>
    <row r="272" spans="2:13" x14ac:dyDescent="0.25">
      <c r="B272" s="296" t="s">
        <v>156</v>
      </c>
      <c r="C272" s="348"/>
      <c r="D272" s="1820"/>
      <c r="E272" s="345"/>
      <c r="F272" s="300" t="str">
        <f t="shared" si="30"/>
        <v/>
      </c>
      <c r="H272" s="616"/>
      <c r="I272" s="614"/>
      <c r="J272" s="593"/>
      <c r="K272" s="604"/>
      <c r="L272" s="277"/>
      <c r="M272" s="277"/>
    </row>
    <row r="273" spans="2:16" x14ac:dyDescent="0.25">
      <c r="B273" s="296" t="s">
        <v>160</v>
      </c>
      <c r="C273" s="348"/>
      <c r="D273" s="1820"/>
      <c r="E273" s="345"/>
      <c r="F273" s="300" t="str">
        <f t="shared" si="30"/>
        <v/>
      </c>
      <c r="H273" s="616"/>
      <c r="I273" s="614"/>
      <c r="J273" s="593"/>
      <c r="K273" s="604"/>
      <c r="L273" s="277"/>
      <c r="M273" s="277"/>
    </row>
    <row r="274" spans="2:16" x14ac:dyDescent="0.25">
      <c r="B274" s="296" t="s">
        <v>100</v>
      </c>
      <c r="C274" s="348"/>
      <c r="D274" s="1822"/>
      <c r="E274" s="346"/>
      <c r="F274" s="300" t="str">
        <f t="shared" si="30"/>
        <v/>
      </c>
      <c r="H274" s="616"/>
      <c r="I274" s="614"/>
      <c r="J274" s="593"/>
      <c r="K274" s="604"/>
      <c r="L274" s="277"/>
      <c r="M274" s="277"/>
    </row>
    <row r="275" spans="2:16" x14ac:dyDescent="0.25">
      <c r="B275" s="310" t="s">
        <v>64</v>
      </c>
      <c r="C275" s="311">
        <f>SUM(C276:C281)</f>
        <v>0</v>
      </c>
      <c r="D275" s="482" t="str">
        <f>IFERROR(IF(AND('COSTO TOTAL'!F426="",'COSTO TOTAL'!F419=""),"",'COSTO TOTAL'!F426-'COSTO TOTAL'!F419),"")</f>
        <v/>
      </c>
      <c r="E275" s="295"/>
      <c r="F275" s="484">
        <f>IFERROR(SUM(F276:F281),"")</f>
        <v>0</v>
      </c>
      <c r="H275" s="600"/>
      <c r="I275" s="601"/>
      <c r="J275" s="602"/>
      <c r="K275" s="603"/>
      <c r="L275" s="277"/>
      <c r="M275" s="277"/>
    </row>
    <row r="276" spans="2:16" x14ac:dyDescent="0.25">
      <c r="B276" s="296" t="s">
        <v>154</v>
      </c>
      <c r="C276" s="348"/>
      <c r="D276" s="1821"/>
      <c r="E276" s="297">
        <f>1/1.18</f>
        <v>0.84745762711864414</v>
      </c>
      <c r="F276" s="300" t="str">
        <f t="shared" ref="F276:F281" si="31">IFERROR(IF(OR(C276="",$D$275=""),"",C276*E276*$D$275),"")</f>
        <v/>
      </c>
      <c r="H276" s="616"/>
      <c r="I276" s="614"/>
      <c r="J276" s="594"/>
      <c r="K276" s="604"/>
      <c r="L276" s="277"/>
      <c r="M276" s="277"/>
    </row>
    <row r="277" spans="2:16" x14ac:dyDescent="0.25">
      <c r="B277" s="296" t="s">
        <v>161</v>
      </c>
      <c r="C277" s="348"/>
      <c r="D277" s="1820"/>
      <c r="E277" s="298">
        <v>1.08</v>
      </c>
      <c r="F277" s="300" t="str">
        <f t="shared" si="31"/>
        <v/>
      </c>
      <c r="H277" s="616"/>
      <c r="I277" s="614"/>
      <c r="J277" s="594"/>
      <c r="K277" s="604"/>
      <c r="L277" s="277"/>
      <c r="M277" s="277"/>
    </row>
    <row r="278" spans="2:16" x14ac:dyDescent="0.25">
      <c r="B278" s="296" t="s">
        <v>155</v>
      </c>
      <c r="C278" s="348"/>
      <c r="D278" s="1820"/>
      <c r="E278" s="346"/>
      <c r="F278" s="300" t="str">
        <f t="shared" si="31"/>
        <v/>
      </c>
      <c r="H278" s="616"/>
      <c r="I278" s="614"/>
      <c r="J278" s="593"/>
      <c r="K278" s="604"/>
      <c r="L278" s="277"/>
      <c r="M278" s="277"/>
    </row>
    <row r="279" spans="2:16" x14ac:dyDescent="0.25">
      <c r="B279" s="296" t="s">
        <v>156</v>
      </c>
      <c r="C279" s="348"/>
      <c r="D279" s="1820"/>
      <c r="E279" s="345"/>
      <c r="F279" s="300" t="str">
        <f t="shared" si="31"/>
        <v/>
      </c>
      <c r="H279" s="616"/>
      <c r="I279" s="614"/>
      <c r="J279" s="593"/>
      <c r="K279" s="604"/>
      <c r="L279" s="277"/>
      <c r="M279" s="277"/>
      <c r="P279" s="212"/>
    </row>
    <row r="280" spans="2:16" x14ac:dyDescent="0.25">
      <c r="B280" s="296" t="s">
        <v>160</v>
      </c>
      <c r="C280" s="348"/>
      <c r="D280" s="1820"/>
      <c r="E280" s="345"/>
      <c r="F280" s="300" t="str">
        <f t="shared" si="31"/>
        <v/>
      </c>
      <c r="H280" s="616"/>
      <c r="I280" s="614"/>
      <c r="J280" s="593"/>
      <c r="K280" s="604"/>
      <c r="L280" s="277"/>
      <c r="M280" s="277"/>
    </row>
    <row r="281" spans="2:16" x14ac:dyDescent="0.25">
      <c r="B281" s="296" t="s">
        <v>100</v>
      </c>
      <c r="C281" s="348"/>
      <c r="D281" s="1822"/>
      <c r="E281" s="346"/>
      <c r="F281" s="300" t="str">
        <f t="shared" si="31"/>
        <v/>
      </c>
      <c r="H281" s="616"/>
      <c r="I281" s="614"/>
      <c r="J281" s="593"/>
      <c r="K281" s="604"/>
      <c r="L281" s="277"/>
      <c r="M281" s="277"/>
    </row>
    <row r="282" spans="2:16" x14ac:dyDescent="0.25">
      <c r="B282" s="310" t="s">
        <v>71</v>
      </c>
      <c r="C282" s="311">
        <f>SUM(C283:C288)</f>
        <v>0</v>
      </c>
      <c r="D282" s="482" t="str">
        <f>IFERROR(IF(AND('COSTO TOTAL'!F427="",'COSTO TOTAL'!F420=""),"",'COSTO TOTAL'!F427-'COSTO TOTAL'!F420),"")</f>
        <v/>
      </c>
      <c r="E282" s="295"/>
      <c r="F282" s="484">
        <f>IFERROR(SUM(F283:F288),"")</f>
        <v>0</v>
      </c>
      <c r="H282" s="600"/>
      <c r="I282" s="601"/>
      <c r="J282" s="602"/>
      <c r="K282" s="603"/>
      <c r="L282" s="277"/>
      <c r="M282" s="277"/>
    </row>
    <row r="283" spans="2:16" x14ac:dyDescent="0.25">
      <c r="B283" s="296" t="s">
        <v>154</v>
      </c>
      <c r="C283" s="348"/>
      <c r="D283" s="1821"/>
      <c r="E283" s="297">
        <f>1/1.18</f>
        <v>0.84745762711864414</v>
      </c>
      <c r="F283" s="300" t="str">
        <f t="shared" ref="F283:F288" si="32">IFERROR(IF(OR(C283="",$D$282=""),"",C283*E283*$D$282),"")</f>
        <v/>
      </c>
      <c r="H283" s="616"/>
      <c r="I283" s="614"/>
      <c r="J283" s="594"/>
      <c r="K283" s="604"/>
      <c r="L283" s="277"/>
      <c r="M283" s="277"/>
    </row>
    <row r="284" spans="2:16" x14ac:dyDescent="0.25">
      <c r="B284" s="296" t="s">
        <v>161</v>
      </c>
      <c r="C284" s="348"/>
      <c r="D284" s="1820"/>
      <c r="E284" s="298">
        <v>1.08</v>
      </c>
      <c r="F284" s="300" t="str">
        <f t="shared" si="32"/>
        <v/>
      </c>
      <c r="H284" s="616"/>
      <c r="I284" s="614"/>
      <c r="J284" s="594"/>
      <c r="K284" s="604"/>
      <c r="L284" s="277"/>
      <c r="M284" s="277"/>
    </row>
    <row r="285" spans="2:16" x14ac:dyDescent="0.25">
      <c r="B285" s="296" t="s">
        <v>155</v>
      </c>
      <c r="C285" s="348"/>
      <c r="D285" s="1820"/>
      <c r="E285" s="346"/>
      <c r="F285" s="300" t="str">
        <f t="shared" si="32"/>
        <v/>
      </c>
      <c r="H285" s="616"/>
      <c r="I285" s="614"/>
      <c r="J285" s="593"/>
      <c r="K285" s="604"/>
      <c r="L285" s="277"/>
      <c r="M285" s="277"/>
    </row>
    <row r="286" spans="2:16" x14ac:dyDescent="0.25">
      <c r="B286" s="296" t="s">
        <v>156</v>
      </c>
      <c r="C286" s="348"/>
      <c r="D286" s="1820"/>
      <c r="E286" s="345"/>
      <c r="F286" s="300" t="str">
        <f t="shared" si="32"/>
        <v/>
      </c>
      <c r="H286" s="616"/>
      <c r="I286" s="614"/>
      <c r="J286" s="593"/>
      <c r="K286" s="604"/>
      <c r="L286" s="277"/>
      <c r="M286" s="277"/>
    </row>
    <row r="287" spans="2:16" x14ac:dyDescent="0.25">
      <c r="B287" s="296" t="s">
        <v>160</v>
      </c>
      <c r="C287" s="348"/>
      <c r="D287" s="1820"/>
      <c r="E287" s="345"/>
      <c r="F287" s="300" t="str">
        <f t="shared" si="32"/>
        <v/>
      </c>
      <c r="H287" s="616"/>
      <c r="I287" s="614"/>
      <c r="J287" s="593"/>
      <c r="K287" s="604"/>
      <c r="L287" s="277"/>
      <c r="M287" s="277"/>
    </row>
    <row r="288" spans="2:16" ht="15.75" thickBot="1" x14ac:dyDescent="0.3">
      <c r="B288" s="296" t="s">
        <v>100</v>
      </c>
      <c r="C288" s="348"/>
      <c r="D288" s="1820"/>
      <c r="E288" s="346"/>
      <c r="F288" s="300" t="str">
        <f t="shared" si="32"/>
        <v/>
      </c>
      <c r="H288" s="616"/>
      <c r="I288" s="614"/>
      <c r="J288" s="593"/>
      <c r="K288" s="604"/>
      <c r="L288" s="277"/>
      <c r="M288" s="277"/>
    </row>
    <row r="289" spans="2:13" ht="28.5" customHeight="1" thickBot="1" x14ac:dyDescent="0.3">
      <c r="B289" s="307" t="s">
        <v>159</v>
      </c>
      <c r="C289" s="312"/>
      <c r="D289" s="480" t="str">
        <f>IFERROR(IF(D290="","",D290),"")</f>
        <v/>
      </c>
      <c r="E289" s="313"/>
      <c r="F289" s="486">
        <f>IFERROR(IF(F290="","",SUM(F291:F296)),"")</f>
        <v>0</v>
      </c>
      <c r="H289" s="276"/>
      <c r="I289" s="605"/>
      <c r="J289" s="606"/>
      <c r="K289" s="607"/>
      <c r="L289" s="277"/>
      <c r="M289" s="277"/>
    </row>
    <row r="290" spans="2:13" ht="30" customHeight="1" x14ac:dyDescent="0.25">
      <c r="B290" s="310" t="s">
        <v>4827</v>
      </c>
      <c r="C290" s="311">
        <f>SUM(C291:C296)</f>
        <v>0</v>
      </c>
      <c r="D290" s="485" t="str">
        <f>IFERROR(IF(AND('COSTO TOTAL'!F429="",'COSTO TOTAL'!F422=""),"",'COSTO TOTAL'!F429-'COSTO TOTAL'!F422),"")</f>
        <v/>
      </c>
      <c r="E290" s="295"/>
      <c r="F290" s="485">
        <f>IFERROR(SUM(F291:F296),"")</f>
        <v>0</v>
      </c>
      <c r="H290" s="600"/>
      <c r="I290" s="598"/>
      <c r="J290" s="602"/>
      <c r="K290" s="598"/>
      <c r="L290" s="277"/>
      <c r="M290" s="277"/>
    </row>
    <row r="291" spans="2:13" x14ac:dyDescent="0.25">
      <c r="B291" s="296" t="s">
        <v>154</v>
      </c>
      <c r="C291" s="348"/>
      <c r="D291" s="1821"/>
      <c r="E291" s="297">
        <f>1/1.18</f>
        <v>0.84745762711864414</v>
      </c>
      <c r="F291" s="300" t="str">
        <f t="shared" ref="F291:F296" si="33">IFERROR(IF(OR(C291="",$D$290=""),"",C291*E291*$D$290),"")</f>
        <v/>
      </c>
      <c r="H291" s="616"/>
      <c r="I291" s="614"/>
      <c r="J291" s="594"/>
      <c r="K291" s="604"/>
      <c r="L291" s="277"/>
      <c r="M291" s="277"/>
    </row>
    <row r="292" spans="2:13" x14ac:dyDescent="0.25">
      <c r="B292" s="296" t="s">
        <v>161</v>
      </c>
      <c r="C292" s="348"/>
      <c r="D292" s="1820"/>
      <c r="E292" s="298">
        <v>1.08</v>
      </c>
      <c r="F292" s="300" t="str">
        <f t="shared" si="33"/>
        <v/>
      </c>
      <c r="H292" s="616"/>
      <c r="I292" s="614"/>
      <c r="J292" s="594"/>
      <c r="K292" s="604"/>
      <c r="L292" s="277"/>
      <c r="M292" s="277"/>
    </row>
    <row r="293" spans="2:13" x14ac:dyDescent="0.25">
      <c r="B293" s="296" t="s">
        <v>155</v>
      </c>
      <c r="C293" s="348"/>
      <c r="D293" s="1820"/>
      <c r="E293" s="346"/>
      <c r="F293" s="300" t="str">
        <f t="shared" si="33"/>
        <v/>
      </c>
      <c r="H293" s="616"/>
      <c r="I293" s="614"/>
      <c r="J293" s="593"/>
      <c r="K293" s="604"/>
      <c r="L293" s="277"/>
      <c r="M293" s="277"/>
    </row>
    <row r="294" spans="2:13" x14ac:dyDescent="0.25">
      <c r="B294" s="296" t="s">
        <v>156</v>
      </c>
      <c r="C294" s="348"/>
      <c r="D294" s="1820"/>
      <c r="E294" s="345"/>
      <c r="F294" s="300" t="str">
        <f t="shared" si="33"/>
        <v/>
      </c>
      <c r="H294" s="616"/>
      <c r="I294" s="614"/>
      <c r="J294" s="593"/>
      <c r="K294" s="604"/>
      <c r="L294" s="277"/>
      <c r="M294" s="277"/>
    </row>
    <row r="295" spans="2:13" x14ac:dyDescent="0.25">
      <c r="B295" s="296" t="s">
        <v>160</v>
      </c>
      <c r="C295" s="348"/>
      <c r="D295" s="1820"/>
      <c r="E295" s="345"/>
      <c r="F295" s="300" t="str">
        <f t="shared" si="33"/>
        <v/>
      </c>
      <c r="H295" s="616"/>
      <c r="I295" s="614"/>
      <c r="J295" s="593"/>
      <c r="K295" s="604"/>
      <c r="L295" s="277"/>
      <c r="M295" s="277"/>
    </row>
    <row r="296" spans="2:13" x14ac:dyDescent="0.25">
      <c r="B296" s="296" t="s">
        <v>100</v>
      </c>
      <c r="C296" s="348"/>
      <c r="D296" s="1822"/>
      <c r="E296" s="346"/>
      <c r="F296" s="300" t="str">
        <f t="shared" si="33"/>
        <v/>
      </c>
      <c r="H296" s="616"/>
      <c r="I296" s="614"/>
      <c r="J296" s="593"/>
      <c r="K296" s="604"/>
      <c r="L296" s="277"/>
      <c r="M296" s="277"/>
    </row>
    <row r="297" spans="2:13" x14ac:dyDescent="0.25">
      <c r="B297" s="287"/>
      <c r="C297" s="279"/>
      <c r="D297" s="279"/>
      <c r="E297" s="278"/>
      <c r="F297" s="279"/>
      <c r="G297" s="279"/>
      <c r="H297" s="279"/>
      <c r="I297" s="279"/>
      <c r="J297" s="279"/>
      <c r="K297" s="277"/>
      <c r="L297" s="277"/>
      <c r="M297" s="277"/>
    </row>
    <row r="298" spans="2:13" x14ac:dyDescent="0.25">
      <c r="B298" s="287"/>
      <c r="C298" s="418"/>
      <c r="D298" s="418"/>
      <c r="E298" s="278"/>
      <c r="F298" s="418"/>
      <c r="G298" s="418"/>
      <c r="H298" s="418"/>
      <c r="I298" s="418"/>
      <c r="J298" s="418"/>
      <c r="K298" s="277"/>
      <c r="L298" s="277"/>
      <c r="M298" s="277"/>
    </row>
    <row r="299" spans="2:13" ht="18" customHeight="1" x14ac:dyDescent="0.25">
      <c r="B299" s="1803" t="s">
        <v>4949</v>
      </c>
      <c r="C299" s="1803"/>
      <c r="D299" s="1803"/>
      <c r="E299" s="1803"/>
      <c r="F299" s="1803"/>
      <c r="G299" s="1803"/>
      <c r="H299" s="1803"/>
      <c r="I299" s="1803"/>
      <c r="J299" s="1803"/>
      <c r="K299" s="1803"/>
      <c r="L299" s="1803"/>
      <c r="M299" s="1803"/>
    </row>
    <row r="300" spans="2:13" ht="15" customHeight="1" x14ac:dyDescent="0.25">
      <c r="B300" s="314"/>
      <c r="C300" s="314"/>
      <c r="D300" s="314"/>
      <c r="E300" s="314"/>
      <c r="F300" s="314"/>
      <c r="G300" s="314"/>
      <c r="H300" s="314"/>
      <c r="I300" s="314"/>
      <c r="J300" s="314"/>
      <c r="K300" s="314"/>
      <c r="L300" s="314"/>
      <c r="M300" s="314"/>
    </row>
    <row r="301" spans="2:13" x14ac:dyDescent="0.25">
      <c r="B301" s="315" t="s">
        <v>4771</v>
      </c>
      <c r="C301" s="316"/>
      <c r="D301" s="316"/>
      <c r="E301" s="286"/>
      <c r="F301" s="316"/>
      <c r="G301" s="316"/>
      <c r="H301" s="316"/>
      <c r="I301" s="316"/>
      <c r="J301" s="316"/>
      <c r="K301" s="316"/>
      <c r="L301" s="316"/>
      <c r="M301" s="316"/>
    </row>
    <row r="302" spans="2:13" x14ac:dyDescent="0.25">
      <c r="B302" s="281" t="s">
        <v>163</v>
      </c>
      <c r="C302" s="281">
        <v>0</v>
      </c>
      <c r="D302" s="282">
        <v>1</v>
      </c>
      <c r="E302" s="282">
        <v>2</v>
      </c>
      <c r="F302" s="282">
        <v>3</v>
      </c>
      <c r="G302" s="282">
        <v>4</v>
      </c>
      <c r="H302" s="282">
        <v>5</v>
      </c>
      <c r="I302" s="282">
        <v>6</v>
      </c>
      <c r="J302" s="282">
        <v>7</v>
      </c>
      <c r="K302" s="282">
        <v>8</v>
      </c>
      <c r="L302" s="282">
        <v>9</v>
      </c>
      <c r="M302" s="282">
        <v>10</v>
      </c>
    </row>
    <row r="303" spans="2:13" ht="15.75" customHeight="1" x14ac:dyDescent="0.25">
      <c r="B303" s="1819" t="s">
        <v>164</v>
      </c>
      <c r="C303" s="1819"/>
      <c r="D303" s="1819"/>
      <c r="E303" s="1819"/>
      <c r="F303" s="1819"/>
      <c r="G303" s="1819"/>
      <c r="H303" s="1819"/>
      <c r="I303" s="1819"/>
      <c r="J303" s="1819"/>
      <c r="K303" s="1819"/>
      <c r="L303" s="1819"/>
      <c r="M303" s="1819"/>
    </row>
    <row r="304" spans="2:13" x14ac:dyDescent="0.25">
      <c r="B304" s="317" t="s">
        <v>144</v>
      </c>
      <c r="C304" s="487" t="str">
        <f>IFERROR(IF(C23="","",C23),"")</f>
        <v/>
      </c>
      <c r="D304" s="487">
        <f t="shared" ref="D304:M304" si="34">IFERROR(IF(D23="","",D23*$P$340),"")</f>
        <v>0</v>
      </c>
      <c r="E304" s="487">
        <f t="shared" si="34"/>
        <v>0</v>
      </c>
      <c r="F304" s="487">
        <f t="shared" si="34"/>
        <v>0</v>
      </c>
      <c r="G304" s="487">
        <f t="shared" si="34"/>
        <v>0</v>
      </c>
      <c r="H304" s="487">
        <f t="shared" si="34"/>
        <v>0</v>
      </c>
      <c r="I304" s="487">
        <f t="shared" si="34"/>
        <v>0</v>
      </c>
      <c r="J304" s="487">
        <f t="shared" si="34"/>
        <v>0</v>
      </c>
      <c r="K304" s="487">
        <f t="shared" si="34"/>
        <v>0</v>
      </c>
      <c r="L304" s="487">
        <f t="shared" si="34"/>
        <v>0</v>
      </c>
      <c r="M304" s="487">
        <f t="shared" si="34"/>
        <v>0</v>
      </c>
    </row>
    <row r="305" spans="2:14" x14ac:dyDescent="0.25">
      <c r="B305" s="317" t="s">
        <v>145</v>
      </c>
      <c r="C305" s="487" t="str">
        <f>IFERROR(IF(C24="","",C24),"")</f>
        <v/>
      </c>
      <c r="D305" s="487" t="str">
        <f t="shared" ref="D305:M305" si="35">IFERROR(IF(D24="","",D24*$P$340),"")</f>
        <v/>
      </c>
      <c r="E305" s="487" t="str">
        <f t="shared" si="35"/>
        <v/>
      </c>
      <c r="F305" s="487" t="str">
        <f t="shared" si="35"/>
        <v/>
      </c>
      <c r="G305" s="487" t="str">
        <f t="shared" si="35"/>
        <v/>
      </c>
      <c r="H305" s="487" t="str">
        <f t="shared" si="35"/>
        <v/>
      </c>
      <c r="I305" s="487" t="str">
        <f t="shared" si="35"/>
        <v/>
      </c>
      <c r="J305" s="487" t="str">
        <f t="shared" si="35"/>
        <v/>
      </c>
      <c r="K305" s="487" t="str">
        <f t="shared" si="35"/>
        <v/>
      </c>
      <c r="L305" s="487" t="str">
        <f t="shared" si="35"/>
        <v/>
      </c>
      <c r="M305" s="487" t="str">
        <f t="shared" si="35"/>
        <v/>
      </c>
    </row>
    <row r="306" spans="2:14" x14ac:dyDescent="0.25">
      <c r="B306" s="317" t="s">
        <v>146</v>
      </c>
      <c r="C306" s="487" t="str">
        <f>IFERROR(IF(C25="","",C25),"")</f>
        <v/>
      </c>
      <c r="D306" s="487" t="str">
        <f t="shared" ref="D306:M306" si="36">IFERROR(IF(D25="","",D25*$P$340),"")</f>
        <v/>
      </c>
      <c r="E306" s="487" t="str">
        <f t="shared" si="36"/>
        <v/>
      </c>
      <c r="F306" s="487" t="str">
        <f t="shared" si="36"/>
        <v/>
      </c>
      <c r="G306" s="487" t="str">
        <f t="shared" si="36"/>
        <v/>
      </c>
      <c r="H306" s="487" t="str">
        <f t="shared" si="36"/>
        <v/>
      </c>
      <c r="I306" s="487" t="str">
        <f t="shared" si="36"/>
        <v/>
      </c>
      <c r="J306" s="487" t="str">
        <f t="shared" si="36"/>
        <v/>
      </c>
      <c r="K306" s="487" t="str">
        <f t="shared" si="36"/>
        <v/>
      </c>
      <c r="L306" s="487" t="str">
        <f t="shared" si="36"/>
        <v/>
      </c>
      <c r="M306" s="487" t="str">
        <f t="shared" si="36"/>
        <v/>
      </c>
    </row>
    <row r="307" spans="2:14" x14ac:dyDescent="0.25">
      <c r="B307" s="317" t="s">
        <v>227</v>
      </c>
      <c r="C307" s="487" t="str">
        <f>IFERROR(IF(C26="","",C26),"")</f>
        <v/>
      </c>
      <c r="D307" s="487" t="str">
        <f t="shared" ref="D307:M307" si="37">IFERROR(IF(D26="","",D26*$P$340),"")</f>
        <v/>
      </c>
      <c r="E307" s="487" t="str">
        <f t="shared" si="37"/>
        <v/>
      </c>
      <c r="F307" s="487" t="str">
        <f t="shared" si="37"/>
        <v/>
      </c>
      <c r="G307" s="487" t="str">
        <f t="shared" si="37"/>
        <v/>
      </c>
      <c r="H307" s="487" t="str">
        <f t="shared" si="37"/>
        <v/>
      </c>
      <c r="I307" s="487" t="str">
        <f t="shared" si="37"/>
        <v/>
      </c>
      <c r="J307" s="487" t="str">
        <f t="shared" si="37"/>
        <v/>
      </c>
      <c r="K307" s="487" t="str">
        <f t="shared" si="37"/>
        <v/>
      </c>
      <c r="L307" s="487" t="str">
        <f t="shared" si="37"/>
        <v/>
      </c>
      <c r="M307" s="487" t="str">
        <f t="shared" si="37"/>
        <v/>
      </c>
    </row>
    <row r="308" spans="2:14" x14ac:dyDescent="0.25">
      <c r="B308" s="318" t="s">
        <v>165</v>
      </c>
      <c r="C308" s="488">
        <f>IFERROR(SUM(C304:C307),"")</f>
        <v>0</v>
      </c>
      <c r="D308" s="488">
        <f t="shared" ref="D308:M308" si="38">IFERROR(SUM(D304:D307),"")</f>
        <v>0</v>
      </c>
      <c r="E308" s="488">
        <f t="shared" si="38"/>
        <v>0</v>
      </c>
      <c r="F308" s="488">
        <f t="shared" si="38"/>
        <v>0</v>
      </c>
      <c r="G308" s="488">
        <f t="shared" si="38"/>
        <v>0</v>
      </c>
      <c r="H308" s="488">
        <f t="shared" si="38"/>
        <v>0</v>
      </c>
      <c r="I308" s="488">
        <f t="shared" si="38"/>
        <v>0</v>
      </c>
      <c r="J308" s="488">
        <f t="shared" si="38"/>
        <v>0</v>
      </c>
      <c r="K308" s="488">
        <f t="shared" si="38"/>
        <v>0</v>
      </c>
      <c r="L308" s="488">
        <f t="shared" si="38"/>
        <v>0</v>
      </c>
      <c r="M308" s="488">
        <f t="shared" si="38"/>
        <v>0</v>
      </c>
    </row>
    <row r="309" spans="2:14" x14ac:dyDescent="0.25">
      <c r="B309" s="1826" t="s">
        <v>147</v>
      </c>
      <c r="C309" s="1826"/>
      <c r="D309" s="1826"/>
      <c r="E309" s="1826"/>
      <c r="F309" s="1826"/>
      <c r="G309" s="1826"/>
      <c r="H309" s="1826"/>
      <c r="I309" s="1826"/>
      <c r="J309" s="1826"/>
      <c r="K309" s="1826"/>
      <c r="L309" s="1826"/>
      <c r="M309" s="1826"/>
    </row>
    <row r="310" spans="2:14" ht="15" customHeight="1" x14ac:dyDescent="0.25">
      <c r="B310" s="1819" t="s">
        <v>166</v>
      </c>
      <c r="C310" s="1819"/>
      <c r="D310" s="1819"/>
      <c r="E310" s="1819"/>
      <c r="F310" s="1819"/>
      <c r="G310" s="1819"/>
      <c r="H310" s="1819"/>
      <c r="I310" s="1819"/>
      <c r="J310" s="1819"/>
      <c r="K310" s="1819"/>
      <c r="L310" s="1819"/>
      <c r="M310" s="1819"/>
    </row>
    <row r="311" spans="2:14" x14ac:dyDescent="0.25">
      <c r="B311" s="319" t="s">
        <v>167</v>
      </c>
      <c r="C311" s="487" t="str">
        <f>IFERROR(IF(F252="","",F252*$P$339),"")</f>
        <v/>
      </c>
      <c r="D311" s="487"/>
      <c r="E311" s="487"/>
      <c r="F311" s="487"/>
      <c r="G311" s="487"/>
      <c r="H311" s="487"/>
      <c r="I311" s="487"/>
      <c r="J311" s="487"/>
      <c r="K311" s="487"/>
      <c r="L311" s="487"/>
      <c r="M311" s="487"/>
    </row>
    <row r="312" spans="2:14" x14ac:dyDescent="0.25">
      <c r="B312" s="319" t="s">
        <v>331</v>
      </c>
      <c r="C312" s="487"/>
      <c r="D312" s="487"/>
      <c r="E312" s="487"/>
      <c r="F312" s="487"/>
      <c r="G312" s="487"/>
      <c r="H312" s="487"/>
      <c r="I312" s="487"/>
      <c r="J312" s="487"/>
      <c r="K312" s="487"/>
      <c r="L312" s="487"/>
      <c r="M312" s="487"/>
    </row>
    <row r="313" spans="2:14" x14ac:dyDescent="0.25">
      <c r="B313" s="319" t="s">
        <v>332</v>
      </c>
      <c r="C313" s="487"/>
      <c r="D313" s="487">
        <f>IFERROR(F289,"")</f>
        <v>0</v>
      </c>
      <c r="E313" s="487">
        <f>D313</f>
        <v>0</v>
      </c>
      <c r="F313" s="487">
        <f t="shared" ref="F313:M313" si="39">E313</f>
        <v>0</v>
      </c>
      <c r="G313" s="487">
        <f t="shared" si="39"/>
        <v>0</v>
      </c>
      <c r="H313" s="487">
        <f t="shared" si="39"/>
        <v>0</v>
      </c>
      <c r="I313" s="487">
        <f t="shared" si="39"/>
        <v>0</v>
      </c>
      <c r="J313" s="487">
        <f t="shared" si="39"/>
        <v>0</v>
      </c>
      <c r="K313" s="487">
        <f t="shared" si="39"/>
        <v>0</v>
      </c>
      <c r="L313" s="487">
        <f t="shared" si="39"/>
        <v>0</v>
      </c>
      <c r="M313" s="487">
        <f t="shared" si="39"/>
        <v>0</v>
      </c>
    </row>
    <row r="314" spans="2:14" x14ac:dyDescent="0.25">
      <c r="B314" s="319" t="s">
        <v>333</v>
      </c>
      <c r="C314" s="487"/>
      <c r="D314" s="487">
        <f>IFERROR(F263,"")</f>
        <v>0</v>
      </c>
      <c r="E314" s="487">
        <f>D314</f>
        <v>0</v>
      </c>
      <c r="F314" s="487">
        <f t="shared" ref="F314:M314" si="40">E314</f>
        <v>0</v>
      </c>
      <c r="G314" s="487">
        <f t="shared" si="40"/>
        <v>0</v>
      </c>
      <c r="H314" s="487">
        <f t="shared" si="40"/>
        <v>0</v>
      </c>
      <c r="I314" s="487">
        <f t="shared" si="40"/>
        <v>0</v>
      </c>
      <c r="J314" s="487">
        <f t="shared" si="40"/>
        <v>0</v>
      </c>
      <c r="K314" s="487">
        <f t="shared" si="40"/>
        <v>0</v>
      </c>
      <c r="L314" s="487">
        <f t="shared" si="40"/>
        <v>0</v>
      </c>
      <c r="M314" s="487">
        <f t="shared" si="40"/>
        <v>0</v>
      </c>
    </row>
    <row r="315" spans="2:14" x14ac:dyDescent="0.25">
      <c r="B315" s="319" t="s">
        <v>384</v>
      </c>
      <c r="C315" s="487"/>
      <c r="D315" s="487"/>
      <c r="E315" s="487"/>
      <c r="F315" s="487"/>
      <c r="G315" s="487"/>
      <c r="H315" s="487"/>
      <c r="I315" s="487"/>
      <c r="J315" s="487"/>
      <c r="K315" s="487"/>
      <c r="L315" s="487"/>
      <c r="M315" s="487"/>
    </row>
    <row r="316" spans="2:14" ht="15" customHeight="1" x14ac:dyDescent="0.25">
      <c r="B316" s="318" t="s">
        <v>168</v>
      </c>
      <c r="C316" s="488">
        <f>IFERROR(SUM(C311:C315),"")</f>
        <v>0</v>
      </c>
      <c r="D316" s="488">
        <f t="shared" ref="D316:M316" si="41">IFERROR(SUM(D311:D315),"")</f>
        <v>0</v>
      </c>
      <c r="E316" s="488">
        <f t="shared" si="41"/>
        <v>0</v>
      </c>
      <c r="F316" s="488">
        <f t="shared" si="41"/>
        <v>0</v>
      </c>
      <c r="G316" s="488">
        <f t="shared" si="41"/>
        <v>0</v>
      </c>
      <c r="H316" s="488">
        <f t="shared" si="41"/>
        <v>0</v>
      </c>
      <c r="I316" s="488">
        <f t="shared" si="41"/>
        <v>0</v>
      </c>
      <c r="J316" s="488">
        <f t="shared" si="41"/>
        <v>0</v>
      </c>
      <c r="K316" s="488">
        <f t="shared" si="41"/>
        <v>0</v>
      </c>
      <c r="L316" s="488">
        <f t="shared" si="41"/>
        <v>0</v>
      </c>
      <c r="M316" s="488">
        <f t="shared" si="41"/>
        <v>0</v>
      </c>
    </row>
    <row r="317" spans="2:14" ht="32.25" customHeight="1" x14ac:dyDescent="0.25">
      <c r="B317" s="320" t="s">
        <v>387</v>
      </c>
      <c r="C317" s="489">
        <f>IFERROR(C308-C316,"")</f>
        <v>0</v>
      </c>
      <c r="D317" s="489">
        <f t="shared" ref="D317:M317" si="42">IFERROR(D308-D316,"")</f>
        <v>0</v>
      </c>
      <c r="E317" s="489">
        <f t="shared" si="42"/>
        <v>0</v>
      </c>
      <c r="F317" s="489">
        <f t="shared" si="42"/>
        <v>0</v>
      </c>
      <c r="G317" s="489">
        <f t="shared" si="42"/>
        <v>0</v>
      </c>
      <c r="H317" s="489">
        <f t="shared" si="42"/>
        <v>0</v>
      </c>
      <c r="I317" s="489">
        <f t="shared" si="42"/>
        <v>0</v>
      </c>
      <c r="J317" s="489">
        <f t="shared" si="42"/>
        <v>0</v>
      </c>
      <c r="K317" s="489">
        <f t="shared" si="42"/>
        <v>0</v>
      </c>
      <c r="L317" s="489">
        <f t="shared" si="42"/>
        <v>0</v>
      </c>
      <c r="M317" s="489">
        <f t="shared" si="42"/>
        <v>0</v>
      </c>
    </row>
    <row r="318" spans="2:14" ht="15.75" customHeight="1" x14ac:dyDescent="0.25">
      <c r="B318" s="1827" t="s">
        <v>169</v>
      </c>
      <c r="C318" s="1827"/>
      <c r="D318" s="1827"/>
      <c r="E318" s="1827"/>
      <c r="F318" s="1827"/>
      <c r="G318" s="1827"/>
      <c r="H318" s="1827"/>
      <c r="I318" s="1827"/>
      <c r="J318" s="1827"/>
      <c r="K318" s="1827"/>
      <c r="L318" s="1827"/>
      <c r="M318" s="1827"/>
      <c r="N318" s="321"/>
    </row>
    <row r="319" spans="2:14" x14ac:dyDescent="0.25">
      <c r="B319" s="287"/>
      <c r="C319" s="279"/>
      <c r="D319" s="279"/>
      <c r="E319" s="278"/>
      <c r="F319" s="279"/>
      <c r="G319" s="279"/>
      <c r="H319" s="279"/>
      <c r="I319" s="279"/>
      <c r="J319" s="279"/>
      <c r="K319" s="277"/>
      <c r="L319" s="277"/>
      <c r="M319" s="277"/>
    </row>
    <row r="320" spans="2:14" x14ac:dyDescent="0.25">
      <c r="B320" s="287"/>
      <c r="C320" s="279"/>
      <c r="D320" s="279"/>
      <c r="E320" s="278"/>
      <c r="F320" s="279"/>
      <c r="G320" s="279"/>
      <c r="H320" s="279"/>
      <c r="I320" s="279"/>
      <c r="J320" s="279"/>
      <c r="K320" s="277"/>
      <c r="L320" s="277"/>
      <c r="M320" s="277"/>
    </row>
    <row r="321" spans="2:27" ht="18.75" customHeight="1" x14ac:dyDescent="0.25">
      <c r="B321" s="1803" t="s">
        <v>4950</v>
      </c>
      <c r="C321" s="1803"/>
      <c r="D321" s="1803"/>
      <c r="E321" s="1803"/>
      <c r="F321" s="1803"/>
      <c r="G321" s="1803"/>
      <c r="H321" s="1803"/>
      <c r="I321" s="1803"/>
      <c r="J321" s="1803"/>
      <c r="K321" s="1803"/>
      <c r="L321" s="1803"/>
      <c r="M321" s="1803"/>
    </row>
    <row r="322" spans="2:27" x14ac:dyDescent="0.25">
      <c r="B322" s="322"/>
      <c r="C322" s="322"/>
      <c r="D322" s="323"/>
      <c r="E322" s="323"/>
      <c r="F322" s="323"/>
      <c r="G322" s="276"/>
      <c r="H322" s="276"/>
      <c r="I322" s="276"/>
      <c r="J322" s="276"/>
      <c r="K322" s="276"/>
      <c r="L322" s="276"/>
      <c r="M322" s="276"/>
    </row>
    <row r="323" spans="2:27" ht="39" customHeight="1" x14ac:dyDescent="0.25">
      <c r="B323" s="324" t="s">
        <v>170</v>
      </c>
      <c r="C323" s="1832" t="s">
        <v>171</v>
      </c>
      <c r="D323" s="1833"/>
      <c r="E323" s="1834"/>
      <c r="F323" s="592" t="s">
        <v>79</v>
      </c>
      <c r="G323" s="588"/>
      <c r="H323" s="588"/>
      <c r="I323" s="588"/>
      <c r="J323" s="276"/>
      <c r="K323" s="276"/>
      <c r="L323" s="276"/>
      <c r="M323" s="276"/>
    </row>
    <row r="324" spans="2:27" ht="5.25" customHeight="1" x14ac:dyDescent="0.25">
      <c r="B324" s="276"/>
      <c r="C324" s="276"/>
      <c r="D324" s="276"/>
      <c r="E324" s="291"/>
      <c r="F324" s="276"/>
      <c r="G324" s="276"/>
      <c r="H324" s="276"/>
      <c r="I324" s="276"/>
      <c r="J324" s="276"/>
      <c r="K324" s="276"/>
      <c r="L324" s="276"/>
      <c r="M324" s="276"/>
    </row>
    <row r="325" spans="2:27" ht="27" customHeight="1" x14ac:dyDescent="0.25">
      <c r="B325" s="1835" t="s">
        <v>172</v>
      </c>
      <c r="C325" s="1838" t="s">
        <v>173</v>
      </c>
      <c r="D325" s="1839"/>
      <c r="E325" s="1840"/>
      <c r="F325" s="499">
        <f>IFERROR(NPV(0.08,D317:M317)+C317,"")</f>
        <v>0</v>
      </c>
      <c r="G325" s="589"/>
      <c r="H325" s="589"/>
      <c r="I325" s="589"/>
      <c r="J325" s="325"/>
      <c r="K325" s="276"/>
      <c r="L325" s="276"/>
      <c r="M325" s="276"/>
    </row>
    <row r="326" spans="2:27" ht="27" customHeight="1" x14ac:dyDescent="0.25">
      <c r="B326" s="1836"/>
      <c r="C326" s="1838" t="s">
        <v>174</v>
      </c>
      <c r="D326" s="1839"/>
      <c r="E326" s="1840"/>
      <c r="F326" s="326" t="str">
        <f>IFERROR(IRR(C317:M317),"")</f>
        <v/>
      </c>
      <c r="G326" s="590"/>
      <c r="H326" s="590"/>
      <c r="I326" s="590"/>
      <c r="J326" s="325"/>
      <c r="K326" s="276"/>
      <c r="L326" s="276"/>
      <c r="M326" s="276"/>
    </row>
    <row r="327" spans="2:27" ht="27" customHeight="1" x14ac:dyDescent="0.25">
      <c r="B327" s="1837"/>
      <c r="C327" s="1841" t="s">
        <v>175</v>
      </c>
      <c r="D327" s="1842"/>
      <c r="E327" s="1843"/>
      <c r="F327" s="327"/>
      <c r="G327" s="591"/>
      <c r="H327" s="591"/>
      <c r="I327" s="591"/>
      <c r="J327" s="325"/>
      <c r="K327" s="276"/>
      <c r="L327" s="276"/>
      <c r="M327" s="276"/>
    </row>
    <row r="328" spans="2:27" ht="21" customHeight="1" x14ac:dyDescent="0.25">
      <c r="B328" s="328" t="s">
        <v>176</v>
      </c>
      <c r="C328" s="277"/>
      <c r="D328" s="277"/>
      <c r="E328" s="329"/>
      <c r="F328" s="277"/>
      <c r="G328" s="277"/>
      <c r="H328" s="277"/>
      <c r="I328" s="43"/>
      <c r="J328" s="277"/>
      <c r="K328" s="277"/>
      <c r="L328" s="277"/>
      <c r="M328" s="277"/>
    </row>
    <row r="329" spans="2:27" ht="5.0999999999999996" customHeight="1" x14ac:dyDescent="0.25">
      <c r="B329" s="1844"/>
      <c r="C329" s="1844"/>
      <c r="D329" s="1844"/>
      <c r="E329" s="1844"/>
      <c r="F329" s="1844"/>
      <c r="G329" s="1844"/>
      <c r="H329" s="1844"/>
      <c r="I329" s="279"/>
      <c r="J329" s="330"/>
      <c r="K329" s="279"/>
      <c r="L329" s="277"/>
      <c r="M329" s="331"/>
    </row>
    <row r="330" spans="2:27" x14ac:dyDescent="0.25">
      <c r="B330" s="279"/>
      <c r="C330" s="279"/>
      <c r="D330" s="279"/>
      <c r="E330" s="278"/>
      <c r="F330" s="279"/>
      <c r="G330" s="279"/>
      <c r="H330" s="279"/>
      <c r="I330" s="279"/>
      <c r="J330" s="330"/>
      <c r="K330" s="279"/>
      <c r="L330" s="277"/>
      <c r="M330" s="331"/>
    </row>
    <row r="331" spans="2:27" ht="18.75" customHeight="1" x14ac:dyDescent="0.25">
      <c r="B331" s="1803" t="s">
        <v>4951</v>
      </c>
      <c r="C331" s="1803"/>
      <c r="D331" s="1803"/>
      <c r="E331" s="1803"/>
      <c r="F331" s="1803"/>
      <c r="G331" s="1803"/>
      <c r="H331" s="1803"/>
      <c r="I331" s="1803"/>
      <c r="J331" s="1803"/>
      <c r="K331" s="1803"/>
      <c r="L331" s="1803"/>
      <c r="M331" s="1803"/>
    </row>
    <row r="332" spans="2:27" x14ac:dyDescent="0.25">
      <c r="B332" s="1809"/>
      <c r="C332" s="1809"/>
      <c r="D332" s="1809"/>
      <c r="E332" s="1809"/>
      <c r="F332" s="1809"/>
      <c r="G332" s="1809"/>
      <c r="H332" s="1809"/>
      <c r="I332" s="1809"/>
      <c r="J332" s="1809"/>
      <c r="K332" s="1809"/>
      <c r="L332" s="1809"/>
      <c r="M332" s="1809"/>
    </row>
    <row r="333" spans="2:27" ht="17.25" customHeight="1" x14ac:dyDescent="0.25">
      <c r="B333" s="1810" t="s">
        <v>385</v>
      </c>
      <c r="C333" s="1810"/>
      <c r="D333" s="1810"/>
      <c r="E333" s="1810"/>
      <c r="F333" s="1810"/>
      <c r="G333" s="1810"/>
      <c r="H333" s="1810"/>
      <c r="I333" s="1810"/>
      <c r="J333" s="1810"/>
      <c r="K333" s="1810"/>
      <c r="L333" s="1810"/>
      <c r="M333" s="1810"/>
    </row>
    <row r="334" spans="2:27" ht="17.25" customHeight="1" x14ac:dyDescent="0.25">
      <c r="B334" s="1810"/>
      <c r="C334" s="1810"/>
      <c r="D334" s="1810"/>
      <c r="E334" s="1810"/>
      <c r="F334" s="1810"/>
      <c r="G334" s="1810"/>
      <c r="H334" s="1810"/>
      <c r="I334" s="1810"/>
      <c r="J334" s="1810"/>
      <c r="K334" s="1810"/>
      <c r="L334" s="1810"/>
      <c r="M334" s="1810"/>
    </row>
    <row r="335" spans="2:27" ht="17.25" customHeight="1" x14ac:dyDescent="0.25">
      <c r="B335" s="1810"/>
      <c r="C335" s="1810"/>
      <c r="D335" s="1810"/>
      <c r="E335" s="1810"/>
      <c r="F335" s="1810"/>
      <c r="G335" s="1810"/>
      <c r="H335" s="1810"/>
      <c r="I335" s="1810"/>
      <c r="J335" s="1810"/>
      <c r="K335" s="1810"/>
      <c r="L335" s="1810"/>
      <c r="M335" s="1810"/>
      <c r="P335" s="447"/>
      <c r="Q335" s="447"/>
      <c r="R335" s="447"/>
      <c r="S335" s="447"/>
      <c r="T335" s="447"/>
      <c r="U335" s="447"/>
      <c r="V335" s="447"/>
      <c r="W335" s="447"/>
      <c r="X335" s="447"/>
      <c r="Y335" s="447"/>
      <c r="Z335" s="447"/>
      <c r="AA335" s="447"/>
    </row>
    <row r="336" spans="2:27" x14ac:dyDescent="0.25">
      <c r="B336" s="332"/>
      <c r="C336" s="332"/>
      <c r="D336" s="332"/>
      <c r="E336" s="333"/>
      <c r="F336" s="332"/>
      <c r="G336" s="332"/>
      <c r="H336" s="332"/>
      <c r="I336" s="332"/>
      <c r="J336" s="332"/>
      <c r="K336" s="332"/>
      <c r="L336" s="332"/>
      <c r="M336" s="332"/>
      <c r="P336" s="447"/>
      <c r="Q336" s="447"/>
      <c r="R336" s="447"/>
      <c r="S336" s="447"/>
      <c r="T336" s="447"/>
      <c r="U336" s="447"/>
      <c r="V336" s="447"/>
      <c r="W336" s="447"/>
      <c r="X336" s="447"/>
      <c r="Y336" s="447"/>
      <c r="Z336" s="447"/>
      <c r="AA336" s="447"/>
    </row>
    <row r="337" spans="2:27" s="335" customFormat="1" ht="30" customHeight="1" x14ac:dyDescent="0.25">
      <c r="B337" s="1811" t="s">
        <v>177</v>
      </c>
      <c r="C337" s="1812"/>
      <c r="D337" s="1812"/>
      <c r="E337" s="1812"/>
      <c r="F337" s="1812"/>
      <c r="G337" s="1812"/>
      <c r="H337" s="1812"/>
      <c r="I337" s="1812"/>
      <c r="J337" s="1813"/>
      <c r="K337" s="1815"/>
      <c r="L337" s="1816"/>
      <c r="M337" s="334"/>
      <c r="P337" s="548"/>
      <c r="Q337" s="548"/>
      <c r="R337" s="548"/>
      <c r="S337" s="548"/>
      <c r="T337" s="548"/>
      <c r="U337" s="548"/>
      <c r="V337" s="548"/>
      <c r="W337" s="548"/>
      <c r="X337" s="548"/>
      <c r="Y337" s="548"/>
      <c r="Z337" s="548"/>
      <c r="AA337" s="548"/>
    </row>
    <row r="338" spans="2:27" s="335" customFormat="1" x14ac:dyDescent="0.25">
      <c r="B338" s="1828" t="s">
        <v>178</v>
      </c>
      <c r="C338" s="1829"/>
      <c r="D338" s="1814" t="s">
        <v>386</v>
      </c>
      <c r="E338" s="1814"/>
      <c r="F338" s="1814"/>
      <c r="G338" s="1814"/>
      <c r="H338" s="1814"/>
      <c r="I338" s="1814"/>
      <c r="J338" s="1814"/>
      <c r="L338" s="336"/>
      <c r="P338" s="548"/>
      <c r="Q338" s="548"/>
      <c r="R338" s="548"/>
      <c r="S338" s="548"/>
      <c r="T338" s="548"/>
      <c r="U338" s="548"/>
      <c r="V338" s="548"/>
      <c r="W338" s="548"/>
      <c r="X338" s="548"/>
      <c r="Y338" s="548"/>
      <c r="Z338" s="548"/>
      <c r="AA338" s="548"/>
    </row>
    <row r="339" spans="2:27" s="335" customFormat="1" x14ac:dyDescent="0.25">
      <c r="B339" s="1830"/>
      <c r="C339" s="1831"/>
      <c r="D339" s="337">
        <v>75</v>
      </c>
      <c r="E339" s="337">
        <v>50</v>
      </c>
      <c r="F339" s="337">
        <v>20</v>
      </c>
      <c r="G339" s="337">
        <v>0</v>
      </c>
      <c r="H339" s="337">
        <v>-20</v>
      </c>
      <c r="I339" s="337">
        <v>-50</v>
      </c>
      <c r="J339" s="337">
        <v>-75</v>
      </c>
      <c r="O339" s="338" t="s">
        <v>4778</v>
      </c>
      <c r="P339" s="338">
        <v>1</v>
      </c>
      <c r="Q339" s="339">
        <f>F325</f>
        <v>0</v>
      </c>
      <c r="R339" s="338">
        <v>1.75</v>
      </c>
      <c r="S339" s="338">
        <v>1.5</v>
      </c>
      <c r="T339" s="338">
        <v>1.2</v>
      </c>
      <c r="U339" s="338">
        <v>1</v>
      </c>
      <c r="V339" s="338">
        <v>0.8</v>
      </c>
      <c r="W339" s="338">
        <v>0.2</v>
      </c>
      <c r="X339" s="338">
        <v>0.25</v>
      </c>
      <c r="Y339" s="548"/>
      <c r="Z339" s="548"/>
      <c r="AA339" s="548"/>
    </row>
    <row r="340" spans="2:27" s="341" customFormat="1" ht="21" customHeight="1" x14ac:dyDescent="0.25">
      <c r="B340" s="1808" t="s">
        <v>4776</v>
      </c>
      <c r="C340" s="337">
        <v>75</v>
      </c>
      <c r="D340" s="340">
        <f>IFERROR(IF(R340="","",R340),"")</f>
        <v>0</v>
      </c>
      <c r="E340" s="340">
        <f t="shared" ref="E340:J340" si="43">IFERROR(IF(S340="","",S340),"")</f>
        <v>0</v>
      </c>
      <c r="F340" s="340">
        <f t="shared" si="43"/>
        <v>0</v>
      </c>
      <c r="G340" s="340">
        <f t="shared" si="43"/>
        <v>0</v>
      </c>
      <c r="H340" s="340">
        <f t="shared" si="43"/>
        <v>0</v>
      </c>
      <c r="I340" s="340">
        <f t="shared" si="43"/>
        <v>0</v>
      </c>
      <c r="J340" s="340">
        <f t="shared" si="43"/>
        <v>0</v>
      </c>
      <c r="O340" s="342" t="s">
        <v>4777</v>
      </c>
      <c r="P340" s="342">
        <v>1</v>
      </c>
      <c r="Q340" s="342">
        <v>1.75</v>
      </c>
      <c r="R340" s="342">
        <f t="dataTable" ref="R340:X346" dt2D="1" dtr="1" r1="P339" r2="P340"/>
        <v>0</v>
      </c>
      <c r="S340" s="342">
        <v>0</v>
      </c>
      <c r="T340" s="342">
        <v>0</v>
      </c>
      <c r="U340" s="342">
        <v>0</v>
      </c>
      <c r="V340" s="342">
        <v>0</v>
      </c>
      <c r="W340" s="342">
        <v>0</v>
      </c>
      <c r="X340" s="342">
        <v>0</v>
      </c>
      <c r="Y340" s="549"/>
      <c r="Z340" s="549"/>
      <c r="AA340" s="549"/>
    </row>
    <row r="341" spans="2:27" s="341" customFormat="1" ht="21" customHeight="1" x14ac:dyDescent="0.25">
      <c r="B341" s="1808"/>
      <c r="C341" s="337">
        <v>50</v>
      </c>
      <c r="D341" s="340">
        <f t="shared" ref="D341:D346" si="44">IFERROR(IF(R341="","",R341),"")</f>
        <v>0</v>
      </c>
      <c r="E341" s="340">
        <f t="shared" ref="E341:E346" si="45">IFERROR(IF(S341="","",S341),"")</f>
        <v>0</v>
      </c>
      <c r="F341" s="340">
        <f t="shared" ref="F341:F346" si="46">IFERROR(IF(T341="","",T341),"")</f>
        <v>0</v>
      </c>
      <c r="G341" s="340">
        <f t="shared" ref="G341:G346" si="47">IFERROR(IF(U341="","",U341),"")</f>
        <v>0</v>
      </c>
      <c r="H341" s="340">
        <f t="shared" ref="H341:H346" si="48">IFERROR(IF(V341="","",V341),"")</f>
        <v>0</v>
      </c>
      <c r="I341" s="340">
        <f t="shared" ref="I341:I346" si="49">IFERROR(IF(W341="","",W341),"")</f>
        <v>0</v>
      </c>
      <c r="J341" s="340">
        <f t="shared" ref="J341:J346" si="50">IFERROR(IF(X341="","",X341),"")</f>
        <v>0</v>
      </c>
      <c r="O341" s="342"/>
      <c r="P341" s="342"/>
      <c r="Q341" s="342">
        <v>1.5</v>
      </c>
      <c r="R341" s="342">
        <v>0</v>
      </c>
      <c r="S341" s="342">
        <v>0</v>
      </c>
      <c r="T341" s="342">
        <v>0</v>
      </c>
      <c r="U341" s="342">
        <v>0</v>
      </c>
      <c r="V341" s="342">
        <v>0</v>
      </c>
      <c r="W341" s="342">
        <v>0</v>
      </c>
      <c r="X341" s="342">
        <v>0</v>
      </c>
      <c r="Y341" s="549"/>
      <c r="Z341" s="549"/>
      <c r="AA341" s="549"/>
    </row>
    <row r="342" spans="2:27" s="341" customFormat="1" ht="21" customHeight="1" x14ac:dyDescent="0.25">
      <c r="B342" s="1808"/>
      <c r="C342" s="337">
        <v>20</v>
      </c>
      <c r="D342" s="340">
        <f t="shared" si="44"/>
        <v>0</v>
      </c>
      <c r="E342" s="340">
        <f t="shared" si="45"/>
        <v>0</v>
      </c>
      <c r="F342" s="340">
        <f t="shared" si="46"/>
        <v>0</v>
      </c>
      <c r="G342" s="340">
        <f t="shared" si="47"/>
        <v>0</v>
      </c>
      <c r="H342" s="340">
        <f t="shared" si="48"/>
        <v>0</v>
      </c>
      <c r="I342" s="340">
        <f t="shared" si="49"/>
        <v>0</v>
      </c>
      <c r="J342" s="340">
        <f t="shared" si="50"/>
        <v>0</v>
      </c>
      <c r="O342" s="342"/>
      <c r="P342" s="342"/>
      <c r="Q342" s="342">
        <v>1.2</v>
      </c>
      <c r="R342" s="342">
        <v>0</v>
      </c>
      <c r="S342" s="342">
        <v>0</v>
      </c>
      <c r="T342" s="342">
        <v>0</v>
      </c>
      <c r="U342" s="342">
        <v>0</v>
      </c>
      <c r="V342" s="342">
        <v>0</v>
      </c>
      <c r="W342" s="342">
        <v>0</v>
      </c>
      <c r="X342" s="342">
        <v>0</v>
      </c>
      <c r="Y342" s="549"/>
      <c r="Z342" s="549"/>
      <c r="AA342" s="549"/>
    </row>
    <row r="343" spans="2:27" s="341" customFormat="1" ht="21" customHeight="1" x14ac:dyDescent="0.25">
      <c r="B343" s="1808"/>
      <c r="C343" s="337">
        <v>0</v>
      </c>
      <c r="D343" s="340">
        <f t="shared" si="44"/>
        <v>0</v>
      </c>
      <c r="E343" s="340">
        <f t="shared" si="45"/>
        <v>0</v>
      </c>
      <c r="F343" s="340">
        <f t="shared" si="46"/>
        <v>0</v>
      </c>
      <c r="G343" s="340">
        <f t="shared" si="47"/>
        <v>0</v>
      </c>
      <c r="H343" s="340">
        <f t="shared" si="48"/>
        <v>0</v>
      </c>
      <c r="I343" s="340">
        <f t="shared" si="49"/>
        <v>0</v>
      </c>
      <c r="J343" s="340">
        <f t="shared" si="50"/>
        <v>0</v>
      </c>
      <c r="O343" s="342"/>
      <c r="P343" s="342"/>
      <c r="Q343" s="342">
        <v>1</v>
      </c>
      <c r="R343" s="342">
        <v>0</v>
      </c>
      <c r="S343" s="342">
        <v>0</v>
      </c>
      <c r="T343" s="342">
        <v>0</v>
      </c>
      <c r="U343" s="342">
        <v>0</v>
      </c>
      <c r="V343" s="342">
        <v>0</v>
      </c>
      <c r="W343" s="342">
        <v>0</v>
      </c>
      <c r="X343" s="342">
        <v>0</v>
      </c>
      <c r="Y343" s="549"/>
      <c r="Z343" s="549"/>
      <c r="AA343" s="549"/>
    </row>
    <row r="344" spans="2:27" s="341" customFormat="1" ht="31.5" customHeight="1" x14ac:dyDescent="0.25">
      <c r="B344" s="1808"/>
      <c r="C344" s="337">
        <v>-20</v>
      </c>
      <c r="D344" s="340">
        <f t="shared" si="44"/>
        <v>0</v>
      </c>
      <c r="E344" s="340">
        <f t="shared" si="45"/>
        <v>0</v>
      </c>
      <c r="F344" s="340">
        <f t="shared" si="46"/>
        <v>0</v>
      </c>
      <c r="G344" s="340">
        <f t="shared" si="47"/>
        <v>0</v>
      </c>
      <c r="H344" s="340">
        <f t="shared" si="48"/>
        <v>0</v>
      </c>
      <c r="I344" s="340">
        <f t="shared" si="49"/>
        <v>0</v>
      </c>
      <c r="J344" s="340">
        <f t="shared" si="50"/>
        <v>0</v>
      </c>
      <c r="O344" s="342"/>
      <c r="P344" s="342"/>
      <c r="Q344" s="342">
        <v>0.8</v>
      </c>
      <c r="R344" s="342">
        <v>0</v>
      </c>
      <c r="S344" s="342">
        <v>0</v>
      </c>
      <c r="T344" s="342">
        <v>0</v>
      </c>
      <c r="U344" s="342">
        <v>0</v>
      </c>
      <c r="V344" s="342">
        <v>0</v>
      </c>
      <c r="W344" s="342">
        <v>0</v>
      </c>
      <c r="X344" s="342">
        <v>0</v>
      </c>
      <c r="Y344" s="549"/>
      <c r="Z344" s="549"/>
      <c r="AA344" s="549"/>
    </row>
    <row r="345" spans="2:27" s="341" customFormat="1" ht="27" customHeight="1" x14ac:dyDescent="0.25">
      <c r="B345" s="1808"/>
      <c r="C345" s="337">
        <v>-50</v>
      </c>
      <c r="D345" s="340">
        <f t="shared" si="44"/>
        <v>0</v>
      </c>
      <c r="E345" s="340">
        <f t="shared" si="45"/>
        <v>0</v>
      </c>
      <c r="F345" s="340">
        <f t="shared" si="46"/>
        <v>0</v>
      </c>
      <c r="G345" s="340">
        <f t="shared" si="47"/>
        <v>0</v>
      </c>
      <c r="H345" s="340">
        <f t="shared" si="48"/>
        <v>0</v>
      </c>
      <c r="I345" s="340">
        <f t="shared" si="49"/>
        <v>0</v>
      </c>
      <c r="J345" s="340">
        <f t="shared" si="50"/>
        <v>0</v>
      </c>
      <c r="O345" s="342"/>
      <c r="P345" s="342"/>
      <c r="Q345" s="342">
        <v>0.5</v>
      </c>
      <c r="R345" s="342">
        <v>0</v>
      </c>
      <c r="S345" s="342">
        <v>0</v>
      </c>
      <c r="T345" s="342">
        <v>0</v>
      </c>
      <c r="U345" s="342">
        <v>0</v>
      </c>
      <c r="V345" s="342">
        <v>0</v>
      </c>
      <c r="W345" s="342">
        <v>0</v>
      </c>
      <c r="X345" s="342">
        <v>0</v>
      </c>
      <c r="Y345" s="549"/>
      <c r="Z345" s="549"/>
      <c r="AA345" s="549"/>
    </row>
    <row r="346" spans="2:27" s="341" customFormat="1" ht="30" customHeight="1" x14ac:dyDescent="0.25">
      <c r="B346" s="1808"/>
      <c r="C346" s="337">
        <v>-75</v>
      </c>
      <c r="D346" s="340">
        <f t="shared" si="44"/>
        <v>0</v>
      </c>
      <c r="E346" s="340">
        <f t="shared" si="45"/>
        <v>0</v>
      </c>
      <c r="F346" s="340">
        <f t="shared" si="46"/>
        <v>0</v>
      </c>
      <c r="G346" s="340">
        <f t="shared" si="47"/>
        <v>0</v>
      </c>
      <c r="H346" s="340">
        <f t="shared" si="48"/>
        <v>0</v>
      </c>
      <c r="I346" s="340">
        <f t="shared" si="49"/>
        <v>0</v>
      </c>
      <c r="J346" s="340">
        <f t="shared" si="50"/>
        <v>0</v>
      </c>
      <c r="O346" s="342"/>
      <c r="P346" s="342"/>
      <c r="Q346" s="342">
        <v>0.25</v>
      </c>
      <c r="R346" s="342">
        <v>0</v>
      </c>
      <c r="S346" s="342">
        <v>0</v>
      </c>
      <c r="T346" s="342">
        <v>0</v>
      </c>
      <c r="U346" s="342">
        <v>0</v>
      </c>
      <c r="V346" s="342">
        <v>0</v>
      </c>
      <c r="W346" s="342">
        <v>0</v>
      </c>
      <c r="X346" s="342">
        <v>0</v>
      </c>
      <c r="Y346" s="549"/>
      <c r="Z346" s="549"/>
      <c r="AA346" s="549"/>
    </row>
    <row r="347" spans="2:27" x14ac:dyDescent="0.25">
      <c r="B347" s="332"/>
      <c r="C347" s="332"/>
      <c r="D347" s="332"/>
      <c r="E347" s="333"/>
      <c r="F347" s="332"/>
      <c r="G347" s="332"/>
      <c r="H347" s="332"/>
      <c r="I347" s="332"/>
      <c r="J347" s="332"/>
      <c r="K347" s="332"/>
      <c r="L347" s="332"/>
      <c r="M347" s="332"/>
      <c r="O347" s="447"/>
      <c r="P347" s="447"/>
      <c r="Q347" s="447"/>
      <c r="R347" s="447"/>
      <c r="S347" s="447"/>
      <c r="T347" s="447"/>
      <c r="U347" s="447"/>
      <c r="V347" s="447"/>
      <c r="W347" s="447"/>
      <c r="X347" s="447"/>
      <c r="Y347" s="447"/>
      <c r="Z347" s="447"/>
      <c r="AA347" s="447"/>
    </row>
    <row r="348" spans="2:27" x14ac:dyDescent="0.25">
      <c r="O348" s="447"/>
      <c r="P348" s="447"/>
      <c r="Q348" s="447"/>
      <c r="R348" s="447"/>
      <c r="S348" s="447"/>
      <c r="T348" s="447"/>
      <c r="U348" s="447"/>
      <c r="V348" s="447"/>
      <c r="W348" s="447"/>
      <c r="X348" s="447"/>
      <c r="Y348" s="447"/>
    </row>
    <row r="349" spans="2:27" x14ac:dyDescent="0.25">
      <c r="O349" s="447"/>
      <c r="P349" s="447"/>
      <c r="Q349" s="447"/>
      <c r="R349" s="447"/>
      <c r="S349" s="447"/>
      <c r="T349" s="447"/>
      <c r="U349" s="447"/>
      <c r="V349" s="447"/>
      <c r="W349" s="447"/>
      <c r="X349" s="447"/>
      <c r="Y349" s="447"/>
    </row>
    <row r="350" spans="2:27" x14ac:dyDescent="0.25">
      <c r="O350" s="447"/>
      <c r="P350" s="447"/>
      <c r="Q350" s="447"/>
      <c r="R350" s="447"/>
      <c r="S350" s="447"/>
      <c r="T350" s="447"/>
      <c r="U350" s="447"/>
      <c r="V350" s="447"/>
      <c r="W350" s="447"/>
      <c r="X350" s="447"/>
      <c r="Y350" s="447"/>
    </row>
    <row r="351" spans="2:27" x14ac:dyDescent="0.25">
      <c r="O351" s="447"/>
      <c r="P351" s="447"/>
      <c r="Q351" s="447"/>
      <c r="R351" s="447"/>
      <c r="S351" s="447"/>
      <c r="T351" s="447"/>
      <c r="U351" s="447"/>
      <c r="V351" s="447"/>
      <c r="W351" s="447"/>
      <c r="X351" s="447"/>
      <c r="Y351" s="447"/>
    </row>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7" hidden="1" x14ac:dyDescent="0.25"/>
    <row r="648" hidden="1" x14ac:dyDescent="0.25"/>
    <row r="649" hidden="1" x14ac:dyDescent="0.25"/>
    <row r="650" hidden="1" x14ac:dyDescent="0.25"/>
  </sheetData>
  <sheetProtection algorithmName="SHA-512" hashValue="wzv7zt7yP2lMTi10k09AiXJsi6WOuI4Wdhyc8XlY7+3Hd/xIuGNbCayXVqEhZ5WKiLwisvUFPHogmm3yABszCQ==" saltValue="FFMc+YUF67OJc+38P7Z60A==" spinCount="100000" sheet="1" objects="1" scenarios="1"/>
  <dataConsolidate/>
  <mergeCells count="69">
    <mergeCell ref="B309:M309"/>
    <mergeCell ref="B310:M310"/>
    <mergeCell ref="B318:M318"/>
    <mergeCell ref="B338:C339"/>
    <mergeCell ref="C323:E323"/>
    <mergeCell ref="B325:B327"/>
    <mergeCell ref="C325:E325"/>
    <mergeCell ref="C326:E326"/>
    <mergeCell ref="C327:E327"/>
    <mergeCell ref="B321:M321"/>
    <mergeCell ref="B329:H329"/>
    <mergeCell ref="B303:M303"/>
    <mergeCell ref="D38:D43"/>
    <mergeCell ref="D265:D267"/>
    <mergeCell ref="D269:D274"/>
    <mergeCell ref="D276:D281"/>
    <mergeCell ref="D283:D288"/>
    <mergeCell ref="D291:D296"/>
    <mergeCell ref="B299:M299"/>
    <mergeCell ref="C247:C251"/>
    <mergeCell ref="D45:D50"/>
    <mergeCell ref="D52:D57"/>
    <mergeCell ref="D59:D64"/>
    <mergeCell ref="D66:D71"/>
    <mergeCell ref="D73:D78"/>
    <mergeCell ref="D136:D141"/>
    <mergeCell ref="D143:D148"/>
    <mergeCell ref="B12:M12"/>
    <mergeCell ref="B14:M14"/>
    <mergeCell ref="C16:D16"/>
    <mergeCell ref="E16:G16"/>
    <mergeCell ref="H16:J16"/>
    <mergeCell ref="K16:M16"/>
    <mergeCell ref="B340:B346"/>
    <mergeCell ref="B331:M331"/>
    <mergeCell ref="B332:M332"/>
    <mergeCell ref="B333:M335"/>
    <mergeCell ref="B337:J337"/>
    <mergeCell ref="D338:J338"/>
    <mergeCell ref="K337:L337"/>
    <mergeCell ref="D260:F260"/>
    <mergeCell ref="C18:D18"/>
    <mergeCell ref="E18:G18"/>
    <mergeCell ref="B29:M29"/>
    <mergeCell ref="H18:J18"/>
    <mergeCell ref="K18:M18"/>
    <mergeCell ref="D33:F33"/>
    <mergeCell ref="D150:D155"/>
    <mergeCell ref="D157:D162"/>
    <mergeCell ref="D164:D169"/>
    <mergeCell ref="D171:D176"/>
    <mergeCell ref="D178:D183"/>
    <mergeCell ref="D80:D85"/>
    <mergeCell ref="D87:D92"/>
    <mergeCell ref="D94:D99"/>
    <mergeCell ref="D101:D106"/>
    <mergeCell ref="D108:D113"/>
    <mergeCell ref="D220:D225"/>
    <mergeCell ref="D115:D120"/>
    <mergeCell ref="D122:D127"/>
    <mergeCell ref="D129:D134"/>
    <mergeCell ref="D227:D232"/>
    <mergeCell ref="D234:D239"/>
    <mergeCell ref="D241:D246"/>
    <mergeCell ref="D185:D190"/>
    <mergeCell ref="D192:D197"/>
    <mergeCell ref="D199:D204"/>
    <mergeCell ref="D206:D211"/>
    <mergeCell ref="D213:D218"/>
  </mergeCells>
  <conditionalFormatting sqref="D340:J346">
    <cfRule type="cellIs" dxfId="266" priority="18" operator="greaterThan">
      <formula>#REF!</formula>
    </cfRule>
  </conditionalFormatting>
  <dataValidations xWindow="547" yWindow="434" count="40">
    <dataValidation type="list" allowBlank="1" showInputMessage="1" showErrorMessage="1" promptTitle="Factor de Corrección" prompt="Diesel           0,735_x000a_Gasolina 97  0,622_x000a_Gasolina 95  0,626_x000a_Gasolina 90  0,672_x000a_Gasolina 84  0,676_x000a_GLP              0,485_x000a_GNV             0,649    " sqref="E296 E127 E134 E141 E246 E274 E288 E43 E50 E57 E148 E64 E99 E155 E239 E211 E218 E225 E71 E204 E162 E232 E169 E176 E106 E113 E78 E85 E92 E183 E120 E190 E197">
      <formula1>"0.735,0.622,0.626,0.672,0.676,0.485,0.649"</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38:C43">
      <formula1>AND(C38&lt;=1,$C$37&lt;=1)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45:C50">
      <formula1>AND(C45&lt;=1,$C$44&lt;=1)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52:C57 C59:C62 C66:C69 C73:C76 C80:C83 C87:C90">
      <formula1>AND(C52&lt;=1,$C$51&lt;=1)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63:C64">
      <formula1>AND(C63&lt;=1,$C$58&lt;=1)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70:C71">
      <formula1>AND(C70&lt;=1,$C$65&lt;=1)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77:C78">
      <formula1>AND(C77&lt;=1,$C$72&lt;=1)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265:C267">
      <formula1>AND(C265&lt;=1,$C$264&lt;=1)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269:C274">
      <formula1>AND(C269&lt;=1,$C$268&lt;=1)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276:C281">
      <formula1>AND(C276&lt;=1,$C$275&lt;=1)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283:C288">
      <formula1>AND(C283&lt;=1,$C$282&lt;=1)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291:C296">
      <formula1>AND(C291&lt;=1,$C$290&lt;=1)</formula1>
    </dataValidation>
    <dataValidation type="list" allowBlank="1" showInputMessage="1" showErrorMessage="1" promptTitle="Facotr de Corrección" prompt="Diesel           0,735_x000a_Gasolina 97  0,622_x000a_Gasolina 95  0,626_x000a_Gasolina 90  0,672_x000a_Gasolina 84  0,676_x000a_GLP              0,485_x000a_GNV             0,649    " sqref="E281">
      <formula1>"0.735,0.622,0.626,0.672,0.676,0.485,0.649"</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241:C246">
      <formula1>AND(C241&lt;=1,$C$240&lt;=1)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234:C239">
      <formula1>AND(C234&lt;=1,$C$233&lt;=1)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227:C232">
      <formula1>AND(C227&lt;=1,$C$226&lt;=1)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220:C225">
      <formula1>AND(C220&lt;=1,$C$219&lt;=1)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213:C218">
      <formula1>AND(C213&lt;=1,$C$212&lt;=1)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206:C211">
      <formula1>AND(C206&lt;=1,$C$205&lt;=1)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99:C204">
      <formula1>AND(C199&lt;=1,$C$198&lt;=1)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92:C197">
      <formula1>AND(C192&lt;=1,$C$191&lt;=1)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85:C190">
      <formula1>AND(C185&lt;=1,$C$184&lt;=1)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78:C183">
      <formula1>AND(C178&lt;=1,$C$177&lt;=1)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71:C176">
      <formula1>AND(C171&lt;=1,$C$170&lt;=1)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64:C169">
      <formula1>AND(C164&lt;=1,$C$163&lt;=1)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57:C162">
      <formula1>AND(C157&lt;=1,$C$156&lt;=1)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50:C155">
      <formula1>AND(C150&lt;=1,$C$149&lt;=1)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43:C148">
      <formula1>AND(C143&lt;=1,$C$142&lt;=1)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36:C141">
      <formula1>AND(C136&lt;=1,$C$135&lt;=1)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29:C134">
      <formula1>AND(C129&lt;=1,$C$128&lt;=1)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22:C127">
      <formula1>AND(C122&lt;=1,$C$121&lt;=1)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15:C120">
      <formula1>AND(C115&lt;=1,$C$114&lt;=1)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08:C113">
      <formula1>AND(C108&lt;=1,$C$107&lt;=1)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101:C106">
      <formula1>AND(C101&lt;=1,$C$100&lt;=1)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94:C99">
      <formula1>AND(C94&lt;=1,$C$93&lt;=1)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91:C92">
      <formula1>AND(C91&lt;=1,$C$86&lt;=1)</formula1>
    </dataValidation>
    <dataValidation type="custom" allowBlank="1" showInputMessage="1" showErrorMessage="1" errorTitle="Error" error="Ha ingresado un valor mayor a 100 o menor de 0. Intente de nuevo." promptTitle="Composición" prompt="Ingrese el valor en porcentaje, de la composición porcentual del costo de la descripción de la columna de la izquierda." sqref="C84:C85">
      <formula1>AND(C84&lt;=1,$C$79&lt;=1)</formula1>
    </dataValidation>
    <dataValidation type="list" allowBlank="1" showInputMessage="1" showErrorMessage="1" promptTitle="Factor de corrección" prompt="Lima Metropolitana   0.85_x000a_Resto de Costa          0.80_x000a_Sierra                          0.79_x000a_Selva                           0.82" sqref="E40 E89 E47 E201 E54 E124 E131 E180 E61 E215 E68 E138 E75 E145 E82 E187 E96 E152 E208 E265 E229 E271 E159 E278 E236 E285 E194 E293 E243 E103 E166 E222 E110 E117 E173">
      <formula1>"0.85,0.80,0.79,0.82"</formula1>
    </dataValidation>
    <dataValidation type="list" allowBlank="1" showInputMessage="1" showErrorMessage="1" promptTitle="Factor de Corrección" prompt="                     Urbano_x000a_Lima metro      0.80_x000a_Resto Costa    0.65_x000a_Sierra               0.60_x000a_Selva                0.61" sqref="E41 E90 E48 E202 E55 E125 E132 E181 E62 E216 E69 E139 E76 E146 E83 E188 E97 E153 E209 E266 E230 E272 E160 E279 E237 E286 E195 E294 E244 E104 E167 E223 E111 E118 E174">
      <formula1>"0.80,0.65,0.60,0.61"</formula1>
    </dataValidation>
    <dataValidation type="list" allowBlank="1" showInputMessage="1" showErrorMessage="1" promptTitle="Factor de Corrección" prompt="                     Urbano_x000a_Lima metro      0.80_x000a_Resto Costa    0.62_x000a_Sierra               0.42_x000a_Selva                0.50" sqref="E42 E203 E49 E126 E56 E133 E63 E182 E70 E217 E77 E140 E84 E147 E91 E189 E98 E154 E210 E267 E231 E273 E161 E280 E238 E287 E196 E295 E245 E105 E168 E224 E112 E119 E175">
      <formula1>"0.80,0.62,0.42,0.50"</formula1>
    </dataValidation>
  </dataValidations>
  <pageMargins left="0.70866141732283472" right="0.70866141732283472" top="0.74803149606299213" bottom="0.74803149606299213" header="0.31496062992125984" footer="0.31496062992125984"/>
  <pageSetup paperSize="9" scale="40"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legacyDrawing r:id="rId3"/>
  <controls>
    <mc:AlternateContent xmlns:mc="http://schemas.openxmlformats.org/markup-compatibility/2006">
      <mc:Choice Requires="x14">
        <control shapeId="48138" r:id="rId4" name="Determinar_Beneficios">
          <controlPr locked="0" defaultSize="0" autoLine="0" r:id="rId5">
            <anchor moveWithCells="1">
              <from>
                <xdr:col>8</xdr:col>
                <xdr:colOff>876300</xdr:colOff>
                <xdr:row>19</xdr:row>
                <xdr:rowOff>0</xdr:rowOff>
              </from>
              <to>
                <xdr:col>10</xdr:col>
                <xdr:colOff>914400</xdr:colOff>
                <xdr:row>20</xdr:row>
                <xdr:rowOff>66675</xdr:rowOff>
              </to>
            </anchor>
          </controlPr>
        </control>
      </mc:Choice>
      <mc:Fallback>
        <control shapeId="48138" r:id="rId4" name="Determinar_Beneficios"/>
      </mc:Fallback>
    </mc:AlternateContent>
    <mc:AlternateContent xmlns:mc="http://schemas.openxmlformats.org/markup-compatibility/2006">
      <mc:Choice Requires="x14">
        <control shapeId="48139" r:id="rId6" name="Ir_Anexo_Evaluacion">
          <controlPr locked="0" defaultSize="0" autoLine="0" r:id="rId7">
            <anchor moveWithCells="1">
              <from>
                <xdr:col>10</xdr:col>
                <xdr:colOff>1038225</xdr:colOff>
                <xdr:row>19</xdr:row>
                <xdr:rowOff>0</xdr:rowOff>
              </from>
              <to>
                <xdr:col>13</xdr:col>
                <xdr:colOff>19050</xdr:colOff>
                <xdr:row>20</xdr:row>
                <xdr:rowOff>66675</xdr:rowOff>
              </to>
            </anchor>
          </controlPr>
        </control>
      </mc:Choice>
      <mc:Fallback>
        <control shapeId="48139" r:id="rId6" name="Ir_Anexo_Evaluacion"/>
      </mc:Fallback>
    </mc:AlternateContent>
    <mc:AlternateContent xmlns:mc="http://schemas.openxmlformats.org/markup-compatibility/2006">
      <mc:Choice Requires="x14">
        <control shapeId="48137" r:id="rId8" name="Button 9">
          <controlPr defaultSize="0" print="0" autoFill="0" autoPict="0" macro="[0]!Analisis_Sensibilidad">
            <anchor moveWithCells="1" sizeWithCells="1">
              <from>
                <xdr:col>10</xdr:col>
                <xdr:colOff>104775</xdr:colOff>
                <xdr:row>339</xdr:row>
                <xdr:rowOff>9525</xdr:rowOff>
              </from>
              <to>
                <xdr:col>12</xdr:col>
                <xdr:colOff>962025</xdr:colOff>
                <xdr:row>340</xdr:row>
                <xdr:rowOff>228600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7" id="{4289E4A9-6121-405E-BA45-2BF86535F5CA}">
            <xm:f>'PROBLEMA-OBJETIVO'!$P$101=""</xm:f>
            <x14:dxf>
              <font>
                <color theme="0"/>
              </font>
              <fill>
                <patternFill>
                  <bgColor theme="0"/>
                </patternFill>
              </fill>
              <border>
                <right style="thin">
                  <color theme="0"/>
                </right>
                <top style="thin">
                  <color theme="0"/>
                </top>
                <bottom style="thin">
                  <color theme="0"/>
                </bottom>
                <vertical/>
                <horizontal/>
              </border>
            </x14:dxf>
          </x14:cfRule>
          <xm:sqref>F323 F325:F327</xm:sqref>
        </x14:conditionalFormatting>
        <x14:conditionalFormatting xmlns:xm="http://schemas.microsoft.com/office/excel/2006/main">
          <x14:cfRule type="expression" priority="10" id="{A974BFBF-6CD5-44C6-8669-CA56FEC8A2E6}">
            <xm:f>OR('PROBLEMA-OBJETIVO'!$P$101="",'PROBLEMA-OBJETIVO'!$P$101=1)</xm:f>
            <x14:dxf>
              <font>
                <color theme="0"/>
              </font>
              <fill>
                <patternFill>
                  <bgColor theme="0"/>
                </patternFill>
              </fill>
              <border>
                <left style="thin">
                  <color theme="0"/>
                </left>
                <right style="thin">
                  <color theme="0"/>
                </right>
                <top style="thin">
                  <color theme="0"/>
                </top>
                <bottom style="thin">
                  <color theme="0"/>
                </bottom>
                <vertical/>
                <horizontal/>
              </border>
            </x14:dxf>
          </x14:cfRule>
          <xm:sqref>H33:K34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O72"/>
  <sheetViews>
    <sheetView showGridLines="0" zoomScale="106" zoomScaleNormal="106" zoomScaleSheetLayoutView="115" workbookViewId="0">
      <pane ySplit="9" topLeftCell="A10" activePane="bottomLeft" state="frozen"/>
      <selection sqref="A1:XFD1048576"/>
      <selection pane="bottomLeft" sqref="A1:XFD1048576"/>
    </sheetView>
  </sheetViews>
  <sheetFormatPr baseColWidth="10" defaultColWidth="8.85546875" defaultRowHeight="15" x14ac:dyDescent="0.25"/>
  <cols>
    <col min="1" max="1" width="8.85546875" style="50" customWidth="1"/>
    <col min="2" max="16384" width="8.85546875" style="50"/>
  </cols>
  <sheetData>
    <row r="1" spans="1:15" x14ac:dyDescent="0.25">
      <c r="A1" s="49"/>
      <c r="B1" s="49"/>
      <c r="C1" s="49"/>
      <c r="D1" s="49"/>
      <c r="E1" s="49"/>
      <c r="F1" s="49"/>
      <c r="G1" s="49"/>
      <c r="H1" s="49"/>
      <c r="I1" s="49"/>
      <c r="J1" s="49"/>
      <c r="K1" s="49"/>
      <c r="L1" s="49"/>
      <c r="M1" s="49"/>
      <c r="N1" s="49"/>
      <c r="O1" s="49"/>
    </row>
    <row r="2" spans="1:15" x14ac:dyDescent="0.25">
      <c r="A2" s="49"/>
      <c r="B2" s="49"/>
      <c r="C2" s="49"/>
      <c r="D2" s="49"/>
      <c r="E2" s="49"/>
      <c r="F2" s="49"/>
      <c r="G2" s="49"/>
      <c r="H2" s="49"/>
      <c r="I2" s="49"/>
      <c r="J2" s="49"/>
      <c r="K2" s="49"/>
      <c r="L2" s="49"/>
      <c r="M2" s="49"/>
      <c r="N2" s="49"/>
      <c r="O2" s="49"/>
    </row>
    <row r="3" spans="1:15" x14ac:dyDescent="0.25">
      <c r="A3" s="49"/>
      <c r="B3" s="49"/>
      <c r="C3" s="49"/>
      <c r="D3" s="49"/>
      <c r="E3" s="49"/>
      <c r="F3" s="49"/>
      <c r="G3" s="49"/>
      <c r="H3" s="49"/>
      <c r="I3" s="49"/>
      <c r="J3" s="49"/>
      <c r="K3" s="49"/>
      <c r="L3" s="49"/>
      <c r="M3" s="49"/>
      <c r="N3" s="49"/>
      <c r="O3" s="49"/>
    </row>
    <row r="4" spans="1:15" x14ac:dyDescent="0.25">
      <c r="A4" s="49"/>
      <c r="B4" s="49"/>
      <c r="C4" s="49"/>
      <c r="D4" s="49"/>
      <c r="E4" s="49"/>
      <c r="F4" s="49"/>
      <c r="G4" s="49"/>
      <c r="H4" s="49"/>
      <c r="I4" s="49"/>
      <c r="J4" s="49"/>
      <c r="K4" s="49"/>
      <c r="L4" s="49"/>
      <c r="M4" s="49"/>
      <c r="N4" s="49"/>
      <c r="O4" s="49"/>
    </row>
    <row r="5" spans="1:15" x14ac:dyDescent="0.25">
      <c r="A5" s="49"/>
      <c r="B5" s="49"/>
      <c r="C5" s="49"/>
      <c r="D5" s="49"/>
      <c r="E5" s="49"/>
      <c r="F5" s="49"/>
      <c r="G5" s="49"/>
      <c r="H5" s="49"/>
      <c r="I5" s="49"/>
      <c r="J5" s="49"/>
      <c r="K5" s="49"/>
      <c r="L5" s="49"/>
      <c r="M5" s="49"/>
      <c r="N5" s="49"/>
      <c r="O5" s="49"/>
    </row>
    <row r="6" spans="1:15" x14ac:dyDescent="0.25">
      <c r="A6" s="49"/>
      <c r="B6" s="49"/>
      <c r="C6" s="49"/>
      <c r="D6" s="49"/>
      <c r="E6" s="49"/>
      <c r="F6" s="49"/>
      <c r="G6" s="49"/>
      <c r="H6" s="49"/>
      <c r="I6" s="49"/>
      <c r="J6" s="49"/>
      <c r="K6" s="49"/>
      <c r="L6" s="49"/>
      <c r="M6" s="49"/>
      <c r="N6" s="49"/>
      <c r="O6" s="49"/>
    </row>
    <row r="7" spans="1:15" x14ac:dyDescent="0.25">
      <c r="A7" s="49"/>
      <c r="B7" s="49"/>
      <c r="C7" s="49"/>
      <c r="D7" s="49"/>
      <c r="E7" s="49"/>
      <c r="F7" s="49"/>
      <c r="G7" s="49"/>
      <c r="H7" s="49"/>
      <c r="I7" s="49"/>
      <c r="J7" s="49"/>
      <c r="K7" s="49"/>
      <c r="L7" s="49"/>
      <c r="M7" s="49"/>
      <c r="N7" s="49"/>
      <c r="O7" s="49"/>
    </row>
    <row r="8" spans="1:15" x14ac:dyDescent="0.25">
      <c r="A8" s="49"/>
      <c r="B8" s="49"/>
      <c r="C8" s="49"/>
      <c r="D8" s="49"/>
      <c r="E8" s="49"/>
      <c r="F8" s="49"/>
      <c r="G8" s="49"/>
      <c r="H8" s="49"/>
      <c r="I8" s="49"/>
      <c r="J8" s="49"/>
      <c r="K8" s="49"/>
      <c r="L8" s="49"/>
      <c r="M8" s="49"/>
      <c r="N8" s="49"/>
      <c r="O8" s="49"/>
    </row>
    <row r="9" spans="1:15" x14ac:dyDescent="0.25">
      <c r="A9" s="49"/>
      <c r="B9" s="49"/>
      <c r="C9" s="49"/>
      <c r="D9" s="49"/>
      <c r="E9" s="49"/>
      <c r="F9" s="49"/>
      <c r="G9" s="49"/>
      <c r="H9" s="49"/>
      <c r="I9" s="49"/>
      <c r="J9" s="49"/>
      <c r="K9" s="49"/>
      <c r="L9" s="49"/>
      <c r="M9" s="49"/>
      <c r="N9" s="49"/>
      <c r="O9" s="49"/>
    </row>
    <row r="10" spans="1:15" s="82" customFormat="1" ht="18.75" x14ac:dyDescent="0.3">
      <c r="B10" s="82" t="s">
        <v>4890</v>
      </c>
    </row>
    <row r="12" spans="1:15" ht="25.5" customHeight="1" x14ac:dyDescent="0.25">
      <c r="B12" s="1854" t="s">
        <v>4891</v>
      </c>
      <c r="C12" s="1854"/>
      <c r="D12" s="1854"/>
      <c r="E12" s="1854"/>
      <c r="F12" s="1854"/>
      <c r="G12" s="1854"/>
      <c r="H12" s="1854"/>
      <c r="I12" s="1854"/>
      <c r="J12" s="1854"/>
      <c r="K12" s="1854"/>
      <c r="L12" s="1854"/>
      <c r="M12" s="1854"/>
    </row>
    <row r="13" spans="1:15" x14ac:dyDescent="0.25">
      <c r="B13" s="418"/>
      <c r="C13" s="418"/>
      <c r="D13" s="418"/>
      <c r="E13" s="278"/>
      <c r="F13" s="356"/>
      <c r="G13" s="356"/>
      <c r="H13" s="356"/>
      <c r="I13" s="356"/>
      <c r="J13" s="277"/>
      <c r="K13" s="277"/>
      <c r="L13" s="277"/>
      <c r="M13" s="277"/>
    </row>
    <row r="14" spans="1:15" ht="34.5" customHeight="1" x14ac:dyDescent="0.25">
      <c r="B14" s="1702" t="s">
        <v>218</v>
      </c>
      <c r="C14" s="1702"/>
      <c r="D14" s="1702"/>
      <c r="E14" s="1702" t="s">
        <v>219</v>
      </c>
      <c r="F14" s="1702"/>
      <c r="G14" s="1702"/>
      <c r="H14" s="1702" t="s">
        <v>220</v>
      </c>
      <c r="I14" s="1702"/>
      <c r="J14" s="1702"/>
      <c r="K14" s="1702" t="s">
        <v>221</v>
      </c>
      <c r="L14" s="1702"/>
      <c r="M14" s="1702"/>
    </row>
    <row r="15" spans="1:15" ht="5.45" customHeight="1" x14ac:dyDescent="0.25"/>
    <row r="16" spans="1:15" ht="105" customHeight="1" x14ac:dyDescent="0.25">
      <c r="A16" s="799" t="s">
        <v>187</v>
      </c>
      <c r="B16" s="1859" t="s">
        <v>5592</v>
      </c>
      <c r="C16" s="1859"/>
      <c r="D16" s="1859"/>
      <c r="E16" s="1860" t="str">
        <f>IFERROR("El ingreso neto de la producción de los "&amp;'UNIDAD PRODUCTORA'!E31&amp;" productores es de "&amp;ROUND(Evaluacion_economicaAnexo!C101/1000000,2)&amp;" millones de soles y se incrementará a "&amp;ROUND(Evaluacion_economicaAnexo!C210/1000000,2)&amp;" millones de soles, al primer año de entrada en funcionamiento del proyecto.","")</f>
        <v>El ingreso neto de la producción de los  productores es de 0 millones de soles y se incrementará a 0 millones de soles, al primer año de entrada en funcionamiento del proyecto.</v>
      </c>
      <c r="F16" s="1860"/>
      <c r="G16" s="1860"/>
      <c r="H16" s="1857" t="s">
        <v>5577</v>
      </c>
      <c r="I16" s="1858"/>
      <c r="J16" s="1858"/>
      <c r="K16" s="1855" t="s">
        <v>5578</v>
      </c>
      <c r="L16" s="1855"/>
      <c r="M16" s="1855"/>
    </row>
    <row r="17" spans="1:13" ht="75.75" customHeight="1" x14ac:dyDescent="0.25">
      <c r="A17" s="800" t="s">
        <v>222</v>
      </c>
      <c r="B17" s="1859" t="str">
        <f>IFERROR(IF('PROBLEMA-OBJETIVO'!B49="","",'PROBLEMA-OBJETIVO'!B49),"")</f>
        <v>Eficiente Servicio de Provisión de Agua para riego</v>
      </c>
      <c r="C17" s="1859"/>
      <c r="D17" s="1859"/>
      <c r="E17" s="1861" t="str">
        <f>IFERROR('UNIDAD PRODUCTORA'!B31 &amp; " ha regadas en el momento oportuno para cubrir " &amp;-ROUND('BRECHA DE SERVICIO'!F65,3) &amp; " Hm3 de deficit de agua para la demanda, a partir del primer año de operacion del proyecto.","")</f>
        <v xml:space="preserve"> ha regadas en el momento oportuno para cubrir 0 Hm3 de deficit de agua para la demanda, a partir del primer año de operacion del proyecto.</v>
      </c>
      <c r="F17" s="1862"/>
      <c r="G17" s="1863"/>
      <c r="H17" s="1857" t="s">
        <v>5580</v>
      </c>
      <c r="I17" s="1858"/>
      <c r="J17" s="1858"/>
      <c r="K17" s="1856" t="s">
        <v>5579</v>
      </c>
      <c r="L17" s="1855"/>
      <c r="M17" s="1855"/>
    </row>
    <row r="18" spans="1:13" ht="60" hidden="1" customHeight="1" x14ac:dyDescent="0.25">
      <c r="A18" s="1851" t="s">
        <v>309</v>
      </c>
      <c r="B18" s="1845" t="str">
        <f>IFERROR(VLOOKUP('PROBLEMA-OBJETIVO'!XFC22,'Base de datos'!$AN$3:$AO$17,1,FALSE),"")</f>
        <v/>
      </c>
      <c r="C18" s="1846"/>
      <c r="D18" s="1847"/>
      <c r="E18" s="1888" t="str">
        <f>IFERROR(VLOOKUP('PROBLEMA-OBJETIVO'!XFC22,'Base de datos'!$AN$3:$AO$17,2,FALSE),"")</f>
        <v/>
      </c>
      <c r="F18" s="1889"/>
      <c r="G18" s="1890"/>
      <c r="H18" s="1882" t="str">
        <f>IFERROR(VLOOKUP('PROBLEMA-OBJETIVO'!XFC22,'Base de datos'!$AN$3:$AP$17,3,FALSE),"")</f>
        <v/>
      </c>
      <c r="I18" s="1883"/>
      <c r="J18" s="1884"/>
      <c r="K18" s="1882" t="s">
        <v>5583</v>
      </c>
      <c r="L18" s="1883"/>
      <c r="M18" s="1884"/>
    </row>
    <row r="19" spans="1:13" ht="60" hidden="1" customHeight="1" x14ac:dyDescent="0.25">
      <c r="A19" s="1852"/>
      <c r="B19" s="1845" t="str">
        <f>IFERROR(VLOOKUP('PROBLEMA-OBJETIVO'!XFC23,'Base de datos'!$AN$3:$AO$17,1,FALSE),"")</f>
        <v/>
      </c>
      <c r="C19" s="1846"/>
      <c r="D19" s="1847"/>
      <c r="E19" s="1888" t="str">
        <f>IFERROR(VLOOKUP('PROBLEMA-OBJETIVO'!XFC23,'Base de datos'!$AN$3:$AO$17,2,FALSE),"")</f>
        <v/>
      </c>
      <c r="F19" s="1889"/>
      <c r="G19" s="1890"/>
      <c r="H19" s="1882" t="str">
        <f>IFERROR(VLOOKUP('PROBLEMA-OBJETIVO'!XFC23,'Base de datos'!$AN$3:$AP$17,3,FALSE),"")</f>
        <v/>
      </c>
      <c r="I19" s="1883"/>
      <c r="J19" s="1884"/>
      <c r="K19" s="1885"/>
      <c r="L19" s="1886"/>
      <c r="M19" s="1887"/>
    </row>
    <row r="20" spans="1:13" ht="60" hidden="1" customHeight="1" x14ac:dyDescent="0.25">
      <c r="A20" s="1852"/>
      <c r="B20" s="1845" t="str">
        <f>IFERROR(VLOOKUP('PROBLEMA-OBJETIVO'!XFC24,'Base de datos'!$AN$3:$AO$17,1,FALSE),"")</f>
        <v/>
      </c>
      <c r="C20" s="1846"/>
      <c r="D20" s="1847"/>
      <c r="E20" s="1888" t="str">
        <f>IFERROR(VLOOKUP('PROBLEMA-OBJETIVO'!XFC24,'Base de datos'!$AN$3:$AO$17,2,FALSE),"")</f>
        <v/>
      </c>
      <c r="F20" s="1889"/>
      <c r="G20" s="1890"/>
      <c r="H20" s="1882" t="str">
        <f>IFERROR(VLOOKUP('PROBLEMA-OBJETIVO'!XFC24,'Base de datos'!$AN$3:$AP$17,3,FALSE),"")</f>
        <v/>
      </c>
      <c r="I20" s="1883"/>
      <c r="J20" s="1884"/>
      <c r="K20" s="1885"/>
      <c r="L20" s="1886"/>
      <c r="M20" s="1887"/>
    </row>
    <row r="21" spans="1:13" ht="122.25" hidden="1" customHeight="1" x14ac:dyDescent="0.25">
      <c r="A21" s="1852"/>
      <c r="B21" s="1845" t="str">
        <f>IFERROR(VLOOKUP('PROBLEMA-OBJETIVO'!XFC25,'Base de datos'!$AN$3:$AO$17,1,FALSE),"")</f>
        <v/>
      </c>
      <c r="C21" s="1846"/>
      <c r="D21" s="1847"/>
      <c r="E21" s="1888" t="str">
        <f>IFERROR(VLOOKUP('PROBLEMA-OBJETIVO'!XFC25,'Base de datos'!$AN$3:$AO$17,2,FALSE),"")</f>
        <v/>
      </c>
      <c r="F21" s="1889"/>
      <c r="G21" s="1890"/>
      <c r="H21" s="1882" t="str">
        <f>IFERROR(VLOOKUP('PROBLEMA-OBJETIVO'!XFC25,'Base de datos'!$AN$3:$AP$17,3,FALSE),"")</f>
        <v/>
      </c>
      <c r="I21" s="1883"/>
      <c r="J21" s="1884"/>
      <c r="K21" s="1885"/>
      <c r="L21" s="1886"/>
      <c r="M21" s="1887"/>
    </row>
    <row r="22" spans="1:13" ht="105.75" hidden="1" customHeight="1" x14ac:dyDescent="0.25">
      <c r="A22" s="1852"/>
      <c r="B22" s="1845" t="str">
        <f>IFERROR(VLOOKUP('PROBLEMA-OBJETIVO'!XFC26,'Base de datos'!$AN$3:$AO$17,1,FALSE),"")</f>
        <v/>
      </c>
      <c r="C22" s="1846"/>
      <c r="D22" s="1847"/>
      <c r="E22" s="1888" t="str">
        <f>IFERROR(VLOOKUP('PROBLEMA-OBJETIVO'!XFC26,'Base de datos'!$AN$3:$AO$17,2,FALSE),"")</f>
        <v/>
      </c>
      <c r="F22" s="1889"/>
      <c r="G22" s="1890"/>
      <c r="H22" s="1882" t="str">
        <f>IFERROR(VLOOKUP('PROBLEMA-OBJETIVO'!XFC26,'Base de datos'!$AN$3:$AP$17,3,FALSE),"")</f>
        <v/>
      </c>
      <c r="I22" s="1883"/>
      <c r="J22" s="1884"/>
      <c r="K22" s="1885"/>
      <c r="L22" s="1886"/>
      <c r="M22" s="1887"/>
    </row>
    <row r="23" spans="1:13" ht="123.75" hidden="1" customHeight="1" x14ac:dyDescent="0.25">
      <c r="A23" s="1853"/>
      <c r="B23" s="1845" t="str">
        <f>IFERROR(VLOOKUP('PROBLEMA-OBJETIVO'!XFC27,'Base de datos'!$AN$3:$AO$17,1,FALSE),"")</f>
        <v/>
      </c>
      <c r="C23" s="1846"/>
      <c r="D23" s="1847"/>
      <c r="E23" s="1888" t="str">
        <f>IFERROR(VLOOKUP('PROBLEMA-OBJETIVO'!XFC27,'Base de datos'!$AN$3:$AO$17,2,FALSE),"")</f>
        <v/>
      </c>
      <c r="F23" s="1889"/>
      <c r="G23" s="1890"/>
      <c r="H23" s="1882" t="str">
        <f>IFERROR(VLOOKUP('PROBLEMA-OBJETIVO'!XFC27,'Base de datos'!$AN$3:$AP$17,3,FALSE),"")</f>
        <v/>
      </c>
      <c r="I23" s="1883"/>
      <c r="J23" s="1884"/>
      <c r="K23" s="1885"/>
      <c r="L23" s="1886"/>
      <c r="M23" s="1887"/>
    </row>
    <row r="24" spans="1:13" ht="45" customHeight="1" x14ac:dyDescent="0.25">
      <c r="A24" s="1851" t="s">
        <v>62</v>
      </c>
      <c r="B24" s="1845" t="str">
        <f>IFERROR('ANALISIS TÉCNICO'!B89&amp;" "&amp;'ANALISIS TÉCNICO'!D89,"")</f>
        <v xml:space="preserve"> </v>
      </c>
      <c r="C24" s="1846"/>
      <c r="D24" s="1847"/>
      <c r="E24" s="1876" t="str">
        <f>IFERROR("- Costo de la Inversión, por un monto que asciende a  "&amp;DOLLAR('COSTO TOTAL'!M103,2),"")</f>
        <v/>
      </c>
      <c r="F24" s="1877"/>
      <c r="G24" s="1878"/>
      <c r="H24" s="1864" t="s">
        <v>5582</v>
      </c>
      <c r="I24" s="1865"/>
      <c r="J24" s="1866"/>
      <c r="K24" s="1864" t="s">
        <v>5581</v>
      </c>
      <c r="L24" s="1865"/>
      <c r="M24" s="1866"/>
    </row>
    <row r="25" spans="1:13" ht="45" customHeight="1" x14ac:dyDescent="0.25">
      <c r="A25" s="1852"/>
      <c r="B25" s="1845" t="str">
        <f>IFERROR('ANALISIS TÉCNICO'!B90&amp;" "&amp;'ANALISIS TÉCNICO'!D90,"")</f>
        <v xml:space="preserve"> </v>
      </c>
      <c r="C25" s="1846"/>
      <c r="D25" s="1847"/>
      <c r="E25" s="1848"/>
      <c r="F25" s="1849"/>
      <c r="G25" s="1850"/>
      <c r="H25" s="1867"/>
      <c r="I25" s="1868"/>
      <c r="J25" s="1869"/>
      <c r="K25" s="1867"/>
      <c r="L25" s="1868"/>
      <c r="M25" s="1869"/>
    </row>
    <row r="26" spans="1:13" ht="45" customHeight="1" x14ac:dyDescent="0.25">
      <c r="A26" s="1852"/>
      <c r="B26" s="1845" t="str">
        <f>IFERROR('ANALISIS TÉCNICO'!B91&amp;" "&amp;'ANALISIS TÉCNICO'!D91,"")</f>
        <v xml:space="preserve"> </v>
      </c>
      <c r="C26" s="1846"/>
      <c r="D26" s="1847"/>
      <c r="E26" s="1848"/>
      <c r="F26" s="1849"/>
      <c r="G26" s="1850"/>
      <c r="H26" s="1867"/>
      <c r="I26" s="1868"/>
      <c r="J26" s="1869"/>
      <c r="K26" s="1867"/>
      <c r="L26" s="1868"/>
      <c r="M26" s="1869"/>
    </row>
    <row r="27" spans="1:13" ht="45" customHeight="1" x14ac:dyDescent="0.25">
      <c r="A27" s="1852"/>
      <c r="B27" s="1845" t="str">
        <f>IFERROR('ANALISIS TÉCNICO'!B92&amp;" "&amp;'ANALISIS TÉCNICO'!D92,"")</f>
        <v xml:space="preserve"> </v>
      </c>
      <c r="C27" s="1846"/>
      <c r="D27" s="1847"/>
      <c r="E27" s="1848"/>
      <c r="F27" s="1849"/>
      <c r="G27" s="1850"/>
      <c r="H27" s="1867"/>
      <c r="I27" s="1868"/>
      <c r="J27" s="1869"/>
      <c r="K27" s="1867"/>
      <c r="L27" s="1868"/>
      <c r="M27" s="1869"/>
    </row>
    <row r="28" spans="1:13" ht="45" customHeight="1" x14ac:dyDescent="0.25">
      <c r="A28" s="1852"/>
      <c r="B28" s="1845" t="str">
        <f>IFERROR('ANALISIS TÉCNICO'!B93&amp;" "&amp;'ANALISIS TÉCNICO'!D93,"")</f>
        <v xml:space="preserve"> </v>
      </c>
      <c r="C28" s="1846"/>
      <c r="D28" s="1847"/>
      <c r="E28" s="1848"/>
      <c r="F28" s="1849"/>
      <c r="G28" s="1850"/>
      <c r="H28" s="1867"/>
      <c r="I28" s="1868"/>
      <c r="J28" s="1869"/>
      <c r="K28" s="1867"/>
      <c r="L28" s="1868"/>
      <c r="M28" s="1869"/>
    </row>
    <row r="29" spans="1:13" ht="45" customHeight="1" x14ac:dyDescent="0.25">
      <c r="A29" s="1852"/>
      <c r="B29" s="1845" t="str">
        <f>IFERROR('ANALISIS TÉCNICO'!B94&amp;" "&amp;'ANALISIS TÉCNICO'!D94,"")</f>
        <v xml:space="preserve"> </v>
      </c>
      <c r="C29" s="1846"/>
      <c r="D29" s="1847"/>
      <c r="E29" s="1848"/>
      <c r="F29" s="1849"/>
      <c r="G29" s="1850"/>
      <c r="H29" s="1867"/>
      <c r="I29" s="1868"/>
      <c r="J29" s="1869"/>
      <c r="K29" s="1867"/>
      <c r="L29" s="1868"/>
      <c r="M29" s="1869"/>
    </row>
    <row r="30" spans="1:13" ht="45" customHeight="1" x14ac:dyDescent="0.25">
      <c r="A30" s="1852"/>
      <c r="B30" s="1845" t="str">
        <f>IFERROR('ANALISIS TÉCNICO'!B95&amp;" "&amp;'ANALISIS TÉCNICO'!D95,"")</f>
        <v xml:space="preserve"> </v>
      </c>
      <c r="C30" s="1846"/>
      <c r="D30" s="1847"/>
      <c r="E30" s="1879"/>
      <c r="F30" s="1880"/>
      <c r="G30" s="1881"/>
      <c r="H30" s="1867"/>
      <c r="I30" s="1868"/>
      <c r="J30" s="1869"/>
      <c r="K30" s="1867"/>
      <c r="L30" s="1868"/>
      <c r="M30" s="1869"/>
    </row>
    <row r="31" spans="1:13" ht="45" customHeight="1" x14ac:dyDescent="0.25">
      <c r="A31" s="1852"/>
      <c r="B31" s="1845" t="str">
        <f>IFERROR('ANALISIS TÉCNICO'!B96&amp;" "&amp;'ANALISIS TÉCNICO'!D96,"")</f>
        <v xml:space="preserve"> </v>
      </c>
      <c r="C31" s="1846"/>
      <c r="D31" s="1847"/>
      <c r="E31" s="1879"/>
      <c r="F31" s="1880"/>
      <c r="G31" s="1881"/>
      <c r="H31" s="1867"/>
      <c r="I31" s="1868"/>
      <c r="J31" s="1869"/>
      <c r="K31" s="1867"/>
      <c r="L31" s="1868"/>
      <c r="M31" s="1869"/>
    </row>
    <row r="32" spans="1:13" ht="45" customHeight="1" x14ac:dyDescent="0.25">
      <c r="A32" s="1852"/>
      <c r="B32" s="1845" t="str">
        <f>IFERROR('ANALISIS TÉCNICO'!B97&amp;" "&amp;'ANALISIS TÉCNICO'!D97,"")</f>
        <v xml:space="preserve"> </v>
      </c>
      <c r="C32" s="1846"/>
      <c r="D32" s="1847"/>
      <c r="E32" s="1879"/>
      <c r="F32" s="1880"/>
      <c r="G32" s="1881"/>
      <c r="H32" s="1867"/>
      <c r="I32" s="1868"/>
      <c r="J32" s="1869"/>
      <c r="K32" s="1867"/>
      <c r="L32" s="1868"/>
      <c r="M32" s="1869"/>
    </row>
    <row r="33" spans="1:13" ht="45" customHeight="1" x14ac:dyDescent="0.25">
      <c r="A33" s="1852"/>
      <c r="B33" s="1845" t="str">
        <f>IFERROR('ANALISIS TÉCNICO'!B98&amp;" "&amp;'ANALISIS TÉCNICO'!D98,"")</f>
        <v xml:space="preserve"> </v>
      </c>
      <c r="C33" s="1846"/>
      <c r="D33" s="1847"/>
      <c r="E33" s="1879"/>
      <c r="F33" s="1880"/>
      <c r="G33" s="1881"/>
      <c r="H33" s="1867"/>
      <c r="I33" s="1868"/>
      <c r="J33" s="1869"/>
      <c r="K33" s="1867"/>
      <c r="L33" s="1868"/>
      <c r="M33" s="1869"/>
    </row>
    <row r="34" spans="1:13" ht="45" customHeight="1" x14ac:dyDescent="0.25">
      <c r="A34" s="1852"/>
      <c r="B34" s="1845" t="str">
        <f>IFERROR('ANALISIS TÉCNICO'!B99&amp;" "&amp;'ANALISIS TÉCNICO'!D99,"")</f>
        <v xml:space="preserve"> </v>
      </c>
      <c r="C34" s="1846"/>
      <c r="D34" s="1847"/>
      <c r="E34" s="1879"/>
      <c r="F34" s="1880"/>
      <c r="G34" s="1881"/>
      <c r="H34" s="1867"/>
      <c r="I34" s="1868"/>
      <c r="J34" s="1869"/>
      <c r="K34" s="1867"/>
      <c r="L34" s="1868"/>
      <c r="M34" s="1869"/>
    </row>
    <row r="35" spans="1:13" ht="57" customHeight="1" x14ac:dyDescent="0.25">
      <c r="A35" s="1852"/>
      <c r="B35" s="1845" t="str">
        <f>IFERROR('ANALISIS TÉCNICO'!B100&amp;" "&amp;'ANALISIS TÉCNICO'!D100,"")</f>
        <v xml:space="preserve"> </v>
      </c>
      <c r="C35" s="1846"/>
      <c r="D35" s="1847"/>
      <c r="E35" s="1873" t="str">
        <f>IFERROR("- Costo Directo de la Inversión, por un monto que asciende a  "&amp;DOLLAR(('COSTO TOTAL'!M92+'COSTO TOTAL'!M47),2),"")</f>
        <v/>
      </c>
      <c r="F35" s="1874"/>
      <c r="G35" s="1875"/>
      <c r="H35" s="1867"/>
      <c r="I35" s="1868"/>
      <c r="J35" s="1869"/>
      <c r="K35" s="1867"/>
      <c r="L35" s="1868"/>
      <c r="M35" s="1869"/>
    </row>
    <row r="36" spans="1:13" ht="45" customHeight="1" x14ac:dyDescent="0.25">
      <c r="A36" s="1852"/>
      <c r="B36" s="1845" t="str">
        <f>IFERROR('ANALISIS TÉCNICO'!B101&amp;" "&amp;'ANALISIS TÉCNICO'!D101,"")</f>
        <v xml:space="preserve"> </v>
      </c>
      <c r="C36" s="1846"/>
      <c r="D36" s="1847"/>
      <c r="E36" s="1873"/>
      <c r="F36" s="1874"/>
      <c r="G36" s="1875"/>
      <c r="H36" s="1867"/>
      <c r="I36" s="1868"/>
      <c r="J36" s="1869"/>
      <c r="K36" s="1867"/>
      <c r="L36" s="1868"/>
      <c r="M36" s="1869"/>
    </row>
    <row r="37" spans="1:13" ht="45" customHeight="1" x14ac:dyDescent="0.25">
      <c r="A37" s="1852"/>
      <c r="B37" s="1845" t="str">
        <f>IFERROR('ANALISIS TÉCNICO'!B102&amp;" "&amp;'ANALISIS TÉCNICO'!D102,"")</f>
        <v xml:space="preserve"> </v>
      </c>
      <c r="C37" s="1846"/>
      <c r="D37" s="1847"/>
      <c r="E37" s="1873"/>
      <c r="F37" s="1874"/>
      <c r="G37" s="1875"/>
      <c r="H37" s="1867"/>
      <c r="I37" s="1868"/>
      <c r="J37" s="1869"/>
      <c r="K37" s="1867"/>
      <c r="L37" s="1868"/>
      <c r="M37" s="1869"/>
    </row>
    <row r="38" spans="1:13" ht="45" customHeight="1" x14ac:dyDescent="0.25">
      <c r="A38" s="1852"/>
      <c r="B38" s="1845" t="str">
        <f>IFERROR('ANALISIS TÉCNICO'!B103&amp;" "&amp;'ANALISIS TÉCNICO'!D103,"")</f>
        <v xml:space="preserve"> </v>
      </c>
      <c r="C38" s="1846"/>
      <c r="D38" s="1847"/>
      <c r="E38" s="1873"/>
      <c r="F38" s="1874"/>
      <c r="G38" s="1875"/>
      <c r="H38" s="1867"/>
      <c r="I38" s="1868"/>
      <c r="J38" s="1869"/>
      <c r="K38" s="1867"/>
      <c r="L38" s="1868"/>
      <c r="M38" s="1869"/>
    </row>
    <row r="39" spans="1:13" ht="45" customHeight="1" x14ac:dyDescent="0.25">
      <c r="A39" s="1853"/>
      <c r="B39" s="1845" t="str">
        <f>IFERROR('ANALISIS TÉCNICO'!B104&amp;" "&amp;'ANALISIS TÉCNICO'!D104,"")</f>
        <v xml:space="preserve"> </v>
      </c>
      <c r="C39" s="1846"/>
      <c r="D39" s="1847"/>
      <c r="E39" s="1873"/>
      <c r="F39" s="1874"/>
      <c r="G39" s="1875"/>
      <c r="H39" s="1870"/>
      <c r="I39" s="1871"/>
      <c r="J39" s="1872"/>
      <c r="K39" s="1870"/>
      <c r="L39" s="1871"/>
      <c r="M39" s="1872"/>
    </row>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sheetData>
  <sheetProtection algorithmName="SHA-512" hashValue="UIhySqAKPCjZr4rUbpvcdd35LHtgHMrsxHukrvfVAuwQRbZDNDGwmJhNFQv7eX85MavbA8xqSUEoxbDpAG+upQ==" saltValue="CbxciWkSlm3z/eaMUIXTsg==" spinCount="100000" sheet="1" objects="1" scenarios="1"/>
  <mergeCells count="68">
    <mergeCell ref="K24:M39"/>
    <mergeCell ref="E37:G37"/>
    <mergeCell ref="E38:G38"/>
    <mergeCell ref="K18:M23"/>
    <mergeCell ref="E19:G19"/>
    <mergeCell ref="E20:G20"/>
    <mergeCell ref="E21:G21"/>
    <mergeCell ref="E23:G23"/>
    <mergeCell ref="E22:G22"/>
    <mergeCell ref="H18:J18"/>
    <mergeCell ref="H19:J19"/>
    <mergeCell ref="H20:J20"/>
    <mergeCell ref="H21:J21"/>
    <mergeCell ref="H22:J22"/>
    <mergeCell ref="E18:G18"/>
    <mergeCell ref="H23:J23"/>
    <mergeCell ref="B26:D26"/>
    <mergeCell ref="B27:D27"/>
    <mergeCell ref="B28:D28"/>
    <mergeCell ref="B29:D29"/>
    <mergeCell ref="H24:J39"/>
    <mergeCell ref="E36:G36"/>
    <mergeCell ref="E35:G35"/>
    <mergeCell ref="E39:G39"/>
    <mergeCell ref="E24:G24"/>
    <mergeCell ref="E34:G34"/>
    <mergeCell ref="E30:G30"/>
    <mergeCell ref="E31:G31"/>
    <mergeCell ref="E32:G32"/>
    <mergeCell ref="E33:G33"/>
    <mergeCell ref="E26:G26"/>
    <mergeCell ref="E27:G27"/>
    <mergeCell ref="B12:M12"/>
    <mergeCell ref="K14:M14"/>
    <mergeCell ref="K16:M16"/>
    <mergeCell ref="K17:M17"/>
    <mergeCell ref="H14:J14"/>
    <mergeCell ref="H16:J16"/>
    <mergeCell ref="H17:J17"/>
    <mergeCell ref="B14:D14"/>
    <mergeCell ref="B16:D16"/>
    <mergeCell ref="B17:D17"/>
    <mergeCell ref="E14:G14"/>
    <mergeCell ref="E16:G16"/>
    <mergeCell ref="E17:G17"/>
    <mergeCell ref="E28:G28"/>
    <mergeCell ref="E29:G29"/>
    <mergeCell ref="A24:A39"/>
    <mergeCell ref="A18:A23"/>
    <mergeCell ref="B24:D24"/>
    <mergeCell ref="B30:D30"/>
    <mergeCell ref="B31:D31"/>
    <mergeCell ref="B32:D32"/>
    <mergeCell ref="B33:D33"/>
    <mergeCell ref="B34:D34"/>
    <mergeCell ref="B35:D35"/>
    <mergeCell ref="B36:D36"/>
    <mergeCell ref="B37:D37"/>
    <mergeCell ref="B38:D38"/>
    <mergeCell ref="B39:D39"/>
    <mergeCell ref="B18:D18"/>
    <mergeCell ref="B25:D25"/>
    <mergeCell ref="E25:G25"/>
    <mergeCell ref="B19:D19"/>
    <mergeCell ref="B20:D20"/>
    <mergeCell ref="B21:D21"/>
    <mergeCell ref="B22:D22"/>
    <mergeCell ref="B23:D23"/>
  </mergeCells>
  <dataValidations count="1">
    <dataValidation type="textLength" operator="lessThanOrEqual" allowBlank="1" showInputMessage="1" showErrorMessage="1" promptTitle="Indicador" prompt="Ingrese el indicador de la acción de la celda de la izquierda que se está analizando._x000a_El indicador debe describir la cantidad, el tiempo de ejecución y el costo de la acción." sqref="E24:G39">
      <formula1>150</formula1>
    </dataValidation>
  </dataValidations>
  <pageMargins left="0.70866141732283472" right="0.70866141732283472" top="0.74803149606299213" bottom="0.74803149606299213" header="0.31496062992125984" footer="0.31496062992125984"/>
  <pageSetup paperSize="9" scale="75"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2:M24"/>
  <sheetViews>
    <sheetView showGridLines="0" zoomScaleNormal="100" workbookViewId="0">
      <selection sqref="A1:XFD1048576"/>
    </sheetView>
  </sheetViews>
  <sheetFormatPr baseColWidth="10" defaultColWidth="8.28515625" defaultRowHeight="15" x14ac:dyDescent="0.25"/>
  <sheetData>
    <row r="2" spans="1:13" s="30" customFormat="1" ht="18.75" x14ac:dyDescent="0.3">
      <c r="A2" s="11"/>
      <c r="B2" s="82" t="s">
        <v>4892</v>
      </c>
      <c r="C2" s="82"/>
      <c r="D2" s="82"/>
      <c r="E2" s="82"/>
      <c r="F2" s="82"/>
      <c r="G2" s="82"/>
      <c r="H2" s="82"/>
      <c r="I2" s="82"/>
      <c r="J2" s="82"/>
      <c r="K2" s="82"/>
      <c r="L2" s="82"/>
      <c r="M2" s="82"/>
    </row>
    <row r="3" spans="1:13" x14ac:dyDescent="0.25">
      <c r="B3" s="50"/>
      <c r="C3" s="50"/>
      <c r="D3" s="50"/>
      <c r="E3" s="50"/>
      <c r="F3" s="50"/>
      <c r="G3" s="50"/>
      <c r="H3" s="50"/>
      <c r="I3" s="50"/>
      <c r="J3" s="50"/>
      <c r="K3" s="50"/>
      <c r="L3" s="50"/>
      <c r="M3" s="50"/>
    </row>
    <row r="4" spans="1:13" ht="27.6" customHeight="1" x14ac:dyDescent="0.25">
      <c r="B4" s="1891" t="s">
        <v>4893</v>
      </c>
      <c r="C4" s="1891"/>
      <c r="D4" s="1891"/>
      <c r="E4" s="1891"/>
      <c r="F4" s="1891"/>
      <c r="G4" s="1891"/>
      <c r="H4" s="1891"/>
      <c r="I4" s="1891"/>
      <c r="J4" s="1891"/>
      <c r="K4" s="1891"/>
      <c r="L4" s="1891"/>
      <c r="M4" s="1891"/>
    </row>
    <row r="5" spans="1:13" ht="5.0999999999999996" customHeight="1" x14ac:dyDescent="0.25">
      <c r="B5" s="418"/>
      <c r="C5" s="418"/>
      <c r="D5" s="418"/>
      <c r="E5" s="278"/>
      <c r="F5" s="418"/>
      <c r="G5" s="418"/>
      <c r="H5" s="418"/>
      <c r="I5" s="418"/>
      <c r="J5" s="277"/>
      <c r="K5" s="277"/>
      <c r="L5" s="277"/>
      <c r="M5" s="277"/>
    </row>
    <row r="6" spans="1:13" s="207" customFormat="1" ht="44.25" customHeight="1" x14ac:dyDescent="0.25">
      <c r="B6" s="1898" t="str">
        <f>IFERROR("1. El Problema Central identificado es ''"&amp;'PROBLEMA-OBJETIVO'!B16&amp;", en la localidad de "&amp;'AREA DE ESTUDIO'!O27&amp;", distrito de "&amp;'AREA DE ESTUDIO'!K27&amp;", provincia de "&amp;'AREA DE ESTUDIO'!G27&amp;", departamento de "&amp;'AREA DE ESTUDIO'!C27&amp;"''","")</f>
        <v>1. El Problema Central identificado es ''Deficiente Servicio de Provisión de Agua para riego, en la localidad de , distrito de , provincia de , departamento de ''</v>
      </c>
      <c r="C6" s="1899"/>
      <c r="D6" s="1899"/>
      <c r="E6" s="1899"/>
      <c r="F6" s="1899"/>
      <c r="G6" s="1899"/>
      <c r="H6" s="1899"/>
      <c r="I6" s="1899"/>
      <c r="J6" s="1899"/>
      <c r="K6" s="1899"/>
      <c r="L6" s="1899"/>
      <c r="M6" s="1900"/>
    </row>
    <row r="7" spans="1:13" s="207" customFormat="1" ht="39" customHeight="1" x14ac:dyDescent="0.25">
      <c r="B7" s="1901" t="str">
        <f>IFERROR("2. El Objetivo Cental identificado es ''"&amp;'PROBLEMA-OBJETIVO'!B49&amp;", en la localidad de "&amp;'AREA DE ESTUDIO'!O27&amp;", distrito de "&amp;'AREA DE ESTUDIO'!K27&amp;", provincia de "&amp;'AREA DE ESTUDIO'!G27&amp;", departamento de "&amp;'AREA DE ESTUDIO'!C27&amp;"''","")</f>
        <v>2. El Objetivo Cental identificado es ''Eficiente Servicio de Provisión de Agua para riego, en la localidad de , distrito de , provincia de , departamento de ''</v>
      </c>
      <c r="C7" s="1902"/>
      <c r="D7" s="1902"/>
      <c r="E7" s="1902"/>
      <c r="F7" s="1902"/>
      <c r="G7" s="1902"/>
      <c r="H7" s="1902"/>
      <c r="I7" s="1902"/>
      <c r="J7" s="1902"/>
      <c r="K7" s="1902"/>
      <c r="L7" s="1902"/>
      <c r="M7" s="1903"/>
    </row>
    <row r="8" spans="1:13" s="207" customFormat="1" ht="36" customHeight="1" x14ac:dyDescent="0.25">
      <c r="B8" s="1901" t="str">
        <f>IFERROR("3. La alternativa propuesta mejorará el servicio de provisión de agua para riego a "&amp;'PROBLEMA-OBJETIVO'!P49&amp;" sistemas de riego y beneficiará en forma directa a "&amp;INVOLUCRADOS!B16&amp;" habitantes","")</f>
        <v>3. La alternativa propuesta mejorará el servicio de provisión de agua para riego a  sistemas de riego y beneficiará en forma directa a  habitantes</v>
      </c>
      <c r="C8" s="1902"/>
      <c r="D8" s="1902"/>
      <c r="E8" s="1902"/>
      <c r="F8" s="1902"/>
      <c r="G8" s="1902"/>
      <c r="H8" s="1902"/>
      <c r="I8" s="1902"/>
      <c r="J8" s="1902"/>
      <c r="K8" s="1902"/>
      <c r="L8" s="1902"/>
      <c r="M8" s="1903"/>
    </row>
    <row r="9" spans="1:13" s="207" customFormat="1" ht="36" customHeight="1" x14ac:dyDescent="0.25">
      <c r="B9" s="1901" t="str">
        <f>IFERROR("4. Los costos del proyecto a precios privados de la alternativa seleccionada asciende a "&amp;DOLLAR('EVALUACION SOCIAL'!D252,2)&amp;",  a precios sociales a la suma de "&amp;DOLLAR('EVALUACION SOCIAL'!F252,2)&amp;". Con respecto a los costos de O&amp;M debemos indicar que estos asciende a "&amp;DOLLAR('EVALUACION SOCIAL'!D263,2)&amp;" a precios privados y a "&amp;DOLLAR('EVALUACION SOCIAL'!F263+'EVALUACION SOCIAL'!F289,2)&amp;" a precios sociales.","")</f>
        <v/>
      </c>
      <c r="C9" s="1902"/>
      <c r="D9" s="1902"/>
      <c r="E9" s="1902"/>
      <c r="F9" s="1902"/>
      <c r="G9" s="1902"/>
      <c r="H9" s="1902"/>
      <c r="I9" s="1902"/>
      <c r="J9" s="1902"/>
      <c r="K9" s="1902"/>
      <c r="L9" s="1902"/>
      <c r="M9" s="1903"/>
    </row>
    <row r="10" spans="1:13" s="207" customFormat="1" ht="36" customHeight="1" x14ac:dyDescent="0.25">
      <c r="B10" s="1901" t="str">
        <f>IFERROR("5. Los indicadores de rentabilidad obtenidos para la alternativa propuesta son: Valor Actual Neto a Precios Sociales (VANS) "&amp;DOLLAR('EVALUACION SOCIAL'!F325,2)&amp;" y la Tasa Interna de Retorno Social (TIRS) "&amp;ROUND('EVALUACION SOCIAL'!F326*100,2)&amp;"%.","")</f>
        <v/>
      </c>
      <c r="C10" s="1902"/>
      <c r="D10" s="1902"/>
      <c r="E10" s="1902"/>
      <c r="F10" s="1902"/>
      <c r="G10" s="1902"/>
      <c r="H10" s="1902"/>
      <c r="I10" s="1902"/>
      <c r="J10" s="1902"/>
      <c r="K10" s="1902"/>
      <c r="L10" s="1902"/>
      <c r="M10" s="1903"/>
    </row>
    <row r="11" spans="1:13" s="422" customFormat="1" ht="36" customHeight="1" x14ac:dyDescent="0.25">
      <c r="B11" s="1901" t="str">
        <f>IFERROR("6. La Operación y Mantenimiento estará a cargo de "&amp;GESTIÓN!B78&amp;". Según consta en Acta de Compromiso, la que se encuentran en los anexos.","")</f>
        <v>6. La Operación y Mantenimiento estará a cargo de . Según consta en Acta de Compromiso, la que se encuentran en los anexos.</v>
      </c>
      <c r="C11" s="1902"/>
      <c r="D11" s="1902"/>
      <c r="E11" s="1902"/>
      <c r="F11" s="1902"/>
      <c r="G11" s="1902"/>
      <c r="H11" s="1902"/>
      <c r="I11" s="1902"/>
      <c r="J11" s="1902"/>
      <c r="K11" s="1902"/>
      <c r="L11" s="1902"/>
      <c r="M11" s="1903"/>
    </row>
    <row r="12" spans="1:13" s="422" customFormat="1" ht="44.25" customHeight="1" x14ac:dyDescent="0.25">
      <c r="B12" s="1901" t="s">
        <v>5597</v>
      </c>
      <c r="C12" s="1902"/>
      <c r="D12" s="1902"/>
      <c r="E12" s="1902"/>
      <c r="F12" s="1902"/>
      <c r="G12" s="1902"/>
      <c r="H12" s="1902"/>
      <c r="I12" s="1902"/>
      <c r="J12" s="1902"/>
      <c r="K12" s="1902"/>
      <c r="L12" s="1902"/>
      <c r="M12" s="1903"/>
    </row>
    <row r="13" spans="1:13" s="422" customFormat="1" ht="67.5" customHeight="1" x14ac:dyDescent="0.25">
      <c r="B13" s="1901" t="s">
        <v>5599</v>
      </c>
      <c r="C13" s="1902"/>
      <c r="D13" s="1902"/>
      <c r="E13" s="1902"/>
      <c r="F13" s="1902"/>
      <c r="G13" s="1902"/>
      <c r="H13" s="1902"/>
      <c r="I13" s="1902"/>
      <c r="J13" s="1902"/>
      <c r="K13" s="1902"/>
      <c r="L13" s="1902"/>
      <c r="M13" s="1903"/>
    </row>
    <row r="14" spans="1:13" s="422" customFormat="1" ht="88.5" customHeight="1" x14ac:dyDescent="0.25">
      <c r="B14" s="1901" t="s">
        <v>5598</v>
      </c>
      <c r="C14" s="1902"/>
      <c r="D14" s="1902"/>
      <c r="E14" s="1902"/>
      <c r="F14" s="1902"/>
      <c r="G14" s="1902"/>
      <c r="H14" s="1902"/>
      <c r="I14" s="1902"/>
      <c r="J14" s="1902"/>
      <c r="K14" s="1902"/>
      <c r="L14" s="1902"/>
      <c r="M14" s="1903"/>
    </row>
    <row r="15" spans="1:13" s="207" customFormat="1" ht="87.75" customHeight="1" x14ac:dyDescent="0.25">
      <c r="B15" s="1904" t="s">
        <v>4853</v>
      </c>
      <c r="C15" s="1905"/>
      <c r="D15" s="1905"/>
      <c r="E15" s="1905"/>
      <c r="F15" s="1905"/>
      <c r="G15" s="1905"/>
      <c r="H15" s="1905"/>
      <c r="I15" s="1905"/>
      <c r="J15" s="1905"/>
      <c r="K15" s="1905"/>
      <c r="L15" s="1905"/>
      <c r="M15" s="1906"/>
    </row>
    <row r="16" spans="1:13" x14ac:dyDescent="0.25">
      <c r="B16" s="50"/>
      <c r="C16" s="50"/>
      <c r="D16" s="50"/>
      <c r="E16" s="50"/>
      <c r="F16" s="50"/>
      <c r="G16" s="50"/>
      <c r="H16" s="50"/>
      <c r="I16" s="50"/>
      <c r="J16" s="50"/>
      <c r="K16" s="50"/>
      <c r="L16" s="50"/>
      <c r="M16" s="50"/>
    </row>
    <row r="17" spans="2:13" ht="27.6" customHeight="1" x14ac:dyDescent="0.25">
      <c r="B17" s="1891" t="s">
        <v>4894</v>
      </c>
      <c r="C17" s="1891"/>
      <c r="D17" s="1891"/>
      <c r="E17" s="1891"/>
      <c r="F17" s="1891"/>
      <c r="G17" s="1891"/>
      <c r="H17" s="1891"/>
      <c r="I17" s="1891"/>
      <c r="J17" s="1891"/>
      <c r="K17" s="1891"/>
      <c r="L17" s="1891"/>
      <c r="M17" s="1891"/>
    </row>
    <row r="18" spans="2:13" ht="5.0999999999999996" customHeight="1" x14ac:dyDescent="0.25">
      <c r="B18" s="50"/>
      <c r="C18" s="50"/>
      <c r="D18" s="50"/>
      <c r="E18" s="50"/>
      <c r="F18" s="50"/>
      <c r="G18" s="50"/>
      <c r="H18" s="50"/>
      <c r="I18" s="50"/>
      <c r="J18" s="50"/>
      <c r="K18" s="50"/>
      <c r="L18" s="50"/>
      <c r="M18" s="50"/>
    </row>
    <row r="19" spans="2:13" ht="28.5" customHeight="1" x14ac:dyDescent="0.25">
      <c r="B19" s="1892" t="s">
        <v>4779</v>
      </c>
      <c r="C19" s="1893"/>
      <c r="D19" s="1893"/>
      <c r="E19" s="1893"/>
      <c r="F19" s="1893"/>
      <c r="G19" s="1893"/>
      <c r="H19" s="1893"/>
      <c r="I19" s="1893"/>
      <c r="J19" s="1893"/>
      <c r="K19" s="1893"/>
      <c r="L19" s="1893"/>
      <c r="M19" s="1894"/>
    </row>
    <row r="20" spans="2:13" ht="42" customHeight="1" x14ac:dyDescent="0.25">
      <c r="B20" s="1892" t="s">
        <v>5593</v>
      </c>
      <c r="C20" s="1893"/>
      <c r="D20" s="1893"/>
      <c r="E20" s="1893"/>
      <c r="F20" s="1893"/>
      <c r="G20" s="1893"/>
      <c r="H20" s="1893"/>
      <c r="I20" s="1893"/>
      <c r="J20" s="1893"/>
      <c r="K20" s="1893"/>
      <c r="L20" s="1893"/>
      <c r="M20" s="1894"/>
    </row>
    <row r="21" spans="2:13" s="422" customFormat="1" ht="106.5" customHeight="1" x14ac:dyDescent="0.25">
      <c r="B21" s="1907" t="s">
        <v>5594</v>
      </c>
      <c r="C21" s="1908"/>
      <c r="D21" s="1908"/>
      <c r="E21" s="1908"/>
      <c r="F21" s="1908"/>
      <c r="G21" s="1908"/>
      <c r="H21" s="1908"/>
      <c r="I21" s="1908"/>
      <c r="J21" s="1908"/>
      <c r="K21" s="1908"/>
      <c r="L21" s="1908"/>
      <c r="M21" s="1909"/>
    </row>
    <row r="22" spans="2:13" s="422" customFormat="1" ht="57.75" customHeight="1" x14ac:dyDescent="0.25">
      <c r="B22" s="1907" t="s">
        <v>5595</v>
      </c>
      <c r="C22" s="1908"/>
      <c r="D22" s="1908"/>
      <c r="E22" s="1908"/>
      <c r="F22" s="1908"/>
      <c r="G22" s="1908"/>
      <c r="H22" s="1908"/>
      <c r="I22" s="1908"/>
      <c r="J22" s="1908"/>
      <c r="K22" s="1908"/>
      <c r="L22" s="1908"/>
      <c r="M22" s="1909"/>
    </row>
    <row r="23" spans="2:13" s="422" customFormat="1" ht="63" customHeight="1" x14ac:dyDescent="0.25">
      <c r="B23" s="1907" t="s">
        <v>5596</v>
      </c>
      <c r="C23" s="1908"/>
      <c r="D23" s="1908"/>
      <c r="E23" s="1908"/>
      <c r="F23" s="1908"/>
      <c r="G23" s="1908"/>
      <c r="H23" s="1908"/>
      <c r="I23" s="1908"/>
      <c r="J23" s="1908"/>
      <c r="K23" s="1908"/>
      <c r="L23" s="1908"/>
      <c r="M23" s="1909"/>
    </row>
    <row r="24" spans="2:13" ht="54.75" customHeight="1" x14ac:dyDescent="0.25">
      <c r="B24" s="1895"/>
      <c r="C24" s="1896"/>
      <c r="D24" s="1896"/>
      <c r="E24" s="1896"/>
      <c r="F24" s="1896"/>
      <c r="G24" s="1896"/>
      <c r="H24" s="1896"/>
      <c r="I24" s="1896"/>
      <c r="J24" s="1896"/>
      <c r="K24" s="1896"/>
      <c r="L24" s="1896"/>
      <c r="M24" s="1897"/>
    </row>
  </sheetData>
  <sheetProtection password="9AA6" sheet="1" objects="1" scenarios="1"/>
  <mergeCells count="18">
    <mergeCell ref="B13:M13"/>
    <mergeCell ref="B14:M14"/>
    <mergeCell ref="B4:M4"/>
    <mergeCell ref="B17:M17"/>
    <mergeCell ref="B19:M19"/>
    <mergeCell ref="B20:M20"/>
    <mergeCell ref="B24:M24"/>
    <mergeCell ref="B6:M6"/>
    <mergeCell ref="B7:M7"/>
    <mergeCell ref="B8:M8"/>
    <mergeCell ref="B9:M9"/>
    <mergeCell ref="B10:M10"/>
    <mergeCell ref="B15:M15"/>
    <mergeCell ref="B21:M21"/>
    <mergeCell ref="B22:M22"/>
    <mergeCell ref="B23:M23"/>
    <mergeCell ref="B11:M11"/>
    <mergeCell ref="B12:M12"/>
  </mergeCells>
  <dataValidations count="1">
    <dataValidation type="textLength" operator="lessThan" allowBlank="1" showInputMessage="1" showErrorMessage="1" errorTitle="Datos" error="Ha ingresado un dato errado. Intente nuevamente." promptTitle="Recomendaciones" prompt="Ingrese las recomendaciones para el presente estudio del Proyecto de Inversión._x000a_El texto no debe ser mayor a 500 caracteres." sqref="C24:M24 C19:M20 B19:B20 B24">
      <formula1>500</formula1>
    </dataValidation>
  </dataValidations>
  <pageMargins left="0.70866141732283472" right="0.70866141732283472" top="0.74803149606299213" bottom="0.74803149606299213" header="0.31496062992125984" footer="0.31496062992125984"/>
  <pageSetup paperSize="9" scale="85"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2:N21"/>
  <sheetViews>
    <sheetView showGridLines="0" zoomScaleNormal="100" zoomScaleSheetLayoutView="100" workbookViewId="0">
      <selection sqref="A1:XFD1048576"/>
    </sheetView>
  </sheetViews>
  <sheetFormatPr baseColWidth="10" defaultColWidth="9.42578125" defaultRowHeight="15" x14ac:dyDescent="0.25"/>
  <cols>
    <col min="5" max="8" width="11" customWidth="1"/>
  </cols>
  <sheetData>
    <row r="2" spans="1:14" s="30" customFormat="1" ht="20.25" customHeight="1" x14ac:dyDescent="0.3">
      <c r="A2" s="11"/>
      <c r="B2" s="30" t="s">
        <v>4895</v>
      </c>
    </row>
    <row r="3" spans="1:14" s="29" customFormat="1" x14ac:dyDescent="0.25"/>
    <row r="4" spans="1:14" s="6" customFormat="1" ht="21.6" customHeight="1" x14ac:dyDescent="0.25">
      <c r="B4" s="1915" t="s">
        <v>4923</v>
      </c>
      <c r="C4" s="1915"/>
      <c r="D4" s="1915"/>
      <c r="E4" s="1915"/>
      <c r="F4" s="1915"/>
      <c r="G4" s="1915"/>
      <c r="H4" s="1915"/>
      <c r="I4" s="1915"/>
      <c r="J4" s="1915"/>
      <c r="K4" s="1915"/>
      <c r="L4" s="1915"/>
      <c r="M4" s="399"/>
    </row>
    <row r="5" spans="1:14" s="2" customFormat="1" x14ac:dyDescent="0.25">
      <c r="B5" s="8"/>
      <c r="C5" s="8"/>
      <c r="D5" s="8"/>
      <c r="E5" s="8"/>
      <c r="F5" s="8"/>
      <c r="G5" s="8"/>
      <c r="H5" s="8"/>
      <c r="I5" s="8"/>
      <c r="J5" s="8"/>
      <c r="K5" s="8"/>
      <c r="L5" s="8"/>
      <c r="M5" s="8"/>
    </row>
    <row r="6" spans="1:14" s="2" customFormat="1" ht="17.45" customHeight="1" x14ac:dyDescent="0.25">
      <c r="B6" s="8"/>
      <c r="C6" s="8"/>
      <c r="D6" s="8"/>
      <c r="E6" s="23"/>
      <c r="F6" s="24"/>
      <c r="G6" s="24"/>
      <c r="H6" s="25"/>
      <c r="I6" s="8"/>
      <c r="J6" s="8"/>
      <c r="K6" s="8"/>
      <c r="L6" s="8"/>
      <c r="M6" s="8"/>
    </row>
    <row r="7" spans="1:14" s="2" customFormat="1" ht="17.45" customHeight="1" x14ac:dyDescent="0.25">
      <c r="B7" s="8"/>
      <c r="C7" s="8"/>
      <c r="D7" s="8"/>
      <c r="E7" s="26"/>
      <c r="F7" s="27"/>
      <c r="G7" s="27"/>
      <c r="H7" s="28"/>
      <c r="I7" s="8"/>
      <c r="J7" s="8"/>
      <c r="K7" s="8"/>
      <c r="L7" s="8"/>
      <c r="M7" s="8"/>
    </row>
    <row r="8" spans="1:14" s="2" customFormat="1" ht="17.45" customHeight="1" x14ac:dyDescent="0.25">
      <c r="B8" s="8"/>
      <c r="C8" s="8"/>
      <c r="D8" s="8"/>
      <c r="E8" s="26"/>
      <c r="F8" s="27"/>
      <c r="G8" s="27"/>
      <c r="H8" s="28"/>
      <c r="I8" s="8"/>
      <c r="J8" s="8"/>
      <c r="K8" s="8"/>
      <c r="L8" s="8"/>
      <c r="M8" s="8"/>
    </row>
    <row r="9" spans="1:14" ht="17.45" customHeight="1" x14ac:dyDescent="0.25">
      <c r="B9" s="3"/>
      <c r="C9" s="3"/>
      <c r="D9" s="3"/>
      <c r="E9" s="20"/>
      <c r="F9" s="21"/>
      <c r="G9" s="21"/>
      <c r="H9" s="22"/>
      <c r="I9" s="3"/>
      <c r="J9" s="3"/>
      <c r="K9" s="3"/>
      <c r="L9" s="3"/>
      <c r="M9" s="3"/>
    </row>
    <row r="10" spans="1:14" s="12" customFormat="1" ht="17.45" customHeight="1" x14ac:dyDescent="0.25">
      <c r="B10" s="1919" t="s">
        <v>272</v>
      </c>
      <c r="C10" s="1919"/>
      <c r="D10" s="1919"/>
      <c r="E10" s="1922" t="s">
        <v>223</v>
      </c>
      <c r="F10" s="1923"/>
      <c r="G10" s="1923"/>
      <c r="H10" s="1924"/>
      <c r="I10" s="5" t="s">
        <v>392</v>
      </c>
      <c r="J10" s="1910" t="s">
        <v>223</v>
      </c>
      <c r="K10" s="1910"/>
      <c r="L10" s="16"/>
      <c r="M10" s="16"/>
    </row>
    <row r="11" spans="1:14" ht="17.45" customHeight="1" x14ac:dyDescent="0.25">
      <c r="B11" s="13"/>
      <c r="C11" s="14"/>
      <c r="D11" s="14"/>
      <c r="E11" s="1916" t="s">
        <v>391</v>
      </c>
      <c r="F11" s="1917"/>
      <c r="G11" s="1917"/>
      <c r="H11" s="1918"/>
      <c r="J11" s="3"/>
      <c r="K11" s="5"/>
      <c r="L11" s="3"/>
      <c r="M11" s="3"/>
      <c r="N11" s="3"/>
    </row>
    <row r="12" spans="1:14" x14ac:dyDescent="0.25">
      <c r="B12" s="13"/>
      <c r="C12" s="13"/>
      <c r="D12" s="13"/>
      <c r="E12" s="5"/>
      <c r="F12" s="3"/>
      <c r="G12" s="3"/>
      <c r="H12" s="3"/>
      <c r="I12" s="3"/>
      <c r="J12" s="3"/>
      <c r="K12" s="3"/>
      <c r="L12" s="3"/>
      <c r="M12" s="3"/>
    </row>
    <row r="13" spans="1:14" ht="17.45" customHeight="1" x14ac:dyDescent="0.25">
      <c r="B13" s="13"/>
      <c r="C13" s="13"/>
      <c r="D13" s="13"/>
      <c r="E13" s="17"/>
      <c r="F13" s="18"/>
      <c r="G13" s="18"/>
      <c r="H13" s="19"/>
      <c r="I13" s="3"/>
      <c r="J13" s="3"/>
      <c r="K13" s="3"/>
      <c r="L13" s="3"/>
      <c r="M13" s="3"/>
    </row>
    <row r="14" spans="1:14" ht="17.45" customHeight="1" x14ac:dyDescent="0.25">
      <c r="B14" s="13"/>
      <c r="C14" s="13"/>
      <c r="D14" s="13"/>
      <c r="E14" s="20"/>
      <c r="F14" s="21"/>
      <c r="G14" s="21"/>
      <c r="H14" s="22"/>
      <c r="I14" s="3"/>
      <c r="J14" s="3"/>
      <c r="K14" s="3"/>
      <c r="L14" s="3"/>
      <c r="M14" s="3"/>
    </row>
    <row r="15" spans="1:14" ht="17.45" customHeight="1" x14ac:dyDescent="0.25">
      <c r="B15" s="13"/>
      <c r="C15" s="13"/>
      <c r="D15" s="13"/>
      <c r="E15" s="20"/>
      <c r="F15" s="21"/>
      <c r="G15" s="21"/>
      <c r="H15" s="22"/>
      <c r="I15" s="3"/>
      <c r="J15" s="3"/>
      <c r="K15" s="3"/>
      <c r="L15" s="3"/>
      <c r="M15" s="3"/>
    </row>
    <row r="16" spans="1:14" ht="17.45" customHeight="1" x14ac:dyDescent="0.25">
      <c r="B16" s="13"/>
      <c r="C16" s="13"/>
      <c r="D16" s="13"/>
      <c r="E16" s="20"/>
      <c r="F16" s="21"/>
      <c r="G16" s="21"/>
      <c r="H16" s="22"/>
      <c r="I16" s="3"/>
      <c r="J16" s="3"/>
      <c r="K16" s="3"/>
      <c r="L16" s="3"/>
      <c r="M16" s="3"/>
    </row>
    <row r="17" spans="2:14" ht="17.45" customHeight="1" x14ac:dyDescent="0.25">
      <c r="B17" s="1920" t="s">
        <v>273</v>
      </c>
      <c r="C17" s="1920"/>
      <c r="D17" s="1921"/>
      <c r="E17" s="1911" t="s">
        <v>223</v>
      </c>
      <c r="F17" s="1912"/>
      <c r="G17" s="1912"/>
      <c r="H17" s="1913"/>
      <c r="I17" s="5" t="s">
        <v>392</v>
      </c>
      <c r="J17" s="1914" t="s">
        <v>223</v>
      </c>
      <c r="K17" s="1914"/>
      <c r="L17" s="3"/>
      <c r="M17" s="3"/>
    </row>
    <row r="18" spans="2:14" ht="17.45" customHeight="1" x14ac:dyDescent="0.25">
      <c r="B18" s="13"/>
      <c r="C18" s="14"/>
      <c r="D18" s="14"/>
      <c r="E18" s="1916" t="s">
        <v>17</v>
      </c>
      <c r="F18" s="1917"/>
      <c r="G18" s="1917"/>
      <c r="H18" s="1918"/>
      <c r="J18" s="3"/>
      <c r="K18" s="5"/>
      <c r="L18" s="3"/>
      <c r="M18" s="3"/>
      <c r="N18" s="3"/>
    </row>
    <row r="19" spans="2:14" x14ac:dyDescent="0.25">
      <c r="B19" s="10"/>
      <c r="E19" s="15"/>
      <c r="F19" s="15"/>
      <c r="K19" s="4"/>
      <c r="L19" s="10"/>
      <c r="M19" s="10"/>
      <c r="N19" s="10"/>
    </row>
    <row r="20" spans="2:14" x14ac:dyDescent="0.25">
      <c r="B20" s="10"/>
      <c r="C20" s="7"/>
      <c r="D20" s="7"/>
      <c r="E20" s="4"/>
      <c r="F20" s="7"/>
      <c r="G20" s="7"/>
      <c r="H20" s="7"/>
      <c r="I20" s="9"/>
      <c r="J20" s="7"/>
      <c r="K20" s="3"/>
      <c r="L20" s="3"/>
      <c r="M20" s="3"/>
    </row>
    <row r="21" spans="2:14" x14ac:dyDescent="0.25">
      <c r="B21" s="3"/>
      <c r="C21" s="3"/>
      <c r="D21" s="3"/>
      <c r="E21" s="5"/>
      <c r="F21" s="3"/>
      <c r="G21" s="3"/>
      <c r="H21" s="3"/>
      <c r="I21" s="3"/>
      <c r="J21" s="3"/>
      <c r="K21" s="3"/>
      <c r="L21" s="3"/>
      <c r="M21" s="3"/>
    </row>
  </sheetData>
  <sheetProtection password="9AA6" sheet="1" objects="1" scenarios="1"/>
  <mergeCells count="9">
    <mergeCell ref="J10:K10"/>
    <mergeCell ref="E17:H17"/>
    <mergeCell ref="J17:K17"/>
    <mergeCell ref="B4:L4"/>
    <mergeCell ref="E18:H18"/>
    <mergeCell ref="B10:D10"/>
    <mergeCell ref="B17:D17"/>
    <mergeCell ref="E10:H10"/>
    <mergeCell ref="E11:H11"/>
  </mergeCells>
  <pageMargins left="0.70866141732283472" right="0.70866141732283472" top="0.74803149606299213" bottom="0.74803149606299213" header="0.31496062992125984" footer="0.31496062992125984"/>
  <pageSetup paperSize="9" scale="75"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O15"/>
  <sheetViews>
    <sheetView showGridLines="0" zoomScaleNormal="100" zoomScaleSheetLayoutView="100" workbookViewId="0">
      <selection sqref="A1:XFD1048576"/>
    </sheetView>
  </sheetViews>
  <sheetFormatPr baseColWidth="10" defaultColWidth="8.5703125" defaultRowHeight="15" x14ac:dyDescent="0.25"/>
  <cols>
    <col min="1" max="15" width="8.5703125" style="50"/>
    <col min="16" max="16" width="9.5703125" style="50" customWidth="1"/>
    <col min="17" max="16384" width="8.5703125" style="50"/>
  </cols>
  <sheetData>
    <row r="1" spans="1:15" s="82" customFormat="1" ht="20.25" customHeight="1" x14ac:dyDescent="0.3">
      <c r="A1" s="41"/>
      <c r="B1" s="82" t="s">
        <v>4896</v>
      </c>
    </row>
    <row r="2" spans="1:15" ht="30" customHeight="1" x14ac:dyDescent="0.25"/>
    <row r="3" spans="1:15" ht="23.45" customHeight="1" x14ac:dyDescent="0.25">
      <c r="B3" s="1929" t="s">
        <v>4924</v>
      </c>
      <c r="C3" s="1929"/>
      <c r="D3" s="1929"/>
      <c r="E3" s="1929"/>
      <c r="F3" s="1929"/>
      <c r="G3" s="1929"/>
      <c r="H3" s="1929"/>
      <c r="I3" s="1929"/>
      <c r="J3" s="1929"/>
      <c r="K3" s="1929"/>
      <c r="L3" s="1929"/>
      <c r="M3" s="1929"/>
      <c r="N3" s="1929"/>
      <c r="O3" s="1929"/>
    </row>
    <row r="4" spans="1:15" x14ac:dyDescent="0.25">
      <c r="B4" s="277"/>
      <c r="C4" s="277"/>
      <c r="D4" s="277"/>
      <c r="E4" s="329"/>
      <c r="F4" s="277"/>
      <c r="G4" s="277"/>
      <c r="H4" s="277"/>
      <c r="I4" s="277"/>
      <c r="J4" s="277"/>
      <c r="K4" s="277"/>
      <c r="L4" s="277"/>
      <c r="M4" s="277"/>
    </row>
    <row r="5" spans="1:15" s="354" customFormat="1" x14ac:dyDescent="0.25">
      <c r="B5" s="375" t="s">
        <v>326</v>
      </c>
      <c r="C5" s="375"/>
      <c r="D5" s="375"/>
      <c r="E5" s="376"/>
      <c r="F5" s="375"/>
      <c r="G5" s="375"/>
      <c r="H5" s="375"/>
      <c r="I5" s="375"/>
      <c r="J5" s="375"/>
      <c r="K5" s="375"/>
      <c r="L5" s="375"/>
      <c r="M5" s="375"/>
    </row>
    <row r="6" spans="1:15" s="354" customFormat="1" x14ac:dyDescent="0.25">
      <c r="B6" s="375"/>
      <c r="C6" s="375"/>
      <c r="D6" s="375"/>
      <c r="E6" s="376"/>
      <c r="F6" s="375"/>
      <c r="G6" s="375"/>
      <c r="H6" s="375"/>
      <c r="I6" s="375"/>
      <c r="J6" s="375"/>
      <c r="K6" s="375"/>
      <c r="L6" s="375"/>
      <c r="M6" s="375"/>
    </row>
    <row r="7" spans="1:15" s="354" customFormat="1" ht="19.5" customHeight="1" x14ac:dyDescent="0.25">
      <c r="B7" s="353" t="s">
        <v>274</v>
      </c>
      <c r="C7" s="1653" t="s">
        <v>420</v>
      </c>
      <c r="D7" s="1653"/>
      <c r="E7" s="1653"/>
      <c r="F7" s="1653"/>
      <c r="G7" s="1653"/>
      <c r="H7" s="1653"/>
      <c r="I7" s="1653"/>
      <c r="J7" s="1653"/>
      <c r="K7" s="1653"/>
      <c r="L7" s="1653"/>
      <c r="M7" s="1653"/>
      <c r="N7" s="1653"/>
      <c r="O7" s="1653"/>
    </row>
    <row r="8" spans="1:15" s="354" customFormat="1" ht="6.95" customHeight="1" x14ac:dyDescent="0.25"/>
    <row r="9" spans="1:15" s="354" customFormat="1" ht="34.5" customHeight="1" x14ac:dyDescent="0.25">
      <c r="B9" s="377">
        <v>1</v>
      </c>
      <c r="C9" s="1645" t="s">
        <v>5601</v>
      </c>
      <c r="D9" s="1641"/>
      <c r="E9" s="1641"/>
      <c r="F9" s="1641"/>
      <c r="G9" s="1641"/>
      <c r="H9" s="1641"/>
      <c r="I9" s="1641"/>
      <c r="J9" s="1641"/>
      <c r="K9" s="1641"/>
      <c r="L9" s="1641"/>
      <c r="M9" s="1641"/>
      <c r="N9" s="1641"/>
      <c r="O9" s="1641"/>
    </row>
    <row r="10" spans="1:15" s="354" customFormat="1" ht="81" customHeight="1" x14ac:dyDescent="0.25">
      <c r="B10" s="377">
        <v>2</v>
      </c>
      <c r="C10" s="1645" t="s">
        <v>5600</v>
      </c>
      <c r="D10" s="1645"/>
      <c r="E10" s="1645"/>
      <c r="F10" s="1645"/>
      <c r="G10" s="1645"/>
      <c r="H10" s="1645"/>
      <c r="I10" s="1645"/>
      <c r="J10" s="1645"/>
      <c r="K10" s="1645"/>
      <c r="L10" s="1645"/>
      <c r="M10" s="1645"/>
      <c r="N10" s="1645"/>
      <c r="O10" s="1645"/>
    </row>
    <row r="11" spans="1:15" s="354" customFormat="1" ht="30" customHeight="1" x14ac:dyDescent="0.25">
      <c r="B11" s="377">
        <v>3</v>
      </c>
      <c r="C11" s="1925" t="s">
        <v>4752</v>
      </c>
      <c r="D11" s="1926"/>
      <c r="E11" s="1926"/>
      <c r="F11" s="1926"/>
      <c r="G11" s="1926"/>
      <c r="H11" s="1926"/>
      <c r="I11" s="1926"/>
      <c r="J11" s="1926"/>
      <c r="K11" s="1926"/>
      <c r="L11" s="1926"/>
      <c r="M11" s="1926"/>
      <c r="N11" s="1926"/>
      <c r="O11" s="1927"/>
    </row>
    <row r="12" spans="1:15" s="354" customFormat="1" ht="24.95" customHeight="1" x14ac:dyDescent="0.25">
      <c r="B12" s="377">
        <v>4</v>
      </c>
      <c r="C12" s="1928" t="s">
        <v>275</v>
      </c>
      <c r="D12" s="1928"/>
      <c r="E12" s="1928"/>
      <c r="F12" s="1928"/>
      <c r="G12" s="1928"/>
      <c r="H12" s="1928"/>
      <c r="I12" s="1928"/>
      <c r="J12" s="1928"/>
      <c r="K12" s="1928"/>
      <c r="L12" s="1928"/>
      <c r="M12" s="1928"/>
      <c r="N12" s="1928"/>
      <c r="O12" s="1928"/>
    </row>
    <row r="13" spans="1:15" s="354" customFormat="1" ht="141" customHeight="1" x14ac:dyDescent="0.25">
      <c r="B13" s="377">
        <v>5</v>
      </c>
      <c r="C13" s="1925" t="s">
        <v>5602</v>
      </c>
      <c r="D13" s="1926"/>
      <c r="E13" s="1926"/>
      <c r="F13" s="1926"/>
      <c r="G13" s="1926"/>
      <c r="H13" s="1926"/>
      <c r="I13" s="1926"/>
      <c r="J13" s="1926"/>
      <c r="K13" s="1926"/>
      <c r="L13" s="1926"/>
      <c r="M13" s="1926"/>
      <c r="N13" s="1926"/>
      <c r="O13" s="1927"/>
    </row>
    <row r="14" spans="1:15" s="354" customFormat="1" ht="20.25" customHeight="1" x14ac:dyDescent="0.25">
      <c r="B14" s="377">
        <v>6</v>
      </c>
      <c r="C14" s="1928" t="s">
        <v>335</v>
      </c>
      <c r="D14" s="1928"/>
      <c r="E14" s="1928"/>
      <c r="F14" s="1928"/>
      <c r="G14" s="1928"/>
      <c r="H14" s="1928"/>
      <c r="I14" s="1928"/>
      <c r="J14" s="1928"/>
      <c r="K14" s="1928"/>
      <c r="L14" s="1928"/>
      <c r="M14" s="1928"/>
      <c r="N14" s="1928"/>
      <c r="O14" s="1928"/>
    </row>
    <row r="15" spans="1:15" x14ac:dyDescent="0.25">
      <c r="E15" s="291"/>
    </row>
  </sheetData>
  <sheetProtection password="9AA6" sheet="1" objects="1" scenarios="1"/>
  <mergeCells count="8">
    <mergeCell ref="C13:O13"/>
    <mergeCell ref="C12:O12"/>
    <mergeCell ref="C14:O14"/>
    <mergeCell ref="C11:O11"/>
    <mergeCell ref="B3:O3"/>
    <mergeCell ref="C10:O10"/>
    <mergeCell ref="C7:O7"/>
    <mergeCell ref="C9:O9"/>
  </mergeCells>
  <pageMargins left="0.70866141732283472" right="0.70866141732283472" top="0.74803149606299213" bottom="0.74803149606299213" header="0.31496062992125984" footer="0.31496062992125984"/>
  <pageSetup paperSize="9" scale="72"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1:XFD48"/>
  <sheetViews>
    <sheetView showGridLines="0" zoomScale="115" zoomScaleNormal="115" zoomScaleSheetLayoutView="130" workbookViewId="0">
      <pane ySplit="5" topLeftCell="A6" activePane="bottomLeft" state="frozen"/>
      <selection sqref="A1:XFD1048576"/>
      <selection pane="bottomLeft" sqref="A1:XFD1048576"/>
    </sheetView>
  </sheetViews>
  <sheetFormatPr baseColWidth="10" defaultColWidth="10.28515625" defaultRowHeight="15" x14ac:dyDescent="0.25"/>
  <cols>
    <col min="1" max="16384" width="10.28515625" style="50"/>
  </cols>
  <sheetData>
    <row r="1" spans="1:29 16383:16384" s="380" customFormat="1" ht="20.25" customHeight="1" x14ac:dyDescent="0.3">
      <c r="A1" s="50"/>
      <c r="B1" s="378" t="s">
        <v>4897</v>
      </c>
      <c r="C1" s="378"/>
      <c r="D1" s="378"/>
      <c r="E1" s="378"/>
      <c r="F1" s="378"/>
      <c r="G1" s="378"/>
      <c r="H1" s="378"/>
      <c r="I1" s="378"/>
      <c r="J1" s="378"/>
      <c r="K1" s="378"/>
      <c r="L1" s="378"/>
      <c r="M1" s="378"/>
      <c r="N1" s="82"/>
      <c r="O1" s="82"/>
      <c r="P1" s="82"/>
      <c r="Q1" s="379"/>
      <c r="R1" s="379"/>
      <c r="S1" s="379"/>
      <c r="T1" s="379"/>
      <c r="U1" s="379"/>
      <c r="V1" s="379"/>
      <c r="W1" s="379"/>
      <c r="X1" s="379"/>
      <c r="Y1" s="379"/>
      <c r="Z1" s="379"/>
      <c r="AA1" s="379"/>
      <c r="AB1" s="379"/>
      <c r="AC1" s="379"/>
    </row>
    <row r="3" spans="1:29 16383:16384" ht="20.45" customHeight="1" x14ac:dyDescent="0.25">
      <c r="B3" s="1929" t="s">
        <v>4925</v>
      </c>
      <c r="C3" s="1929"/>
      <c r="D3" s="1929"/>
      <c r="E3" s="1929"/>
      <c r="F3" s="1929"/>
      <c r="G3" s="1929"/>
    </row>
    <row r="4" spans="1:29 16383:16384" ht="21" x14ac:dyDescent="0.35">
      <c r="B4" s="381"/>
      <c r="C4" s="381"/>
      <c r="D4" s="381"/>
      <c r="E4" s="381"/>
      <c r="F4" s="381"/>
      <c r="G4" s="381"/>
      <c r="H4" s="381"/>
    </row>
    <row r="5" spans="1:29 16383:16384" ht="20.100000000000001" customHeight="1" x14ac:dyDescent="0.25">
      <c r="B5" s="382" t="s">
        <v>267</v>
      </c>
      <c r="C5" s="1818" t="s">
        <v>269</v>
      </c>
      <c r="D5" s="1818"/>
      <c r="E5" s="1818"/>
      <c r="F5" s="1818"/>
      <c r="G5" s="1818"/>
      <c r="H5" s="1818"/>
      <c r="I5" s="1818"/>
      <c r="J5" s="382" t="s">
        <v>28</v>
      </c>
      <c r="K5" s="1818" t="s">
        <v>235</v>
      </c>
      <c r="L5" s="1818"/>
      <c r="M5" s="1818"/>
    </row>
    <row r="6" spans="1:29 16383:16384" ht="9" customHeight="1" x14ac:dyDescent="0.25">
      <c r="B6" s="383"/>
      <c r="C6" s="384"/>
      <c r="D6" s="384"/>
      <c r="E6" s="384"/>
      <c r="F6" s="384"/>
      <c r="J6" s="384"/>
      <c r="K6" s="384"/>
      <c r="L6" s="384"/>
      <c r="M6" s="384"/>
    </row>
    <row r="7" spans="1:29 16383:16384" ht="15.6" customHeight="1" x14ac:dyDescent="0.25">
      <c r="B7" s="385"/>
      <c r="C7" s="386" t="s">
        <v>268</v>
      </c>
      <c r="D7" s="387"/>
      <c r="E7" s="387"/>
      <c r="F7" s="387"/>
      <c r="G7" s="387"/>
      <c r="H7" s="387"/>
      <c r="I7" s="387"/>
      <c r="J7" s="387"/>
      <c r="K7" s="387"/>
      <c r="L7" s="387"/>
      <c r="M7" s="388"/>
    </row>
    <row r="8" spans="1:29 16383:16384" ht="30" customHeight="1" x14ac:dyDescent="0.25">
      <c r="B8" s="389">
        <v>1</v>
      </c>
      <c r="C8" s="1933" t="s">
        <v>256</v>
      </c>
      <c r="D8" s="1934"/>
      <c r="E8" s="1934"/>
      <c r="F8" s="1934"/>
      <c r="G8" s="1934"/>
      <c r="H8" s="1934"/>
      <c r="I8" s="1935"/>
      <c r="J8" s="390"/>
      <c r="K8" s="1937"/>
      <c r="L8" s="1937"/>
      <c r="M8" s="1937"/>
      <c r="XFC8" s="550" t="b">
        <v>0</v>
      </c>
      <c r="XFD8" s="551">
        <f>IF(XFC8=TRUE,1,0)</f>
        <v>0</v>
      </c>
    </row>
    <row r="9" spans="1:29 16383:16384" ht="15.6" customHeight="1" x14ac:dyDescent="0.25">
      <c r="B9" s="385"/>
      <c r="C9" s="386" t="s">
        <v>255</v>
      </c>
      <c r="D9" s="387"/>
      <c r="E9" s="387"/>
      <c r="F9" s="387"/>
      <c r="G9" s="387"/>
      <c r="H9" s="387"/>
      <c r="I9" s="387"/>
      <c r="J9" s="387"/>
      <c r="K9" s="387"/>
      <c r="L9" s="387"/>
      <c r="M9" s="388"/>
      <c r="XFC9" s="551"/>
      <c r="XFD9" s="551"/>
    </row>
    <row r="10" spans="1:29 16383:16384" ht="30" customHeight="1" x14ac:dyDescent="0.25">
      <c r="B10" s="391">
        <v>2</v>
      </c>
      <c r="C10" s="1930" t="s">
        <v>233</v>
      </c>
      <c r="D10" s="1931"/>
      <c r="E10" s="1931"/>
      <c r="F10" s="1931"/>
      <c r="G10" s="1931"/>
      <c r="H10" s="1931"/>
      <c r="I10" s="1932"/>
      <c r="J10" s="390"/>
      <c r="K10" s="1936"/>
      <c r="L10" s="1936"/>
      <c r="M10" s="1936"/>
      <c r="XFC10" s="550" t="b">
        <v>0</v>
      </c>
      <c r="XFD10" s="551">
        <f t="shared" ref="XFD10:XFD18" si="0">IF(XFC10=TRUE,1,0)</f>
        <v>0</v>
      </c>
    </row>
    <row r="11" spans="1:29 16383:16384" ht="30" customHeight="1" x14ac:dyDescent="0.25">
      <c r="B11" s="391">
        <v>3</v>
      </c>
      <c r="C11" s="1930" t="s">
        <v>421</v>
      </c>
      <c r="D11" s="1931"/>
      <c r="E11" s="1931"/>
      <c r="F11" s="1931"/>
      <c r="G11" s="1931"/>
      <c r="H11" s="1931"/>
      <c r="I11" s="1932"/>
      <c r="J11" s="390"/>
      <c r="K11" s="1936"/>
      <c r="L11" s="1936"/>
      <c r="M11" s="1936"/>
      <c r="XFC11" s="550" t="b">
        <v>0</v>
      </c>
      <c r="XFD11" s="551">
        <f t="shared" si="0"/>
        <v>0</v>
      </c>
    </row>
    <row r="12" spans="1:29 16383:16384" ht="30" customHeight="1" x14ac:dyDescent="0.25">
      <c r="B12" s="391">
        <v>4</v>
      </c>
      <c r="C12" s="1930" t="s">
        <v>234</v>
      </c>
      <c r="D12" s="1931"/>
      <c r="E12" s="1931"/>
      <c r="F12" s="1931"/>
      <c r="G12" s="1931"/>
      <c r="H12" s="1931"/>
      <c r="I12" s="1932"/>
      <c r="J12" s="390"/>
      <c r="K12" s="1936"/>
      <c r="L12" s="1936"/>
      <c r="M12" s="1936"/>
      <c r="XFC12" s="550" t="b">
        <v>0</v>
      </c>
      <c r="XFD12" s="551">
        <f t="shared" si="0"/>
        <v>0</v>
      </c>
    </row>
    <row r="13" spans="1:29 16383:16384" ht="30" customHeight="1" x14ac:dyDescent="0.25">
      <c r="B13" s="391">
        <v>5</v>
      </c>
      <c r="C13" s="1930" t="s">
        <v>276</v>
      </c>
      <c r="D13" s="1931"/>
      <c r="E13" s="1931"/>
      <c r="F13" s="1931"/>
      <c r="G13" s="1931"/>
      <c r="H13" s="1931"/>
      <c r="I13" s="1932"/>
      <c r="J13" s="390"/>
      <c r="K13" s="1936"/>
      <c r="L13" s="1936"/>
      <c r="M13" s="1936"/>
      <c r="XFC13" s="550" t="b">
        <v>0</v>
      </c>
      <c r="XFD13" s="551">
        <f t="shared" si="0"/>
        <v>0</v>
      </c>
    </row>
    <row r="14" spans="1:29 16383:16384" ht="30" customHeight="1" x14ac:dyDescent="0.25">
      <c r="B14" s="391">
        <v>7</v>
      </c>
      <c r="C14" s="1930" t="s">
        <v>236</v>
      </c>
      <c r="D14" s="1931"/>
      <c r="E14" s="1931"/>
      <c r="F14" s="1931"/>
      <c r="G14" s="1931"/>
      <c r="H14" s="1931"/>
      <c r="I14" s="1932"/>
      <c r="J14" s="390"/>
      <c r="K14" s="1936"/>
      <c r="L14" s="1936"/>
      <c r="M14" s="1936"/>
      <c r="XFC14" s="550" t="b">
        <v>0</v>
      </c>
      <c r="XFD14" s="551">
        <f t="shared" si="0"/>
        <v>0</v>
      </c>
    </row>
    <row r="15" spans="1:29 16383:16384" ht="35.25" customHeight="1" x14ac:dyDescent="0.25">
      <c r="B15" s="391">
        <v>8</v>
      </c>
      <c r="C15" s="1930" t="s">
        <v>259</v>
      </c>
      <c r="D15" s="1931"/>
      <c r="E15" s="1931"/>
      <c r="F15" s="1931"/>
      <c r="G15" s="1931"/>
      <c r="H15" s="1931"/>
      <c r="I15" s="1932"/>
      <c r="J15" s="390"/>
      <c r="K15" s="1936"/>
      <c r="L15" s="1936"/>
      <c r="M15" s="1936"/>
      <c r="XFC15" s="550" t="b">
        <v>0</v>
      </c>
      <c r="XFD15" s="551">
        <f t="shared" si="0"/>
        <v>0</v>
      </c>
    </row>
    <row r="16" spans="1:29 16383:16384" ht="30" customHeight="1" x14ac:dyDescent="0.25">
      <c r="B16" s="391">
        <v>9</v>
      </c>
      <c r="C16" s="1930" t="s">
        <v>260</v>
      </c>
      <c r="D16" s="1931"/>
      <c r="E16" s="1931"/>
      <c r="F16" s="1931"/>
      <c r="G16" s="1931"/>
      <c r="H16" s="1931"/>
      <c r="I16" s="1932"/>
      <c r="J16" s="390"/>
      <c r="K16" s="1936"/>
      <c r="L16" s="1936"/>
      <c r="M16" s="1936"/>
      <c r="XFC16" s="550" t="b">
        <v>0</v>
      </c>
      <c r="XFD16" s="551">
        <f t="shared" si="0"/>
        <v>0</v>
      </c>
    </row>
    <row r="17" spans="2:13 16383:16384" ht="30" customHeight="1" x14ac:dyDescent="0.25">
      <c r="B17" s="391">
        <v>10</v>
      </c>
      <c r="C17" s="1930" t="s">
        <v>237</v>
      </c>
      <c r="D17" s="1931"/>
      <c r="E17" s="1931"/>
      <c r="F17" s="1931"/>
      <c r="G17" s="1931"/>
      <c r="H17" s="1931"/>
      <c r="I17" s="1932"/>
      <c r="J17" s="390"/>
      <c r="K17" s="1936"/>
      <c r="L17" s="1936"/>
      <c r="M17" s="1936"/>
      <c r="XFC17" s="550" t="b">
        <v>0</v>
      </c>
      <c r="XFD17" s="551">
        <f t="shared" si="0"/>
        <v>0</v>
      </c>
    </row>
    <row r="18" spans="2:13 16383:16384" ht="30" customHeight="1" x14ac:dyDescent="0.25">
      <c r="B18" s="391">
        <v>11</v>
      </c>
      <c r="C18" s="1930" t="s">
        <v>238</v>
      </c>
      <c r="D18" s="1931"/>
      <c r="E18" s="1931"/>
      <c r="F18" s="1931"/>
      <c r="G18" s="1931"/>
      <c r="H18" s="1931"/>
      <c r="I18" s="1932"/>
      <c r="J18" s="390"/>
      <c r="K18" s="1936"/>
      <c r="L18" s="1936"/>
      <c r="M18" s="1936"/>
      <c r="XFC18" s="550" t="b">
        <v>0</v>
      </c>
      <c r="XFD18" s="551">
        <f t="shared" si="0"/>
        <v>0</v>
      </c>
    </row>
    <row r="19" spans="2:13 16383:16384" ht="15.6" customHeight="1" x14ac:dyDescent="0.25">
      <c r="B19" s="385"/>
      <c r="C19" s="386" t="s">
        <v>257</v>
      </c>
      <c r="D19" s="387"/>
      <c r="E19" s="387"/>
      <c r="F19" s="387"/>
      <c r="G19" s="387"/>
      <c r="H19" s="387"/>
      <c r="I19" s="387"/>
      <c r="J19" s="387"/>
      <c r="K19" s="387"/>
      <c r="L19" s="387"/>
      <c r="M19" s="388"/>
      <c r="XFC19" s="550"/>
      <c r="XFD19" s="551"/>
    </row>
    <row r="20" spans="2:13 16383:16384" ht="30" customHeight="1" x14ac:dyDescent="0.25">
      <c r="B20" s="391">
        <v>12</v>
      </c>
      <c r="C20" s="1930" t="s">
        <v>239</v>
      </c>
      <c r="D20" s="1931"/>
      <c r="E20" s="1931"/>
      <c r="F20" s="1931"/>
      <c r="G20" s="1931"/>
      <c r="H20" s="1931"/>
      <c r="I20" s="1932"/>
      <c r="J20" s="390"/>
      <c r="K20" s="1936"/>
      <c r="L20" s="1936"/>
      <c r="M20" s="1936"/>
      <c r="XFC20" s="550" t="b">
        <v>0</v>
      </c>
      <c r="XFD20" s="551">
        <f t="shared" ref="XFD20:XFD33" si="1">IF(XFC20=TRUE,1,0)</f>
        <v>0</v>
      </c>
    </row>
    <row r="21" spans="2:13 16383:16384" ht="38.25" customHeight="1" x14ac:dyDescent="0.25">
      <c r="B21" s="391">
        <v>13</v>
      </c>
      <c r="C21" s="1930" t="s">
        <v>261</v>
      </c>
      <c r="D21" s="1931"/>
      <c r="E21" s="1931"/>
      <c r="F21" s="1931"/>
      <c r="G21" s="1931"/>
      <c r="H21" s="1931"/>
      <c r="I21" s="1932"/>
      <c r="J21" s="390"/>
      <c r="K21" s="1936"/>
      <c r="L21" s="1936"/>
      <c r="M21" s="1936"/>
      <c r="XFC21" s="550" t="b">
        <v>0</v>
      </c>
      <c r="XFD21" s="551">
        <f t="shared" si="1"/>
        <v>0</v>
      </c>
    </row>
    <row r="22" spans="2:13 16383:16384" s="354" customFormat="1" ht="30" customHeight="1" x14ac:dyDescent="0.25">
      <c r="B22" s="391">
        <v>14</v>
      </c>
      <c r="C22" s="1930" t="s">
        <v>240</v>
      </c>
      <c r="D22" s="1931"/>
      <c r="E22" s="1931"/>
      <c r="F22" s="1931"/>
      <c r="G22" s="1931"/>
      <c r="H22" s="1931"/>
      <c r="I22" s="1932"/>
      <c r="J22" s="390"/>
      <c r="K22" s="1936"/>
      <c r="L22" s="1936"/>
      <c r="M22" s="1936"/>
      <c r="XFC22" s="552" t="b">
        <v>0</v>
      </c>
      <c r="XFD22" s="551">
        <f t="shared" si="1"/>
        <v>0</v>
      </c>
    </row>
    <row r="23" spans="2:13 16383:16384" ht="30" customHeight="1" x14ac:dyDescent="0.25">
      <c r="B23" s="391">
        <v>15</v>
      </c>
      <c r="C23" s="1930" t="s">
        <v>241</v>
      </c>
      <c r="D23" s="1931"/>
      <c r="E23" s="1931"/>
      <c r="F23" s="1931"/>
      <c r="G23" s="1931"/>
      <c r="H23" s="1931"/>
      <c r="I23" s="1932"/>
      <c r="J23" s="390"/>
      <c r="K23" s="1936"/>
      <c r="L23" s="1936"/>
      <c r="M23" s="1936"/>
      <c r="XFC23" s="550" t="b">
        <v>0</v>
      </c>
      <c r="XFD23" s="551">
        <f t="shared" si="1"/>
        <v>0</v>
      </c>
    </row>
    <row r="24" spans="2:13 16383:16384" ht="30" customHeight="1" x14ac:dyDescent="0.25">
      <c r="B24" s="391">
        <v>16</v>
      </c>
      <c r="C24" s="1930" t="s">
        <v>262</v>
      </c>
      <c r="D24" s="1931"/>
      <c r="E24" s="1931"/>
      <c r="F24" s="1931"/>
      <c r="G24" s="1931"/>
      <c r="H24" s="1931"/>
      <c r="I24" s="1932"/>
      <c r="J24" s="390"/>
      <c r="K24" s="1936"/>
      <c r="L24" s="1936"/>
      <c r="M24" s="1936"/>
      <c r="XFC24" s="550" t="b">
        <v>0</v>
      </c>
      <c r="XFD24" s="551">
        <f t="shared" si="1"/>
        <v>0</v>
      </c>
    </row>
    <row r="25" spans="2:13 16383:16384" ht="30" customHeight="1" x14ac:dyDescent="0.25">
      <c r="B25" s="391">
        <v>17</v>
      </c>
      <c r="C25" s="1930" t="s">
        <v>244</v>
      </c>
      <c r="D25" s="1931"/>
      <c r="E25" s="1931"/>
      <c r="F25" s="1931"/>
      <c r="G25" s="1931"/>
      <c r="H25" s="1931"/>
      <c r="I25" s="1932"/>
      <c r="J25" s="390"/>
      <c r="K25" s="1936"/>
      <c r="L25" s="1936"/>
      <c r="M25" s="1936"/>
      <c r="XFC25" s="550" t="b">
        <v>0</v>
      </c>
      <c r="XFD25" s="551">
        <f t="shared" si="1"/>
        <v>0</v>
      </c>
    </row>
    <row r="26" spans="2:13 16383:16384" ht="30" customHeight="1" x14ac:dyDescent="0.25">
      <c r="B26" s="391">
        <v>18</v>
      </c>
      <c r="C26" s="1930" t="s">
        <v>245</v>
      </c>
      <c r="D26" s="1931"/>
      <c r="E26" s="1931"/>
      <c r="F26" s="1931"/>
      <c r="G26" s="1931"/>
      <c r="H26" s="1931"/>
      <c r="I26" s="1932"/>
      <c r="J26" s="390"/>
      <c r="K26" s="1936"/>
      <c r="L26" s="1936"/>
      <c r="M26" s="1936"/>
      <c r="XFC26" s="550" t="b">
        <v>0</v>
      </c>
      <c r="XFD26" s="551">
        <f t="shared" si="1"/>
        <v>0</v>
      </c>
    </row>
    <row r="27" spans="2:13 16383:16384" ht="30" customHeight="1" x14ac:dyDescent="0.25">
      <c r="B27" s="391">
        <v>19</v>
      </c>
      <c r="C27" s="1930" t="s">
        <v>263</v>
      </c>
      <c r="D27" s="1931"/>
      <c r="E27" s="1931"/>
      <c r="F27" s="1931"/>
      <c r="G27" s="1931"/>
      <c r="H27" s="1931"/>
      <c r="I27" s="1932"/>
      <c r="J27" s="390"/>
      <c r="K27" s="1936"/>
      <c r="L27" s="1936"/>
      <c r="M27" s="1936"/>
      <c r="XFC27" s="550" t="b">
        <v>0</v>
      </c>
      <c r="XFD27" s="551">
        <f t="shared" si="1"/>
        <v>0</v>
      </c>
    </row>
    <row r="28" spans="2:13 16383:16384" ht="30" customHeight="1" x14ac:dyDescent="0.25">
      <c r="B28" s="391">
        <v>20</v>
      </c>
      <c r="C28" s="1930" t="s">
        <v>264</v>
      </c>
      <c r="D28" s="1931"/>
      <c r="E28" s="1931"/>
      <c r="F28" s="1931"/>
      <c r="G28" s="1931"/>
      <c r="H28" s="1931"/>
      <c r="I28" s="1932"/>
      <c r="J28" s="390"/>
      <c r="K28" s="1936"/>
      <c r="L28" s="1936"/>
      <c r="M28" s="1936"/>
      <c r="XFC28" s="550" t="b">
        <v>0</v>
      </c>
      <c r="XFD28" s="551">
        <f t="shared" si="1"/>
        <v>0</v>
      </c>
    </row>
    <row r="29" spans="2:13 16383:16384" ht="30" customHeight="1" x14ac:dyDescent="0.25">
      <c r="B29" s="391">
        <v>21</v>
      </c>
      <c r="C29" s="1930" t="s">
        <v>242</v>
      </c>
      <c r="D29" s="1931"/>
      <c r="E29" s="1931"/>
      <c r="F29" s="1931"/>
      <c r="G29" s="1931"/>
      <c r="H29" s="1931"/>
      <c r="I29" s="1932"/>
      <c r="J29" s="390"/>
      <c r="K29" s="1936"/>
      <c r="L29" s="1936"/>
      <c r="M29" s="1936"/>
      <c r="XFC29" s="550" t="b">
        <v>0</v>
      </c>
      <c r="XFD29" s="551">
        <f t="shared" si="1"/>
        <v>0</v>
      </c>
    </row>
    <row r="30" spans="2:13 16383:16384" ht="30" customHeight="1" x14ac:dyDescent="0.25">
      <c r="B30" s="391">
        <v>22</v>
      </c>
      <c r="C30" s="1930" t="s">
        <v>254</v>
      </c>
      <c r="D30" s="1931"/>
      <c r="E30" s="1931"/>
      <c r="F30" s="1931"/>
      <c r="G30" s="1931"/>
      <c r="H30" s="1931"/>
      <c r="I30" s="1932"/>
      <c r="J30" s="390"/>
      <c r="K30" s="1936"/>
      <c r="L30" s="1936"/>
      <c r="M30" s="1936"/>
      <c r="XFC30" s="550" t="b">
        <v>0</v>
      </c>
      <c r="XFD30" s="551">
        <f t="shared" si="1"/>
        <v>0</v>
      </c>
    </row>
    <row r="31" spans="2:13 16383:16384" ht="30" customHeight="1" x14ac:dyDescent="0.25">
      <c r="B31" s="391">
        <v>23</v>
      </c>
      <c r="C31" s="1930" t="s">
        <v>243</v>
      </c>
      <c r="D31" s="1931"/>
      <c r="E31" s="1931"/>
      <c r="F31" s="1931"/>
      <c r="G31" s="1931"/>
      <c r="H31" s="1931"/>
      <c r="I31" s="1932"/>
      <c r="J31" s="390"/>
      <c r="K31" s="1936"/>
      <c r="L31" s="1936"/>
      <c r="M31" s="1936"/>
      <c r="XFC31" s="550" t="b">
        <v>0</v>
      </c>
      <c r="XFD31" s="551">
        <f t="shared" si="1"/>
        <v>0</v>
      </c>
    </row>
    <row r="32" spans="2:13 16383:16384" ht="37.5" customHeight="1" x14ac:dyDescent="0.25">
      <c r="B32" s="391">
        <v>24</v>
      </c>
      <c r="C32" s="1930" t="s">
        <v>265</v>
      </c>
      <c r="D32" s="1931"/>
      <c r="E32" s="1931"/>
      <c r="F32" s="1931"/>
      <c r="G32" s="1931"/>
      <c r="H32" s="1931"/>
      <c r="I32" s="1932"/>
      <c r="J32" s="390"/>
      <c r="K32" s="1936"/>
      <c r="L32" s="1936"/>
      <c r="M32" s="1936"/>
      <c r="XFC32" s="550" t="b">
        <v>0</v>
      </c>
      <c r="XFD32" s="551">
        <f t="shared" si="1"/>
        <v>0</v>
      </c>
    </row>
    <row r="33" spans="2:13 16383:16384" ht="30" customHeight="1" x14ac:dyDescent="0.25">
      <c r="B33" s="391">
        <v>25</v>
      </c>
      <c r="C33" s="1930" t="s">
        <v>250</v>
      </c>
      <c r="D33" s="1931"/>
      <c r="E33" s="1931"/>
      <c r="F33" s="1931"/>
      <c r="G33" s="1931"/>
      <c r="H33" s="1931"/>
      <c r="I33" s="1932"/>
      <c r="J33" s="390"/>
      <c r="K33" s="1936"/>
      <c r="L33" s="1936"/>
      <c r="M33" s="1936"/>
      <c r="XFC33" s="550" t="b">
        <v>0</v>
      </c>
      <c r="XFD33" s="551">
        <f t="shared" si="1"/>
        <v>0</v>
      </c>
    </row>
    <row r="34" spans="2:13 16383:16384" ht="15.6" customHeight="1" x14ac:dyDescent="0.25">
      <c r="B34" s="385"/>
      <c r="C34" s="386" t="s">
        <v>258</v>
      </c>
      <c r="D34" s="387"/>
      <c r="E34" s="387"/>
      <c r="F34" s="387"/>
      <c r="G34" s="387"/>
      <c r="H34" s="387"/>
      <c r="I34" s="387"/>
      <c r="J34" s="387"/>
      <c r="K34" s="387"/>
      <c r="L34" s="387"/>
      <c r="M34" s="388"/>
      <c r="XFC34" s="550"/>
      <c r="XFD34" s="551"/>
    </row>
    <row r="35" spans="2:13 16383:16384" ht="30" customHeight="1" x14ac:dyDescent="0.25">
      <c r="B35" s="391">
        <v>26</v>
      </c>
      <c r="C35" s="1930" t="s">
        <v>266</v>
      </c>
      <c r="D35" s="1931"/>
      <c r="E35" s="1931"/>
      <c r="F35" s="1931"/>
      <c r="G35" s="1931"/>
      <c r="H35" s="1931"/>
      <c r="I35" s="1932"/>
      <c r="J35" s="390"/>
      <c r="K35" s="1936"/>
      <c r="L35" s="1936"/>
      <c r="M35" s="1936"/>
      <c r="XFC35" s="550" t="b">
        <v>0</v>
      </c>
      <c r="XFD35" s="551">
        <f t="shared" ref="XFD35:XFD43" si="2">IF(XFC35=TRUE,1,0)</f>
        <v>0</v>
      </c>
    </row>
    <row r="36" spans="2:13 16383:16384" ht="30" customHeight="1" x14ac:dyDescent="0.25">
      <c r="B36" s="391">
        <v>27</v>
      </c>
      <c r="C36" s="1930" t="s">
        <v>251</v>
      </c>
      <c r="D36" s="1931"/>
      <c r="E36" s="1931"/>
      <c r="F36" s="1931"/>
      <c r="G36" s="1931"/>
      <c r="H36" s="1931"/>
      <c r="I36" s="1932"/>
      <c r="J36" s="390"/>
      <c r="K36" s="1936"/>
      <c r="L36" s="1936"/>
      <c r="M36" s="1936"/>
      <c r="XFC36" s="550" t="b">
        <v>0</v>
      </c>
      <c r="XFD36" s="551">
        <f t="shared" si="2"/>
        <v>0</v>
      </c>
    </row>
    <row r="37" spans="2:13 16383:16384" ht="30" customHeight="1" x14ac:dyDescent="0.25">
      <c r="B37" s="391">
        <v>28</v>
      </c>
      <c r="C37" s="1930" t="s">
        <v>252</v>
      </c>
      <c r="D37" s="1931"/>
      <c r="E37" s="1931"/>
      <c r="F37" s="1931"/>
      <c r="G37" s="1931"/>
      <c r="H37" s="1931"/>
      <c r="I37" s="1932"/>
      <c r="J37" s="390"/>
      <c r="K37" s="1936"/>
      <c r="L37" s="1936"/>
      <c r="M37" s="1936"/>
      <c r="XFC37" s="550" t="b">
        <v>0</v>
      </c>
      <c r="XFD37" s="551">
        <f t="shared" si="2"/>
        <v>0</v>
      </c>
    </row>
    <row r="38" spans="2:13 16383:16384" ht="29.25" customHeight="1" x14ac:dyDescent="0.25">
      <c r="B38" s="391">
        <v>29</v>
      </c>
      <c r="C38" s="1930" t="s">
        <v>246</v>
      </c>
      <c r="D38" s="1931"/>
      <c r="E38" s="1931"/>
      <c r="F38" s="1931"/>
      <c r="G38" s="1931"/>
      <c r="H38" s="1931"/>
      <c r="I38" s="1932"/>
      <c r="J38" s="390"/>
      <c r="K38" s="1936"/>
      <c r="L38" s="1936"/>
      <c r="M38" s="1936"/>
      <c r="XFC38" s="550" t="b">
        <v>0</v>
      </c>
      <c r="XFD38" s="551">
        <f t="shared" si="2"/>
        <v>0</v>
      </c>
    </row>
    <row r="39" spans="2:13 16383:16384" ht="30" customHeight="1" x14ac:dyDescent="0.25">
      <c r="B39" s="391">
        <v>30</v>
      </c>
      <c r="C39" s="1930" t="s">
        <v>247</v>
      </c>
      <c r="D39" s="1931"/>
      <c r="E39" s="1931"/>
      <c r="F39" s="1931"/>
      <c r="G39" s="1931"/>
      <c r="H39" s="1931"/>
      <c r="I39" s="1932"/>
      <c r="J39" s="390"/>
      <c r="K39" s="1936"/>
      <c r="L39" s="1936"/>
      <c r="M39" s="1936"/>
      <c r="XFC39" s="550" t="b">
        <v>0</v>
      </c>
      <c r="XFD39" s="551">
        <f t="shared" si="2"/>
        <v>0</v>
      </c>
    </row>
    <row r="40" spans="2:13 16383:16384" ht="30" customHeight="1" x14ac:dyDescent="0.25">
      <c r="B40" s="391">
        <v>31</v>
      </c>
      <c r="C40" s="1930" t="s">
        <v>253</v>
      </c>
      <c r="D40" s="1931"/>
      <c r="E40" s="1931"/>
      <c r="F40" s="1931"/>
      <c r="G40" s="1931"/>
      <c r="H40" s="1931"/>
      <c r="I40" s="1932"/>
      <c r="J40" s="390"/>
      <c r="K40" s="1936"/>
      <c r="L40" s="1936"/>
      <c r="M40" s="1936"/>
      <c r="XFC40" s="550" t="b">
        <v>0</v>
      </c>
      <c r="XFD40" s="551">
        <f t="shared" si="2"/>
        <v>0</v>
      </c>
    </row>
    <row r="41" spans="2:13 16383:16384" ht="30" customHeight="1" x14ac:dyDescent="0.25">
      <c r="B41" s="391">
        <v>32</v>
      </c>
      <c r="C41" s="1930" t="s">
        <v>248</v>
      </c>
      <c r="D41" s="1931"/>
      <c r="E41" s="1931"/>
      <c r="F41" s="1931"/>
      <c r="G41" s="1931"/>
      <c r="H41" s="1931"/>
      <c r="I41" s="1932"/>
      <c r="J41" s="390"/>
      <c r="K41" s="1936"/>
      <c r="L41" s="1936"/>
      <c r="M41" s="1936"/>
      <c r="XFC41" s="550" t="b">
        <v>0</v>
      </c>
      <c r="XFD41" s="551">
        <f t="shared" si="2"/>
        <v>0</v>
      </c>
    </row>
    <row r="42" spans="2:13 16383:16384" ht="30" customHeight="1" x14ac:dyDescent="0.25">
      <c r="B42" s="391">
        <v>33</v>
      </c>
      <c r="C42" s="1930" t="s">
        <v>249</v>
      </c>
      <c r="D42" s="1931"/>
      <c r="E42" s="1931"/>
      <c r="F42" s="1931"/>
      <c r="G42" s="1931"/>
      <c r="H42" s="1931"/>
      <c r="I42" s="1932"/>
      <c r="J42" s="390"/>
      <c r="K42" s="1936"/>
      <c r="L42" s="1936"/>
      <c r="M42" s="1936"/>
      <c r="XFC42" s="550" t="b">
        <v>0</v>
      </c>
      <c r="XFD42" s="551">
        <f t="shared" si="2"/>
        <v>0</v>
      </c>
    </row>
    <row r="43" spans="2:13 16383:16384" ht="30" customHeight="1" x14ac:dyDescent="0.25">
      <c r="B43" s="391">
        <v>34</v>
      </c>
      <c r="C43" s="1930" t="s">
        <v>270</v>
      </c>
      <c r="D43" s="1931"/>
      <c r="E43" s="1931"/>
      <c r="F43" s="1931"/>
      <c r="G43" s="1931"/>
      <c r="H43" s="1931"/>
      <c r="I43" s="1932"/>
      <c r="J43" s="390"/>
      <c r="K43" s="1936"/>
      <c r="L43" s="1936"/>
      <c r="M43" s="1936"/>
      <c r="XFC43" s="550"/>
      <c r="XFD43" s="551">
        <f t="shared" si="2"/>
        <v>0</v>
      </c>
    </row>
    <row r="44" spans="2:13 16383:16384" ht="30" customHeight="1" x14ac:dyDescent="0.25">
      <c r="B44" s="392"/>
      <c r="C44" s="393"/>
      <c r="D44" s="393"/>
      <c r="E44" s="393"/>
      <c r="F44" s="393"/>
      <c r="G44" s="393"/>
    </row>
    <row r="45" spans="2:13 16383:16384" ht="30" customHeight="1" x14ac:dyDescent="0.25">
      <c r="B45" s="392"/>
      <c r="C45" s="393"/>
      <c r="D45" s="393"/>
      <c r="E45" s="393"/>
      <c r="F45" s="393"/>
      <c r="G45" s="393"/>
    </row>
    <row r="46" spans="2:13 16383:16384" ht="30" customHeight="1" x14ac:dyDescent="0.25">
      <c r="B46" s="392"/>
      <c r="C46" s="393"/>
      <c r="D46" s="393"/>
      <c r="E46" s="393"/>
      <c r="F46" s="393"/>
      <c r="G46" s="393"/>
    </row>
    <row r="47" spans="2:13 16383:16384" ht="30" customHeight="1" x14ac:dyDescent="0.25">
      <c r="B47" s="392"/>
      <c r="C47" s="393"/>
      <c r="D47" s="393"/>
      <c r="E47" s="393"/>
      <c r="F47" s="393"/>
      <c r="G47" s="393"/>
    </row>
    <row r="48" spans="2:13 16383:16384" ht="30" customHeight="1" x14ac:dyDescent="0.25"/>
  </sheetData>
  <sheetProtection password="9AA6" sheet="1" objects="1" scenarios="1"/>
  <mergeCells count="69">
    <mergeCell ref="K39:M39"/>
    <mergeCell ref="K40:M40"/>
    <mergeCell ref="K41:M41"/>
    <mergeCell ref="K42:M42"/>
    <mergeCell ref="K43:M43"/>
    <mergeCell ref="B3:G3"/>
    <mergeCell ref="K33:M33"/>
    <mergeCell ref="K35:M35"/>
    <mergeCell ref="K36:M36"/>
    <mergeCell ref="K21:M21"/>
    <mergeCell ref="K22:M22"/>
    <mergeCell ref="K23:M23"/>
    <mergeCell ref="K24:M24"/>
    <mergeCell ref="K25:M25"/>
    <mergeCell ref="K26:M26"/>
    <mergeCell ref="K15:M15"/>
    <mergeCell ref="K16:M16"/>
    <mergeCell ref="K17:M17"/>
    <mergeCell ref="K18:M18"/>
    <mergeCell ref="K5:M5"/>
    <mergeCell ref="C20:I20"/>
    <mergeCell ref="K37:M37"/>
    <mergeCell ref="K38:M38"/>
    <mergeCell ref="K27:M27"/>
    <mergeCell ref="K28:M28"/>
    <mergeCell ref="K29:M29"/>
    <mergeCell ref="K30:M30"/>
    <mergeCell ref="K31:M31"/>
    <mergeCell ref="K32:M32"/>
    <mergeCell ref="K20:M20"/>
    <mergeCell ref="K8:M8"/>
    <mergeCell ref="K10:M10"/>
    <mergeCell ref="K11:M11"/>
    <mergeCell ref="K12:M12"/>
    <mergeCell ref="K13:M13"/>
    <mergeCell ref="K14:M14"/>
    <mergeCell ref="C21:I21"/>
    <mergeCell ref="C22:I22"/>
    <mergeCell ref="C23:I23"/>
    <mergeCell ref="C24:I24"/>
    <mergeCell ref="C25:I25"/>
    <mergeCell ref="C26:I26"/>
    <mergeCell ref="C27:I27"/>
    <mergeCell ref="C28:I28"/>
    <mergeCell ref="C29:I29"/>
    <mergeCell ref="C30:I30"/>
    <mergeCell ref="C40:I40"/>
    <mergeCell ref="C41:I41"/>
    <mergeCell ref="C31:I31"/>
    <mergeCell ref="C32:I32"/>
    <mergeCell ref="C33:I33"/>
    <mergeCell ref="C35:I35"/>
    <mergeCell ref="C36:I36"/>
    <mergeCell ref="C42:I42"/>
    <mergeCell ref="C43:I43"/>
    <mergeCell ref="C5:I5"/>
    <mergeCell ref="C8:I8"/>
    <mergeCell ref="C10:I10"/>
    <mergeCell ref="C11:I11"/>
    <mergeCell ref="C12:I12"/>
    <mergeCell ref="C13:I13"/>
    <mergeCell ref="C14:I14"/>
    <mergeCell ref="C15:I15"/>
    <mergeCell ref="C16:I16"/>
    <mergeCell ref="C17:I17"/>
    <mergeCell ref="C18:I18"/>
    <mergeCell ref="C37:I37"/>
    <mergeCell ref="C38:I38"/>
    <mergeCell ref="C39:I39"/>
  </mergeCells>
  <dataValidations count="1">
    <dataValidation type="textLength" operator="lessThan" allowBlank="1" showInputMessage="1" showErrorMessage="1" errorTitle="Error" error="Ha ingresado un valor erróneo, intenet de nuevo." promptTitle="Comentario" prompt="Ingrese el comnetario referente al criterio de cuplimiento, si dicho criterio es afirmativo._x000a_El comentario no debe contener más de 100 caracteres." sqref="K35:M43 K20:M33 K10:M18 K8:M8">
      <formula1>100</formula1>
    </dataValidation>
  </dataValidations>
  <pageMargins left="0.70866141732283472" right="0.70866141732283472" top="0.74803149606299213" bottom="0.74803149606299213" header="0.31496062992125984" footer="0.31496062992125984"/>
  <pageSetup paperSize="9" scale="70" orientation="portrait" r:id="rId1"/>
  <headerFooter scaleWithDoc="0">
    <oddHeader>&amp;L&amp;"Arial,Negrita"&amp;9MINISTERIO DE DESARROLLO AGRARIO Y RIEGO&amp;"-,Normal"&amp;11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67" r:id="rId4" name="Check Box 67">
              <controlPr defaultSize="0" autoFill="0" autoLine="0" autoPict="0" macro="[0]!Casilla67_Haga_clic_en">
                <anchor moveWithCells="1">
                  <from>
                    <xdr:col>9</xdr:col>
                    <xdr:colOff>247650</xdr:colOff>
                    <xdr:row>7</xdr:row>
                    <xdr:rowOff>114300</xdr:rowOff>
                  </from>
                  <to>
                    <xdr:col>9</xdr:col>
                    <xdr:colOff>466725</xdr:colOff>
                    <xdr:row>7</xdr:row>
                    <xdr:rowOff>247650</xdr:rowOff>
                  </to>
                </anchor>
              </controlPr>
            </control>
          </mc:Choice>
        </mc:AlternateContent>
        <mc:AlternateContent xmlns:mc="http://schemas.openxmlformats.org/markup-compatibility/2006">
          <mc:Choice Requires="x14">
            <control shapeId="25701" r:id="rId5" name="Check Box 101">
              <controlPr defaultSize="0" autoFill="0" autoLine="0" autoPict="0" macro="[0]!Casilla101_Haga_clic_en">
                <anchor moveWithCells="1">
                  <from>
                    <xdr:col>9</xdr:col>
                    <xdr:colOff>247650</xdr:colOff>
                    <xdr:row>9</xdr:row>
                    <xdr:rowOff>114300</xdr:rowOff>
                  </from>
                  <to>
                    <xdr:col>9</xdr:col>
                    <xdr:colOff>466725</xdr:colOff>
                    <xdr:row>9</xdr:row>
                    <xdr:rowOff>247650</xdr:rowOff>
                  </to>
                </anchor>
              </controlPr>
            </control>
          </mc:Choice>
        </mc:AlternateContent>
        <mc:AlternateContent xmlns:mc="http://schemas.openxmlformats.org/markup-compatibility/2006">
          <mc:Choice Requires="x14">
            <control shapeId="25702" r:id="rId6" name="Check Box 102">
              <controlPr defaultSize="0" autoFill="0" autoLine="0" autoPict="0" macro="[0]!Casilla102_Haga_clic_en">
                <anchor moveWithCells="1">
                  <from>
                    <xdr:col>9</xdr:col>
                    <xdr:colOff>247650</xdr:colOff>
                    <xdr:row>10</xdr:row>
                    <xdr:rowOff>114300</xdr:rowOff>
                  </from>
                  <to>
                    <xdr:col>9</xdr:col>
                    <xdr:colOff>466725</xdr:colOff>
                    <xdr:row>10</xdr:row>
                    <xdr:rowOff>247650</xdr:rowOff>
                  </to>
                </anchor>
              </controlPr>
            </control>
          </mc:Choice>
        </mc:AlternateContent>
        <mc:AlternateContent xmlns:mc="http://schemas.openxmlformats.org/markup-compatibility/2006">
          <mc:Choice Requires="x14">
            <control shapeId="25703" r:id="rId7" name="Check Box 103">
              <controlPr defaultSize="0" autoFill="0" autoLine="0" autoPict="0" macro="[0]!Casilla103_Haga_clic_en">
                <anchor moveWithCells="1">
                  <from>
                    <xdr:col>9</xdr:col>
                    <xdr:colOff>247650</xdr:colOff>
                    <xdr:row>11</xdr:row>
                    <xdr:rowOff>114300</xdr:rowOff>
                  </from>
                  <to>
                    <xdr:col>9</xdr:col>
                    <xdr:colOff>466725</xdr:colOff>
                    <xdr:row>11</xdr:row>
                    <xdr:rowOff>247650</xdr:rowOff>
                  </to>
                </anchor>
              </controlPr>
            </control>
          </mc:Choice>
        </mc:AlternateContent>
        <mc:AlternateContent xmlns:mc="http://schemas.openxmlformats.org/markup-compatibility/2006">
          <mc:Choice Requires="x14">
            <control shapeId="25704" r:id="rId8" name="Check Box 104">
              <controlPr defaultSize="0" autoFill="0" autoLine="0" autoPict="0" macro="[0]!Casilla104_Haga_clic_en">
                <anchor moveWithCells="1">
                  <from>
                    <xdr:col>9</xdr:col>
                    <xdr:colOff>247650</xdr:colOff>
                    <xdr:row>12</xdr:row>
                    <xdr:rowOff>114300</xdr:rowOff>
                  </from>
                  <to>
                    <xdr:col>9</xdr:col>
                    <xdr:colOff>466725</xdr:colOff>
                    <xdr:row>12</xdr:row>
                    <xdr:rowOff>247650</xdr:rowOff>
                  </to>
                </anchor>
              </controlPr>
            </control>
          </mc:Choice>
        </mc:AlternateContent>
        <mc:AlternateContent xmlns:mc="http://schemas.openxmlformats.org/markup-compatibility/2006">
          <mc:Choice Requires="x14">
            <control shapeId="25705" r:id="rId9" name="Check Box 105">
              <controlPr defaultSize="0" autoFill="0" autoLine="0" autoPict="0" macro="[0]!Casilla105_Haga_clic_en">
                <anchor moveWithCells="1">
                  <from>
                    <xdr:col>9</xdr:col>
                    <xdr:colOff>247650</xdr:colOff>
                    <xdr:row>13</xdr:row>
                    <xdr:rowOff>114300</xdr:rowOff>
                  </from>
                  <to>
                    <xdr:col>9</xdr:col>
                    <xdr:colOff>466725</xdr:colOff>
                    <xdr:row>13</xdr:row>
                    <xdr:rowOff>247650</xdr:rowOff>
                  </to>
                </anchor>
              </controlPr>
            </control>
          </mc:Choice>
        </mc:AlternateContent>
        <mc:AlternateContent xmlns:mc="http://schemas.openxmlformats.org/markup-compatibility/2006">
          <mc:Choice Requires="x14">
            <control shapeId="25706" r:id="rId10" name="Check Box 106">
              <controlPr defaultSize="0" autoFill="0" autoLine="0" autoPict="0" macro="[0]!Casilla106_Haga_clic_en">
                <anchor moveWithCells="1">
                  <from>
                    <xdr:col>9</xdr:col>
                    <xdr:colOff>247650</xdr:colOff>
                    <xdr:row>14</xdr:row>
                    <xdr:rowOff>114300</xdr:rowOff>
                  </from>
                  <to>
                    <xdr:col>9</xdr:col>
                    <xdr:colOff>466725</xdr:colOff>
                    <xdr:row>14</xdr:row>
                    <xdr:rowOff>247650</xdr:rowOff>
                  </to>
                </anchor>
              </controlPr>
            </control>
          </mc:Choice>
        </mc:AlternateContent>
        <mc:AlternateContent xmlns:mc="http://schemas.openxmlformats.org/markup-compatibility/2006">
          <mc:Choice Requires="x14">
            <control shapeId="25707" r:id="rId11" name="Check Box 107">
              <controlPr defaultSize="0" autoFill="0" autoLine="0" autoPict="0" macro="[0]!Casilla107_Haga_clic_en">
                <anchor moveWithCells="1">
                  <from>
                    <xdr:col>9</xdr:col>
                    <xdr:colOff>247650</xdr:colOff>
                    <xdr:row>15</xdr:row>
                    <xdr:rowOff>114300</xdr:rowOff>
                  </from>
                  <to>
                    <xdr:col>9</xdr:col>
                    <xdr:colOff>466725</xdr:colOff>
                    <xdr:row>15</xdr:row>
                    <xdr:rowOff>247650</xdr:rowOff>
                  </to>
                </anchor>
              </controlPr>
            </control>
          </mc:Choice>
        </mc:AlternateContent>
        <mc:AlternateContent xmlns:mc="http://schemas.openxmlformats.org/markup-compatibility/2006">
          <mc:Choice Requires="x14">
            <control shapeId="25708" r:id="rId12" name="Check Box 108">
              <controlPr defaultSize="0" autoFill="0" autoLine="0" autoPict="0" macro="[0]!Casilla108_Haga_clic_en">
                <anchor moveWithCells="1">
                  <from>
                    <xdr:col>9</xdr:col>
                    <xdr:colOff>247650</xdr:colOff>
                    <xdr:row>16</xdr:row>
                    <xdr:rowOff>114300</xdr:rowOff>
                  </from>
                  <to>
                    <xdr:col>9</xdr:col>
                    <xdr:colOff>466725</xdr:colOff>
                    <xdr:row>16</xdr:row>
                    <xdr:rowOff>247650</xdr:rowOff>
                  </to>
                </anchor>
              </controlPr>
            </control>
          </mc:Choice>
        </mc:AlternateContent>
        <mc:AlternateContent xmlns:mc="http://schemas.openxmlformats.org/markup-compatibility/2006">
          <mc:Choice Requires="x14">
            <control shapeId="25709" r:id="rId13" name="Check Box 109">
              <controlPr defaultSize="0" autoFill="0" autoLine="0" autoPict="0" macro="[0]!Casilla109_Haga_clic_en">
                <anchor moveWithCells="1">
                  <from>
                    <xdr:col>9</xdr:col>
                    <xdr:colOff>247650</xdr:colOff>
                    <xdr:row>17</xdr:row>
                    <xdr:rowOff>114300</xdr:rowOff>
                  </from>
                  <to>
                    <xdr:col>9</xdr:col>
                    <xdr:colOff>466725</xdr:colOff>
                    <xdr:row>17</xdr:row>
                    <xdr:rowOff>247650</xdr:rowOff>
                  </to>
                </anchor>
              </controlPr>
            </control>
          </mc:Choice>
        </mc:AlternateContent>
        <mc:AlternateContent xmlns:mc="http://schemas.openxmlformats.org/markup-compatibility/2006">
          <mc:Choice Requires="x14">
            <control shapeId="25710" r:id="rId14" name="Check Box 110">
              <controlPr defaultSize="0" autoFill="0" autoLine="0" autoPict="0" macro="[0]!Casilla110_Haga_clic_en">
                <anchor moveWithCells="1">
                  <from>
                    <xdr:col>9</xdr:col>
                    <xdr:colOff>247650</xdr:colOff>
                    <xdr:row>19</xdr:row>
                    <xdr:rowOff>114300</xdr:rowOff>
                  </from>
                  <to>
                    <xdr:col>9</xdr:col>
                    <xdr:colOff>466725</xdr:colOff>
                    <xdr:row>19</xdr:row>
                    <xdr:rowOff>247650</xdr:rowOff>
                  </to>
                </anchor>
              </controlPr>
            </control>
          </mc:Choice>
        </mc:AlternateContent>
        <mc:AlternateContent xmlns:mc="http://schemas.openxmlformats.org/markup-compatibility/2006">
          <mc:Choice Requires="x14">
            <control shapeId="25711" r:id="rId15" name="Check Box 111">
              <controlPr defaultSize="0" autoFill="0" autoLine="0" autoPict="0" macro="[0]!Casilla111_Haga_clic_en">
                <anchor moveWithCells="1">
                  <from>
                    <xdr:col>9</xdr:col>
                    <xdr:colOff>247650</xdr:colOff>
                    <xdr:row>20</xdr:row>
                    <xdr:rowOff>114300</xdr:rowOff>
                  </from>
                  <to>
                    <xdr:col>9</xdr:col>
                    <xdr:colOff>466725</xdr:colOff>
                    <xdr:row>20</xdr:row>
                    <xdr:rowOff>247650</xdr:rowOff>
                  </to>
                </anchor>
              </controlPr>
            </control>
          </mc:Choice>
        </mc:AlternateContent>
        <mc:AlternateContent xmlns:mc="http://schemas.openxmlformats.org/markup-compatibility/2006">
          <mc:Choice Requires="x14">
            <control shapeId="25712" r:id="rId16" name="Check Box 112">
              <controlPr defaultSize="0" autoFill="0" autoLine="0" autoPict="0" macro="[0]!Casilla112_Haga_clic_en">
                <anchor moveWithCells="1">
                  <from>
                    <xdr:col>9</xdr:col>
                    <xdr:colOff>247650</xdr:colOff>
                    <xdr:row>21</xdr:row>
                    <xdr:rowOff>114300</xdr:rowOff>
                  </from>
                  <to>
                    <xdr:col>9</xdr:col>
                    <xdr:colOff>466725</xdr:colOff>
                    <xdr:row>21</xdr:row>
                    <xdr:rowOff>247650</xdr:rowOff>
                  </to>
                </anchor>
              </controlPr>
            </control>
          </mc:Choice>
        </mc:AlternateContent>
        <mc:AlternateContent xmlns:mc="http://schemas.openxmlformats.org/markup-compatibility/2006">
          <mc:Choice Requires="x14">
            <control shapeId="25713" r:id="rId17" name="Check Box 113">
              <controlPr defaultSize="0" autoFill="0" autoLine="0" autoPict="0" macro="[0]!Casilla113_Haga_clic_en">
                <anchor moveWithCells="1">
                  <from>
                    <xdr:col>9</xdr:col>
                    <xdr:colOff>247650</xdr:colOff>
                    <xdr:row>22</xdr:row>
                    <xdr:rowOff>114300</xdr:rowOff>
                  </from>
                  <to>
                    <xdr:col>9</xdr:col>
                    <xdr:colOff>466725</xdr:colOff>
                    <xdr:row>22</xdr:row>
                    <xdr:rowOff>247650</xdr:rowOff>
                  </to>
                </anchor>
              </controlPr>
            </control>
          </mc:Choice>
        </mc:AlternateContent>
        <mc:AlternateContent xmlns:mc="http://schemas.openxmlformats.org/markup-compatibility/2006">
          <mc:Choice Requires="x14">
            <control shapeId="25714" r:id="rId18" name="Check Box 114">
              <controlPr defaultSize="0" autoFill="0" autoLine="0" autoPict="0" macro="[0]!Casilla114_Haga_clic_en">
                <anchor moveWithCells="1">
                  <from>
                    <xdr:col>9</xdr:col>
                    <xdr:colOff>247650</xdr:colOff>
                    <xdr:row>23</xdr:row>
                    <xdr:rowOff>114300</xdr:rowOff>
                  </from>
                  <to>
                    <xdr:col>9</xdr:col>
                    <xdr:colOff>466725</xdr:colOff>
                    <xdr:row>23</xdr:row>
                    <xdr:rowOff>247650</xdr:rowOff>
                  </to>
                </anchor>
              </controlPr>
            </control>
          </mc:Choice>
        </mc:AlternateContent>
        <mc:AlternateContent xmlns:mc="http://schemas.openxmlformats.org/markup-compatibility/2006">
          <mc:Choice Requires="x14">
            <control shapeId="25715" r:id="rId19" name="Check Box 115">
              <controlPr defaultSize="0" autoFill="0" autoLine="0" autoPict="0" macro="[0]!Casilla115_Haga_clic_en">
                <anchor moveWithCells="1">
                  <from>
                    <xdr:col>9</xdr:col>
                    <xdr:colOff>247650</xdr:colOff>
                    <xdr:row>24</xdr:row>
                    <xdr:rowOff>114300</xdr:rowOff>
                  </from>
                  <to>
                    <xdr:col>9</xdr:col>
                    <xdr:colOff>466725</xdr:colOff>
                    <xdr:row>24</xdr:row>
                    <xdr:rowOff>247650</xdr:rowOff>
                  </to>
                </anchor>
              </controlPr>
            </control>
          </mc:Choice>
        </mc:AlternateContent>
        <mc:AlternateContent xmlns:mc="http://schemas.openxmlformats.org/markup-compatibility/2006">
          <mc:Choice Requires="x14">
            <control shapeId="25716" r:id="rId20" name="Check Box 116">
              <controlPr defaultSize="0" autoFill="0" autoLine="0" autoPict="0" macro="[0]!Casilla116_Haga_clic_en">
                <anchor moveWithCells="1">
                  <from>
                    <xdr:col>9</xdr:col>
                    <xdr:colOff>247650</xdr:colOff>
                    <xdr:row>25</xdr:row>
                    <xdr:rowOff>114300</xdr:rowOff>
                  </from>
                  <to>
                    <xdr:col>9</xdr:col>
                    <xdr:colOff>466725</xdr:colOff>
                    <xdr:row>25</xdr:row>
                    <xdr:rowOff>247650</xdr:rowOff>
                  </to>
                </anchor>
              </controlPr>
            </control>
          </mc:Choice>
        </mc:AlternateContent>
        <mc:AlternateContent xmlns:mc="http://schemas.openxmlformats.org/markup-compatibility/2006">
          <mc:Choice Requires="x14">
            <control shapeId="25717" r:id="rId21" name="Check Box 117">
              <controlPr defaultSize="0" autoFill="0" autoLine="0" autoPict="0" macro="[0]!Casilla117_Haga_clic_en">
                <anchor moveWithCells="1">
                  <from>
                    <xdr:col>9</xdr:col>
                    <xdr:colOff>247650</xdr:colOff>
                    <xdr:row>26</xdr:row>
                    <xdr:rowOff>114300</xdr:rowOff>
                  </from>
                  <to>
                    <xdr:col>9</xdr:col>
                    <xdr:colOff>466725</xdr:colOff>
                    <xdr:row>26</xdr:row>
                    <xdr:rowOff>247650</xdr:rowOff>
                  </to>
                </anchor>
              </controlPr>
            </control>
          </mc:Choice>
        </mc:AlternateContent>
        <mc:AlternateContent xmlns:mc="http://schemas.openxmlformats.org/markup-compatibility/2006">
          <mc:Choice Requires="x14">
            <control shapeId="25718" r:id="rId22" name="Check Box 118">
              <controlPr defaultSize="0" autoFill="0" autoLine="0" autoPict="0" macro="[0]!Casilla118_Haga_clic_en">
                <anchor moveWithCells="1">
                  <from>
                    <xdr:col>9</xdr:col>
                    <xdr:colOff>247650</xdr:colOff>
                    <xdr:row>27</xdr:row>
                    <xdr:rowOff>114300</xdr:rowOff>
                  </from>
                  <to>
                    <xdr:col>9</xdr:col>
                    <xdr:colOff>466725</xdr:colOff>
                    <xdr:row>27</xdr:row>
                    <xdr:rowOff>247650</xdr:rowOff>
                  </to>
                </anchor>
              </controlPr>
            </control>
          </mc:Choice>
        </mc:AlternateContent>
        <mc:AlternateContent xmlns:mc="http://schemas.openxmlformats.org/markup-compatibility/2006">
          <mc:Choice Requires="x14">
            <control shapeId="25719" r:id="rId23" name="Check Box 119">
              <controlPr defaultSize="0" autoFill="0" autoLine="0" autoPict="0" macro="[0]!Casilla119_Haga_clic_en">
                <anchor moveWithCells="1">
                  <from>
                    <xdr:col>9</xdr:col>
                    <xdr:colOff>247650</xdr:colOff>
                    <xdr:row>28</xdr:row>
                    <xdr:rowOff>114300</xdr:rowOff>
                  </from>
                  <to>
                    <xdr:col>9</xdr:col>
                    <xdr:colOff>466725</xdr:colOff>
                    <xdr:row>28</xdr:row>
                    <xdr:rowOff>247650</xdr:rowOff>
                  </to>
                </anchor>
              </controlPr>
            </control>
          </mc:Choice>
        </mc:AlternateContent>
        <mc:AlternateContent xmlns:mc="http://schemas.openxmlformats.org/markup-compatibility/2006">
          <mc:Choice Requires="x14">
            <control shapeId="25720" r:id="rId24" name="Check Box 120">
              <controlPr defaultSize="0" autoFill="0" autoLine="0" autoPict="0" macro="[0]!Casilla120_Haga_clic_en">
                <anchor moveWithCells="1">
                  <from>
                    <xdr:col>9</xdr:col>
                    <xdr:colOff>247650</xdr:colOff>
                    <xdr:row>29</xdr:row>
                    <xdr:rowOff>114300</xdr:rowOff>
                  </from>
                  <to>
                    <xdr:col>9</xdr:col>
                    <xdr:colOff>466725</xdr:colOff>
                    <xdr:row>29</xdr:row>
                    <xdr:rowOff>247650</xdr:rowOff>
                  </to>
                </anchor>
              </controlPr>
            </control>
          </mc:Choice>
        </mc:AlternateContent>
        <mc:AlternateContent xmlns:mc="http://schemas.openxmlformats.org/markup-compatibility/2006">
          <mc:Choice Requires="x14">
            <control shapeId="25721" r:id="rId25" name="Check Box 121">
              <controlPr defaultSize="0" autoFill="0" autoLine="0" autoPict="0" macro="[0]!Casilla121_Haga_clic_en">
                <anchor moveWithCells="1">
                  <from>
                    <xdr:col>9</xdr:col>
                    <xdr:colOff>247650</xdr:colOff>
                    <xdr:row>30</xdr:row>
                    <xdr:rowOff>114300</xdr:rowOff>
                  </from>
                  <to>
                    <xdr:col>9</xdr:col>
                    <xdr:colOff>466725</xdr:colOff>
                    <xdr:row>30</xdr:row>
                    <xdr:rowOff>247650</xdr:rowOff>
                  </to>
                </anchor>
              </controlPr>
            </control>
          </mc:Choice>
        </mc:AlternateContent>
        <mc:AlternateContent xmlns:mc="http://schemas.openxmlformats.org/markup-compatibility/2006">
          <mc:Choice Requires="x14">
            <control shapeId="25722" r:id="rId26" name="Check Box 122">
              <controlPr defaultSize="0" autoFill="0" autoLine="0" autoPict="0" macro="[0]!Casilla122_Haga_clic_en">
                <anchor moveWithCells="1">
                  <from>
                    <xdr:col>9</xdr:col>
                    <xdr:colOff>247650</xdr:colOff>
                    <xdr:row>31</xdr:row>
                    <xdr:rowOff>114300</xdr:rowOff>
                  </from>
                  <to>
                    <xdr:col>9</xdr:col>
                    <xdr:colOff>466725</xdr:colOff>
                    <xdr:row>31</xdr:row>
                    <xdr:rowOff>247650</xdr:rowOff>
                  </to>
                </anchor>
              </controlPr>
            </control>
          </mc:Choice>
        </mc:AlternateContent>
        <mc:AlternateContent xmlns:mc="http://schemas.openxmlformats.org/markup-compatibility/2006">
          <mc:Choice Requires="x14">
            <control shapeId="25723" r:id="rId27" name="Check Box 123">
              <controlPr defaultSize="0" autoFill="0" autoLine="0" autoPict="0" macro="[0]!Casilla123_Haga_clic_en">
                <anchor moveWithCells="1">
                  <from>
                    <xdr:col>9</xdr:col>
                    <xdr:colOff>247650</xdr:colOff>
                    <xdr:row>32</xdr:row>
                    <xdr:rowOff>114300</xdr:rowOff>
                  </from>
                  <to>
                    <xdr:col>9</xdr:col>
                    <xdr:colOff>466725</xdr:colOff>
                    <xdr:row>32</xdr:row>
                    <xdr:rowOff>247650</xdr:rowOff>
                  </to>
                </anchor>
              </controlPr>
            </control>
          </mc:Choice>
        </mc:AlternateContent>
        <mc:AlternateContent xmlns:mc="http://schemas.openxmlformats.org/markup-compatibility/2006">
          <mc:Choice Requires="x14">
            <control shapeId="25724" r:id="rId28" name="Check Box 124">
              <controlPr defaultSize="0" autoFill="0" autoLine="0" autoPict="0" macro="[0]!Casilla124_Haga_clic_en">
                <anchor moveWithCells="1">
                  <from>
                    <xdr:col>9</xdr:col>
                    <xdr:colOff>247650</xdr:colOff>
                    <xdr:row>34</xdr:row>
                    <xdr:rowOff>114300</xdr:rowOff>
                  </from>
                  <to>
                    <xdr:col>9</xdr:col>
                    <xdr:colOff>466725</xdr:colOff>
                    <xdr:row>34</xdr:row>
                    <xdr:rowOff>247650</xdr:rowOff>
                  </to>
                </anchor>
              </controlPr>
            </control>
          </mc:Choice>
        </mc:AlternateContent>
        <mc:AlternateContent xmlns:mc="http://schemas.openxmlformats.org/markup-compatibility/2006">
          <mc:Choice Requires="x14">
            <control shapeId="25725" r:id="rId29" name="Check Box 125">
              <controlPr defaultSize="0" autoFill="0" autoLine="0" autoPict="0" macro="[0]!Casilla125_Haga_clic_en">
                <anchor moveWithCells="1">
                  <from>
                    <xdr:col>9</xdr:col>
                    <xdr:colOff>247650</xdr:colOff>
                    <xdr:row>35</xdr:row>
                    <xdr:rowOff>114300</xdr:rowOff>
                  </from>
                  <to>
                    <xdr:col>9</xdr:col>
                    <xdr:colOff>466725</xdr:colOff>
                    <xdr:row>35</xdr:row>
                    <xdr:rowOff>247650</xdr:rowOff>
                  </to>
                </anchor>
              </controlPr>
            </control>
          </mc:Choice>
        </mc:AlternateContent>
        <mc:AlternateContent xmlns:mc="http://schemas.openxmlformats.org/markup-compatibility/2006">
          <mc:Choice Requires="x14">
            <control shapeId="25726" r:id="rId30" name="Check Box 126">
              <controlPr defaultSize="0" autoFill="0" autoLine="0" autoPict="0" macro="[0]!Casilla126_Haga_clic_en">
                <anchor moveWithCells="1">
                  <from>
                    <xdr:col>9</xdr:col>
                    <xdr:colOff>247650</xdr:colOff>
                    <xdr:row>36</xdr:row>
                    <xdr:rowOff>114300</xdr:rowOff>
                  </from>
                  <to>
                    <xdr:col>9</xdr:col>
                    <xdr:colOff>466725</xdr:colOff>
                    <xdr:row>36</xdr:row>
                    <xdr:rowOff>247650</xdr:rowOff>
                  </to>
                </anchor>
              </controlPr>
            </control>
          </mc:Choice>
        </mc:AlternateContent>
        <mc:AlternateContent xmlns:mc="http://schemas.openxmlformats.org/markup-compatibility/2006">
          <mc:Choice Requires="x14">
            <control shapeId="25727" r:id="rId31" name="Check Box 127">
              <controlPr defaultSize="0" autoFill="0" autoLine="0" autoPict="0" macro="[0]!Casilla127_Haga_clic_en">
                <anchor moveWithCells="1">
                  <from>
                    <xdr:col>9</xdr:col>
                    <xdr:colOff>247650</xdr:colOff>
                    <xdr:row>37</xdr:row>
                    <xdr:rowOff>114300</xdr:rowOff>
                  </from>
                  <to>
                    <xdr:col>9</xdr:col>
                    <xdr:colOff>466725</xdr:colOff>
                    <xdr:row>37</xdr:row>
                    <xdr:rowOff>247650</xdr:rowOff>
                  </to>
                </anchor>
              </controlPr>
            </control>
          </mc:Choice>
        </mc:AlternateContent>
        <mc:AlternateContent xmlns:mc="http://schemas.openxmlformats.org/markup-compatibility/2006">
          <mc:Choice Requires="x14">
            <control shapeId="25728" r:id="rId32" name="Check Box 128">
              <controlPr defaultSize="0" autoFill="0" autoLine="0" autoPict="0" macro="[0]!Casilla128_Haga_clic_en">
                <anchor moveWithCells="1">
                  <from>
                    <xdr:col>9</xdr:col>
                    <xdr:colOff>247650</xdr:colOff>
                    <xdr:row>38</xdr:row>
                    <xdr:rowOff>114300</xdr:rowOff>
                  </from>
                  <to>
                    <xdr:col>9</xdr:col>
                    <xdr:colOff>466725</xdr:colOff>
                    <xdr:row>38</xdr:row>
                    <xdr:rowOff>247650</xdr:rowOff>
                  </to>
                </anchor>
              </controlPr>
            </control>
          </mc:Choice>
        </mc:AlternateContent>
        <mc:AlternateContent xmlns:mc="http://schemas.openxmlformats.org/markup-compatibility/2006">
          <mc:Choice Requires="x14">
            <control shapeId="25729" r:id="rId33" name="Check Box 129">
              <controlPr defaultSize="0" autoFill="0" autoLine="0" autoPict="0" macro="[0]!Casilla129_Haga_clic_en">
                <anchor moveWithCells="1">
                  <from>
                    <xdr:col>9</xdr:col>
                    <xdr:colOff>247650</xdr:colOff>
                    <xdr:row>39</xdr:row>
                    <xdr:rowOff>114300</xdr:rowOff>
                  </from>
                  <to>
                    <xdr:col>9</xdr:col>
                    <xdr:colOff>466725</xdr:colOff>
                    <xdr:row>39</xdr:row>
                    <xdr:rowOff>247650</xdr:rowOff>
                  </to>
                </anchor>
              </controlPr>
            </control>
          </mc:Choice>
        </mc:AlternateContent>
        <mc:AlternateContent xmlns:mc="http://schemas.openxmlformats.org/markup-compatibility/2006">
          <mc:Choice Requires="x14">
            <control shapeId="25730" r:id="rId34" name="Check Box 130">
              <controlPr defaultSize="0" autoFill="0" autoLine="0" autoPict="0" macro="[0]!Casilla130_Haga_clic_en">
                <anchor moveWithCells="1">
                  <from>
                    <xdr:col>9</xdr:col>
                    <xdr:colOff>247650</xdr:colOff>
                    <xdr:row>40</xdr:row>
                    <xdr:rowOff>114300</xdr:rowOff>
                  </from>
                  <to>
                    <xdr:col>9</xdr:col>
                    <xdr:colOff>466725</xdr:colOff>
                    <xdr:row>40</xdr:row>
                    <xdr:rowOff>247650</xdr:rowOff>
                  </to>
                </anchor>
              </controlPr>
            </control>
          </mc:Choice>
        </mc:AlternateContent>
        <mc:AlternateContent xmlns:mc="http://schemas.openxmlformats.org/markup-compatibility/2006">
          <mc:Choice Requires="x14">
            <control shapeId="25731" r:id="rId35" name="Check Box 131">
              <controlPr defaultSize="0" autoFill="0" autoLine="0" autoPict="0" macro="[0]!Casilla131_Haga_clic_en">
                <anchor moveWithCells="1">
                  <from>
                    <xdr:col>9</xdr:col>
                    <xdr:colOff>247650</xdr:colOff>
                    <xdr:row>41</xdr:row>
                    <xdr:rowOff>114300</xdr:rowOff>
                  </from>
                  <to>
                    <xdr:col>9</xdr:col>
                    <xdr:colOff>466725</xdr:colOff>
                    <xdr:row>41</xdr:row>
                    <xdr:rowOff>247650</xdr:rowOff>
                  </to>
                </anchor>
              </controlPr>
            </control>
          </mc:Choice>
        </mc:AlternateContent>
        <mc:AlternateContent xmlns:mc="http://schemas.openxmlformats.org/markup-compatibility/2006">
          <mc:Choice Requires="x14">
            <control shapeId="25732" r:id="rId36" name="Check Box 132">
              <controlPr defaultSize="0" autoFill="0" autoLine="0" autoPict="0" macro="[0]!Casilla132_Haga_clic_en">
                <anchor moveWithCells="1">
                  <from>
                    <xdr:col>9</xdr:col>
                    <xdr:colOff>247650</xdr:colOff>
                    <xdr:row>42</xdr:row>
                    <xdr:rowOff>114300</xdr:rowOff>
                  </from>
                  <to>
                    <xdr:col>9</xdr:col>
                    <xdr:colOff>466725</xdr:colOff>
                    <xdr:row>42</xdr:row>
                    <xdr:rowOff>247650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O27"/>
  <sheetViews>
    <sheetView showGridLines="0" workbookViewId="0"/>
  </sheetViews>
  <sheetFormatPr baseColWidth="10" defaultColWidth="8.5703125" defaultRowHeight="15" x14ac:dyDescent="0.25"/>
  <cols>
    <col min="1" max="15" width="8.5703125" style="50"/>
    <col min="16" max="16" width="9.5703125" style="50" customWidth="1"/>
    <col min="17" max="16384" width="8.5703125" style="50"/>
  </cols>
  <sheetData>
    <row r="1" spans="1:15" s="82" customFormat="1" ht="20.25" customHeight="1" x14ac:dyDescent="0.3">
      <c r="A1" s="41"/>
      <c r="B1" s="82" t="s">
        <v>4927</v>
      </c>
    </row>
    <row r="2" spans="1:15" ht="30" customHeight="1" x14ac:dyDescent="0.25"/>
    <row r="3" spans="1:15" ht="23.45" customHeight="1" x14ac:dyDescent="0.25">
      <c r="B3" s="1929" t="s">
        <v>4926</v>
      </c>
      <c r="C3" s="1929"/>
      <c r="D3" s="1929"/>
      <c r="E3" s="1929"/>
      <c r="F3" s="1929"/>
      <c r="G3" s="1929"/>
      <c r="H3" s="1929"/>
      <c r="I3" s="1929"/>
      <c r="J3" s="1929"/>
      <c r="K3" s="1929"/>
      <c r="L3" s="1929"/>
      <c r="M3" s="1929"/>
      <c r="N3" s="1929"/>
      <c r="O3" s="1929"/>
    </row>
    <row r="4" spans="1:15" ht="8.1" customHeight="1" x14ac:dyDescent="0.25">
      <c r="B4" s="277"/>
      <c r="C4" s="277"/>
      <c r="D4" s="277"/>
      <c r="E4" s="329"/>
      <c r="F4" s="277"/>
      <c r="G4" s="277"/>
      <c r="H4" s="277"/>
      <c r="I4" s="277"/>
      <c r="J4" s="277"/>
      <c r="K4" s="277"/>
      <c r="L4" s="277"/>
      <c r="M4" s="277"/>
    </row>
    <row r="5" spans="1:15" s="354" customFormat="1" x14ac:dyDescent="0.25">
      <c r="B5" s="375" t="s">
        <v>4929</v>
      </c>
      <c r="C5" s="375"/>
      <c r="D5" s="375"/>
      <c r="E5" s="376"/>
      <c r="F5" s="375"/>
      <c r="G5" s="375"/>
      <c r="H5" s="375"/>
      <c r="I5" s="375"/>
      <c r="J5" s="375"/>
      <c r="K5" s="375"/>
      <c r="L5" s="375"/>
      <c r="M5" s="375"/>
    </row>
    <row r="6" spans="1:15" s="354" customFormat="1" ht="8.1" customHeight="1" x14ac:dyDescent="0.25">
      <c r="B6" s="375"/>
      <c r="C6" s="375"/>
      <c r="D6" s="375"/>
      <c r="E6" s="376"/>
      <c r="F6" s="375"/>
      <c r="G6" s="375"/>
      <c r="H6" s="375"/>
      <c r="I6" s="375"/>
      <c r="J6" s="375"/>
      <c r="K6" s="375"/>
      <c r="L6" s="375"/>
      <c r="M6" s="375"/>
    </row>
    <row r="7" spans="1:15" s="354" customFormat="1" ht="19.5" customHeight="1" x14ac:dyDescent="0.25">
      <c r="B7" s="498" t="s">
        <v>274</v>
      </c>
      <c r="C7" s="1938" t="s">
        <v>4930</v>
      </c>
      <c r="D7" s="1939"/>
      <c r="E7" s="1939"/>
      <c r="F7" s="1939"/>
      <c r="G7" s="1940"/>
      <c r="H7" s="1938" t="s">
        <v>4928</v>
      </c>
      <c r="I7" s="1939"/>
      <c r="J7" s="1939"/>
      <c r="K7" s="1939"/>
      <c r="L7" s="1939"/>
      <c r="M7" s="1939"/>
      <c r="N7" s="1939"/>
      <c r="O7" s="1940"/>
    </row>
    <row r="8" spans="1:15" s="354" customFormat="1" ht="6.95" customHeight="1" x14ac:dyDescent="0.25"/>
    <row r="9" spans="1:15" s="354" customFormat="1" ht="96.75" customHeight="1" x14ac:dyDescent="0.25">
      <c r="B9" s="377">
        <v>1</v>
      </c>
      <c r="C9" s="1941" t="s">
        <v>229</v>
      </c>
      <c r="D9" s="1941"/>
      <c r="E9" s="1941"/>
      <c r="F9" s="1941"/>
      <c r="G9" s="1941"/>
      <c r="H9" s="1955" t="s">
        <v>5603</v>
      </c>
      <c r="I9" s="1954"/>
      <c r="J9" s="1954"/>
      <c r="K9" s="1954"/>
      <c r="L9" s="1954"/>
      <c r="M9" s="1954"/>
      <c r="N9" s="1954"/>
      <c r="O9" s="1954"/>
    </row>
    <row r="10" spans="1:15" s="354" customFormat="1" ht="61.5" customHeight="1" x14ac:dyDescent="0.25">
      <c r="B10" s="377">
        <v>2</v>
      </c>
      <c r="C10" s="1941" t="s">
        <v>4931</v>
      </c>
      <c r="D10" s="1941"/>
      <c r="E10" s="1941"/>
      <c r="F10" s="1941"/>
      <c r="G10" s="1941"/>
      <c r="H10" s="1956" t="s">
        <v>5604</v>
      </c>
      <c r="I10" s="1941"/>
      <c r="J10" s="1941"/>
      <c r="K10" s="1941"/>
      <c r="L10" s="1941"/>
      <c r="M10" s="1941"/>
      <c r="N10" s="1941"/>
      <c r="O10" s="1941"/>
    </row>
    <row r="11" spans="1:15" s="354" customFormat="1" ht="77.25" customHeight="1" x14ac:dyDescent="0.25">
      <c r="B11" s="377">
        <v>3</v>
      </c>
      <c r="C11" s="1951" t="s">
        <v>4932</v>
      </c>
      <c r="D11" s="1952"/>
      <c r="E11" s="1952"/>
      <c r="F11" s="1952"/>
      <c r="G11" s="1953"/>
      <c r="H11" s="1955" t="s">
        <v>5605</v>
      </c>
      <c r="I11" s="1954"/>
      <c r="J11" s="1954"/>
      <c r="K11" s="1954"/>
      <c r="L11" s="1954"/>
      <c r="M11" s="1954"/>
      <c r="N11" s="1954"/>
      <c r="O11" s="1954"/>
    </row>
    <row r="12" spans="1:15" s="354" customFormat="1" ht="85.5" customHeight="1" x14ac:dyDescent="0.25">
      <c r="B12" s="377">
        <v>4</v>
      </c>
      <c r="C12" s="1954" t="s">
        <v>4933</v>
      </c>
      <c r="D12" s="1954"/>
      <c r="E12" s="1954"/>
      <c r="F12" s="1954"/>
      <c r="G12" s="1954"/>
      <c r="H12" s="1955" t="s">
        <v>5606</v>
      </c>
      <c r="I12" s="1954"/>
      <c r="J12" s="1954"/>
      <c r="K12" s="1954"/>
      <c r="L12" s="1954"/>
      <c r="M12" s="1954"/>
      <c r="N12" s="1954"/>
      <c r="O12" s="1954"/>
    </row>
    <row r="13" spans="1:15" x14ac:dyDescent="0.25">
      <c r="E13" s="291"/>
    </row>
    <row r="15" spans="1:15" ht="23.45" customHeight="1" x14ac:dyDescent="0.25">
      <c r="B15" s="1929" t="s">
        <v>4934</v>
      </c>
      <c r="C15" s="1929"/>
      <c r="D15" s="1929"/>
      <c r="E15" s="1929"/>
      <c r="F15" s="1929"/>
      <c r="G15" s="1929"/>
      <c r="H15" s="1929"/>
      <c r="I15" s="1929"/>
      <c r="J15" s="1929"/>
      <c r="K15" s="1929"/>
      <c r="L15" s="1929"/>
      <c r="M15" s="1929"/>
      <c r="N15" s="1929"/>
      <c r="O15" s="1929"/>
    </row>
    <row r="16" spans="1:15" ht="8.1" customHeight="1" x14ac:dyDescent="0.25"/>
    <row r="17" spans="2:15" ht="15" customHeight="1" x14ac:dyDescent="0.25">
      <c r="B17" s="1942" t="s">
        <v>5607</v>
      </c>
      <c r="C17" s="1943"/>
      <c r="D17" s="1943"/>
      <c r="E17" s="1943"/>
      <c r="F17" s="1943"/>
      <c r="G17" s="1943"/>
      <c r="H17" s="1943"/>
      <c r="I17" s="1943"/>
      <c r="J17" s="1943"/>
      <c r="K17" s="1943"/>
      <c r="L17" s="1943"/>
      <c r="M17" s="1943"/>
      <c r="N17" s="1943"/>
      <c r="O17" s="1944"/>
    </row>
    <row r="18" spans="2:15" x14ac:dyDescent="0.25">
      <c r="B18" s="1945"/>
      <c r="C18" s="1946"/>
      <c r="D18" s="1946"/>
      <c r="E18" s="1946"/>
      <c r="F18" s="1946"/>
      <c r="G18" s="1946"/>
      <c r="H18" s="1946"/>
      <c r="I18" s="1946"/>
      <c r="J18" s="1946"/>
      <c r="K18" s="1946"/>
      <c r="L18" s="1946"/>
      <c r="M18" s="1946"/>
      <c r="N18" s="1946"/>
      <c r="O18" s="1947"/>
    </row>
    <row r="19" spans="2:15" x14ac:dyDescent="0.25">
      <c r="B19" s="1945"/>
      <c r="C19" s="1946"/>
      <c r="D19" s="1946"/>
      <c r="E19" s="1946"/>
      <c r="F19" s="1946"/>
      <c r="G19" s="1946"/>
      <c r="H19" s="1946"/>
      <c r="I19" s="1946"/>
      <c r="J19" s="1946"/>
      <c r="K19" s="1946"/>
      <c r="L19" s="1946"/>
      <c r="M19" s="1946"/>
      <c r="N19" s="1946"/>
      <c r="O19" s="1947"/>
    </row>
    <row r="20" spans="2:15" x14ac:dyDescent="0.25">
      <c r="B20" s="1945"/>
      <c r="C20" s="1946"/>
      <c r="D20" s="1946"/>
      <c r="E20" s="1946"/>
      <c r="F20" s="1946"/>
      <c r="G20" s="1946"/>
      <c r="H20" s="1946"/>
      <c r="I20" s="1946"/>
      <c r="J20" s="1946"/>
      <c r="K20" s="1946"/>
      <c r="L20" s="1946"/>
      <c r="M20" s="1946"/>
      <c r="N20" s="1946"/>
      <c r="O20" s="1947"/>
    </row>
    <row r="21" spans="2:15" x14ac:dyDescent="0.25">
      <c r="B21" s="1945"/>
      <c r="C21" s="1946"/>
      <c r="D21" s="1946"/>
      <c r="E21" s="1946"/>
      <c r="F21" s="1946"/>
      <c r="G21" s="1946"/>
      <c r="H21" s="1946"/>
      <c r="I21" s="1946"/>
      <c r="J21" s="1946"/>
      <c r="K21" s="1946"/>
      <c r="L21" s="1946"/>
      <c r="M21" s="1946"/>
      <c r="N21" s="1946"/>
      <c r="O21" s="1947"/>
    </row>
    <row r="22" spans="2:15" x14ac:dyDescent="0.25">
      <c r="B22" s="1945"/>
      <c r="C22" s="1946"/>
      <c r="D22" s="1946"/>
      <c r="E22" s="1946"/>
      <c r="F22" s="1946"/>
      <c r="G22" s="1946"/>
      <c r="H22" s="1946"/>
      <c r="I22" s="1946"/>
      <c r="J22" s="1946"/>
      <c r="K22" s="1946"/>
      <c r="L22" s="1946"/>
      <c r="M22" s="1946"/>
      <c r="N22" s="1946"/>
      <c r="O22" s="1947"/>
    </row>
    <row r="23" spans="2:15" x14ac:dyDescent="0.25">
      <c r="B23" s="1948"/>
      <c r="C23" s="1949"/>
      <c r="D23" s="1949"/>
      <c r="E23" s="1949"/>
      <c r="F23" s="1949"/>
      <c r="G23" s="1949"/>
      <c r="H23" s="1949"/>
      <c r="I23" s="1949"/>
      <c r="J23" s="1949"/>
      <c r="K23" s="1949"/>
      <c r="L23" s="1949"/>
      <c r="M23" s="1949"/>
      <c r="N23" s="1949"/>
      <c r="O23" s="1950"/>
    </row>
    <row r="24" spans="2:15" x14ac:dyDescent="0.25">
      <c r="B24" s="500"/>
      <c r="C24" s="500"/>
      <c r="D24" s="500"/>
      <c r="E24" s="500"/>
      <c r="F24" s="500"/>
      <c r="G24" s="500"/>
      <c r="H24" s="500"/>
      <c r="I24" s="500"/>
      <c r="J24" s="500"/>
      <c r="K24" s="500"/>
      <c r="L24" s="500"/>
      <c r="M24" s="500"/>
      <c r="N24" s="500"/>
      <c r="O24" s="500"/>
    </row>
    <row r="25" spans="2:15" x14ac:dyDescent="0.25">
      <c r="B25" s="501"/>
      <c r="C25" s="501"/>
      <c r="D25" s="501"/>
      <c r="E25" s="501"/>
      <c r="F25" s="501"/>
      <c r="G25" s="501"/>
      <c r="H25" s="501"/>
      <c r="I25" s="501"/>
      <c r="J25" s="501"/>
      <c r="K25" s="501"/>
      <c r="L25" s="501"/>
      <c r="M25" s="501"/>
      <c r="N25" s="501"/>
      <c r="O25" s="501"/>
    </row>
    <row r="26" spans="2:15" x14ac:dyDescent="0.25">
      <c r="B26" s="501"/>
      <c r="C26" s="501"/>
      <c r="D26" s="501"/>
      <c r="E26" s="501"/>
      <c r="F26" s="501"/>
      <c r="G26" s="501"/>
      <c r="H26" s="501"/>
      <c r="I26" s="501"/>
      <c r="J26" s="501"/>
      <c r="K26" s="501"/>
      <c r="L26" s="501"/>
      <c r="M26" s="501"/>
      <c r="N26" s="501"/>
      <c r="O26" s="501"/>
    </row>
    <row r="27" spans="2:15" x14ac:dyDescent="0.25">
      <c r="B27" s="501"/>
      <c r="C27" s="501"/>
      <c r="D27" s="501"/>
      <c r="E27" s="501"/>
      <c r="F27" s="501"/>
      <c r="G27" s="501"/>
      <c r="H27" s="501"/>
      <c r="I27" s="501"/>
      <c r="J27" s="501"/>
      <c r="K27" s="501"/>
      <c r="L27" s="501"/>
      <c r="M27" s="501"/>
      <c r="N27" s="501"/>
      <c r="O27" s="501"/>
    </row>
  </sheetData>
  <sheetProtection password="9AA6" sheet="1" objects="1" scenarios="1"/>
  <mergeCells count="13">
    <mergeCell ref="B15:O15"/>
    <mergeCell ref="B17:O23"/>
    <mergeCell ref="C11:G11"/>
    <mergeCell ref="C12:G12"/>
    <mergeCell ref="H9:O9"/>
    <mergeCell ref="H10:O10"/>
    <mergeCell ref="H11:O11"/>
    <mergeCell ref="H12:O12"/>
    <mergeCell ref="B3:O3"/>
    <mergeCell ref="C7:G7"/>
    <mergeCell ref="H7:O7"/>
    <mergeCell ref="C9:G9"/>
    <mergeCell ref="C10:G10"/>
  </mergeCells>
  <pageMargins left="0.70866141732283472" right="0.70866141732283472" top="0.74803149606299213" bottom="0.74803149606299213" header="0.31496062992125984" footer="0.31496062992125984"/>
  <pageSetup paperSize="9" scale="7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AP2095"/>
  <sheetViews>
    <sheetView topLeftCell="U118" workbookViewId="0">
      <selection activeCell="Z83" sqref="Z83"/>
    </sheetView>
  </sheetViews>
  <sheetFormatPr baseColWidth="10" defaultColWidth="11.42578125" defaultRowHeight="15" x14ac:dyDescent="0.25"/>
  <cols>
    <col min="1" max="1" width="15" style="34" customWidth="1"/>
    <col min="2" max="2" width="7.42578125" style="34" customWidth="1"/>
    <col min="3" max="3" width="15.140625" style="34" customWidth="1"/>
    <col min="4" max="4" width="22.85546875" style="34" customWidth="1"/>
    <col min="5" max="5" width="8.85546875" style="34" customWidth="1"/>
    <col min="6" max="6" width="23.7109375" style="34" bestFit="1" customWidth="1"/>
    <col min="7" max="7" width="31.140625" style="34" bestFit="1" customWidth="1"/>
    <col min="8" max="11" width="11.42578125" style="34"/>
    <col min="12" max="12" width="44.5703125" style="34" bestFit="1" customWidth="1"/>
    <col min="13" max="13" width="8" style="34" customWidth="1"/>
    <col min="14" max="14" width="4" style="34" customWidth="1"/>
    <col min="15" max="15" width="61.7109375" style="34" bestFit="1" customWidth="1"/>
    <col min="16" max="16" width="3.85546875" style="34" customWidth="1"/>
    <col min="17" max="17" width="62.7109375" style="34" bestFit="1" customWidth="1"/>
    <col min="18" max="18" width="5.140625" style="34" customWidth="1"/>
    <col min="19" max="19" width="3.85546875" style="442" customWidth="1"/>
    <col min="20" max="20" width="85.85546875" style="34" bestFit="1" customWidth="1"/>
    <col min="21" max="21" width="1.85546875" style="34" customWidth="1"/>
    <col min="22" max="23" width="1.85546875" style="413" customWidth="1"/>
    <col min="24" max="24" width="11.42578125" style="34"/>
    <col min="25" max="25" width="2.7109375" style="34" customWidth="1"/>
    <col min="26" max="26" width="76.7109375" style="34" bestFit="1" customWidth="1"/>
    <col min="27" max="27" width="3.140625" style="34" customWidth="1"/>
    <col min="28" max="28" width="65.5703125" style="46" bestFit="1" customWidth="1"/>
    <col min="29" max="29" width="3.140625" style="46" customWidth="1"/>
    <col min="30" max="30" width="66.140625" style="34" bestFit="1" customWidth="1"/>
    <col min="31" max="31" width="3.5703125" style="34" customWidth="1"/>
    <col min="32" max="32" width="73.5703125" style="34" bestFit="1" customWidth="1"/>
    <col min="33" max="39" width="11.42578125" style="34"/>
    <col min="40" max="40" width="93.85546875" style="34" customWidth="1"/>
    <col min="41" max="41" width="64" style="34" customWidth="1"/>
    <col min="42" max="42" width="59.85546875" style="34" customWidth="1"/>
    <col min="43" max="16384" width="11.42578125" style="34"/>
  </cols>
  <sheetData>
    <row r="1" spans="1:42" x14ac:dyDescent="0.25">
      <c r="A1" s="1957" t="s">
        <v>437</v>
      </c>
      <c r="B1" s="1957"/>
      <c r="C1" s="1957" t="s">
        <v>4368</v>
      </c>
      <c r="D1" s="1957"/>
      <c r="E1" s="1957"/>
      <c r="F1" s="1957" t="s">
        <v>4366</v>
      </c>
      <c r="G1" s="1957"/>
      <c r="H1" s="1957"/>
      <c r="I1" s="1957"/>
      <c r="J1" s="1957"/>
      <c r="L1" s="35" t="s">
        <v>4369</v>
      </c>
      <c r="M1" s="35"/>
      <c r="N1" s="32"/>
      <c r="O1" s="35" t="s">
        <v>4370</v>
      </c>
      <c r="P1" s="32"/>
      <c r="Q1" s="35" t="s">
        <v>4371</v>
      </c>
      <c r="R1" s="32"/>
      <c r="S1" s="32"/>
      <c r="T1" s="35" t="s">
        <v>62</v>
      </c>
      <c r="U1" s="32"/>
      <c r="V1" s="32"/>
      <c r="W1" s="32"/>
      <c r="X1" s="35" t="s">
        <v>4372</v>
      </c>
      <c r="Z1" s="42" t="s">
        <v>4638</v>
      </c>
      <c r="AA1" s="32"/>
      <c r="AB1" s="47" t="s">
        <v>4644</v>
      </c>
      <c r="AC1" s="32"/>
      <c r="AD1" s="42" t="s">
        <v>4639</v>
      </c>
      <c r="AF1" s="47" t="s">
        <v>4645</v>
      </c>
      <c r="AN1" s="460" t="s">
        <v>5590</v>
      </c>
      <c r="AO1" s="460" t="s">
        <v>5591</v>
      </c>
      <c r="AP1" s="795" t="s">
        <v>5589</v>
      </c>
    </row>
    <row r="2" spans="1:42" x14ac:dyDescent="0.25">
      <c r="A2" s="32" t="s">
        <v>438</v>
      </c>
      <c r="B2" s="36" t="s">
        <v>4373</v>
      </c>
      <c r="C2" s="32" t="s">
        <v>438</v>
      </c>
      <c r="D2" s="32" t="s">
        <v>461</v>
      </c>
      <c r="E2" s="36" t="s">
        <v>4374</v>
      </c>
      <c r="F2" s="32" t="s">
        <v>461</v>
      </c>
      <c r="G2" s="32" t="s">
        <v>460</v>
      </c>
      <c r="H2" s="36" t="s">
        <v>4375</v>
      </c>
      <c r="I2" s="32"/>
      <c r="J2" s="32"/>
      <c r="L2" s="32"/>
      <c r="M2" s="32"/>
      <c r="N2" s="32"/>
      <c r="O2" s="32"/>
      <c r="P2" s="32"/>
      <c r="Q2" s="32"/>
      <c r="R2" s="32"/>
      <c r="S2" s="32"/>
      <c r="T2" s="32"/>
      <c r="U2" s="32"/>
      <c r="V2" s="32"/>
      <c r="W2" s="32"/>
      <c r="X2" s="32"/>
      <c r="Z2" s="32"/>
      <c r="AA2" s="32"/>
      <c r="AB2" s="32"/>
      <c r="AC2" s="32"/>
      <c r="AD2" s="32"/>
      <c r="AF2" s="32"/>
      <c r="AN2" s="130"/>
      <c r="AO2" s="130"/>
    </row>
    <row r="3" spans="1:42" x14ac:dyDescent="0.25">
      <c r="A3" s="32" t="s">
        <v>439</v>
      </c>
      <c r="B3" s="36" t="s">
        <v>4376</v>
      </c>
      <c r="C3" s="32"/>
      <c r="D3" s="32" t="s">
        <v>462</v>
      </c>
      <c r="E3" s="36" t="s">
        <v>4377</v>
      </c>
      <c r="F3" s="32"/>
      <c r="G3" s="32" t="s">
        <v>461</v>
      </c>
      <c r="H3" s="32" t="s">
        <v>644</v>
      </c>
      <c r="I3" s="32" t="s">
        <v>645</v>
      </c>
      <c r="J3" s="32" t="s">
        <v>646</v>
      </c>
      <c r="L3" s="32" t="s">
        <v>5256</v>
      </c>
      <c r="M3" s="34" t="s">
        <v>4378</v>
      </c>
      <c r="N3" s="36" t="s">
        <v>4379</v>
      </c>
      <c r="O3" s="37" t="s">
        <v>5258</v>
      </c>
      <c r="P3" s="36" t="s">
        <v>4734</v>
      </c>
      <c r="Q3" s="37" t="s">
        <v>5271</v>
      </c>
      <c r="R3" s="36" t="s">
        <v>4734</v>
      </c>
      <c r="S3" s="36" t="s">
        <v>4866</v>
      </c>
      <c r="T3" s="38"/>
      <c r="U3" s="11"/>
      <c r="V3" s="11"/>
      <c r="W3" s="11"/>
      <c r="X3" s="32"/>
      <c r="Z3" s="37" t="s">
        <v>5282</v>
      </c>
      <c r="AA3" s="36" t="s">
        <v>4640</v>
      </c>
      <c r="AB3" s="32" t="s">
        <v>5289</v>
      </c>
      <c r="AC3" s="36" t="s">
        <v>4666</v>
      </c>
      <c r="AD3" s="37" t="s">
        <v>5284</v>
      </c>
      <c r="AE3" s="48"/>
      <c r="AF3" s="37" t="s">
        <v>5290</v>
      </c>
      <c r="AH3" s="32" t="s">
        <v>4648</v>
      </c>
      <c r="AN3" s="40" t="str">
        <f>Q3</f>
        <v>Adecuada infraestructura de derivación/captación.</v>
      </c>
      <c r="AO3" s="466" t="s">
        <v>5584</v>
      </c>
      <c r="AP3" s="40" t="s">
        <v>5585</v>
      </c>
    </row>
    <row r="4" spans="1:42" x14ac:dyDescent="0.25">
      <c r="A4" s="32" t="s">
        <v>440</v>
      </c>
      <c r="B4" s="36" t="s">
        <v>4380</v>
      </c>
      <c r="C4" s="32"/>
      <c r="D4" s="32" t="s">
        <v>463</v>
      </c>
      <c r="E4" s="36" t="s">
        <v>4381</v>
      </c>
      <c r="F4" s="32"/>
      <c r="G4" s="32" t="s">
        <v>469</v>
      </c>
      <c r="H4" s="32" t="s">
        <v>647</v>
      </c>
      <c r="I4" s="32" t="s">
        <v>645</v>
      </c>
      <c r="J4" s="32" t="s">
        <v>646</v>
      </c>
      <c r="L4" s="37" t="s">
        <v>5257</v>
      </c>
      <c r="M4" s="34" t="s">
        <v>4382</v>
      </c>
      <c r="N4" s="36" t="s">
        <v>5261</v>
      </c>
      <c r="O4" s="37" t="s">
        <v>5259</v>
      </c>
      <c r="P4" s="36" t="s">
        <v>5263</v>
      </c>
      <c r="Q4" s="37" t="s">
        <v>5270</v>
      </c>
      <c r="R4" s="36" t="s">
        <v>5263</v>
      </c>
      <c r="S4" s="36" t="s">
        <v>5273</v>
      </c>
      <c r="T4" s="39"/>
      <c r="U4" s="39"/>
      <c r="V4" s="39"/>
      <c r="W4" s="39"/>
      <c r="X4" s="32"/>
      <c r="Z4" s="37" t="s">
        <v>5283</v>
      </c>
      <c r="AA4" s="36" t="s">
        <v>4641</v>
      </c>
      <c r="AB4" s="32" t="s">
        <v>5288</v>
      </c>
      <c r="AC4" s="36" t="s">
        <v>4667</v>
      </c>
      <c r="AD4" s="37" t="s">
        <v>5285</v>
      </c>
      <c r="AE4" s="48"/>
      <c r="AF4" s="37" t="s">
        <v>5291</v>
      </c>
      <c r="AH4" s="32" t="s">
        <v>4649</v>
      </c>
      <c r="AN4" s="40" t="str">
        <f t="shared" ref="AN4:AN17" si="0">Q4</f>
        <v>Adecuada infraestructura de conducción.</v>
      </c>
      <c r="AO4" s="40" t="str">
        <f>IFERROR(IF(ReporteBalance!C149=ReporteBalance!I149,"Se mantiene la eficiencia de conducción en "&amp;ROUND(ReporteBalance!C149*100,2)&amp;"%, a partir del primer año de funcionamiento del proyecto.","Incremento de la eficiencia de conducción de "&amp;ROUND(ReporteBalance!C149*100,2)&amp;"% al "&amp;ROUND(ReporteBalance!I149*100,2)&amp;"%, a partir del primer año de funcionamiento del proyecto."),"")</f>
        <v>Se mantiene la eficiencia de conducción en 0%, a partir del primer año de funcionamiento del proyecto.</v>
      </c>
      <c r="AP4" s="40" t="s">
        <v>5585</v>
      </c>
    </row>
    <row r="5" spans="1:42" x14ac:dyDescent="0.25">
      <c r="A5" s="32" t="s">
        <v>441</v>
      </c>
      <c r="B5" s="36" t="s">
        <v>4384</v>
      </c>
      <c r="C5" s="32"/>
      <c r="D5" s="32" t="s">
        <v>464</v>
      </c>
      <c r="E5" s="36" t="s">
        <v>4385</v>
      </c>
      <c r="F5" s="32"/>
      <c r="G5" s="32" t="s">
        <v>648</v>
      </c>
      <c r="H5" s="32" t="s">
        <v>649</v>
      </c>
      <c r="I5" s="32" t="s">
        <v>645</v>
      </c>
      <c r="J5" s="32" t="s">
        <v>646</v>
      </c>
      <c r="L5" s="32"/>
      <c r="M5" s="34" t="s">
        <v>4386</v>
      </c>
      <c r="N5" s="36" t="s">
        <v>5262</v>
      </c>
      <c r="O5" s="37" t="s">
        <v>5260</v>
      </c>
      <c r="P5" s="36" t="s">
        <v>5264</v>
      </c>
      <c r="Q5" s="37" t="s">
        <v>5272</v>
      </c>
      <c r="R5" s="36" t="s">
        <v>5264</v>
      </c>
      <c r="S5" s="36" t="s">
        <v>5274</v>
      </c>
      <c r="T5" s="32"/>
      <c r="U5" s="39"/>
      <c r="V5" s="39"/>
      <c r="W5" s="39"/>
      <c r="X5" s="32"/>
      <c r="Z5" s="32"/>
      <c r="AA5" s="36"/>
      <c r="AB5" s="36"/>
      <c r="AC5" s="36"/>
      <c r="AD5" s="37" t="s">
        <v>5287</v>
      </c>
      <c r="AE5" s="48"/>
      <c r="AF5" s="37" t="s">
        <v>5293</v>
      </c>
      <c r="AH5" s="32" t="s">
        <v>4650</v>
      </c>
      <c r="AN5" s="40" t="str">
        <f t="shared" si="0"/>
        <v>Adecuada infraestructura de distribución.</v>
      </c>
      <c r="AO5" s="40" t="str">
        <f>IFERROR(IF(ReporteBalance!C151=ReporteBalance!I151,"Se mantiene la eficiencia de distribución en "&amp;ROUND(ReporteBalance!C151*100,2)&amp;"%, a partir del primer año de funcionamiento del proyecto.","Incremento de la eficiencia de la distribución de "&amp;ROUND(ReporteBalance!C151*100,2)&amp;"% al "&amp;ROUND(ReporteBalance!I151*100,2)&amp;"%, a partir del primer año de funcionamiento del proyecto."),"")</f>
        <v>Se mantiene la eficiencia de distribución en 0%, a partir del primer año de funcionamiento del proyecto.</v>
      </c>
      <c r="AP5" s="40" t="s">
        <v>5585</v>
      </c>
    </row>
    <row r="6" spans="1:42" ht="51.75" x14ac:dyDescent="0.25">
      <c r="A6" s="32" t="s">
        <v>442</v>
      </c>
      <c r="B6" s="36" t="s">
        <v>4388</v>
      </c>
      <c r="C6" s="32"/>
      <c r="D6" s="32" t="s">
        <v>465</v>
      </c>
      <c r="E6" s="36" t="s">
        <v>4389</v>
      </c>
      <c r="F6" s="32"/>
      <c r="G6" s="32" t="s">
        <v>650</v>
      </c>
      <c r="H6" s="32" t="s">
        <v>651</v>
      </c>
      <c r="I6" s="32" t="s">
        <v>645</v>
      </c>
      <c r="J6" s="32" t="s">
        <v>646</v>
      </c>
      <c r="L6" s="32"/>
      <c r="M6" s="34" t="s">
        <v>4390</v>
      </c>
      <c r="N6" s="36" t="s">
        <v>4383</v>
      </c>
      <c r="O6" s="32" t="s">
        <v>5265</v>
      </c>
      <c r="P6" s="36" t="s">
        <v>4735</v>
      </c>
      <c r="Q6" s="32" t="s">
        <v>5276</v>
      </c>
      <c r="R6" s="36" t="s">
        <v>4735</v>
      </c>
      <c r="S6" s="36" t="s">
        <v>4867</v>
      </c>
      <c r="T6" s="32"/>
      <c r="U6" s="39"/>
      <c r="V6" s="39"/>
      <c r="W6" s="39"/>
      <c r="X6" s="32"/>
      <c r="AA6" s="36"/>
      <c r="AB6" s="36"/>
      <c r="AC6" s="36"/>
      <c r="AD6" s="37" t="s">
        <v>5286</v>
      </c>
      <c r="AE6" s="48"/>
      <c r="AF6" s="37" t="s">
        <v>5292</v>
      </c>
      <c r="AH6" s="32" t="s">
        <v>4651</v>
      </c>
      <c r="AN6" s="40" t="str">
        <f t="shared" si="0"/>
        <v>Fortalecimiento de la organización de usuarios en la gestión</v>
      </c>
      <c r="AO6" s="797" t="str">
        <f>IFERROR("- " &amp;'UNIDAD PRODUCTORA'!E31&amp;" usuarios fueron fortalecidos en capacidad de gestión,  a partir del primer año de funcionamiento del proyecto.
- 01 organizaciones de usuarios fueron fortalecidos en capacidad de gestión,  a partir del primer año de funcionamiento del proyecto.","")</f>
        <v>-  usuarios fueron fortalecidos en capacidad de gestión,  a partir del primer año de funcionamiento del proyecto.
- 01 organizaciones de usuarios fueron fortalecidos en capacidad de gestión,  a partir del primer año de funcionamiento del proyecto.</v>
      </c>
      <c r="AP6" s="797" t="s">
        <v>5588</v>
      </c>
    </row>
    <row r="7" spans="1:42" ht="67.5" customHeight="1" x14ac:dyDescent="0.25">
      <c r="A7" s="32" t="s">
        <v>443</v>
      </c>
      <c r="B7" s="36" t="s">
        <v>4392</v>
      </c>
      <c r="C7" s="32"/>
      <c r="D7" s="32" t="s">
        <v>608</v>
      </c>
      <c r="E7" s="36" t="s">
        <v>4393</v>
      </c>
      <c r="F7" s="32"/>
      <c r="G7" s="32" t="s">
        <v>652</v>
      </c>
      <c r="H7" s="32" t="s">
        <v>653</v>
      </c>
      <c r="I7" s="32" t="s">
        <v>645</v>
      </c>
      <c r="J7" s="32" t="s">
        <v>646</v>
      </c>
      <c r="L7" s="32"/>
      <c r="M7" s="32"/>
      <c r="N7" s="36" t="s">
        <v>4387</v>
      </c>
      <c r="O7" s="32" t="s">
        <v>5266</v>
      </c>
      <c r="P7" s="36" t="s">
        <v>4736</v>
      </c>
      <c r="Q7" s="32" t="s">
        <v>5277</v>
      </c>
      <c r="R7" s="36" t="s">
        <v>4736</v>
      </c>
      <c r="S7" s="36" t="s">
        <v>4868</v>
      </c>
      <c r="T7" s="32"/>
      <c r="U7" s="39"/>
      <c r="V7" s="39"/>
      <c r="W7" s="39"/>
      <c r="X7" s="32"/>
      <c r="Z7" s="47" t="s">
        <v>4643</v>
      </c>
      <c r="AA7" s="36"/>
      <c r="AB7" s="36"/>
      <c r="AC7" s="36"/>
      <c r="AD7" s="37"/>
      <c r="AE7" s="48"/>
      <c r="AF7" s="37"/>
      <c r="AH7" s="32" t="s">
        <v>4652</v>
      </c>
      <c r="AN7" s="40" t="str">
        <f t="shared" si="0"/>
        <v>Eficiente operación y mantenimiento  del sistema de riego.</v>
      </c>
      <c r="AO7" s="798" t="str">
        <f>IFERROR("- " &amp;'UNIDAD PRODUCTORA'!E31&amp;" usuarios mejoraron sus capacidades para O&amp;M, al primer año de funcionamiento del sistema de riego.
- 01 organizaciones de usuarios mejoraron sus capacidades para O&amp;M, en el primer año de funcionamiento del sistema de riego.","")</f>
        <v>-  usuarios mejoraron sus capacidades para O&amp;M, al primer año de funcionamiento del sistema de riego.
- 01 organizaciones de usuarios mejoraron sus capacidades para O&amp;M, en el primer año de funcionamiento del sistema de riego.</v>
      </c>
      <c r="AP7" s="797" t="s">
        <v>5587</v>
      </c>
    </row>
    <row r="8" spans="1:42" ht="51.75" x14ac:dyDescent="0.25">
      <c r="A8" s="32" t="s">
        <v>444</v>
      </c>
      <c r="B8" s="36" t="s">
        <v>4394</v>
      </c>
      <c r="C8" s="32"/>
      <c r="D8" s="32" t="s">
        <v>466</v>
      </c>
      <c r="E8" s="36" t="s">
        <v>4395</v>
      </c>
      <c r="F8" s="32"/>
      <c r="G8" s="32" t="s">
        <v>654</v>
      </c>
      <c r="H8" s="32" t="s">
        <v>655</v>
      </c>
      <c r="I8" s="32" t="s">
        <v>645</v>
      </c>
      <c r="J8" s="32" t="s">
        <v>646</v>
      </c>
      <c r="L8" s="32"/>
      <c r="M8" s="32"/>
      <c r="N8" s="36" t="s">
        <v>5268</v>
      </c>
      <c r="O8" s="32" t="s">
        <v>5267</v>
      </c>
      <c r="P8" s="36" t="s">
        <v>5269</v>
      </c>
      <c r="Q8" s="32" t="s">
        <v>5278</v>
      </c>
      <c r="R8" s="36" t="s">
        <v>5269</v>
      </c>
      <c r="S8" s="36" t="s">
        <v>5275</v>
      </c>
      <c r="T8" s="32"/>
      <c r="U8" s="39"/>
      <c r="V8" s="39"/>
      <c r="W8" s="39"/>
      <c r="X8" s="32"/>
      <c r="AA8" s="36"/>
      <c r="AB8" s="36"/>
      <c r="AC8" s="36"/>
      <c r="AD8" s="37"/>
      <c r="AE8" s="48"/>
      <c r="AF8" s="37"/>
      <c r="AH8" s="32"/>
      <c r="AN8" s="40" t="str">
        <f t="shared" si="0"/>
        <v>Adecuada capacidad de respuesta cuando se interrumpe el servicio.</v>
      </c>
      <c r="AO8" s="797" t="str">
        <f>IFERROR("- " &amp;'UNIDAD PRODUCTORA'!E31&amp;" usuarios tienen conocimiento de las acciones a realizar ante una interrupción de servicio, a partir del inicio de ejecución del proyecto."&amp;"
- Miembros del personal de operador hidráulico cuentan con el conocimiento de las acciones a realizar ante una interrupción de servicio.","")</f>
        <v>-  usuarios tienen conocimiento de las acciones a realizar ante una interrupción de servicio, a partir del inicio de ejecución del proyecto.
- Miembros del personal de operador hidráulico cuentan con el conocimiento de las acciones a realizar ante una interrupción de servicio.</v>
      </c>
      <c r="AP8" s="797" t="s">
        <v>5586</v>
      </c>
    </row>
    <row r="9" spans="1:42" x14ac:dyDescent="0.25">
      <c r="A9" s="32" t="s">
        <v>445</v>
      </c>
      <c r="B9" s="36" t="s">
        <v>4396</v>
      </c>
      <c r="C9" s="32" t="s">
        <v>439</v>
      </c>
      <c r="D9" s="32"/>
      <c r="E9" s="32"/>
      <c r="F9" s="32"/>
      <c r="G9" s="32" t="s">
        <v>656</v>
      </c>
      <c r="H9" s="32" t="s">
        <v>657</v>
      </c>
      <c r="I9" s="32" t="s">
        <v>645</v>
      </c>
      <c r="J9" s="32" t="s">
        <v>646</v>
      </c>
      <c r="L9" s="32"/>
      <c r="M9" s="32"/>
      <c r="N9" s="36" t="s">
        <v>4391</v>
      </c>
      <c r="O9" s="32"/>
      <c r="P9" s="36" t="s">
        <v>4737</v>
      </c>
      <c r="Q9" s="32"/>
      <c r="R9" s="36" t="s">
        <v>4737</v>
      </c>
      <c r="S9" s="36" t="s">
        <v>4869</v>
      </c>
      <c r="T9" s="32"/>
      <c r="U9" s="39"/>
      <c r="V9" s="39"/>
      <c r="W9" s="39"/>
      <c r="X9" s="32"/>
      <c r="Z9" s="32" t="s">
        <v>4642</v>
      </c>
      <c r="AA9" s="36"/>
      <c r="AB9" s="36"/>
      <c r="AC9" s="36"/>
      <c r="AD9" s="37"/>
      <c r="AE9" s="48"/>
      <c r="AF9" s="37"/>
      <c r="AH9" s="32" t="s">
        <v>4653</v>
      </c>
      <c r="AN9" s="40">
        <f t="shared" si="0"/>
        <v>0</v>
      </c>
      <c r="AO9" s="40"/>
    </row>
    <row r="10" spans="1:42" x14ac:dyDescent="0.25">
      <c r="A10" s="32" t="s">
        <v>446</v>
      </c>
      <c r="B10" s="36" t="s">
        <v>4397</v>
      </c>
      <c r="C10" s="32"/>
      <c r="D10" s="32" t="s">
        <v>467</v>
      </c>
      <c r="E10" s="32" t="s">
        <v>4398</v>
      </c>
      <c r="F10" s="32"/>
      <c r="G10" s="32" t="s">
        <v>658</v>
      </c>
      <c r="H10" s="32" t="s">
        <v>659</v>
      </c>
      <c r="I10" s="32" t="s">
        <v>645</v>
      </c>
      <c r="J10" s="32" t="s">
        <v>646</v>
      </c>
      <c r="L10" s="32"/>
      <c r="M10" s="32"/>
      <c r="N10" s="36"/>
      <c r="O10" s="37"/>
      <c r="P10" s="36"/>
      <c r="Q10" s="32"/>
      <c r="R10" s="36"/>
      <c r="S10" s="36"/>
      <c r="T10" s="32"/>
      <c r="U10" s="39"/>
      <c r="V10" s="39"/>
      <c r="W10" s="39"/>
      <c r="X10" s="32"/>
      <c r="Z10" s="32"/>
      <c r="AA10" s="36"/>
      <c r="AB10" s="36"/>
      <c r="AC10" s="36"/>
      <c r="AD10" s="37"/>
      <c r="AE10" s="48"/>
      <c r="AF10" s="37"/>
      <c r="AH10" s="37" t="s">
        <v>4654</v>
      </c>
      <c r="AN10" s="40">
        <f t="shared" si="0"/>
        <v>0</v>
      </c>
      <c r="AO10" s="40"/>
    </row>
    <row r="11" spans="1:42" x14ac:dyDescent="0.25">
      <c r="A11" s="32" t="s">
        <v>447</v>
      </c>
      <c r="B11" s="36" t="s">
        <v>4399</v>
      </c>
      <c r="C11" s="32"/>
      <c r="D11" s="32" t="s">
        <v>468</v>
      </c>
      <c r="E11" s="32" t="s">
        <v>4400</v>
      </c>
      <c r="F11" s="32"/>
      <c r="G11" s="32" t="s">
        <v>660</v>
      </c>
      <c r="H11" s="32" t="s">
        <v>661</v>
      </c>
      <c r="I11" s="32" t="s">
        <v>645</v>
      </c>
      <c r="J11" s="32" t="s">
        <v>646</v>
      </c>
      <c r="N11" s="36"/>
      <c r="O11" s="37"/>
      <c r="P11" s="36"/>
      <c r="Q11" s="32"/>
      <c r="R11" s="36"/>
      <c r="S11" s="36"/>
      <c r="T11" s="38"/>
      <c r="U11" s="11"/>
      <c r="V11" s="11"/>
      <c r="W11" s="11"/>
      <c r="X11" s="32"/>
      <c r="AD11" s="37"/>
      <c r="AE11" s="11"/>
      <c r="AF11" s="37"/>
      <c r="AH11" s="32" t="s">
        <v>4655</v>
      </c>
      <c r="AN11" s="40">
        <f t="shared" si="0"/>
        <v>0</v>
      </c>
      <c r="AO11" s="40"/>
    </row>
    <row r="12" spans="1:42" x14ac:dyDescent="0.25">
      <c r="A12" s="32" t="s">
        <v>448</v>
      </c>
      <c r="B12" s="36" t="s">
        <v>4401</v>
      </c>
      <c r="C12" s="32"/>
      <c r="D12" s="32" t="s">
        <v>609</v>
      </c>
      <c r="E12" s="32" t="s">
        <v>4402</v>
      </c>
      <c r="F12" s="32"/>
      <c r="G12" s="32" t="s">
        <v>662</v>
      </c>
      <c r="H12" s="32" t="s">
        <v>663</v>
      </c>
      <c r="I12" s="32" t="s">
        <v>645</v>
      </c>
      <c r="J12" s="32" t="s">
        <v>646</v>
      </c>
      <c r="N12" s="36"/>
      <c r="O12" s="37"/>
      <c r="P12" s="36"/>
      <c r="Q12" s="32"/>
      <c r="R12" s="36"/>
      <c r="S12" s="36"/>
      <c r="T12" s="37"/>
      <c r="U12" s="39"/>
      <c r="V12" s="39"/>
      <c r="W12" s="39"/>
      <c r="X12" s="32"/>
      <c r="AH12" s="32"/>
      <c r="AN12" s="40">
        <f t="shared" si="0"/>
        <v>0</v>
      </c>
      <c r="AO12" s="40"/>
    </row>
    <row r="13" spans="1:42" x14ac:dyDescent="0.25">
      <c r="A13" s="32" t="s">
        <v>449</v>
      </c>
      <c r="B13" s="36" t="s">
        <v>4403</v>
      </c>
      <c r="C13" s="32"/>
      <c r="D13" s="32" t="s">
        <v>469</v>
      </c>
      <c r="E13" s="32" t="s">
        <v>4404</v>
      </c>
      <c r="F13" s="32"/>
      <c r="G13" s="32" t="s">
        <v>664</v>
      </c>
      <c r="H13" s="32" t="s">
        <v>665</v>
      </c>
      <c r="I13" s="32" t="s">
        <v>645</v>
      </c>
      <c r="J13" s="32" t="s">
        <v>646</v>
      </c>
      <c r="N13" s="36"/>
      <c r="O13" s="32"/>
      <c r="P13" s="36"/>
      <c r="Q13" s="32"/>
      <c r="R13" s="36"/>
      <c r="S13" s="36"/>
      <c r="T13" s="39"/>
      <c r="U13" s="39"/>
      <c r="V13" s="39"/>
      <c r="W13" s="39"/>
      <c r="X13" s="32"/>
      <c r="Z13" s="132" t="s">
        <v>116</v>
      </c>
      <c r="AB13" s="132" t="s">
        <v>4688</v>
      </c>
      <c r="AD13" s="132" t="s">
        <v>4713</v>
      </c>
      <c r="AF13" s="210" t="s">
        <v>4769</v>
      </c>
      <c r="AH13" s="32" t="s">
        <v>4656</v>
      </c>
      <c r="AN13" s="40">
        <f t="shared" si="0"/>
        <v>0</v>
      </c>
      <c r="AO13" s="40"/>
    </row>
    <row r="14" spans="1:42" x14ac:dyDescent="0.25">
      <c r="A14" s="32" t="s">
        <v>643</v>
      </c>
      <c r="B14" s="36" t="s">
        <v>4405</v>
      </c>
      <c r="C14" s="32"/>
      <c r="D14" s="32" t="s">
        <v>470</v>
      </c>
      <c r="E14" s="32" t="s">
        <v>4406</v>
      </c>
      <c r="F14" s="32"/>
      <c r="G14" s="32" t="s">
        <v>666</v>
      </c>
      <c r="H14" s="32" t="s">
        <v>667</v>
      </c>
      <c r="I14" s="32" t="s">
        <v>645</v>
      </c>
      <c r="J14" s="32" t="s">
        <v>646</v>
      </c>
      <c r="N14" s="36"/>
      <c r="O14" s="32"/>
      <c r="P14" s="36"/>
      <c r="Q14" s="32"/>
      <c r="R14" s="36"/>
      <c r="S14" s="36"/>
      <c r="T14" s="39"/>
      <c r="U14" s="11"/>
      <c r="V14" s="11"/>
      <c r="W14" s="11"/>
      <c r="X14" s="32"/>
      <c r="Z14" s="129" t="s">
        <v>54</v>
      </c>
      <c r="AB14" s="129"/>
      <c r="AD14" s="48"/>
      <c r="AH14" s="32" t="s">
        <v>4657</v>
      </c>
      <c r="AN14" s="40">
        <f t="shared" si="0"/>
        <v>0</v>
      </c>
      <c r="AO14" s="40"/>
    </row>
    <row r="15" spans="1:42" x14ac:dyDescent="0.25">
      <c r="A15" s="32" t="s">
        <v>450</v>
      </c>
      <c r="B15" s="36" t="s">
        <v>4407</v>
      </c>
      <c r="C15" s="32"/>
      <c r="D15" s="32" t="s">
        <v>471</v>
      </c>
      <c r="E15" s="32" t="s">
        <v>4408</v>
      </c>
      <c r="F15" s="32"/>
      <c r="G15" s="32" t="s">
        <v>668</v>
      </c>
      <c r="H15" s="32" t="s">
        <v>669</v>
      </c>
      <c r="I15" s="32" t="s">
        <v>645</v>
      </c>
      <c r="J15" s="32" t="s">
        <v>646</v>
      </c>
      <c r="N15" s="36"/>
      <c r="O15" s="32"/>
      <c r="P15" s="36"/>
      <c r="Q15" s="32"/>
      <c r="R15" s="36"/>
      <c r="S15" s="36"/>
      <c r="T15" s="39"/>
      <c r="U15" s="11"/>
      <c r="V15" s="11"/>
      <c r="W15" s="11"/>
      <c r="X15" s="32"/>
      <c r="Z15" s="40" t="s">
        <v>4689</v>
      </c>
      <c r="AA15" s="40" t="s">
        <v>4750</v>
      </c>
      <c r="AB15" s="40" t="s">
        <v>4707</v>
      </c>
      <c r="AD15" s="40" t="s">
        <v>4714</v>
      </c>
      <c r="AH15" s="37" t="s">
        <v>4658</v>
      </c>
      <c r="AN15" s="40">
        <f t="shared" si="0"/>
        <v>0</v>
      </c>
      <c r="AO15" s="40"/>
    </row>
    <row r="16" spans="1:42" x14ac:dyDescent="0.25">
      <c r="A16" s="32" t="s">
        <v>451</v>
      </c>
      <c r="B16" s="36" t="s">
        <v>4409</v>
      </c>
      <c r="C16" s="32"/>
      <c r="D16" s="32" t="s">
        <v>610</v>
      </c>
      <c r="E16" s="32" t="s">
        <v>4410</v>
      </c>
      <c r="F16" s="32"/>
      <c r="G16" s="32" t="s">
        <v>670</v>
      </c>
      <c r="H16" s="32" t="s">
        <v>671</v>
      </c>
      <c r="I16" s="32" t="s">
        <v>645</v>
      </c>
      <c r="J16" s="32" t="s">
        <v>646</v>
      </c>
      <c r="N16" s="36"/>
      <c r="O16" s="37"/>
      <c r="P16" s="36"/>
      <c r="Q16" s="32"/>
      <c r="R16" s="36"/>
      <c r="S16" s="36"/>
      <c r="T16" s="38"/>
      <c r="U16" s="11"/>
      <c r="V16" s="11"/>
      <c r="W16" s="11"/>
      <c r="X16" s="32"/>
      <c r="Z16" s="40" t="s">
        <v>4690</v>
      </c>
      <c r="AA16" s="40" t="s">
        <v>4750</v>
      </c>
      <c r="AB16" s="40" t="s">
        <v>4955</v>
      </c>
      <c r="AD16" s="40" t="s">
        <v>4715</v>
      </c>
      <c r="AH16" s="32" t="s">
        <v>4659</v>
      </c>
      <c r="AN16" s="40">
        <f t="shared" si="0"/>
        <v>0</v>
      </c>
      <c r="AO16" s="40"/>
    </row>
    <row r="17" spans="1:41" x14ac:dyDescent="0.25">
      <c r="A17" s="32" t="s">
        <v>452</v>
      </c>
      <c r="B17" s="36" t="s">
        <v>4411</v>
      </c>
      <c r="C17" s="32"/>
      <c r="D17" s="32" t="s">
        <v>472</v>
      </c>
      <c r="E17" s="32" t="s">
        <v>4412</v>
      </c>
      <c r="F17" s="32"/>
      <c r="G17" s="32" t="s">
        <v>672</v>
      </c>
      <c r="H17" s="32" t="s">
        <v>673</v>
      </c>
      <c r="I17" s="32" t="s">
        <v>645</v>
      </c>
      <c r="J17" s="32" t="s">
        <v>646</v>
      </c>
      <c r="N17" s="36"/>
      <c r="O17" s="32"/>
      <c r="P17" s="36"/>
      <c r="Q17" s="32"/>
      <c r="R17" s="36"/>
      <c r="S17" s="36"/>
      <c r="T17" s="37"/>
      <c r="U17" s="39"/>
      <c r="V17" s="39"/>
      <c r="W17" s="39"/>
      <c r="X17" s="32"/>
      <c r="Z17" s="40" t="s">
        <v>4691</v>
      </c>
      <c r="AA17" s="40" t="s">
        <v>4750</v>
      </c>
      <c r="AB17" s="40" t="s">
        <v>4959</v>
      </c>
      <c r="AD17" s="40" t="s">
        <v>4716</v>
      </c>
      <c r="AH17" s="32"/>
      <c r="AN17" s="40">
        <f t="shared" si="0"/>
        <v>0</v>
      </c>
      <c r="AO17" s="40"/>
    </row>
    <row r="18" spans="1:41" x14ac:dyDescent="0.25">
      <c r="A18" s="32" t="s">
        <v>606</v>
      </c>
      <c r="B18" s="36" t="s">
        <v>4413</v>
      </c>
      <c r="C18" s="32"/>
      <c r="D18" s="32" t="s">
        <v>473</v>
      </c>
      <c r="E18" s="32" t="s">
        <v>4414</v>
      </c>
      <c r="F18" s="32"/>
      <c r="G18" s="32" t="s">
        <v>674</v>
      </c>
      <c r="H18" s="32" t="s">
        <v>675</v>
      </c>
      <c r="I18" s="32" t="s">
        <v>645</v>
      </c>
      <c r="J18" s="32" t="s">
        <v>646</v>
      </c>
      <c r="T18" s="37"/>
      <c r="U18" s="39"/>
      <c r="V18" s="39"/>
      <c r="W18" s="39"/>
      <c r="X18" s="32"/>
      <c r="Z18" s="40" t="s">
        <v>4692</v>
      </c>
      <c r="AA18" s="40" t="s">
        <v>4750</v>
      </c>
      <c r="AB18" s="40" t="s">
        <v>4956</v>
      </c>
      <c r="AD18" s="40" t="s">
        <v>4717</v>
      </c>
      <c r="AH18" s="32" t="s">
        <v>4660</v>
      </c>
    </row>
    <row r="19" spans="1:41" x14ac:dyDescent="0.25">
      <c r="A19" s="32" t="s">
        <v>453</v>
      </c>
      <c r="B19" s="36" t="s">
        <v>4415</v>
      </c>
      <c r="C19" s="32"/>
      <c r="D19" s="32" t="s">
        <v>474</v>
      </c>
      <c r="E19" s="32" t="s">
        <v>4416</v>
      </c>
      <c r="F19" s="32"/>
      <c r="G19" s="32" t="s">
        <v>676</v>
      </c>
      <c r="H19" s="32" t="s">
        <v>677</v>
      </c>
      <c r="I19" s="32" t="s">
        <v>645</v>
      </c>
      <c r="J19" s="32" t="s">
        <v>646</v>
      </c>
      <c r="Q19" s="394" t="s">
        <v>4780</v>
      </c>
      <c r="T19" s="37"/>
      <c r="U19" s="39"/>
      <c r="V19" s="39"/>
      <c r="W19" s="39"/>
      <c r="X19" s="32"/>
      <c r="Z19" s="40" t="s">
        <v>4704</v>
      </c>
      <c r="AA19" s="40" t="s">
        <v>4750</v>
      </c>
      <c r="AB19" s="40" t="s">
        <v>4957</v>
      </c>
      <c r="AD19" s="40" t="s">
        <v>4718</v>
      </c>
      <c r="AH19" s="32" t="s">
        <v>4661</v>
      </c>
    </row>
    <row r="20" spans="1:41" x14ac:dyDescent="0.25">
      <c r="A20" s="32" t="s">
        <v>454</v>
      </c>
      <c r="B20" s="36" t="s">
        <v>4417</v>
      </c>
      <c r="C20" s="32"/>
      <c r="D20" s="32" t="s">
        <v>475</v>
      </c>
      <c r="E20" s="32" t="s">
        <v>4418</v>
      </c>
      <c r="F20" s="32"/>
      <c r="G20" s="32" t="s">
        <v>678</v>
      </c>
      <c r="H20" s="32" t="s">
        <v>679</v>
      </c>
      <c r="I20" s="32" t="s">
        <v>645</v>
      </c>
      <c r="J20" s="32" t="s">
        <v>646</v>
      </c>
      <c r="L20" s="42" t="s">
        <v>4637</v>
      </c>
      <c r="O20" s="470"/>
      <c r="Q20" s="32"/>
      <c r="T20" s="38"/>
      <c r="U20" s="11"/>
      <c r="V20" s="11"/>
      <c r="W20" s="11"/>
      <c r="X20" s="32"/>
      <c r="Z20" s="40" t="s">
        <v>4697</v>
      </c>
      <c r="AA20" s="40" t="s">
        <v>4750</v>
      </c>
      <c r="AB20" s="40" t="s">
        <v>4958</v>
      </c>
      <c r="AD20" s="40" t="s">
        <v>4719</v>
      </c>
      <c r="AH20" s="32" t="s">
        <v>4662</v>
      </c>
    </row>
    <row r="21" spans="1:41" x14ac:dyDescent="0.25">
      <c r="A21" s="32" t="s">
        <v>455</v>
      </c>
      <c r="B21" s="36" t="s">
        <v>4419</v>
      </c>
      <c r="C21" s="32"/>
      <c r="D21" s="32" t="s">
        <v>476</v>
      </c>
      <c r="E21" s="32" t="s">
        <v>4420</v>
      </c>
      <c r="F21" s="32"/>
      <c r="G21" s="32" t="s">
        <v>680</v>
      </c>
      <c r="H21" s="32" t="s">
        <v>681</v>
      </c>
      <c r="I21" s="32" t="s">
        <v>645</v>
      </c>
      <c r="J21" s="32" t="s">
        <v>646</v>
      </c>
      <c r="L21" s="32" t="s">
        <v>5254</v>
      </c>
      <c r="O21" s="37"/>
      <c r="Q21" s="32" t="s">
        <v>4781</v>
      </c>
      <c r="T21" s="405"/>
      <c r="U21" s="39"/>
      <c r="V21" s="39"/>
      <c r="W21" s="39"/>
      <c r="X21" s="32"/>
      <c r="Z21" s="40" t="s">
        <v>4698</v>
      </c>
      <c r="AA21" s="40" t="s">
        <v>4750</v>
      </c>
      <c r="AB21" s="40" t="s">
        <v>4960</v>
      </c>
      <c r="AD21" s="40" t="s">
        <v>4720</v>
      </c>
      <c r="AH21" s="32" t="s">
        <v>4663</v>
      </c>
    </row>
    <row r="22" spans="1:41" x14ac:dyDescent="0.25">
      <c r="A22" s="32" t="s">
        <v>456</v>
      </c>
      <c r="B22" s="36" t="s">
        <v>4421</v>
      </c>
      <c r="C22" s="32"/>
      <c r="D22" s="32" t="s">
        <v>611</v>
      </c>
      <c r="E22" s="32" t="s">
        <v>4422</v>
      </c>
      <c r="F22" s="32"/>
      <c r="G22" s="32" t="s">
        <v>682</v>
      </c>
      <c r="H22" s="32" t="s">
        <v>683</v>
      </c>
      <c r="I22" s="32" t="s">
        <v>645</v>
      </c>
      <c r="J22" s="32" t="s">
        <v>646</v>
      </c>
      <c r="L22" s="32" t="s">
        <v>5254</v>
      </c>
      <c r="O22" s="37"/>
      <c r="Q22" s="32" t="s">
        <v>4624</v>
      </c>
      <c r="T22" s="37"/>
      <c r="U22" s="39"/>
      <c r="V22" s="39"/>
      <c r="W22" s="39"/>
      <c r="X22" s="32"/>
      <c r="Z22" s="40" t="s">
        <v>4702</v>
      </c>
      <c r="AA22" s="40" t="s">
        <v>4750</v>
      </c>
      <c r="AB22" s="40" t="s">
        <v>4961</v>
      </c>
      <c r="AD22" s="40" t="s">
        <v>4721</v>
      </c>
      <c r="AH22" s="32" t="s">
        <v>4664</v>
      </c>
    </row>
    <row r="23" spans="1:41" x14ac:dyDescent="0.25">
      <c r="A23" s="32" t="s">
        <v>607</v>
      </c>
      <c r="B23" s="36" t="s">
        <v>4423</v>
      </c>
      <c r="C23" s="32"/>
      <c r="D23" s="32" t="s">
        <v>477</v>
      </c>
      <c r="E23" s="32" t="s">
        <v>4424</v>
      </c>
      <c r="F23" s="32"/>
      <c r="G23" s="32" t="s">
        <v>684</v>
      </c>
      <c r="H23" s="32" t="s">
        <v>685</v>
      </c>
      <c r="I23" s="32" t="s">
        <v>645</v>
      </c>
      <c r="J23" s="32" t="s">
        <v>646</v>
      </c>
      <c r="Q23" s="32" t="s">
        <v>4625</v>
      </c>
      <c r="T23" s="37"/>
      <c r="U23" s="39"/>
      <c r="V23" s="39"/>
      <c r="W23" s="39"/>
      <c r="X23" s="32"/>
      <c r="Z23" s="40" t="s">
        <v>4693</v>
      </c>
      <c r="AA23" s="40" t="s">
        <v>4750</v>
      </c>
      <c r="AB23" s="40" t="s">
        <v>4962</v>
      </c>
      <c r="AD23" s="40" t="s">
        <v>4722</v>
      </c>
    </row>
    <row r="24" spans="1:41" x14ac:dyDescent="0.25">
      <c r="A24" s="32" t="s">
        <v>457</v>
      </c>
      <c r="B24" s="36" t="s">
        <v>4425</v>
      </c>
      <c r="C24" s="32"/>
      <c r="D24" s="32" t="s">
        <v>478</v>
      </c>
      <c r="E24" s="32" t="s">
        <v>4426</v>
      </c>
      <c r="F24" s="32" t="s">
        <v>462</v>
      </c>
      <c r="G24" s="32"/>
      <c r="H24" s="32" t="s">
        <v>686</v>
      </c>
      <c r="I24" s="32"/>
      <c r="J24" s="32"/>
      <c r="Q24" s="32" t="s">
        <v>4626</v>
      </c>
      <c r="T24" s="32"/>
      <c r="U24" s="39"/>
      <c r="V24" s="39"/>
      <c r="W24" s="39"/>
      <c r="X24" s="32"/>
      <c r="Z24" s="40" t="s">
        <v>4694</v>
      </c>
      <c r="AA24" s="40" t="s">
        <v>4750</v>
      </c>
      <c r="AB24" s="40" t="s">
        <v>4953</v>
      </c>
      <c r="AD24" s="40" t="s">
        <v>4723</v>
      </c>
    </row>
    <row r="25" spans="1:41" x14ac:dyDescent="0.25">
      <c r="A25" s="32" t="s">
        <v>458</v>
      </c>
      <c r="B25" s="36" t="s">
        <v>4427</v>
      </c>
      <c r="C25" s="32"/>
      <c r="D25" s="32" t="s">
        <v>479</v>
      </c>
      <c r="E25" s="32" t="s">
        <v>4428</v>
      </c>
      <c r="F25" s="32"/>
      <c r="G25" s="32" t="s">
        <v>462</v>
      </c>
      <c r="H25" s="32" t="s">
        <v>687</v>
      </c>
      <c r="I25" s="32" t="s">
        <v>688</v>
      </c>
      <c r="J25" s="32" t="s">
        <v>688</v>
      </c>
      <c r="Q25" s="32" t="s">
        <v>4627</v>
      </c>
      <c r="T25" s="38"/>
      <c r="X25" s="32"/>
      <c r="Z25" s="40" t="s">
        <v>4695</v>
      </c>
      <c r="AA25" s="40" t="s">
        <v>4750</v>
      </c>
      <c r="AB25" s="40" t="s">
        <v>4952</v>
      </c>
      <c r="AD25" s="40" t="s">
        <v>4725</v>
      </c>
    </row>
    <row r="26" spans="1:41" x14ac:dyDescent="0.25">
      <c r="A26" s="32" t="s">
        <v>459</v>
      </c>
      <c r="B26" s="36" t="s">
        <v>4429</v>
      </c>
      <c r="C26" s="32"/>
      <c r="D26" s="32" t="s">
        <v>480</v>
      </c>
      <c r="E26" s="32" t="s">
        <v>4430</v>
      </c>
      <c r="F26" s="32"/>
      <c r="G26" s="32" t="s">
        <v>689</v>
      </c>
      <c r="H26" s="32" t="s">
        <v>690</v>
      </c>
      <c r="I26" s="33" t="s">
        <v>688</v>
      </c>
      <c r="J26" s="33" t="s">
        <v>688</v>
      </c>
      <c r="Q26" s="32" t="s">
        <v>4665</v>
      </c>
      <c r="T26" s="39"/>
      <c r="U26" s="39"/>
      <c r="V26" s="39"/>
      <c r="W26" s="39"/>
      <c r="X26" s="32"/>
      <c r="Z26" s="40" t="s">
        <v>4696</v>
      </c>
      <c r="AA26" s="40" t="s">
        <v>4750</v>
      </c>
      <c r="AB26" s="40" t="s">
        <v>4954</v>
      </c>
      <c r="AD26" s="40" t="s">
        <v>4724</v>
      </c>
    </row>
    <row r="27" spans="1:41" x14ac:dyDescent="0.25">
      <c r="C27" s="32"/>
      <c r="D27" s="32" t="s">
        <v>481</v>
      </c>
      <c r="E27" s="32" t="s">
        <v>4431</v>
      </c>
      <c r="F27" s="32"/>
      <c r="G27" s="32" t="s">
        <v>691</v>
      </c>
      <c r="H27" s="32" t="s">
        <v>692</v>
      </c>
      <c r="I27" s="33" t="s">
        <v>688</v>
      </c>
      <c r="J27" s="33" t="s">
        <v>688</v>
      </c>
      <c r="Q27" s="32" t="s">
        <v>4628</v>
      </c>
      <c r="T27" s="37"/>
      <c r="U27" s="40"/>
      <c r="V27" s="40"/>
      <c r="W27" s="40"/>
      <c r="X27" s="32"/>
      <c r="Z27" s="40" t="s">
        <v>4705</v>
      </c>
      <c r="AA27" s="40" t="s">
        <v>4750</v>
      </c>
      <c r="AB27" s="40" t="s">
        <v>4963</v>
      </c>
      <c r="AD27" s="40" t="s">
        <v>4726</v>
      </c>
    </row>
    <row r="28" spans="1:41" x14ac:dyDescent="0.25">
      <c r="A28" s="1957" t="s">
        <v>4751</v>
      </c>
      <c r="B28" s="1957"/>
      <c r="C28" s="32"/>
      <c r="D28" s="32" t="s">
        <v>482</v>
      </c>
      <c r="E28" s="32" t="s">
        <v>4432</v>
      </c>
      <c r="F28" s="32"/>
      <c r="G28" s="32" t="s">
        <v>693</v>
      </c>
      <c r="H28" s="32" t="s">
        <v>694</v>
      </c>
      <c r="I28" s="33" t="s">
        <v>688</v>
      </c>
      <c r="J28" s="33" t="s">
        <v>688</v>
      </c>
      <c r="Q28" s="32" t="s">
        <v>4629</v>
      </c>
      <c r="T28" s="39"/>
      <c r="U28" s="32"/>
      <c r="V28" s="32"/>
      <c r="W28" s="32"/>
      <c r="X28" s="32"/>
      <c r="Z28" s="40" t="s">
        <v>4699</v>
      </c>
      <c r="AA28" s="40" t="s">
        <v>4750</v>
      </c>
      <c r="AB28" s="40" t="s">
        <v>4964</v>
      </c>
      <c r="AD28" s="40" t="s">
        <v>4727</v>
      </c>
    </row>
    <row r="29" spans="1:41" x14ac:dyDescent="0.25">
      <c r="A29" s="32" t="s">
        <v>438</v>
      </c>
      <c r="B29" s="32">
        <v>8.9823903187014054E-4</v>
      </c>
      <c r="C29" s="32"/>
      <c r="D29" s="32" t="s">
        <v>483</v>
      </c>
      <c r="E29" s="32" t="s">
        <v>4433</v>
      </c>
      <c r="F29" s="32"/>
      <c r="G29" s="32" t="s">
        <v>695</v>
      </c>
      <c r="H29" s="32" t="s">
        <v>696</v>
      </c>
      <c r="I29" s="33" t="s">
        <v>688</v>
      </c>
      <c r="J29" s="33" t="s">
        <v>688</v>
      </c>
      <c r="Q29" s="32" t="s">
        <v>4630</v>
      </c>
      <c r="T29" s="39"/>
      <c r="U29" s="32"/>
      <c r="V29" s="32"/>
      <c r="W29" s="32"/>
      <c r="X29" s="32"/>
      <c r="Z29" s="40" t="s">
        <v>4700</v>
      </c>
      <c r="AA29" s="40" t="s">
        <v>4750</v>
      </c>
      <c r="AB29" s="40"/>
      <c r="AD29" s="40" t="s">
        <v>4728</v>
      </c>
    </row>
    <row r="30" spans="1:41" x14ac:dyDescent="0.25">
      <c r="A30" s="32" t="s">
        <v>439</v>
      </c>
      <c r="B30" s="32">
        <v>1.8704746233546565E-3</v>
      </c>
      <c r="C30" s="32" t="s">
        <v>440</v>
      </c>
      <c r="D30" s="32"/>
      <c r="E30" s="32"/>
      <c r="F30" s="32"/>
      <c r="G30" s="32" t="s">
        <v>697</v>
      </c>
      <c r="H30" s="32" t="s">
        <v>698</v>
      </c>
      <c r="I30" s="33" t="s">
        <v>688</v>
      </c>
      <c r="J30" s="33" t="s">
        <v>688</v>
      </c>
      <c r="Q30" s="32" t="s">
        <v>4631</v>
      </c>
      <c r="T30" s="39"/>
      <c r="U30" s="32"/>
      <c r="V30" s="32"/>
      <c r="W30" s="32"/>
      <c r="X30" s="32"/>
      <c r="Z30" s="40" t="s">
        <v>4701</v>
      </c>
      <c r="AA30" s="40" t="s">
        <v>4750</v>
      </c>
      <c r="AB30" s="40"/>
      <c r="AD30" s="40" t="s">
        <v>4729</v>
      </c>
    </row>
    <row r="31" spans="1:41" x14ac:dyDescent="0.25">
      <c r="A31" s="32" t="s">
        <v>440</v>
      </c>
      <c r="B31" s="32">
        <v>3.8750734746773041E-4</v>
      </c>
      <c r="C31" s="32"/>
      <c r="D31" s="32" t="s">
        <v>484</v>
      </c>
      <c r="E31" s="32" t="s">
        <v>4434</v>
      </c>
      <c r="F31" s="32" t="s">
        <v>463</v>
      </c>
      <c r="G31" s="32"/>
      <c r="H31" s="32" t="s">
        <v>699</v>
      </c>
      <c r="I31" s="32"/>
      <c r="J31" s="32"/>
      <c r="Q31" s="32" t="s">
        <v>4632</v>
      </c>
      <c r="T31" s="38"/>
      <c r="U31" s="32"/>
      <c r="V31" s="32"/>
      <c r="W31" s="32"/>
      <c r="X31" s="32"/>
      <c r="Z31" s="40" t="s">
        <v>4703</v>
      </c>
      <c r="AA31" s="40" t="s">
        <v>4750</v>
      </c>
      <c r="AB31" s="40"/>
      <c r="AD31" s="40" t="s">
        <v>4731</v>
      </c>
    </row>
    <row r="32" spans="1:41" x14ac:dyDescent="0.25">
      <c r="A32" s="32" t="s">
        <v>441</v>
      </c>
      <c r="B32" s="32">
        <v>1.8396901494581286E-2</v>
      </c>
      <c r="C32" s="32"/>
      <c r="D32" s="32" t="s">
        <v>485</v>
      </c>
      <c r="E32" s="32" t="s">
        <v>4435</v>
      </c>
      <c r="F32" s="32"/>
      <c r="G32" s="32" t="s">
        <v>700</v>
      </c>
      <c r="H32" s="32" t="s">
        <v>701</v>
      </c>
      <c r="I32" s="33" t="s">
        <v>688</v>
      </c>
      <c r="J32" s="33" t="s">
        <v>688</v>
      </c>
      <c r="Q32" s="32" t="s">
        <v>4633</v>
      </c>
      <c r="T32" s="39"/>
      <c r="U32" s="32"/>
      <c r="V32" s="32"/>
      <c r="W32" s="32"/>
      <c r="X32" s="32"/>
      <c r="Z32" s="40" t="s">
        <v>4706</v>
      </c>
      <c r="AA32" s="40" t="s">
        <v>4750</v>
      </c>
      <c r="AB32" s="40"/>
      <c r="AD32" s="40" t="s">
        <v>4732</v>
      </c>
    </row>
    <row r="33" spans="1:41" x14ac:dyDescent="0.25">
      <c r="A33" s="32" t="s">
        <v>442</v>
      </c>
      <c r="B33" s="32">
        <v>6.0034552895915638E-4</v>
      </c>
      <c r="C33" s="32"/>
      <c r="D33" s="32" t="s">
        <v>486</v>
      </c>
      <c r="E33" s="32" t="s">
        <v>4436</v>
      </c>
      <c r="F33" s="32"/>
      <c r="G33" s="32" t="s">
        <v>702</v>
      </c>
      <c r="H33" s="32" t="s">
        <v>703</v>
      </c>
      <c r="I33" s="32" t="s">
        <v>645</v>
      </c>
      <c r="J33" s="32" t="s">
        <v>646</v>
      </c>
      <c r="Q33" s="32" t="s">
        <v>4634</v>
      </c>
      <c r="T33" s="39"/>
      <c r="U33" s="32"/>
      <c r="V33" s="32"/>
      <c r="W33" s="32"/>
      <c r="X33" s="32"/>
      <c r="Z33" s="40" t="s">
        <v>4677</v>
      </c>
      <c r="AA33" s="40" t="s">
        <v>4750</v>
      </c>
      <c r="AB33" s="40"/>
      <c r="AD33" s="40" t="s">
        <v>4730</v>
      </c>
    </row>
    <row r="34" spans="1:41" x14ac:dyDescent="0.25">
      <c r="A34" s="32" t="s">
        <v>443</v>
      </c>
      <c r="B34" s="32">
        <v>-3.4242928646729398E-3</v>
      </c>
      <c r="C34" s="32"/>
      <c r="D34" s="32" t="s">
        <v>487</v>
      </c>
      <c r="E34" s="32" t="s">
        <v>4437</v>
      </c>
      <c r="F34" s="32"/>
      <c r="G34" s="32" t="s">
        <v>704</v>
      </c>
      <c r="H34" s="32" t="s">
        <v>705</v>
      </c>
      <c r="I34" s="32" t="s">
        <v>688</v>
      </c>
      <c r="J34" s="32" t="s">
        <v>688</v>
      </c>
      <c r="Q34" s="32" t="s">
        <v>4635</v>
      </c>
      <c r="T34" s="39"/>
      <c r="U34" s="32"/>
      <c r="V34" s="32"/>
      <c r="W34" s="32"/>
      <c r="X34" s="32"/>
      <c r="Z34" s="129" t="s">
        <v>227</v>
      </c>
      <c r="AB34" s="129"/>
    </row>
    <row r="35" spans="1:41" x14ac:dyDescent="0.25">
      <c r="A35" s="32" t="s">
        <v>444</v>
      </c>
      <c r="B35" s="32">
        <v>1.2666279661762259E-2</v>
      </c>
      <c r="C35" s="32"/>
      <c r="D35" s="32" t="s">
        <v>488</v>
      </c>
      <c r="E35" s="32" t="s">
        <v>4438</v>
      </c>
      <c r="F35" s="32"/>
      <c r="G35" s="32" t="s">
        <v>706</v>
      </c>
      <c r="H35" s="32" t="s">
        <v>707</v>
      </c>
      <c r="I35" s="32" t="s">
        <v>645</v>
      </c>
      <c r="J35" s="32" t="s">
        <v>646</v>
      </c>
      <c r="Q35" s="32" t="s">
        <v>4636</v>
      </c>
      <c r="T35" s="40"/>
      <c r="U35" s="32"/>
      <c r="V35" s="32"/>
      <c r="W35" s="32"/>
      <c r="X35" s="32"/>
      <c r="Z35" s="40" t="s">
        <v>4678</v>
      </c>
      <c r="AA35" s="40" t="s">
        <v>4750</v>
      </c>
      <c r="AB35" s="40" t="s">
        <v>4709</v>
      </c>
      <c r="AO35" s="40"/>
    </row>
    <row r="36" spans="1:41" x14ac:dyDescent="0.25">
      <c r="A36" s="32" t="s">
        <v>445</v>
      </c>
      <c r="B36" s="32">
        <v>2.8755906041528778E-3</v>
      </c>
      <c r="C36" s="32"/>
      <c r="D36" s="32" t="s">
        <v>489</v>
      </c>
      <c r="E36" s="32" t="s">
        <v>4439</v>
      </c>
      <c r="F36" s="32"/>
      <c r="G36" s="32" t="s">
        <v>708</v>
      </c>
      <c r="H36" s="32" t="s">
        <v>709</v>
      </c>
      <c r="I36" s="32" t="s">
        <v>688</v>
      </c>
      <c r="J36" s="32" t="s">
        <v>688</v>
      </c>
      <c r="T36" s="38"/>
      <c r="U36" s="32"/>
      <c r="V36" s="32"/>
      <c r="W36" s="32"/>
      <c r="X36" s="32"/>
      <c r="Z36" s="40" t="s">
        <v>4679</v>
      </c>
      <c r="AA36" s="40" t="s">
        <v>4750</v>
      </c>
      <c r="AB36" s="40" t="s">
        <v>4965</v>
      </c>
    </row>
    <row r="37" spans="1:41" x14ac:dyDescent="0.25">
      <c r="A37" s="32" t="s">
        <v>446</v>
      </c>
      <c r="B37" s="32">
        <v>-2.6510906918373212E-2</v>
      </c>
      <c r="C37" s="32"/>
      <c r="D37" s="32" t="s">
        <v>490</v>
      </c>
      <c r="E37" s="32" t="s">
        <v>4440</v>
      </c>
      <c r="F37" s="32"/>
      <c r="G37" s="32" t="s">
        <v>710</v>
      </c>
      <c r="H37" s="32" t="s">
        <v>711</v>
      </c>
      <c r="I37" s="32" t="s">
        <v>645</v>
      </c>
      <c r="J37" s="32" t="s">
        <v>646</v>
      </c>
      <c r="T37" s="37"/>
      <c r="U37" s="32"/>
      <c r="V37" s="32"/>
      <c r="W37" s="32"/>
      <c r="X37" s="32"/>
      <c r="Z37" s="40" t="s">
        <v>4680</v>
      </c>
      <c r="AA37" s="40" t="s">
        <v>4750</v>
      </c>
      <c r="AB37" s="40" t="s">
        <v>4966</v>
      </c>
    </row>
    <row r="38" spans="1:41" x14ac:dyDescent="0.25">
      <c r="A38" s="32" t="s">
        <v>447</v>
      </c>
      <c r="B38" s="32">
        <v>-5.5380920524817911E-3</v>
      </c>
      <c r="C38" s="32" t="s">
        <v>441</v>
      </c>
      <c r="D38" s="32"/>
      <c r="E38" s="32"/>
      <c r="F38" s="32"/>
      <c r="G38" s="32" t="s">
        <v>712</v>
      </c>
      <c r="H38" s="32" t="s">
        <v>713</v>
      </c>
      <c r="I38" s="32" t="s">
        <v>688</v>
      </c>
      <c r="J38" s="32" t="s">
        <v>688</v>
      </c>
      <c r="T38" s="37"/>
      <c r="U38" s="32"/>
      <c r="V38" s="32"/>
      <c r="W38" s="32"/>
      <c r="X38" s="32"/>
      <c r="Z38" s="40" t="s">
        <v>4656</v>
      </c>
      <c r="AA38" s="40" t="s">
        <v>4750</v>
      </c>
      <c r="AB38" s="40" t="s">
        <v>4708</v>
      </c>
    </row>
    <row r="39" spans="1:41" x14ac:dyDescent="0.25">
      <c r="A39" s="32" t="s">
        <v>448</v>
      </c>
      <c r="B39" s="32">
        <v>1.7974994380181242E-2</v>
      </c>
      <c r="C39" s="32"/>
      <c r="D39" s="32" t="s">
        <v>441</v>
      </c>
      <c r="E39" s="32" t="s">
        <v>4441</v>
      </c>
      <c r="F39" s="32"/>
      <c r="G39" s="32" t="s">
        <v>714</v>
      </c>
      <c r="H39" s="32" t="s">
        <v>715</v>
      </c>
      <c r="I39" s="32" t="s">
        <v>645</v>
      </c>
      <c r="J39" s="32" t="s">
        <v>646</v>
      </c>
      <c r="T39" s="39"/>
      <c r="U39" s="32"/>
      <c r="V39" s="32"/>
      <c r="W39" s="32"/>
      <c r="X39" s="32"/>
      <c r="Z39" s="40" t="s">
        <v>4681</v>
      </c>
      <c r="AA39" s="40" t="s">
        <v>4750</v>
      </c>
      <c r="AB39" s="40" t="s">
        <v>4710</v>
      </c>
    </row>
    <row r="40" spans="1:41" x14ac:dyDescent="0.25">
      <c r="A40" s="32" t="s">
        <v>449</v>
      </c>
      <c r="B40" s="32">
        <v>1.6655063738544307E-3</v>
      </c>
      <c r="C40" s="32"/>
      <c r="D40" s="32" t="s">
        <v>491</v>
      </c>
      <c r="E40" s="32" t="s">
        <v>4442</v>
      </c>
      <c r="F40" s="32"/>
      <c r="G40" s="32" t="s">
        <v>716</v>
      </c>
      <c r="H40" s="32" t="s">
        <v>717</v>
      </c>
      <c r="I40" s="32" t="s">
        <v>688</v>
      </c>
      <c r="J40" s="32" t="s">
        <v>688</v>
      </c>
      <c r="T40" s="40"/>
      <c r="U40" s="32"/>
      <c r="V40" s="32"/>
      <c r="W40" s="32"/>
      <c r="X40" s="32"/>
      <c r="Z40" s="40" t="s">
        <v>4682</v>
      </c>
      <c r="AA40" s="40" t="s">
        <v>4750</v>
      </c>
      <c r="AB40" s="40"/>
    </row>
    <row r="41" spans="1:41" x14ac:dyDescent="0.25">
      <c r="A41" s="32" t="s">
        <v>643</v>
      </c>
      <c r="B41" s="32">
        <v>9.538264931431728E-3</v>
      </c>
      <c r="C41" s="32"/>
      <c r="D41" s="32" t="s">
        <v>492</v>
      </c>
      <c r="E41" s="32" t="s">
        <v>4443</v>
      </c>
      <c r="F41" s="32"/>
      <c r="G41" s="32" t="s">
        <v>718</v>
      </c>
      <c r="H41" s="32" t="s">
        <v>719</v>
      </c>
      <c r="I41" s="32" t="s">
        <v>645</v>
      </c>
      <c r="J41" s="32" t="s">
        <v>646</v>
      </c>
      <c r="T41" s="38"/>
      <c r="U41" s="32"/>
      <c r="V41" s="32"/>
      <c r="W41" s="32"/>
      <c r="X41" s="32"/>
      <c r="Z41" s="40" t="s">
        <v>4683</v>
      </c>
      <c r="AA41" s="40" t="s">
        <v>4750</v>
      </c>
      <c r="AB41" s="40"/>
    </row>
    <row r="42" spans="1:41" x14ac:dyDescent="0.25">
      <c r="A42" s="32" t="s">
        <v>450</v>
      </c>
      <c r="B42" s="32">
        <v>7.3362942911117113E-3</v>
      </c>
      <c r="C42" s="32"/>
      <c r="D42" s="32" t="s">
        <v>493</v>
      </c>
      <c r="E42" s="32" t="s">
        <v>4444</v>
      </c>
      <c r="F42" s="32"/>
      <c r="G42" s="32" t="s">
        <v>720</v>
      </c>
      <c r="H42" s="32" t="s">
        <v>721</v>
      </c>
      <c r="I42" s="32" t="s">
        <v>688</v>
      </c>
      <c r="J42" s="32" t="s">
        <v>688</v>
      </c>
      <c r="T42" s="37"/>
      <c r="U42" s="32"/>
      <c r="V42" s="32"/>
      <c r="W42" s="32"/>
      <c r="X42" s="32"/>
      <c r="Z42" s="40" t="s">
        <v>4685</v>
      </c>
      <c r="AA42" s="40" t="s">
        <v>4750</v>
      </c>
      <c r="AB42" s="40"/>
    </row>
    <row r="43" spans="1:41" x14ac:dyDescent="0.25">
      <c r="A43" s="32" t="s">
        <v>451</v>
      </c>
      <c r="B43" s="32">
        <v>1.1683198233711112E-2</v>
      </c>
      <c r="C43" s="32"/>
      <c r="D43" s="32" t="s">
        <v>494</v>
      </c>
      <c r="E43" s="32" t="s">
        <v>4445</v>
      </c>
      <c r="F43" s="32"/>
      <c r="G43" s="32" t="s">
        <v>722</v>
      </c>
      <c r="H43" s="32" t="s">
        <v>723</v>
      </c>
      <c r="I43" s="32" t="s">
        <v>688</v>
      </c>
      <c r="J43" s="32" t="s">
        <v>688</v>
      </c>
      <c r="T43" s="37"/>
      <c r="U43" s="32"/>
      <c r="V43" s="32"/>
      <c r="W43" s="32"/>
      <c r="X43" s="32"/>
      <c r="Z43" s="40" t="s">
        <v>4684</v>
      </c>
      <c r="AA43" s="40" t="s">
        <v>4750</v>
      </c>
      <c r="AB43" s="40"/>
    </row>
    <row r="44" spans="1:41" x14ac:dyDescent="0.25">
      <c r="A44" s="32" t="s">
        <v>452</v>
      </c>
      <c r="B44" s="32">
        <v>-9.2587398303567436E-4</v>
      </c>
      <c r="C44" s="32"/>
      <c r="D44" s="32" t="s">
        <v>495</v>
      </c>
      <c r="E44" s="32" t="s">
        <v>4446</v>
      </c>
      <c r="F44" s="32" t="s">
        <v>464</v>
      </c>
      <c r="G44" s="32"/>
      <c r="H44" s="32" t="s">
        <v>724</v>
      </c>
      <c r="I44" s="32"/>
      <c r="J44" s="32"/>
      <c r="T44" s="37"/>
      <c r="U44" s="32"/>
      <c r="V44" s="32"/>
      <c r="W44" s="32"/>
      <c r="X44" s="32"/>
      <c r="Z44" s="40" t="s">
        <v>4687</v>
      </c>
      <c r="AA44" s="40" t="s">
        <v>4750</v>
      </c>
      <c r="AB44" s="40"/>
    </row>
    <row r="45" spans="1:41" ht="15" customHeight="1" x14ac:dyDescent="0.25">
      <c r="A45" s="32" t="s">
        <v>606</v>
      </c>
      <c r="B45" s="32">
        <v>2.5605276006018141E-2</v>
      </c>
      <c r="C45" s="32"/>
      <c r="D45" s="32" t="s">
        <v>496</v>
      </c>
      <c r="E45" s="32" t="s">
        <v>4447</v>
      </c>
      <c r="F45" s="32"/>
      <c r="G45" s="32" t="s">
        <v>725</v>
      </c>
      <c r="H45" s="32" t="s">
        <v>726</v>
      </c>
      <c r="I45" s="32" t="s">
        <v>688</v>
      </c>
      <c r="J45" s="32" t="s">
        <v>688</v>
      </c>
      <c r="T45" s="37"/>
      <c r="U45" s="32"/>
      <c r="V45" s="32"/>
      <c r="W45" s="32"/>
      <c r="X45" s="32"/>
      <c r="Z45" s="40" t="s">
        <v>4686</v>
      </c>
      <c r="AA45" s="40" t="s">
        <v>4750</v>
      </c>
      <c r="AB45" s="40"/>
    </row>
    <row r="46" spans="1:41" x14ac:dyDescent="0.25">
      <c r="A46" s="32" t="s">
        <v>453</v>
      </c>
      <c r="B46" s="32">
        <v>7.9608558402650687E-3</v>
      </c>
      <c r="C46" s="32"/>
      <c r="D46" s="32" t="s">
        <v>612</v>
      </c>
      <c r="E46" s="32" t="s">
        <v>4448</v>
      </c>
      <c r="F46" s="32"/>
      <c r="G46" s="32" t="s">
        <v>727</v>
      </c>
      <c r="H46" s="32" t="s">
        <v>728</v>
      </c>
      <c r="I46" s="32" t="s">
        <v>688</v>
      </c>
      <c r="J46" s="32" t="s">
        <v>688</v>
      </c>
      <c r="T46" s="38"/>
      <c r="U46" s="32"/>
      <c r="V46" s="32"/>
      <c r="W46" s="32"/>
      <c r="X46" s="32"/>
      <c r="Z46" s="32" t="s">
        <v>4660</v>
      </c>
    </row>
    <row r="47" spans="1:41" x14ac:dyDescent="0.25">
      <c r="A47" s="32" t="s">
        <v>454</v>
      </c>
      <c r="B47" s="32">
        <v>-9.831526466974605E-3</v>
      </c>
      <c r="C47" s="32" t="s">
        <v>442</v>
      </c>
      <c r="D47" s="32"/>
      <c r="E47" s="32"/>
      <c r="F47" s="32"/>
      <c r="G47" s="32" t="s">
        <v>729</v>
      </c>
      <c r="H47" s="32" t="s">
        <v>730</v>
      </c>
      <c r="I47" s="32" t="s">
        <v>688</v>
      </c>
      <c r="J47" s="32" t="s">
        <v>688</v>
      </c>
      <c r="T47" s="37"/>
      <c r="U47" s="32"/>
      <c r="V47" s="32"/>
      <c r="W47" s="32"/>
      <c r="X47" s="32"/>
      <c r="Z47" s="32" t="s">
        <v>4661</v>
      </c>
    </row>
    <row r="48" spans="1:41" x14ac:dyDescent="0.25">
      <c r="A48" s="32" t="s">
        <v>455</v>
      </c>
      <c r="B48" s="32">
        <v>1.0278614863290514E-2</v>
      </c>
      <c r="C48" s="32"/>
      <c r="D48" s="32" t="s">
        <v>497</v>
      </c>
      <c r="E48" s="32" t="s">
        <v>4449</v>
      </c>
      <c r="F48" s="32" t="s">
        <v>465</v>
      </c>
      <c r="G48" s="32"/>
      <c r="H48" s="32" t="s">
        <v>731</v>
      </c>
      <c r="I48" s="32"/>
      <c r="J48" s="32"/>
      <c r="T48" s="37"/>
      <c r="U48" s="32"/>
      <c r="V48" s="32"/>
      <c r="W48" s="32"/>
      <c r="X48" s="32"/>
      <c r="Z48" s="40" t="s">
        <v>4857</v>
      </c>
    </row>
    <row r="49" spans="1:32" x14ac:dyDescent="0.25">
      <c r="A49" s="32" t="s">
        <v>456</v>
      </c>
      <c r="B49" s="32">
        <v>-7.8175193105489704E-3</v>
      </c>
      <c r="C49" s="32"/>
      <c r="D49" s="32" t="s">
        <v>498</v>
      </c>
      <c r="E49" s="32" t="s">
        <v>4450</v>
      </c>
      <c r="F49" s="32"/>
      <c r="G49" s="32" t="s">
        <v>732</v>
      </c>
      <c r="H49" s="32" t="s">
        <v>733</v>
      </c>
      <c r="I49" s="32" t="s">
        <v>645</v>
      </c>
      <c r="J49" s="32" t="s">
        <v>646</v>
      </c>
      <c r="T49" s="37"/>
      <c r="U49" s="32"/>
      <c r="V49" s="32"/>
      <c r="W49" s="32"/>
      <c r="X49" s="32"/>
    </row>
    <row r="50" spans="1:32" x14ac:dyDescent="0.25">
      <c r="A50" s="32" t="s">
        <v>607</v>
      </c>
      <c r="B50" s="32">
        <v>1.1039420795088128E-2</v>
      </c>
      <c r="C50" s="32"/>
      <c r="D50" s="32" t="s">
        <v>613</v>
      </c>
      <c r="E50" s="32" t="s">
        <v>4451</v>
      </c>
      <c r="F50" s="32"/>
      <c r="G50" s="32" t="s">
        <v>734</v>
      </c>
      <c r="H50" s="32" t="s">
        <v>735</v>
      </c>
      <c r="I50" s="32" t="s">
        <v>688</v>
      </c>
      <c r="J50" s="32" t="s">
        <v>688</v>
      </c>
      <c r="T50" s="131"/>
      <c r="U50" s="32"/>
      <c r="V50" s="32"/>
      <c r="W50" s="32"/>
      <c r="X50" s="32"/>
      <c r="Z50" s="210" t="s">
        <v>4761</v>
      </c>
      <c r="AA50" s="209"/>
      <c r="AB50" s="210" t="s">
        <v>25</v>
      </c>
      <c r="AC50" s="209"/>
      <c r="AD50" s="210" t="s">
        <v>4762</v>
      </c>
      <c r="AF50" s="210" t="s">
        <v>179</v>
      </c>
    </row>
    <row r="51" spans="1:32" ht="15" customHeight="1" x14ac:dyDescent="0.25">
      <c r="A51" s="32" t="s">
        <v>457</v>
      </c>
      <c r="B51" s="32">
        <v>1.3226480698260268E-2</v>
      </c>
      <c r="C51" s="32"/>
      <c r="D51" s="32" t="s">
        <v>499</v>
      </c>
      <c r="E51" s="32" t="s">
        <v>4452</v>
      </c>
      <c r="F51" s="32"/>
      <c r="G51" s="32" t="s">
        <v>736</v>
      </c>
      <c r="H51" s="32" t="s">
        <v>737</v>
      </c>
      <c r="I51" s="32" t="s">
        <v>645</v>
      </c>
      <c r="J51" s="32" t="s">
        <v>646</v>
      </c>
      <c r="T51" s="38"/>
      <c r="U51" s="32"/>
      <c r="V51" s="32"/>
      <c r="W51" s="32"/>
      <c r="X51" s="32"/>
      <c r="Z51" s="40"/>
      <c r="AA51" s="40"/>
      <c r="AB51" s="211"/>
      <c r="AD51" s="40"/>
      <c r="AF51" s="211"/>
    </row>
    <row r="52" spans="1:32" ht="15" customHeight="1" x14ac:dyDescent="0.25">
      <c r="A52" s="32" t="s">
        <v>458</v>
      </c>
      <c r="B52" s="32">
        <v>1.1631640554857992E-2</v>
      </c>
      <c r="C52" s="32"/>
      <c r="D52" s="32" t="s">
        <v>500</v>
      </c>
      <c r="E52" s="32" t="s">
        <v>4453</v>
      </c>
      <c r="F52" s="32"/>
      <c r="G52" s="32" t="s">
        <v>738</v>
      </c>
      <c r="H52" s="32" t="s">
        <v>739</v>
      </c>
      <c r="I52" s="32" t="s">
        <v>645</v>
      </c>
      <c r="J52" s="32" t="s">
        <v>646</v>
      </c>
      <c r="T52" s="37"/>
      <c r="U52" s="32"/>
      <c r="V52" s="32"/>
      <c r="W52" s="32"/>
      <c r="X52" s="32"/>
      <c r="Z52" s="40"/>
      <c r="AA52" s="40"/>
      <c r="AB52" s="40"/>
      <c r="AD52" s="40"/>
      <c r="AF52" s="211"/>
    </row>
    <row r="53" spans="1:32" ht="15" customHeight="1" x14ac:dyDescent="0.25">
      <c r="A53" s="32" t="s">
        <v>459</v>
      </c>
      <c r="B53" s="32">
        <v>1.3967377534274572E-2</v>
      </c>
      <c r="C53" s="32"/>
      <c r="D53" s="32" t="s">
        <v>501</v>
      </c>
      <c r="E53" s="32" t="s">
        <v>4454</v>
      </c>
      <c r="F53" s="32"/>
      <c r="G53" s="32" t="s">
        <v>740</v>
      </c>
      <c r="H53" s="32" t="s">
        <v>741</v>
      </c>
      <c r="I53" s="32" t="s">
        <v>645</v>
      </c>
      <c r="J53" s="32" t="s">
        <v>646</v>
      </c>
      <c r="T53" s="37"/>
      <c r="U53" s="32"/>
      <c r="V53" s="32"/>
      <c r="W53" s="32"/>
      <c r="X53" s="32"/>
      <c r="Z53" s="40"/>
      <c r="AA53" s="40"/>
      <c r="AB53" s="211"/>
      <c r="AD53" s="40"/>
      <c r="AF53" s="211"/>
    </row>
    <row r="54" spans="1:32" ht="15" customHeight="1" x14ac:dyDescent="0.25">
      <c r="C54" s="32"/>
      <c r="D54" s="32" t="s">
        <v>502</v>
      </c>
      <c r="E54" s="32" t="s">
        <v>4455</v>
      </c>
      <c r="F54" s="32"/>
      <c r="G54" s="32" t="s">
        <v>742</v>
      </c>
      <c r="H54" s="32" t="s">
        <v>743</v>
      </c>
      <c r="I54" s="32" t="s">
        <v>645</v>
      </c>
      <c r="J54" s="32" t="s">
        <v>646</v>
      </c>
      <c r="T54" s="37"/>
      <c r="U54" s="32"/>
      <c r="V54" s="32"/>
      <c r="W54" s="32"/>
      <c r="X54" s="32"/>
      <c r="Z54" s="40"/>
      <c r="AA54" s="40"/>
      <c r="AB54" s="211"/>
      <c r="AD54" s="40"/>
      <c r="AF54" s="211"/>
    </row>
    <row r="55" spans="1:32" ht="15" customHeight="1" x14ac:dyDescent="0.25">
      <c r="C55" s="32"/>
      <c r="D55" s="32" t="s">
        <v>614</v>
      </c>
      <c r="E55" s="32" t="s">
        <v>4456</v>
      </c>
      <c r="F55" s="32"/>
      <c r="G55" s="32" t="s">
        <v>744</v>
      </c>
      <c r="H55" s="32" t="s">
        <v>745</v>
      </c>
      <c r="I55" s="32" t="s">
        <v>645</v>
      </c>
      <c r="J55" s="32" t="s">
        <v>646</v>
      </c>
      <c r="T55" s="131"/>
      <c r="U55" s="32"/>
      <c r="V55" s="32"/>
      <c r="W55" s="32"/>
      <c r="X55" s="32"/>
      <c r="Z55" s="40"/>
      <c r="AA55" s="40"/>
      <c r="AB55" s="40"/>
      <c r="AD55" s="40"/>
      <c r="AF55" s="211"/>
    </row>
    <row r="56" spans="1:32" ht="15" customHeight="1" x14ac:dyDescent="0.25">
      <c r="C56" s="32"/>
      <c r="D56" s="32" t="s">
        <v>503</v>
      </c>
      <c r="E56" s="32" t="s">
        <v>4457</v>
      </c>
      <c r="F56" s="32"/>
      <c r="G56" s="32" t="s">
        <v>746</v>
      </c>
      <c r="H56" s="32" t="s">
        <v>747</v>
      </c>
      <c r="I56" s="32" t="s">
        <v>645</v>
      </c>
      <c r="J56" s="32" t="s">
        <v>646</v>
      </c>
      <c r="T56" s="38"/>
      <c r="U56" s="32"/>
      <c r="V56" s="32"/>
      <c r="W56" s="32"/>
      <c r="X56" s="32"/>
      <c r="Z56" s="40"/>
      <c r="AA56" s="40"/>
      <c r="AB56" s="40"/>
      <c r="AD56" s="40"/>
      <c r="AF56" s="40"/>
    </row>
    <row r="57" spans="1:32" ht="15" customHeight="1" x14ac:dyDescent="0.25">
      <c r="C57" s="32"/>
      <c r="D57" s="32" t="s">
        <v>615</v>
      </c>
      <c r="E57" s="32" t="s">
        <v>4458</v>
      </c>
      <c r="F57" s="32"/>
      <c r="G57" s="32" t="s">
        <v>465</v>
      </c>
      <c r="H57" s="32" t="s">
        <v>748</v>
      </c>
      <c r="I57" s="32" t="s">
        <v>645</v>
      </c>
      <c r="J57" s="32" t="s">
        <v>646</v>
      </c>
      <c r="T57" s="37"/>
      <c r="U57" s="32"/>
      <c r="V57" s="32"/>
      <c r="W57" s="32"/>
      <c r="X57" s="32"/>
      <c r="Z57" s="40"/>
      <c r="AA57" s="40"/>
      <c r="AB57" s="40"/>
      <c r="AC57" s="40"/>
      <c r="AD57" s="40"/>
      <c r="AF57" s="211"/>
    </row>
    <row r="58" spans="1:32" ht="15" customHeight="1" x14ac:dyDescent="0.25">
      <c r="C58" s="32"/>
      <c r="D58" s="32" t="s">
        <v>616</v>
      </c>
      <c r="E58" s="32" t="s">
        <v>4459</v>
      </c>
      <c r="F58" s="32"/>
      <c r="G58" s="32" t="s">
        <v>749</v>
      </c>
      <c r="H58" s="32" t="s">
        <v>750</v>
      </c>
      <c r="I58" s="32" t="s">
        <v>645</v>
      </c>
      <c r="J58" s="32" t="s">
        <v>646</v>
      </c>
      <c r="T58" s="37"/>
      <c r="U58" s="32"/>
      <c r="V58" s="32"/>
      <c r="W58" s="32"/>
      <c r="X58" s="32"/>
      <c r="Z58" s="40"/>
      <c r="AA58" s="40"/>
      <c r="AB58" s="40"/>
      <c r="AD58" s="40"/>
      <c r="AF58" s="40"/>
    </row>
    <row r="59" spans="1:32" ht="15" customHeight="1" x14ac:dyDescent="0.25">
      <c r="C59" s="32" t="s">
        <v>443</v>
      </c>
      <c r="E59" s="32"/>
      <c r="F59" s="32"/>
      <c r="G59" s="32" t="s">
        <v>751</v>
      </c>
      <c r="H59" s="32" t="s">
        <v>752</v>
      </c>
      <c r="I59" s="32" t="s">
        <v>645</v>
      </c>
      <c r="J59" s="32" t="s">
        <v>646</v>
      </c>
      <c r="L59" s="32"/>
      <c r="T59" s="37"/>
      <c r="U59" s="32"/>
      <c r="V59" s="32"/>
      <c r="W59" s="32"/>
      <c r="X59" s="32"/>
      <c r="Z59" s="40"/>
      <c r="AA59" s="40"/>
      <c r="AB59" s="40"/>
      <c r="AD59" s="40"/>
      <c r="AF59" s="211"/>
    </row>
    <row r="60" spans="1:32" ht="18.75" customHeight="1" x14ac:dyDescent="0.25">
      <c r="C60" s="32"/>
      <c r="D60" s="32" t="s">
        <v>443</v>
      </c>
      <c r="E60" s="32" t="s">
        <v>4460</v>
      </c>
      <c r="F60" s="32"/>
      <c r="G60" s="32" t="s">
        <v>753</v>
      </c>
      <c r="H60" s="32" t="s">
        <v>754</v>
      </c>
      <c r="I60" s="32" t="s">
        <v>688</v>
      </c>
      <c r="J60" s="32" t="s">
        <v>688</v>
      </c>
      <c r="L60" s="32"/>
      <c r="T60" s="131"/>
      <c r="U60" s="32"/>
      <c r="V60" s="32"/>
      <c r="W60" s="32"/>
      <c r="X60" s="32"/>
    </row>
    <row r="61" spans="1:32" x14ac:dyDescent="0.25">
      <c r="C61" s="32"/>
      <c r="D61" s="32" t="s">
        <v>504</v>
      </c>
      <c r="E61" s="32" t="s">
        <v>4461</v>
      </c>
      <c r="F61" s="32"/>
      <c r="G61" s="32" t="s">
        <v>755</v>
      </c>
      <c r="H61" s="32" t="s">
        <v>756</v>
      </c>
      <c r="I61" s="32" t="s">
        <v>688</v>
      </c>
      <c r="J61" s="32" t="s">
        <v>688</v>
      </c>
      <c r="T61" s="38"/>
      <c r="U61" s="32"/>
      <c r="V61" s="32"/>
      <c r="W61" s="32"/>
      <c r="X61" s="32"/>
      <c r="Z61" s="433" t="s">
        <v>4858</v>
      </c>
    </row>
    <row r="62" spans="1:32" x14ac:dyDescent="0.25">
      <c r="C62" s="32"/>
      <c r="D62" s="32" t="s">
        <v>505</v>
      </c>
      <c r="E62" s="32" t="s">
        <v>4462</v>
      </c>
      <c r="F62" s="32"/>
      <c r="G62" s="32" t="s">
        <v>757</v>
      </c>
      <c r="H62" s="32" t="s">
        <v>758</v>
      </c>
      <c r="I62" s="32" t="s">
        <v>645</v>
      </c>
      <c r="J62" s="32" t="s">
        <v>646</v>
      </c>
      <c r="T62" s="37"/>
      <c r="U62" s="32"/>
      <c r="V62" s="32"/>
      <c r="W62" s="32"/>
      <c r="X62" s="32"/>
      <c r="Z62" s="129" t="s">
        <v>5300</v>
      </c>
    </row>
    <row r="63" spans="1:32" x14ac:dyDescent="0.25">
      <c r="C63" s="32"/>
      <c r="D63" s="32" t="s">
        <v>506</v>
      </c>
      <c r="E63" s="32" t="s">
        <v>4463</v>
      </c>
      <c r="F63" s="32"/>
      <c r="G63" s="32" t="s">
        <v>759</v>
      </c>
      <c r="H63" s="32" t="s">
        <v>760</v>
      </c>
      <c r="I63" s="32" t="s">
        <v>645</v>
      </c>
      <c r="J63" s="32" t="s">
        <v>646</v>
      </c>
      <c r="T63" s="37"/>
      <c r="U63" s="32"/>
      <c r="V63" s="32"/>
      <c r="W63" s="32"/>
      <c r="X63" s="32"/>
      <c r="Y63" s="40" t="s">
        <v>4750</v>
      </c>
      <c r="Z63" s="40" t="s">
        <v>5295</v>
      </c>
      <c r="AA63" s="34" t="s">
        <v>4783</v>
      </c>
      <c r="AD63" s="34" t="s">
        <v>4903</v>
      </c>
    </row>
    <row r="64" spans="1:32" x14ac:dyDescent="0.25">
      <c r="C64" s="32"/>
      <c r="D64" s="32" t="s">
        <v>507</v>
      </c>
      <c r="E64" s="32" t="s">
        <v>4464</v>
      </c>
      <c r="F64" s="32"/>
      <c r="G64" s="32" t="s">
        <v>761</v>
      </c>
      <c r="H64" s="32" t="s">
        <v>762</v>
      </c>
      <c r="I64" s="32" t="s">
        <v>645</v>
      </c>
      <c r="J64" s="32" t="s">
        <v>646</v>
      </c>
      <c r="T64" s="37"/>
      <c r="U64" s="32"/>
      <c r="V64" s="32"/>
      <c r="W64" s="32"/>
      <c r="X64" s="32"/>
      <c r="Y64" s="40" t="s">
        <v>4889</v>
      </c>
      <c r="Z64" s="40" t="s">
        <v>5296</v>
      </c>
      <c r="AA64" s="34" t="s">
        <v>4783</v>
      </c>
      <c r="AD64" s="34" t="s">
        <v>4904</v>
      </c>
    </row>
    <row r="65" spans="3:30" x14ac:dyDescent="0.25">
      <c r="C65" s="32"/>
      <c r="D65" s="32" t="s">
        <v>508</v>
      </c>
      <c r="E65" s="32" t="s">
        <v>4465</v>
      </c>
      <c r="F65" s="32"/>
      <c r="G65" s="32" t="s">
        <v>763</v>
      </c>
      <c r="H65" s="32" t="s">
        <v>764</v>
      </c>
      <c r="I65" s="32" t="s">
        <v>645</v>
      </c>
      <c r="J65" s="32" t="s">
        <v>646</v>
      </c>
      <c r="T65" s="131"/>
      <c r="U65" s="32"/>
      <c r="V65" s="32"/>
      <c r="W65" s="32"/>
      <c r="X65" s="32"/>
      <c r="Y65" s="40" t="s">
        <v>4750</v>
      </c>
      <c r="Z65" s="40" t="s">
        <v>5297</v>
      </c>
      <c r="AA65" s="34" t="s">
        <v>4783</v>
      </c>
      <c r="AD65" s="34" t="s">
        <v>4905</v>
      </c>
    </row>
    <row r="66" spans="3:30" x14ac:dyDescent="0.25">
      <c r="C66" s="32"/>
      <c r="D66" s="32" t="s">
        <v>509</v>
      </c>
      <c r="E66" s="32" t="s">
        <v>4466</v>
      </c>
      <c r="F66" s="32"/>
      <c r="G66" s="32" t="s">
        <v>765</v>
      </c>
      <c r="H66" s="32" t="s">
        <v>766</v>
      </c>
      <c r="I66" s="32" t="s">
        <v>645</v>
      </c>
      <c r="J66" s="32" t="s">
        <v>646</v>
      </c>
      <c r="T66" s="38"/>
      <c r="U66" s="32"/>
      <c r="V66" s="32"/>
      <c r="W66" s="32"/>
      <c r="X66" s="32"/>
      <c r="Y66" s="40" t="s">
        <v>4750</v>
      </c>
      <c r="Z66" s="40" t="s">
        <v>5298</v>
      </c>
      <c r="AA66" s="626" t="s">
        <v>4783</v>
      </c>
      <c r="AD66" s="34" t="s">
        <v>4906</v>
      </c>
    </row>
    <row r="67" spans="3:30" x14ac:dyDescent="0.25">
      <c r="C67" s="32"/>
      <c r="D67" s="32" t="s">
        <v>510</v>
      </c>
      <c r="E67" s="32" t="s">
        <v>4467</v>
      </c>
      <c r="F67" s="32"/>
      <c r="G67" s="32" t="s">
        <v>767</v>
      </c>
      <c r="H67" s="32" t="s">
        <v>768</v>
      </c>
      <c r="I67" s="32" t="s">
        <v>645</v>
      </c>
      <c r="J67" s="32" t="s">
        <v>646</v>
      </c>
      <c r="T67" s="37"/>
      <c r="U67" s="32"/>
      <c r="V67" s="32"/>
      <c r="W67" s="32"/>
      <c r="X67" s="32"/>
      <c r="Y67" s="40" t="s">
        <v>4750</v>
      </c>
      <c r="Z67" s="40" t="s">
        <v>5299</v>
      </c>
      <c r="AA67" s="626" t="s">
        <v>4783</v>
      </c>
      <c r="AD67" s="34" t="s">
        <v>4907</v>
      </c>
    </row>
    <row r="68" spans="3:30" x14ac:dyDescent="0.25">
      <c r="C68" s="32"/>
      <c r="D68" s="32" t="s">
        <v>621</v>
      </c>
      <c r="E68" s="32" t="s">
        <v>4468</v>
      </c>
      <c r="F68" s="32"/>
      <c r="G68" s="32" t="s">
        <v>769</v>
      </c>
      <c r="H68" s="32" t="s">
        <v>770</v>
      </c>
      <c r="I68" s="32" t="s">
        <v>645</v>
      </c>
      <c r="J68" s="32" t="s">
        <v>646</v>
      </c>
      <c r="T68" s="37"/>
      <c r="U68" s="32"/>
      <c r="V68" s="32"/>
      <c r="W68" s="32"/>
      <c r="X68" s="32"/>
      <c r="Y68" s="40" t="s">
        <v>4750</v>
      </c>
      <c r="Z68" s="40" t="s">
        <v>5301</v>
      </c>
      <c r="AA68" s="626" t="s">
        <v>4783</v>
      </c>
    </row>
    <row r="69" spans="3:30" x14ac:dyDescent="0.25">
      <c r="C69" s="32"/>
      <c r="D69" s="32" t="s">
        <v>620</v>
      </c>
      <c r="E69" s="32" t="s">
        <v>4469</v>
      </c>
      <c r="F69" s="32"/>
      <c r="G69" s="32" t="s">
        <v>771</v>
      </c>
      <c r="H69" s="32" t="s">
        <v>772</v>
      </c>
      <c r="I69" s="32" t="s">
        <v>645</v>
      </c>
      <c r="J69" s="32" t="s">
        <v>646</v>
      </c>
      <c r="T69" s="37"/>
      <c r="U69" s="32"/>
      <c r="V69" s="32"/>
      <c r="W69" s="32"/>
      <c r="X69" s="32"/>
      <c r="Y69" s="40" t="s">
        <v>4889</v>
      </c>
      <c r="Z69" s="40" t="s">
        <v>4859</v>
      </c>
      <c r="AA69" s="626" t="s">
        <v>4783</v>
      </c>
    </row>
    <row r="70" spans="3:30" x14ac:dyDescent="0.25">
      <c r="C70" s="32"/>
      <c r="D70" s="32" t="s">
        <v>619</v>
      </c>
      <c r="E70" s="32" t="s">
        <v>4470</v>
      </c>
      <c r="F70" s="32"/>
      <c r="G70" s="32" t="s">
        <v>773</v>
      </c>
      <c r="H70" s="32" t="s">
        <v>774</v>
      </c>
      <c r="I70" s="32" t="s">
        <v>688</v>
      </c>
      <c r="J70" s="32" t="s">
        <v>688</v>
      </c>
      <c r="T70" s="37"/>
      <c r="U70" s="32"/>
      <c r="V70" s="32"/>
      <c r="W70" s="32"/>
      <c r="X70" s="32"/>
      <c r="Y70" s="40"/>
      <c r="Z70" s="38" t="s">
        <v>227</v>
      </c>
      <c r="AB70" s="445"/>
      <c r="AC70" s="469"/>
    </row>
    <row r="71" spans="3:30" x14ac:dyDescent="0.25">
      <c r="C71" s="32"/>
      <c r="D71" s="32" t="s">
        <v>618</v>
      </c>
      <c r="E71" s="32" t="s">
        <v>4471</v>
      </c>
      <c r="F71" s="32"/>
      <c r="G71" s="32" t="s">
        <v>775</v>
      </c>
      <c r="H71" s="32" t="s">
        <v>776</v>
      </c>
      <c r="I71" s="32" t="s">
        <v>645</v>
      </c>
      <c r="J71" s="32" t="s">
        <v>646</v>
      </c>
      <c r="T71" s="38"/>
      <c r="U71" s="32"/>
      <c r="V71" s="32"/>
      <c r="W71" s="32"/>
      <c r="X71" s="32"/>
      <c r="Y71" s="40" t="s">
        <v>4750</v>
      </c>
      <c r="Z71" s="445" t="s">
        <v>5312</v>
      </c>
      <c r="AA71" s="469" t="s">
        <v>4784</v>
      </c>
      <c r="AB71" s="445"/>
      <c r="AC71" s="469"/>
    </row>
    <row r="72" spans="3:30" x14ac:dyDescent="0.25">
      <c r="C72" s="32"/>
      <c r="D72" s="32" t="s">
        <v>617</v>
      </c>
      <c r="E72" s="32" t="s">
        <v>4472</v>
      </c>
      <c r="F72" s="32" t="s">
        <v>608</v>
      </c>
      <c r="G72" s="32"/>
      <c r="H72" s="32" t="s">
        <v>777</v>
      </c>
      <c r="I72" s="32"/>
      <c r="J72" s="32"/>
      <c r="T72" s="37"/>
      <c r="U72" s="32"/>
      <c r="V72" s="32"/>
      <c r="W72" s="32"/>
      <c r="X72" s="32"/>
      <c r="Y72" s="40" t="s">
        <v>4750</v>
      </c>
      <c r="Z72" s="445" t="s">
        <v>5311</v>
      </c>
      <c r="AA72" s="469" t="s">
        <v>4784</v>
      </c>
      <c r="AB72" s="445"/>
      <c r="AC72" s="469"/>
    </row>
    <row r="73" spans="3:30" x14ac:dyDescent="0.25">
      <c r="C73" s="32" t="s">
        <v>444</v>
      </c>
      <c r="D73" s="32"/>
      <c r="E73" s="32"/>
      <c r="F73" s="32"/>
      <c r="G73" s="32" t="s">
        <v>778</v>
      </c>
      <c r="H73" s="32" t="s">
        <v>779</v>
      </c>
      <c r="I73" s="32" t="s">
        <v>688</v>
      </c>
      <c r="J73" s="32" t="s">
        <v>688</v>
      </c>
      <c r="T73" s="37"/>
      <c r="U73" s="32"/>
      <c r="V73" s="32"/>
      <c r="W73" s="32"/>
      <c r="X73" s="32"/>
      <c r="Y73" s="40" t="s">
        <v>4750</v>
      </c>
      <c r="Z73" s="445" t="s">
        <v>5310</v>
      </c>
      <c r="AA73" s="469" t="s">
        <v>4784</v>
      </c>
      <c r="AB73" s="445"/>
      <c r="AC73" s="469"/>
    </row>
    <row r="74" spans="3:30" x14ac:dyDescent="0.25">
      <c r="C74" s="32"/>
      <c r="D74" s="32" t="s">
        <v>4473</v>
      </c>
      <c r="E74" s="32" t="s">
        <v>4474</v>
      </c>
      <c r="F74" s="32"/>
      <c r="G74" s="32" t="s">
        <v>780</v>
      </c>
      <c r="H74" s="32" t="s">
        <v>781</v>
      </c>
      <c r="I74" s="32" t="s">
        <v>688</v>
      </c>
      <c r="J74" s="32" t="s">
        <v>688</v>
      </c>
      <c r="T74" s="37"/>
      <c r="U74" s="32"/>
      <c r="V74" s="32"/>
      <c r="W74" s="32"/>
      <c r="X74" s="32"/>
      <c r="Y74" s="40" t="s">
        <v>4750</v>
      </c>
      <c r="Z74" s="445" t="s">
        <v>5309</v>
      </c>
      <c r="AA74" s="469" t="s">
        <v>4784</v>
      </c>
      <c r="AB74" s="445"/>
      <c r="AC74" s="469"/>
    </row>
    <row r="75" spans="3:30" x14ac:dyDescent="0.25">
      <c r="C75" s="32" t="s">
        <v>445</v>
      </c>
      <c r="D75" s="32"/>
      <c r="E75" s="32"/>
      <c r="F75" s="32"/>
      <c r="G75" s="32" t="s">
        <v>782</v>
      </c>
      <c r="H75" s="32" t="s">
        <v>783</v>
      </c>
      <c r="I75" s="32" t="s">
        <v>688</v>
      </c>
      <c r="J75" s="32" t="s">
        <v>688</v>
      </c>
      <c r="T75" s="38"/>
      <c r="U75" s="40"/>
      <c r="V75" s="40"/>
      <c r="W75" s="40"/>
      <c r="X75" s="32"/>
      <c r="Y75" s="40" t="s">
        <v>4750</v>
      </c>
      <c r="Z75" s="495" t="s">
        <v>5294</v>
      </c>
      <c r="AA75" s="469" t="s">
        <v>4784</v>
      </c>
      <c r="AB75" s="445"/>
      <c r="AC75" s="469"/>
    </row>
    <row r="76" spans="3:30" x14ac:dyDescent="0.25">
      <c r="C76" s="32"/>
      <c r="D76" s="32" t="s">
        <v>445</v>
      </c>
      <c r="E76" s="32" t="s">
        <v>4475</v>
      </c>
      <c r="F76" s="32"/>
      <c r="G76" s="32" t="s">
        <v>784</v>
      </c>
      <c r="H76" s="32" t="s">
        <v>785</v>
      </c>
      <c r="I76" s="32" t="s">
        <v>688</v>
      </c>
      <c r="J76" s="32" t="s">
        <v>688</v>
      </c>
      <c r="T76" s="37"/>
      <c r="U76" s="40"/>
      <c r="V76" s="40"/>
      <c r="W76" s="40"/>
      <c r="X76" s="32"/>
      <c r="Y76" s="40" t="s">
        <v>4750</v>
      </c>
      <c r="Z76" s="495" t="s">
        <v>5308</v>
      </c>
      <c r="AA76" s="469" t="s">
        <v>4785</v>
      </c>
      <c r="AB76" s="40"/>
      <c r="AC76" s="469"/>
    </row>
    <row r="77" spans="3:30" x14ac:dyDescent="0.25">
      <c r="C77" s="32"/>
      <c r="D77" s="32" t="s">
        <v>511</v>
      </c>
      <c r="E77" s="32" t="s">
        <v>4476</v>
      </c>
      <c r="F77" s="32"/>
      <c r="G77" s="32" t="s">
        <v>786</v>
      </c>
      <c r="H77" s="32" t="s">
        <v>787</v>
      </c>
      <c r="I77" s="32" t="s">
        <v>688</v>
      </c>
      <c r="J77" s="32" t="s">
        <v>688</v>
      </c>
      <c r="T77" s="37"/>
      <c r="U77" s="40"/>
      <c r="V77" s="40"/>
      <c r="W77" s="40"/>
      <c r="X77" s="32"/>
      <c r="Y77" s="40" t="s">
        <v>4750</v>
      </c>
      <c r="Z77" s="39" t="s">
        <v>5307</v>
      </c>
      <c r="AA77" s="469" t="s">
        <v>4785</v>
      </c>
      <c r="AB77" s="40"/>
      <c r="AC77" s="469"/>
      <c r="AD77" s="40"/>
    </row>
    <row r="78" spans="3:30" x14ac:dyDescent="0.25">
      <c r="C78" s="32"/>
      <c r="D78" s="32" t="s">
        <v>512</v>
      </c>
      <c r="E78" s="32" t="s">
        <v>4477</v>
      </c>
      <c r="F78" s="32"/>
      <c r="G78" s="32" t="s">
        <v>788</v>
      </c>
      <c r="H78" s="32" t="s">
        <v>789</v>
      </c>
      <c r="I78" s="32" t="s">
        <v>688</v>
      </c>
      <c r="J78" s="32" t="s">
        <v>688</v>
      </c>
      <c r="T78" s="37"/>
      <c r="U78" s="40"/>
      <c r="V78" s="40"/>
      <c r="W78" s="40"/>
      <c r="X78" s="32"/>
      <c r="Y78" s="40"/>
      <c r="Z78" s="129" t="s">
        <v>5302</v>
      </c>
      <c r="AA78" s="469"/>
      <c r="AB78" s="40"/>
      <c r="AC78" s="469"/>
    </row>
    <row r="79" spans="3:30" x14ac:dyDescent="0.25">
      <c r="C79" s="32"/>
      <c r="D79" s="32" t="s">
        <v>513</v>
      </c>
      <c r="E79" s="32" t="s">
        <v>4478</v>
      </c>
      <c r="F79" s="32"/>
      <c r="G79" s="32" t="s">
        <v>790</v>
      </c>
      <c r="H79" s="32" t="s">
        <v>791</v>
      </c>
      <c r="I79" s="32" t="s">
        <v>688</v>
      </c>
      <c r="J79" s="32" t="s">
        <v>688</v>
      </c>
      <c r="T79" s="37"/>
      <c r="U79" s="40"/>
      <c r="V79" s="40"/>
      <c r="W79" s="40"/>
      <c r="X79" s="32"/>
      <c r="Y79" s="40" t="s">
        <v>4889</v>
      </c>
      <c r="Z79" s="39" t="s">
        <v>5303</v>
      </c>
      <c r="AA79" s="627" t="s">
        <v>4783</v>
      </c>
      <c r="AB79" s="40"/>
      <c r="AC79" s="469"/>
    </row>
    <row r="80" spans="3:30" x14ac:dyDescent="0.25">
      <c r="C80" s="32"/>
      <c r="D80" s="32" t="s">
        <v>514</v>
      </c>
      <c r="E80" s="32" t="s">
        <v>4479</v>
      </c>
      <c r="F80" s="32"/>
      <c r="G80" s="32" t="s">
        <v>792</v>
      </c>
      <c r="H80" s="32" t="s">
        <v>793</v>
      </c>
      <c r="I80" s="32" t="s">
        <v>688</v>
      </c>
      <c r="J80" s="32" t="s">
        <v>688</v>
      </c>
      <c r="Y80" s="40" t="s">
        <v>4750</v>
      </c>
      <c r="Z80" s="39" t="s">
        <v>5609</v>
      </c>
      <c r="AA80" s="627" t="s">
        <v>4783</v>
      </c>
      <c r="AB80" s="39"/>
      <c r="AC80" s="469"/>
    </row>
    <row r="81" spans="3:30" x14ac:dyDescent="0.25">
      <c r="C81" s="32"/>
      <c r="D81" s="32" t="s">
        <v>515</v>
      </c>
      <c r="E81" s="32" t="s">
        <v>4480</v>
      </c>
      <c r="F81" s="32"/>
      <c r="G81" s="32" t="s">
        <v>794</v>
      </c>
      <c r="H81" s="32" t="s">
        <v>795</v>
      </c>
      <c r="I81" s="32" t="s">
        <v>688</v>
      </c>
      <c r="J81" s="32" t="s">
        <v>688</v>
      </c>
      <c r="Y81" s="40" t="s">
        <v>4750</v>
      </c>
      <c r="Z81" s="37" t="s">
        <v>5360</v>
      </c>
      <c r="AA81" s="627" t="s">
        <v>4783</v>
      </c>
      <c r="AB81" s="37"/>
      <c r="AC81" s="469"/>
    </row>
    <row r="82" spans="3:30" x14ac:dyDescent="0.25">
      <c r="C82" s="32"/>
      <c r="D82" s="32" t="s">
        <v>516</v>
      </c>
      <c r="E82" s="32" t="s">
        <v>4481</v>
      </c>
      <c r="F82" s="32"/>
      <c r="G82" s="32" t="s">
        <v>796</v>
      </c>
      <c r="H82" s="32" t="s">
        <v>797</v>
      </c>
      <c r="I82" s="32" t="s">
        <v>688</v>
      </c>
      <c r="J82" s="32" t="s">
        <v>688</v>
      </c>
      <c r="Y82" s="40" t="s">
        <v>4750</v>
      </c>
      <c r="Z82" s="39" t="s">
        <v>5610</v>
      </c>
      <c r="AA82" s="627" t="s">
        <v>4783</v>
      </c>
      <c r="AB82" s="39"/>
      <c r="AC82" s="469"/>
      <c r="AD82" s="40"/>
    </row>
    <row r="83" spans="3:30" x14ac:dyDescent="0.25">
      <c r="C83" s="32"/>
      <c r="D83" s="32" t="s">
        <v>517</v>
      </c>
      <c r="E83" s="32" t="s">
        <v>4482</v>
      </c>
      <c r="F83" s="32"/>
      <c r="G83" s="32" t="s">
        <v>798</v>
      </c>
      <c r="H83" s="32" t="s">
        <v>799</v>
      </c>
      <c r="I83" s="32" t="s">
        <v>688</v>
      </c>
      <c r="J83" s="32" t="s">
        <v>688</v>
      </c>
      <c r="Y83" s="40"/>
      <c r="Z83" s="129" t="s">
        <v>5304</v>
      </c>
      <c r="AA83" s="627"/>
    </row>
    <row r="84" spans="3:30" x14ac:dyDescent="0.25">
      <c r="C84" s="32"/>
      <c r="D84" s="32" t="s">
        <v>622</v>
      </c>
      <c r="E84" s="32" t="s">
        <v>4483</v>
      </c>
      <c r="F84" s="32"/>
      <c r="G84" s="32" t="s">
        <v>800</v>
      </c>
      <c r="H84" s="32" t="s">
        <v>801</v>
      </c>
      <c r="I84" s="32" t="s">
        <v>688</v>
      </c>
      <c r="J84" s="32" t="s">
        <v>688</v>
      </c>
      <c r="Y84" s="40" t="s">
        <v>4889</v>
      </c>
      <c r="Z84" s="39" t="s">
        <v>5306</v>
      </c>
      <c r="AA84" s="627" t="s">
        <v>4783</v>
      </c>
      <c r="AB84" s="37"/>
    </row>
    <row r="85" spans="3:30" x14ac:dyDescent="0.25">
      <c r="C85" s="32"/>
      <c r="D85" s="32" t="s">
        <v>518</v>
      </c>
      <c r="E85" s="32" t="s">
        <v>4484</v>
      </c>
      <c r="F85" s="32" t="s">
        <v>466</v>
      </c>
      <c r="G85" s="32"/>
      <c r="H85" s="32" t="s">
        <v>802</v>
      </c>
      <c r="I85" s="32"/>
      <c r="J85" s="32"/>
      <c r="Y85" s="40" t="s">
        <v>4750</v>
      </c>
      <c r="Z85" s="39" t="s">
        <v>5357</v>
      </c>
      <c r="AA85" s="627" t="s">
        <v>4783</v>
      </c>
      <c r="AB85" s="39"/>
    </row>
    <row r="86" spans="3:30" x14ac:dyDescent="0.25">
      <c r="C86" s="32"/>
      <c r="D86" s="32" t="s">
        <v>519</v>
      </c>
      <c r="E86" s="32" t="s">
        <v>4485</v>
      </c>
      <c r="F86" s="32"/>
      <c r="G86" s="32" t="s">
        <v>803</v>
      </c>
      <c r="H86" s="32" t="s">
        <v>804</v>
      </c>
      <c r="I86" s="32" t="s">
        <v>688</v>
      </c>
      <c r="J86" s="32" t="s">
        <v>688</v>
      </c>
      <c r="Y86" s="40" t="s">
        <v>4750</v>
      </c>
      <c r="Z86" s="37" t="s">
        <v>5358</v>
      </c>
      <c r="AA86" s="627" t="s">
        <v>4783</v>
      </c>
      <c r="AB86" s="37"/>
    </row>
    <row r="87" spans="3:30" x14ac:dyDescent="0.25">
      <c r="C87" s="32"/>
      <c r="D87" s="32" t="s">
        <v>520</v>
      </c>
      <c r="E87" s="32" t="s">
        <v>4486</v>
      </c>
      <c r="F87" s="32"/>
      <c r="G87" s="32" t="s">
        <v>805</v>
      </c>
      <c r="H87" s="32" t="s">
        <v>806</v>
      </c>
      <c r="I87" s="32" t="s">
        <v>688</v>
      </c>
      <c r="J87" s="32" t="s">
        <v>688</v>
      </c>
      <c r="Y87" s="40" t="s">
        <v>4750</v>
      </c>
      <c r="Z87" s="39" t="s">
        <v>5359</v>
      </c>
      <c r="AA87" s="627" t="s">
        <v>4783</v>
      </c>
      <c r="AB87" s="39"/>
    </row>
    <row r="88" spans="3:30" x14ac:dyDescent="0.25">
      <c r="C88" s="32"/>
      <c r="D88" s="32" t="s">
        <v>521</v>
      </c>
      <c r="E88" s="32" t="s">
        <v>4487</v>
      </c>
      <c r="F88" s="32"/>
      <c r="G88" s="32" t="s">
        <v>807</v>
      </c>
      <c r="H88" s="32" t="s">
        <v>808</v>
      </c>
      <c r="I88" s="32" t="s">
        <v>688</v>
      </c>
      <c r="J88" s="32" t="s">
        <v>688</v>
      </c>
      <c r="Y88" s="40" t="s">
        <v>4750</v>
      </c>
      <c r="Z88" s="40" t="s">
        <v>5305</v>
      </c>
      <c r="AA88" s="627" t="s">
        <v>4783</v>
      </c>
      <c r="AB88" s="32"/>
    </row>
    <row r="89" spans="3:30" x14ac:dyDescent="0.25">
      <c r="C89" s="32" t="s">
        <v>446</v>
      </c>
      <c r="D89" s="32"/>
      <c r="E89" s="32"/>
      <c r="F89" s="32"/>
      <c r="G89" s="32" t="s">
        <v>809</v>
      </c>
      <c r="H89" s="32" t="s">
        <v>810</v>
      </c>
      <c r="I89" s="32" t="s">
        <v>688</v>
      </c>
      <c r="J89" s="32" t="s">
        <v>688</v>
      </c>
      <c r="Z89" s="38" t="s">
        <v>5313</v>
      </c>
      <c r="AB89" s="32"/>
    </row>
    <row r="90" spans="3:30" x14ac:dyDescent="0.25">
      <c r="C90" s="32"/>
      <c r="D90" s="32" t="s">
        <v>446</v>
      </c>
      <c r="E90" s="32" t="s">
        <v>4488</v>
      </c>
      <c r="F90" s="32"/>
      <c r="G90" s="32" t="s">
        <v>811</v>
      </c>
      <c r="H90" s="32" t="s">
        <v>812</v>
      </c>
      <c r="I90" s="32" t="s">
        <v>688</v>
      </c>
      <c r="J90" s="32" t="s">
        <v>688</v>
      </c>
      <c r="Y90" s="40" t="s">
        <v>4750</v>
      </c>
      <c r="Z90" s="40" t="s">
        <v>5315</v>
      </c>
      <c r="AA90" s="34" t="s">
        <v>4785</v>
      </c>
    </row>
    <row r="91" spans="3:30" x14ac:dyDescent="0.25">
      <c r="C91" s="32"/>
      <c r="D91" s="32" t="s">
        <v>522</v>
      </c>
      <c r="E91" s="32" t="s">
        <v>4489</v>
      </c>
      <c r="F91" s="32"/>
      <c r="G91" s="32" t="s">
        <v>813</v>
      </c>
      <c r="H91" s="32" t="s">
        <v>814</v>
      </c>
      <c r="I91" s="32" t="s">
        <v>688</v>
      </c>
      <c r="J91" s="32" t="s">
        <v>688</v>
      </c>
      <c r="Y91" s="40" t="s">
        <v>4750</v>
      </c>
      <c r="Z91" s="40" t="s">
        <v>5316</v>
      </c>
      <c r="AA91" s="629" t="s">
        <v>4785</v>
      </c>
    </row>
    <row r="92" spans="3:30" x14ac:dyDescent="0.25">
      <c r="C92" s="32"/>
      <c r="D92" s="32" t="s">
        <v>523</v>
      </c>
      <c r="E92" s="32" t="s">
        <v>4490</v>
      </c>
      <c r="F92" s="32"/>
      <c r="G92" s="32" t="s">
        <v>815</v>
      </c>
      <c r="H92" s="32" t="s">
        <v>816</v>
      </c>
      <c r="I92" s="32" t="s">
        <v>688</v>
      </c>
      <c r="J92" s="32" t="s">
        <v>688</v>
      </c>
      <c r="Y92" s="40" t="s">
        <v>4750</v>
      </c>
      <c r="Z92" s="40" t="s">
        <v>5317</v>
      </c>
      <c r="AA92" s="629" t="s">
        <v>4785</v>
      </c>
    </row>
    <row r="93" spans="3:30" x14ac:dyDescent="0.25">
      <c r="C93" s="32"/>
      <c r="D93" s="32" t="s">
        <v>524</v>
      </c>
      <c r="E93" s="32" t="s">
        <v>4491</v>
      </c>
      <c r="F93" s="32" t="s">
        <v>460</v>
      </c>
      <c r="G93" s="32"/>
      <c r="H93" s="32"/>
      <c r="I93" s="32"/>
      <c r="J93" s="32"/>
      <c r="Z93" s="129" t="s">
        <v>54</v>
      </c>
      <c r="AB93" s="40" t="s">
        <v>4707</v>
      </c>
    </row>
    <row r="94" spans="3:30" x14ac:dyDescent="0.25">
      <c r="C94" s="32"/>
      <c r="D94" s="32" t="s">
        <v>525</v>
      </c>
      <c r="E94" s="32" t="s">
        <v>4492</v>
      </c>
      <c r="F94" s="32" t="s">
        <v>467</v>
      </c>
      <c r="G94" s="32"/>
      <c r="H94" s="32" t="s">
        <v>817</v>
      </c>
      <c r="I94" s="32"/>
      <c r="J94" s="32"/>
      <c r="Z94" s="40" t="s">
        <v>4860</v>
      </c>
      <c r="AB94" s="40" t="s">
        <v>4955</v>
      </c>
    </row>
    <row r="95" spans="3:30" x14ac:dyDescent="0.25">
      <c r="C95" s="32"/>
      <c r="D95" s="32" t="s">
        <v>526</v>
      </c>
      <c r="E95" s="32" t="s">
        <v>4493</v>
      </c>
      <c r="F95" s="32"/>
      <c r="G95" s="32" t="s">
        <v>467</v>
      </c>
      <c r="H95" s="32" t="s">
        <v>818</v>
      </c>
      <c r="I95" s="32" t="s">
        <v>645</v>
      </c>
      <c r="J95" s="32" t="s">
        <v>819</v>
      </c>
      <c r="Z95" s="40" t="s">
        <v>4861</v>
      </c>
      <c r="AB95" s="40" t="s">
        <v>4959</v>
      </c>
    </row>
    <row r="96" spans="3:30" x14ac:dyDescent="0.25">
      <c r="C96" s="32"/>
      <c r="D96" s="32" t="s">
        <v>527</v>
      </c>
      <c r="E96" s="32" t="s">
        <v>4494</v>
      </c>
      <c r="F96" s="32"/>
      <c r="G96" s="32" t="s">
        <v>820</v>
      </c>
      <c r="H96" s="32" t="s">
        <v>821</v>
      </c>
      <c r="I96" s="32" t="s">
        <v>645</v>
      </c>
      <c r="J96" s="32" t="s">
        <v>819</v>
      </c>
      <c r="Z96" s="40" t="s">
        <v>4862</v>
      </c>
      <c r="AB96" s="40" t="s">
        <v>4956</v>
      </c>
    </row>
    <row r="97" spans="3:28" x14ac:dyDescent="0.25">
      <c r="C97" s="32" t="s">
        <v>447</v>
      </c>
      <c r="D97" s="32"/>
      <c r="E97" s="32"/>
      <c r="F97" s="32"/>
      <c r="G97" s="32" t="s">
        <v>2384</v>
      </c>
      <c r="H97" s="32" t="s">
        <v>822</v>
      </c>
      <c r="I97" s="32" t="s">
        <v>645</v>
      </c>
      <c r="J97" s="32" t="s">
        <v>819</v>
      </c>
      <c r="Z97" s="40" t="s">
        <v>4863</v>
      </c>
      <c r="AB97" s="40" t="s">
        <v>4957</v>
      </c>
    </row>
    <row r="98" spans="3:28" x14ac:dyDescent="0.25">
      <c r="C98" s="32"/>
      <c r="D98" s="32" t="s">
        <v>447</v>
      </c>
      <c r="E98" s="32" t="s">
        <v>4495</v>
      </c>
      <c r="F98" s="32"/>
      <c r="G98" s="32" t="s">
        <v>823</v>
      </c>
      <c r="H98" s="32" t="s">
        <v>824</v>
      </c>
      <c r="I98" s="32" t="s">
        <v>645</v>
      </c>
      <c r="J98" s="32" t="s">
        <v>819</v>
      </c>
      <c r="Z98" s="40" t="s">
        <v>4864</v>
      </c>
      <c r="AB98" s="40" t="s">
        <v>4958</v>
      </c>
    </row>
    <row r="99" spans="3:28" x14ac:dyDescent="0.25">
      <c r="C99" s="32"/>
      <c r="D99" s="32" t="s">
        <v>528</v>
      </c>
      <c r="E99" s="32" t="s">
        <v>4496</v>
      </c>
      <c r="F99" s="32"/>
      <c r="G99" s="32" t="s">
        <v>3176</v>
      </c>
      <c r="H99" s="32" t="s">
        <v>825</v>
      </c>
      <c r="I99" s="32" t="s">
        <v>645</v>
      </c>
      <c r="J99" s="32" t="s">
        <v>819</v>
      </c>
      <c r="T99" s="131"/>
      <c r="Z99" s="38" t="s">
        <v>227</v>
      </c>
      <c r="AB99" s="40" t="s">
        <v>4960</v>
      </c>
    </row>
    <row r="100" spans="3:28" x14ac:dyDescent="0.25">
      <c r="C100" s="32"/>
      <c r="D100" s="32" t="s">
        <v>623</v>
      </c>
      <c r="E100" s="32" t="s">
        <v>4497</v>
      </c>
      <c r="F100" s="32"/>
      <c r="G100" s="32" t="s">
        <v>826</v>
      </c>
      <c r="H100" s="32" t="s">
        <v>827</v>
      </c>
      <c r="I100" s="32" t="s">
        <v>645</v>
      </c>
      <c r="J100" s="32" t="s">
        <v>819</v>
      </c>
      <c r="Z100" s="40" t="s">
        <v>4865</v>
      </c>
      <c r="AB100" s="40" t="s">
        <v>4961</v>
      </c>
    </row>
    <row r="101" spans="3:28" x14ac:dyDescent="0.25">
      <c r="C101" s="32"/>
      <c r="D101" s="32" t="s">
        <v>529</v>
      </c>
      <c r="E101" s="32" t="s">
        <v>4498</v>
      </c>
      <c r="F101" s="32"/>
      <c r="G101" s="32" t="s">
        <v>643</v>
      </c>
      <c r="H101" s="32" t="s">
        <v>828</v>
      </c>
      <c r="I101" s="32" t="s">
        <v>645</v>
      </c>
      <c r="J101" s="32" t="s">
        <v>819</v>
      </c>
      <c r="T101" s="444"/>
      <c r="Z101" s="38" t="s">
        <v>5313</v>
      </c>
      <c r="AB101" s="40" t="s">
        <v>4962</v>
      </c>
    </row>
    <row r="102" spans="3:28" x14ac:dyDescent="0.25">
      <c r="C102" s="32"/>
      <c r="D102" s="32" t="s">
        <v>530</v>
      </c>
      <c r="E102" s="32" t="s">
        <v>4499</v>
      </c>
      <c r="F102" s="32"/>
      <c r="G102" s="32" t="s">
        <v>674</v>
      </c>
      <c r="H102" s="32" t="s">
        <v>829</v>
      </c>
      <c r="I102" s="32" t="s">
        <v>645</v>
      </c>
      <c r="J102" s="32" t="s">
        <v>819</v>
      </c>
      <c r="T102" s="131"/>
      <c r="X102" s="444"/>
      <c r="Z102" s="40" t="s">
        <v>5314</v>
      </c>
      <c r="AB102" s="40" t="s">
        <v>4953</v>
      </c>
    </row>
    <row r="103" spans="3:28" x14ac:dyDescent="0.25">
      <c r="C103" s="32"/>
      <c r="D103" s="32" t="s">
        <v>624</v>
      </c>
      <c r="E103" s="32" t="s">
        <v>4500</v>
      </c>
      <c r="F103" s="32"/>
      <c r="G103" s="32" t="s">
        <v>830</v>
      </c>
      <c r="H103" s="32" t="s">
        <v>831</v>
      </c>
      <c r="I103" s="32" t="s">
        <v>645</v>
      </c>
      <c r="J103" s="32" t="s">
        <v>819</v>
      </c>
      <c r="T103" s="131"/>
      <c r="X103" s="444"/>
      <c r="AB103" s="40" t="s">
        <v>4952</v>
      </c>
    </row>
    <row r="104" spans="3:28" x14ac:dyDescent="0.25">
      <c r="C104" s="32"/>
      <c r="D104" s="32" t="s">
        <v>531</v>
      </c>
      <c r="E104" s="32" t="s">
        <v>4501</v>
      </c>
      <c r="F104" s="32"/>
      <c r="G104" s="32" t="s">
        <v>832</v>
      </c>
      <c r="H104" s="32" t="s">
        <v>833</v>
      </c>
      <c r="I104" s="32" t="s">
        <v>645</v>
      </c>
      <c r="J104" s="32" t="s">
        <v>819</v>
      </c>
      <c r="T104" s="131"/>
      <c r="X104" s="444"/>
      <c r="Z104" s="38" t="s">
        <v>5351</v>
      </c>
      <c r="AB104" s="40" t="s">
        <v>4954</v>
      </c>
    </row>
    <row r="105" spans="3:28" x14ac:dyDescent="0.25">
      <c r="C105" s="32"/>
      <c r="D105" s="32" t="s">
        <v>532</v>
      </c>
      <c r="E105" s="32" t="s">
        <v>4502</v>
      </c>
      <c r="F105" s="32"/>
      <c r="G105" s="32" t="s">
        <v>834</v>
      </c>
      <c r="H105" s="32" t="s">
        <v>835</v>
      </c>
      <c r="I105" s="32" t="s">
        <v>645</v>
      </c>
      <c r="J105" s="32" t="s">
        <v>819</v>
      </c>
      <c r="T105" s="131"/>
      <c r="X105" s="444"/>
      <c r="Z105" s="40" t="s">
        <v>5346</v>
      </c>
      <c r="AB105" s="40" t="s">
        <v>4963</v>
      </c>
    </row>
    <row r="106" spans="3:28" x14ac:dyDescent="0.25">
      <c r="C106" s="32"/>
      <c r="D106" s="32" t="s">
        <v>533</v>
      </c>
      <c r="E106" s="32" t="s">
        <v>4503</v>
      </c>
      <c r="F106" s="32"/>
      <c r="G106" s="32" t="s">
        <v>836</v>
      </c>
      <c r="H106" s="32" t="s">
        <v>837</v>
      </c>
      <c r="I106" s="32" t="s">
        <v>645</v>
      </c>
      <c r="J106" s="32" t="s">
        <v>819</v>
      </c>
      <c r="T106" s="131"/>
      <c r="X106" s="444"/>
      <c r="Z106" s="40" t="s">
        <v>5347</v>
      </c>
      <c r="AB106" s="40" t="s">
        <v>4964</v>
      </c>
    </row>
    <row r="107" spans="3:28" x14ac:dyDescent="0.25">
      <c r="C107" s="32"/>
      <c r="D107" s="32" t="s">
        <v>534</v>
      </c>
      <c r="E107" s="32" t="s">
        <v>4504</v>
      </c>
      <c r="F107" s="32" t="s">
        <v>468</v>
      </c>
      <c r="G107" s="32"/>
      <c r="H107" s="32" t="s">
        <v>838</v>
      </c>
      <c r="I107" s="32"/>
      <c r="J107" s="32"/>
      <c r="T107" s="131"/>
      <c r="X107" s="444"/>
      <c r="Z107" s="40" t="s">
        <v>5356</v>
      </c>
    </row>
    <row r="108" spans="3:28" x14ac:dyDescent="0.25">
      <c r="C108" s="32"/>
      <c r="D108" s="32" t="s">
        <v>535</v>
      </c>
      <c r="E108" s="32" t="s">
        <v>4505</v>
      </c>
      <c r="F108" s="32"/>
      <c r="G108" s="32" t="s">
        <v>468</v>
      </c>
      <c r="H108" s="32" t="s">
        <v>839</v>
      </c>
      <c r="I108" s="32" t="s">
        <v>645</v>
      </c>
      <c r="J108" s="32" t="s">
        <v>819</v>
      </c>
      <c r="T108" s="131"/>
      <c r="Z108" s="40" t="s">
        <v>5352</v>
      </c>
    </row>
    <row r="109" spans="3:28" x14ac:dyDescent="0.25">
      <c r="C109" s="32" t="s">
        <v>448</v>
      </c>
      <c r="D109" s="32"/>
      <c r="E109" s="32"/>
      <c r="F109" s="32"/>
      <c r="G109" s="32" t="s">
        <v>840</v>
      </c>
      <c r="H109" s="32" t="s">
        <v>841</v>
      </c>
      <c r="I109" s="32" t="s">
        <v>645</v>
      </c>
      <c r="J109" s="32" t="s">
        <v>819</v>
      </c>
      <c r="T109" s="131"/>
      <c r="Z109" s="40" t="s">
        <v>5350</v>
      </c>
    </row>
    <row r="110" spans="3:28" x14ac:dyDescent="0.25">
      <c r="C110" s="32"/>
      <c r="D110" s="32" t="s">
        <v>448</v>
      </c>
      <c r="E110" s="32" t="s">
        <v>4506</v>
      </c>
      <c r="F110" s="32"/>
      <c r="G110" s="32" t="s">
        <v>842</v>
      </c>
      <c r="H110" s="32" t="s">
        <v>843</v>
      </c>
      <c r="I110" s="32" t="s">
        <v>645</v>
      </c>
      <c r="J110" s="32" t="s">
        <v>819</v>
      </c>
      <c r="T110" s="131"/>
      <c r="Z110" s="40" t="s">
        <v>5353</v>
      </c>
    </row>
    <row r="111" spans="3:28" x14ac:dyDescent="0.25">
      <c r="C111" s="32"/>
      <c r="D111" s="32" t="s">
        <v>536</v>
      </c>
      <c r="E111" s="32" t="s">
        <v>4507</v>
      </c>
      <c r="F111" s="32"/>
      <c r="G111" s="32" t="s">
        <v>844</v>
      </c>
      <c r="H111" s="32" t="s">
        <v>845</v>
      </c>
      <c r="I111" s="32" t="s">
        <v>645</v>
      </c>
      <c r="J111" s="32" t="s">
        <v>819</v>
      </c>
      <c r="T111" s="444"/>
      <c r="Z111" s="40" t="s">
        <v>5354</v>
      </c>
    </row>
    <row r="112" spans="3:28" x14ac:dyDescent="0.25">
      <c r="C112" s="32"/>
      <c r="D112" s="32" t="s">
        <v>537</v>
      </c>
      <c r="E112" s="32" t="s">
        <v>4508</v>
      </c>
      <c r="F112" s="32"/>
      <c r="G112" s="32" t="s">
        <v>846</v>
      </c>
      <c r="H112" s="32" t="s">
        <v>847</v>
      </c>
      <c r="I112" s="32" t="s">
        <v>645</v>
      </c>
      <c r="J112" s="32" t="s">
        <v>819</v>
      </c>
      <c r="T112" s="131"/>
      <c r="Z112" s="40" t="s">
        <v>5348</v>
      </c>
    </row>
    <row r="113" spans="3:27" x14ac:dyDescent="0.25">
      <c r="C113" s="32"/>
      <c r="D113" s="32" t="s">
        <v>538</v>
      </c>
      <c r="E113" s="32" t="s">
        <v>4509</v>
      </c>
      <c r="F113" s="32" t="s">
        <v>609</v>
      </c>
      <c r="G113" s="32"/>
      <c r="H113" s="32" t="s">
        <v>848</v>
      </c>
      <c r="I113" s="32"/>
      <c r="J113" s="32"/>
      <c r="T113" s="444"/>
      <c r="Z113" s="40" t="s">
        <v>5355</v>
      </c>
    </row>
    <row r="114" spans="3:27" x14ac:dyDescent="0.25">
      <c r="C114" s="32"/>
      <c r="D114" s="32" t="s">
        <v>539</v>
      </c>
      <c r="E114" s="32" t="s">
        <v>4510</v>
      </c>
      <c r="F114" s="32"/>
      <c r="G114" s="32" t="s">
        <v>849</v>
      </c>
      <c r="H114" s="32" t="s">
        <v>850</v>
      </c>
      <c r="I114" s="32" t="s">
        <v>645</v>
      </c>
      <c r="J114" s="32" t="s">
        <v>819</v>
      </c>
      <c r="T114" s="444"/>
      <c r="Z114" s="40" t="s">
        <v>5349</v>
      </c>
    </row>
    <row r="115" spans="3:27" x14ac:dyDescent="0.25">
      <c r="C115" s="32" t="s">
        <v>449</v>
      </c>
      <c r="D115" s="32"/>
      <c r="E115" s="32"/>
      <c r="F115" s="32"/>
      <c r="G115" s="32" t="s">
        <v>851</v>
      </c>
      <c r="H115" s="32" t="s">
        <v>852</v>
      </c>
      <c r="I115" s="32" t="s">
        <v>645</v>
      </c>
      <c r="J115" s="32" t="s">
        <v>819</v>
      </c>
      <c r="T115" s="444"/>
      <c r="Z115" s="40"/>
    </row>
    <row r="116" spans="3:27" x14ac:dyDescent="0.25">
      <c r="C116" s="32"/>
      <c r="D116" s="32" t="s">
        <v>540</v>
      </c>
      <c r="E116" s="32" t="s">
        <v>4511</v>
      </c>
      <c r="F116" s="32"/>
      <c r="G116" s="32" t="s">
        <v>853</v>
      </c>
      <c r="H116" s="32" t="s">
        <v>854</v>
      </c>
      <c r="I116" s="32" t="s">
        <v>645</v>
      </c>
      <c r="J116" s="32" t="s">
        <v>819</v>
      </c>
      <c r="T116" s="131"/>
      <c r="Z116" s="38" t="s">
        <v>306</v>
      </c>
    </row>
    <row r="117" spans="3:27" x14ac:dyDescent="0.25">
      <c r="C117" s="32"/>
      <c r="D117" s="32" t="s">
        <v>541</v>
      </c>
      <c r="E117" s="32" t="s">
        <v>4512</v>
      </c>
      <c r="F117" s="32"/>
      <c r="G117" s="32" t="s">
        <v>855</v>
      </c>
      <c r="H117" s="32" t="s">
        <v>856</v>
      </c>
      <c r="I117" s="32" t="s">
        <v>645</v>
      </c>
      <c r="J117" s="32" t="s">
        <v>819</v>
      </c>
      <c r="T117" s="444"/>
      <c r="Z117" s="40" t="s">
        <v>5338</v>
      </c>
    </row>
    <row r="118" spans="3:27" x14ac:dyDescent="0.25">
      <c r="C118" s="32"/>
      <c r="D118" s="32" t="s">
        <v>542</v>
      </c>
      <c r="E118" s="32" t="s">
        <v>4513</v>
      </c>
      <c r="F118" s="32"/>
      <c r="G118" s="32" t="s">
        <v>857</v>
      </c>
      <c r="H118" s="32" t="s">
        <v>858</v>
      </c>
      <c r="I118" s="32" t="s">
        <v>645</v>
      </c>
      <c r="J118" s="32" t="s">
        <v>819</v>
      </c>
      <c r="T118" s="131"/>
      <c r="Z118" s="40" t="s">
        <v>5339</v>
      </c>
    </row>
    <row r="119" spans="3:27" x14ac:dyDescent="0.25">
      <c r="C119" s="32"/>
      <c r="D119" s="32" t="s">
        <v>543</v>
      </c>
      <c r="E119" s="32" t="s">
        <v>4514</v>
      </c>
      <c r="F119" s="32"/>
      <c r="G119" s="32" t="s">
        <v>859</v>
      </c>
      <c r="H119" s="32" t="s">
        <v>860</v>
      </c>
      <c r="I119" s="32" t="s">
        <v>645</v>
      </c>
      <c r="J119" s="32" t="s">
        <v>819</v>
      </c>
      <c r="T119" s="444"/>
      <c r="Z119" s="40" t="s">
        <v>5340</v>
      </c>
    </row>
    <row r="120" spans="3:27" x14ac:dyDescent="0.25">
      <c r="C120" s="32"/>
      <c r="D120" s="32" t="s">
        <v>544</v>
      </c>
      <c r="E120" s="32" t="s">
        <v>4515</v>
      </c>
      <c r="F120" s="32" t="s">
        <v>469</v>
      </c>
      <c r="G120" s="32"/>
      <c r="H120" s="32" t="s">
        <v>861</v>
      </c>
      <c r="I120" s="32"/>
      <c r="J120" s="32"/>
      <c r="T120" s="131"/>
      <c r="Z120" s="40" t="s">
        <v>5341</v>
      </c>
    </row>
    <row r="121" spans="3:27" x14ac:dyDescent="0.25">
      <c r="C121" s="32"/>
      <c r="D121" s="32" t="s">
        <v>545</v>
      </c>
      <c r="E121" s="32" t="s">
        <v>4516</v>
      </c>
      <c r="F121" s="32"/>
      <c r="G121" s="32" t="s">
        <v>862</v>
      </c>
      <c r="H121" s="32" t="s">
        <v>863</v>
      </c>
      <c r="I121" s="32" t="s">
        <v>645</v>
      </c>
      <c r="J121" s="32" t="s">
        <v>819</v>
      </c>
      <c r="T121" s="131"/>
      <c r="Z121" s="40" t="s">
        <v>5342</v>
      </c>
    </row>
    <row r="122" spans="3:27" x14ac:dyDescent="0.25">
      <c r="C122" s="32"/>
      <c r="D122" s="32" t="s">
        <v>546</v>
      </c>
      <c r="E122" s="32" t="s">
        <v>4517</v>
      </c>
      <c r="F122" s="32"/>
      <c r="G122" s="32" t="s">
        <v>864</v>
      </c>
      <c r="H122" s="32" t="s">
        <v>865</v>
      </c>
      <c r="I122" s="32" t="s">
        <v>645</v>
      </c>
      <c r="J122" s="32" t="s">
        <v>819</v>
      </c>
      <c r="T122" s="131"/>
      <c r="Z122" s="40" t="s">
        <v>5343</v>
      </c>
    </row>
    <row r="123" spans="3:27" x14ac:dyDescent="0.25">
      <c r="C123" s="32"/>
      <c r="D123" s="32" t="s">
        <v>547</v>
      </c>
      <c r="E123" s="32" t="s">
        <v>4518</v>
      </c>
      <c r="F123" s="32" t="s">
        <v>470</v>
      </c>
      <c r="G123" s="32"/>
      <c r="H123" s="32" t="s">
        <v>866</v>
      </c>
      <c r="I123" s="32"/>
      <c r="J123" s="32"/>
      <c r="T123" s="131"/>
      <c r="Z123" s="40" t="s">
        <v>5344</v>
      </c>
    </row>
    <row r="124" spans="3:27" x14ac:dyDescent="0.25">
      <c r="C124" s="32"/>
      <c r="D124" s="32" t="s">
        <v>548</v>
      </c>
      <c r="E124" s="32" t="s">
        <v>4519</v>
      </c>
      <c r="F124" s="32"/>
      <c r="G124" s="32" t="s">
        <v>867</v>
      </c>
      <c r="H124" s="32" t="s">
        <v>868</v>
      </c>
      <c r="I124" s="32" t="s">
        <v>645</v>
      </c>
      <c r="J124" s="32" t="s">
        <v>819</v>
      </c>
      <c r="T124" s="131"/>
      <c r="Z124" s="40" t="s">
        <v>5345</v>
      </c>
    </row>
    <row r="125" spans="3:27" x14ac:dyDescent="0.25">
      <c r="C125" s="32" t="s">
        <v>643</v>
      </c>
      <c r="D125" s="32"/>
      <c r="E125" s="32"/>
      <c r="F125" s="32"/>
      <c r="G125" s="32" t="s">
        <v>869</v>
      </c>
      <c r="H125" s="32" t="s">
        <v>870</v>
      </c>
      <c r="I125" s="32" t="s">
        <v>645</v>
      </c>
      <c r="J125" s="32" t="s">
        <v>819</v>
      </c>
      <c r="T125" s="131"/>
    </row>
    <row r="126" spans="3:27" x14ac:dyDescent="0.25">
      <c r="C126" s="32"/>
      <c r="D126" s="32" t="s">
        <v>549</v>
      </c>
      <c r="E126" s="32" t="s">
        <v>4520</v>
      </c>
      <c r="F126" s="32"/>
      <c r="G126" s="32" t="s">
        <v>609</v>
      </c>
      <c r="H126" s="32" t="s">
        <v>871</v>
      </c>
      <c r="I126" s="32" t="s">
        <v>645</v>
      </c>
      <c r="J126" s="32" t="s">
        <v>819</v>
      </c>
      <c r="T126" s="131"/>
      <c r="Z126" s="38" t="s">
        <v>54</v>
      </c>
    </row>
    <row r="127" spans="3:27" x14ac:dyDescent="0.25">
      <c r="C127" s="32"/>
      <c r="D127" s="32" t="s">
        <v>550</v>
      </c>
      <c r="E127" s="32" t="s">
        <v>4521</v>
      </c>
      <c r="F127" s="32"/>
      <c r="G127" s="32" t="s">
        <v>872</v>
      </c>
      <c r="H127" s="32" t="s">
        <v>873</v>
      </c>
      <c r="I127" s="32" t="s">
        <v>645</v>
      </c>
      <c r="J127" s="32" t="s">
        <v>819</v>
      </c>
      <c r="T127" s="131"/>
      <c r="Y127" s="40" t="s">
        <v>4750</v>
      </c>
      <c r="Z127" s="40" t="str">
        <f>Z63</f>
        <v>Estructura de Captación (Bocatoma)</v>
      </c>
      <c r="AA127" s="658"/>
    </row>
    <row r="128" spans="3:27" x14ac:dyDescent="0.25">
      <c r="C128" s="32"/>
      <c r="D128" s="32" t="s">
        <v>551</v>
      </c>
      <c r="E128" s="32" t="s">
        <v>4522</v>
      </c>
      <c r="F128" s="32"/>
      <c r="G128" s="32" t="s">
        <v>874</v>
      </c>
      <c r="H128" s="32" t="s">
        <v>875</v>
      </c>
      <c r="I128" s="32" t="s">
        <v>645</v>
      </c>
      <c r="J128" s="32" t="s">
        <v>819</v>
      </c>
      <c r="T128" s="131"/>
      <c r="Y128" s="40" t="s">
        <v>4889</v>
      </c>
      <c r="Z128" s="40" t="str">
        <f t="shared" ref="Z128:Z133" si="1">Z64</f>
        <v>Canal de derivación (incluye transición a canal)</v>
      </c>
    </row>
    <row r="129" spans="3:26" x14ac:dyDescent="0.25">
      <c r="C129" s="32"/>
      <c r="D129" s="32" t="s">
        <v>552</v>
      </c>
      <c r="E129" s="32" t="s">
        <v>4523</v>
      </c>
      <c r="F129" s="32"/>
      <c r="G129" s="32" t="s">
        <v>876</v>
      </c>
      <c r="H129" s="32" t="s">
        <v>877</v>
      </c>
      <c r="I129" s="32" t="s">
        <v>645</v>
      </c>
      <c r="J129" s="32" t="s">
        <v>819</v>
      </c>
      <c r="T129" s="131"/>
      <c r="Y129" s="40" t="s">
        <v>4750</v>
      </c>
      <c r="Z129" s="40" t="str">
        <f t="shared" si="1"/>
        <v>Desarenador</v>
      </c>
    </row>
    <row r="130" spans="3:26" x14ac:dyDescent="0.25">
      <c r="C130" s="32"/>
      <c r="D130" s="32" t="s">
        <v>553</v>
      </c>
      <c r="E130" s="32" t="s">
        <v>4524</v>
      </c>
      <c r="F130" s="32"/>
      <c r="G130" s="32" t="s">
        <v>878</v>
      </c>
      <c r="H130" s="32" t="s">
        <v>879</v>
      </c>
      <c r="I130" s="32" t="s">
        <v>645</v>
      </c>
      <c r="J130" s="32" t="s">
        <v>819</v>
      </c>
      <c r="Y130" s="40" t="s">
        <v>4750</v>
      </c>
      <c r="Z130" s="40" t="str">
        <f t="shared" si="1"/>
        <v>Aliviadero de demasias</v>
      </c>
    </row>
    <row r="131" spans="3:26" x14ac:dyDescent="0.25">
      <c r="C131" s="32"/>
      <c r="D131" s="32" t="s">
        <v>554</v>
      </c>
      <c r="E131" s="32" t="s">
        <v>4525</v>
      </c>
      <c r="F131" s="32"/>
      <c r="G131" s="32" t="s">
        <v>880</v>
      </c>
      <c r="H131" s="32" t="s">
        <v>881</v>
      </c>
      <c r="I131" s="32" t="s">
        <v>645</v>
      </c>
      <c r="J131" s="32" t="s">
        <v>819</v>
      </c>
      <c r="Y131" s="40" t="s">
        <v>4750</v>
      </c>
      <c r="Z131" s="40" t="str">
        <f t="shared" si="1"/>
        <v>Barraje fijo</v>
      </c>
    </row>
    <row r="132" spans="3:26" x14ac:dyDescent="0.25">
      <c r="C132" s="32"/>
      <c r="D132" s="32" t="s">
        <v>555</v>
      </c>
      <c r="E132" s="32" t="s">
        <v>4526</v>
      </c>
      <c r="F132" s="32"/>
      <c r="G132" s="32" t="s">
        <v>882</v>
      </c>
      <c r="H132" s="32" t="s">
        <v>883</v>
      </c>
      <c r="I132" s="32" t="s">
        <v>645</v>
      </c>
      <c r="J132" s="32" t="s">
        <v>819</v>
      </c>
      <c r="Y132" s="40" t="s">
        <v>4750</v>
      </c>
      <c r="Z132" s="40" t="str">
        <f t="shared" si="1"/>
        <v>Zona de limpia</v>
      </c>
    </row>
    <row r="133" spans="3:26" x14ac:dyDescent="0.25">
      <c r="C133" s="32"/>
      <c r="D133" s="32" t="s">
        <v>556</v>
      </c>
      <c r="E133" s="32" t="s">
        <v>4527</v>
      </c>
      <c r="F133" s="32"/>
      <c r="G133" s="32" t="s">
        <v>884</v>
      </c>
      <c r="H133" s="32" t="s">
        <v>885</v>
      </c>
      <c r="I133" s="32" t="s">
        <v>645</v>
      </c>
      <c r="J133" s="32" t="s">
        <v>819</v>
      </c>
      <c r="Y133" s="40" t="s">
        <v>4889</v>
      </c>
      <c r="Z133" s="40" t="str">
        <f t="shared" si="1"/>
        <v>Muro de encauzamiento</v>
      </c>
    </row>
    <row r="134" spans="3:26" x14ac:dyDescent="0.25">
      <c r="C134" s="32"/>
      <c r="D134" s="32" t="s">
        <v>626</v>
      </c>
      <c r="E134" s="32" t="s">
        <v>4528</v>
      </c>
      <c r="F134" s="32"/>
      <c r="G134" s="32" t="s">
        <v>886</v>
      </c>
      <c r="H134" s="32" t="s">
        <v>887</v>
      </c>
      <c r="I134" s="32" t="s">
        <v>645</v>
      </c>
      <c r="J134" s="32" t="s">
        <v>819</v>
      </c>
      <c r="Y134" s="40" t="s">
        <v>4889</v>
      </c>
      <c r="Z134" s="40" t="str">
        <f>Z79</f>
        <v>Canal de conducción</v>
      </c>
    </row>
    <row r="135" spans="3:26" x14ac:dyDescent="0.25">
      <c r="C135" s="32"/>
      <c r="D135" s="32" t="s">
        <v>627</v>
      </c>
      <c r="E135" s="32" t="s">
        <v>4529</v>
      </c>
      <c r="F135" s="32"/>
      <c r="G135" s="32" t="s">
        <v>888</v>
      </c>
      <c r="H135" s="32" t="s">
        <v>889</v>
      </c>
      <c r="I135" s="32" t="s">
        <v>645</v>
      </c>
      <c r="J135" s="32" t="s">
        <v>819</v>
      </c>
      <c r="Y135" s="40" t="s">
        <v>4750</v>
      </c>
      <c r="Z135" s="40" t="str">
        <f>Z80</f>
        <v>Canal de conduccion - Obras de arte</v>
      </c>
    </row>
    <row r="136" spans="3:26" x14ac:dyDescent="0.25">
      <c r="C136" s="32"/>
      <c r="D136" s="32" t="s">
        <v>625</v>
      </c>
      <c r="E136" s="32" t="s">
        <v>4530</v>
      </c>
      <c r="F136" s="32"/>
      <c r="G136" s="32" t="s">
        <v>890</v>
      </c>
      <c r="H136" s="32" t="s">
        <v>891</v>
      </c>
      <c r="I136" s="32" t="s">
        <v>645</v>
      </c>
      <c r="J136" s="32" t="s">
        <v>819</v>
      </c>
      <c r="Y136" s="40" t="s">
        <v>4750</v>
      </c>
      <c r="Z136" s="40" t="str">
        <f>Z81</f>
        <v>Canal de conducción - Cámara de carga</v>
      </c>
    </row>
    <row r="137" spans="3:26" x14ac:dyDescent="0.25">
      <c r="C137" s="32"/>
      <c r="D137" s="32" t="s">
        <v>557</v>
      </c>
      <c r="E137" s="32" t="s">
        <v>4531</v>
      </c>
      <c r="F137" s="32"/>
      <c r="G137" s="32" t="s">
        <v>892</v>
      </c>
      <c r="H137" s="32" t="s">
        <v>893</v>
      </c>
      <c r="I137" s="32" t="s">
        <v>645</v>
      </c>
      <c r="J137" s="32" t="s">
        <v>819</v>
      </c>
      <c r="Y137" s="40" t="s">
        <v>4750</v>
      </c>
      <c r="Z137" s="40" t="str">
        <f>Z82</f>
        <v>Canal de conducción - Aforador</v>
      </c>
    </row>
    <row r="138" spans="3:26" x14ac:dyDescent="0.25">
      <c r="C138" s="32" t="s">
        <v>450</v>
      </c>
      <c r="D138" s="32"/>
      <c r="E138" s="32"/>
      <c r="F138" s="32"/>
      <c r="G138" s="32" t="s">
        <v>894</v>
      </c>
      <c r="H138" s="32" t="s">
        <v>895</v>
      </c>
      <c r="I138" s="32" t="s">
        <v>645</v>
      </c>
      <c r="J138" s="32" t="s">
        <v>819</v>
      </c>
      <c r="Y138" s="40" t="s">
        <v>4889</v>
      </c>
      <c r="Z138" s="40" t="str">
        <f>Z84</f>
        <v>Canal de distribución</v>
      </c>
    </row>
    <row r="139" spans="3:26" x14ac:dyDescent="0.25">
      <c r="C139" s="32"/>
      <c r="D139" s="32" t="s">
        <v>558</v>
      </c>
      <c r="E139" s="32" t="s">
        <v>4532</v>
      </c>
      <c r="F139" s="32" t="s">
        <v>471</v>
      </c>
      <c r="G139" s="32"/>
      <c r="H139" s="32" t="s">
        <v>896</v>
      </c>
      <c r="I139" s="32"/>
      <c r="J139" s="32"/>
      <c r="Y139" s="40" t="s">
        <v>4750</v>
      </c>
      <c r="Z139" s="40" t="str">
        <f>Z85</f>
        <v>Obras de arte en canal de distribución</v>
      </c>
    </row>
    <row r="140" spans="3:26" x14ac:dyDescent="0.25">
      <c r="C140" s="32"/>
      <c r="D140" s="32" t="s">
        <v>559</v>
      </c>
      <c r="E140" s="32" t="s">
        <v>4533</v>
      </c>
      <c r="F140" s="32"/>
      <c r="G140" s="32" t="s">
        <v>471</v>
      </c>
      <c r="H140" s="32" t="s">
        <v>897</v>
      </c>
      <c r="I140" s="32" t="s">
        <v>645</v>
      </c>
      <c r="J140" s="32" t="s">
        <v>819</v>
      </c>
      <c r="Y140" s="40" t="s">
        <v>4750</v>
      </c>
      <c r="Z140" s="40" t="str">
        <f>Z86</f>
        <v>Cámara de carga en canal de distribución</v>
      </c>
    </row>
    <row r="141" spans="3:26" x14ac:dyDescent="0.25">
      <c r="C141" s="32"/>
      <c r="D141" s="32" t="s">
        <v>450</v>
      </c>
      <c r="E141" s="32" t="s">
        <v>4534</v>
      </c>
      <c r="F141" s="32"/>
      <c r="G141" s="32" t="s">
        <v>898</v>
      </c>
      <c r="H141" s="32" t="s">
        <v>899</v>
      </c>
      <c r="I141" s="32" t="s">
        <v>645</v>
      </c>
      <c r="J141" s="32" t="s">
        <v>819</v>
      </c>
      <c r="Y141" s="40" t="s">
        <v>4750</v>
      </c>
      <c r="Z141" s="40" t="str">
        <f>Z87</f>
        <v>Aforador en canal de distribución</v>
      </c>
    </row>
    <row r="142" spans="3:26" x14ac:dyDescent="0.25">
      <c r="C142" s="32" t="s">
        <v>451</v>
      </c>
      <c r="D142" s="32"/>
      <c r="E142" s="32"/>
      <c r="F142" s="32"/>
      <c r="G142" s="32" t="s">
        <v>900</v>
      </c>
      <c r="H142" s="32" t="s">
        <v>901</v>
      </c>
      <c r="I142" s="32" t="s">
        <v>645</v>
      </c>
      <c r="J142" s="32" t="s">
        <v>819</v>
      </c>
      <c r="Y142" s="40" t="s">
        <v>4750</v>
      </c>
      <c r="Z142" s="40" t="str">
        <f>Z88</f>
        <v>Reservorio</v>
      </c>
    </row>
    <row r="143" spans="3:26" x14ac:dyDescent="0.25">
      <c r="C143" s="32"/>
      <c r="D143" s="32" t="s">
        <v>451</v>
      </c>
      <c r="E143" s="32" t="s">
        <v>4535</v>
      </c>
      <c r="F143" s="32"/>
      <c r="G143" s="32" t="s">
        <v>512</v>
      </c>
      <c r="H143" s="32" t="s">
        <v>902</v>
      </c>
      <c r="I143" s="32" t="s">
        <v>645</v>
      </c>
      <c r="J143" s="32" t="s">
        <v>819</v>
      </c>
    </row>
    <row r="144" spans="3:26" x14ac:dyDescent="0.25">
      <c r="C144" s="32"/>
      <c r="D144" s="32" t="s">
        <v>560</v>
      </c>
      <c r="E144" s="32" t="s">
        <v>4536</v>
      </c>
      <c r="F144" s="32"/>
      <c r="G144" s="32" t="s">
        <v>903</v>
      </c>
      <c r="H144" s="32" t="s">
        <v>904</v>
      </c>
      <c r="I144" s="32" t="s">
        <v>645</v>
      </c>
      <c r="J144" s="32" t="s">
        <v>819</v>
      </c>
    </row>
    <row r="145" spans="3:10" x14ac:dyDescent="0.25">
      <c r="C145" s="32"/>
      <c r="D145" s="32" t="s">
        <v>561</v>
      </c>
      <c r="E145" s="32" t="s">
        <v>4537</v>
      </c>
      <c r="F145" s="32"/>
      <c r="G145" s="32" t="s">
        <v>905</v>
      </c>
      <c r="H145" s="32" t="s">
        <v>906</v>
      </c>
      <c r="I145" s="32" t="s">
        <v>645</v>
      </c>
      <c r="J145" s="32" t="s">
        <v>819</v>
      </c>
    </row>
    <row r="146" spans="3:10" x14ac:dyDescent="0.25">
      <c r="C146" s="32"/>
      <c r="D146" s="32" t="s">
        <v>562</v>
      </c>
      <c r="E146" s="32" t="s">
        <v>4538</v>
      </c>
      <c r="F146" s="32"/>
      <c r="G146" s="32" t="s">
        <v>907</v>
      </c>
      <c r="H146" s="32" t="s">
        <v>908</v>
      </c>
      <c r="I146" s="32" t="s">
        <v>645</v>
      </c>
      <c r="J146" s="32" t="s">
        <v>819</v>
      </c>
    </row>
    <row r="147" spans="3:10" x14ac:dyDescent="0.25">
      <c r="C147" s="32"/>
      <c r="D147" s="32" t="s">
        <v>563</v>
      </c>
      <c r="E147" s="32" t="s">
        <v>4539</v>
      </c>
      <c r="F147" s="32"/>
      <c r="G147" s="32" t="s">
        <v>909</v>
      </c>
      <c r="H147" s="32" t="s">
        <v>910</v>
      </c>
      <c r="I147" s="32" t="s">
        <v>645</v>
      </c>
      <c r="J147" s="32" t="s">
        <v>819</v>
      </c>
    </row>
    <row r="148" spans="3:10" x14ac:dyDescent="0.25">
      <c r="C148" s="32"/>
      <c r="D148" s="32" t="s">
        <v>564</v>
      </c>
      <c r="E148" s="32" t="s">
        <v>4540</v>
      </c>
      <c r="F148" s="32"/>
      <c r="G148" s="32" t="s">
        <v>911</v>
      </c>
      <c r="H148" s="32" t="s">
        <v>912</v>
      </c>
      <c r="I148" s="32" t="s">
        <v>645</v>
      </c>
      <c r="J148" s="32" t="s">
        <v>819</v>
      </c>
    </row>
    <row r="149" spans="3:10" x14ac:dyDescent="0.25">
      <c r="C149" s="32"/>
      <c r="D149" s="32" t="s">
        <v>565</v>
      </c>
      <c r="E149" s="32" t="s">
        <v>4541</v>
      </c>
      <c r="F149" s="32"/>
      <c r="G149" s="32" t="s">
        <v>913</v>
      </c>
      <c r="H149" s="32" t="s">
        <v>914</v>
      </c>
      <c r="I149" s="32" t="s">
        <v>645</v>
      </c>
      <c r="J149" s="32" t="s">
        <v>819</v>
      </c>
    </row>
    <row r="150" spans="3:10" x14ac:dyDescent="0.25">
      <c r="C150" s="32"/>
      <c r="D150" s="32" t="s">
        <v>566</v>
      </c>
      <c r="E150" s="32" t="s">
        <v>4542</v>
      </c>
      <c r="F150" s="32"/>
      <c r="G150" s="32" t="s">
        <v>915</v>
      </c>
      <c r="H150" s="32" t="s">
        <v>916</v>
      </c>
      <c r="I150" s="32" t="s">
        <v>645</v>
      </c>
      <c r="J150" s="32" t="s">
        <v>819</v>
      </c>
    </row>
    <row r="151" spans="3:10" x14ac:dyDescent="0.25">
      <c r="C151" s="32"/>
      <c r="D151" s="32" t="s">
        <v>567</v>
      </c>
      <c r="E151" s="32" t="s">
        <v>4543</v>
      </c>
      <c r="F151" s="32" t="s">
        <v>610</v>
      </c>
      <c r="G151" s="32"/>
      <c r="H151" s="32" t="s">
        <v>917</v>
      </c>
      <c r="I151" s="32"/>
      <c r="J151" s="32"/>
    </row>
    <row r="152" spans="3:10" x14ac:dyDescent="0.25">
      <c r="C152" s="32"/>
      <c r="D152" s="32" t="s">
        <v>568</v>
      </c>
      <c r="E152" s="32" t="s">
        <v>4544</v>
      </c>
      <c r="F152" s="32"/>
      <c r="G152" s="32" t="s">
        <v>3217</v>
      </c>
      <c r="H152" s="32" t="s">
        <v>918</v>
      </c>
      <c r="I152" s="32" t="s">
        <v>645</v>
      </c>
      <c r="J152" s="32" t="s">
        <v>819</v>
      </c>
    </row>
    <row r="153" spans="3:10" x14ac:dyDescent="0.25">
      <c r="C153" s="32" t="s">
        <v>452</v>
      </c>
      <c r="D153" s="32"/>
      <c r="E153" s="32"/>
      <c r="F153" s="32"/>
      <c r="G153" s="32" t="s">
        <v>778</v>
      </c>
      <c r="H153" s="32" t="s">
        <v>919</v>
      </c>
      <c r="I153" s="32" t="s">
        <v>645</v>
      </c>
      <c r="J153" s="32" t="s">
        <v>819</v>
      </c>
    </row>
    <row r="154" spans="3:10" x14ac:dyDescent="0.25">
      <c r="C154" s="32"/>
      <c r="D154" s="32" t="s">
        <v>569</v>
      </c>
      <c r="E154" s="32" t="s">
        <v>4545</v>
      </c>
      <c r="F154" s="32"/>
      <c r="G154" s="32" t="s">
        <v>920</v>
      </c>
      <c r="H154" s="32" t="s">
        <v>921</v>
      </c>
      <c r="I154" s="32" t="s">
        <v>645</v>
      </c>
      <c r="J154" s="32" t="s">
        <v>819</v>
      </c>
    </row>
    <row r="155" spans="3:10" x14ac:dyDescent="0.25">
      <c r="C155" s="32"/>
      <c r="D155" s="32" t="s">
        <v>628</v>
      </c>
      <c r="E155" s="32" t="s">
        <v>4546</v>
      </c>
      <c r="F155" s="32" t="s">
        <v>472</v>
      </c>
      <c r="G155" s="32"/>
      <c r="H155" s="32" t="s">
        <v>922</v>
      </c>
      <c r="I155" s="32"/>
      <c r="J155" s="32"/>
    </row>
    <row r="156" spans="3:10" x14ac:dyDescent="0.25">
      <c r="C156" s="32"/>
      <c r="D156" s="32" t="s">
        <v>452</v>
      </c>
      <c r="E156" s="32" t="s">
        <v>4547</v>
      </c>
      <c r="F156" s="32"/>
      <c r="G156" s="32" t="s">
        <v>472</v>
      </c>
      <c r="H156" s="32" t="s">
        <v>923</v>
      </c>
      <c r="I156" s="32" t="s">
        <v>924</v>
      </c>
      <c r="J156" s="32" t="s">
        <v>925</v>
      </c>
    </row>
    <row r="157" spans="3:10" x14ac:dyDescent="0.25">
      <c r="C157" s="32"/>
      <c r="D157" s="32" t="s">
        <v>629</v>
      </c>
      <c r="E157" s="32" t="s">
        <v>4548</v>
      </c>
      <c r="F157" s="32"/>
      <c r="G157" s="32" t="s">
        <v>926</v>
      </c>
      <c r="H157" s="32" t="s">
        <v>927</v>
      </c>
      <c r="I157" s="32" t="s">
        <v>924</v>
      </c>
      <c r="J157" s="32" t="s">
        <v>925</v>
      </c>
    </row>
    <row r="158" spans="3:10" x14ac:dyDescent="0.25">
      <c r="C158" s="32"/>
      <c r="D158" s="32" t="s">
        <v>570</v>
      </c>
      <c r="E158" s="32" t="s">
        <v>4549</v>
      </c>
      <c r="F158" s="32"/>
      <c r="G158" s="32" t="s">
        <v>928</v>
      </c>
      <c r="H158" s="32" t="s">
        <v>929</v>
      </c>
      <c r="I158" s="32" t="s">
        <v>924</v>
      </c>
      <c r="J158" s="32" t="s">
        <v>925</v>
      </c>
    </row>
    <row r="159" spans="3:10" x14ac:dyDescent="0.25">
      <c r="C159" s="32"/>
      <c r="D159" s="32" t="s">
        <v>459</v>
      </c>
      <c r="E159" s="32" t="s">
        <v>4550</v>
      </c>
      <c r="F159" s="32"/>
      <c r="G159" s="32" t="s">
        <v>930</v>
      </c>
      <c r="H159" s="32" t="s">
        <v>931</v>
      </c>
      <c r="I159" s="32" t="s">
        <v>924</v>
      </c>
      <c r="J159" s="32" t="s">
        <v>925</v>
      </c>
    </row>
    <row r="160" spans="3:10" x14ac:dyDescent="0.25">
      <c r="C160" s="32"/>
      <c r="D160" s="32" t="s">
        <v>630</v>
      </c>
      <c r="E160" s="32" t="s">
        <v>4551</v>
      </c>
      <c r="F160" s="32" t="s">
        <v>473</v>
      </c>
      <c r="G160" s="32"/>
      <c r="H160" s="32" t="s">
        <v>932</v>
      </c>
      <c r="I160" s="32"/>
      <c r="J160" s="32"/>
    </row>
    <row r="161" spans="3:10" x14ac:dyDescent="0.25">
      <c r="C161" s="32"/>
      <c r="D161" s="32" t="s">
        <v>572</v>
      </c>
      <c r="E161" s="32" t="s">
        <v>4552</v>
      </c>
      <c r="F161" s="32"/>
      <c r="G161" s="32" t="s">
        <v>473</v>
      </c>
      <c r="H161" s="32" t="s">
        <v>933</v>
      </c>
      <c r="I161" s="32" t="s">
        <v>645</v>
      </c>
      <c r="J161" s="32" t="s">
        <v>819</v>
      </c>
    </row>
    <row r="162" spans="3:10" x14ac:dyDescent="0.25">
      <c r="C162" s="32" t="s">
        <v>606</v>
      </c>
      <c r="D162" s="32"/>
      <c r="E162" s="32"/>
      <c r="F162" s="32"/>
      <c r="G162" s="32" t="s">
        <v>934</v>
      </c>
      <c r="H162" s="32" t="s">
        <v>935</v>
      </c>
      <c r="I162" s="32" t="s">
        <v>645</v>
      </c>
      <c r="J162" s="32" t="s">
        <v>819</v>
      </c>
    </row>
    <row r="163" spans="3:10" x14ac:dyDescent="0.25">
      <c r="C163" s="32"/>
      <c r="D163" s="32" t="s">
        <v>573</v>
      </c>
      <c r="E163" s="32" t="s">
        <v>4553</v>
      </c>
      <c r="F163" s="32"/>
      <c r="G163" s="32" t="s">
        <v>936</v>
      </c>
      <c r="H163" s="32" t="s">
        <v>937</v>
      </c>
      <c r="I163" s="32" t="s">
        <v>645</v>
      </c>
      <c r="J163" s="32" t="s">
        <v>819</v>
      </c>
    </row>
    <row r="164" spans="3:10" x14ac:dyDescent="0.25">
      <c r="C164" s="32"/>
      <c r="D164" s="32" t="s">
        <v>574</v>
      </c>
      <c r="E164" s="32" t="s">
        <v>4554</v>
      </c>
      <c r="F164" s="32"/>
      <c r="G164" s="32" t="s">
        <v>938</v>
      </c>
      <c r="H164" s="32" t="s">
        <v>939</v>
      </c>
      <c r="I164" s="32" t="s">
        <v>645</v>
      </c>
      <c r="J164" s="32" t="s">
        <v>819</v>
      </c>
    </row>
    <row r="165" spans="3:10" x14ac:dyDescent="0.25">
      <c r="C165" s="32"/>
      <c r="D165" s="32" t="s">
        <v>575</v>
      </c>
      <c r="E165" s="32" t="s">
        <v>4555</v>
      </c>
      <c r="F165" s="32"/>
      <c r="G165" s="32" t="s">
        <v>940</v>
      </c>
      <c r="H165" s="32" t="s">
        <v>941</v>
      </c>
      <c r="I165" s="32" t="s">
        <v>645</v>
      </c>
      <c r="J165" s="32" t="s">
        <v>819</v>
      </c>
    </row>
    <row r="166" spans="3:10" x14ac:dyDescent="0.25">
      <c r="C166" s="32" t="s">
        <v>453</v>
      </c>
      <c r="D166" s="32"/>
      <c r="E166" s="32"/>
      <c r="F166" s="32"/>
      <c r="G166" s="32" t="s">
        <v>942</v>
      </c>
      <c r="H166" s="32" t="s">
        <v>943</v>
      </c>
      <c r="I166" s="32" t="s">
        <v>645</v>
      </c>
      <c r="J166" s="32" t="s">
        <v>819</v>
      </c>
    </row>
    <row r="167" spans="3:10" x14ac:dyDescent="0.25">
      <c r="C167" s="32"/>
      <c r="D167" s="32" t="s">
        <v>631</v>
      </c>
      <c r="E167" s="32" t="s">
        <v>4556</v>
      </c>
      <c r="F167" s="32"/>
      <c r="G167" s="32" t="s">
        <v>944</v>
      </c>
      <c r="H167" s="32" t="s">
        <v>945</v>
      </c>
      <c r="I167" s="32" t="s">
        <v>645</v>
      </c>
      <c r="J167" s="32" t="s">
        <v>819</v>
      </c>
    </row>
    <row r="168" spans="3:10" x14ac:dyDescent="0.25">
      <c r="C168" s="32"/>
      <c r="D168" s="32" t="s">
        <v>632</v>
      </c>
      <c r="E168" s="32" t="s">
        <v>4557</v>
      </c>
      <c r="F168" s="32" t="s">
        <v>474</v>
      </c>
      <c r="G168" s="32"/>
      <c r="H168" s="32" t="s">
        <v>946</v>
      </c>
      <c r="I168" s="32"/>
      <c r="J168" s="32"/>
    </row>
    <row r="169" spans="3:10" x14ac:dyDescent="0.25">
      <c r="C169" s="32"/>
      <c r="D169" s="32" t="s">
        <v>576</v>
      </c>
      <c r="E169" s="32" t="s">
        <v>4558</v>
      </c>
      <c r="F169" s="32"/>
      <c r="G169" s="32" t="s">
        <v>474</v>
      </c>
      <c r="H169" s="32" t="s">
        <v>947</v>
      </c>
      <c r="I169" s="32" t="s">
        <v>645</v>
      </c>
      <c r="J169" s="32" t="s">
        <v>819</v>
      </c>
    </row>
    <row r="170" spans="3:10" x14ac:dyDescent="0.25">
      <c r="C170" s="32" t="s">
        <v>454</v>
      </c>
      <c r="D170" s="32"/>
      <c r="E170" s="32"/>
      <c r="F170" s="32"/>
      <c r="G170" s="32" t="s">
        <v>948</v>
      </c>
      <c r="H170" s="32" t="s">
        <v>949</v>
      </c>
      <c r="I170" s="32" t="s">
        <v>645</v>
      </c>
      <c r="J170" s="32" t="s">
        <v>819</v>
      </c>
    </row>
    <row r="171" spans="3:10" x14ac:dyDescent="0.25">
      <c r="C171" s="32"/>
      <c r="D171" s="32" t="s">
        <v>454</v>
      </c>
      <c r="E171" s="32" t="s">
        <v>4559</v>
      </c>
      <c r="F171" s="32"/>
      <c r="G171" s="32" t="s">
        <v>950</v>
      </c>
      <c r="H171" s="32" t="s">
        <v>951</v>
      </c>
      <c r="I171" s="32" t="s">
        <v>645</v>
      </c>
      <c r="J171" s="32" t="s">
        <v>819</v>
      </c>
    </row>
    <row r="172" spans="3:10" x14ac:dyDescent="0.25">
      <c r="C172" s="32"/>
      <c r="D172" s="32" t="s">
        <v>633</v>
      </c>
      <c r="E172" s="32" t="s">
        <v>4560</v>
      </c>
      <c r="F172" s="32"/>
      <c r="G172" s="32" t="s">
        <v>952</v>
      </c>
      <c r="H172" s="32" t="s">
        <v>953</v>
      </c>
      <c r="I172" s="32" t="s">
        <v>645</v>
      </c>
      <c r="J172" s="32" t="s">
        <v>819</v>
      </c>
    </row>
    <row r="173" spans="3:10" x14ac:dyDescent="0.25">
      <c r="C173" s="32"/>
      <c r="D173" s="32" t="s">
        <v>4561</v>
      </c>
      <c r="E173" s="32" t="s">
        <v>4562</v>
      </c>
      <c r="F173" s="32"/>
      <c r="G173" s="32" t="s">
        <v>954</v>
      </c>
      <c r="H173" s="32" t="s">
        <v>955</v>
      </c>
      <c r="I173" s="32" t="s">
        <v>645</v>
      </c>
      <c r="J173" s="32" t="s">
        <v>819</v>
      </c>
    </row>
    <row r="174" spans="3:10" x14ac:dyDescent="0.25">
      <c r="C174" s="32" t="s">
        <v>455</v>
      </c>
      <c r="D174" s="32"/>
      <c r="E174" s="32"/>
      <c r="F174" s="32"/>
      <c r="G174" s="32" t="s">
        <v>956</v>
      </c>
      <c r="H174" s="32" t="s">
        <v>957</v>
      </c>
      <c r="I174" s="32" t="s">
        <v>645</v>
      </c>
      <c r="J174" s="32" t="s">
        <v>819</v>
      </c>
    </row>
    <row r="175" spans="3:10" x14ac:dyDescent="0.25">
      <c r="C175" s="32"/>
      <c r="D175" s="32" t="s">
        <v>455</v>
      </c>
      <c r="E175" s="32" t="s">
        <v>4563</v>
      </c>
      <c r="F175" s="32"/>
      <c r="G175" s="32" t="s">
        <v>958</v>
      </c>
      <c r="H175" s="32" t="s">
        <v>959</v>
      </c>
      <c r="I175" s="32" t="s">
        <v>645</v>
      </c>
      <c r="J175" s="32" t="s">
        <v>819</v>
      </c>
    </row>
    <row r="176" spans="3:10" x14ac:dyDescent="0.25">
      <c r="C176" s="32"/>
      <c r="D176" s="32" t="s">
        <v>578</v>
      </c>
      <c r="E176" s="32" t="s">
        <v>4564</v>
      </c>
      <c r="F176" s="32"/>
      <c r="G176" s="32" t="s">
        <v>960</v>
      </c>
      <c r="H176" s="32" t="s">
        <v>961</v>
      </c>
      <c r="I176" s="32" t="s">
        <v>645</v>
      </c>
      <c r="J176" s="32" t="s">
        <v>819</v>
      </c>
    </row>
    <row r="177" spans="3:10" x14ac:dyDescent="0.25">
      <c r="C177" s="32"/>
      <c r="D177" s="32" t="s">
        <v>579</v>
      </c>
      <c r="E177" s="32" t="s">
        <v>4565</v>
      </c>
      <c r="F177" s="32"/>
      <c r="G177" s="32" t="s">
        <v>962</v>
      </c>
      <c r="H177" s="32" t="s">
        <v>963</v>
      </c>
      <c r="I177" s="32" t="s">
        <v>645</v>
      </c>
      <c r="J177" s="32" t="s">
        <v>819</v>
      </c>
    </row>
    <row r="178" spans="3:10" x14ac:dyDescent="0.25">
      <c r="C178" s="32"/>
      <c r="D178" s="32" t="s">
        <v>580</v>
      </c>
      <c r="E178" s="32" t="s">
        <v>4566</v>
      </c>
      <c r="F178" s="32"/>
      <c r="G178" s="32" t="s">
        <v>964</v>
      </c>
      <c r="H178" s="32" t="s">
        <v>965</v>
      </c>
      <c r="I178" s="32" t="s">
        <v>645</v>
      </c>
      <c r="J178" s="32" t="s">
        <v>819</v>
      </c>
    </row>
    <row r="179" spans="3:10" x14ac:dyDescent="0.25">
      <c r="C179" s="32"/>
      <c r="D179" s="32" t="s">
        <v>581</v>
      </c>
      <c r="E179" s="32" t="s">
        <v>4567</v>
      </c>
      <c r="F179" s="32"/>
      <c r="G179" s="32" t="s">
        <v>966</v>
      </c>
      <c r="H179" s="32" t="s">
        <v>967</v>
      </c>
      <c r="I179" s="32" t="s">
        <v>645</v>
      </c>
      <c r="J179" s="32" t="s">
        <v>819</v>
      </c>
    </row>
    <row r="180" spans="3:10" x14ac:dyDescent="0.25">
      <c r="C180" s="32"/>
      <c r="D180" s="32" t="s">
        <v>582</v>
      </c>
      <c r="E180" s="32" t="s">
        <v>4568</v>
      </c>
      <c r="F180" s="32"/>
      <c r="G180" s="32" t="s">
        <v>968</v>
      </c>
      <c r="H180" s="32" t="s">
        <v>969</v>
      </c>
      <c r="I180" s="32" t="s">
        <v>645</v>
      </c>
      <c r="J180" s="32" t="s">
        <v>819</v>
      </c>
    </row>
    <row r="181" spans="3:10" x14ac:dyDescent="0.25">
      <c r="C181" s="32"/>
      <c r="D181" s="32" t="s">
        <v>583</v>
      </c>
      <c r="E181" s="32" t="s">
        <v>4569</v>
      </c>
      <c r="F181" s="32"/>
      <c r="G181" s="32" t="s">
        <v>970</v>
      </c>
      <c r="H181" s="32" t="s">
        <v>971</v>
      </c>
      <c r="I181" s="32" t="s">
        <v>645</v>
      </c>
      <c r="J181" s="32" t="s">
        <v>819</v>
      </c>
    </row>
    <row r="182" spans="3:10" x14ac:dyDescent="0.25">
      <c r="C182" s="32"/>
      <c r="D182" s="32" t="s">
        <v>584</v>
      </c>
      <c r="E182" s="32" t="s">
        <v>4570</v>
      </c>
      <c r="F182" s="32"/>
      <c r="G182" s="32" t="s">
        <v>620</v>
      </c>
      <c r="H182" s="32" t="s">
        <v>972</v>
      </c>
      <c r="I182" s="32" t="s">
        <v>645</v>
      </c>
      <c r="J182" s="32" t="s">
        <v>819</v>
      </c>
    </row>
    <row r="183" spans="3:10" x14ac:dyDescent="0.25">
      <c r="C183" s="32" t="s">
        <v>456</v>
      </c>
      <c r="D183" s="32"/>
      <c r="E183" s="32"/>
      <c r="F183" s="32"/>
      <c r="G183" s="32" t="s">
        <v>973</v>
      </c>
      <c r="H183" s="32" t="s">
        <v>974</v>
      </c>
      <c r="I183" s="32" t="s">
        <v>645</v>
      </c>
      <c r="J183" s="32" t="s">
        <v>819</v>
      </c>
    </row>
    <row r="184" spans="3:10" x14ac:dyDescent="0.25">
      <c r="C184" s="32"/>
      <c r="D184" s="32" t="s">
        <v>456</v>
      </c>
      <c r="E184" s="32" t="s">
        <v>4571</v>
      </c>
      <c r="F184" s="32"/>
      <c r="G184" s="32" t="s">
        <v>975</v>
      </c>
      <c r="H184" s="32" t="s">
        <v>976</v>
      </c>
      <c r="I184" s="32" t="s">
        <v>645</v>
      </c>
      <c r="J184" s="32" t="s">
        <v>819</v>
      </c>
    </row>
    <row r="185" spans="3:10" x14ac:dyDescent="0.25">
      <c r="C185" s="32"/>
      <c r="D185" s="32" t="s">
        <v>585</v>
      </c>
      <c r="E185" s="32" t="s">
        <v>4572</v>
      </c>
      <c r="F185" s="32" t="s">
        <v>475</v>
      </c>
      <c r="G185" s="32"/>
      <c r="H185" s="32" t="s">
        <v>977</v>
      </c>
      <c r="I185" s="32"/>
      <c r="J185" s="32"/>
    </row>
    <row r="186" spans="3:10" x14ac:dyDescent="0.25">
      <c r="C186" s="32"/>
      <c r="D186" s="32" t="s">
        <v>586</v>
      </c>
      <c r="E186" s="32" t="s">
        <v>4573</v>
      </c>
      <c r="F186" s="32"/>
      <c r="G186" s="32" t="s">
        <v>475</v>
      </c>
      <c r="H186" s="32" t="s">
        <v>978</v>
      </c>
      <c r="I186" s="32" t="s">
        <v>924</v>
      </c>
      <c r="J186" s="32" t="s">
        <v>925</v>
      </c>
    </row>
    <row r="187" spans="3:10" x14ac:dyDescent="0.25">
      <c r="C187" s="32"/>
      <c r="D187" s="32" t="s">
        <v>587</v>
      </c>
      <c r="E187" s="32" t="s">
        <v>4574</v>
      </c>
      <c r="F187" s="32"/>
      <c r="G187" s="32" t="s">
        <v>979</v>
      </c>
      <c r="H187" s="32" t="s">
        <v>980</v>
      </c>
      <c r="I187" s="32" t="s">
        <v>645</v>
      </c>
      <c r="J187" s="32" t="s">
        <v>819</v>
      </c>
    </row>
    <row r="188" spans="3:10" x14ac:dyDescent="0.25">
      <c r="C188" s="32"/>
      <c r="D188" s="32" t="s">
        <v>634</v>
      </c>
      <c r="E188" s="32" t="s">
        <v>4575</v>
      </c>
      <c r="F188" s="32"/>
      <c r="G188" s="32" t="s">
        <v>981</v>
      </c>
      <c r="H188" s="32" t="s">
        <v>982</v>
      </c>
      <c r="I188" s="32" t="s">
        <v>924</v>
      </c>
      <c r="J188" s="32" t="s">
        <v>925</v>
      </c>
    </row>
    <row r="189" spans="3:10" x14ac:dyDescent="0.25">
      <c r="C189" s="32"/>
      <c r="D189" s="32" t="s">
        <v>588</v>
      </c>
      <c r="E189" s="32" t="s">
        <v>4576</v>
      </c>
      <c r="F189" s="32"/>
      <c r="G189" s="32" t="s">
        <v>983</v>
      </c>
      <c r="H189" s="32" t="s">
        <v>984</v>
      </c>
      <c r="I189" s="32" t="s">
        <v>645</v>
      </c>
      <c r="J189" s="32" t="s">
        <v>819</v>
      </c>
    </row>
    <row r="190" spans="3:10" x14ac:dyDescent="0.25">
      <c r="C190" s="32"/>
      <c r="D190" s="32" t="s">
        <v>589</v>
      </c>
      <c r="E190" s="32" t="s">
        <v>4577</v>
      </c>
      <c r="F190" s="32"/>
      <c r="G190" s="32" t="s">
        <v>985</v>
      </c>
      <c r="H190" s="32" t="s">
        <v>986</v>
      </c>
      <c r="I190" s="32" t="s">
        <v>645</v>
      </c>
      <c r="J190" s="32" t="s">
        <v>819</v>
      </c>
    </row>
    <row r="191" spans="3:10" x14ac:dyDescent="0.25">
      <c r="C191" s="32"/>
      <c r="D191" s="32" t="s">
        <v>590</v>
      </c>
      <c r="E191" s="32" t="s">
        <v>4578</v>
      </c>
      <c r="F191" s="32" t="s">
        <v>476</v>
      </c>
      <c r="G191" s="32"/>
      <c r="H191" s="32" t="s">
        <v>987</v>
      </c>
      <c r="I191" s="32"/>
      <c r="J191" s="32"/>
    </row>
    <row r="192" spans="3:10" x14ac:dyDescent="0.25">
      <c r="C192" s="32"/>
      <c r="D192" s="32" t="s">
        <v>591</v>
      </c>
      <c r="E192" s="32" t="s">
        <v>4579</v>
      </c>
      <c r="F192" s="32"/>
      <c r="G192" s="32" t="s">
        <v>988</v>
      </c>
      <c r="H192" s="32" t="s">
        <v>989</v>
      </c>
      <c r="I192" s="32" t="s">
        <v>645</v>
      </c>
      <c r="J192" s="32" t="s">
        <v>819</v>
      </c>
    </row>
    <row r="193" spans="3:10" x14ac:dyDescent="0.25">
      <c r="C193" s="32"/>
      <c r="D193" s="32" t="s">
        <v>635</v>
      </c>
      <c r="E193" s="32" t="s">
        <v>4580</v>
      </c>
      <c r="F193" s="32"/>
      <c r="G193" s="32" t="s">
        <v>880</v>
      </c>
      <c r="H193" s="32" t="s">
        <v>990</v>
      </c>
      <c r="I193" s="32" t="s">
        <v>645</v>
      </c>
      <c r="J193" s="32" t="s">
        <v>819</v>
      </c>
    </row>
    <row r="194" spans="3:10" x14ac:dyDescent="0.25">
      <c r="C194" s="32"/>
      <c r="D194" s="32" t="s">
        <v>636</v>
      </c>
      <c r="E194" s="32" t="s">
        <v>4581</v>
      </c>
      <c r="F194" s="32"/>
      <c r="G194" s="32" t="s">
        <v>3867</v>
      </c>
      <c r="H194" s="32" t="s">
        <v>991</v>
      </c>
      <c r="I194" s="32" t="s">
        <v>645</v>
      </c>
      <c r="J194" s="32" t="s">
        <v>819</v>
      </c>
    </row>
    <row r="195" spans="3:10" x14ac:dyDescent="0.25">
      <c r="C195" s="32"/>
      <c r="D195" s="32" t="s">
        <v>592</v>
      </c>
      <c r="E195" s="32" t="s">
        <v>4582</v>
      </c>
      <c r="F195" s="32"/>
      <c r="G195" s="32" t="s">
        <v>476</v>
      </c>
      <c r="H195" s="32" t="s">
        <v>992</v>
      </c>
      <c r="I195" s="32" t="s">
        <v>645</v>
      </c>
      <c r="J195" s="32" t="s">
        <v>819</v>
      </c>
    </row>
    <row r="196" spans="3:10" x14ac:dyDescent="0.25">
      <c r="C196" s="32"/>
      <c r="D196" s="32" t="s">
        <v>593</v>
      </c>
      <c r="E196" s="32" t="s">
        <v>4583</v>
      </c>
      <c r="F196" s="32"/>
      <c r="G196" s="32" t="s">
        <v>993</v>
      </c>
      <c r="H196" s="32" t="s">
        <v>994</v>
      </c>
      <c r="I196" s="32" t="s">
        <v>645</v>
      </c>
      <c r="J196" s="32" t="s">
        <v>819</v>
      </c>
    </row>
    <row r="197" spans="3:10" x14ac:dyDescent="0.25">
      <c r="C197" s="32" t="s">
        <v>607</v>
      </c>
      <c r="D197" s="32"/>
      <c r="E197" s="32"/>
      <c r="F197" s="32"/>
      <c r="G197" s="32" t="s">
        <v>995</v>
      </c>
      <c r="H197" s="32" t="s">
        <v>996</v>
      </c>
      <c r="I197" s="32" t="s">
        <v>645</v>
      </c>
      <c r="J197" s="32" t="s">
        <v>819</v>
      </c>
    </row>
    <row r="198" spans="3:10" x14ac:dyDescent="0.25">
      <c r="C198" s="32"/>
      <c r="D198" s="32" t="s">
        <v>594</v>
      </c>
      <c r="E198" s="32" t="s">
        <v>4584</v>
      </c>
      <c r="F198" s="32"/>
      <c r="G198" s="32" t="s">
        <v>997</v>
      </c>
      <c r="H198" s="32" t="s">
        <v>998</v>
      </c>
      <c r="I198" s="32" t="s">
        <v>645</v>
      </c>
      <c r="J198" s="32" t="s">
        <v>819</v>
      </c>
    </row>
    <row r="199" spans="3:10" x14ac:dyDescent="0.25">
      <c r="C199" s="32"/>
      <c r="D199" s="32" t="s">
        <v>595</v>
      </c>
      <c r="E199" s="32" t="s">
        <v>4585</v>
      </c>
      <c r="F199" s="32"/>
      <c r="G199" s="32" t="s">
        <v>617</v>
      </c>
      <c r="H199" s="32" t="s">
        <v>999</v>
      </c>
      <c r="I199" s="32" t="s">
        <v>645</v>
      </c>
      <c r="J199" s="32" t="s">
        <v>819</v>
      </c>
    </row>
    <row r="200" spans="3:10" x14ac:dyDescent="0.25">
      <c r="C200" s="32"/>
      <c r="D200" s="32" t="s">
        <v>637</v>
      </c>
      <c r="E200" s="32" t="s">
        <v>4586</v>
      </c>
      <c r="F200" s="32"/>
      <c r="G200" s="32" t="s">
        <v>1000</v>
      </c>
      <c r="H200" s="32" t="s">
        <v>1001</v>
      </c>
      <c r="I200" s="32" t="s">
        <v>645</v>
      </c>
      <c r="J200" s="32" t="s">
        <v>819</v>
      </c>
    </row>
    <row r="201" spans="3:10" x14ac:dyDescent="0.25">
      <c r="C201" s="32"/>
      <c r="D201" s="32" t="s">
        <v>596</v>
      </c>
      <c r="E201" s="32" t="s">
        <v>4587</v>
      </c>
      <c r="F201" s="32"/>
      <c r="G201" s="32" t="s">
        <v>1002</v>
      </c>
      <c r="H201" s="32" t="s">
        <v>1003</v>
      </c>
      <c r="I201" s="32" t="s">
        <v>645</v>
      </c>
      <c r="J201" s="32" t="s">
        <v>819</v>
      </c>
    </row>
    <row r="202" spans="3:10" x14ac:dyDescent="0.25">
      <c r="C202" s="32"/>
      <c r="D202" s="32" t="s">
        <v>597</v>
      </c>
      <c r="E202" s="32" t="s">
        <v>4588</v>
      </c>
      <c r="F202" s="32" t="s">
        <v>611</v>
      </c>
      <c r="G202" s="32"/>
      <c r="H202" s="32" t="s">
        <v>1004</v>
      </c>
      <c r="I202" s="32"/>
      <c r="J202" s="32"/>
    </row>
    <row r="203" spans="3:10" x14ac:dyDescent="0.25">
      <c r="C203" s="32"/>
      <c r="D203" s="32" t="s">
        <v>638</v>
      </c>
      <c r="E203" s="32" t="s">
        <v>4589</v>
      </c>
      <c r="F203" s="32"/>
      <c r="G203" s="32" t="s">
        <v>1005</v>
      </c>
      <c r="H203" s="32" t="s">
        <v>1006</v>
      </c>
      <c r="I203" s="32" t="s">
        <v>645</v>
      </c>
      <c r="J203" s="32" t="s">
        <v>819</v>
      </c>
    </row>
    <row r="204" spans="3:10" x14ac:dyDescent="0.25">
      <c r="C204" s="32"/>
      <c r="D204" s="32" t="s">
        <v>598</v>
      </c>
      <c r="E204" s="32" t="s">
        <v>4590</v>
      </c>
      <c r="F204" s="32"/>
      <c r="G204" s="32" t="s">
        <v>1007</v>
      </c>
      <c r="H204" s="32" t="s">
        <v>1008</v>
      </c>
      <c r="I204" s="32" t="s">
        <v>645</v>
      </c>
      <c r="J204" s="32" t="s">
        <v>819</v>
      </c>
    </row>
    <row r="205" spans="3:10" x14ac:dyDescent="0.25">
      <c r="C205" s="32"/>
      <c r="D205" s="32" t="s">
        <v>599</v>
      </c>
      <c r="E205" s="32" t="s">
        <v>4591</v>
      </c>
      <c r="F205" s="32"/>
      <c r="G205" s="32" t="s">
        <v>1009</v>
      </c>
      <c r="H205" s="32" t="s">
        <v>1010</v>
      </c>
      <c r="I205" s="32" t="s">
        <v>645</v>
      </c>
      <c r="J205" s="32" t="s">
        <v>819</v>
      </c>
    </row>
    <row r="206" spans="3:10" x14ac:dyDescent="0.25">
      <c r="C206" s="32"/>
      <c r="D206" s="32" t="s">
        <v>607</v>
      </c>
      <c r="E206" s="32" t="s">
        <v>4592</v>
      </c>
      <c r="F206" s="32"/>
      <c r="G206" s="32" t="s">
        <v>1011</v>
      </c>
      <c r="H206" s="32" t="s">
        <v>1012</v>
      </c>
      <c r="I206" s="32" t="s">
        <v>645</v>
      </c>
      <c r="J206" s="32" t="s">
        <v>819</v>
      </c>
    </row>
    <row r="207" spans="3:10" x14ac:dyDescent="0.25">
      <c r="C207" s="32"/>
      <c r="D207" s="32" t="s">
        <v>600</v>
      </c>
      <c r="E207" s="32" t="s">
        <v>4593</v>
      </c>
      <c r="F207" s="32"/>
      <c r="G207" s="32" t="s">
        <v>1013</v>
      </c>
      <c r="H207" s="32" t="s">
        <v>1014</v>
      </c>
      <c r="I207" s="32" t="s">
        <v>645</v>
      </c>
      <c r="J207" s="32" t="s">
        <v>819</v>
      </c>
    </row>
    <row r="208" spans="3:10" x14ac:dyDescent="0.25">
      <c r="C208" s="32" t="s">
        <v>457</v>
      </c>
      <c r="D208" s="32"/>
      <c r="E208" s="32"/>
      <c r="F208" s="32"/>
      <c r="G208" s="32" t="s">
        <v>1015</v>
      </c>
      <c r="H208" s="32" t="s">
        <v>1016</v>
      </c>
      <c r="I208" s="32" t="s">
        <v>645</v>
      </c>
      <c r="J208" s="32" t="s">
        <v>819</v>
      </c>
    </row>
    <row r="209" spans="3:10" x14ac:dyDescent="0.25">
      <c r="C209" s="32"/>
      <c r="D209" s="32" t="s">
        <v>457</v>
      </c>
      <c r="E209" s="32" t="s">
        <v>4594</v>
      </c>
      <c r="F209" s="32"/>
      <c r="G209" s="32" t="s">
        <v>1017</v>
      </c>
      <c r="H209" s="32" t="s">
        <v>1018</v>
      </c>
      <c r="I209" s="32" t="s">
        <v>645</v>
      </c>
      <c r="J209" s="32" t="s">
        <v>819</v>
      </c>
    </row>
    <row r="210" spans="3:10" x14ac:dyDescent="0.25">
      <c r="C210" s="32"/>
      <c r="D210" s="32" t="s">
        <v>601</v>
      </c>
      <c r="E210" s="32" t="s">
        <v>4595</v>
      </c>
      <c r="F210" s="32"/>
      <c r="G210" s="32" t="s">
        <v>1019</v>
      </c>
      <c r="H210" s="32" t="s">
        <v>1020</v>
      </c>
      <c r="I210" s="32" t="s">
        <v>645</v>
      </c>
      <c r="J210" s="32" t="s">
        <v>819</v>
      </c>
    </row>
    <row r="211" spans="3:10" x14ac:dyDescent="0.25">
      <c r="C211" s="32"/>
      <c r="D211" s="32" t="s">
        <v>639</v>
      </c>
      <c r="E211" s="32" t="s">
        <v>4596</v>
      </c>
      <c r="F211" s="32" t="s">
        <v>477</v>
      </c>
      <c r="G211" s="32"/>
      <c r="H211" s="32" t="s">
        <v>1021</v>
      </c>
      <c r="I211" s="32"/>
      <c r="J211" s="32"/>
    </row>
    <row r="212" spans="3:10" x14ac:dyDescent="0.25">
      <c r="C212" s="32"/>
      <c r="D212" s="32" t="s">
        <v>602</v>
      </c>
      <c r="E212" s="32" t="s">
        <v>4597</v>
      </c>
      <c r="F212" s="32"/>
      <c r="G212" s="32" t="s">
        <v>477</v>
      </c>
      <c r="H212" s="32" t="s">
        <v>1022</v>
      </c>
      <c r="I212" s="32" t="s">
        <v>645</v>
      </c>
      <c r="J212" s="32" t="s">
        <v>819</v>
      </c>
    </row>
    <row r="213" spans="3:10" x14ac:dyDescent="0.25">
      <c r="C213" s="32" t="s">
        <v>458</v>
      </c>
      <c r="D213" s="32"/>
      <c r="E213" s="32"/>
      <c r="F213" s="32"/>
      <c r="G213" s="32" t="s">
        <v>1023</v>
      </c>
      <c r="H213" s="32" t="s">
        <v>1024</v>
      </c>
      <c r="I213" s="32" t="s">
        <v>645</v>
      </c>
      <c r="J213" s="32" t="s">
        <v>819</v>
      </c>
    </row>
    <row r="214" spans="3:10" x14ac:dyDescent="0.25">
      <c r="C214" s="32"/>
      <c r="D214" s="32" t="s">
        <v>458</v>
      </c>
      <c r="E214" s="32" t="s">
        <v>4598</v>
      </c>
      <c r="F214" s="32"/>
      <c r="G214" s="32" t="s">
        <v>1025</v>
      </c>
      <c r="H214" s="32" t="s">
        <v>1026</v>
      </c>
      <c r="I214" s="32" t="s">
        <v>645</v>
      </c>
      <c r="J214" s="32" t="s">
        <v>819</v>
      </c>
    </row>
    <row r="215" spans="3:10" x14ac:dyDescent="0.25">
      <c r="C215" s="32"/>
      <c r="D215" s="32" t="s">
        <v>640</v>
      </c>
      <c r="E215" s="32" t="s">
        <v>4599</v>
      </c>
      <c r="F215" s="32"/>
      <c r="G215" s="32" t="s">
        <v>1027</v>
      </c>
      <c r="H215" s="32" t="s">
        <v>1028</v>
      </c>
      <c r="I215" s="32" t="s">
        <v>645</v>
      </c>
      <c r="J215" s="32" t="s">
        <v>819</v>
      </c>
    </row>
    <row r="216" spans="3:10" x14ac:dyDescent="0.25">
      <c r="C216" s="32"/>
      <c r="D216" s="32" t="s">
        <v>603</v>
      </c>
      <c r="E216" s="32" t="s">
        <v>4600</v>
      </c>
      <c r="F216" s="32"/>
      <c r="G216" s="32" t="s">
        <v>3444</v>
      </c>
      <c r="H216" s="32" t="s">
        <v>1029</v>
      </c>
      <c r="I216" s="32" t="s">
        <v>924</v>
      </c>
      <c r="J216" s="32" t="s">
        <v>925</v>
      </c>
    </row>
    <row r="217" spans="3:10" x14ac:dyDescent="0.25">
      <c r="C217" s="32" t="s">
        <v>459</v>
      </c>
      <c r="D217" s="32"/>
      <c r="E217" s="32"/>
      <c r="F217" s="32"/>
      <c r="G217" s="32" t="s">
        <v>1030</v>
      </c>
      <c r="H217" s="32" t="s">
        <v>1031</v>
      </c>
      <c r="I217" s="32" t="s">
        <v>645</v>
      </c>
      <c r="J217" s="32" t="s">
        <v>819</v>
      </c>
    </row>
    <row r="218" spans="3:10" x14ac:dyDescent="0.25">
      <c r="C218" s="32"/>
      <c r="D218" s="32" t="s">
        <v>641</v>
      </c>
      <c r="E218" s="32" t="s">
        <v>4601</v>
      </c>
      <c r="F218" s="32"/>
      <c r="G218" s="32" t="s">
        <v>1032</v>
      </c>
      <c r="H218" s="32" t="s">
        <v>1033</v>
      </c>
      <c r="I218" s="32" t="s">
        <v>645</v>
      </c>
      <c r="J218" s="32" t="s">
        <v>819</v>
      </c>
    </row>
    <row r="219" spans="3:10" x14ac:dyDescent="0.25">
      <c r="C219" s="32"/>
      <c r="D219" s="32" t="s">
        <v>604</v>
      </c>
      <c r="E219" s="32" t="s">
        <v>4602</v>
      </c>
      <c r="F219" s="32"/>
      <c r="G219" s="32" t="s">
        <v>1034</v>
      </c>
      <c r="H219" s="32" t="s">
        <v>1035</v>
      </c>
      <c r="I219" s="32" t="s">
        <v>645</v>
      </c>
      <c r="J219" s="32" t="s">
        <v>819</v>
      </c>
    </row>
    <row r="220" spans="3:10" x14ac:dyDescent="0.25">
      <c r="C220" s="32"/>
      <c r="D220" s="32" t="s">
        <v>642</v>
      </c>
      <c r="E220" s="32" t="s">
        <v>4603</v>
      </c>
      <c r="F220" s="32"/>
      <c r="G220" s="32" t="s">
        <v>2098</v>
      </c>
      <c r="H220" s="32" t="s">
        <v>1036</v>
      </c>
      <c r="I220" s="32" t="s">
        <v>645</v>
      </c>
      <c r="J220" s="32" t="s">
        <v>819</v>
      </c>
    </row>
    <row r="221" spans="3:10" x14ac:dyDescent="0.25">
      <c r="C221" s="32"/>
      <c r="D221" s="32" t="s">
        <v>605</v>
      </c>
      <c r="E221" s="32" t="s">
        <v>4604</v>
      </c>
      <c r="F221" s="32"/>
      <c r="G221" s="32" t="s">
        <v>1037</v>
      </c>
      <c r="H221" s="32" t="s">
        <v>1038</v>
      </c>
      <c r="I221" s="32" t="s">
        <v>645</v>
      </c>
      <c r="J221" s="32" t="s">
        <v>819</v>
      </c>
    </row>
    <row r="222" spans="3:10" x14ac:dyDescent="0.25">
      <c r="F222" s="32" t="s">
        <v>478</v>
      </c>
      <c r="G222" s="32"/>
      <c r="H222" s="32" t="s">
        <v>1039</v>
      </c>
      <c r="I222" s="32"/>
      <c r="J222" s="32"/>
    </row>
    <row r="223" spans="3:10" x14ac:dyDescent="0.25">
      <c r="F223" s="32"/>
      <c r="G223" s="32" t="s">
        <v>4037</v>
      </c>
      <c r="H223" s="32" t="s">
        <v>1040</v>
      </c>
      <c r="I223" s="32" t="s">
        <v>645</v>
      </c>
      <c r="J223" s="32" t="s">
        <v>819</v>
      </c>
    </row>
    <row r="224" spans="3:10" x14ac:dyDescent="0.25">
      <c r="F224" s="32"/>
      <c r="G224" s="32" t="s">
        <v>470</v>
      </c>
      <c r="H224" s="32" t="s">
        <v>1041</v>
      </c>
      <c r="I224" s="32" t="s">
        <v>645</v>
      </c>
      <c r="J224" s="32" t="s">
        <v>819</v>
      </c>
    </row>
    <row r="225" spans="6:10" x14ac:dyDescent="0.25">
      <c r="F225" s="32"/>
      <c r="G225" s="32" t="s">
        <v>1042</v>
      </c>
      <c r="H225" s="32" t="s">
        <v>1043</v>
      </c>
      <c r="I225" s="32" t="s">
        <v>645</v>
      </c>
      <c r="J225" s="32" t="s">
        <v>819</v>
      </c>
    </row>
    <row r="226" spans="6:10" x14ac:dyDescent="0.25">
      <c r="F226" s="32"/>
      <c r="G226" s="32" t="s">
        <v>1044</v>
      </c>
      <c r="H226" s="32" t="s">
        <v>1045</v>
      </c>
      <c r="I226" s="32" t="s">
        <v>645</v>
      </c>
      <c r="J226" s="32" t="s">
        <v>819</v>
      </c>
    </row>
    <row r="227" spans="6:10" x14ac:dyDescent="0.25">
      <c r="F227" s="32"/>
      <c r="G227" s="32" t="s">
        <v>1046</v>
      </c>
      <c r="H227" s="32" t="s">
        <v>1047</v>
      </c>
      <c r="I227" s="32" t="s">
        <v>645</v>
      </c>
      <c r="J227" s="32" t="s">
        <v>819</v>
      </c>
    </row>
    <row r="228" spans="6:10" x14ac:dyDescent="0.25">
      <c r="F228" s="32"/>
      <c r="G228" s="32" t="s">
        <v>1048</v>
      </c>
      <c r="H228" s="32" t="s">
        <v>1049</v>
      </c>
      <c r="I228" s="32" t="s">
        <v>645</v>
      </c>
      <c r="J228" s="32" t="s">
        <v>819</v>
      </c>
    </row>
    <row r="229" spans="6:10" x14ac:dyDescent="0.25">
      <c r="F229" s="32"/>
      <c r="G229" s="32" t="s">
        <v>1050</v>
      </c>
      <c r="H229" s="32" t="s">
        <v>1051</v>
      </c>
      <c r="I229" s="32" t="s">
        <v>645</v>
      </c>
      <c r="J229" s="32" t="s">
        <v>819</v>
      </c>
    </row>
    <row r="230" spans="6:10" x14ac:dyDescent="0.25">
      <c r="F230" s="32"/>
      <c r="G230" s="32" t="s">
        <v>478</v>
      </c>
      <c r="H230" s="32" t="s">
        <v>1052</v>
      </c>
      <c r="I230" s="32" t="s">
        <v>645</v>
      </c>
      <c r="J230" s="32" t="s">
        <v>819</v>
      </c>
    </row>
    <row r="231" spans="6:10" x14ac:dyDescent="0.25">
      <c r="F231" s="32"/>
      <c r="G231" s="32" t="s">
        <v>1053</v>
      </c>
      <c r="H231" s="32" t="s">
        <v>1054</v>
      </c>
      <c r="I231" s="32" t="s">
        <v>645</v>
      </c>
      <c r="J231" s="32" t="s">
        <v>819</v>
      </c>
    </row>
    <row r="232" spans="6:10" x14ac:dyDescent="0.25">
      <c r="F232" s="32"/>
      <c r="G232" s="32" t="s">
        <v>4111</v>
      </c>
      <c r="H232" s="32" t="s">
        <v>1055</v>
      </c>
      <c r="I232" s="32" t="s">
        <v>645</v>
      </c>
      <c r="J232" s="32" t="s">
        <v>819</v>
      </c>
    </row>
    <row r="233" spans="6:10" x14ac:dyDescent="0.25">
      <c r="F233" s="32"/>
      <c r="G233" s="32" t="s">
        <v>1056</v>
      </c>
      <c r="H233" s="32" t="s">
        <v>1057</v>
      </c>
      <c r="I233" s="32" t="s">
        <v>645</v>
      </c>
      <c r="J233" s="32" t="s">
        <v>819</v>
      </c>
    </row>
    <row r="234" spans="6:10" x14ac:dyDescent="0.25">
      <c r="F234" s="32" t="s">
        <v>479</v>
      </c>
      <c r="G234" s="32"/>
      <c r="H234" s="32" t="s">
        <v>1058</v>
      </c>
      <c r="I234" s="32"/>
      <c r="J234" s="32"/>
    </row>
    <row r="235" spans="6:10" x14ac:dyDescent="0.25">
      <c r="F235" s="32"/>
      <c r="G235" s="32" t="s">
        <v>479</v>
      </c>
      <c r="H235" s="32" t="s">
        <v>1059</v>
      </c>
      <c r="I235" s="32" t="s">
        <v>645</v>
      </c>
      <c r="J235" s="32" t="s">
        <v>819</v>
      </c>
    </row>
    <row r="236" spans="6:10" x14ac:dyDescent="0.25">
      <c r="F236" s="32"/>
      <c r="G236" s="32" t="s">
        <v>1060</v>
      </c>
      <c r="H236" s="32" t="s">
        <v>1061</v>
      </c>
      <c r="I236" s="32" t="s">
        <v>645</v>
      </c>
      <c r="J236" s="32" t="s">
        <v>819</v>
      </c>
    </row>
    <row r="237" spans="6:10" x14ac:dyDescent="0.25">
      <c r="F237" s="32"/>
      <c r="G237" s="32" t="s">
        <v>1062</v>
      </c>
      <c r="H237" s="32" t="s">
        <v>1063</v>
      </c>
      <c r="I237" s="32" t="s">
        <v>645</v>
      </c>
      <c r="J237" s="32" t="s">
        <v>819</v>
      </c>
    </row>
    <row r="238" spans="6:10" x14ac:dyDescent="0.25">
      <c r="F238" s="32"/>
      <c r="G238" s="32" t="s">
        <v>1064</v>
      </c>
      <c r="H238" s="32" t="s">
        <v>1065</v>
      </c>
      <c r="I238" s="32" t="s">
        <v>645</v>
      </c>
      <c r="J238" s="32" t="s">
        <v>819</v>
      </c>
    </row>
    <row r="239" spans="6:10" x14ac:dyDescent="0.25">
      <c r="F239" s="32" t="s">
        <v>480</v>
      </c>
      <c r="G239" s="32"/>
      <c r="H239" s="32" t="s">
        <v>1066</v>
      </c>
      <c r="I239" s="32"/>
      <c r="J239" s="32"/>
    </row>
    <row r="240" spans="6:10" x14ac:dyDescent="0.25">
      <c r="F240" s="32"/>
      <c r="G240" s="32" t="s">
        <v>480</v>
      </c>
      <c r="H240" s="32" t="s">
        <v>1067</v>
      </c>
      <c r="I240" s="32" t="s">
        <v>645</v>
      </c>
      <c r="J240" s="32" t="s">
        <v>819</v>
      </c>
    </row>
    <row r="241" spans="6:10" x14ac:dyDescent="0.25">
      <c r="F241" s="32"/>
      <c r="G241" s="32" t="s">
        <v>1068</v>
      </c>
      <c r="H241" s="32" t="s">
        <v>1069</v>
      </c>
      <c r="I241" s="32" t="s">
        <v>645</v>
      </c>
      <c r="J241" s="32" t="s">
        <v>819</v>
      </c>
    </row>
    <row r="242" spans="6:10" x14ac:dyDescent="0.25">
      <c r="F242" s="32"/>
      <c r="G242" s="32" t="s">
        <v>1070</v>
      </c>
      <c r="H242" s="32" t="s">
        <v>1071</v>
      </c>
      <c r="I242" s="32" t="s">
        <v>645</v>
      </c>
      <c r="J242" s="32" t="s">
        <v>819</v>
      </c>
    </row>
    <row r="243" spans="6:10" x14ac:dyDescent="0.25">
      <c r="F243" s="32"/>
      <c r="G243" s="32" t="s">
        <v>1072</v>
      </c>
      <c r="H243" s="32" t="s">
        <v>1073</v>
      </c>
      <c r="I243" s="32" t="s">
        <v>645</v>
      </c>
      <c r="J243" s="32" t="s">
        <v>819</v>
      </c>
    </row>
    <row r="244" spans="6:10" x14ac:dyDescent="0.25">
      <c r="F244" s="32"/>
      <c r="G244" s="32" t="s">
        <v>1074</v>
      </c>
      <c r="H244" s="32" t="s">
        <v>1075</v>
      </c>
      <c r="I244" s="32" t="s">
        <v>645</v>
      </c>
      <c r="J244" s="32" t="s">
        <v>819</v>
      </c>
    </row>
    <row r="245" spans="6:10" x14ac:dyDescent="0.25">
      <c r="F245" s="32"/>
      <c r="G245" s="32" t="s">
        <v>1076</v>
      </c>
      <c r="H245" s="32" t="s">
        <v>1077</v>
      </c>
      <c r="I245" s="32" t="s">
        <v>645</v>
      </c>
      <c r="J245" s="32" t="s">
        <v>819</v>
      </c>
    </row>
    <row r="246" spans="6:10" x14ac:dyDescent="0.25">
      <c r="F246" s="32"/>
      <c r="G246" s="32" t="s">
        <v>1078</v>
      </c>
      <c r="H246" s="32" t="s">
        <v>1079</v>
      </c>
      <c r="I246" s="32" t="s">
        <v>645</v>
      </c>
      <c r="J246" s="32" t="s">
        <v>819</v>
      </c>
    </row>
    <row r="247" spans="6:10" x14ac:dyDescent="0.25">
      <c r="F247" s="32"/>
      <c r="G247" s="32" t="s">
        <v>1080</v>
      </c>
      <c r="H247" s="32" t="s">
        <v>1081</v>
      </c>
      <c r="I247" s="32" t="s">
        <v>645</v>
      </c>
      <c r="J247" s="32" t="s">
        <v>819</v>
      </c>
    </row>
    <row r="248" spans="6:10" x14ac:dyDescent="0.25">
      <c r="F248" s="32"/>
      <c r="G248" s="32" t="s">
        <v>1082</v>
      </c>
      <c r="H248" s="32" t="s">
        <v>1083</v>
      </c>
      <c r="I248" s="32" t="s">
        <v>645</v>
      </c>
      <c r="J248" s="32" t="s">
        <v>819</v>
      </c>
    </row>
    <row r="249" spans="6:10" x14ac:dyDescent="0.25">
      <c r="F249" s="32"/>
      <c r="G249" s="32" t="s">
        <v>1084</v>
      </c>
      <c r="H249" s="32" t="s">
        <v>1085</v>
      </c>
      <c r="I249" s="32" t="s">
        <v>645</v>
      </c>
      <c r="J249" s="32" t="s">
        <v>819</v>
      </c>
    </row>
    <row r="250" spans="6:10" x14ac:dyDescent="0.25">
      <c r="F250" s="32" t="s">
        <v>481</v>
      </c>
      <c r="G250" s="32"/>
      <c r="H250" s="32" t="s">
        <v>1086</v>
      </c>
      <c r="I250" s="32"/>
      <c r="J250" s="32"/>
    </row>
    <row r="251" spans="6:10" x14ac:dyDescent="0.25">
      <c r="F251" s="32"/>
      <c r="G251" s="32" t="s">
        <v>1087</v>
      </c>
      <c r="H251" s="32" t="s">
        <v>1088</v>
      </c>
      <c r="I251" s="32" t="s">
        <v>924</v>
      </c>
      <c r="J251" s="32" t="s">
        <v>925</v>
      </c>
    </row>
    <row r="252" spans="6:10" x14ac:dyDescent="0.25">
      <c r="F252" s="32"/>
      <c r="G252" s="32" t="s">
        <v>1089</v>
      </c>
      <c r="H252" s="32" t="s">
        <v>1090</v>
      </c>
      <c r="I252" s="32" t="s">
        <v>924</v>
      </c>
      <c r="J252" s="32" t="s">
        <v>925</v>
      </c>
    </row>
    <row r="253" spans="6:10" x14ac:dyDescent="0.25">
      <c r="F253" s="32"/>
      <c r="G253" s="32" t="s">
        <v>1091</v>
      </c>
      <c r="H253" s="32" t="s">
        <v>1092</v>
      </c>
      <c r="I253" s="32" t="s">
        <v>924</v>
      </c>
      <c r="J253" s="32" t="s">
        <v>925</v>
      </c>
    </row>
    <row r="254" spans="6:10" x14ac:dyDescent="0.25">
      <c r="F254" s="32"/>
      <c r="G254" s="32" t="s">
        <v>1093</v>
      </c>
      <c r="H254" s="32" t="s">
        <v>1094</v>
      </c>
      <c r="I254" s="32" t="s">
        <v>645</v>
      </c>
      <c r="J254" s="32" t="s">
        <v>819</v>
      </c>
    </row>
    <row r="255" spans="6:10" x14ac:dyDescent="0.25">
      <c r="F255" s="32"/>
      <c r="G255" s="32" t="s">
        <v>1095</v>
      </c>
      <c r="H255" s="32" t="s">
        <v>1096</v>
      </c>
      <c r="I255" s="32" t="s">
        <v>924</v>
      </c>
      <c r="J255" s="32" t="s">
        <v>925</v>
      </c>
    </row>
    <row r="256" spans="6:10" x14ac:dyDescent="0.25">
      <c r="F256" s="32"/>
      <c r="G256" s="32" t="s">
        <v>1097</v>
      </c>
      <c r="H256" s="32" t="s">
        <v>1098</v>
      </c>
      <c r="I256" s="32" t="s">
        <v>924</v>
      </c>
      <c r="J256" s="32" t="s">
        <v>925</v>
      </c>
    </row>
    <row r="257" spans="6:10" x14ac:dyDescent="0.25">
      <c r="F257" s="32"/>
      <c r="G257" s="32" t="s">
        <v>1099</v>
      </c>
      <c r="H257" s="32" t="s">
        <v>1100</v>
      </c>
      <c r="I257" s="32" t="s">
        <v>924</v>
      </c>
      <c r="J257" s="32" t="s">
        <v>925</v>
      </c>
    </row>
    <row r="258" spans="6:10" x14ac:dyDescent="0.25">
      <c r="F258" s="32"/>
      <c r="G258" s="32" t="s">
        <v>481</v>
      </c>
      <c r="H258" s="32" t="s">
        <v>1101</v>
      </c>
      <c r="I258" s="32" t="s">
        <v>924</v>
      </c>
      <c r="J258" s="32" t="s">
        <v>925</v>
      </c>
    </row>
    <row r="259" spans="6:10" x14ac:dyDescent="0.25">
      <c r="F259" s="32"/>
      <c r="G259" s="32" t="s">
        <v>1102</v>
      </c>
      <c r="H259" s="32" t="s">
        <v>1103</v>
      </c>
      <c r="I259" s="32" t="s">
        <v>924</v>
      </c>
      <c r="J259" s="32" t="s">
        <v>925</v>
      </c>
    </row>
    <row r="260" spans="6:10" x14ac:dyDescent="0.25">
      <c r="F260" s="32" t="s">
        <v>482</v>
      </c>
      <c r="G260" s="32"/>
      <c r="H260" s="32" t="s">
        <v>1104</v>
      </c>
      <c r="I260" s="32"/>
      <c r="J260" s="32"/>
    </row>
    <row r="261" spans="6:10" x14ac:dyDescent="0.25">
      <c r="F261" s="32"/>
      <c r="G261" s="32" t="s">
        <v>482</v>
      </c>
      <c r="H261" s="32" t="s">
        <v>1105</v>
      </c>
      <c r="I261" s="32" t="s">
        <v>645</v>
      </c>
      <c r="J261" s="32" t="s">
        <v>819</v>
      </c>
    </row>
    <row r="262" spans="6:10" x14ac:dyDescent="0.25">
      <c r="F262" s="32"/>
      <c r="G262" s="32" t="s">
        <v>522</v>
      </c>
      <c r="H262" s="32" t="s">
        <v>1106</v>
      </c>
      <c r="I262" s="32" t="s">
        <v>645</v>
      </c>
      <c r="J262" s="32" t="s">
        <v>819</v>
      </c>
    </row>
    <row r="263" spans="6:10" x14ac:dyDescent="0.25">
      <c r="F263" s="32"/>
      <c r="G263" s="32" t="s">
        <v>1107</v>
      </c>
      <c r="H263" s="32" t="s">
        <v>1108</v>
      </c>
      <c r="I263" s="32" t="s">
        <v>645</v>
      </c>
      <c r="J263" s="32" t="s">
        <v>819</v>
      </c>
    </row>
    <row r="264" spans="6:10" x14ac:dyDescent="0.25">
      <c r="F264" s="32"/>
      <c r="G264" s="32" t="s">
        <v>1109</v>
      </c>
      <c r="H264" s="32" t="s">
        <v>1110</v>
      </c>
      <c r="I264" s="32" t="s">
        <v>645</v>
      </c>
      <c r="J264" s="32" t="s">
        <v>819</v>
      </c>
    </row>
    <row r="265" spans="6:10" x14ac:dyDescent="0.25">
      <c r="F265" s="32"/>
      <c r="G265" s="32" t="s">
        <v>1111</v>
      </c>
      <c r="H265" s="32" t="s">
        <v>1112</v>
      </c>
      <c r="I265" s="32" t="s">
        <v>645</v>
      </c>
      <c r="J265" s="32" t="s">
        <v>819</v>
      </c>
    </row>
    <row r="266" spans="6:10" x14ac:dyDescent="0.25">
      <c r="F266" s="32"/>
      <c r="G266" s="32" t="s">
        <v>1113</v>
      </c>
      <c r="H266" s="32" t="s">
        <v>1114</v>
      </c>
      <c r="I266" s="32" t="s">
        <v>645</v>
      </c>
      <c r="J266" s="32" t="s">
        <v>819</v>
      </c>
    </row>
    <row r="267" spans="6:10" x14ac:dyDescent="0.25">
      <c r="F267" s="32"/>
      <c r="G267" s="32" t="s">
        <v>1115</v>
      </c>
      <c r="H267" s="32" t="s">
        <v>1116</v>
      </c>
      <c r="I267" s="32" t="s">
        <v>645</v>
      </c>
      <c r="J267" s="32" t="s">
        <v>819</v>
      </c>
    </row>
    <row r="268" spans="6:10" x14ac:dyDescent="0.25">
      <c r="F268" s="32"/>
      <c r="G268" s="32" t="s">
        <v>1117</v>
      </c>
      <c r="H268" s="32" t="s">
        <v>1118</v>
      </c>
      <c r="I268" s="32" t="s">
        <v>645</v>
      </c>
      <c r="J268" s="32" t="s">
        <v>819</v>
      </c>
    </row>
    <row r="269" spans="6:10" x14ac:dyDescent="0.25">
      <c r="F269" s="32"/>
      <c r="G269" s="32" t="s">
        <v>2317</v>
      </c>
      <c r="H269" s="32" t="s">
        <v>1119</v>
      </c>
      <c r="I269" s="32" t="s">
        <v>645</v>
      </c>
      <c r="J269" s="32" t="s">
        <v>819</v>
      </c>
    </row>
    <row r="270" spans="6:10" x14ac:dyDescent="0.25">
      <c r="F270" s="32"/>
      <c r="G270" s="32" t="s">
        <v>1120</v>
      </c>
      <c r="H270" s="32" t="s">
        <v>1121</v>
      </c>
      <c r="I270" s="32" t="s">
        <v>645</v>
      </c>
      <c r="J270" s="32" t="s">
        <v>819</v>
      </c>
    </row>
    <row r="271" spans="6:10" x14ac:dyDescent="0.25">
      <c r="F271" s="32" t="s">
        <v>483</v>
      </c>
      <c r="G271" s="32"/>
      <c r="H271" s="32" t="s">
        <v>1122</v>
      </c>
      <c r="I271" s="32"/>
      <c r="J271" s="32"/>
    </row>
    <row r="272" spans="6:10" x14ac:dyDescent="0.25">
      <c r="F272" s="32"/>
      <c r="G272" s="32" t="s">
        <v>483</v>
      </c>
      <c r="H272" s="32" t="s">
        <v>1123</v>
      </c>
      <c r="I272" s="32" t="s">
        <v>645</v>
      </c>
      <c r="J272" s="32" t="s">
        <v>819</v>
      </c>
    </row>
    <row r="273" spans="6:10" x14ac:dyDescent="0.25">
      <c r="F273" s="32"/>
      <c r="G273" s="32" t="s">
        <v>1124</v>
      </c>
      <c r="H273" s="32" t="s">
        <v>1125</v>
      </c>
      <c r="I273" s="32" t="s">
        <v>645</v>
      </c>
      <c r="J273" s="32" t="s">
        <v>819</v>
      </c>
    </row>
    <row r="274" spans="6:10" x14ac:dyDescent="0.25">
      <c r="F274" s="32"/>
      <c r="G274" s="32" t="s">
        <v>1126</v>
      </c>
      <c r="H274" s="32" t="s">
        <v>1127</v>
      </c>
      <c r="I274" s="32" t="s">
        <v>645</v>
      </c>
      <c r="J274" s="32" t="s">
        <v>819</v>
      </c>
    </row>
    <row r="275" spans="6:10" x14ac:dyDescent="0.25">
      <c r="F275" s="32"/>
      <c r="G275" s="32" t="s">
        <v>1128</v>
      </c>
      <c r="H275" s="32" t="s">
        <v>1129</v>
      </c>
      <c r="I275" s="32" t="s">
        <v>645</v>
      </c>
      <c r="J275" s="32" t="s">
        <v>819</v>
      </c>
    </row>
    <row r="276" spans="6:10" x14ac:dyDescent="0.25">
      <c r="F276" s="32"/>
      <c r="G276" s="32" t="s">
        <v>1130</v>
      </c>
      <c r="H276" s="32" t="s">
        <v>1131</v>
      </c>
      <c r="I276" s="32" t="s">
        <v>645</v>
      </c>
      <c r="J276" s="32" t="s">
        <v>819</v>
      </c>
    </row>
    <row r="277" spans="6:10" x14ac:dyDescent="0.25">
      <c r="F277" s="32"/>
      <c r="G277" s="32" t="s">
        <v>1132</v>
      </c>
      <c r="H277" s="32" t="s">
        <v>1133</v>
      </c>
      <c r="I277" s="32" t="s">
        <v>645</v>
      </c>
      <c r="J277" s="32" t="s">
        <v>819</v>
      </c>
    </row>
    <row r="278" spans="6:10" x14ac:dyDescent="0.25">
      <c r="F278" s="32"/>
      <c r="G278" s="32" t="s">
        <v>1134</v>
      </c>
      <c r="H278" s="32" t="s">
        <v>1135</v>
      </c>
      <c r="I278" s="32" t="s">
        <v>645</v>
      </c>
      <c r="J278" s="32" t="s">
        <v>819</v>
      </c>
    </row>
    <row r="279" spans="6:10" x14ac:dyDescent="0.25">
      <c r="F279" s="32"/>
      <c r="G279" s="32" t="s">
        <v>1136</v>
      </c>
      <c r="H279" s="32" t="s">
        <v>1137</v>
      </c>
      <c r="I279" s="32" t="s">
        <v>645</v>
      </c>
      <c r="J279" s="32" t="s">
        <v>819</v>
      </c>
    </row>
    <row r="280" spans="6:10" x14ac:dyDescent="0.25">
      <c r="F280" s="32" t="s">
        <v>460</v>
      </c>
      <c r="G280" s="32"/>
      <c r="H280" s="32"/>
      <c r="I280" s="32"/>
      <c r="J280" s="32"/>
    </row>
    <row r="281" spans="6:10" x14ac:dyDescent="0.25">
      <c r="F281" s="32" t="s">
        <v>484</v>
      </c>
      <c r="G281" s="32"/>
      <c r="H281" s="32" t="s">
        <v>1138</v>
      </c>
      <c r="I281" s="32"/>
      <c r="J281" s="32"/>
    </row>
    <row r="282" spans="6:10" x14ac:dyDescent="0.25">
      <c r="F282" s="32"/>
      <c r="G282" s="32" t="s">
        <v>484</v>
      </c>
      <c r="H282" s="32" t="s">
        <v>1139</v>
      </c>
      <c r="I282" s="32" t="s">
        <v>645</v>
      </c>
      <c r="J282" s="32" t="s">
        <v>1140</v>
      </c>
    </row>
    <row r="283" spans="6:10" x14ac:dyDescent="0.25">
      <c r="F283" s="32"/>
      <c r="G283" s="32" t="s">
        <v>1141</v>
      </c>
      <c r="H283" s="32" t="s">
        <v>1142</v>
      </c>
      <c r="I283" s="32" t="s">
        <v>645</v>
      </c>
      <c r="J283" s="32" t="s">
        <v>1140</v>
      </c>
    </row>
    <row r="284" spans="6:10" x14ac:dyDescent="0.25">
      <c r="F284" s="32"/>
      <c r="G284" s="32" t="s">
        <v>1143</v>
      </c>
      <c r="H284" s="32" t="s">
        <v>1144</v>
      </c>
      <c r="I284" s="32" t="s">
        <v>645</v>
      </c>
      <c r="J284" s="32" t="s">
        <v>1140</v>
      </c>
    </row>
    <row r="285" spans="6:10" x14ac:dyDescent="0.25">
      <c r="F285" s="32"/>
      <c r="G285" s="32" t="s">
        <v>1145</v>
      </c>
      <c r="H285" s="32" t="s">
        <v>1146</v>
      </c>
      <c r="I285" s="32" t="s">
        <v>645</v>
      </c>
      <c r="J285" s="32" t="s">
        <v>1140</v>
      </c>
    </row>
    <row r="286" spans="6:10" x14ac:dyDescent="0.25">
      <c r="F286" s="32"/>
      <c r="G286" s="32" t="s">
        <v>1147</v>
      </c>
      <c r="H286" s="32" t="s">
        <v>1148</v>
      </c>
      <c r="I286" s="32" t="s">
        <v>645</v>
      </c>
      <c r="J286" s="32" t="s">
        <v>1140</v>
      </c>
    </row>
    <row r="287" spans="6:10" x14ac:dyDescent="0.25">
      <c r="F287" s="32"/>
      <c r="G287" s="32" t="s">
        <v>1149</v>
      </c>
      <c r="H287" s="32" t="s">
        <v>1150</v>
      </c>
      <c r="I287" s="32" t="s">
        <v>645</v>
      </c>
      <c r="J287" s="32" t="s">
        <v>1140</v>
      </c>
    </row>
    <row r="288" spans="6:10" x14ac:dyDescent="0.25">
      <c r="F288" s="32"/>
      <c r="G288" s="32" t="s">
        <v>1151</v>
      </c>
      <c r="H288" s="32" t="s">
        <v>1152</v>
      </c>
      <c r="I288" s="32" t="s">
        <v>645</v>
      </c>
      <c r="J288" s="32" t="s">
        <v>1140</v>
      </c>
    </row>
    <row r="289" spans="6:10" x14ac:dyDescent="0.25">
      <c r="F289" s="32"/>
      <c r="G289" s="32" t="s">
        <v>1153</v>
      </c>
      <c r="H289" s="32" t="s">
        <v>1154</v>
      </c>
      <c r="I289" s="32" t="s">
        <v>645</v>
      </c>
      <c r="J289" s="32" t="s">
        <v>1140</v>
      </c>
    </row>
    <row r="290" spans="6:10" x14ac:dyDescent="0.25">
      <c r="F290" s="32"/>
      <c r="G290" s="32" t="s">
        <v>1155</v>
      </c>
      <c r="H290" s="32" t="s">
        <v>1156</v>
      </c>
      <c r="I290" s="32" t="s">
        <v>645</v>
      </c>
      <c r="J290" s="32" t="s">
        <v>1140</v>
      </c>
    </row>
    <row r="291" spans="6:10" x14ac:dyDescent="0.25">
      <c r="F291" s="32" t="s">
        <v>485</v>
      </c>
      <c r="G291" s="32"/>
      <c r="H291" s="32" t="s">
        <v>1157</v>
      </c>
      <c r="I291" s="32"/>
      <c r="J291" s="32"/>
    </row>
    <row r="292" spans="6:10" x14ac:dyDescent="0.25">
      <c r="F292" s="32"/>
      <c r="G292" s="32" t="s">
        <v>485</v>
      </c>
      <c r="H292" s="32" t="s">
        <v>1158</v>
      </c>
      <c r="I292" s="32" t="s">
        <v>645</v>
      </c>
      <c r="J292" s="32" t="s">
        <v>1140</v>
      </c>
    </row>
    <row r="293" spans="6:10" x14ac:dyDescent="0.25">
      <c r="F293" s="32"/>
      <c r="G293" s="32" t="s">
        <v>1159</v>
      </c>
      <c r="H293" s="32" t="s">
        <v>1160</v>
      </c>
      <c r="I293" s="32" t="s">
        <v>645</v>
      </c>
      <c r="J293" s="32" t="s">
        <v>1140</v>
      </c>
    </row>
    <row r="294" spans="6:10" x14ac:dyDescent="0.25">
      <c r="F294" s="32"/>
      <c r="G294" s="32" t="s">
        <v>1161</v>
      </c>
      <c r="H294" s="32" t="s">
        <v>1162</v>
      </c>
      <c r="I294" s="32" t="s">
        <v>645</v>
      </c>
      <c r="J294" s="32" t="s">
        <v>1140</v>
      </c>
    </row>
    <row r="295" spans="6:10" x14ac:dyDescent="0.25">
      <c r="F295" s="32"/>
      <c r="G295" s="32" t="s">
        <v>1163</v>
      </c>
      <c r="H295" s="32" t="s">
        <v>1164</v>
      </c>
      <c r="I295" s="32" t="s">
        <v>645</v>
      </c>
      <c r="J295" s="32" t="s">
        <v>1140</v>
      </c>
    </row>
    <row r="296" spans="6:10" x14ac:dyDescent="0.25">
      <c r="F296" s="32"/>
      <c r="G296" s="32" t="s">
        <v>1165</v>
      </c>
      <c r="H296" s="32" t="s">
        <v>1166</v>
      </c>
      <c r="I296" s="32" t="s">
        <v>645</v>
      </c>
      <c r="J296" s="32" t="s">
        <v>1140</v>
      </c>
    </row>
    <row r="297" spans="6:10" x14ac:dyDescent="0.25">
      <c r="F297" s="32"/>
      <c r="G297" s="32" t="s">
        <v>1167</v>
      </c>
      <c r="H297" s="32" t="s">
        <v>1168</v>
      </c>
      <c r="I297" s="32" t="s">
        <v>645</v>
      </c>
      <c r="J297" s="32" t="s">
        <v>1140</v>
      </c>
    </row>
    <row r="298" spans="6:10" x14ac:dyDescent="0.25">
      <c r="F298" s="32"/>
      <c r="G298" s="32" t="s">
        <v>1169</v>
      </c>
      <c r="H298" s="32" t="s">
        <v>1170</v>
      </c>
      <c r="I298" s="32" t="s">
        <v>645</v>
      </c>
      <c r="J298" s="32" t="s">
        <v>1140</v>
      </c>
    </row>
    <row r="299" spans="6:10" x14ac:dyDescent="0.25">
      <c r="F299" s="32"/>
      <c r="G299" s="32" t="s">
        <v>1171</v>
      </c>
      <c r="H299" s="32" t="s">
        <v>1172</v>
      </c>
      <c r="I299" s="32" t="s">
        <v>645</v>
      </c>
      <c r="J299" s="32" t="s">
        <v>1140</v>
      </c>
    </row>
    <row r="300" spans="6:10" x14ac:dyDescent="0.25">
      <c r="F300" s="32"/>
      <c r="G300" s="32" t="s">
        <v>1173</v>
      </c>
      <c r="H300" s="32" t="s">
        <v>1174</v>
      </c>
      <c r="I300" s="32" t="s">
        <v>645</v>
      </c>
      <c r="J300" s="32" t="s">
        <v>1140</v>
      </c>
    </row>
    <row r="301" spans="6:10" x14ac:dyDescent="0.25">
      <c r="F301" s="32"/>
      <c r="G301" s="32" t="s">
        <v>1175</v>
      </c>
      <c r="H301" s="32" t="s">
        <v>1176</v>
      </c>
      <c r="I301" s="32" t="s">
        <v>645</v>
      </c>
      <c r="J301" s="32" t="s">
        <v>1140</v>
      </c>
    </row>
    <row r="302" spans="6:10" x14ac:dyDescent="0.25">
      <c r="F302" s="32"/>
      <c r="G302" s="32" t="s">
        <v>1177</v>
      </c>
      <c r="H302" s="32" t="s">
        <v>1178</v>
      </c>
      <c r="I302" s="32" t="s">
        <v>645</v>
      </c>
      <c r="J302" s="32" t="s">
        <v>1140</v>
      </c>
    </row>
    <row r="303" spans="6:10" x14ac:dyDescent="0.25">
      <c r="F303" s="32"/>
      <c r="G303" s="32" t="s">
        <v>1179</v>
      </c>
      <c r="H303" s="32" t="s">
        <v>1180</v>
      </c>
      <c r="I303" s="32" t="s">
        <v>645</v>
      </c>
      <c r="J303" s="32" t="s">
        <v>1140</v>
      </c>
    </row>
    <row r="304" spans="6:10" x14ac:dyDescent="0.25">
      <c r="F304" s="32"/>
      <c r="G304" s="32" t="s">
        <v>1181</v>
      </c>
      <c r="H304" s="32" t="s">
        <v>1182</v>
      </c>
      <c r="I304" s="32" t="s">
        <v>645</v>
      </c>
      <c r="J304" s="32" t="s">
        <v>1140</v>
      </c>
    </row>
    <row r="305" spans="6:10" x14ac:dyDescent="0.25">
      <c r="F305" s="32"/>
      <c r="G305" s="32" t="s">
        <v>1183</v>
      </c>
      <c r="H305" s="32" t="s">
        <v>1184</v>
      </c>
      <c r="I305" s="32" t="s">
        <v>645</v>
      </c>
      <c r="J305" s="32" t="s">
        <v>1140</v>
      </c>
    </row>
    <row r="306" spans="6:10" x14ac:dyDescent="0.25">
      <c r="F306" s="32"/>
      <c r="G306" s="32" t="s">
        <v>1185</v>
      </c>
      <c r="H306" s="32" t="s">
        <v>1186</v>
      </c>
      <c r="I306" s="32" t="s">
        <v>645</v>
      </c>
      <c r="J306" s="32" t="s">
        <v>1140</v>
      </c>
    </row>
    <row r="307" spans="6:10" x14ac:dyDescent="0.25">
      <c r="F307" s="32"/>
      <c r="G307" s="32" t="s">
        <v>1187</v>
      </c>
      <c r="H307" s="32" t="s">
        <v>1188</v>
      </c>
      <c r="I307" s="32" t="s">
        <v>645</v>
      </c>
      <c r="J307" s="32" t="s">
        <v>1140</v>
      </c>
    </row>
    <row r="308" spans="6:10" x14ac:dyDescent="0.25">
      <c r="F308" s="32"/>
      <c r="G308" s="32" t="s">
        <v>1189</v>
      </c>
      <c r="H308" s="32" t="s">
        <v>1190</v>
      </c>
      <c r="I308" s="32" t="s">
        <v>645</v>
      </c>
      <c r="J308" s="32" t="s">
        <v>1140</v>
      </c>
    </row>
    <row r="309" spans="6:10" x14ac:dyDescent="0.25">
      <c r="F309" s="32"/>
      <c r="G309" s="32" t="s">
        <v>1191</v>
      </c>
      <c r="H309" s="32" t="s">
        <v>1192</v>
      </c>
      <c r="I309" s="32" t="s">
        <v>645</v>
      </c>
      <c r="J309" s="32" t="s">
        <v>1140</v>
      </c>
    </row>
    <row r="310" spans="6:10" x14ac:dyDescent="0.25">
      <c r="F310" s="32"/>
      <c r="G310" s="32" t="s">
        <v>1193</v>
      </c>
      <c r="H310" s="32" t="s">
        <v>1194</v>
      </c>
      <c r="I310" s="32" t="s">
        <v>645</v>
      </c>
      <c r="J310" s="32" t="s">
        <v>1140</v>
      </c>
    </row>
    <row r="311" spans="6:10" x14ac:dyDescent="0.25">
      <c r="F311" s="32"/>
      <c r="G311" s="32" t="s">
        <v>1195</v>
      </c>
      <c r="H311" s="32" t="s">
        <v>1196</v>
      </c>
      <c r="I311" s="32" t="s">
        <v>645</v>
      </c>
      <c r="J311" s="32" t="s">
        <v>1140</v>
      </c>
    </row>
    <row r="312" spans="6:10" x14ac:dyDescent="0.25">
      <c r="F312" s="32" t="s">
        <v>486</v>
      </c>
      <c r="G312" s="32"/>
      <c r="H312" s="32" t="s">
        <v>1197</v>
      </c>
      <c r="I312" s="32"/>
      <c r="J312" s="32"/>
    </row>
    <row r="313" spans="6:10" x14ac:dyDescent="0.25">
      <c r="F313" s="32"/>
      <c r="G313" s="32" t="s">
        <v>486</v>
      </c>
      <c r="H313" s="32" t="s">
        <v>1198</v>
      </c>
      <c r="I313" s="32" t="s">
        <v>645</v>
      </c>
      <c r="J313" s="32" t="s">
        <v>1140</v>
      </c>
    </row>
    <row r="314" spans="6:10" x14ac:dyDescent="0.25">
      <c r="F314" s="32"/>
      <c r="G314" s="32" t="s">
        <v>1199</v>
      </c>
      <c r="H314" s="32" t="s">
        <v>1200</v>
      </c>
      <c r="I314" s="32" t="s">
        <v>645</v>
      </c>
      <c r="J314" s="32" t="s">
        <v>1140</v>
      </c>
    </row>
    <row r="315" spans="6:10" x14ac:dyDescent="0.25">
      <c r="F315" s="32"/>
      <c r="G315" s="32" t="s">
        <v>1201</v>
      </c>
      <c r="H315" s="32" t="s">
        <v>1202</v>
      </c>
      <c r="I315" s="32" t="s">
        <v>645</v>
      </c>
      <c r="J315" s="32" t="s">
        <v>1140</v>
      </c>
    </row>
    <row r="316" spans="6:10" x14ac:dyDescent="0.25">
      <c r="F316" s="32"/>
      <c r="G316" s="32" t="s">
        <v>1203</v>
      </c>
      <c r="H316" s="32" t="s">
        <v>1204</v>
      </c>
      <c r="I316" s="32" t="s">
        <v>645</v>
      </c>
      <c r="J316" s="32" t="s">
        <v>1140</v>
      </c>
    </row>
    <row r="317" spans="6:10" x14ac:dyDescent="0.25">
      <c r="F317" s="32"/>
      <c r="G317" s="32" t="s">
        <v>1205</v>
      </c>
      <c r="H317" s="32" t="s">
        <v>1206</v>
      </c>
      <c r="I317" s="32" t="s">
        <v>645</v>
      </c>
      <c r="J317" s="32" t="s">
        <v>1140</v>
      </c>
    </row>
    <row r="318" spans="6:10" x14ac:dyDescent="0.25">
      <c r="F318" s="32"/>
      <c r="G318" s="32" t="s">
        <v>1207</v>
      </c>
      <c r="H318" s="32" t="s">
        <v>1208</v>
      </c>
      <c r="I318" s="32" t="s">
        <v>645</v>
      </c>
      <c r="J318" s="32" t="s">
        <v>1140</v>
      </c>
    </row>
    <row r="319" spans="6:10" x14ac:dyDescent="0.25">
      <c r="F319" s="32"/>
      <c r="G319" s="32" t="s">
        <v>1209</v>
      </c>
      <c r="H319" s="32" t="s">
        <v>1210</v>
      </c>
      <c r="I319" s="32" t="s">
        <v>645</v>
      </c>
      <c r="J319" s="32" t="s">
        <v>1140</v>
      </c>
    </row>
    <row r="320" spans="6:10" x14ac:dyDescent="0.25">
      <c r="F320" s="32" t="s">
        <v>487</v>
      </c>
      <c r="G320" s="32"/>
      <c r="H320" s="32" t="s">
        <v>1211</v>
      </c>
      <c r="I320" s="32"/>
      <c r="J320" s="32"/>
    </row>
    <row r="321" spans="6:10" x14ac:dyDescent="0.25">
      <c r="F321" s="32"/>
      <c r="G321" s="32" t="s">
        <v>1212</v>
      </c>
      <c r="H321" s="32" t="s">
        <v>1213</v>
      </c>
      <c r="I321" s="32" t="s">
        <v>645</v>
      </c>
      <c r="J321" s="32" t="s">
        <v>1140</v>
      </c>
    </row>
    <row r="322" spans="6:10" x14ac:dyDescent="0.25">
      <c r="F322" s="32"/>
      <c r="G322" s="32" t="s">
        <v>1214</v>
      </c>
      <c r="H322" s="32" t="s">
        <v>1215</v>
      </c>
      <c r="I322" s="32" t="s">
        <v>645</v>
      </c>
      <c r="J322" s="32" t="s">
        <v>1140</v>
      </c>
    </row>
    <row r="323" spans="6:10" x14ac:dyDescent="0.25">
      <c r="F323" s="32"/>
      <c r="G323" s="32" t="s">
        <v>1216</v>
      </c>
      <c r="H323" s="32" t="s">
        <v>1217</v>
      </c>
      <c r="I323" s="32" t="s">
        <v>645</v>
      </c>
      <c r="J323" s="32" t="s">
        <v>1140</v>
      </c>
    </row>
    <row r="324" spans="6:10" x14ac:dyDescent="0.25">
      <c r="F324" s="32"/>
      <c r="G324" s="32" t="s">
        <v>1218</v>
      </c>
      <c r="H324" s="32" t="s">
        <v>1219</v>
      </c>
      <c r="I324" s="32" t="s">
        <v>645</v>
      </c>
      <c r="J324" s="32" t="s">
        <v>1140</v>
      </c>
    </row>
    <row r="325" spans="6:10" x14ac:dyDescent="0.25">
      <c r="F325" s="32"/>
      <c r="G325" s="32" t="s">
        <v>2384</v>
      </c>
      <c r="H325" s="32" t="s">
        <v>1220</v>
      </c>
      <c r="I325" s="32" t="s">
        <v>645</v>
      </c>
      <c r="J325" s="32" t="s">
        <v>1140</v>
      </c>
    </row>
    <row r="326" spans="6:10" x14ac:dyDescent="0.25">
      <c r="F326" s="32"/>
      <c r="G326" s="32" t="s">
        <v>1221</v>
      </c>
      <c r="H326" s="32" t="s">
        <v>1222</v>
      </c>
      <c r="I326" s="32" t="s">
        <v>645</v>
      </c>
      <c r="J326" s="32" t="s">
        <v>1140</v>
      </c>
    </row>
    <row r="327" spans="6:10" x14ac:dyDescent="0.25">
      <c r="F327" s="32"/>
      <c r="G327" s="32" t="s">
        <v>1223</v>
      </c>
      <c r="H327" s="32" t="s">
        <v>1224</v>
      </c>
      <c r="I327" s="32" t="s">
        <v>645</v>
      </c>
      <c r="J327" s="32" t="s">
        <v>1140</v>
      </c>
    </row>
    <row r="328" spans="6:10" x14ac:dyDescent="0.25">
      <c r="F328" s="32"/>
      <c r="G328" s="32" t="s">
        <v>1225</v>
      </c>
      <c r="H328" s="32" t="s">
        <v>1226</v>
      </c>
      <c r="I328" s="32" t="s">
        <v>645</v>
      </c>
      <c r="J328" s="32" t="s">
        <v>1140</v>
      </c>
    </row>
    <row r="329" spans="6:10" x14ac:dyDescent="0.25">
      <c r="F329" s="32"/>
      <c r="G329" s="32" t="s">
        <v>1227</v>
      </c>
      <c r="H329" s="32" t="s">
        <v>1228</v>
      </c>
      <c r="I329" s="32" t="s">
        <v>645</v>
      </c>
      <c r="J329" s="32" t="s">
        <v>1140</v>
      </c>
    </row>
    <row r="330" spans="6:10" x14ac:dyDescent="0.25">
      <c r="F330" s="32"/>
      <c r="G330" s="32" t="s">
        <v>1229</v>
      </c>
      <c r="H330" s="32" t="s">
        <v>1230</v>
      </c>
      <c r="I330" s="32" t="s">
        <v>645</v>
      </c>
      <c r="J330" s="32" t="s">
        <v>1140</v>
      </c>
    </row>
    <row r="331" spans="6:10" x14ac:dyDescent="0.25">
      <c r="F331" s="32"/>
      <c r="G331" s="32" t="s">
        <v>1231</v>
      </c>
      <c r="H331" s="32" t="s">
        <v>1232</v>
      </c>
      <c r="I331" s="32" t="s">
        <v>645</v>
      </c>
      <c r="J331" s="32" t="s">
        <v>1140</v>
      </c>
    </row>
    <row r="332" spans="6:10" x14ac:dyDescent="0.25">
      <c r="F332" s="32"/>
      <c r="G332" s="32" t="s">
        <v>1233</v>
      </c>
      <c r="H332" s="32" t="s">
        <v>1234</v>
      </c>
      <c r="I332" s="32" t="s">
        <v>645</v>
      </c>
      <c r="J332" s="32" t="s">
        <v>1140</v>
      </c>
    </row>
    <row r="333" spans="6:10" x14ac:dyDescent="0.25">
      <c r="F333" s="32"/>
      <c r="G333" s="32" t="s">
        <v>1235</v>
      </c>
      <c r="H333" s="32" t="s">
        <v>1236</v>
      </c>
      <c r="I333" s="32" t="s">
        <v>645</v>
      </c>
      <c r="J333" s="32" t="s">
        <v>1140</v>
      </c>
    </row>
    <row r="334" spans="6:10" x14ac:dyDescent="0.25">
      <c r="F334" s="32"/>
      <c r="G334" s="32" t="s">
        <v>1237</v>
      </c>
      <c r="H334" s="32" t="s">
        <v>1238</v>
      </c>
      <c r="I334" s="32" t="s">
        <v>645</v>
      </c>
      <c r="J334" s="32" t="s">
        <v>1140</v>
      </c>
    </row>
    <row r="335" spans="6:10" x14ac:dyDescent="0.25">
      <c r="F335" s="32"/>
      <c r="G335" s="32" t="s">
        <v>1239</v>
      </c>
      <c r="H335" s="32" t="s">
        <v>1240</v>
      </c>
      <c r="I335" s="32" t="s">
        <v>645</v>
      </c>
      <c r="J335" s="32" t="s">
        <v>1140</v>
      </c>
    </row>
    <row r="336" spans="6:10" x14ac:dyDescent="0.25">
      <c r="F336" s="32"/>
      <c r="G336" s="32" t="s">
        <v>1241</v>
      </c>
      <c r="H336" s="32" t="s">
        <v>1242</v>
      </c>
      <c r="I336" s="32" t="s">
        <v>645</v>
      </c>
      <c r="J336" s="32" t="s">
        <v>1140</v>
      </c>
    </row>
    <row r="337" spans="6:10" x14ac:dyDescent="0.25">
      <c r="F337" s="32"/>
      <c r="G337" s="32" t="s">
        <v>1243</v>
      </c>
      <c r="H337" s="32" t="s">
        <v>1244</v>
      </c>
      <c r="I337" s="32" t="s">
        <v>645</v>
      </c>
      <c r="J337" s="32" t="s">
        <v>1140</v>
      </c>
    </row>
    <row r="338" spans="6:10" x14ac:dyDescent="0.25">
      <c r="F338" s="32" t="s">
        <v>488</v>
      </c>
      <c r="G338" s="32"/>
      <c r="H338" s="32" t="s">
        <v>1245</v>
      </c>
      <c r="I338" s="32"/>
      <c r="J338" s="32"/>
    </row>
    <row r="339" spans="6:10" x14ac:dyDescent="0.25">
      <c r="F339" s="32"/>
      <c r="G339" s="32" t="s">
        <v>1246</v>
      </c>
      <c r="H339" s="32" t="s">
        <v>1247</v>
      </c>
      <c r="I339" s="32" t="s">
        <v>645</v>
      </c>
      <c r="J339" s="32" t="s">
        <v>1140</v>
      </c>
    </row>
    <row r="340" spans="6:10" x14ac:dyDescent="0.25">
      <c r="F340" s="32"/>
      <c r="G340" s="32" t="s">
        <v>488</v>
      </c>
      <c r="H340" s="32" t="s">
        <v>1248</v>
      </c>
      <c r="I340" s="32" t="s">
        <v>645</v>
      </c>
      <c r="J340" s="32" t="s">
        <v>1140</v>
      </c>
    </row>
    <row r="341" spans="6:10" x14ac:dyDescent="0.25">
      <c r="F341" s="32"/>
      <c r="G341" s="32" t="s">
        <v>1249</v>
      </c>
      <c r="H341" s="32" t="s">
        <v>1250</v>
      </c>
      <c r="I341" s="32" t="s">
        <v>645</v>
      </c>
      <c r="J341" s="32" t="s">
        <v>1140</v>
      </c>
    </row>
    <row r="342" spans="6:10" x14ac:dyDescent="0.25">
      <c r="F342" s="32"/>
      <c r="G342" s="32" t="s">
        <v>1251</v>
      </c>
      <c r="H342" s="32" t="s">
        <v>1252</v>
      </c>
      <c r="I342" s="32" t="s">
        <v>645</v>
      </c>
      <c r="J342" s="32" t="s">
        <v>1140</v>
      </c>
    </row>
    <row r="343" spans="6:10" x14ac:dyDescent="0.25">
      <c r="F343" s="32"/>
      <c r="G343" s="32" t="s">
        <v>1253</v>
      </c>
      <c r="H343" s="32" t="s">
        <v>1254</v>
      </c>
      <c r="I343" s="32" t="s">
        <v>645</v>
      </c>
      <c r="J343" s="32" t="s">
        <v>1140</v>
      </c>
    </row>
    <row r="344" spans="6:10" x14ac:dyDescent="0.25">
      <c r="F344" s="32"/>
      <c r="G344" s="32" t="s">
        <v>1255</v>
      </c>
      <c r="H344" s="32" t="s">
        <v>1256</v>
      </c>
      <c r="I344" s="32" t="s">
        <v>645</v>
      </c>
      <c r="J344" s="32" t="s">
        <v>1140</v>
      </c>
    </row>
    <row r="345" spans="6:10" x14ac:dyDescent="0.25">
      <c r="F345" s="32" t="s">
        <v>489</v>
      </c>
      <c r="G345" s="32"/>
      <c r="H345" s="32" t="s">
        <v>1257</v>
      </c>
      <c r="I345" s="32"/>
      <c r="J345" s="32"/>
    </row>
    <row r="346" spans="6:10" x14ac:dyDescent="0.25">
      <c r="F346" s="32"/>
      <c r="G346" s="32" t="s">
        <v>489</v>
      </c>
      <c r="H346" s="32" t="s">
        <v>1258</v>
      </c>
      <c r="I346" s="32" t="s">
        <v>645</v>
      </c>
      <c r="J346" s="32" t="s">
        <v>1140</v>
      </c>
    </row>
    <row r="347" spans="6:10" x14ac:dyDescent="0.25">
      <c r="F347" s="32"/>
      <c r="G347" s="32" t="s">
        <v>4367</v>
      </c>
      <c r="H347" s="32" t="s">
        <v>1259</v>
      </c>
      <c r="I347" s="32" t="s">
        <v>645</v>
      </c>
      <c r="J347" s="32" t="s">
        <v>1140</v>
      </c>
    </row>
    <row r="348" spans="6:10" x14ac:dyDescent="0.25">
      <c r="F348" s="32"/>
      <c r="G348" s="32" t="s">
        <v>1260</v>
      </c>
      <c r="H348" s="32" t="s">
        <v>1261</v>
      </c>
      <c r="I348" s="32" t="s">
        <v>645</v>
      </c>
      <c r="J348" s="32" t="s">
        <v>1140</v>
      </c>
    </row>
    <row r="349" spans="6:10" x14ac:dyDescent="0.25">
      <c r="F349" s="32"/>
      <c r="G349" s="32" t="s">
        <v>1262</v>
      </c>
      <c r="H349" s="32" t="s">
        <v>1263</v>
      </c>
      <c r="I349" s="32" t="s">
        <v>645</v>
      </c>
      <c r="J349" s="32" t="s">
        <v>1140</v>
      </c>
    </row>
    <row r="350" spans="6:10" x14ac:dyDescent="0.25">
      <c r="F350" s="32"/>
      <c r="G350" s="32" t="s">
        <v>1264</v>
      </c>
      <c r="H350" s="32" t="s">
        <v>1265</v>
      </c>
      <c r="I350" s="32" t="s">
        <v>645</v>
      </c>
      <c r="J350" s="32" t="s">
        <v>1140</v>
      </c>
    </row>
    <row r="351" spans="6:10" x14ac:dyDescent="0.25">
      <c r="F351" s="32"/>
      <c r="G351" s="32" t="s">
        <v>1266</v>
      </c>
      <c r="H351" s="32" t="s">
        <v>1267</v>
      </c>
      <c r="I351" s="32" t="s">
        <v>645</v>
      </c>
      <c r="J351" s="32" t="s">
        <v>1140</v>
      </c>
    </row>
    <row r="352" spans="6:10" x14ac:dyDescent="0.25">
      <c r="F352" s="32"/>
      <c r="G352" s="32" t="s">
        <v>1268</v>
      </c>
      <c r="H352" s="32" t="s">
        <v>1269</v>
      </c>
      <c r="I352" s="32" t="s">
        <v>645</v>
      </c>
      <c r="J352" s="32" t="s">
        <v>1140</v>
      </c>
    </row>
    <row r="353" spans="6:10" x14ac:dyDescent="0.25">
      <c r="F353" s="32"/>
      <c r="G353" s="32" t="s">
        <v>1270</v>
      </c>
      <c r="H353" s="32" t="s">
        <v>1271</v>
      </c>
      <c r="I353" s="32" t="s">
        <v>645</v>
      </c>
      <c r="J353" s="32" t="s">
        <v>1140</v>
      </c>
    </row>
    <row r="354" spans="6:10" x14ac:dyDescent="0.25">
      <c r="F354" s="32"/>
      <c r="G354" s="32" t="s">
        <v>1272</v>
      </c>
      <c r="H354" s="32" t="s">
        <v>1273</v>
      </c>
      <c r="I354" s="32" t="s">
        <v>645</v>
      </c>
      <c r="J354" s="32" t="s">
        <v>1140</v>
      </c>
    </row>
    <row r="355" spans="6:10" x14ac:dyDescent="0.25">
      <c r="F355" s="32"/>
      <c r="G355" s="32" t="s">
        <v>4212</v>
      </c>
      <c r="H355" s="32" t="s">
        <v>1274</v>
      </c>
      <c r="I355" s="32" t="s">
        <v>645</v>
      </c>
      <c r="J355" s="32" t="s">
        <v>1140</v>
      </c>
    </row>
    <row r="356" spans="6:10" x14ac:dyDescent="0.25">
      <c r="F356" s="32" t="s">
        <v>490</v>
      </c>
      <c r="G356" s="32"/>
      <c r="H356" s="32" t="s">
        <v>1275</v>
      </c>
      <c r="I356" s="32"/>
      <c r="J356" s="32"/>
    </row>
    <row r="357" spans="6:10" x14ac:dyDescent="0.25">
      <c r="F357" s="32"/>
      <c r="G357" s="32" t="s">
        <v>1276</v>
      </c>
      <c r="H357" s="32" t="s">
        <v>1277</v>
      </c>
      <c r="I357" s="32" t="s">
        <v>645</v>
      </c>
      <c r="J357" s="32" t="s">
        <v>1140</v>
      </c>
    </row>
    <row r="358" spans="6:10" x14ac:dyDescent="0.25">
      <c r="F358" s="32"/>
      <c r="G358" s="32" t="s">
        <v>1278</v>
      </c>
      <c r="H358" s="32" t="s">
        <v>1279</v>
      </c>
      <c r="I358" s="32" t="s">
        <v>645</v>
      </c>
      <c r="J358" s="32" t="s">
        <v>1140</v>
      </c>
    </row>
    <row r="359" spans="6:10" x14ac:dyDescent="0.25">
      <c r="F359" s="32"/>
      <c r="G359" s="32" t="s">
        <v>1280</v>
      </c>
      <c r="H359" s="32" t="s">
        <v>1281</v>
      </c>
      <c r="I359" s="32" t="s">
        <v>645</v>
      </c>
      <c r="J359" s="32" t="s">
        <v>1140</v>
      </c>
    </row>
    <row r="360" spans="6:10" x14ac:dyDescent="0.25">
      <c r="F360" s="32"/>
      <c r="G360" s="32" t="s">
        <v>1282</v>
      </c>
      <c r="H360" s="32" t="s">
        <v>1283</v>
      </c>
      <c r="I360" s="32" t="s">
        <v>645</v>
      </c>
      <c r="J360" s="32" t="s">
        <v>1140</v>
      </c>
    </row>
    <row r="361" spans="6:10" x14ac:dyDescent="0.25">
      <c r="F361" s="32"/>
      <c r="G361" s="32" t="s">
        <v>1284</v>
      </c>
      <c r="H361" s="32" t="s">
        <v>1285</v>
      </c>
      <c r="I361" s="32" t="s">
        <v>645</v>
      </c>
      <c r="J361" s="32" t="s">
        <v>1140</v>
      </c>
    </row>
    <row r="362" spans="6:10" x14ac:dyDescent="0.25">
      <c r="F362" s="32"/>
      <c r="G362" s="32" t="s">
        <v>1286</v>
      </c>
      <c r="H362" s="32" t="s">
        <v>1287</v>
      </c>
      <c r="I362" s="32" t="s">
        <v>645</v>
      </c>
      <c r="J362" s="32" t="s">
        <v>1140</v>
      </c>
    </row>
    <row r="363" spans="6:10" x14ac:dyDescent="0.25">
      <c r="F363" s="32"/>
      <c r="G363" s="32" t="s">
        <v>1288</v>
      </c>
      <c r="H363" s="32" t="s">
        <v>1289</v>
      </c>
      <c r="I363" s="32" t="s">
        <v>645</v>
      </c>
      <c r="J363" s="32" t="s">
        <v>1140</v>
      </c>
    </row>
    <row r="364" spans="6:10" x14ac:dyDescent="0.25">
      <c r="F364" s="32"/>
      <c r="G364" s="32" t="s">
        <v>1290</v>
      </c>
      <c r="H364" s="32" t="s">
        <v>1291</v>
      </c>
      <c r="I364" s="32" t="s">
        <v>645</v>
      </c>
      <c r="J364" s="32" t="s">
        <v>1140</v>
      </c>
    </row>
    <row r="365" spans="6:10" x14ac:dyDescent="0.25">
      <c r="F365" s="32"/>
      <c r="G365" s="32" t="s">
        <v>4224</v>
      </c>
      <c r="H365" s="32" t="s">
        <v>1292</v>
      </c>
      <c r="I365" s="32" t="s">
        <v>645</v>
      </c>
      <c r="J365" s="32" t="s">
        <v>1140</v>
      </c>
    </row>
    <row r="366" spans="6:10" x14ac:dyDescent="0.25">
      <c r="F366" s="32"/>
      <c r="G366" s="32" t="s">
        <v>4111</v>
      </c>
      <c r="H366" s="32" t="s">
        <v>1293</v>
      </c>
      <c r="I366" s="32" t="s">
        <v>645</v>
      </c>
      <c r="J366" s="32" t="s">
        <v>1140</v>
      </c>
    </row>
    <row r="367" spans="6:10" x14ac:dyDescent="0.25">
      <c r="F367" s="32"/>
      <c r="G367" s="32" t="s">
        <v>1294</v>
      </c>
      <c r="H367" s="32" t="s">
        <v>1295</v>
      </c>
      <c r="I367" s="32" t="s">
        <v>645</v>
      </c>
      <c r="J367" s="32" t="s">
        <v>1140</v>
      </c>
    </row>
    <row r="368" spans="6:10" x14ac:dyDescent="0.25">
      <c r="F368" s="32"/>
      <c r="G368" s="32" t="s">
        <v>3704</v>
      </c>
      <c r="H368" s="32" t="s">
        <v>1296</v>
      </c>
      <c r="I368" s="32" t="s">
        <v>645</v>
      </c>
      <c r="J368" s="32" t="s">
        <v>1140</v>
      </c>
    </row>
    <row r="369" spans="6:10" x14ac:dyDescent="0.25">
      <c r="F369" s="32"/>
      <c r="G369" s="32" t="s">
        <v>1297</v>
      </c>
      <c r="H369" s="32" t="s">
        <v>1298</v>
      </c>
      <c r="I369" s="32" t="s">
        <v>645</v>
      </c>
      <c r="J369" s="32" t="s">
        <v>1140</v>
      </c>
    </row>
    <row r="370" spans="6:10" x14ac:dyDescent="0.25">
      <c r="F370" s="32"/>
      <c r="G370" s="32" t="s">
        <v>1299</v>
      </c>
      <c r="H370" s="32" t="s">
        <v>1300</v>
      </c>
      <c r="I370" s="32" t="s">
        <v>645</v>
      </c>
      <c r="J370" s="32" t="s">
        <v>1140</v>
      </c>
    </row>
    <row r="371" spans="6:10" x14ac:dyDescent="0.25">
      <c r="F371" s="32" t="s">
        <v>460</v>
      </c>
      <c r="G371" s="32"/>
      <c r="H371" s="32"/>
      <c r="I371" s="32"/>
      <c r="J371" s="32"/>
    </row>
    <row r="372" spans="6:10" x14ac:dyDescent="0.25">
      <c r="F372" s="32" t="s">
        <v>4605</v>
      </c>
      <c r="G372" s="32"/>
      <c r="H372" s="32" t="s">
        <v>1301</v>
      </c>
      <c r="I372" s="32"/>
      <c r="J372" s="32"/>
    </row>
    <row r="373" spans="6:10" x14ac:dyDescent="0.25">
      <c r="F373" s="32"/>
      <c r="G373" s="32" t="s">
        <v>441</v>
      </c>
      <c r="H373" s="32" t="s">
        <v>1302</v>
      </c>
      <c r="I373" s="32" t="s">
        <v>645</v>
      </c>
      <c r="J373" s="32" t="s">
        <v>1140</v>
      </c>
    </row>
    <row r="374" spans="6:10" x14ac:dyDescent="0.25">
      <c r="F374" s="32"/>
      <c r="G374" s="32" t="s">
        <v>1303</v>
      </c>
      <c r="H374" s="32" t="s">
        <v>1304</v>
      </c>
      <c r="I374" s="32" t="s">
        <v>645</v>
      </c>
      <c r="J374" s="32" t="s">
        <v>1140</v>
      </c>
    </row>
    <row r="375" spans="6:10" x14ac:dyDescent="0.25">
      <c r="F375" s="32"/>
      <c r="G375" s="32" t="s">
        <v>1305</v>
      </c>
      <c r="H375" s="32" t="s">
        <v>1306</v>
      </c>
      <c r="I375" s="32" t="s">
        <v>645</v>
      </c>
      <c r="J375" s="32" t="s">
        <v>1140</v>
      </c>
    </row>
    <row r="376" spans="6:10" x14ac:dyDescent="0.25">
      <c r="F376" s="32"/>
      <c r="G376" s="32" t="s">
        <v>1307</v>
      </c>
      <c r="H376" s="32" t="s">
        <v>1308</v>
      </c>
      <c r="I376" s="32" t="s">
        <v>645</v>
      </c>
      <c r="J376" s="32" t="s">
        <v>1140</v>
      </c>
    </row>
    <row r="377" spans="6:10" x14ac:dyDescent="0.25">
      <c r="F377" s="32"/>
      <c r="G377" s="32" t="s">
        <v>1309</v>
      </c>
      <c r="H377" s="32" t="s">
        <v>1310</v>
      </c>
      <c r="I377" s="32" t="s">
        <v>645</v>
      </c>
      <c r="J377" s="32" t="s">
        <v>1140</v>
      </c>
    </row>
    <row r="378" spans="6:10" x14ac:dyDescent="0.25">
      <c r="F378" s="32"/>
      <c r="G378" s="32" t="s">
        <v>1311</v>
      </c>
      <c r="H378" s="32" t="s">
        <v>1312</v>
      </c>
      <c r="I378" s="32" t="s">
        <v>645</v>
      </c>
      <c r="J378" s="32" t="s">
        <v>1140</v>
      </c>
    </row>
    <row r="379" spans="6:10" x14ac:dyDescent="0.25">
      <c r="F379" s="32"/>
      <c r="G379" s="32" t="s">
        <v>1313</v>
      </c>
      <c r="H379" s="32" t="s">
        <v>1314</v>
      </c>
      <c r="I379" s="32" t="s">
        <v>645</v>
      </c>
      <c r="J379" s="32" t="s">
        <v>1140</v>
      </c>
    </row>
    <row r="380" spans="6:10" x14ac:dyDescent="0.25">
      <c r="F380" s="32"/>
      <c r="G380" s="32" t="s">
        <v>1315</v>
      </c>
      <c r="H380" s="32" t="s">
        <v>1316</v>
      </c>
      <c r="I380" s="32" t="s">
        <v>924</v>
      </c>
      <c r="J380" s="32" t="s">
        <v>1317</v>
      </c>
    </row>
    <row r="381" spans="6:10" x14ac:dyDescent="0.25">
      <c r="F381" s="32"/>
      <c r="G381" s="32" t="s">
        <v>1318</v>
      </c>
      <c r="H381" s="32" t="s">
        <v>1319</v>
      </c>
      <c r="I381" s="32" t="s">
        <v>645</v>
      </c>
      <c r="J381" s="32" t="s">
        <v>1140</v>
      </c>
    </row>
    <row r="382" spans="6:10" x14ac:dyDescent="0.25">
      <c r="F382" s="32"/>
      <c r="G382" s="32" t="s">
        <v>3194</v>
      </c>
      <c r="H382" s="32" t="s">
        <v>1320</v>
      </c>
      <c r="I382" s="32" t="s">
        <v>645</v>
      </c>
      <c r="J382" s="32" t="s">
        <v>1140</v>
      </c>
    </row>
    <row r="383" spans="6:10" x14ac:dyDescent="0.25">
      <c r="F383" s="32"/>
      <c r="G383" s="32" t="s">
        <v>1321</v>
      </c>
      <c r="H383" s="32" t="s">
        <v>1322</v>
      </c>
      <c r="I383" s="32" t="s">
        <v>645</v>
      </c>
      <c r="J383" s="32" t="s">
        <v>1140</v>
      </c>
    </row>
    <row r="384" spans="6:10" x14ac:dyDescent="0.25">
      <c r="F384" s="32"/>
      <c r="G384" s="32" t="s">
        <v>1323</v>
      </c>
      <c r="H384" s="32" t="s">
        <v>1324</v>
      </c>
      <c r="I384" s="32" t="s">
        <v>645</v>
      </c>
      <c r="J384" s="32" t="s">
        <v>1140</v>
      </c>
    </row>
    <row r="385" spans="6:10" x14ac:dyDescent="0.25">
      <c r="F385" s="32"/>
      <c r="G385" s="32" t="s">
        <v>1325</v>
      </c>
      <c r="H385" s="32" t="s">
        <v>1326</v>
      </c>
      <c r="I385" s="32" t="s">
        <v>645</v>
      </c>
      <c r="J385" s="32" t="s">
        <v>1140</v>
      </c>
    </row>
    <row r="386" spans="6:10" x14ac:dyDescent="0.25">
      <c r="F386" s="32"/>
      <c r="G386" s="32" t="s">
        <v>1327</v>
      </c>
      <c r="H386" s="32" t="s">
        <v>1328</v>
      </c>
      <c r="I386" s="32" t="s">
        <v>645</v>
      </c>
      <c r="J386" s="32" t="s">
        <v>1140</v>
      </c>
    </row>
    <row r="387" spans="6:10" x14ac:dyDescent="0.25">
      <c r="F387" s="32"/>
      <c r="G387" s="32" t="s">
        <v>1329</v>
      </c>
      <c r="H387" s="32" t="s">
        <v>1330</v>
      </c>
      <c r="I387" s="32" t="s">
        <v>645</v>
      </c>
      <c r="J387" s="32" t="s">
        <v>1140</v>
      </c>
    </row>
    <row r="388" spans="6:10" x14ac:dyDescent="0.25">
      <c r="F388" s="32"/>
      <c r="G388" s="32" t="s">
        <v>1331</v>
      </c>
      <c r="H388" s="32" t="s">
        <v>1332</v>
      </c>
      <c r="I388" s="32" t="s">
        <v>645</v>
      </c>
      <c r="J388" s="32" t="s">
        <v>1140</v>
      </c>
    </row>
    <row r="389" spans="6:10" x14ac:dyDescent="0.25">
      <c r="F389" s="32"/>
      <c r="G389" s="32" t="s">
        <v>1333</v>
      </c>
      <c r="H389" s="32" t="s">
        <v>1334</v>
      </c>
      <c r="I389" s="32" t="s">
        <v>645</v>
      </c>
      <c r="J389" s="32" t="s">
        <v>1140</v>
      </c>
    </row>
    <row r="390" spans="6:10" x14ac:dyDescent="0.25">
      <c r="F390" s="32"/>
      <c r="G390" s="32" t="s">
        <v>1335</v>
      </c>
      <c r="H390" s="32" t="s">
        <v>1336</v>
      </c>
      <c r="I390" s="32" t="s">
        <v>924</v>
      </c>
      <c r="J390" s="32" t="s">
        <v>1317</v>
      </c>
    </row>
    <row r="391" spans="6:10" x14ac:dyDescent="0.25">
      <c r="F391" s="32"/>
      <c r="G391" s="32" t="s">
        <v>1337</v>
      </c>
      <c r="H391" s="32" t="s">
        <v>1338</v>
      </c>
      <c r="I391" s="32" t="s">
        <v>645</v>
      </c>
      <c r="J391" s="32" t="s">
        <v>1140</v>
      </c>
    </row>
    <row r="392" spans="6:10" x14ac:dyDescent="0.25">
      <c r="F392" s="32"/>
      <c r="G392" s="32" t="s">
        <v>1339</v>
      </c>
      <c r="H392" s="32" t="s">
        <v>1340</v>
      </c>
      <c r="I392" s="32" t="s">
        <v>924</v>
      </c>
      <c r="J392" s="32" t="s">
        <v>1317</v>
      </c>
    </row>
    <row r="393" spans="6:10" x14ac:dyDescent="0.25">
      <c r="F393" s="32"/>
      <c r="G393" s="32" t="s">
        <v>1341</v>
      </c>
      <c r="H393" s="32" t="s">
        <v>1342</v>
      </c>
      <c r="I393" s="32" t="s">
        <v>924</v>
      </c>
      <c r="J393" s="32" t="s">
        <v>1317</v>
      </c>
    </row>
    <row r="394" spans="6:10" x14ac:dyDescent="0.25">
      <c r="F394" s="32"/>
      <c r="G394" s="32" t="s">
        <v>1343</v>
      </c>
      <c r="H394" s="32" t="s">
        <v>1344</v>
      </c>
      <c r="I394" s="32" t="s">
        <v>645</v>
      </c>
      <c r="J394" s="32" t="s">
        <v>1140</v>
      </c>
    </row>
    <row r="395" spans="6:10" x14ac:dyDescent="0.25">
      <c r="F395" s="32"/>
      <c r="G395" s="32" t="s">
        <v>1345</v>
      </c>
      <c r="H395" s="32" t="s">
        <v>1346</v>
      </c>
      <c r="I395" s="32" t="s">
        <v>645</v>
      </c>
      <c r="J395" s="32" t="s">
        <v>1140</v>
      </c>
    </row>
    <row r="396" spans="6:10" x14ac:dyDescent="0.25">
      <c r="F396" s="32"/>
      <c r="G396" s="32" t="s">
        <v>1347</v>
      </c>
      <c r="H396" s="32" t="s">
        <v>1348</v>
      </c>
      <c r="I396" s="32" t="s">
        <v>645</v>
      </c>
      <c r="J396" s="32" t="s">
        <v>1140</v>
      </c>
    </row>
    <row r="397" spans="6:10" x14ac:dyDescent="0.25">
      <c r="F397" s="32"/>
      <c r="G397" s="32" t="s">
        <v>1349</v>
      </c>
      <c r="H397" s="32" t="s">
        <v>1350</v>
      </c>
      <c r="I397" s="32" t="s">
        <v>924</v>
      </c>
      <c r="J397" s="32" t="s">
        <v>1317</v>
      </c>
    </row>
    <row r="398" spans="6:10" x14ac:dyDescent="0.25">
      <c r="F398" s="32"/>
      <c r="G398" s="32" t="s">
        <v>1351</v>
      </c>
      <c r="H398" s="32" t="s">
        <v>1352</v>
      </c>
      <c r="I398" s="32" t="s">
        <v>924</v>
      </c>
      <c r="J398" s="32" t="s">
        <v>1317</v>
      </c>
    </row>
    <row r="399" spans="6:10" x14ac:dyDescent="0.25">
      <c r="F399" s="32"/>
      <c r="G399" s="32" t="s">
        <v>1353</v>
      </c>
      <c r="H399" s="32" t="s">
        <v>1354</v>
      </c>
      <c r="I399" s="32" t="s">
        <v>645</v>
      </c>
      <c r="J399" s="32" t="s">
        <v>1140</v>
      </c>
    </row>
    <row r="400" spans="6:10" x14ac:dyDescent="0.25">
      <c r="F400" s="32"/>
      <c r="G400" s="32" t="s">
        <v>1355</v>
      </c>
      <c r="H400" s="32" t="s">
        <v>1356</v>
      </c>
      <c r="I400" s="32" t="s">
        <v>645</v>
      </c>
      <c r="J400" s="32" t="s">
        <v>1140</v>
      </c>
    </row>
    <row r="401" spans="6:10" x14ac:dyDescent="0.25">
      <c r="F401" s="32"/>
      <c r="G401" s="32" t="s">
        <v>1357</v>
      </c>
      <c r="H401" s="32" t="s">
        <v>1358</v>
      </c>
      <c r="I401" s="32" t="s">
        <v>645</v>
      </c>
      <c r="J401" s="32" t="s">
        <v>1140</v>
      </c>
    </row>
    <row r="402" spans="6:10" x14ac:dyDescent="0.25">
      <c r="F402" s="32" t="s">
        <v>491</v>
      </c>
      <c r="G402" s="32"/>
      <c r="H402" s="32" t="s">
        <v>1359</v>
      </c>
      <c r="I402" s="32"/>
      <c r="J402" s="32"/>
    </row>
    <row r="403" spans="6:10" x14ac:dyDescent="0.25">
      <c r="F403" s="32"/>
      <c r="G403" s="32" t="s">
        <v>491</v>
      </c>
      <c r="H403" s="32" t="s">
        <v>1360</v>
      </c>
      <c r="I403" s="32" t="s">
        <v>924</v>
      </c>
      <c r="J403" s="32" t="s">
        <v>1317</v>
      </c>
    </row>
    <row r="404" spans="6:10" x14ac:dyDescent="0.25">
      <c r="F404" s="32"/>
      <c r="G404" s="32" t="s">
        <v>1361</v>
      </c>
      <c r="H404" s="32" t="s">
        <v>1362</v>
      </c>
      <c r="I404" s="32" t="s">
        <v>924</v>
      </c>
      <c r="J404" s="32" t="s">
        <v>1317</v>
      </c>
    </row>
    <row r="405" spans="6:10" x14ac:dyDescent="0.25">
      <c r="F405" s="32"/>
      <c r="G405" s="32" t="s">
        <v>1363</v>
      </c>
      <c r="H405" s="32" t="s">
        <v>1364</v>
      </c>
      <c r="I405" s="32" t="s">
        <v>924</v>
      </c>
      <c r="J405" s="32" t="s">
        <v>1317</v>
      </c>
    </row>
    <row r="406" spans="6:10" x14ac:dyDescent="0.25">
      <c r="F406" s="32"/>
      <c r="G406" s="32" t="s">
        <v>1365</v>
      </c>
      <c r="H406" s="32" t="s">
        <v>1366</v>
      </c>
      <c r="I406" s="32" t="s">
        <v>924</v>
      </c>
      <c r="J406" s="32" t="s">
        <v>1317</v>
      </c>
    </row>
    <row r="407" spans="6:10" x14ac:dyDescent="0.25">
      <c r="F407" s="32"/>
      <c r="G407" s="32" t="s">
        <v>1367</v>
      </c>
      <c r="H407" s="32" t="s">
        <v>1368</v>
      </c>
      <c r="I407" s="32" t="s">
        <v>924</v>
      </c>
      <c r="J407" s="32" t="s">
        <v>1317</v>
      </c>
    </row>
    <row r="408" spans="6:10" x14ac:dyDescent="0.25">
      <c r="F408" s="32"/>
      <c r="G408" s="32" t="s">
        <v>1369</v>
      </c>
      <c r="H408" s="32" t="s">
        <v>1370</v>
      </c>
      <c r="I408" s="32" t="s">
        <v>924</v>
      </c>
      <c r="J408" s="32" t="s">
        <v>1317</v>
      </c>
    </row>
    <row r="409" spans="6:10" x14ac:dyDescent="0.25">
      <c r="F409" s="32"/>
      <c r="G409" s="32" t="s">
        <v>1371</v>
      </c>
      <c r="H409" s="32" t="s">
        <v>1372</v>
      </c>
      <c r="I409" s="32" t="s">
        <v>924</v>
      </c>
      <c r="J409" s="32" t="s">
        <v>1317</v>
      </c>
    </row>
    <row r="410" spans="6:10" x14ac:dyDescent="0.25">
      <c r="F410" s="32"/>
      <c r="G410" s="32" t="s">
        <v>1373</v>
      </c>
      <c r="H410" s="32" t="s">
        <v>1374</v>
      </c>
      <c r="I410" s="32" t="s">
        <v>924</v>
      </c>
      <c r="J410" s="32" t="s">
        <v>1317</v>
      </c>
    </row>
    <row r="411" spans="6:10" x14ac:dyDescent="0.25">
      <c r="F411" s="32" t="s">
        <v>492</v>
      </c>
      <c r="G411" s="32"/>
      <c r="H411" s="32" t="s">
        <v>1375</v>
      </c>
      <c r="I411" s="32"/>
      <c r="J411" s="32"/>
    </row>
    <row r="412" spans="6:10" x14ac:dyDescent="0.25">
      <c r="F412" s="32"/>
      <c r="G412" s="32" t="s">
        <v>492</v>
      </c>
      <c r="H412" s="32" t="s">
        <v>1376</v>
      </c>
      <c r="I412" s="32" t="s">
        <v>645</v>
      </c>
      <c r="J412" s="32" t="s">
        <v>1140</v>
      </c>
    </row>
    <row r="413" spans="6:10" x14ac:dyDescent="0.25">
      <c r="F413" s="32"/>
      <c r="G413" s="32" t="s">
        <v>1377</v>
      </c>
      <c r="H413" s="32" t="s">
        <v>1378</v>
      </c>
      <c r="I413" s="32" t="s">
        <v>924</v>
      </c>
      <c r="J413" s="32" t="s">
        <v>1317</v>
      </c>
    </row>
    <row r="414" spans="6:10" x14ac:dyDescent="0.25">
      <c r="F414" s="32"/>
      <c r="G414" s="32" t="s">
        <v>1379</v>
      </c>
      <c r="H414" s="32" t="s">
        <v>1380</v>
      </c>
      <c r="I414" s="32" t="s">
        <v>924</v>
      </c>
      <c r="J414" s="32" t="s">
        <v>1317</v>
      </c>
    </row>
    <row r="415" spans="6:10" x14ac:dyDescent="0.25">
      <c r="F415" s="32"/>
      <c r="G415" s="32" t="s">
        <v>1381</v>
      </c>
      <c r="H415" s="32" t="s">
        <v>1382</v>
      </c>
      <c r="I415" s="32" t="s">
        <v>924</v>
      </c>
      <c r="J415" s="32" t="s">
        <v>1317</v>
      </c>
    </row>
    <row r="416" spans="6:10" x14ac:dyDescent="0.25">
      <c r="F416" s="32"/>
      <c r="G416" s="32" t="s">
        <v>1383</v>
      </c>
      <c r="H416" s="32" t="s">
        <v>1384</v>
      </c>
      <c r="I416" s="32" t="s">
        <v>924</v>
      </c>
      <c r="J416" s="32" t="s">
        <v>1317</v>
      </c>
    </row>
    <row r="417" spans="6:10" x14ac:dyDescent="0.25">
      <c r="F417" s="32"/>
      <c r="G417" s="32" t="s">
        <v>1385</v>
      </c>
      <c r="H417" s="32" t="s">
        <v>1386</v>
      </c>
      <c r="I417" s="32" t="s">
        <v>645</v>
      </c>
      <c r="J417" s="32" t="s">
        <v>1140</v>
      </c>
    </row>
    <row r="418" spans="6:10" x14ac:dyDescent="0.25">
      <c r="F418" s="32"/>
      <c r="G418" s="32" t="s">
        <v>1387</v>
      </c>
      <c r="H418" s="32" t="s">
        <v>1388</v>
      </c>
      <c r="I418" s="32" t="s">
        <v>924</v>
      </c>
      <c r="J418" s="32" t="s">
        <v>1317</v>
      </c>
    </row>
    <row r="419" spans="6:10" x14ac:dyDescent="0.25">
      <c r="F419" s="32"/>
      <c r="G419" s="32" t="s">
        <v>1389</v>
      </c>
      <c r="H419" s="32" t="s">
        <v>1390</v>
      </c>
      <c r="I419" s="32" t="s">
        <v>924</v>
      </c>
      <c r="J419" s="32" t="s">
        <v>1317</v>
      </c>
    </row>
    <row r="420" spans="6:10" x14ac:dyDescent="0.25">
      <c r="F420" s="32"/>
      <c r="G420" s="32" t="s">
        <v>1391</v>
      </c>
      <c r="H420" s="32" t="s">
        <v>1392</v>
      </c>
      <c r="I420" s="32" t="s">
        <v>924</v>
      </c>
      <c r="J420" s="32" t="s">
        <v>1317</v>
      </c>
    </row>
    <row r="421" spans="6:10" x14ac:dyDescent="0.25">
      <c r="F421" s="32"/>
      <c r="G421" s="32" t="s">
        <v>1393</v>
      </c>
      <c r="H421" s="32" t="s">
        <v>1394</v>
      </c>
      <c r="I421" s="32" t="s">
        <v>924</v>
      </c>
      <c r="J421" s="32" t="s">
        <v>1317</v>
      </c>
    </row>
    <row r="422" spans="6:10" x14ac:dyDescent="0.25">
      <c r="F422" s="32"/>
      <c r="G422" s="32" t="s">
        <v>1395</v>
      </c>
      <c r="H422" s="32" t="s">
        <v>1396</v>
      </c>
      <c r="I422" s="32" t="s">
        <v>924</v>
      </c>
      <c r="J422" s="32" t="s">
        <v>1317</v>
      </c>
    </row>
    <row r="423" spans="6:10" x14ac:dyDescent="0.25">
      <c r="F423" s="32"/>
      <c r="G423" s="32" t="s">
        <v>1397</v>
      </c>
      <c r="H423" s="32" t="s">
        <v>1398</v>
      </c>
      <c r="I423" s="32" t="s">
        <v>924</v>
      </c>
      <c r="J423" s="32" t="s">
        <v>1317</v>
      </c>
    </row>
    <row r="424" spans="6:10" x14ac:dyDescent="0.25">
      <c r="F424" s="32"/>
      <c r="G424" s="32" t="s">
        <v>1399</v>
      </c>
      <c r="H424" s="32" t="s">
        <v>1400</v>
      </c>
      <c r="I424" s="32" t="s">
        <v>924</v>
      </c>
      <c r="J424" s="32" t="s">
        <v>1317</v>
      </c>
    </row>
    <row r="425" spans="6:10" x14ac:dyDescent="0.25">
      <c r="F425" s="32" t="s">
        <v>493</v>
      </c>
      <c r="G425" s="32"/>
      <c r="H425" s="32" t="s">
        <v>1401</v>
      </c>
      <c r="I425" s="32"/>
      <c r="J425" s="32"/>
    </row>
    <row r="426" spans="6:10" x14ac:dyDescent="0.25">
      <c r="F426" s="32"/>
      <c r="G426" s="32" t="s">
        <v>1402</v>
      </c>
      <c r="H426" s="32" t="s">
        <v>1403</v>
      </c>
      <c r="I426" s="32" t="s">
        <v>924</v>
      </c>
      <c r="J426" s="32" t="s">
        <v>1317</v>
      </c>
    </row>
    <row r="427" spans="6:10" x14ac:dyDescent="0.25">
      <c r="F427" s="32"/>
      <c r="G427" s="32" t="s">
        <v>1404</v>
      </c>
      <c r="H427" s="32" t="s">
        <v>1405</v>
      </c>
      <c r="I427" s="32" t="s">
        <v>645</v>
      </c>
      <c r="J427" s="32" t="s">
        <v>1140</v>
      </c>
    </row>
    <row r="428" spans="6:10" x14ac:dyDescent="0.25">
      <c r="F428" s="32"/>
      <c r="G428" s="32" t="s">
        <v>1406</v>
      </c>
      <c r="H428" s="32" t="s">
        <v>1407</v>
      </c>
      <c r="I428" s="32" t="s">
        <v>924</v>
      </c>
      <c r="J428" s="32" t="s">
        <v>1317</v>
      </c>
    </row>
    <row r="429" spans="6:10" x14ac:dyDescent="0.25">
      <c r="F429" s="32"/>
      <c r="G429" s="32" t="s">
        <v>1408</v>
      </c>
      <c r="H429" s="32" t="s">
        <v>1409</v>
      </c>
      <c r="I429" s="32" t="s">
        <v>645</v>
      </c>
      <c r="J429" s="32" t="s">
        <v>1140</v>
      </c>
    </row>
    <row r="430" spans="6:10" x14ac:dyDescent="0.25">
      <c r="F430" s="32"/>
      <c r="G430" s="32" t="s">
        <v>1410</v>
      </c>
      <c r="H430" s="32" t="s">
        <v>1411</v>
      </c>
      <c r="I430" s="32" t="s">
        <v>645</v>
      </c>
      <c r="J430" s="32" t="s">
        <v>1140</v>
      </c>
    </row>
    <row r="431" spans="6:10" x14ac:dyDescent="0.25">
      <c r="F431" s="32"/>
      <c r="G431" s="32" t="s">
        <v>1412</v>
      </c>
      <c r="H431" s="32" t="s">
        <v>1413</v>
      </c>
      <c r="I431" s="32" t="s">
        <v>645</v>
      </c>
      <c r="J431" s="32" t="s">
        <v>1140</v>
      </c>
    </row>
    <row r="432" spans="6:10" x14ac:dyDescent="0.25">
      <c r="F432" s="32"/>
      <c r="G432" s="32" t="s">
        <v>1414</v>
      </c>
      <c r="H432" s="32" t="s">
        <v>1415</v>
      </c>
      <c r="I432" s="32" t="s">
        <v>924</v>
      </c>
      <c r="J432" s="32" t="s">
        <v>1317</v>
      </c>
    </row>
    <row r="433" spans="6:10" x14ac:dyDescent="0.25">
      <c r="F433" s="32"/>
      <c r="G433" s="32" t="s">
        <v>1416</v>
      </c>
      <c r="H433" s="32" t="s">
        <v>1417</v>
      </c>
      <c r="I433" s="32" t="s">
        <v>645</v>
      </c>
      <c r="J433" s="32" t="s">
        <v>1140</v>
      </c>
    </row>
    <row r="434" spans="6:10" x14ac:dyDescent="0.25">
      <c r="F434" s="32"/>
      <c r="G434" s="32" t="s">
        <v>1418</v>
      </c>
      <c r="H434" s="32" t="s">
        <v>1419</v>
      </c>
      <c r="I434" s="32" t="s">
        <v>645</v>
      </c>
      <c r="J434" s="32" t="s">
        <v>1140</v>
      </c>
    </row>
    <row r="435" spans="6:10" x14ac:dyDescent="0.25">
      <c r="F435" s="32"/>
      <c r="G435" s="32" t="s">
        <v>1420</v>
      </c>
      <c r="H435" s="32" t="s">
        <v>1421</v>
      </c>
      <c r="I435" s="32" t="s">
        <v>645</v>
      </c>
      <c r="J435" s="32" t="s">
        <v>1140</v>
      </c>
    </row>
    <row r="436" spans="6:10" x14ac:dyDescent="0.25">
      <c r="F436" s="32"/>
      <c r="G436" s="32" t="s">
        <v>1422</v>
      </c>
      <c r="H436" s="32" t="s">
        <v>1423</v>
      </c>
      <c r="I436" s="32" t="s">
        <v>645</v>
      </c>
      <c r="J436" s="32" t="s">
        <v>1140</v>
      </c>
    </row>
    <row r="437" spans="6:10" x14ac:dyDescent="0.25">
      <c r="F437" s="32"/>
      <c r="G437" s="32" t="s">
        <v>1424</v>
      </c>
      <c r="H437" s="32" t="s">
        <v>1425</v>
      </c>
      <c r="I437" s="32" t="s">
        <v>645</v>
      </c>
      <c r="J437" s="32" t="s">
        <v>1140</v>
      </c>
    </row>
    <row r="438" spans="6:10" x14ac:dyDescent="0.25">
      <c r="F438" s="32"/>
      <c r="G438" s="32" t="s">
        <v>1426</v>
      </c>
      <c r="H438" s="32" t="s">
        <v>1427</v>
      </c>
      <c r="I438" s="32" t="s">
        <v>924</v>
      </c>
      <c r="J438" s="32" t="s">
        <v>1317</v>
      </c>
    </row>
    <row r="439" spans="6:10" x14ac:dyDescent="0.25">
      <c r="F439" s="32"/>
      <c r="G439" s="32" t="s">
        <v>1428</v>
      </c>
      <c r="H439" s="32" t="s">
        <v>1429</v>
      </c>
      <c r="I439" s="32" t="s">
        <v>645</v>
      </c>
      <c r="J439" s="32" t="s">
        <v>1140</v>
      </c>
    </row>
    <row r="440" spans="6:10" x14ac:dyDescent="0.25">
      <c r="F440" s="32" t="s">
        <v>494</v>
      </c>
      <c r="G440" s="32"/>
      <c r="H440" s="32" t="s">
        <v>1430</v>
      </c>
      <c r="I440" s="32"/>
      <c r="J440" s="32"/>
    </row>
    <row r="441" spans="6:10" x14ac:dyDescent="0.25">
      <c r="F441" s="32"/>
      <c r="G441" s="32" t="s">
        <v>1431</v>
      </c>
      <c r="H441" s="32" t="s">
        <v>1432</v>
      </c>
      <c r="I441" s="32" t="s">
        <v>645</v>
      </c>
      <c r="J441" s="32" t="s">
        <v>1140</v>
      </c>
    </row>
    <row r="442" spans="6:10" x14ac:dyDescent="0.25">
      <c r="F442" s="32"/>
      <c r="G442" s="32" t="s">
        <v>1433</v>
      </c>
      <c r="H442" s="32" t="s">
        <v>1434</v>
      </c>
      <c r="I442" s="32" t="s">
        <v>645</v>
      </c>
      <c r="J442" s="32" t="s">
        <v>1140</v>
      </c>
    </row>
    <row r="443" spans="6:10" x14ac:dyDescent="0.25">
      <c r="F443" s="32"/>
      <c r="G443" s="32" t="s">
        <v>1435</v>
      </c>
      <c r="H443" s="32" t="s">
        <v>1436</v>
      </c>
      <c r="I443" s="32" t="s">
        <v>645</v>
      </c>
      <c r="J443" s="32" t="s">
        <v>1140</v>
      </c>
    </row>
    <row r="444" spans="6:10" x14ac:dyDescent="0.25">
      <c r="F444" s="32"/>
      <c r="G444" s="32" t="s">
        <v>1437</v>
      </c>
      <c r="H444" s="32" t="s">
        <v>1438</v>
      </c>
      <c r="I444" s="32" t="s">
        <v>645</v>
      </c>
      <c r="J444" s="32" t="s">
        <v>1140</v>
      </c>
    </row>
    <row r="445" spans="6:10" x14ac:dyDescent="0.25">
      <c r="F445" s="32"/>
      <c r="G445" s="32" t="s">
        <v>494</v>
      </c>
      <c r="H445" s="32" t="s">
        <v>1439</v>
      </c>
      <c r="I445" s="32" t="s">
        <v>645</v>
      </c>
      <c r="J445" s="32" t="s">
        <v>1140</v>
      </c>
    </row>
    <row r="446" spans="6:10" x14ac:dyDescent="0.25">
      <c r="F446" s="32"/>
      <c r="G446" s="32" t="s">
        <v>1440</v>
      </c>
      <c r="H446" s="32" t="s">
        <v>1441</v>
      </c>
      <c r="I446" s="32" t="s">
        <v>645</v>
      </c>
      <c r="J446" s="32" t="s">
        <v>1140</v>
      </c>
    </row>
    <row r="447" spans="6:10" x14ac:dyDescent="0.25">
      <c r="F447" s="32"/>
      <c r="G447" s="32" t="s">
        <v>784</v>
      </c>
      <c r="H447" s="32" t="s">
        <v>1442</v>
      </c>
      <c r="I447" s="32" t="s">
        <v>645</v>
      </c>
      <c r="J447" s="32" t="s">
        <v>1140</v>
      </c>
    </row>
    <row r="448" spans="6:10" x14ac:dyDescent="0.25">
      <c r="F448" s="32"/>
      <c r="G448" s="32" t="s">
        <v>1443</v>
      </c>
      <c r="H448" s="32" t="s">
        <v>1444</v>
      </c>
      <c r="I448" s="32" t="s">
        <v>645</v>
      </c>
      <c r="J448" s="32" t="s">
        <v>1140</v>
      </c>
    </row>
    <row r="449" spans="6:10" x14ac:dyDescent="0.25">
      <c r="F449" s="32"/>
      <c r="G449" s="32" t="s">
        <v>1445</v>
      </c>
      <c r="H449" s="32" t="s">
        <v>1446</v>
      </c>
      <c r="I449" s="32" t="s">
        <v>645</v>
      </c>
      <c r="J449" s="32" t="s">
        <v>1140</v>
      </c>
    </row>
    <row r="450" spans="6:10" x14ac:dyDescent="0.25">
      <c r="F450" s="32"/>
      <c r="G450" s="32" t="s">
        <v>1447</v>
      </c>
      <c r="H450" s="32" t="s">
        <v>1448</v>
      </c>
      <c r="I450" s="32" t="s">
        <v>645</v>
      </c>
      <c r="J450" s="32" t="s">
        <v>1140</v>
      </c>
    </row>
    <row r="451" spans="6:10" x14ac:dyDescent="0.25">
      <c r="F451" s="32"/>
      <c r="G451" s="32" t="s">
        <v>1449</v>
      </c>
      <c r="H451" s="32" t="s">
        <v>1450</v>
      </c>
      <c r="I451" s="32" t="s">
        <v>645</v>
      </c>
      <c r="J451" s="32" t="s">
        <v>1140</v>
      </c>
    </row>
    <row r="452" spans="6:10" x14ac:dyDescent="0.25">
      <c r="F452" s="32"/>
      <c r="G452" s="32" t="s">
        <v>1451</v>
      </c>
      <c r="H452" s="32" t="s">
        <v>1452</v>
      </c>
      <c r="I452" s="32" t="s">
        <v>645</v>
      </c>
      <c r="J452" s="32" t="s">
        <v>1140</v>
      </c>
    </row>
    <row r="453" spans="6:10" x14ac:dyDescent="0.25">
      <c r="F453" s="32"/>
      <c r="G453" s="32" t="s">
        <v>1453</v>
      </c>
      <c r="H453" s="32" t="s">
        <v>1454</v>
      </c>
      <c r="I453" s="32" t="s">
        <v>645</v>
      </c>
      <c r="J453" s="32" t="s">
        <v>1140</v>
      </c>
    </row>
    <row r="454" spans="6:10" x14ac:dyDescent="0.25">
      <c r="F454" s="32"/>
      <c r="G454" s="32" t="s">
        <v>1455</v>
      </c>
      <c r="H454" s="32" t="s">
        <v>1456</v>
      </c>
      <c r="I454" s="32" t="s">
        <v>645</v>
      </c>
      <c r="J454" s="32" t="s">
        <v>1140</v>
      </c>
    </row>
    <row r="455" spans="6:10" x14ac:dyDescent="0.25">
      <c r="F455" s="32"/>
      <c r="G455" s="32" t="s">
        <v>1457</v>
      </c>
      <c r="H455" s="32" t="s">
        <v>1458</v>
      </c>
      <c r="I455" s="32" t="s">
        <v>645</v>
      </c>
      <c r="J455" s="32" t="s">
        <v>1140</v>
      </c>
    </row>
    <row r="456" spans="6:10" x14ac:dyDescent="0.25">
      <c r="F456" s="32"/>
      <c r="G456" s="32" t="s">
        <v>1459</v>
      </c>
      <c r="H456" s="32" t="s">
        <v>1460</v>
      </c>
      <c r="I456" s="32" t="s">
        <v>645</v>
      </c>
      <c r="J456" s="32" t="s">
        <v>1140</v>
      </c>
    </row>
    <row r="457" spans="6:10" x14ac:dyDescent="0.25">
      <c r="F457" s="32"/>
      <c r="G457" s="32" t="s">
        <v>1461</v>
      </c>
      <c r="H457" s="32" t="s">
        <v>1462</v>
      </c>
      <c r="I457" s="32" t="s">
        <v>645</v>
      </c>
      <c r="J457" s="32" t="s">
        <v>1140</v>
      </c>
    </row>
    <row r="458" spans="6:10" x14ac:dyDescent="0.25">
      <c r="F458" s="32"/>
      <c r="G458" s="32" t="s">
        <v>1463</v>
      </c>
      <c r="H458" s="32" t="s">
        <v>1464</v>
      </c>
      <c r="I458" s="32" t="s">
        <v>645</v>
      </c>
      <c r="J458" s="32" t="s">
        <v>1140</v>
      </c>
    </row>
    <row r="459" spans="6:10" x14ac:dyDescent="0.25">
      <c r="F459" s="32"/>
      <c r="G459" s="32" t="s">
        <v>1465</v>
      </c>
      <c r="H459" s="32" t="s">
        <v>1466</v>
      </c>
      <c r="I459" s="32" t="s">
        <v>645</v>
      </c>
      <c r="J459" s="32" t="s">
        <v>1140</v>
      </c>
    </row>
    <row r="460" spans="6:10" x14ac:dyDescent="0.25">
      <c r="F460" s="32"/>
      <c r="G460" s="32" t="s">
        <v>1467</v>
      </c>
      <c r="H460" s="32" t="s">
        <v>1468</v>
      </c>
      <c r="I460" s="32" t="s">
        <v>924</v>
      </c>
      <c r="J460" s="32" t="s">
        <v>1317</v>
      </c>
    </row>
    <row r="461" spans="6:10" x14ac:dyDescent="0.25">
      <c r="F461" s="32" t="s">
        <v>495</v>
      </c>
      <c r="G461" s="32"/>
      <c r="H461" s="32" t="s">
        <v>1469</v>
      </c>
      <c r="I461" s="32"/>
      <c r="J461" s="32"/>
    </row>
    <row r="462" spans="6:10" x14ac:dyDescent="0.25">
      <c r="F462" s="32"/>
      <c r="G462" s="32" t="s">
        <v>654</v>
      </c>
      <c r="H462" s="32" t="s">
        <v>1470</v>
      </c>
      <c r="I462" s="32" t="s">
        <v>645</v>
      </c>
      <c r="J462" s="32" t="s">
        <v>1140</v>
      </c>
    </row>
    <row r="463" spans="6:10" x14ac:dyDescent="0.25">
      <c r="F463" s="32"/>
      <c r="G463" s="32" t="s">
        <v>1471</v>
      </c>
      <c r="H463" s="32" t="s">
        <v>1472</v>
      </c>
      <c r="I463" s="32" t="s">
        <v>645</v>
      </c>
      <c r="J463" s="32" t="s">
        <v>1140</v>
      </c>
    </row>
    <row r="464" spans="6:10" x14ac:dyDescent="0.25">
      <c r="F464" s="32"/>
      <c r="G464" s="32" t="s">
        <v>1473</v>
      </c>
      <c r="H464" s="32" t="s">
        <v>1474</v>
      </c>
      <c r="I464" s="32" t="s">
        <v>645</v>
      </c>
      <c r="J464" s="32" t="s">
        <v>1140</v>
      </c>
    </row>
    <row r="465" spans="6:10" x14ac:dyDescent="0.25">
      <c r="F465" s="32"/>
      <c r="G465" s="32" t="s">
        <v>1475</v>
      </c>
      <c r="H465" s="32" t="s">
        <v>1476</v>
      </c>
      <c r="I465" s="32" t="s">
        <v>645</v>
      </c>
      <c r="J465" s="32" t="s">
        <v>1140</v>
      </c>
    </row>
    <row r="466" spans="6:10" x14ac:dyDescent="0.25">
      <c r="F466" s="32"/>
      <c r="G466" s="32" t="s">
        <v>1477</v>
      </c>
      <c r="H466" s="32" t="s">
        <v>1478</v>
      </c>
      <c r="I466" s="32" t="s">
        <v>645</v>
      </c>
      <c r="J466" s="32" t="s">
        <v>1140</v>
      </c>
    </row>
    <row r="467" spans="6:10" x14ac:dyDescent="0.25">
      <c r="F467" s="32"/>
      <c r="G467" s="32" t="s">
        <v>1479</v>
      </c>
      <c r="H467" s="32" t="s">
        <v>1480</v>
      </c>
      <c r="I467" s="32" t="s">
        <v>924</v>
      </c>
      <c r="J467" s="32" t="s">
        <v>1317</v>
      </c>
    </row>
    <row r="468" spans="6:10" x14ac:dyDescent="0.25">
      <c r="F468" s="32"/>
      <c r="G468" s="32" t="s">
        <v>1481</v>
      </c>
      <c r="H468" s="32" t="s">
        <v>1482</v>
      </c>
      <c r="I468" s="32" t="s">
        <v>645</v>
      </c>
      <c r="J468" s="32" t="s">
        <v>1140</v>
      </c>
    </row>
    <row r="469" spans="6:10" x14ac:dyDescent="0.25">
      <c r="F469" s="32"/>
      <c r="G469" s="32" t="s">
        <v>1483</v>
      </c>
      <c r="H469" s="32" t="s">
        <v>1484</v>
      </c>
      <c r="I469" s="32" t="s">
        <v>645</v>
      </c>
      <c r="J469" s="32" t="s">
        <v>1140</v>
      </c>
    </row>
    <row r="470" spans="6:10" x14ac:dyDescent="0.25">
      <c r="F470" s="32" t="s">
        <v>496</v>
      </c>
      <c r="G470" s="32"/>
      <c r="H470" s="32" t="s">
        <v>1485</v>
      </c>
      <c r="I470" s="32"/>
      <c r="J470" s="32"/>
    </row>
    <row r="471" spans="6:10" x14ac:dyDescent="0.25">
      <c r="F471" s="32"/>
      <c r="G471" s="32" t="s">
        <v>1486</v>
      </c>
      <c r="H471" s="32" t="s">
        <v>1487</v>
      </c>
      <c r="I471" s="32" t="s">
        <v>924</v>
      </c>
      <c r="J471" s="32" t="s">
        <v>1317</v>
      </c>
    </row>
    <row r="472" spans="6:10" x14ac:dyDescent="0.25">
      <c r="F472" s="32"/>
      <c r="G472" s="32" t="s">
        <v>1488</v>
      </c>
      <c r="H472" s="32" t="s">
        <v>1489</v>
      </c>
      <c r="I472" s="32" t="s">
        <v>924</v>
      </c>
      <c r="J472" s="32" t="s">
        <v>1317</v>
      </c>
    </row>
    <row r="473" spans="6:10" x14ac:dyDescent="0.25">
      <c r="F473" s="32"/>
      <c r="G473" s="32" t="s">
        <v>1490</v>
      </c>
      <c r="H473" s="32" t="s">
        <v>1491</v>
      </c>
      <c r="I473" s="32" t="s">
        <v>924</v>
      </c>
      <c r="J473" s="32" t="s">
        <v>1317</v>
      </c>
    </row>
    <row r="474" spans="6:10" x14ac:dyDescent="0.25">
      <c r="F474" s="32"/>
      <c r="G474" s="32" t="s">
        <v>496</v>
      </c>
      <c r="H474" s="32" t="s">
        <v>1492</v>
      </c>
      <c r="I474" s="32" t="s">
        <v>924</v>
      </c>
      <c r="J474" s="32" t="s">
        <v>1317</v>
      </c>
    </row>
    <row r="475" spans="6:10" x14ac:dyDescent="0.25">
      <c r="F475" s="32"/>
      <c r="G475" s="32" t="s">
        <v>1493</v>
      </c>
      <c r="H475" s="32" t="s">
        <v>1494</v>
      </c>
      <c r="I475" s="32" t="s">
        <v>924</v>
      </c>
      <c r="J475" s="32" t="s">
        <v>1317</v>
      </c>
    </row>
    <row r="476" spans="6:10" x14ac:dyDescent="0.25">
      <c r="F476" s="32"/>
      <c r="G476" s="32" t="s">
        <v>1495</v>
      </c>
      <c r="H476" s="32" t="s">
        <v>1496</v>
      </c>
      <c r="I476" s="32" t="s">
        <v>924</v>
      </c>
      <c r="J476" s="32" t="s">
        <v>1317</v>
      </c>
    </row>
    <row r="477" spans="6:10" x14ac:dyDescent="0.25">
      <c r="F477" s="32" t="s">
        <v>4606</v>
      </c>
      <c r="G477" s="32"/>
      <c r="H477" s="32" t="s">
        <v>1497</v>
      </c>
      <c r="I477" s="32"/>
      <c r="J477" s="32"/>
    </row>
    <row r="478" spans="6:10" x14ac:dyDescent="0.25">
      <c r="F478" s="32"/>
      <c r="G478" s="32" t="s">
        <v>1498</v>
      </c>
      <c r="H478" s="32" t="s">
        <v>1499</v>
      </c>
      <c r="I478" s="32" t="s">
        <v>645</v>
      </c>
      <c r="J478" s="32" t="s">
        <v>1140</v>
      </c>
    </row>
    <row r="479" spans="6:10" x14ac:dyDescent="0.25">
      <c r="F479" s="32"/>
      <c r="G479" s="32" t="s">
        <v>1500</v>
      </c>
      <c r="H479" s="32" t="s">
        <v>1501</v>
      </c>
      <c r="I479" s="32" t="s">
        <v>645</v>
      </c>
      <c r="J479" s="32" t="s">
        <v>1140</v>
      </c>
    </row>
    <row r="480" spans="6:10" x14ac:dyDescent="0.25">
      <c r="F480" s="32"/>
      <c r="G480" s="32" t="s">
        <v>1502</v>
      </c>
      <c r="H480" s="32" t="s">
        <v>1503</v>
      </c>
      <c r="I480" s="32" t="s">
        <v>645</v>
      </c>
      <c r="J480" s="32" t="s">
        <v>1140</v>
      </c>
    </row>
    <row r="481" spans="6:10" x14ac:dyDescent="0.25">
      <c r="F481" s="32"/>
      <c r="G481" s="32" t="s">
        <v>1504</v>
      </c>
      <c r="H481" s="32" t="s">
        <v>1505</v>
      </c>
      <c r="I481" s="32" t="s">
        <v>645</v>
      </c>
      <c r="J481" s="32" t="s">
        <v>1140</v>
      </c>
    </row>
    <row r="482" spans="6:10" x14ac:dyDescent="0.25">
      <c r="F482" s="32"/>
      <c r="G482" s="32" t="s">
        <v>2080</v>
      </c>
      <c r="H482" s="32" t="s">
        <v>1506</v>
      </c>
      <c r="I482" s="32" t="s">
        <v>645</v>
      </c>
      <c r="J482" s="32" t="s">
        <v>1140</v>
      </c>
    </row>
    <row r="483" spans="6:10" x14ac:dyDescent="0.25">
      <c r="F483" s="32"/>
      <c r="G483" s="32" t="s">
        <v>1507</v>
      </c>
      <c r="H483" s="32" t="s">
        <v>1508</v>
      </c>
      <c r="I483" s="32" t="s">
        <v>645</v>
      </c>
      <c r="J483" s="32" t="s">
        <v>1140</v>
      </c>
    </row>
    <row r="484" spans="6:10" x14ac:dyDescent="0.25">
      <c r="F484" s="32"/>
      <c r="G484" s="32" t="s">
        <v>1509</v>
      </c>
      <c r="H484" s="32" t="s">
        <v>1510</v>
      </c>
      <c r="I484" s="32" t="s">
        <v>645</v>
      </c>
      <c r="J484" s="32" t="s">
        <v>1140</v>
      </c>
    </row>
    <row r="485" spans="6:10" x14ac:dyDescent="0.25">
      <c r="F485" s="32"/>
      <c r="G485" s="32" t="s">
        <v>1511</v>
      </c>
      <c r="H485" s="32" t="s">
        <v>1512</v>
      </c>
      <c r="I485" s="32" t="s">
        <v>645</v>
      </c>
      <c r="J485" s="32" t="s">
        <v>1140</v>
      </c>
    </row>
    <row r="486" spans="6:10" x14ac:dyDescent="0.25">
      <c r="F486" s="32"/>
      <c r="G486" s="32" t="s">
        <v>1513</v>
      </c>
      <c r="H486" s="32" t="s">
        <v>1514</v>
      </c>
      <c r="I486" s="32" t="s">
        <v>645</v>
      </c>
      <c r="J486" s="32" t="s">
        <v>1140</v>
      </c>
    </row>
    <row r="487" spans="6:10" x14ac:dyDescent="0.25">
      <c r="F487" s="32"/>
      <c r="G487" s="32" t="s">
        <v>1515</v>
      </c>
      <c r="H487" s="32" t="s">
        <v>1516</v>
      </c>
      <c r="I487" s="32" t="s">
        <v>645</v>
      </c>
      <c r="J487" s="32" t="s">
        <v>1140</v>
      </c>
    </row>
    <row r="488" spans="6:10" x14ac:dyDescent="0.25">
      <c r="F488" s="32"/>
      <c r="G488" s="32" t="s">
        <v>1517</v>
      </c>
      <c r="H488" s="32" t="s">
        <v>1518</v>
      </c>
      <c r="I488" s="32" t="s">
        <v>645</v>
      </c>
      <c r="J488" s="32" t="s">
        <v>1140</v>
      </c>
    </row>
    <row r="489" spans="6:10" x14ac:dyDescent="0.25">
      <c r="F489" s="32" t="s">
        <v>460</v>
      </c>
      <c r="G489" s="32"/>
      <c r="H489" s="32"/>
      <c r="I489" s="32"/>
      <c r="J489" s="32"/>
    </row>
    <row r="490" spans="6:10" x14ac:dyDescent="0.25">
      <c r="F490" s="32" t="s">
        <v>497</v>
      </c>
      <c r="G490" s="32"/>
      <c r="H490" s="32" t="s">
        <v>1519</v>
      </c>
      <c r="I490" s="32"/>
      <c r="J490" s="32"/>
    </row>
    <row r="491" spans="6:10" x14ac:dyDescent="0.25">
      <c r="F491" s="32"/>
      <c r="G491" s="32" t="s">
        <v>442</v>
      </c>
      <c r="H491" s="32" t="s">
        <v>1520</v>
      </c>
      <c r="I491" s="32" t="s">
        <v>645</v>
      </c>
      <c r="J491" s="32" t="s">
        <v>819</v>
      </c>
    </row>
    <row r="492" spans="6:10" x14ac:dyDescent="0.25">
      <c r="F492" s="32"/>
      <c r="G492" s="32" t="s">
        <v>1521</v>
      </c>
      <c r="H492" s="32" t="s">
        <v>1522</v>
      </c>
      <c r="I492" s="32" t="s">
        <v>645</v>
      </c>
      <c r="J492" s="32" t="s">
        <v>819</v>
      </c>
    </row>
    <row r="493" spans="6:10" x14ac:dyDescent="0.25">
      <c r="F493" s="32"/>
      <c r="G493" s="32" t="s">
        <v>1523</v>
      </c>
      <c r="H493" s="32" t="s">
        <v>1524</v>
      </c>
      <c r="I493" s="32" t="s">
        <v>645</v>
      </c>
      <c r="J493" s="32" t="s">
        <v>819</v>
      </c>
    </row>
    <row r="494" spans="6:10" x14ac:dyDescent="0.25">
      <c r="F494" s="32"/>
      <c r="G494" s="32" t="s">
        <v>1525</v>
      </c>
      <c r="H494" s="32" t="s">
        <v>1526</v>
      </c>
      <c r="I494" s="32" t="s">
        <v>645</v>
      </c>
      <c r="J494" s="32" t="s">
        <v>819</v>
      </c>
    </row>
    <row r="495" spans="6:10" x14ac:dyDescent="0.25">
      <c r="F495" s="32"/>
      <c r="G495" s="32" t="s">
        <v>1161</v>
      </c>
      <c r="H495" s="32" t="s">
        <v>1527</v>
      </c>
      <c r="I495" s="32" t="s">
        <v>645</v>
      </c>
      <c r="J495" s="32" t="s">
        <v>819</v>
      </c>
    </row>
    <row r="496" spans="6:10" x14ac:dyDescent="0.25">
      <c r="F496" s="32"/>
      <c r="G496" s="32" t="s">
        <v>477</v>
      </c>
      <c r="H496" s="32" t="s">
        <v>1528</v>
      </c>
      <c r="I496" s="32" t="s">
        <v>645</v>
      </c>
      <c r="J496" s="32" t="s">
        <v>819</v>
      </c>
    </row>
    <row r="497" spans="6:10" x14ac:dyDescent="0.25">
      <c r="F497" s="32"/>
      <c r="G497" s="32" t="s">
        <v>1529</v>
      </c>
      <c r="H497" s="32" t="s">
        <v>1530</v>
      </c>
      <c r="I497" s="32" t="s">
        <v>645</v>
      </c>
      <c r="J497" s="32" t="s">
        <v>819</v>
      </c>
    </row>
    <row r="498" spans="6:10" x14ac:dyDescent="0.25">
      <c r="F498" s="32"/>
      <c r="G498" s="32" t="s">
        <v>1531</v>
      </c>
      <c r="H498" s="32" t="s">
        <v>1532</v>
      </c>
      <c r="I498" s="32" t="s">
        <v>645</v>
      </c>
      <c r="J498" s="32" t="s">
        <v>819</v>
      </c>
    </row>
    <row r="499" spans="6:10" x14ac:dyDescent="0.25">
      <c r="F499" s="32"/>
      <c r="G499" s="32" t="s">
        <v>1533</v>
      </c>
      <c r="H499" s="32" t="s">
        <v>1534</v>
      </c>
      <c r="I499" s="32" t="s">
        <v>645</v>
      </c>
      <c r="J499" s="32" t="s">
        <v>819</v>
      </c>
    </row>
    <row r="500" spans="6:10" x14ac:dyDescent="0.25">
      <c r="F500" s="32"/>
      <c r="G500" s="32" t="s">
        <v>3510</v>
      </c>
      <c r="H500" s="32" t="s">
        <v>1535</v>
      </c>
      <c r="I500" s="32" t="s">
        <v>645</v>
      </c>
      <c r="J500" s="32" t="s">
        <v>819</v>
      </c>
    </row>
    <row r="501" spans="6:10" x14ac:dyDescent="0.25">
      <c r="F501" s="32"/>
      <c r="G501" s="32" t="s">
        <v>1536</v>
      </c>
      <c r="H501" s="32" t="s">
        <v>1537</v>
      </c>
      <c r="I501" s="32" t="s">
        <v>645</v>
      </c>
      <c r="J501" s="32" t="s">
        <v>819</v>
      </c>
    </row>
    <row r="502" spans="6:10" x14ac:dyDescent="0.25">
      <c r="F502" s="32"/>
      <c r="G502" s="32" t="s">
        <v>1538</v>
      </c>
      <c r="H502" s="32" t="s">
        <v>1539</v>
      </c>
      <c r="I502" s="32" t="s">
        <v>645</v>
      </c>
      <c r="J502" s="32" t="s">
        <v>819</v>
      </c>
    </row>
    <row r="503" spans="6:10" x14ac:dyDescent="0.25">
      <c r="F503" s="32"/>
      <c r="G503" s="32" t="s">
        <v>1540</v>
      </c>
      <c r="H503" s="32" t="s">
        <v>1541</v>
      </c>
      <c r="I503" s="32" t="s">
        <v>645</v>
      </c>
      <c r="J503" s="32" t="s">
        <v>819</v>
      </c>
    </row>
    <row r="504" spans="6:10" x14ac:dyDescent="0.25">
      <c r="F504" s="32"/>
      <c r="G504" s="32" t="s">
        <v>1542</v>
      </c>
      <c r="H504" s="32" t="s">
        <v>1543</v>
      </c>
      <c r="I504" s="32" t="s">
        <v>645</v>
      </c>
      <c r="J504" s="32" t="s">
        <v>819</v>
      </c>
    </row>
    <row r="505" spans="6:10" x14ac:dyDescent="0.25">
      <c r="F505" s="32"/>
      <c r="G505" s="32" t="s">
        <v>1544</v>
      </c>
      <c r="H505" s="32" t="s">
        <v>1545</v>
      </c>
      <c r="I505" s="32" t="s">
        <v>645</v>
      </c>
      <c r="J505" s="32" t="s">
        <v>819</v>
      </c>
    </row>
    <row r="506" spans="6:10" x14ac:dyDescent="0.25">
      <c r="F506" s="32"/>
      <c r="G506" s="32" t="s">
        <v>1546</v>
      </c>
      <c r="H506" s="32" t="s">
        <v>1547</v>
      </c>
      <c r="I506" s="32" t="s">
        <v>645</v>
      </c>
      <c r="J506" s="32" t="s">
        <v>819</v>
      </c>
    </row>
    <row r="507" spans="6:10" x14ac:dyDescent="0.25">
      <c r="F507" s="32" t="s">
        <v>498</v>
      </c>
      <c r="G507" s="32"/>
      <c r="H507" s="32" t="s">
        <v>1548</v>
      </c>
      <c r="I507" s="32"/>
      <c r="J507" s="32"/>
    </row>
    <row r="508" spans="6:10" x14ac:dyDescent="0.25">
      <c r="F508" s="32"/>
      <c r="G508" s="32" t="s">
        <v>498</v>
      </c>
      <c r="H508" s="32" t="s">
        <v>1549</v>
      </c>
      <c r="I508" s="32" t="s">
        <v>645</v>
      </c>
      <c r="J508" s="32" t="s">
        <v>819</v>
      </c>
    </row>
    <row r="509" spans="6:10" x14ac:dyDescent="0.25">
      <c r="F509" s="32"/>
      <c r="G509" s="32" t="s">
        <v>1550</v>
      </c>
      <c r="H509" s="32" t="s">
        <v>1551</v>
      </c>
      <c r="I509" s="32" t="s">
        <v>645</v>
      </c>
      <c r="J509" s="32" t="s">
        <v>819</v>
      </c>
    </row>
    <row r="510" spans="6:10" x14ac:dyDescent="0.25">
      <c r="F510" s="32"/>
      <c r="G510" s="32" t="s">
        <v>1552</v>
      </c>
      <c r="H510" s="32" t="s">
        <v>1553</v>
      </c>
      <c r="I510" s="32" t="s">
        <v>645</v>
      </c>
      <c r="J510" s="32" t="s">
        <v>819</v>
      </c>
    </row>
    <row r="511" spans="6:10" x14ac:dyDescent="0.25">
      <c r="F511" s="32"/>
      <c r="G511" s="32" t="s">
        <v>1554</v>
      </c>
      <c r="H511" s="32" t="s">
        <v>1555</v>
      </c>
      <c r="I511" s="32" t="s">
        <v>645</v>
      </c>
      <c r="J511" s="32" t="s">
        <v>819</v>
      </c>
    </row>
    <row r="512" spans="6:10" x14ac:dyDescent="0.25">
      <c r="F512" s="32"/>
      <c r="G512" s="32" t="s">
        <v>1556</v>
      </c>
      <c r="H512" s="32" t="s">
        <v>1557</v>
      </c>
      <c r="I512" s="32" t="s">
        <v>645</v>
      </c>
      <c r="J512" s="32" t="s">
        <v>819</v>
      </c>
    </row>
    <row r="513" spans="6:10" x14ac:dyDescent="0.25">
      <c r="F513" s="32"/>
      <c r="G513" s="32" t="s">
        <v>1558</v>
      </c>
      <c r="H513" s="32" t="s">
        <v>1559</v>
      </c>
      <c r="I513" s="32" t="s">
        <v>645</v>
      </c>
      <c r="J513" s="32" t="s">
        <v>819</v>
      </c>
    </row>
    <row r="514" spans="6:10" x14ac:dyDescent="0.25">
      <c r="F514" s="32" t="s">
        <v>4607</v>
      </c>
      <c r="G514" s="32"/>
      <c r="H514" s="32" t="s">
        <v>1560</v>
      </c>
      <c r="I514" s="32"/>
      <c r="J514" s="32"/>
    </row>
    <row r="515" spans="6:10" x14ac:dyDescent="0.25">
      <c r="F515" s="32"/>
      <c r="G515" s="32" t="s">
        <v>1561</v>
      </c>
      <c r="H515" s="32" t="s">
        <v>1562</v>
      </c>
      <c r="I515" s="32" t="s">
        <v>645</v>
      </c>
      <c r="J515" s="32" t="s">
        <v>819</v>
      </c>
    </row>
    <row r="516" spans="6:10" x14ac:dyDescent="0.25">
      <c r="F516" s="32"/>
      <c r="G516" s="32" t="s">
        <v>1563</v>
      </c>
      <c r="H516" s="32" t="s">
        <v>1564</v>
      </c>
      <c r="I516" s="32" t="s">
        <v>645</v>
      </c>
      <c r="J516" s="32" t="s">
        <v>819</v>
      </c>
    </row>
    <row r="517" spans="6:10" x14ac:dyDescent="0.25">
      <c r="F517" s="32"/>
      <c r="G517" s="32" t="s">
        <v>1565</v>
      </c>
      <c r="H517" s="32" t="s">
        <v>1566</v>
      </c>
      <c r="I517" s="32" t="s">
        <v>645</v>
      </c>
      <c r="J517" s="32" t="s">
        <v>819</v>
      </c>
    </row>
    <row r="518" spans="6:10" x14ac:dyDescent="0.25">
      <c r="F518" s="32"/>
      <c r="G518" s="32" t="s">
        <v>1567</v>
      </c>
      <c r="H518" s="32" t="s">
        <v>1568</v>
      </c>
      <c r="I518" s="32" t="s">
        <v>645</v>
      </c>
      <c r="J518" s="32" t="s">
        <v>819</v>
      </c>
    </row>
    <row r="519" spans="6:10" x14ac:dyDescent="0.25">
      <c r="F519" s="32" t="s">
        <v>499</v>
      </c>
      <c r="G519" s="32"/>
      <c r="H519" s="32" t="s">
        <v>1569</v>
      </c>
      <c r="I519" s="32"/>
      <c r="J519" s="32"/>
    </row>
    <row r="520" spans="6:10" x14ac:dyDescent="0.25">
      <c r="F520" s="32"/>
      <c r="G520" s="32" t="s">
        <v>499</v>
      </c>
      <c r="H520" s="32" t="s">
        <v>1570</v>
      </c>
      <c r="I520" s="32" t="s">
        <v>645</v>
      </c>
      <c r="J520" s="32" t="s">
        <v>819</v>
      </c>
    </row>
    <row r="521" spans="6:10" x14ac:dyDescent="0.25">
      <c r="F521" s="32"/>
      <c r="G521" s="32" t="s">
        <v>1571</v>
      </c>
      <c r="H521" s="32" t="s">
        <v>1572</v>
      </c>
      <c r="I521" s="32" t="s">
        <v>645</v>
      </c>
      <c r="J521" s="32" t="s">
        <v>819</v>
      </c>
    </row>
    <row r="522" spans="6:10" x14ac:dyDescent="0.25">
      <c r="F522" s="32"/>
      <c r="G522" s="32" t="s">
        <v>1573</v>
      </c>
      <c r="H522" s="32" t="s">
        <v>1574</v>
      </c>
      <c r="I522" s="32" t="s">
        <v>645</v>
      </c>
      <c r="J522" s="32" t="s">
        <v>819</v>
      </c>
    </row>
    <row r="523" spans="6:10" x14ac:dyDescent="0.25">
      <c r="F523" s="32"/>
      <c r="G523" s="32" t="s">
        <v>1575</v>
      </c>
      <c r="H523" s="32" t="s">
        <v>1576</v>
      </c>
      <c r="I523" s="32" t="s">
        <v>645</v>
      </c>
      <c r="J523" s="32" t="s">
        <v>819</v>
      </c>
    </row>
    <row r="524" spans="6:10" x14ac:dyDescent="0.25">
      <c r="F524" s="32"/>
      <c r="G524" s="32" t="s">
        <v>1577</v>
      </c>
      <c r="H524" s="32" t="s">
        <v>1578</v>
      </c>
      <c r="I524" s="32" t="s">
        <v>645</v>
      </c>
      <c r="J524" s="32" t="s">
        <v>819</v>
      </c>
    </row>
    <row r="525" spans="6:10" x14ac:dyDescent="0.25">
      <c r="F525" s="32"/>
      <c r="G525" s="32" t="s">
        <v>1579</v>
      </c>
      <c r="H525" s="32" t="s">
        <v>1580</v>
      </c>
      <c r="I525" s="32" t="s">
        <v>645</v>
      </c>
      <c r="J525" s="32" t="s">
        <v>819</v>
      </c>
    </row>
    <row r="526" spans="6:10" x14ac:dyDescent="0.25">
      <c r="F526" s="32"/>
      <c r="G526" s="32" t="s">
        <v>1581</v>
      </c>
      <c r="H526" s="32" t="s">
        <v>1582</v>
      </c>
      <c r="I526" s="32" t="s">
        <v>688</v>
      </c>
      <c r="J526" s="32" t="s">
        <v>688</v>
      </c>
    </row>
    <row r="527" spans="6:10" x14ac:dyDescent="0.25">
      <c r="F527" s="32"/>
      <c r="G527" s="32" t="s">
        <v>1583</v>
      </c>
      <c r="H527" s="32" t="s">
        <v>1584</v>
      </c>
      <c r="I527" s="32" t="s">
        <v>688</v>
      </c>
      <c r="J527" s="32" t="s">
        <v>688</v>
      </c>
    </row>
    <row r="528" spans="6:10" x14ac:dyDescent="0.25">
      <c r="F528" s="32"/>
      <c r="G528" s="32" t="s">
        <v>1585</v>
      </c>
      <c r="H528" s="32" t="s">
        <v>1586</v>
      </c>
      <c r="I528" s="32" t="s">
        <v>688</v>
      </c>
      <c r="J528" s="32" t="s">
        <v>688</v>
      </c>
    </row>
    <row r="529" spans="6:10" x14ac:dyDescent="0.25">
      <c r="F529" s="32"/>
      <c r="G529" s="32" t="s">
        <v>1587</v>
      </c>
      <c r="H529" s="32" t="s">
        <v>1588</v>
      </c>
      <c r="I529" s="32" t="s">
        <v>645</v>
      </c>
      <c r="J529" s="32" t="s">
        <v>819</v>
      </c>
    </row>
    <row r="530" spans="6:10" x14ac:dyDescent="0.25">
      <c r="F530" s="32"/>
      <c r="G530" s="32" t="s">
        <v>1589</v>
      </c>
      <c r="H530" s="32" t="s">
        <v>1590</v>
      </c>
      <c r="I530" s="32" t="s">
        <v>645</v>
      </c>
      <c r="J530" s="32" t="s">
        <v>819</v>
      </c>
    </row>
    <row r="531" spans="6:10" x14ac:dyDescent="0.25">
      <c r="F531" s="32"/>
      <c r="G531" s="32" t="s">
        <v>1591</v>
      </c>
      <c r="H531" s="32" t="s">
        <v>1592</v>
      </c>
      <c r="I531" s="32" t="s">
        <v>645</v>
      </c>
      <c r="J531" s="32" t="s">
        <v>819</v>
      </c>
    </row>
    <row r="532" spans="6:10" x14ac:dyDescent="0.25">
      <c r="F532" s="32" t="s">
        <v>500</v>
      </c>
      <c r="G532" s="32"/>
      <c r="H532" s="32" t="s">
        <v>1593</v>
      </c>
      <c r="I532" s="32"/>
      <c r="J532" s="32"/>
    </row>
    <row r="533" spans="6:10" x14ac:dyDescent="0.25">
      <c r="F533" s="32"/>
      <c r="G533" s="32" t="s">
        <v>619</v>
      </c>
      <c r="H533" s="32" t="s">
        <v>1594</v>
      </c>
      <c r="I533" s="32" t="s">
        <v>645</v>
      </c>
      <c r="J533" s="32" t="s">
        <v>819</v>
      </c>
    </row>
    <row r="534" spans="6:10" x14ac:dyDescent="0.25">
      <c r="F534" s="32"/>
      <c r="G534" s="32" t="s">
        <v>1595</v>
      </c>
      <c r="H534" s="32" t="s">
        <v>1596</v>
      </c>
      <c r="I534" s="32" t="s">
        <v>645</v>
      </c>
      <c r="J534" s="32" t="s">
        <v>819</v>
      </c>
    </row>
    <row r="535" spans="6:10" x14ac:dyDescent="0.25">
      <c r="F535" s="32"/>
      <c r="G535" s="32" t="s">
        <v>1597</v>
      </c>
      <c r="H535" s="32" t="s">
        <v>1598</v>
      </c>
      <c r="I535" s="32" t="s">
        <v>688</v>
      </c>
      <c r="J535" s="32" t="s">
        <v>688</v>
      </c>
    </row>
    <row r="536" spans="6:10" x14ac:dyDescent="0.25">
      <c r="F536" s="32"/>
      <c r="G536" s="32" t="s">
        <v>1599</v>
      </c>
      <c r="H536" s="32" t="s">
        <v>1600</v>
      </c>
      <c r="I536" s="32" t="s">
        <v>645</v>
      </c>
      <c r="J536" s="32" t="s">
        <v>819</v>
      </c>
    </row>
    <row r="537" spans="6:10" x14ac:dyDescent="0.25">
      <c r="F537" s="32"/>
      <c r="G537" s="32" t="s">
        <v>1601</v>
      </c>
      <c r="H537" s="32" t="s">
        <v>1602</v>
      </c>
      <c r="I537" s="32" t="s">
        <v>645</v>
      </c>
      <c r="J537" s="32" t="s">
        <v>819</v>
      </c>
    </row>
    <row r="538" spans="6:10" x14ac:dyDescent="0.25">
      <c r="F538" s="32"/>
      <c r="G538" s="32" t="s">
        <v>1603</v>
      </c>
      <c r="H538" s="32" t="s">
        <v>1604</v>
      </c>
      <c r="I538" s="32" t="s">
        <v>645</v>
      </c>
      <c r="J538" s="32" t="s">
        <v>819</v>
      </c>
    </row>
    <row r="539" spans="6:10" x14ac:dyDescent="0.25">
      <c r="F539" s="32"/>
      <c r="G539" s="32" t="s">
        <v>796</v>
      </c>
      <c r="H539" s="32" t="s">
        <v>1605</v>
      </c>
      <c r="I539" s="32" t="s">
        <v>688</v>
      </c>
      <c r="J539" s="32" t="s">
        <v>688</v>
      </c>
    </row>
    <row r="540" spans="6:10" x14ac:dyDescent="0.25">
      <c r="F540" s="32"/>
      <c r="G540" s="32" t="s">
        <v>1606</v>
      </c>
      <c r="H540" s="32" t="s">
        <v>1607</v>
      </c>
      <c r="I540" s="32" t="s">
        <v>645</v>
      </c>
      <c r="J540" s="32" t="s">
        <v>819</v>
      </c>
    </row>
    <row r="541" spans="6:10" x14ac:dyDescent="0.25">
      <c r="F541" s="32"/>
      <c r="G541" s="32" t="s">
        <v>1608</v>
      </c>
      <c r="H541" s="32" t="s">
        <v>1609</v>
      </c>
      <c r="I541" s="32" t="s">
        <v>688</v>
      </c>
      <c r="J541" s="32" t="s">
        <v>688</v>
      </c>
    </row>
    <row r="542" spans="6:10" x14ac:dyDescent="0.25">
      <c r="F542" s="32"/>
      <c r="G542" s="32" t="s">
        <v>1610</v>
      </c>
      <c r="H542" s="32" t="s">
        <v>1611</v>
      </c>
      <c r="I542" s="32" t="s">
        <v>688</v>
      </c>
      <c r="J542" s="32" t="s">
        <v>688</v>
      </c>
    </row>
    <row r="543" spans="6:10" x14ac:dyDescent="0.25">
      <c r="F543" s="32" t="s">
        <v>501</v>
      </c>
      <c r="G543" s="32"/>
      <c r="H543" s="32" t="s">
        <v>1612</v>
      </c>
      <c r="I543" s="32"/>
      <c r="J543" s="32"/>
    </row>
    <row r="544" spans="6:10" x14ac:dyDescent="0.25">
      <c r="F544" s="32"/>
      <c r="G544" s="32" t="s">
        <v>1613</v>
      </c>
      <c r="H544" s="32" t="s">
        <v>1614</v>
      </c>
      <c r="I544" s="32" t="s">
        <v>645</v>
      </c>
      <c r="J544" s="32" t="s">
        <v>819</v>
      </c>
    </row>
    <row r="545" spans="6:10" x14ac:dyDescent="0.25">
      <c r="F545" s="32"/>
      <c r="G545" s="32" t="s">
        <v>1615</v>
      </c>
      <c r="H545" s="32" t="s">
        <v>1616</v>
      </c>
      <c r="I545" s="32" t="s">
        <v>645</v>
      </c>
      <c r="J545" s="32" t="s">
        <v>819</v>
      </c>
    </row>
    <row r="546" spans="6:10" x14ac:dyDescent="0.25">
      <c r="F546" s="32"/>
      <c r="G546" s="32" t="s">
        <v>4037</v>
      </c>
      <c r="H546" s="32" t="s">
        <v>1617</v>
      </c>
      <c r="I546" s="32" t="s">
        <v>645</v>
      </c>
      <c r="J546" s="32" t="s">
        <v>819</v>
      </c>
    </row>
    <row r="547" spans="6:10" x14ac:dyDescent="0.25">
      <c r="F547" s="32"/>
      <c r="G547" s="32" t="s">
        <v>1618</v>
      </c>
      <c r="H547" s="32" t="s">
        <v>1619</v>
      </c>
      <c r="I547" s="32" t="s">
        <v>645</v>
      </c>
      <c r="J547" s="32" t="s">
        <v>819</v>
      </c>
    </row>
    <row r="548" spans="6:10" x14ac:dyDescent="0.25">
      <c r="F548" s="32"/>
      <c r="G548" s="32" t="s">
        <v>1620</v>
      </c>
      <c r="H548" s="32" t="s">
        <v>1621</v>
      </c>
      <c r="I548" s="32" t="s">
        <v>645</v>
      </c>
      <c r="J548" s="32" t="s">
        <v>819</v>
      </c>
    </row>
    <row r="549" spans="6:10" x14ac:dyDescent="0.25">
      <c r="F549" s="32"/>
      <c r="G549" s="32" t="s">
        <v>1622</v>
      </c>
      <c r="H549" s="32" t="s">
        <v>1623</v>
      </c>
      <c r="I549" s="32" t="s">
        <v>645</v>
      </c>
      <c r="J549" s="32" t="s">
        <v>819</v>
      </c>
    </row>
    <row r="550" spans="6:10" x14ac:dyDescent="0.25">
      <c r="F550" s="32"/>
      <c r="G550" s="32" t="s">
        <v>1624</v>
      </c>
      <c r="H550" s="32" t="s">
        <v>1625</v>
      </c>
      <c r="I550" s="32" t="s">
        <v>645</v>
      </c>
      <c r="J550" s="32" t="s">
        <v>819</v>
      </c>
    </row>
    <row r="551" spans="6:10" x14ac:dyDescent="0.25">
      <c r="F551" s="32"/>
      <c r="G551" s="32" t="s">
        <v>1626</v>
      </c>
      <c r="H551" s="32" t="s">
        <v>1627</v>
      </c>
      <c r="I551" s="32" t="s">
        <v>645</v>
      </c>
      <c r="J551" s="32" t="s">
        <v>819</v>
      </c>
    </row>
    <row r="552" spans="6:10" x14ac:dyDescent="0.25">
      <c r="F552" s="32"/>
      <c r="G552" s="32" t="s">
        <v>624</v>
      </c>
      <c r="H552" s="32" t="s">
        <v>1628</v>
      </c>
      <c r="I552" s="32" t="s">
        <v>645</v>
      </c>
      <c r="J552" s="32" t="s">
        <v>819</v>
      </c>
    </row>
    <row r="553" spans="6:10" x14ac:dyDescent="0.25">
      <c r="F553" s="32"/>
      <c r="G553" s="32" t="s">
        <v>1629</v>
      </c>
      <c r="H553" s="32" t="s">
        <v>1630</v>
      </c>
      <c r="I553" s="32" t="s">
        <v>645</v>
      </c>
      <c r="J553" s="32" t="s">
        <v>819</v>
      </c>
    </row>
    <row r="554" spans="6:10" x14ac:dyDescent="0.25">
      <c r="F554" s="32"/>
      <c r="G554" s="32" t="s">
        <v>501</v>
      </c>
      <c r="H554" s="32" t="s">
        <v>1631</v>
      </c>
      <c r="I554" s="32" t="s">
        <v>645</v>
      </c>
      <c r="J554" s="32" t="s">
        <v>819</v>
      </c>
    </row>
    <row r="555" spans="6:10" x14ac:dyDescent="0.25">
      <c r="F555" s="32"/>
      <c r="G555" s="32" t="s">
        <v>1632</v>
      </c>
      <c r="H555" s="32" t="s">
        <v>1633</v>
      </c>
      <c r="I555" s="32" t="s">
        <v>645</v>
      </c>
      <c r="J555" s="32" t="s">
        <v>819</v>
      </c>
    </row>
    <row r="556" spans="6:10" x14ac:dyDescent="0.25">
      <c r="F556" s="32"/>
      <c r="G556" s="32" t="s">
        <v>1634</v>
      </c>
      <c r="H556" s="32" t="s">
        <v>1635</v>
      </c>
      <c r="I556" s="32" t="s">
        <v>645</v>
      </c>
      <c r="J556" s="32" t="s">
        <v>819</v>
      </c>
    </row>
    <row r="557" spans="6:10" x14ac:dyDescent="0.25">
      <c r="F557" s="32"/>
      <c r="G557" s="32" t="s">
        <v>1636</v>
      </c>
      <c r="H557" s="32" t="s">
        <v>1637</v>
      </c>
      <c r="I557" s="32" t="s">
        <v>645</v>
      </c>
      <c r="J557" s="32" t="s">
        <v>819</v>
      </c>
    </row>
    <row r="558" spans="6:10" x14ac:dyDescent="0.25">
      <c r="F558" s="32"/>
      <c r="G558" s="32" t="s">
        <v>1638</v>
      </c>
      <c r="H558" s="32" t="s">
        <v>1639</v>
      </c>
      <c r="I558" s="32" t="s">
        <v>645</v>
      </c>
      <c r="J558" s="32" t="s">
        <v>819</v>
      </c>
    </row>
    <row r="559" spans="6:10" x14ac:dyDescent="0.25">
      <c r="F559" s="32"/>
      <c r="G559" s="32" t="s">
        <v>2317</v>
      </c>
      <c r="H559" s="32" t="s">
        <v>1640</v>
      </c>
      <c r="I559" s="32" t="s">
        <v>645</v>
      </c>
      <c r="J559" s="32" t="s">
        <v>819</v>
      </c>
    </row>
    <row r="560" spans="6:10" x14ac:dyDescent="0.25">
      <c r="F560" s="32"/>
      <c r="G560" s="32" t="s">
        <v>2098</v>
      </c>
      <c r="H560" s="32" t="s">
        <v>1641</v>
      </c>
      <c r="I560" s="32" t="s">
        <v>645</v>
      </c>
      <c r="J560" s="32" t="s">
        <v>819</v>
      </c>
    </row>
    <row r="561" spans="6:10" x14ac:dyDescent="0.25">
      <c r="F561" s="32"/>
      <c r="G561" s="32" t="s">
        <v>1642</v>
      </c>
      <c r="H561" s="32" t="s">
        <v>1643</v>
      </c>
      <c r="I561" s="32" t="s">
        <v>645</v>
      </c>
      <c r="J561" s="32" t="s">
        <v>819</v>
      </c>
    </row>
    <row r="562" spans="6:10" x14ac:dyDescent="0.25">
      <c r="F562" s="32"/>
      <c r="G562" s="32" t="s">
        <v>1561</v>
      </c>
      <c r="H562" s="32" t="s">
        <v>1644</v>
      </c>
      <c r="I562" s="32" t="s">
        <v>645</v>
      </c>
      <c r="J562" s="32" t="s">
        <v>819</v>
      </c>
    </row>
    <row r="563" spans="6:10" x14ac:dyDescent="0.25">
      <c r="F563" s="32"/>
      <c r="G563" s="32" t="s">
        <v>1645</v>
      </c>
      <c r="H563" s="32" t="s">
        <v>1646</v>
      </c>
      <c r="I563" s="32" t="s">
        <v>645</v>
      </c>
      <c r="J563" s="32" t="s">
        <v>819</v>
      </c>
    </row>
    <row r="564" spans="6:10" x14ac:dyDescent="0.25">
      <c r="F564" s="32"/>
      <c r="G564" s="32" t="s">
        <v>3992</v>
      </c>
      <c r="H564" s="32" t="s">
        <v>1647</v>
      </c>
      <c r="I564" s="32" t="s">
        <v>645</v>
      </c>
      <c r="J564" s="32" t="s">
        <v>819</v>
      </c>
    </row>
    <row r="565" spans="6:10" x14ac:dyDescent="0.25">
      <c r="F565" s="32" t="s">
        <v>502</v>
      </c>
      <c r="G565" s="32"/>
      <c r="H565" s="32" t="s">
        <v>1648</v>
      </c>
      <c r="I565" s="32"/>
      <c r="J565" s="32"/>
    </row>
    <row r="566" spans="6:10" x14ac:dyDescent="0.25">
      <c r="F566" s="32"/>
      <c r="G566" s="32" t="s">
        <v>1649</v>
      </c>
      <c r="H566" s="32" t="s">
        <v>1650</v>
      </c>
      <c r="I566" s="32" t="s">
        <v>645</v>
      </c>
      <c r="J566" s="32" t="s">
        <v>819</v>
      </c>
    </row>
    <row r="567" spans="6:10" x14ac:dyDescent="0.25">
      <c r="F567" s="32"/>
      <c r="G567" s="32" t="s">
        <v>1651</v>
      </c>
      <c r="H567" s="32" t="s">
        <v>1652</v>
      </c>
      <c r="I567" s="32" t="s">
        <v>645</v>
      </c>
      <c r="J567" s="32" t="s">
        <v>819</v>
      </c>
    </row>
    <row r="568" spans="6:10" x14ac:dyDescent="0.25">
      <c r="F568" s="32"/>
      <c r="G568" s="32" t="s">
        <v>1653</v>
      </c>
      <c r="H568" s="32" t="s">
        <v>1654</v>
      </c>
      <c r="I568" s="32" t="s">
        <v>645</v>
      </c>
      <c r="J568" s="32" t="s">
        <v>819</v>
      </c>
    </row>
    <row r="569" spans="6:10" x14ac:dyDescent="0.25">
      <c r="F569" s="32"/>
      <c r="G569" s="32" t="s">
        <v>1655</v>
      </c>
      <c r="H569" s="32" t="s">
        <v>1656</v>
      </c>
      <c r="I569" s="32" t="s">
        <v>645</v>
      </c>
      <c r="J569" s="32" t="s">
        <v>819</v>
      </c>
    </row>
    <row r="570" spans="6:10" x14ac:dyDescent="0.25">
      <c r="F570" s="32"/>
      <c r="G570" s="32" t="s">
        <v>1657</v>
      </c>
      <c r="H570" s="32" t="s">
        <v>1658</v>
      </c>
      <c r="I570" s="32" t="s">
        <v>645</v>
      </c>
      <c r="J570" s="32" t="s">
        <v>819</v>
      </c>
    </row>
    <row r="571" spans="6:10" x14ac:dyDescent="0.25">
      <c r="F571" s="32"/>
      <c r="G571" s="32" t="s">
        <v>1659</v>
      </c>
      <c r="H571" s="32" t="s">
        <v>1660</v>
      </c>
      <c r="I571" s="32" t="s">
        <v>645</v>
      </c>
      <c r="J571" s="32" t="s">
        <v>819</v>
      </c>
    </row>
    <row r="572" spans="6:10" x14ac:dyDescent="0.25">
      <c r="F572" s="32"/>
      <c r="G572" s="32" t="s">
        <v>1661</v>
      </c>
      <c r="H572" s="32" t="s">
        <v>1662</v>
      </c>
      <c r="I572" s="32" t="s">
        <v>645</v>
      </c>
      <c r="J572" s="32" t="s">
        <v>819</v>
      </c>
    </row>
    <row r="573" spans="6:10" x14ac:dyDescent="0.25">
      <c r="F573" s="32"/>
      <c r="G573" s="32" t="s">
        <v>1663</v>
      </c>
      <c r="H573" s="32" t="s">
        <v>1664</v>
      </c>
      <c r="I573" s="32" t="s">
        <v>645</v>
      </c>
      <c r="J573" s="32" t="s">
        <v>819</v>
      </c>
    </row>
    <row r="574" spans="6:10" x14ac:dyDescent="0.25">
      <c r="F574" s="32" t="s">
        <v>614</v>
      </c>
      <c r="G574" s="32"/>
      <c r="H574" s="32" t="s">
        <v>1665</v>
      </c>
      <c r="I574" s="32"/>
      <c r="J574" s="32"/>
    </row>
    <row r="575" spans="6:10" x14ac:dyDescent="0.25">
      <c r="F575" s="32"/>
      <c r="G575" s="32" t="s">
        <v>1666</v>
      </c>
      <c r="H575" s="32" t="s">
        <v>1667</v>
      </c>
      <c r="I575" s="32" t="s">
        <v>645</v>
      </c>
      <c r="J575" s="32" t="s">
        <v>819</v>
      </c>
    </row>
    <row r="576" spans="6:10" x14ac:dyDescent="0.25">
      <c r="F576" s="32"/>
      <c r="G576" s="32" t="s">
        <v>1668</v>
      </c>
      <c r="H576" s="32" t="s">
        <v>1669</v>
      </c>
      <c r="I576" s="32" t="s">
        <v>645</v>
      </c>
      <c r="J576" s="32" t="s">
        <v>819</v>
      </c>
    </row>
    <row r="577" spans="6:10" x14ac:dyDescent="0.25">
      <c r="F577" s="32"/>
      <c r="G577" s="32" t="s">
        <v>1670</v>
      </c>
      <c r="H577" s="32" t="s">
        <v>1671</v>
      </c>
      <c r="I577" s="32" t="s">
        <v>645</v>
      </c>
      <c r="J577" s="32" t="s">
        <v>819</v>
      </c>
    </row>
    <row r="578" spans="6:10" x14ac:dyDescent="0.25">
      <c r="F578" s="32"/>
      <c r="G578" s="32" t="s">
        <v>3977</v>
      </c>
      <c r="H578" s="32" t="s">
        <v>1672</v>
      </c>
      <c r="I578" s="32" t="s">
        <v>645</v>
      </c>
      <c r="J578" s="32" t="s">
        <v>819</v>
      </c>
    </row>
    <row r="579" spans="6:10" x14ac:dyDescent="0.25">
      <c r="F579" s="32"/>
      <c r="G579" s="32" t="s">
        <v>1673</v>
      </c>
      <c r="H579" s="32" t="s">
        <v>1674</v>
      </c>
      <c r="I579" s="32" t="s">
        <v>645</v>
      </c>
      <c r="J579" s="32" t="s">
        <v>819</v>
      </c>
    </row>
    <row r="580" spans="6:10" x14ac:dyDescent="0.25">
      <c r="F580" s="32"/>
      <c r="G580" s="32" t="s">
        <v>1675</v>
      </c>
      <c r="H580" s="32" t="s">
        <v>1676</v>
      </c>
      <c r="I580" s="32" t="s">
        <v>645</v>
      </c>
      <c r="J580" s="32" t="s">
        <v>819</v>
      </c>
    </row>
    <row r="581" spans="6:10" x14ac:dyDescent="0.25">
      <c r="F581" s="32"/>
      <c r="G581" s="32" t="s">
        <v>1677</v>
      </c>
      <c r="H581" s="32" t="s">
        <v>1678</v>
      </c>
      <c r="I581" s="32" t="s">
        <v>645</v>
      </c>
      <c r="J581" s="32" t="s">
        <v>819</v>
      </c>
    </row>
    <row r="582" spans="6:10" x14ac:dyDescent="0.25">
      <c r="F582" s="32"/>
      <c r="G582" s="32" t="s">
        <v>1679</v>
      </c>
      <c r="H582" s="32" t="s">
        <v>1680</v>
      </c>
      <c r="I582" s="32" t="s">
        <v>645</v>
      </c>
      <c r="J582" s="32" t="s">
        <v>819</v>
      </c>
    </row>
    <row r="583" spans="6:10" x14ac:dyDescent="0.25">
      <c r="F583" s="32"/>
      <c r="G583" s="32" t="s">
        <v>1681</v>
      </c>
      <c r="H583" s="32" t="s">
        <v>1682</v>
      </c>
      <c r="I583" s="32" t="s">
        <v>645</v>
      </c>
      <c r="J583" s="32" t="s">
        <v>819</v>
      </c>
    </row>
    <row r="584" spans="6:10" x14ac:dyDescent="0.25">
      <c r="F584" s="32"/>
      <c r="G584" s="32" t="s">
        <v>1683</v>
      </c>
      <c r="H584" s="32" t="s">
        <v>1684</v>
      </c>
      <c r="I584" s="32" t="s">
        <v>645</v>
      </c>
      <c r="J584" s="32" t="s">
        <v>819</v>
      </c>
    </row>
    <row r="585" spans="6:10" x14ac:dyDescent="0.25">
      <c r="F585" s="32" t="s">
        <v>503</v>
      </c>
      <c r="G585" s="32"/>
      <c r="H585" s="32" t="s">
        <v>1685</v>
      </c>
      <c r="I585" s="32"/>
      <c r="J585" s="32"/>
    </row>
    <row r="586" spans="6:10" x14ac:dyDescent="0.25">
      <c r="F586" s="32"/>
      <c r="G586" s="32" t="s">
        <v>1686</v>
      </c>
      <c r="H586" s="32" t="s">
        <v>1687</v>
      </c>
      <c r="I586" s="32" t="s">
        <v>645</v>
      </c>
      <c r="J586" s="32" t="s">
        <v>819</v>
      </c>
    </row>
    <row r="587" spans="6:10" x14ac:dyDescent="0.25">
      <c r="F587" s="32"/>
      <c r="G587" s="32" t="s">
        <v>1688</v>
      </c>
      <c r="H587" s="32" t="s">
        <v>1689</v>
      </c>
      <c r="I587" s="32" t="s">
        <v>645</v>
      </c>
      <c r="J587" s="32" t="s">
        <v>819</v>
      </c>
    </row>
    <row r="588" spans="6:10" x14ac:dyDescent="0.25">
      <c r="F588" s="32"/>
      <c r="G588" s="32" t="s">
        <v>1690</v>
      </c>
      <c r="H588" s="32" t="s">
        <v>1691</v>
      </c>
      <c r="I588" s="32" t="s">
        <v>645</v>
      </c>
      <c r="J588" s="32" t="s">
        <v>819</v>
      </c>
    </row>
    <row r="589" spans="6:10" x14ac:dyDescent="0.25">
      <c r="F589" s="32"/>
      <c r="G589" s="32" t="s">
        <v>1692</v>
      </c>
      <c r="H589" s="32" t="s">
        <v>1693</v>
      </c>
      <c r="I589" s="32" t="s">
        <v>645</v>
      </c>
      <c r="J589" s="32" t="s">
        <v>819</v>
      </c>
    </row>
    <row r="590" spans="6:10" x14ac:dyDescent="0.25">
      <c r="F590" s="32"/>
      <c r="G590" s="32" t="s">
        <v>1694</v>
      </c>
      <c r="H590" s="32" t="s">
        <v>1695</v>
      </c>
      <c r="I590" s="32" t="s">
        <v>645</v>
      </c>
      <c r="J590" s="32" t="s">
        <v>819</v>
      </c>
    </row>
    <row r="591" spans="6:10" x14ac:dyDescent="0.25">
      <c r="F591" s="32"/>
      <c r="G591" s="32" t="s">
        <v>1696</v>
      </c>
      <c r="H591" s="32" t="s">
        <v>1697</v>
      </c>
      <c r="I591" s="32" t="s">
        <v>645</v>
      </c>
      <c r="J591" s="32" t="s">
        <v>819</v>
      </c>
    </row>
    <row r="592" spans="6:10" x14ac:dyDescent="0.25">
      <c r="F592" s="32"/>
      <c r="G592" s="32" t="s">
        <v>1698</v>
      </c>
      <c r="H592" s="32" t="s">
        <v>1699</v>
      </c>
      <c r="I592" s="32" t="s">
        <v>645</v>
      </c>
      <c r="J592" s="32" t="s">
        <v>819</v>
      </c>
    </row>
    <row r="593" spans="6:10" x14ac:dyDescent="0.25">
      <c r="F593" s="32"/>
      <c r="G593" s="32" t="s">
        <v>1700</v>
      </c>
      <c r="H593" s="32" t="s">
        <v>1701</v>
      </c>
      <c r="I593" s="32" t="s">
        <v>645</v>
      </c>
      <c r="J593" s="32" t="s">
        <v>819</v>
      </c>
    </row>
    <row r="594" spans="6:10" x14ac:dyDescent="0.25">
      <c r="F594" s="32"/>
      <c r="G594" s="32" t="s">
        <v>1702</v>
      </c>
      <c r="H594" s="32" t="s">
        <v>1703</v>
      </c>
      <c r="I594" s="32" t="s">
        <v>645</v>
      </c>
      <c r="J594" s="32" t="s">
        <v>819</v>
      </c>
    </row>
    <row r="595" spans="6:10" x14ac:dyDescent="0.25">
      <c r="F595" s="32"/>
      <c r="G595" s="32" t="s">
        <v>1704</v>
      </c>
      <c r="H595" s="32" t="s">
        <v>1705</v>
      </c>
      <c r="I595" s="32" t="s">
        <v>645</v>
      </c>
      <c r="J595" s="32" t="s">
        <v>819</v>
      </c>
    </row>
    <row r="596" spans="6:10" x14ac:dyDescent="0.25">
      <c r="F596" s="32"/>
      <c r="G596" s="32" t="s">
        <v>1706</v>
      </c>
      <c r="H596" s="32" t="s">
        <v>1707</v>
      </c>
      <c r="I596" s="32" t="s">
        <v>688</v>
      </c>
      <c r="J596" s="32" t="s">
        <v>688</v>
      </c>
    </row>
    <row r="597" spans="6:10" x14ac:dyDescent="0.25">
      <c r="F597" s="32" t="s">
        <v>615</v>
      </c>
      <c r="G597" s="32"/>
      <c r="H597" s="32" t="s">
        <v>1708</v>
      </c>
      <c r="I597" s="32"/>
      <c r="J597" s="32"/>
    </row>
    <row r="598" spans="6:10" x14ac:dyDescent="0.25">
      <c r="F598" s="32"/>
      <c r="G598" s="32" t="s">
        <v>1709</v>
      </c>
      <c r="H598" s="32" t="s">
        <v>1710</v>
      </c>
      <c r="I598" s="32" t="s">
        <v>645</v>
      </c>
      <c r="J598" s="32" t="s">
        <v>819</v>
      </c>
    </row>
    <row r="599" spans="6:10" x14ac:dyDescent="0.25">
      <c r="F599" s="32"/>
      <c r="G599" s="32" t="s">
        <v>1711</v>
      </c>
      <c r="H599" s="32" t="s">
        <v>1712</v>
      </c>
      <c r="I599" s="32" t="s">
        <v>645</v>
      </c>
      <c r="J599" s="32" t="s">
        <v>819</v>
      </c>
    </row>
    <row r="600" spans="6:10" x14ac:dyDescent="0.25">
      <c r="F600" s="32"/>
      <c r="G600" s="32" t="s">
        <v>1713</v>
      </c>
      <c r="H600" s="32" t="s">
        <v>1714</v>
      </c>
      <c r="I600" s="32" t="s">
        <v>645</v>
      </c>
      <c r="J600" s="32" t="s">
        <v>819</v>
      </c>
    </row>
    <row r="601" spans="6:10" x14ac:dyDescent="0.25">
      <c r="F601" s="32"/>
      <c r="G601" s="32" t="s">
        <v>1715</v>
      </c>
      <c r="H601" s="32" t="s">
        <v>1716</v>
      </c>
      <c r="I601" s="32" t="s">
        <v>645</v>
      </c>
      <c r="J601" s="32" t="s">
        <v>819</v>
      </c>
    </row>
    <row r="602" spans="6:10" x14ac:dyDescent="0.25">
      <c r="F602" s="32"/>
      <c r="G602" s="32" t="s">
        <v>1717</v>
      </c>
      <c r="H602" s="32" t="s">
        <v>1718</v>
      </c>
      <c r="I602" s="32" t="s">
        <v>645</v>
      </c>
      <c r="J602" s="32" t="s">
        <v>819</v>
      </c>
    </row>
    <row r="603" spans="6:10" x14ac:dyDescent="0.25">
      <c r="F603" s="32"/>
      <c r="G603" s="32" t="s">
        <v>1719</v>
      </c>
      <c r="H603" s="32" t="s">
        <v>1720</v>
      </c>
      <c r="I603" s="32" t="s">
        <v>645</v>
      </c>
      <c r="J603" s="32" t="s">
        <v>819</v>
      </c>
    </row>
    <row r="604" spans="6:10" x14ac:dyDescent="0.25">
      <c r="F604" s="32"/>
      <c r="G604" s="32" t="s">
        <v>1721</v>
      </c>
      <c r="H604" s="32" t="s">
        <v>1722</v>
      </c>
      <c r="I604" s="32" t="s">
        <v>645</v>
      </c>
      <c r="J604" s="32" t="s">
        <v>819</v>
      </c>
    </row>
    <row r="605" spans="6:10" x14ac:dyDescent="0.25">
      <c r="F605" s="32"/>
      <c r="G605" s="32" t="s">
        <v>1723</v>
      </c>
      <c r="H605" s="32" t="s">
        <v>1724</v>
      </c>
      <c r="I605" s="32" t="s">
        <v>645</v>
      </c>
      <c r="J605" s="32" t="s">
        <v>819</v>
      </c>
    </row>
    <row r="606" spans="6:10" x14ac:dyDescent="0.25">
      <c r="F606" s="32"/>
      <c r="G606" s="32" t="s">
        <v>1725</v>
      </c>
      <c r="H606" s="32" t="s">
        <v>1726</v>
      </c>
      <c r="I606" s="32" t="s">
        <v>645</v>
      </c>
      <c r="J606" s="32" t="s">
        <v>819</v>
      </c>
    </row>
    <row r="607" spans="6:10" x14ac:dyDescent="0.25">
      <c r="F607" s="32"/>
      <c r="G607" s="32" t="s">
        <v>1727</v>
      </c>
      <c r="H607" s="32" t="s">
        <v>1728</v>
      </c>
      <c r="I607" s="32" t="s">
        <v>645</v>
      </c>
      <c r="J607" s="32" t="s">
        <v>819</v>
      </c>
    </row>
    <row r="608" spans="6:10" x14ac:dyDescent="0.25">
      <c r="F608" s="32"/>
      <c r="G608" s="32" t="s">
        <v>1729</v>
      </c>
      <c r="H608" s="32" t="s">
        <v>1730</v>
      </c>
      <c r="I608" s="32" t="s">
        <v>645</v>
      </c>
      <c r="J608" s="32" t="s">
        <v>819</v>
      </c>
    </row>
    <row r="609" spans="6:10" x14ac:dyDescent="0.25">
      <c r="F609" s="32"/>
      <c r="G609" s="32" t="s">
        <v>1731</v>
      </c>
      <c r="H609" s="32" t="s">
        <v>1732</v>
      </c>
      <c r="I609" s="32" t="s">
        <v>645</v>
      </c>
      <c r="J609" s="32" t="s">
        <v>819</v>
      </c>
    </row>
    <row r="610" spans="6:10" x14ac:dyDescent="0.25">
      <c r="F610" s="32" t="s">
        <v>616</v>
      </c>
      <c r="G610" s="32"/>
      <c r="H610" s="32" t="s">
        <v>1733</v>
      </c>
      <c r="I610" s="32"/>
      <c r="J610" s="32"/>
    </row>
    <row r="611" spans="6:10" x14ac:dyDescent="0.25">
      <c r="F611" s="32"/>
      <c r="G611" s="32" t="s">
        <v>1734</v>
      </c>
      <c r="H611" s="32" t="s">
        <v>1735</v>
      </c>
      <c r="I611" s="32" t="s">
        <v>645</v>
      </c>
      <c r="J611" s="32" t="s">
        <v>819</v>
      </c>
    </row>
    <row r="612" spans="6:10" x14ac:dyDescent="0.25">
      <c r="F612" s="32"/>
      <c r="G612" s="32" t="s">
        <v>1736</v>
      </c>
      <c r="H612" s="32" t="s">
        <v>1737</v>
      </c>
      <c r="I612" s="32" t="s">
        <v>645</v>
      </c>
      <c r="J612" s="32" t="s">
        <v>819</v>
      </c>
    </row>
    <row r="613" spans="6:10" x14ac:dyDescent="0.25">
      <c r="F613" s="32"/>
      <c r="G613" s="32" t="s">
        <v>1738</v>
      </c>
      <c r="H613" s="32" t="s">
        <v>1739</v>
      </c>
      <c r="I613" s="32" t="s">
        <v>645</v>
      </c>
      <c r="J613" s="32" t="s">
        <v>819</v>
      </c>
    </row>
    <row r="614" spans="6:10" x14ac:dyDescent="0.25">
      <c r="F614" s="32"/>
      <c r="G614" s="32" t="s">
        <v>1740</v>
      </c>
      <c r="H614" s="32" t="s">
        <v>1741</v>
      </c>
      <c r="I614" s="32" t="s">
        <v>645</v>
      </c>
      <c r="J614" s="32" t="s">
        <v>819</v>
      </c>
    </row>
    <row r="615" spans="6:10" x14ac:dyDescent="0.25">
      <c r="F615" s="32"/>
      <c r="G615" s="32" t="s">
        <v>1742</v>
      </c>
      <c r="H615" s="32" t="s">
        <v>1743</v>
      </c>
      <c r="I615" s="32" t="s">
        <v>645</v>
      </c>
      <c r="J615" s="32" t="s">
        <v>819</v>
      </c>
    </row>
    <row r="616" spans="6:10" x14ac:dyDescent="0.25">
      <c r="F616" s="32"/>
      <c r="G616" s="32" t="s">
        <v>3176</v>
      </c>
      <c r="H616" s="32" t="s">
        <v>1744</v>
      </c>
      <c r="I616" s="32" t="s">
        <v>645</v>
      </c>
      <c r="J616" s="32" t="s">
        <v>819</v>
      </c>
    </row>
    <row r="617" spans="6:10" x14ac:dyDescent="0.25">
      <c r="F617" s="32"/>
      <c r="G617" s="32" t="s">
        <v>1745</v>
      </c>
      <c r="H617" s="32" t="s">
        <v>1746</v>
      </c>
      <c r="I617" s="32" t="s">
        <v>645</v>
      </c>
      <c r="J617" s="32" t="s">
        <v>819</v>
      </c>
    </row>
    <row r="618" spans="6:10" x14ac:dyDescent="0.25">
      <c r="F618" s="32"/>
      <c r="G618" s="32" t="s">
        <v>1747</v>
      </c>
      <c r="H618" s="32" t="s">
        <v>1748</v>
      </c>
      <c r="I618" s="32" t="s">
        <v>645</v>
      </c>
      <c r="J618" s="32" t="s">
        <v>819</v>
      </c>
    </row>
    <row r="619" spans="6:10" x14ac:dyDescent="0.25">
      <c r="F619" s="32" t="s">
        <v>460</v>
      </c>
      <c r="G619" s="32"/>
      <c r="H619" s="32"/>
      <c r="I619" s="32"/>
      <c r="J619" s="32"/>
    </row>
    <row r="620" spans="6:10" x14ac:dyDescent="0.25">
      <c r="F620" s="32" t="s">
        <v>443</v>
      </c>
      <c r="G620" s="32"/>
      <c r="H620" s="32" t="s">
        <v>1749</v>
      </c>
      <c r="I620" s="32"/>
      <c r="J620" s="32"/>
    </row>
    <row r="621" spans="6:10" x14ac:dyDescent="0.25">
      <c r="F621" s="32" t="s">
        <v>4608</v>
      </c>
      <c r="G621" s="32" t="s">
        <v>443</v>
      </c>
      <c r="H621" s="32" t="s">
        <v>1750</v>
      </c>
      <c r="I621" s="32" t="s">
        <v>645</v>
      </c>
      <c r="J621" s="32" t="s">
        <v>646</v>
      </c>
    </row>
    <row r="622" spans="6:10" x14ac:dyDescent="0.25">
      <c r="F622" s="32"/>
      <c r="G622" s="32" t="s">
        <v>1751</v>
      </c>
      <c r="H622" s="32" t="s">
        <v>1752</v>
      </c>
      <c r="I622" s="32" t="s">
        <v>645</v>
      </c>
      <c r="J622" s="32" t="s">
        <v>646</v>
      </c>
    </row>
    <row r="623" spans="6:10" x14ac:dyDescent="0.25">
      <c r="F623" s="32"/>
      <c r="G623" s="32" t="s">
        <v>1753</v>
      </c>
      <c r="H623" s="32" t="s">
        <v>1754</v>
      </c>
      <c r="I623" s="32" t="s">
        <v>645</v>
      </c>
      <c r="J623" s="32" t="s">
        <v>646</v>
      </c>
    </row>
    <row r="624" spans="6:10" x14ac:dyDescent="0.25">
      <c r="F624" s="32"/>
      <c r="G624" s="32" t="s">
        <v>1755</v>
      </c>
      <c r="H624" s="32" t="s">
        <v>1756</v>
      </c>
      <c r="I624" s="32" t="s">
        <v>645</v>
      </c>
      <c r="J624" s="32" t="s">
        <v>646</v>
      </c>
    </row>
    <row r="625" spans="6:10" x14ac:dyDescent="0.25">
      <c r="F625" s="32"/>
      <c r="G625" s="32" t="s">
        <v>1757</v>
      </c>
      <c r="H625" s="32" t="s">
        <v>1758</v>
      </c>
      <c r="I625" s="32" t="s">
        <v>645</v>
      </c>
      <c r="J625" s="32" t="s">
        <v>646</v>
      </c>
    </row>
    <row r="626" spans="6:10" x14ac:dyDescent="0.25">
      <c r="F626" s="32"/>
      <c r="G626" s="32" t="s">
        <v>1759</v>
      </c>
      <c r="H626" s="32" t="s">
        <v>1760</v>
      </c>
      <c r="I626" s="32" t="s">
        <v>645</v>
      </c>
      <c r="J626" s="32" t="s">
        <v>646</v>
      </c>
    </row>
    <row r="627" spans="6:10" x14ac:dyDescent="0.25">
      <c r="F627" s="32"/>
      <c r="G627" s="32" t="s">
        <v>1761</v>
      </c>
      <c r="H627" s="32" t="s">
        <v>1762</v>
      </c>
      <c r="I627" s="32" t="s">
        <v>645</v>
      </c>
      <c r="J627" s="32" t="s">
        <v>646</v>
      </c>
    </row>
    <row r="628" spans="6:10" x14ac:dyDescent="0.25">
      <c r="F628" s="32"/>
      <c r="G628" s="32" t="s">
        <v>1763</v>
      </c>
      <c r="H628" s="32" t="s">
        <v>1764</v>
      </c>
      <c r="I628" s="32" t="s">
        <v>645</v>
      </c>
      <c r="J628" s="32" t="s">
        <v>646</v>
      </c>
    </row>
    <row r="629" spans="6:10" x14ac:dyDescent="0.25">
      <c r="F629" s="32"/>
      <c r="G629" s="32" t="s">
        <v>666</v>
      </c>
      <c r="H629" s="32" t="s">
        <v>1765</v>
      </c>
      <c r="I629" s="32" t="s">
        <v>645</v>
      </c>
      <c r="J629" s="32" t="s">
        <v>646</v>
      </c>
    </row>
    <row r="630" spans="6:10" x14ac:dyDescent="0.25">
      <c r="F630" s="32"/>
      <c r="G630" s="32" t="s">
        <v>1766</v>
      </c>
      <c r="H630" s="32" t="s">
        <v>1767</v>
      </c>
      <c r="I630" s="32" t="s">
        <v>645</v>
      </c>
      <c r="J630" s="32" t="s">
        <v>646</v>
      </c>
    </row>
    <row r="631" spans="6:10" x14ac:dyDescent="0.25">
      <c r="F631" s="32"/>
      <c r="G631" s="32" t="s">
        <v>1768</v>
      </c>
      <c r="H631" s="32" t="s">
        <v>1769</v>
      </c>
      <c r="I631" s="32" t="s">
        <v>645</v>
      </c>
      <c r="J631" s="32" t="s">
        <v>646</v>
      </c>
    </row>
    <row r="632" spans="6:10" x14ac:dyDescent="0.25">
      <c r="F632" s="32"/>
      <c r="G632" s="32" t="s">
        <v>2317</v>
      </c>
      <c r="H632" s="32" t="s">
        <v>1770</v>
      </c>
      <c r="I632" s="32" t="s">
        <v>645</v>
      </c>
      <c r="J632" s="32" t="s">
        <v>646</v>
      </c>
    </row>
    <row r="633" spans="6:10" x14ac:dyDescent="0.25">
      <c r="F633" s="32" t="s">
        <v>504</v>
      </c>
      <c r="G633" s="32"/>
      <c r="H633" s="32" t="s">
        <v>1771</v>
      </c>
      <c r="I633" s="32"/>
      <c r="J633" s="32"/>
    </row>
    <row r="634" spans="6:10" x14ac:dyDescent="0.25">
      <c r="F634" s="32"/>
      <c r="G634" s="32" t="s">
        <v>504</v>
      </c>
      <c r="H634" s="32" t="s">
        <v>1772</v>
      </c>
      <c r="I634" s="32" t="s">
        <v>645</v>
      </c>
      <c r="J634" s="32" t="s">
        <v>646</v>
      </c>
    </row>
    <row r="635" spans="6:10" x14ac:dyDescent="0.25">
      <c r="F635" s="32"/>
      <c r="G635" s="32" t="s">
        <v>1773</v>
      </c>
      <c r="H635" s="32" t="s">
        <v>1774</v>
      </c>
      <c r="I635" s="32" t="s">
        <v>645</v>
      </c>
      <c r="J635" s="32" t="s">
        <v>646</v>
      </c>
    </row>
    <row r="636" spans="6:10" x14ac:dyDescent="0.25">
      <c r="F636" s="32"/>
      <c r="G636" s="32" t="s">
        <v>1775</v>
      </c>
      <c r="H636" s="32" t="s">
        <v>1776</v>
      </c>
      <c r="I636" s="32" t="s">
        <v>645</v>
      </c>
      <c r="J636" s="32" t="s">
        <v>646</v>
      </c>
    </row>
    <row r="637" spans="6:10" x14ac:dyDescent="0.25">
      <c r="F637" s="32"/>
      <c r="G637" s="32" t="s">
        <v>1777</v>
      </c>
      <c r="H637" s="32" t="s">
        <v>1778</v>
      </c>
      <c r="I637" s="32" t="s">
        <v>645</v>
      </c>
      <c r="J637" s="32" t="s">
        <v>646</v>
      </c>
    </row>
    <row r="638" spans="6:10" x14ac:dyDescent="0.25">
      <c r="F638" s="32" t="s">
        <v>505</v>
      </c>
      <c r="G638" s="32"/>
      <c r="H638" s="32" t="s">
        <v>1779</v>
      </c>
      <c r="I638" s="32"/>
      <c r="J638" s="32"/>
    </row>
    <row r="639" spans="6:10" x14ac:dyDescent="0.25">
      <c r="F639" s="32"/>
      <c r="G639" s="32" t="s">
        <v>505</v>
      </c>
      <c r="H639" s="32" t="s">
        <v>1780</v>
      </c>
      <c r="I639" s="32" t="s">
        <v>645</v>
      </c>
      <c r="J639" s="32" t="s">
        <v>646</v>
      </c>
    </row>
    <row r="640" spans="6:10" x14ac:dyDescent="0.25">
      <c r="F640" s="32"/>
      <c r="G640" s="32" t="s">
        <v>1781</v>
      </c>
      <c r="H640" s="32" t="s">
        <v>1782</v>
      </c>
      <c r="I640" s="32" t="s">
        <v>645</v>
      </c>
      <c r="J640" s="32" t="s">
        <v>646</v>
      </c>
    </row>
    <row r="641" spans="6:10" x14ac:dyDescent="0.25">
      <c r="F641" s="32"/>
      <c r="G641" s="32" t="s">
        <v>1783</v>
      </c>
      <c r="H641" s="32" t="s">
        <v>1784</v>
      </c>
      <c r="I641" s="32" t="s">
        <v>688</v>
      </c>
      <c r="J641" s="32" t="s">
        <v>688</v>
      </c>
    </row>
    <row r="642" spans="6:10" x14ac:dyDescent="0.25">
      <c r="F642" s="32"/>
      <c r="G642" s="32" t="s">
        <v>1785</v>
      </c>
      <c r="H642" s="32" t="s">
        <v>1786</v>
      </c>
      <c r="I642" s="32" t="s">
        <v>645</v>
      </c>
      <c r="J642" s="32" t="s">
        <v>646</v>
      </c>
    </row>
    <row r="643" spans="6:10" x14ac:dyDescent="0.25">
      <c r="F643" s="32"/>
      <c r="G643" s="32" t="s">
        <v>1787</v>
      </c>
      <c r="H643" s="32" t="s">
        <v>1788</v>
      </c>
      <c r="I643" s="32" t="s">
        <v>645</v>
      </c>
      <c r="J643" s="32" t="s">
        <v>646</v>
      </c>
    </row>
    <row r="644" spans="6:10" x14ac:dyDescent="0.25">
      <c r="F644" s="32"/>
      <c r="G644" s="32" t="s">
        <v>1789</v>
      </c>
      <c r="H644" s="32" t="s">
        <v>1790</v>
      </c>
      <c r="I644" s="32" t="s">
        <v>645</v>
      </c>
      <c r="J644" s="32" t="s">
        <v>646</v>
      </c>
    </row>
    <row r="645" spans="6:10" x14ac:dyDescent="0.25">
      <c r="F645" s="32"/>
      <c r="G645" s="32" t="s">
        <v>1791</v>
      </c>
      <c r="H645" s="32" t="s">
        <v>1792</v>
      </c>
      <c r="I645" s="32" t="s">
        <v>645</v>
      </c>
      <c r="J645" s="32" t="s">
        <v>646</v>
      </c>
    </row>
    <row r="646" spans="6:10" x14ac:dyDescent="0.25">
      <c r="F646" s="32"/>
      <c r="G646" s="32" t="s">
        <v>1793</v>
      </c>
      <c r="H646" s="32" t="s">
        <v>1794</v>
      </c>
      <c r="I646" s="32" t="s">
        <v>645</v>
      </c>
      <c r="J646" s="32" t="s">
        <v>646</v>
      </c>
    </row>
    <row r="647" spans="6:10" x14ac:dyDescent="0.25">
      <c r="F647" s="32"/>
      <c r="G647" s="32" t="s">
        <v>1795</v>
      </c>
      <c r="H647" s="32" t="s">
        <v>1796</v>
      </c>
      <c r="I647" s="32" t="s">
        <v>645</v>
      </c>
      <c r="J647" s="32" t="s">
        <v>646</v>
      </c>
    </row>
    <row r="648" spans="6:10" x14ac:dyDescent="0.25">
      <c r="F648" s="32"/>
      <c r="G648" s="32" t="s">
        <v>503</v>
      </c>
      <c r="H648" s="32" t="s">
        <v>1797</v>
      </c>
      <c r="I648" s="32" t="s">
        <v>645</v>
      </c>
      <c r="J648" s="32" t="s">
        <v>646</v>
      </c>
    </row>
    <row r="649" spans="6:10" x14ac:dyDescent="0.25">
      <c r="F649" s="32"/>
      <c r="G649" s="32" t="s">
        <v>1798</v>
      </c>
      <c r="H649" s="32" t="s">
        <v>1799</v>
      </c>
      <c r="I649" s="32" t="s">
        <v>645</v>
      </c>
      <c r="J649" s="32" t="s">
        <v>646</v>
      </c>
    </row>
    <row r="650" spans="6:10" x14ac:dyDescent="0.25">
      <c r="F650" s="32"/>
      <c r="G650" s="32" t="s">
        <v>1800</v>
      </c>
      <c r="H650" s="32" t="s">
        <v>1801</v>
      </c>
      <c r="I650" s="32" t="s">
        <v>645</v>
      </c>
      <c r="J650" s="32" t="s">
        <v>646</v>
      </c>
    </row>
    <row r="651" spans="6:10" x14ac:dyDescent="0.25">
      <c r="F651" s="32" t="s">
        <v>506</v>
      </c>
      <c r="G651" s="32"/>
      <c r="H651" s="32" t="s">
        <v>1802</v>
      </c>
      <c r="I651" s="32"/>
      <c r="J651" s="32"/>
    </row>
    <row r="652" spans="6:10" x14ac:dyDescent="0.25">
      <c r="F652" s="32"/>
      <c r="G652" s="32" t="s">
        <v>506</v>
      </c>
      <c r="H652" s="32" t="s">
        <v>1803</v>
      </c>
      <c r="I652" s="32" t="s">
        <v>645</v>
      </c>
      <c r="J652" s="32" t="s">
        <v>646</v>
      </c>
    </row>
    <row r="653" spans="6:10" x14ac:dyDescent="0.25">
      <c r="F653" s="32"/>
      <c r="G653" s="32" t="s">
        <v>1804</v>
      </c>
      <c r="H653" s="32" t="s">
        <v>1805</v>
      </c>
      <c r="I653" s="32" t="s">
        <v>645</v>
      </c>
      <c r="J653" s="32" t="s">
        <v>646</v>
      </c>
    </row>
    <row r="654" spans="6:10" x14ac:dyDescent="0.25">
      <c r="F654" s="32"/>
      <c r="G654" s="32" t="s">
        <v>1806</v>
      </c>
      <c r="H654" s="32" t="s">
        <v>1807</v>
      </c>
      <c r="I654" s="32" t="s">
        <v>645</v>
      </c>
      <c r="J654" s="32" t="s">
        <v>646</v>
      </c>
    </row>
    <row r="655" spans="6:10" x14ac:dyDescent="0.25">
      <c r="F655" s="32"/>
      <c r="G655" s="32" t="s">
        <v>1808</v>
      </c>
      <c r="H655" s="32" t="s">
        <v>1809</v>
      </c>
      <c r="I655" s="32" t="s">
        <v>645</v>
      </c>
      <c r="J655" s="32" t="s">
        <v>646</v>
      </c>
    </row>
    <row r="656" spans="6:10" x14ac:dyDescent="0.25">
      <c r="F656" s="32"/>
      <c r="G656" s="32" t="s">
        <v>1810</v>
      </c>
      <c r="H656" s="32" t="s">
        <v>1811</v>
      </c>
      <c r="I656" s="32" t="s">
        <v>688</v>
      </c>
      <c r="J656" s="32" t="s">
        <v>688</v>
      </c>
    </row>
    <row r="657" spans="6:10" x14ac:dyDescent="0.25">
      <c r="F657" s="32"/>
      <c r="G657" s="32" t="s">
        <v>1812</v>
      </c>
      <c r="H657" s="32" t="s">
        <v>1813</v>
      </c>
      <c r="I657" s="32" t="s">
        <v>645</v>
      </c>
      <c r="J657" s="32" t="s">
        <v>646</v>
      </c>
    </row>
    <row r="658" spans="6:10" x14ac:dyDescent="0.25">
      <c r="F658" s="32"/>
      <c r="G658" s="32" t="s">
        <v>820</v>
      </c>
      <c r="H658" s="32" t="s">
        <v>1814</v>
      </c>
      <c r="I658" s="32" t="s">
        <v>924</v>
      </c>
      <c r="J658" s="32" t="s">
        <v>1815</v>
      </c>
    </row>
    <row r="659" spans="6:10" x14ac:dyDescent="0.25">
      <c r="F659" s="32"/>
      <c r="G659" s="32" t="s">
        <v>1816</v>
      </c>
      <c r="H659" s="32" t="s">
        <v>1817</v>
      </c>
      <c r="I659" s="32" t="s">
        <v>645</v>
      </c>
      <c r="J659" s="32" t="s">
        <v>646</v>
      </c>
    </row>
    <row r="660" spans="6:10" x14ac:dyDescent="0.25">
      <c r="F660" s="32"/>
      <c r="G660" s="32" t="s">
        <v>1818</v>
      </c>
      <c r="H660" s="32" t="s">
        <v>1819</v>
      </c>
      <c r="I660" s="32" t="s">
        <v>645</v>
      </c>
      <c r="J660" s="32" t="s">
        <v>646</v>
      </c>
    </row>
    <row r="661" spans="6:10" x14ac:dyDescent="0.25">
      <c r="F661" s="32"/>
      <c r="G661" s="32" t="s">
        <v>1820</v>
      </c>
      <c r="H661" s="32" t="s">
        <v>1821</v>
      </c>
      <c r="I661" s="32" t="s">
        <v>645</v>
      </c>
      <c r="J661" s="32" t="s">
        <v>646</v>
      </c>
    </row>
    <row r="662" spans="6:10" x14ac:dyDescent="0.25">
      <c r="F662" s="32"/>
      <c r="G662" s="32" t="s">
        <v>1013</v>
      </c>
      <c r="H662" s="32" t="s">
        <v>1822</v>
      </c>
      <c r="I662" s="32" t="s">
        <v>645</v>
      </c>
      <c r="J662" s="32" t="s">
        <v>646</v>
      </c>
    </row>
    <row r="663" spans="6:10" x14ac:dyDescent="0.25">
      <c r="F663" s="32"/>
      <c r="G663" s="32" t="s">
        <v>1823</v>
      </c>
      <c r="H663" s="32" t="s">
        <v>1824</v>
      </c>
      <c r="I663" s="32" t="s">
        <v>645</v>
      </c>
      <c r="J663" s="32" t="s">
        <v>646</v>
      </c>
    </row>
    <row r="664" spans="6:10" x14ac:dyDescent="0.25">
      <c r="F664" s="32"/>
      <c r="G664" s="32" t="s">
        <v>2883</v>
      </c>
      <c r="H664" s="32" t="s">
        <v>1825</v>
      </c>
      <c r="I664" s="32" t="s">
        <v>645</v>
      </c>
      <c r="J664" s="32" t="s">
        <v>646</v>
      </c>
    </row>
    <row r="665" spans="6:10" x14ac:dyDescent="0.25">
      <c r="F665" s="32"/>
      <c r="G665" s="32" t="s">
        <v>1826</v>
      </c>
      <c r="H665" s="32" t="s">
        <v>1827</v>
      </c>
      <c r="I665" s="32" t="s">
        <v>688</v>
      </c>
      <c r="J665" s="32" t="s">
        <v>688</v>
      </c>
    </row>
    <row r="666" spans="6:10" x14ac:dyDescent="0.25">
      <c r="F666" s="32"/>
      <c r="G666" s="32" t="s">
        <v>1828</v>
      </c>
      <c r="H666" s="32" t="s">
        <v>1829</v>
      </c>
      <c r="I666" s="32" t="s">
        <v>645</v>
      </c>
      <c r="J666" s="32" t="s">
        <v>646</v>
      </c>
    </row>
    <row r="667" spans="6:10" x14ac:dyDescent="0.25">
      <c r="F667" s="32"/>
      <c r="G667" s="32" t="s">
        <v>1830</v>
      </c>
      <c r="H667" s="32" t="s">
        <v>1831</v>
      </c>
      <c r="I667" s="32" t="s">
        <v>645</v>
      </c>
      <c r="J667" s="32" t="s">
        <v>646</v>
      </c>
    </row>
    <row r="668" spans="6:10" x14ac:dyDescent="0.25">
      <c r="F668" s="32"/>
      <c r="G668" s="32" t="s">
        <v>1832</v>
      </c>
      <c r="H668" s="32" t="s">
        <v>1833</v>
      </c>
      <c r="I668" s="32" t="s">
        <v>645</v>
      </c>
      <c r="J668" s="32" t="s">
        <v>646</v>
      </c>
    </row>
    <row r="669" spans="6:10" x14ac:dyDescent="0.25">
      <c r="F669" s="32"/>
      <c r="G669" s="32" t="s">
        <v>1834</v>
      </c>
      <c r="H669" s="32" t="s">
        <v>1835</v>
      </c>
      <c r="I669" s="32" t="s">
        <v>924</v>
      </c>
      <c r="J669" s="32" t="s">
        <v>1815</v>
      </c>
    </row>
    <row r="670" spans="6:10" x14ac:dyDescent="0.25">
      <c r="F670" s="32"/>
      <c r="G670" s="32" t="s">
        <v>1836</v>
      </c>
      <c r="H670" s="32" t="s">
        <v>1837</v>
      </c>
      <c r="I670" s="32" t="s">
        <v>645</v>
      </c>
      <c r="J670" s="32" t="s">
        <v>646</v>
      </c>
    </row>
    <row r="671" spans="6:10" x14ac:dyDescent="0.25">
      <c r="F671" s="32" t="s">
        <v>507</v>
      </c>
      <c r="G671" s="32"/>
      <c r="H671" s="32" t="s">
        <v>1838</v>
      </c>
      <c r="I671" s="32"/>
      <c r="J671" s="32"/>
    </row>
    <row r="672" spans="6:10" x14ac:dyDescent="0.25">
      <c r="F672" s="32"/>
      <c r="G672" s="32" t="s">
        <v>1839</v>
      </c>
      <c r="H672" s="32" t="s">
        <v>1840</v>
      </c>
      <c r="I672" s="32" t="s">
        <v>645</v>
      </c>
      <c r="J672" s="32" t="s">
        <v>646</v>
      </c>
    </row>
    <row r="673" spans="6:10" x14ac:dyDescent="0.25">
      <c r="F673" s="32"/>
      <c r="G673" s="32" t="s">
        <v>1841</v>
      </c>
      <c r="H673" s="32" t="s">
        <v>1842</v>
      </c>
      <c r="I673" s="32" t="s">
        <v>924</v>
      </c>
      <c r="J673" s="32" t="s">
        <v>1815</v>
      </c>
    </row>
    <row r="674" spans="6:10" x14ac:dyDescent="0.25">
      <c r="F674" s="32"/>
      <c r="G674" s="32" t="s">
        <v>1843</v>
      </c>
      <c r="H674" s="32" t="s">
        <v>1844</v>
      </c>
      <c r="I674" s="32" t="s">
        <v>924</v>
      </c>
      <c r="J674" s="32" t="s">
        <v>1815</v>
      </c>
    </row>
    <row r="675" spans="6:10" x14ac:dyDescent="0.25">
      <c r="F675" s="32"/>
      <c r="G675" s="32" t="s">
        <v>1845</v>
      </c>
      <c r="H675" s="32" t="s">
        <v>1846</v>
      </c>
      <c r="I675" s="32" t="s">
        <v>645</v>
      </c>
      <c r="J675" s="32" t="s">
        <v>646</v>
      </c>
    </row>
    <row r="676" spans="6:10" x14ac:dyDescent="0.25">
      <c r="F676" s="32"/>
      <c r="G676" s="32" t="s">
        <v>1847</v>
      </c>
      <c r="H676" s="32" t="s">
        <v>1848</v>
      </c>
      <c r="I676" s="32" t="s">
        <v>924</v>
      </c>
      <c r="J676" s="32" t="s">
        <v>1815</v>
      </c>
    </row>
    <row r="677" spans="6:10" x14ac:dyDescent="0.25">
      <c r="F677" s="32"/>
      <c r="G677" s="32" t="s">
        <v>1849</v>
      </c>
      <c r="H677" s="32" t="s">
        <v>1850</v>
      </c>
      <c r="I677" s="32" t="s">
        <v>645</v>
      </c>
      <c r="J677" s="32" t="s">
        <v>646</v>
      </c>
    </row>
    <row r="678" spans="6:10" x14ac:dyDescent="0.25">
      <c r="F678" s="32"/>
      <c r="G678" s="32" t="s">
        <v>1851</v>
      </c>
      <c r="H678" s="32" t="s">
        <v>1852</v>
      </c>
      <c r="I678" s="32" t="s">
        <v>645</v>
      </c>
      <c r="J678" s="32" t="s">
        <v>646</v>
      </c>
    </row>
    <row r="679" spans="6:10" x14ac:dyDescent="0.25">
      <c r="F679" s="32"/>
      <c r="G679" s="32" t="s">
        <v>1853</v>
      </c>
      <c r="H679" s="32" t="s">
        <v>1854</v>
      </c>
      <c r="I679" s="32" t="s">
        <v>924</v>
      </c>
      <c r="J679" s="32" t="s">
        <v>1815</v>
      </c>
    </row>
    <row r="680" spans="6:10" x14ac:dyDescent="0.25">
      <c r="F680" s="32" t="s">
        <v>508</v>
      </c>
      <c r="G680" s="32"/>
      <c r="H680" s="32" t="s">
        <v>1855</v>
      </c>
      <c r="I680" s="32"/>
      <c r="J680" s="32"/>
    </row>
    <row r="681" spans="6:10" x14ac:dyDescent="0.25">
      <c r="F681" s="32"/>
      <c r="G681" s="32" t="s">
        <v>508</v>
      </c>
      <c r="H681" s="32" t="s">
        <v>1856</v>
      </c>
      <c r="I681" s="32" t="s">
        <v>645</v>
      </c>
      <c r="J681" s="32" t="s">
        <v>646</v>
      </c>
    </row>
    <row r="682" spans="6:10" x14ac:dyDescent="0.25">
      <c r="F682" s="32"/>
      <c r="G682" s="32" t="s">
        <v>1857</v>
      </c>
      <c r="H682" s="32" t="s">
        <v>1858</v>
      </c>
      <c r="I682" s="32" t="s">
        <v>688</v>
      </c>
      <c r="J682" s="32" t="s">
        <v>688</v>
      </c>
    </row>
    <row r="683" spans="6:10" x14ac:dyDescent="0.25">
      <c r="F683" s="32"/>
      <c r="G683" s="32" t="s">
        <v>1859</v>
      </c>
      <c r="H683" s="32" t="s">
        <v>1860</v>
      </c>
      <c r="I683" s="32" t="s">
        <v>688</v>
      </c>
      <c r="J683" s="32" t="s">
        <v>688</v>
      </c>
    </row>
    <row r="684" spans="6:10" x14ac:dyDescent="0.25">
      <c r="F684" s="32"/>
      <c r="G684" s="32" t="s">
        <v>1861</v>
      </c>
      <c r="H684" s="32" t="s">
        <v>1862</v>
      </c>
      <c r="I684" s="32" t="s">
        <v>688</v>
      </c>
      <c r="J684" s="32" t="s">
        <v>688</v>
      </c>
    </row>
    <row r="685" spans="6:10" x14ac:dyDescent="0.25">
      <c r="F685" s="32"/>
      <c r="G685" s="32" t="s">
        <v>1863</v>
      </c>
      <c r="H685" s="32" t="s">
        <v>1864</v>
      </c>
      <c r="I685" s="32" t="s">
        <v>688</v>
      </c>
      <c r="J685" s="32" t="s">
        <v>688</v>
      </c>
    </row>
    <row r="686" spans="6:10" x14ac:dyDescent="0.25">
      <c r="F686" s="32"/>
      <c r="G686" s="32" t="s">
        <v>1865</v>
      </c>
      <c r="H686" s="32" t="s">
        <v>1866</v>
      </c>
      <c r="I686" s="32" t="s">
        <v>688</v>
      </c>
      <c r="J686" s="32" t="s">
        <v>688</v>
      </c>
    </row>
    <row r="687" spans="6:10" x14ac:dyDescent="0.25">
      <c r="F687" s="32"/>
      <c r="G687" s="32" t="s">
        <v>1867</v>
      </c>
      <c r="H687" s="32" t="s">
        <v>1868</v>
      </c>
      <c r="I687" s="32" t="s">
        <v>688</v>
      </c>
      <c r="J687" s="32" t="s">
        <v>688</v>
      </c>
    </row>
    <row r="688" spans="6:10" x14ac:dyDescent="0.25">
      <c r="F688" s="32"/>
      <c r="G688" s="32" t="s">
        <v>1869</v>
      </c>
      <c r="H688" s="32" t="s">
        <v>1870</v>
      </c>
      <c r="I688" s="32" t="s">
        <v>645</v>
      </c>
      <c r="J688" s="32" t="s">
        <v>646</v>
      </c>
    </row>
    <row r="689" spans="6:10" x14ac:dyDescent="0.25">
      <c r="F689" s="32"/>
      <c r="G689" s="32" t="s">
        <v>1871</v>
      </c>
      <c r="H689" s="32" t="s">
        <v>1872</v>
      </c>
      <c r="I689" s="32" t="s">
        <v>688</v>
      </c>
      <c r="J689" s="32" t="s">
        <v>688</v>
      </c>
    </row>
    <row r="690" spans="6:10" x14ac:dyDescent="0.25">
      <c r="F690" s="32"/>
      <c r="G690" s="32" t="s">
        <v>1873</v>
      </c>
      <c r="H690" s="32" t="s">
        <v>1874</v>
      </c>
      <c r="I690" s="32" t="s">
        <v>688</v>
      </c>
      <c r="J690" s="32" t="s">
        <v>688</v>
      </c>
    </row>
    <row r="691" spans="6:10" x14ac:dyDescent="0.25">
      <c r="F691" s="32"/>
      <c r="G691" s="32" t="s">
        <v>617</v>
      </c>
      <c r="H691" s="32" t="s">
        <v>1875</v>
      </c>
      <c r="I691" s="32" t="s">
        <v>688</v>
      </c>
      <c r="J691" s="32" t="s">
        <v>688</v>
      </c>
    </row>
    <row r="692" spans="6:10" x14ac:dyDescent="0.25">
      <c r="F692" s="32"/>
      <c r="G692" s="32" t="s">
        <v>1876</v>
      </c>
      <c r="H692" s="32" t="s">
        <v>1877</v>
      </c>
      <c r="I692" s="32" t="s">
        <v>688</v>
      </c>
      <c r="J692" s="32" t="s">
        <v>688</v>
      </c>
    </row>
    <row r="693" spans="6:10" x14ac:dyDescent="0.25">
      <c r="F693" s="32"/>
      <c r="G693" s="32" t="s">
        <v>771</v>
      </c>
      <c r="H693" s="32" t="s">
        <v>1878</v>
      </c>
      <c r="I693" s="32" t="s">
        <v>645</v>
      </c>
      <c r="J693" s="32" t="s">
        <v>646</v>
      </c>
    </row>
    <row r="694" spans="6:10" x14ac:dyDescent="0.25">
      <c r="F694" s="32"/>
      <c r="G694" s="32" t="s">
        <v>1879</v>
      </c>
      <c r="H694" s="32" t="s">
        <v>1880</v>
      </c>
      <c r="I694" s="32" t="s">
        <v>645</v>
      </c>
      <c r="J694" s="32" t="s">
        <v>646</v>
      </c>
    </row>
    <row r="695" spans="6:10" x14ac:dyDescent="0.25">
      <c r="F695" s="32"/>
      <c r="G695" s="32" t="s">
        <v>1881</v>
      </c>
      <c r="H695" s="32" t="s">
        <v>1882</v>
      </c>
      <c r="I695" s="32" t="s">
        <v>688</v>
      </c>
      <c r="J695" s="32" t="s">
        <v>688</v>
      </c>
    </row>
    <row r="696" spans="6:10" x14ac:dyDescent="0.25">
      <c r="F696" s="32" t="s">
        <v>509</v>
      </c>
      <c r="G696" s="32"/>
      <c r="H696" s="32" t="s">
        <v>1883</v>
      </c>
      <c r="I696" s="32"/>
      <c r="J696" s="32"/>
    </row>
    <row r="697" spans="6:10" x14ac:dyDescent="0.25">
      <c r="F697" s="32"/>
      <c r="G697" s="32" t="s">
        <v>1884</v>
      </c>
      <c r="H697" s="32" t="s">
        <v>1885</v>
      </c>
      <c r="I697" s="32" t="s">
        <v>645</v>
      </c>
      <c r="J697" s="32" t="s">
        <v>646</v>
      </c>
    </row>
    <row r="698" spans="6:10" x14ac:dyDescent="0.25">
      <c r="F698" s="32"/>
      <c r="G698" s="32" t="s">
        <v>1886</v>
      </c>
      <c r="H698" s="32" t="s">
        <v>1887</v>
      </c>
      <c r="I698" s="32" t="s">
        <v>645</v>
      </c>
      <c r="J698" s="32" t="s">
        <v>646</v>
      </c>
    </row>
    <row r="699" spans="6:10" x14ac:dyDescent="0.25">
      <c r="F699" s="32"/>
      <c r="G699" s="32" t="s">
        <v>509</v>
      </c>
      <c r="H699" s="32" t="s">
        <v>1888</v>
      </c>
      <c r="I699" s="32" t="s">
        <v>645</v>
      </c>
      <c r="J699" s="32" t="s">
        <v>646</v>
      </c>
    </row>
    <row r="700" spans="6:10" x14ac:dyDescent="0.25">
      <c r="F700" s="32" t="s">
        <v>510</v>
      </c>
      <c r="G700" s="32"/>
      <c r="H700" s="32" t="s">
        <v>1889</v>
      </c>
      <c r="I700" s="32"/>
      <c r="J700" s="32"/>
    </row>
    <row r="701" spans="6:10" x14ac:dyDescent="0.25">
      <c r="F701" s="32"/>
      <c r="G701" s="32" t="s">
        <v>510</v>
      </c>
      <c r="H701" s="32" t="s">
        <v>1890</v>
      </c>
      <c r="I701" s="32" t="s">
        <v>688</v>
      </c>
      <c r="J701" s="32" t="s">
        <v>688</v>
      </c>
    </row>
    <row r="702" spans="6:10" x14ac:dyDescent="0.25">
      <c r="F702" s="32"/>
      <c r="G702" s="32" t="s">
        <v>4094</v>
      </c>
      <c r="H702" s="32" t="s">
        <v>1891</v>
      </c>
      <c r="I702" s="32" t="s">
        <v>688</v>
      </c>
      <c r="J702" s="32" t="s">
        <v>688</v>
      </c>
    </row>
    <row r="703" spans="6:10" x14ac:dyDescent="0.25">
      <c r="F703" s="32"/>
      <c r="G703" s="32" t="s">
        <v>1892</v>
      </c>
      <c r="H703" s="32" t="s">
        <v>1893</v>
      </c>
      <c r="I703" s="32" t="s">
        <v>688</v>
      </c>
      <c r="J703" s="32" t="s">
        <v>688</v>
      </c>
    </row>
    <row r="704" spans="6:10" x14ac:dyDescent="0.25">
      <c r="F704" s="32"/>
      <c r="G704" s="32" t="s">
        <v>1894</v>
      </c>
      <c r="H704" s="32" t="s">
        <v>1895</v>
      </c>
      <c r="I704" s="32" t="s">
        <v>688</v>
      </c>
      <c r="J704" s="32" t="s">
        <v>688</v>
      </c>
    </row>
    <row r="705" spans="6:10" x14ac:dyDescent="0.25">
      <c r="F705" s="32"/>
      <c r="G705" s="32" t="s">
        <v>1896</v>
      </c>
      <c r="H705" s="32" t="s">
        <v>1897</v>
      </c>
      <c r="I705" s="32" t="s">
        <v>688</v>
      </c>
      <c r="J705" s="32" t="s">
        <v>688</v>
      </c>
    </row>
    <row r="706" spans="6:10" x14ac:dyDescent="0.25">
      <c r="F706" s="32"/>
      <c r="G706" s="32" t="s">
        <v>1898</v>
      </c>
      <c r="H706" s="32" t="s">
        <v>1899</v>
      </c>
      <c r="I706" s="32" t="s">
        <v>688</v>
      </c>
      <c r="J706" s="32" t="s">
        <v>688</v>
      </c>
    </row>
    <row r="707" spans="6:10" x14ac:dyDescent="0.25">
      <c r="F707" s="32"/>
      <c r="G707" s="32" t="s">
        <v>1900</v>
      </c>
      <c r="H707" s="32" t="s">
        <v>1901</v>
      </c>
      <c r="I707" s="32" t="s">
        <v>688</v>
      </c>
      <c r="J707" s="32" t="s">
        <v>688</v>
      </c>
    </row>
    <row r="708" spans="6:10" x14ac:dyDescent="0.25">
      <c r="F708" s="32"/>
      <c r="G708" s="32" t="s">
        <v>3990</v>
      </c>
      <c r="H708" s="32" t="s">
        <v>1902</v>
      </c>
      <c r="I708" s="32" t="s">
        <v>688</v>
      </c>
      <c r="J708" s="32" t="s">
        <v>688</v>
      </c>
    </row>
    <row r="709" spans="6:10" x14ac:dyDescent="0.25">
      <c r="F709" s="32"/>
      <c r="G709" s="32" t="s">
        <v>1903</v>
      </c>
      <c r="H709" s="32" t="s">
        <v>1904</v>
      </c>
      <c r="I709" s="32" t="s">
        <v>688</v>
      </c>
      <c r="J709" s="32" t="s">
        <v>688</v>
      </c>
    </row>
    <row r="710" spans="6:10" x14ac:dyDescent="0.25">
      <c r="F710" s="32"/>
      <c r="G710" s="32" t="s">
        <v>1905</v>
      </c>
      <c r="H710" s="32" t="s">
        <v>1906</v>
      </c>
      <c r="I710" s="32" t="s">
        <v>688</v>
      </c>
      <c r="J710" s="32" t="s">
        <v>688</v>
      </c>
    </row>
    <row r="711" spans="6:10" x14ac:dyDescent="0.25">
      <c r="F711" s="32"/>
      <c r="G711" s="32" t="s">
        <v>1907</v>
      </c>
      <c r="H711" s="32" t="s">
        <v>1908</v>
      </c>
      <c r="I711" s="32" t="s">
        <v>688</v>
      </c>
      <c r="J711" s="32" t="s">
        <v>688</v>
      </c>
    </row>
    <row r="712" spans="6:10" x14ac:dyDescent="0.25">
      <c r="F712" s="32"/>
      <c r="G712" s="32" t="s">
        <v>4111</v>
      </c>
      <c r="H712" s="32" t="s">
        <v>1909</v>
      </c>
      <c r="I712" s="32" t="s">
        <v>688</v>
      </c>
      <c r="J712" s="32" t="s">
        <v>688</v>
      </c>
    </row>
    <row r="713" spans="6:10" x14ac:dyDescent="0.25">
      <c r="F713" s="32" t="s">
        <v>621</v>
      </c>
      <c r="G713" s="32"/>
      <c r="H713" s="32" t="s">
        <v>1910</v>
      </c>
      <c r="I713" s="32"/>
      <c r="J713" s="32"/>
    </row>
    <row r="714" spans="6:10" x14ac:dyDescent="0.25">
      <c r="F714" s="32"/>
      <c r="G714" s="32" t="s">
        <v>621</v>
      </c>
      <c r="H714" s="32" t="s">
        <v>1911</v>
      </c>
      <c r="I714" s="32" t="s">
        <v>688</v>
      </c>
      <c r="J714" s="32" t="s">
        <v>688</v>
      </c>
    </row>
    <row r="715" spans="6:10" x14ac:dyDescent="0.25">
      <c r="F715" s="32"/>
      <c r="G715" s="32" t="s">
        <v>1912</v>
      </c>
      <c r="H715" s="32" t="s">
        <v>1913</v>
      </c>
      <c r="I715" s="32" t="s">
        <v>688</v>
      </c>
      <c r="J715" s="32" t="s">
        <v>688</v>
      </c>
    </row>
    <row r="716" spans="6:10" x14ac:dyDescent="0.25">
      <c r="F716" s="32"/>
      <c r="G716" s="32" t="s">
        <v>1914</v>
      </c>
      <c r="H716" s="32" t="s">
        <v>1915</v>
      </c>
      <c r="I716" s="32" t="s">
        <v>688</v>
      </c>
      <c r="J716" s="32" t="s">
        <v>688</v>
      </c>
    </row>
    <row r="717" spans="6:10" x14ac:dyDescent="0.25">
      <c r="F717" s="32"/>
      <c r="G717" s="32" t="s">
        <v>1916</v>
      </c>
      <c r="H717" s="32" t="s">
        <v>1917</v>
      </c>
      <c r="I717" s="32" t="s">
        <v>688</v>
      </c>
      <c r="J717" s="32" t="s">
        <v>688</v>
      </c>
    </row>
    <row r="718" spans="6:10" x14ac:dyDescent="0.25">
      <c r="F718" s="32"/>
      <c r="G718" s="32" t="s">
        <v>1918</v>
      </c>
      <c r="H718" s="32" t="s">
        <v>1919</v>
      </c>
      <c r="I718" s="32" t="s">
        <v>688</v>
      </c>
      <c r="J718" s="32" t="s">
        <v>688</v>
      </c>
    </row>
    <row r="719" spans="6:10" x14ac:dyDescent="0.25">
      <c r="F719" s="32"/>
      <c r="G719" s="32" t="s">
        <v>1920</v>
      </c>
      <c r="H719" s="32" t="s">
        <v>1921</v>
      </c>
      <c r="I719" s="32" t="s">
        <v>688</v>
      </c>
      <c r="J719" s="32" t="s">
        <v>688</v>
      </c>
    </row>
    <row r="720" spans="6:10" x14ac:dyDescent="0.25">
      <c r="F720" s="32"/>
      <c r="G720" s="32" t="s">
        <v>1922</v>
      </c>
      <c r="H720" s="32" t="s">
        <v>1923</v>
      </c>
      <c r="I720" s="32" t="s">
        <v>688</v>
      </c>
      <c r="J720" s="32" t="s">
        <v>688</v>
      </c>
    </row>
    <row r="721" spans="6:10" x14ac:dyDescent="0.25">
      <c r="F721" s="32" t="s">
        <v>620</v>
      </c>
      <c r="G721" s="32"/>
      <c r="H721" s="32" t="s">
        <v>1924</v>
      </c>
      <c r="I721" s="32"/>
      <c r="J721" s="32"/>
    </row>
    <row r="722" spans="6:10" x14ac:dyDescent="0.25">
      <c r="F722" s="32"/>
      <c r="G722" s="32" t="s">
        <v>1925</v>
      </c>
      <c r="H722" s="32" t="s">
        <v>1926</v>
      </c>
      <c r="I722" s="32" t="s">
        <v>645</v>
      </c>
      <c r="J722" s="32" t="s">
        <v>646</v>
      </c>
    </row>
    <row r="723" spans="6:10" x14ac:dyDescent="0.25">
      <c r="F723" s="32"/>
      <c r="G723" s="32" t="s">
        <v>3311</v>
      </c>
      <c r="H723" s="32" t="s">
        <v>1927</v>
      </c>
      <c r="I723" s="32" t="s">
        <v>645</v>
      </c>
      <c r="J723" s="32" t="s">
        <v>646</v>
      </c>
    </row>
    <row r="724" spans="6:10" x14ac:dyDescent="0.25">
      <c r="F724" s="32"/>
      <c r="G724" s="32" t="s">
        <v>1928</v>
      </c>
      <c r="H724" s="32" t="s">
        <v>1929</v>
      </c>
      <c r="I724" s="32" t="s">
        <v>645</v>
      </c>
      <c r="J724" s="32" t="s">
        <v>646</v>
      </c>
    </row>
    <row r="725" spans="6:10" x14ac:dyDescent="0.25">
      <c r="F725" s="32"/>
      <c r="G725" s="32" t="s">
        <v>1930</v>
      </c>
      <c r="H725" s="32" t="s">
        <v>1931</v>
      </c>
      <c r="I725" s="32" t="s">
        <v>645</v>
      </c>
      <c r="J725" s="32" t="s">
        <v>646</v>
      </c>
    </row>
    <row r="726" spans="6:10" x14ac:dyDescent="0.25">
      <c r="F726" s="32"/>
      <c r="G726" s="32" t="s">
        <v>1932</v>
      </c>
      <c r="H726" s="32" t="s">
        <v>1933</v>
      </c>
      <c r="I726" s="32" t="s">
        <v>645</v>
      </c>
      <c r="J726" s="32" t="s">
        <v>646</v>
      </c>
    </row>
    <row r="727" spans="6:10" x14ac:dyDescent="0.25">
      <c r="F727" s="32"/>
      <c r="G727" s="32" t="s">
        <v>1934</v>
      </c>
      <c r="H727" s="32" t="s">
        <v>1935</v>
      </c>
      <c r="I727" s="32" t="s">
        <v>645</v>
      </c>
      <c r="J727" s="32" t="s">
        <v>646</v>
      </c>
    </row>
    <row r="728" spans="6:10" x14ac:dyDescent="0.25">
      <c r="F728" s="32"/>
      <c r="G728" s="32" t="s">
        <v>1936</v>
      </c>
      <c r="H728" s="32" t="s">
        <v>1937</v>
      </c>
      <c r="I728" s="32" t="s">
        <v>645</v>
      </c>
      <c r="J728" s="32" t="s">
        <v>646</v>
      </c>
    </row>
    <row r="729" spans="6:10" x14ac:dyDescent="0.25">
      <c r="F729" s="32" t="s">
        <v>619</v>
      </c>
      <c r="G729" s="32"/>
      <c r="H729" s="32" t="s">
        <v>1938</v>
      </c>
      <c r="I729" s="32"/>
      <c r="J729" s="32"/>
    </row>
    <row r="730" spans="6:10" x14ac:dyDescent="0.25">
      <c r="F730" s="32"/>
      <c r="G730" s="32" t="s">
        <v>619</v>
      </c>
      <c r="H730" s="32" t="s">
        <v>1939</v>
      </c>
      <c r="I730" s="32" t="s">
        <v>645</v>
      </c>
      <c r="J730" s="32" t="s">
        <v>646</v>
      </c>
    </row>
    <row r="731" spans="6:10" x14ac:dyDescent="0.25">
      <c r="F731" s="32"/>
      <c r="G731" s="32" t="s">
        <v>1940</v>
      </c>
      <c r="H731" s="32" t="s">
        <v>1941</v>
      </c>
      <c r="I731" s="32" t="s">
        <v>924</v>
      </c>
      <c r="J731" s="32" t="s">
        <v>1815</v>
      </c>
    </row>
    <row r="732" spans="6:10" x14ac:dyDescent="0.25">
      <c r="F732" s="32"/>
      <c r="G732" s="32" t="s">
        <v>1942</v>
      </c>
      <c r="H732" s="32" t="s">
        <v>1943</v>
      </c>
      <c r="I732" s="32" t="s">
        <v>645</v>
      </c>
      <c r="J732" s="32" t="s">
        <v>646</v>
      </c>
    </row>
    <row r="733" spans="6:10" x14ac:dyDescent="0.25">
      <c r="F733" s="32"/>
      <c r="G733" s="32" t="s">
        <v>1944</v>
      </c>
      <c r="H733" s="32" t="s">
        <v>1945</v>
      </c>
      <c r="I733" s="32" t="s">
        <v>645</v>
      </c>
      <c r="J733" s="32" t="s">
        <v>646</v>
      </c>
    </row>
    <row r="734" spans="6:10" x14ac:dyDescent="0.25">
      <c r="F734" s="32"/>
      <c r="G734" s="32" t="s">
        <v>1946</v>
      </c>
      <c r="H734" s="32" t="s">
        <v>1947</v>
      </c>
      <c r="I734" s="32" t="s">
        <v>645</v>
      </c>
      <c r="J734" s="32" t="s">
        <v>646</v>
      </c>
    </row>
    <row r="735" spans="6:10" x14ac:dyDescent="0.25">
      <c r="F735" s="32"/>
      <c r="G735" s="32" t="s">
        <v>1948</v>
      </c>
      <c r="H735" s="32" t="s">
        <v>1949</v>
      </c>
      <c r="I735" s="32" t="s">
        <v>924</v>
      </c>
      <c r="J735" s="32" t="s">
        <v>1815</v>
      </c>
    </row>
    <row r="736" spans="6:10" x14ac:dyDescent="0.25">
      <c r="F736" s="32"/>
      <c r="G736" s="32" t="s">
        <v>1950</v>
      </c>
      <c r="H736" s="32" t="s">
        <v>1951</v>
      </c>
      <c r="I736" s="32" t="s">
        <v>645</v>
      </c>
      <c r="J736" s="32" t="s">
        <v>646</v>
      </c>
    </row>
    <row r="737" spans="6:10" x14ac:dyDescent="0.25">
      <c r="F737" s="32"/>
      <c r="G737" s="32" t="s">
        <v>1952</v>
      </c>
      <c r="H737" s="32" t="s">
        <v>1953</v>
      </c>
      <c r="I737" s="32" t="s">
        <v>924</v>
      </c>
      <c r="J737" s="32" t="s">
        <v>1815</v>
      </c>
    </row>
    <row r="738" spans="6:10" x14ac:dyDescent="0.25">
      <c r="F738" s="32"/>
      <c r="G738" s="32" t="s">
        <v>1954</v>
      </c>
      <c r="H738" s="32" t="s">
        <v>1955</v>
      </c>
      <c r="I738" s="32" t="s">
        <v>645</v>
      </c>
      <c r="J738" s="32" t="s">
        <v>646</v>
      </c>
    </row>
    <row r="739" spans="6:10" x14ac:dyDescent="0.25">
      <c r="F739" s="32"/>
      <c r="G739" s="32" t="s">
        <v>1956</v>
      </c>
      <c r="H739" s="32" t="s">
        <v>1957</v>
      </c>
      <c r="I739" s="32" t="s">
        <v>924</v>
      </c>
      <c r="J739" s="32" t="s">
        <v>1815</v>
      </c>
    </row>
    <row r="740" spans="6:10" x14ac:dyDescent="0.25">
      <c r="F740" s="32"/>
      <c r="G740" s="32" t="s">
        <v>1958</v>
      </c>
      <c r="H740" s="32" t="s">
        <v>1959</v>
      </c>
      <c r="I740" s="32" t="s">
        <v>645</v>
      </c>
      <c r="J740" s="32" t="s">
        <v>646</v>
      </c>
    </row>
    <row r="741" spans="6:10" x14ac:dyDescent="0.25">
      <c r="F741" s="32"/>
      <c r="G741" s="32" t="s">
        <v>1960</v>
      </c>
      <c r="H741" s="32" t="s">
        <v>1961</v>
      </c>
      <c r="I741" s="32" t="s">
        <v>645</v>
      </c>
      <c r="J741" s="32" t="s">
        <v>646</v>
      </c>
    </row>
    <row r="742" spans="6:10" x14ac:dyDescent="0.25">
      <c r="F742" s="32"/>
      <c r="G742" s="32" t="s">
        <v>1962</v>
      </c>
      <c r="H742" s="32" t="s">
        <v>1963</v>
      </c>
      <c r="I742" s="32" t="s">
        <v>645</v>
      </c>
      <c r="J742" s="32" t="s">
        <v>646</v>
      </c>
    </row>
    <row r="743" spans="6:10" x14ac:dyDescent="0.25">
      <c r="F743" s="32" t="s">
        <v>618</v>
      </c>
      <c r="G743" s="32"/>
      <c r="H743" s="32" t="s">
        <v>1964</v>
      </c>
      <c r="I743" s="32"/>
      <c r="J743" s="32"/>
    </row>
    <row r="744" spans="6:10" x14ac:dyDescent="0.25">
      <c r="F744" s="32"/>
      <c r="G744" s="32" t="s">
        <v>618</v>
      </c>
      <c r="H744" s="32" t="s">
        <v>1965</v>
      </c>
      <c r="I744" s="32" t="s">
        <v>645</v>
      </c>
      <c r="J744" s="32" t="s">
        <v>646</v>
      </c>
    </row>
    <row r="745" spans="6:10" x14ac:dyDescent="0.25">
      <c r="F745" s="32"/>
      <c r="G745" s="32" t="s">
        <v>1966</v>
      </c>
      <c r="H745" s="32" t="s">
        <v>1967</v>
      </c>
      <c r="I745" s="32" t="s">
        <v>924</v>
      </c>
      <c r="J745" s="32" t="s">
        <v>1815</v>
      </c>
    </row>
    <row r="746" spans="6:10" x14ac:dyDescent="0.25">
      <c r="F746" s="32"/>
      <c r="G746" s="32" t="s">
        <v>3217</v>
      </c>
      <c r="H746" s="32" t="s">
        <v>1968</v>
      </c>
      <c r="I746" s="32" t="s">
        <v>924</v>
      </c>
      <c r="J746" s="32" t="s">
        <v>1815</v>
      </c>
    </row>
    <row r="747" spans="6:10" x14ac:dyDescent="0.25">
      <c r="F747" s="32"/>
      <c r="G747" s="32" t="s">
        <v>1969</v>
      </c>
      <c r="H747" s="32" t="s">
        <v>1970</v>
      </c>
      <c r="I747" s="32" t="s">
        <v>645</v>
      </c>
      <c r="J747" s="32" t="s">
        <v>646</v>
      </c>
    </row>
    <row r="748" spans="6:10" x14ac:dyDescent="0.25">
      <c r="F748" s="32" t="s">
        <v>617</v>
      </c>
      <c r="G748" s="32"/>
      <c r="H748" s="32" t="s">
        <v>1971</v>
      </c>
      <c r="I748" s="32"/>
      <c r="J748" s="32"/>
    </row>
    <row r="749" spans="6:10" x14ac:dyDescent="0.25">
      <c r="F749" s="32"/>
      <c r="G749" s="32" t="s">
        <v>617</v>
      </c>
      <c r="H749" s="32" t="s">
        <v>1972</v>
      </c>
      <c r="I749" s="32" t="s">
        <v>645</v>
      </c>
      <c r="J749" s="32" t="s">
        <v>646</v>
      </c>
    </row>
    <row r="750" spans="6:10" x14ac:dyDescent="0.25">
      <c r="F750" s="32"/>
      <c r="G750" s="32" t="s">
        <v>1973</v>
      </c>
      <c r="H750" s="32" t="s">
        <v>1974</v>
      </c>
      <c r="I750" s="32" t="s">
        <v>645</v>
      </c>
      <c r="J750" s="32" t="s">
        <v>646</v>
      </c>
    </row>
    <row r="751" spans="6:10" x14ac:dyDescent="0.25">
      <c r="F751" s="32"/>
      <c r="G751" s="32" t="s">
        <v>1975</v>
      </c>
      <c r="H751" s="32" t="s">
        <v>1976</v>
      </c>
      <c r="I751" s="32" t="s">
        <v>924</v>
      </c>
      <c r="J751" s="32" t="s">
        <v>1815</v>
      </c>
    </row>
    <row r="752" spans="6:10" x14ac:dyDescent="0.25">
      <c r="F752" s="32"/>
      <c r="G752" s="32" t="s">
        <v>1977</v>
      </c>
      <c r="H752" s="32" t="s">
        <v>1978</v>
      </c>
      <c r="I752" s="32" t="s">
        <v>924</v>
      </c>
      <c r="J752" s="32" t="s">
        <v>1815</v>
      </c>
    </row>
    <row r="753" spans="6:10" x14ac:dyDescent="0.25">
      <c r="F753" s="32"/>
      <c r="G753" s="32" t="s">
        <v>1979</v>
      </c>
      <c r="H753" s="32" t="s">
        <v>1980</v>
      </c>
      <c r="I753" s="32" t="s">
        <v>924</v>
      </c>
      <c r="J753" s="32" t="s">
        <v>1815</v>
      </c>
    </row>
    <row r="754" spans="6:10" x14ac:dyDescent="0.25">
      <c r="F754" s="32"/>
      <c r="G754" s="32" t="s">
        <v>1981</v>
      </c>
      <c r="H754" s="32" t="s">
        <v>1982</v>
      </c>
      <c r="I754" s="32" t="s">
        <v>645</v>
      </c>
      <c r="J754" s="32" t="s">
        <v>646</v>
      </c>
    </row>
    <row r="755" spans="6:10" x14ac:dyDescent="0.25">
      <c r="F755" s="32"/>
      <c r="G755" s="32" t="s">
        <v>1983</v>
      </c>
      <c r="H755" s="32" t="s">
        <v>1984</v>
      </c>
      <c r="I755" s="32" t="s">
        <v>645</v>
      </c>
      <c r="J755" s="32" t="s">
        <v>646</v>
      </c>
    </row>
    <row r="756" spans="6:10" x14ac:dyDescent="0.25">
      <c r="F756" s="32"/>
      <c r="G756" s="32" t="s">
        <v>1985</v>
      </c>
      <c r="H756" s="32" t="s">
        <v>1986</v>
      </c>
      <c r="I756" s="32" t="s">
        <v>645</v>
      </c>
      <c r="J756" s="32" t="s">
        <v>646</v>
      </c>
    </row>
    <row r="757" spans="6:10" x14ac:dyDescent="0.25">
      <c r="F757" s="32"/>
      <c r="G757" s="32" t="s">
        <v>1987</v>
      </c>
      <c r="H757" s="32" t="s">
        <v>1988</v>
      </c>
      <c r="I757" s="32" t="s">
        <v>645</v>
      </c>
      <c r="J757" s="32" t="s">
        <v>646</v>
      </c>
    </row>
    <row r="758" spans="6:10" x14ac:dyDescent="0.25">
      <c r="F758" s="32"/>
      <c r="G758" s="32" t="s">
        <v>1989</v>
      </c>
      <c r="H758" s="32" t="s">
        <v>1990</v>
      </c>
      <c r="I758" s="32" t="s">
        <v>645</v>
      </c>
      <c r="J758" s="32" t="s">
        <v>646</v>
      </c>
    </row>
    <row r="759" spans="6:10" x14ac:dyDescent="0.25">
      <c r="F759" s="32"/>
      <c r="G759" s="32" t="s">
        <v>1991</v>
      </c>
      <c r="H759" s="32" t="s">
        <v>1992</v>
      </c>
      <c r="I759" s="32" t="s">
        <v>645</v>
      </c>
      <c r="J759" s="32" t="s">
        <v>646</v>
      </c>
    </row>
    <row r="760" spans="6:10" x14ac:dyDescent="0.25">
      <c r="F760" s="32" t="s">
        <v>460</v>
      </c>
      <c r="G760" s="32"/>
      <c r="H760" s="32"/>
      <c r="I760" s="32"/>
      <c r="J760" s="32"/>
    </row>
    <row r="761" spans="6:10" x14ac:dyDescent="0.25">
      <c r="F761" s="32" t="s">
        <v>4609</v>
      </c>
      <c r="G761" s="32"/>
      <c r="H761" s="32" t="s">
        <v>1993</v>
      </c>
      <c r="I761" s="32"/>
      <c r="J761" s="32"/>
    </row>
    <row r="762" spans="6:10" x14ac:dyDescent="0.25">
      <c r="F762" s="32"/>
      <c r="G762" s="32" t="s">
        <v>444</v>
      </c>
      <c r="H762" s="32" t="s">
        <v>1994</v>
      </c>
      <c r="I762" s="32" t="s">
        <v>924</v>
      </c>
      <c r="J762" s="32" t="s">
        <v>925</v>
      </c>
    </row>
    <row r="763" spans="6:10" x14ac:dyDescent="0.25">
      <c r="F763" s="32"/>
      <c r="G763" s="32" t="s">
        <v>4094</v>
      </c>
      <c r="H763" s="32" t="s">
        <v>1995</v>
      </c>
      <c r="I763" s="32" t="s">
        <v>924</v>
      </c>
      <c r="J763" s="32" t="s">
        <v>925</v>
      </c>
    </row>
    <row r="764" spans="6:10" x14ac:dyDescent="0.25">
      <c r="F764" s="32"/>
      <c r="G764" s="32" t="s">
        <v>1996</v>
      </c>
      <c r="H764" s="32" t="s">
        <v>1997</v>
      </c>
      <c r="I764" s="32" t="s">
        <v>924</v>
      </c>
      <c r="J764" s="32" t="s">
        <v>925</v>
      </c>
    </row>
    <row r="765" spans="6:10" x14ac:dyDescent="0.25">
      <c r="F765" s="32"/>
      <c r="G765" s="32" t="s">
        <v>1998</v>
      </c>
      <c r="H765" s="32" t="s">
        <v>1999</v>
      </c>
      <c r="I765" s="32" t="s">
        <v>924</v>
      </c>
      <c r="J765" s="32" t="s">
        <v>925</v>
      </c>
    </row>
    <row r="766" spans="6:10" x14ac:dyDescent="0.25">
      <c r="F766" s="32"/>
      <c r="G766" s="32" t="s">
        <v>2000</v>
      </c>
      <c r="H766" s="32" t="s">
        <v>2001</v>
      </c>
      <c r="I766" s="32" t="s">
        <v>924</v>
      </c>
      <c r="J766" s="32" t="s">
        <v>925</v>
      </c>
    </row>
    <row r="767" spans="6:10" x14ac:dyDescent="0.25">
      <c r="F767" s="32"/>
      <c r="G767" s="32" t="s">
        <v>2002</v>
      </c>
      <c r="H767" s="32" t="s">
        <v>2003</v>
      </c>
      <c r="I767" s="32" t="s">
        <v>924</v>
      </c>
      <c r="J767" s="32" t="s">
        <v>925</v>
      </c>
    </row>
    <row r="768" spans="6:10" x14ac:dyDescent="0.25">
      <c r="F768" s="32"/>
      <c r="G768" s="32" t="s">
        <v>2004</v>
      </c>
      <c r="H768" s="32" t="s">
        <v>2005</v>
      </c>
      <c r="I768" s="32" t="s">
        <v>924</v>
      </c>
      <c r="J768" s="32" t="s">
        <v>925</v>
      </c>
    </row>
    <row r="769" spans="6:10" x14ac:dyDescent="0.25">
      <c r="F769" s="32" t="s">
        <v>460</v>
      </c>
      <c r="G769" s="32"/>
      <c r="H769" s="32"/>
      <c r="I769" s="32"/>
      <c r="J769" s="32"/>
    </row>
    <row r="770" spans="6:10" x14ac:dyDescent="0.25">
      <c r="F770" s="32" t="s">
        <v>445</v>
      </c>
      <c r="G770" s="32"/>
      <c r="H770" s="32" t="s">
        <v>2006</v>
      </c>
      <c r="I770" s="32"/>
      <c r="J770" s="32"/>
    </row>
    <row r="771" spans="6:10" x14ac:dyDescent="0.25">
      <c r="F771" s="32"/>
      <c r="G771" s="32" t="s">
        <v>445</v>
      </c>
      <c r="H771" s="32" t="s">
        <v>2007</v>
      </c>
      <c r="I771" s="32" t="s">
        <v>645</v>
      </c>
      <c r="J771" s="32" t="s">
        <v>1140</v>
      </c>
    </row>
    <row r="772" spans="6:10" x14ac:dyDescent="0.25">
      <c r="F772" s="32"/>
      <c r="G772" s="32" t="s">
        <v>2008</v>
      </c>
      <c r="H772" s="32" t="s">
        <v>2009</v>
      </c>
      <c r="I772" s="32" t="s">
        <v>645</v>
      </c>
      <c r="J772" s="32" t="s">
        <v>1140</v>
      </c>
    </row>
    <row r="773" spans="6:10" x14ac:dyDescent="0.25">
      <c r="F773" s="32"/>
      <c r="G773" s="32" t="s">
        <v>2010</v>
      </c>
      <c r="H773" s="32" t="s">
        <v>2011</v>
      </c>
      <c r="I773" s="32" t="s">
        <v>645</v>
      </c>
      <c r="J773" s="32" t="s">
        <v>1140</v>
      </c>
    </row>
    <row r="774" spans="6:10" x14ac:dyDescent="0.25">
      <c r="F774" s="32"/>
      <c r="G774" s="32" t="s">
        <v>765</v>
      </c>
      <c r="H774" s="32" t="s">
        <v>2012</v>
      </c>
      <c r="I774" s="32" t="s">
        <v>645</v>
      </c>
      <c r="J774" s="32" t="s">
        <v>1140</v>
      </c>
    </row>
    <row r="775" spans="6:10" x14ac:dyDescent="0.25">
      <c r="F775" s="32"/>
      <c r="G775" s="32" t="s">
        <v>2013</v>
      </c>
      <c r="H775" s="32" t="s">
        <v>2014</v>
      </c>
      <c r="I775" s="32" t="s">
        <v>645</v>
      </c>
      <c r="J775" s="32" t="s">
        <v>1140</v>
      </c>
    </row>
    <row r="776" spans="6:10" x14ac:dyDescent="0.25">
      <c r="F776" s="32"/>
      <c r="G776" s="32" t="s">
        <v>2015</v>
      </c>
      <c r="H776" s="32" t="s">
        <v>2016</v>
      </c>
      <c r="I776" s="32" t="s">
        <v>645</v>
      </c>
      <c r="J776" s="32" t="s">
        <v>1140</v>
      </c>
    </row>
    <row r="777" spans="6:10" x14ac:dyDescent="0.25">
      <c r="F777" s="32"/>
      <c r="G777" s="32" t="s">
        <v>2017</v>
      </c>
      <c r="H777" s="32" t="s">
        <v>2018</v>
      </c>
      <c r="I777" s="32" t="s">
        <v>645</v>
      </c>
      <c r="J777" s="32" t="s">
        <v>1140</v>
      </c>
    </row>
    <row r="778" spans="6:10" x14ac:dyDescent="0.25">
      <c r="F778" s="32"/>
      <c r="G778" s="32" t="s">
        <v>2019</v>
      </c>
      <c r="H778" s="32" t="s">
        <v>2020</v>
      </c>
      <c r="I778" s="32" t="s">
        <v>645</v>
      </c>
      <c r="J778" s="32" t="s">
        <v>1140</v>
      </c>
    </row>
    <row r="779" spans="6:10" x14ac:dyDescent="0.25">
      <c r="F779" s="32" t="s">
        <v>511</v>
      </c>
      <c r="G779" s="32"/>
      <c r="H779" s="32" t="s">
        <v>2021</v>
      </c>
      <c r="I779" s="32"/>
      <c r="J779" s="32"/>
    </row>
    <row r="780" spans="6:10" x14ac:dyDescent="0.25">
      <c r="F780" s="32"/>
      <c r="G780" s="32" t="s">
        <v>511</v>
      </c>
      <c r="H780" s="32" t="s">
        <v>2022</v>
      </c>
      <c r="I780" s="32" t="s">
        <v>645</v>
      </c>
      <c r="J780" s="32" t="s">
        <v>1140</v>
      </c>
    </row>
    <row r="781" spans="6:10" x14ac:dyDescent="0.25">
      <c r="F781" s="32"/>
      <c r="G781" s="32" t="s">
        <v>2023</v>
      </c>
      <c r="H781" s="32" t="s">
        <v>2024</v>
      </c>
      <c r="I781" s="32" t="s">
        <v>645</v>
      </c>
      <c r="J781" s="32" t="s">
        <v>1140</v>
      </c>
    </row>
    <row r="782" spans="6:10" x14ac:dyDescent="0.25">
      <c r="F782" s="32"/>
      <c r="G782" s="32" t="s">
        <v>2025</v>
      </c>
      <c r="H782" s="32" t="s">
        <v>2026</v>
      </c>
      <c r="I782" s="32" t="s">
        <v>645</v>
      </c>
      <c r="J782" s="32" t="s">
        <v>1140</v>
      </c>
    </row>
    <row r="783" spans="6:10" x14ac:dyDescent="0.25">
      <c r="F783" s="32"/>
      <c r="G783" s="32" t="s">
        <v>2027</v>
      </c>
      <c r="H783" s="32" t="s">
        <v>2028</v>
      </c>
      <c r="I783" s="32" t="s">
        <v>645</v>
      </c>
      <c r="J783" s="32" t="s">
        <v>1140</v>
      </c>
    </row>
    <row r="784" spans="6:10" x14ac:dyDescent="0.25">
      <c r="F784" s="32"/>
      <c r="G784" s="32" t="s">
        <v>2029</v>
      </c>
      <c r="H784" s="32" t="s">
        <v>2030</v>
      </c>
      <c r="I784" s="32" t="s">
        <v>645</v>
      </c>
      <c r="J784" s="32" t="s">
        <v>1140</v>
      </c>
    </row>
    <row r="785" spans="6:10" x14ac:dyDescent="0.25">
      <c r="F785" s="32"/>
      <c r="G785" s="32" t="s">
        <v>2031</v>
      </c>
      <c r="H785" s="32" t="s">
        <v>2032</v>
      </c>
      <c r="I785" s="32" t="s">
        <v>645</v>
      </c>
      <c r="J785" s="32" t="s">
        <v>1140</v>
      </c>
    </row>
    <row r="786" spans="6:10" x14ac:dyDescent="0.25">
      <c r="F786" s="32"/>
      <c r="G786" s="32" t="s">
        <v>2033</v>
      </c>
      <c r="H786" s="32" t="s">
        <v>2034</v>
      </c>
      <c r="I786" s="32" t="s">
        <v>645</v>
      </c>
      <c r="J786" s="32" t="s">
        <v>1140</v>
      </c>
    </row>
    <row r="787" spans="6:10" x14ac:dyDescent="0.25">
      <c r="F787" s="32" t="s">
        <v>512</v>
      </c>
      <c r="G787" s="32"/>
      <c r="H787" s="32" t="s">
        <v>2035</v>
      </c>
      <c r="I787" s="32"/>
      <c r="J787" s="32"/>
    </row>
    <row r="788" spans="6:10" x14ac:dyDescent="0.25">
      <c r="F788" s="32"/>
      <c r="G788" s="32" t="s">
        <v>512</v>
      </c>
      <c r="H788" s="32" t="s">
        <v>2036</v>
      </c>
      <c r="I788" s="32" t="s">
        <v>645</v>
      </c>
      <c r="J788" s="32" t="s">
        <v>1140</v>
      </c>
    </row>
    <row r="789" spans="6:10" x14ac:dyDescent="0.25">
      <c r="F789" s="32"/>
      <c r="G789" s="32" t="s">
        <v>2037</v>
      </c>
      <c r="H789" s="32" t="s">
        <v>2038</v>
      </c>
      <c r="I789" s="32" t="s">
        <v>645</v>
      </c>
      <c r="J789" s="32" t="s">
        <v>1140</v>
      </c>
    </row>
    <row r="790" spans="6:10" x14ac:dyDescent="0.25">
      <c r="F790" s="32"/>
      <c r="G790" s="32" t="s">
        <v>2039</v>
      </c>
      <c r="H790" s="32" t="s">
        <v>2040</v>
      </c>
      <c r="I790" s="32" t="s">
        <v>645</v>
      </c>
      <c r="J790" s="32" t="s">
        <v>1140</v>
      </c>
    </row>
    <row r="791" spans="6:10" x14ac:dyDescent="0.25">
      <c r="F791" s="32"/>
      <c r="G791" s="32" t="s">
        <v>2041</v>
      </c>
      <c r="H791" s="32" t="s">
        <v>2042</v>
      </c>
      <c r="I791" s="32" t="s">
        <v>645</v>
      </c>
      <c r="J791" s="32" t="s">
        <v>1140</v>
      </c>
    </row>
    <row r="792" spans="6:10" x14ac:dyDescent="0.25">
      <c r="F792" s="32"/>
      <c r="G792" s="32" t="s">
        <v>2043</v>
      </c>
      <c r="H792" s="32" t="s">
        <v>2044</v>
      </c>
      <c r="I792" s="32" t="s">
        <v>645</v>
      </c>
      <c r="J792" s="32" t="s">
        <v>1140</v>
      </c>
    </row>
    <row r="793" spans="6:10" x14ac:dyDescent="0.25">
      <c r="F793" s="32"/>
      <c r="G793" s="32" t="s">
        <v>2045</v>
      </c>
      <c r="H793" s="32" t="s">
        <v>2046</v>
      </c>
      <c r="I793" s="32" t="s">
        <v>645</v>
      </c>
      <c r="J793" s="32" t="s">
        <v>1140</v>
      </c>
    </row>
    <row r="794" spans="6:10" x14ac:dyDescent="0.25">
      <c r="F794" s="32"/>
      <c r="G794" s="32" t="s">
        <v>2047</v>
      </c>
      <c r="H794" s="32" t="s">
        <v>2048</v>
      </c>
      <c r="I794" s="32" t="s">
        <v>645</v>
      </c>
      <c r="J794" s="32" t="s">
        <v>1140</v>
      </c>
    </row>
    <row r="795" spans="6:10" x14ac:dyDescent="0.25">
      <c r="F795" s="32"/>
      <c r="G795" s="32" t="s">
        <v>2049</v>
      </c>
      <c r="H795" s="32" t="s">
        <v>2050</v>
      </c>
      <c r="I795" s="32" t="s">
        <v>645</v>
      </c>
      <c r="J795" s="32" t="s">
        <v>1140</v>
      </c>
    </row>
    <row r="796" spans="6:10" x14ac:dyDescent="0.25">
      <c r="F796" s="32"/>
      <c r="G796" s="32" t="s">
        <v>2051</v>
      </c>
      <c r="H796" s="32" t="s">
        <v>2052</v>
      </c>
      <c r="I796" s="32" t="s">
        <v>645</v>
      </c>
      <c r="J796" s="32" t="s">
        <v>1140</v>
      </c>
    </row>
    <row r="797" spans="6:10" x14ac:dyDescent="0.25">
      <c r="F797" s="32" t="s">
        <v>513</v>
      </c>
      <c r="G797" s="32"/>
      <c r="H797" s="32" t="s">
        <v>2053</v>
      </c>
      <c r="I797" s="32"/>
      <c r="J797" s="32"/>
    </row>
    <row r="798" spans="6:10" x14ac:dyDescent="0.25">
      <c r="F798" s="32"/>
      <c r="G798" s="32" t="s">
        <v>513</v>
      </c>
      <c r="H798" s="32" t="s">
        <v>2054</v>
      </c>
      <c r="I798" s="32" t="s">
        <v>645</v>
      </c>
      <c r="J798" s="32" t="s">
        <v>1140</v>
      </c>
    </row>
    <row r="799" spans="6:10" x14ac:dyDescent="0.25">
      <c r="F799" s="32"/>
      <c r="G799" s="32" t="s">
        <v>2055</v>
      </c>
      <c r="H799" s="32" t="s">
        <v>2056</v>
      </c>
      <c r="I799" s="32" t="s">
        <v>645</v>
      </c>
      <c r="J799" s="32" t="s">
        <v>1140</v>
      </c>
    </row>
    <row r="800" spans="6:10" x14ac:dyDescent="0.25">
      <c r="F800" s="32"/>
      <c r="G800" s="32" t="s">
        <v>2057</v>
      </c>
      <c r="H800" s="32" t="s">
        <v>2058</v>
      </c>
      <c r="I800" s="32" t="s">
        <v>645</v>
      </c>
      <c r="J800" s="32" t="s">
        <v>1140</v>
      </c>
    </row>
    <row r="801" spans="6:10" x14ac:dyDescent="0.25">
      <c r="F801" s="32"/>
      <c r="G801" s="32" t="s">
        <v>2059</v>
      </c>
      <c r="H801" s="32" t="s">
        <v>2060</v>
      </c>
      <c r="I801" s="32" t="s">
        <v>645</v>
      </c>
      <c r="J801" s="32" t="s">
        <v>1140</v>
      </c>
    </row>
    <row r="802" spans="6:10" x14ac:dyDescent="0.25">
      <c r="F802" s="32"/>
      <c r="G802" s="32" t="s">
        <v>2061</v>
      </c>
      <c r="H802" s="32" t="s">
        <v>2062</v>
      </c>
      <c r="I802" s="32" t="s">
        <v>645</v>
      </c>
      <c r="J802" s="32" t="s">
        <v>1140</v>
      </c>
    </row>
    <row r="803" spans="6:10" x14ac:dyDescent="0.25">
      <c r="F803" s="32"/>
      <c r="G803" s="32" t="s">
        <v>2063</v>
      </c>
      <c r="H803" s="32" t="s">
        <v>2064</v>
      </c>
      <c r="I803" s="32" t="s">
        <v>645</v>
      </c>
      <c r="J803" s="32" t="s">
        <v>1140</v>
      </c>
    </row>
    <row r="804" spans="6:10" x14ac:dyDescent="0.25">
      <c r="F804" s="32"/>
      <c r="G804" s="32" t="s">
        <v>2065</v>
      </c>
      <c r="H804" s="32" t="s">
        <v>2066</v>
      </c>
      <c r="I804" s="32" t="s">
        <v>645</v>
      </c>
      <c r="J804" s="32" t="s">
        <v>1140</v>
      </c>
    </row>
    <row r="805" spans="6:10" x14ac:dyDescent="0.25">
      <c r="F805" s="32"/>
      <c r="G805" s="32" t="s">
        <v>2067</v>
      </c>
      <c r="H805" s="32" t="s">
        <v>2068</v>
      </c>
      <c r="I805" s="32" t="s">
        <v>688</v>
      </c>
      <c r="J805" s="32" t="s">
        <v>688</v>
      </c>
    </row>
    <row r="806" spans="6:10" x14ac:dyDescent="0.25">
      <c r="F806" s="32" t="s">
        <v>514</v>
      </c>
      <c r="G806" s="32"/>
      <c r="H806" s="32" t="s">
        <v>2069</v>
      </c>
      <c r="I806" s="32"/>
      <c r="J806" s="32"/>
    </row>
    <row r="807" spans="6:10" x14ac:dyDescent="0.25">
      <c r="F807" s="32"/>
      <c r="G807" s="32" t="s">
        <v>2070</v>
      </c>
      <c r="H807" s="32" t="s">
        <v>2071</v>
      </c>
      <c r="I807" s="32" t="s">
        <v>645</v>
      </c>
      <c r="J807" s="32" t="s">
        <v>1140</v>
      </c>
    </row>
    <row r="808" spans="6:10" x14ac:dyDescent="0.25">
      <c r="F808" s="32"/>
      <c r="G808" s="32" t="s">
        <v>2072</v>
      </c>
      <c r="H808" s="32" t="s">
        <v>2073</v>
      </c>
      <c r="I808" s="32" t="s">
        <v>645</v>
      </c>
      <c r="J808" s="32" t="s">
        <v>1140</v>
      </c>
    </row>
    <row r="809" spans="6:10" x14ac:dyDescent="0.25">
      <c r="F809" s="32"/>
      <c r="G809" s="32" t="s">
        <v>2074</v>
      </c>
      <c r="H809" s="32" t="s">
        <v>2075</v>
      </c>
      <c r="I809" s="32" t="s">
        <v>645</v>
      </c>
      <c r="J809" s="32" t="s">
        <v>1140</v>
      </c>
    </row>
    <row r="810" spans="6:10" x14ac:dyDescent="0.25">
      <c r="F810" s="32"/>
      <c r="G810" s="32" t="s">
        <v>2076</v>
      </c>
      <c r="H810" s="32" t="s">
        <v>2077</v>
      </c>
      <c r="I810" s="32" t="s">
        <v>645</v>
      </c>
      <c r="J810" s="32" t="s">
        <v>1140</v>
      </c>
    </row>
    <row r="811" spans="6:10" x14ac:dyDescent="0.25">
      <c r="F811" s="32"/>
      <c r="G811" s="32" t="s">
        <v>2078</v>
      </c>
      <c r="H811" s="32" t="s">
        <v>2079</v>
      </c>
      <c r="I811" s="32" t="s">
        <v>645</v>
      </c>
      <c r="J811" s="32" t="s">
        <v>1140</v>
      </c>
    </row>
    <row r="812" spans="6:10" x14ac:dyDescent="0.25">
      <c r="F812" s="32"/>
      <c r="G812" s="32" t="s">
        <v>2080</v>
      </c>
      <c r="H812" s="32" t="s">
        <v>2081</v>
      </c>
      <c r="I812" s="32" t="s">
        <v>645</v>
      </c>
      <c r="J812" s="32" t="s">
        <v>1140</v>
      </c>
    </row>
    <row r="813" spans="6:10" x14ac:dyDescent="0.25">
      <c r="F813" s="32"/>
      <c r="G813" s="32" t="s">
        <v>2082</v>
      </c>
      <c r="H813" s="32" t="s">
        <v>2083</v>
      </c>
      <c r="I813" s="32" t="s">
        <v>645</v>
      </c>
      <c r="J813" s="32" t="s">
        <v>1140</v>
      </c>
    </row>
    <row r="814" spans="6:10" x14ac:dyDescent="0.25">
      <c r="F814" s="32"/>
      <c r="G814" s="32" t="s">
        <v>2084</v>
      </c>
      <c r="H814" s="32" t="s">
        <v>2085</v>
      </c>
      <c r="I814" s="32" t="s">
        <v>645</v>
      </c>
      <c r="J814" s="32" t="s">
        <v>1140</v>
      </c>
    </row>
    <row r="815" spans="6:10" x14ac:dyDescent="0.25">
      <c r="F815" s="32" t="s">
        <v>515</v>
      </c>
      <c r="G815" s="32"/>
      <c r="H815" s="32" t="s">
        <v>2086</v>
      </c>
      <c r="I815" s="32"/>
      <c r="J815" s="32"/>
    </row>
    <row r="816" spans="6:10" x14ac:dyDescent="0.25">
      <c r="F816" s="32"/>
      <c r="G816" s="32" t="s">
        <v>2087</v>
      </c>
      <c r="H816" s="32" t="s">
        <v>2088</v>
      </c>
      <c r="I816" s="32" t="s">
        <v>645</v>
      </c>
      <c r="J816" s="32" t="s">
        <v>1140</v>
      </c>
    </row>
    <row r="817" spans="6:10" x14ac:dyDescent="0.25">
      <c r="F817" s="32"/>
      <c r="G817" s="32" t="s">
        <v>2089</v>
      </c>
      <c r="H817" s="32" t="s">
        <v>2090</v>
      </c>
      <c r="I817" s="32" t="s">
        <v>645</v>
      </c>
      <c r="J817" s="32" t="s">
        <v>1140</v>
      </c>
    </row>
    <row r="818" spans="6:10" x14ac:dyDescent="0.25">
      <c r="F818" s="32"/>
      <c r="G818" s="32" t="s">
        <v>2091</v>
      </c>
      <c r="H818" s="32" t="s">
        <v>2092</v>
      </c>
      <c r="I818" s="32" t="s">
        <v>645</v>
      </c>
      <c r="J818" s="32" t="s">
        <v>1140</v>
      </c>
    </row>
    <row r="819" spans="6:10" x14ac:dyDescent="0.25">
      <c r="F819" s="32"/>
      <c r="G819" s="32" t="s">
        <v>2093</v>
      </c>
      <c r="H819" s="32" t="s">
        <v>2094</v>
      </c>
      <c r="I819" s="32" t="s">
        <v>645</v>
      </c>
      <c r="J819" s="32" t="s">
        <v>1140</v>
      </c>
    </row>
    <row r="820" spans="6:10" x14ac:dyDescent="0.25">
      <c r="F820" s="32"/>
      <c r="G820" s="32" t="s">
        <v>2095</v>
      </c>
      <c r="H820" s="32" t="s">
        <v>2096</v>
      </c>
      <c r="I820" s="32" t="s">
        <v>645</v>
      </c>
      <c r="J820" s="32" t="s">
        <v>1140</v>
      </c>
    </row>
    <row r="821" spans="6:10" x14ac:dyDescent="0.25">
      <c r="F821" s="32"/>
      <c r="G821" s="32" t="s">
        <v>618</v>
      </c>
      <c r="H821" s="32" t="s">
        <v>2097</v>
      </c>
      <c r="I821" s="32" t="s">
        <v>645</v>
      </c>
      <c r="J821" s="32" t="s">
        <v>1140</v>
      </c>
    </row>
    <row r="822" spans="6:10" x14ac:dyDescent="0.25">
      <c r="F822" s="32"/>
      <c r="G822" s="32" t="s">
        <v>2098</v>
      </c>
      <c r="H822" s="32" t="s">
        <v>2099</v>
      </c>
      <c r="I822" s="32" t="s">
        <v>645</v>
      </c>
      <c r="J822" s="32" t="s">
        <v>1140</v>
      </c>
    </row>
    <row r="823" spans="6:10" x14ac:dyDescent="0.25">
      <c r="F823" s="32"/>
      <c r="G823" s="32" t="s">
        <v>2100</v>
      </c>
      <c r="H823" s="32" t="s">
        <v>2101</v>
      </c>
      <c r="I823" s="32" t="s">
        <v>645</v>
      </c>
      <c r="J823" s="32" t="s">
        <v>1140</v>
      </c>
    </row>
    <row r="824" spans="6:10" x14ac:dyDescent="0.25">
      <c r="F824" s="32" t="s">
        <v>516</v>
      </c>
      <c r="G824" s="32"/>
      <c r="H824" s="32" t="s">
        <v>2102</v>
      </c>
      <c r="I824" s="32"/>
      <c r="J824" s="32"/>
    </row>
    <row r="825" spans="6:10" x14ac:dyDescent="0.25">
      <c r="F825" s="32"/>
      <c r="G825" s="32" t="s">
        <v>771</v>
      </c>
      <c r="H825" s="32" t="s">
        <v>2103</v>
      </c>
      <c r="I825" s="32" t="s">
        <v>645</v>
      </c>
      <c r="J825" s="32" t="s">
        <v>1140</v>
      </c>
    </row>
    <row r="826" spans="6:10" x14ac:dyDescent="0.25">
      <c r="F826" s="32"/>
      <c r="G826" s="32" t="s">
        <v>2104</v>
      </c>
      <c r="H826" s="32" t="s">
        <v>2105</v>
      </c>
      <c r="I826" s="32" t="s">
        <v>645</v>
      </c>
      <c r="J826" s="32" t="s">
        <v>1140</v>
      </c>
    </row>
    <row r="827" spans="6:10" x14ac:dyDescent="0.25">
      <c r="F827" s="32"/>
      <c r="G827" s="32" t="s">
        <v>2106</v>
      </c>
      <c r="H827" s="32" t="s">
        <v>2107</v>
      </c>
      <c r="I827" s="32" t="s">
        <v>645</v>
      </c>
      <c r="J827" s="32" t="s">
        <v>1140</v>
      </c>
    </row>
    <row r="828" spans="6:10" x14ac:dyDescent="0.25">
      <c r="F828" s="32"/>
      <c r="G828" s="32" t="s">
        <v>2108</v>
      </c>
      <c r="H828" s="32" t="s">
        <v>2109</v>
      </c>
      <c r="I828" s="32" t="s">
        <v>645</v>
      </c>
      <c r="J828" s="32" t="s">
        <v>1140</v>
      </c>
    </row>
    <row r="829" spans="6:10" x14ac:dyDescent="0.25">
      <c r="F829" s="32"/>
      <c r="G829" s="32" t="s">
        <v>2110</v>
      </c>
      <c r="H829" s="32" t="s">
        <v>2111</v>
      </c>
      <c r="I829" s="32" t="s">
        <v>645</v>
      </c>
      <c r="J829" s="32" t="s">
        <v>1140</v>
      </c>
    </row>
    <row r="830" spans="6:10" x14ac:dyDescent="0.25">
      <c r="F830" s="32"/>
      <c r="G830" s="32" t="s">
        <v>2112</v>
      </c>
      <c r="H830" s="32" t="s">
        <v>2113</v>
      </c>
      <c r="I830" s="32" t="s">
        <v>645</v>
      </c>
      <c r="J830" s="32" t="s">
        <v>1140</v>
      </c>
    </row>
    <row r="831" spans="6:10" x14ac:dyDescent="0.25">
      <c r="F831" s="32"/>
      <c r="G831" s="32" t="s">
        <v>2114</v>
      </c>
      <c r="H831" s="32" t="s">
        <v>2115</v>
      </c>
      <c r="I831" s="32" t="s">
        <v>645</v>
      </c>
      <c r="J831" s="32" t="s">
        <v>1140</v>
      </c>
    </row>
    <row r="832" spans="6:10" x14ac:dyDescent="0.25">
      <c r="F832" s="32"/>
      <c r="G832" s="32" t="s">
        <v>2116</v>
      </c>
      <c r="H832" s="32" t="s">
        <v>2117</v>
      </c>
      <c r="I832" s="32" t="s">
        <v>645</v>
      </c>
      <c r="J832" s="32" t="s">
        <v>1140</v>
      </c>
    </row>
    <row r="833" spans="6:10" x14ac:dyDescent="0.25">
      <c r="F833" s="32" t="s">
        <v>517</v>
      </c>
      <c r="G833" s="32"/>
      <c r="H833" s="32" t="s">
        <v>2118</v>
      </c>
      <c r="I833" s="32"/>
      <c r="J833" s="32"/>
    </row>
    <row r="834" spans="6:10" x14ac:dyDescent="0.25">
      <c r="F834" s="32"/>
      <c r="G834" s="32" t="s">
        <v>517</v>
      </c>
      <c r="H834" s="32" t="s">
        <v>2119</v>
      </c>
      <c r="I834" s="32" t="s">
        <v>645</v>
      </c>
      <c r="J834" s="32" t="s">
        <v>1140</v>
      </c>
    </row>
    <row r="835" spans="6:10" x14ac:dyDescent="0.25">
      <c r="F835" s="32"/>
      <c r="G835" s="32" t="s">
        <v>2120</v>
      </c>
      <c r="H835" s="32" t="s">
        <v>2121</v>
      </c>
      <c r="I835" s="32" t="s">
        <v>645</v>
      </c>
      <c r="J835" s="32" t="s">
        <v>1140</v>
      </c>
    </row>
    <row r="836" spans="6:10" x14ac:dyDescent="0.25">
      <c r="F836" s="32"/>
      <c r="G836" s="32" t="s">
        <v>1440</v>
      </c>
      <c r="H836" s="32" t="s">
        <v>2122</v>
      </c>
      <c r="I836" s="32" t="s">
        <v>645</v>
      </c>
      <c r="J836" s="32" t="s">
        <v>1140</v>
      </c>
    </row>
    <row r="837" spans="6:10" x14ac:dyDescent="0.25">
      <c r="F837" s="32"/>
      <c r="G837" s="32" t="s">
        <v>2123</v>
      </c>
      <c r="H837" s="32" t="s">
        <v>2124</v>
      </c>
      <c r="I837" s="32" t="s">
        <v>645</v>
      </c>
      <c r="J837" s="32" t="s">
        <v>1140</v>
      </c>
    </row>
    <row r="838" spans="6:10" x14ac:dyDescent="0.25">
      <c r="F838" s="32"/>
      <c r="G838" s="32" t="s">
        <v>2125</v>
      </c>
      <c r="H838" s="32" t="s">
        <v>2126</v>
      </c>
      <c r="I838" s="32" t="s">
        <v>645</v>
      </c>
      <c r="J838" s="32" t="s">
        <v>1140</v>
      </c>
    </row>
    <row r="839" spans="6:10" x14ac:dyDescent="0.25">
      <c r="F839" s="32"/>
      <c r="G839" s="32" t="s">
        <v>2127</v>
      </c>
      <c r="H839" s="32" t="s">
        <v>2128</v>
      </c>
      <c r="I839" s="32" t="s">
        <v>645</v>
      </c>
      <c r="J839" s="32" t="s">
        <v>1140</v>
      </c>
    </row>
    <row r="840" spans="6:10" x14ac:dyDescent="0.25">
      <c r="F840" s="32"/>
      <c r="G840" s="32" t="s">
        <v>2129</v>
      </c>
      <c r="H840" s="32" t="s">
        <v>2130</v>
      </c>
      <c r="I840" s="32" t="s">
        <v>645</v>
      </c>
      <c r="J840" s="32" t="s">
        <v>1140</v>
      </c>
    </row>
    <row r="841" spans="6:10" x14ac:dyDescent="0.25">
      <c r="F841" s="32"/>
      <c r="G841" s="32" t="s">
        <v>2131</v>
      </c>
      <c r="H841" s="32" t="s">
        <v>2132</v>
      </c>
      <c r="I841" s="32" t="s">
        <v>645</v>
      </c>
      <c r="J841" s="32" t="s">
        <v>1140</v>
      </c>
    </row>
    <row r="842" spans="6:10" x14ac:dyDescent="0.25">
      <c r="F842" s="32" t="s">
        <v>622</v>
      </c>
      <c r="G842" s="32"/>
      <c r="H842" s="32" t="s">
        <v>2133</v>
      </c>
      <c r="I842" s="32"/>
      <c r="J842" s="32"/>
    </row>
    <row r="843" spans="6:10" x14ac:dyDescent="0.25">
      <c r="F843" s="32"/>
      <c r="G843" s="32" t="s">
        <v>2134</v>
      </c>
      <c r="H843" s="32" t="s">
        <v>2135</v>
      </c>
      <c r="I843" s="32" t="s">
        <v>688</v>
      </c>
      <c r="J843" s="32" t="s">
        <v>688</v>
      </c>
    </row>
    <row r="844" spans="6:10" x14ac:dyDescent="0.25">
      <c r="F844" s="32"/>
      <c r="G844" s="32" t="s">
        <v>2136</v>
      </c>
      <c r="H844" s="32" t="s">
        <v>2137</v>
      </c>
      <c r="I844" s="32" t="s">
        <v>688</v>
      </c>
      <c r="J844" s="32" t="s">
        <v>688</v>
      </c>
    </row>
    <row r="845" spans="6:10" x14ac:dyDescent="0.25">
      <c r="F845" s="32"/>
      <c r="G845" s="32" t="s">
        <v>2138</v>
      </c>
      <c r="H845" s="32" t="s">
        <v>2139</v>
      </c>
      <c r="I845" s="32" t="s">
        <v>688</v>
      </c>
      <c r="J845" s="32" t="s">
        <v>688</v>
      </c>
    </row>
    <row r="846" spans="6:10" x14ac:dyDescent="0.25">
      <c r="F846" s="32"/>
      <c r="G846" s="32" t="s">
        <v>2140</v>
      </c>
      <c r="H846" s="32" t="s">
        <v>2141</v>
      </c>
      <c r="I846" s="32" t="s">
        <v>688</v>
      </c>
      <c r="J846" s="32" t="s">
        <v>688</v>
      </c>
    </row>
    <row r="847" spans="6:10" x14ac:dyDescent="0.25">
      <c r="F847" s="32"/>
      <c r="G847" s="32" t="s">
        <v>1264</v>
      </c>
      <c r="H847" s="32" t="s">
        <v>2142</v>
      </c>
      <c r="I847" s="32" t="s">
        <v>688</v>
      </c>
      <c r="J847" s="32" t="s">
        <v>688</v>
      </c>
    </row>
    <row r="848" spans="6:10" x14ac:dyDescent="0.25">
      <c r="F848" s="32"/>
      <c r="G848" s="32" t="s">
        <v>2143</v>
      </c>
      <c r="H848" s="32" t="s">
        <v>2144</v>
      </c>
      <c r="I848" s="32" t="s">
        <v>688</v>
      </c>
      <c r="J848" s="32" t="s">
        <v>688</v>
      </c>
    </row>
    <row r="849" spans="6:10" x14ac:dyDescent="0.25">
      <c r="F849" s="32"/>
      <c r="G849" s="32" t="s">
        <v>2145</v>
      </c>
      <c r="H849" s="32" t="s">
        <v>2146</v>
      </c>
      <c r="I849" s="32" t="s">
        <v>688</v>
      </c>
      <c r="J849" s="32" t="s">
        <v>688</v>
      </c>
    </row>
    <row r="850" spans="6:10" x14ac:dyDescent="0.25">
      <c r="F850" s="32"/>
      <c r="G850" s="32" t="s">
        <v>2147</v>
      </c>
      <c r="H850" s="32" t="s">
        <v>2148</v>
      </c>
      <c r="I850" s="32" t="s">
        <v>688</v>
      </c>
      <c r="J850" s="32" t="s">
        <v>688</v>
      </c>
    </row>
    <row r="851" spans="6:10" x14ac:dyDescent="0.25">
      <c r="F851" s="32"/>
      <c r="G851" s="32" t="s">
        <v>3704</v>
      </c>
      <c r="H851" s="32" t="s">
        <v>2149</v>
      </c>
      <c r="I851" s="32" t="s">
        <v>645</v>
      </c>
      <c r="J851" s="32" t="s">
        <v>1140</v>
      </c>
    </row>
    <row r="852" spans="6:10" x14ac:dyDescent="0.25">
      <c r="F852" s="32"/>
      <c r="G852" s="32" t="s">
        <v>2150</v>
      </c>
      <c r="H852" s="32" t="s">
        <v>2151</v>
      </c>
      <c r="I852" s="32" t="s">
        <v>688</v>
      </c>
      <c r="J852" s="32" t="s">
        <v>688</v>
      </c>
    </row>
    <row r="853" spans="6:10" x14ac:dyDescent="0.25">
      <c r="F853" s="32"/>
      <c r="G853" s="32" t="s">
        <v>2152</v>
      </c>
      <c r="H853" s="32" t="s">
        <v>2153</v>
      </c>
      <c r="I853" s="32" t="s">
        <v>645</v>
      </c>
      <c r="J853" s="32" t="s">
        <v>1140</v>
      </c>
    </row>
    <row r="854" spans="6:10" x14ac:dyDescent="0.25">
      <c r="F854" s="32"/>
      <c r="G854" s="32" t="s">
        <v>2154</v>
      </c>
      <c r="H854" s="32" t="s">
        <v>2155</v>
      </c>
      <c r="I854" s="32" t="s">
        <v>645</v>
      </c>
      <c r="J854" s="32" t="s">
        <v>1140</v>
      </c>
    </row>
    <row r="855" spans="6:10" x14ac:dyDescent="0.25">
      <c r="F855" s="32"/>
      <c r="G855" s="32" t="s">
        <v>2156</v>
      </c>
      <c r="H855" s="32" t="s">
        <v>2157</v>
      </c>
      <c r="I855" s="32" t="s">
        <v>688</v>
      </c>
      <c r="J855" s="32" t="s">
        <v>688</v>
      </c>
    </row>
    <row r="856" spans="6:10" x14ac:dyDescent="0.25">
      <c r="F856" s="32"/>
      <c r="G856" s="32" t="s">
        <v>2158</v>
      </c>
      <c r="H856" s="32" t="s">
        <v>2159</v>
      </c>
      <c r="I856" s="32" t="s">
        <v>645</v>
      </c>
      <c r="J856" s="32" t="s">
        <v>1140</v>
      </c>
    </row>
    <row r="857" spans="6:10" x14ac:dyDescent="0.25">
      <c r="F857" s="32" t="s">
        <v>518</v>
      </c>
      <c r="G857" s="32"/>
      <c r="H857" s="32" t="s">
        <v>2160</v>
      </c>
      <c r="I857" s="32"/>
      <c r="J857" s="32"/>
    </row>
    <row r="858" spans="6:10" x14ac:dyDescent="0.25">
      <c r="F858" s="32"/>
      <c r="G858" s="32" t="s">
        <v>518</v>
      </c>
      <c r="H858" s="32" t="s">
        <v>2161</v>
      </c>
      <c r="I858" s="32" t="s">
        <v>645</v>
      </c>
      <c r="J858" s="32" t="s">
        <v>1140</v>
      </c>
    </row>
    <row r="859" spans="6:10" x14ac:dyDescent="0.25">
      <c r="F859" s="32"/>
      <c r="G859" s="32" t="s">
        <v>2162</v>
      </c>
      <c r="H859" s="32" t="s">
        <v>2163</v>
      </c>
      <c r="I859" s="32" t="s">
        <v>645</v>
      </c>
      <c r="J859" s="32" t="s">
        <v>1140</v>
      </c>
    </row>
    <row r="860" spans="6:10" x14ac:dyDescent="0.25">
      <c r="F860" s="32"/>
      <c r="G860" s="32" t="s">
        <v>2164</v>
      </c>
      <c r="H860" s="32" t="s">
        <v>2165</v>
      </c>
      <c r="I860" s="32" t="s">
        <v>645</v>
      </c>
      <c r="J860" s="32" t="s">
        <v>1140</v>
      </c>
    </row>
    <row r="861" spans="6:10" x14ac:dyDescent="0.25">
      <c r="F861" s="32"/>
      <c r="G861" s="32" t="s">
        <v>2166</v>
      </c>
      <c r="H861" s="32" t="s">
        <v>2167</v>
      </c>
      <c r="I861" s="32" t="s">
        <v>645</v>
      </c>
      <c r="J861" s="32" t="s">
        <v>1140</v>
      </c>
    </row>
    <row r="862" spans="6:10" x14ac:dyDescent="0.25">
      <c r="F862" s="32"/>
      <c r="G862" s="32" t="s">
        <v>2168</v>
      </c>
      <c r="H862" s="32" t="s">
        <v>2169</v>
      </c>
      <c r="I862" s="32" t="s">
        <v>645</v>
      </c>
      <c r="J862" s="32" t="s">
        <v>1140</v>
      </c>
    </row>
    <row r="863" spans="6:10" x14ac:dyDescent="0.25">
      <c r="F863" s="32"/>
      <c r="G863" s="32" t="s">
        <v>2170</v>
      </c>
      <c r="H863" s="32" t="s">
        <v>2171</v>
      </c>
      <c r="I863" s="32" t="s">
        <v>645</v>
      </c>
      <c r="J863" s="32" t="s">
        <v>1140</v>
      </c>
    </row>
    <row r="864" spans="6:10" x14ac:dyDescent="0.25">
      <c r="F864" s="32"/>
      <c r="G864" s="32" t="s">
        <v>2172</v>
      </c>
      <c r="H864" s="32" t="s">
        <v>2173</v>
      </c>
      <c r="I864" s="32" t="s">
        <v>645</v>
      </c>
      <c r="J864" s="32" t="s">
        <v>1140</v>
      </c>
    </row>
    <row r="865" spans="6:10" x14ac:dyDescent="0.25">
      <c r="F865" s="32"/>
      <c r="G865" s="32" t="s">
        <v>2174</v>
      </c>
      <c r="H865" s="32" t="s">
        <v>2175</v>
      </c>
      <c r="I865" s="32" t="s">
        <v>645</v>
      </c>
      <c r="J865" s="32" t="s">
        <v>1140</v>
      </c>
    </row>
    <row r="866" spans="6:10" x14ac:dyDescent="0.25">
      <c r="F866" s="32"/>
      <c r="G866" s="32" t="s">
        <v>2176</v>
      </c>
      <c r="H866" s="32" t="s">
        <v>2177</v>
      </c>
      <c r="I866" s="32" t="s">
        <v>645</v>
      </c>
      <c r="J866" s="32" t="s">
        <v>1140</v>
      </c>
    </row>
    <row r="867" spans="6:10" x14ac:dyDescent="0.25">
      <c r="F867" s="32" t="s">
        <v>519</v>
      </c>
      <c r="G867" s="32"/>
      <c r="H867" s="32" t="s">
        <v>2178</v>
      </c>
      <c r="I867" s="32"/>
      <c r="J867" s="32"/>
    </row>
    <row r="868" spans="6:10" x14ac:dyDescent="0.25">
      <c r="F868" s="32"/>
      <c r="G868" s="32" t="s">
        <v>519</v>
      </c>
      <c r="H868" s="32" t="s">
        <v>2179</v>
      </c>
      <c r="I868" s="32" t="s">
        <v>645</v>
      </c>
      <c r="J868" s="32" t="s">
        <v>1140</v>
      </c>
    </row>
    <row r="869" spans="6:10" x14ac:dyDescent="0.25">
      <c r="F869" s="32"/>
      <c r="G869" s="32" t="s">
        <v>2180</v>
      </c>
      <c r="H869" s="32" t="s">
        <v>2181</v>
      </c>
      <c r="I869" s="32" t="s">
        <v>645</v>
      </c>
      <c r="J869" s="32" t="s">
        <v>1140</v>
      </c>
    </row>
    <row r="870" spans="6:10" x14ac:dyDescent="0.25">
      <c r="F870" s="32"/>
      <c r="G870" s="32" t="s">
        <v>2182</v>
      </c>
      <c r="H870" s="32" t="s">
        <v>2183</v>
      </c>
      <c r="I870" s="32" t="s">
        <v>645</v>
      </c>
      <c r="J870" s="32" t="s">
        <v>1140</v>
      </c>
    </row>
    <row r="871" spans="6:10" x14ac:dyDescent="0.25">
      <c r="F871" s="32"/>
      <c r="G871" s="32" t="s">
        <v>2184</v>
      </c>
      <c r="H871" s="32" t="s">
        <v>2185</v>
      </c>
      <c r="I871" s="32" t="s">
        <v>645</v>
      </c>
      <c r="J871" s="32" t="s">
        <v>1140</v>
      </c>
    </row>
    <row r="872" spans="6:10" x14ac:dyDescent="0.25">
      <c r="F872" s="32"/>
      <c r="G872" s="32" t="s">
        <v>2186</v>
      </c>
      <c r="H872" s="32" t="s">
        <v>2187</v>
      </c>
      <c r="I872" s="32" t="s">
        <v>645</v>
      </c>
      <c r="J872" s="32" t="s">
        <v>1140</v>
      </c>
    </row>
    <row r="873" spans="6:10" x14ac:dyDescent="0.25">
      <c r="F873" s="32"/>
      <c r="G873" s="32" t="s">
        <v>2188</v>
      </c>
      <c r="H873" s="32" t="s">
        <v>2189</v>
      </c>
      <c r="I873" s="32" t="s">
        <v>688</v>
      </c>
      <c r="J873" s="32" t="s">
        <v>688</v>
      </c>
    </row>
    <row r="874" spans="6:10" x14ac:dyDescent="0.25">
      <c r="F874" s="32" t="s">
        <v>520</v>
      </c>
      <c r="G874" s="32"/>
      <c r="H874" s="32" t="s">
        <v>2190</v>
      </c>
      <c r="I874" s="32"/>
      <c r="J874" s="32"/>
    </row>
    <row r="875" spans="6:10" x14ac:dyDescent="0.25">
      <c r="F875" s="32"/>
      <c r="G875" s="32" t="s">
        <v>2191</v>
      </c>
      <c r="H875" s="32" t="s">
        <v>2192</v>
      </c>
      <c r="I875" s="32" t="s">
        <v>645</v>
      </c>
      <c r="J875" s="32" t="s">
        <v>1140</v>
      </c>
    </row>
    <row r="876" spans="6:10" x14ac:dyDescent="0.25">
      <c r="F876" s="32"/>
      <c r="G876" s="32" t="s">
        <v>2193</v>
      </c>
      <c r="H876" s="32" t="s">
        <v>2194</v>
      </c>
      <c r="I876" s="32" t="s">
        <v>645</v>
      </c>
      <c r="J876" s="32" t="s">
        <v>1140</v>
      </c>
    </row>
    <row r="877" spans="6:10" x14ac:dyDescent="0.25">
      <c r="F877" s="32"/>
      <c r="G877" s="32" t="s">
        <v>2195</v>
      </c>
      <c r="H877" s="32" t="s">
        <v>2196</v>
      </c>
      <c r="I877" s="32" t="s">
        <v>688</v>
      </c>
      <c r="J877" s="32" t="s">
        <v>688</v>
      </c>
    </row>
    <row r="878" spans="6:10" x14ac:dyDescent="0.25">
      <c r="F878" s="32"/>
      <c r="G878" s="32" t="s">
        <v>2197</v>
      </c>
      <c r="H878" s="32" t="s">
        <v>2198</v>
      </c>
      <c r="I878" s="32" t="s">
        <v>645</v>
      </c>
      <c r="J878" s="32" t="s">
        <v>1140</v>
      </c>
    </row>
    <row r="879" spans="6:10" x14ac:dyDescent="0.25">
      <c r="F879" s="32"/>
      <c r="G879" s="32" t="s">
        <v>2199</v>
      </c>
      <c r="H879" s="32" t="s">
        <v>2200</v>
      </c>
      <c r="I879" s="32" t="s">
        <v>645</v>
      </c>
      <c r="J879" s="32" t="s">
        <v>1140</v>
      </c>
    </row>
    <row r="880" spans="6:10" x14ac:dyDescent="0.25">
      <c r="F880" s="32"/>
      <c r="G880" s="32" t="s">
        <v>2201</v>
      </c>
      <c r="H880" s="32" t="s">
        <v>2202</v>
      </c>
      <c r="I880" s="32" t="s">
        <v>645</v>
      </c>
      <c r="J880" s="32" t="s">
        <v>1140</v>
      </c>
    </row>
    <row r="881" spans="6:10" x14ac:dyDescent="0.25">
      <c r="F881" s="32"/>
      <c r="G881" s="32" t="s">
        <v>2203</v>
      </c>
      <c r="H881" s="32" t="s">
        <v>2204</v>
      </c>
      <c r="I881" s="32" t="s">
        <v>645</v>
      </c>
      <c r="J881" s="32" t="s">
        <v>1140</v>
      </c>
    </row>
    <row r="882" spans="6:10" x14ac:dyDescent="0.25">
      <c r="F882" s="32"/>
      <c r="G882" s="32" t="s">
        <v>1227</v>
      </c>
      <c r="H882" s="32" t="s">
        <v>2205</v>
      </c>
      <c r="I882" s="32" t="s">
        <v>645</v>
      </c>
      <c r="J882" s="32" t="s">
        <v>1140</v>
      </c>
    </row>
    <row r="883" spans="6:10" x14ac:dyDescent="0.25">
      <c r="F883" s="32"/>
      <c r="G883" s="32" t="s">
        <v>2206</v>
      </c>
      <c r="H883" s="32" t="s">
        <v>2207</v>
      </c>
      <c r="I883" s="32" t="s">
        <v>645</v>
      </c>
      <c r="J883" s="32" t="s">
        <v>1140</v>
      </c>
    </row>
    <row r="884" spans="6:10" x14ac:dyDescent="0.25">
      <c r="F884" s="32"/>
      <c r="G884" s="32" t="s">
        <v>2208</v>
      </c>
      <c r="H884" s="32" t="s">
        <v>2209</v>
      </c>
      <c r="I884" s="32" t="s">
        <v>645</v>
      </c>
      <c r="J884" s="32" t="s">
        <v>1140</v>
      </c>
    </row>
    <row r="885" spans="6:10" x14ac:dyDescent="0.25">
      <c r="F885" s="32"/>
      <c r="G885" s="32" t="s">
        <v>1205</v>
      </c>
      <c r="H885" s="32" t="s">
        <v>2210</v>
      </c>
      <c r="I885" s="32" t="s">
        <v>645</v>
      </c>
      <c r="J885" s="32" t="s">
        <v>1140</v>
      </c>
    </row>
    <row r="886" spans="6:10" x14ac:dyDescent="0.25">
      <c r="F886" s="32"/>
      <c r="G886" s="32" t="s">
        <v>2211</v>
      </c>
      <c r="H886" s="32" t="s">
        <v>2212</v>
      </c>
      <c r="I886" s="32" t="s">
        <v>645</v>
      </c>
      <c r="J886" s="32" t="s">
        <v>1140</v>
      </c>
    </row>
    <row r="887" spans="6:10" x14ac:dyDescent="0.25">
      <c r="F887" s="32" t="s">
        <v>521</v>
      </c>
      <c r="G887" s="32"/>
      <c r="H887" s="32" t="s">
        <v>2213</v>
      </c>
      <c r="I887" s="32"/>
      <c r="J887" s="32"/>
    </row>
    <row r="888" spans="6:10" x14ac:dyDescent="0.25">
      <c r="F888" s="32"/>
      <c r="G888" s="32" t="s">
        <v>521</v>
      </c>
      <c r="H888" s="32" t="s">
        <v>2214</v>
      </c>
      <c r="I888" s="32" t="s">
        <v>645</v>
      </c>
      <c r="J888" s="32" t="s">
        <v>1140</v>
      </c>
    </row>
    <row r="889" spans="6:10" x14ac:dyDescent="0.25">
      <c r="F889" s="32"/>
      <c r="G889" s="32" t="s">
        <v>2215</v>
      </c>
      <c r="H889" s="32" t="s">
        <v>2216</v>
      </c>
      <c r="I889" s="32" t="s">
        <v>645</v>
      </c>
      <c r="J889" s="32" t="s">
        <v>1140</v>
      </c>
    </row>
    <row r="890" spans="6:10" x14ac:dyDescent="0.25">
      <c r="F890" s="32"/>
      <c r="G890" s="32" t="s">
        <v>1113</v>
      </c>
      <c r="H890" s="32" t="s">
        <v>2217</v>
      </c>
      <c r="I890" s="32" t="s">
        <v>645</v>
      </c>
      <c r="J890" s="32" t="s">
        <v>1140</v>
      </c>
    </row>
    <row r="891" spans="6:10" x14ac:dyDescent="0.25">
      <c r="F891" s="32"/>
      <c r="G891" s="32" t="s">
        <v>2218</v>
      </c>
      <c r="H891" s="32" t="s">
        <v>2219</v>
      </c>
      <c r="I891" s="32" t="s">
        <v>645</v>
      </c>
      <c r="J891" s="32" t="s">
        <v>1140</v>
      </c>
    </row>
    <row r="892" spans="6:10" x14ac:dyDescent="0.25">
      <c r="F892" s="32"/>
      <c r="G892" s="32" t="s">
        <v>2220</v>
      </c>
      <c r="H892" s="32" t="s">
        <v>2221</v>
      </c>
      <c r="I892" s="32" t="s">
        <v>645</v>
      </c>
      <c r="J892" s="32" t="s">
        <v>1140</v>
      </c>
    </row>
    <row r="893" spans="6:10" x14ac:dyDescent="0.25">
      <c r="F893" s="32"/>
      <c r="G893" s="32" t="s">
        <v>2222</v>
      </c>
      <c r="H893" s="32" t="s">
        <v>2223</v>
      </c>
      <c r="I893" s="32" t="s">
        <v>645</v>
      </c>
      <c r="J893" s="32" t="s">
        <v>1140</v>
      </c>
    </row>
    <row r="894" spans="6:10" x14ac:dyDescent="0.25">
      <c r="F894" s="32"/>
      <c r="G894" s="32" t="s">
        <v>2224</v>
      </c>
      <c r="H894" s="32" t="s">
        <v>2225</v>
      </c>
      <c r="I894" s="32" t="s">
        <v>645</v>
      </c>
      <c r="J894" s="32" t="s">
        <v>1140</v>
      </c>
    </row>
    <row r="895" spans="6:10" x14ac:dyDescent="0.25">
      <c r="F895" s="32" t="s">
        <v>460</v>
      </c>
      <c r="G895" s="32"/>
      <c r="H895" s="32"/>
      <c r="I895" s="32"/>
      <c r="J895" s="32"/>
    </row>
    <row r="896" spans="6:10" x14ac:dyDescent="0.25">
      <c r="F896" s="32" t="s">
        <v>446</v>
      </c>
      <c r="G896" s="32"/>
      <c r="H896" s="32" t="s">
        <v>2226</v>
      </c>
      <c r="I896" s="32"/>
      <c r="J896" s="32"/>
    </row>
    <row r="897" spans="6:10" x14ac:dyDescent="0.25">
      <c r="F897" s="32"/>
      <c r="G897" s="32" t="s">
        <v>446</v>
      </c>
      <c r="H897" s="32" t="s">
        <v>2227</v>
      </c>
      <c r="I897" s="32" t="s">
        <v>645</v>
      </c>
      <c r="J897" s="32" t="s">
        <v>819</v>
      </c>
    </row>
    <row r="898" spans="6:10" x14ac:dyDescent="0.25">
      <c r="F898" s="32"/>
      <c r="G898" s="32" t="s">
        <v>2228</v>
      </c>
      <c r="H898" s="32" t="s">
        <v>2229</v>
      </c>
      <c r="I898" s="32" t="s">
        <v>645</v>
      </c>
      <c r="J898" s="32" t="s">
        <v>819</v>
      </c>
    </row>
    <row r="899" spans="6:10" x14ac:dyDescent="0.25">
      <c r="F899" s="32"/>
      <c r="G899" s="32" t="s">
        <v>2230</v>
      </c>
      <c r="H899" s="32" t="s">
        <v>2231</v>
      </c>
      <c r="I899" s="32" t="s">
        <v>645</v>
      </c>
      <c r="J899" s="32" t="s">
        <v>819</v>
      </c>
    </row>
    <row r="900" spans="6:10" x14ac:dyDescent="0.25">
      <c r="F900" s="32"/>
      <c r="G900" s="32" t="s">
        <v>2232</v>
      </c>
      <c r="H900" s="32" t="s">
        <v>2233</v>
      </c>
      <c r="I900" s="32" t="s">
        <v>645</v>
      </c>
      <c r="J900" s="32" t="s">
        <v>819</v>
      </c>
    </row>
    <row r="901" spans="6:10" x14ac:dyDescent="0.25">
      <c r="F901" s="32"/>
      <c r="G901" s="32" t="s">
        <v>2234</v>
      </c>
      <c r="H901" s="32" t="s">
        <v>2235</v>
      </c>
      <c r="I901" s="32" t="s">
        <v>645</v>
      </c>
      <c r="J901" s="32" t="s">
        <v>819</v>
      </c>
    </row>
    <row r="902" spans="6:10" x14ac:dyDescent="0.25">
      <c r="F902" s="32"/>
      <c r="G902" s="32" t="s">
        <v>2236</v>
      </c>
      <c r="H902" s="32" t="s">
        <v>2237</v>
      </c>
      <c r="I902" s="32" t="s">
        <v>645</v>
      </c>
      <c r="J902" s="32" t="s">
        <v>819</v>
      </c>
    </row>
    <row r="903" spans="6:10" x14ac:dyDescent="0.25">
      <c r="F903" s="32"/>
      <c r="G903" s="32" t="s">
        <v>2238</v>
      </c>
      <c r="H903" s="32" t="s">
        <v>2239</v>
      </c>
      <c r="I903" s="32" t="s">
        <v>645</v>
      </c>
      <c r="J903" s="32" t="s">
        <v>819</v>
      </c>
    </row>
    <row r="904" spans="6:10" x14ac:dyDescent="0.25">
      <c r="F904" s="32"/>
      <c r="G904" s="32" t="s">
        <v>2240</v>
      </c>
      <c r="H904" s="32" t="s">
        <v>2241</v>
      </c>
      <c r="I904" s="32" t="s">
        <v>645</v>
      </c>
      <c r="J904" s="32" t="s">
        <v>819</v>
      </c>
    </row>
    <row r="905" spans="6:10" x14ac:dyDescent="0.25">
      <c r="F905" s="32"/>
      <c r="G905" s="32" t="s">
        <v>2242</v>
      </c>
      <c r="H905" s="32" t="s">
        <v>2243</v>
      </c>
      <c r="I905" s="32" t="s">
        <v>645</v>
      </c>
      <c r="J905" s="32" t="s">
        <v>819</v>
      </c>
    </row>
    <row r="906" spans="6:10" x14ac:dyDescent="0.25">
      <c r="F906" s="32"/>
      <c r="G906" s="32" t="s">
        <v>2244</v>
      </c>
      <c r="H906" s="32" t="s">
        <v>2245</v>
      </c>
      <c r="I906" s="32" t="s">
        <v>645</v>
      </c>
      <c r="J906" s="32" t="s">
        <v>819</v>
      </c>
    </row>
    <row r="907" spans="6:10" x14ac:dyDescent="0.25">
      <c r="F907" s="32"/>
      <c r="G907" s="32" t="s">
        <v>1365</v>
      </c>
      <c r="H907" s="32" t="s">
        <v>2246</v>
      </c>
      <c r="I907" s="32" t="s">
        <v>645</v>
      </c>
      <c r="J907" s="32" t="s">
        <v>819</v>
      </c>
    </row>
    <row r="908" spans="6:10" x14ac:dyDescent="0.25">
      <c r="F908" s="32"/>
      <c r="G908" s="32" t="s">
        <v>2247</v>
      </c>
      <c r="H908" s="32" t="s">
        <v>2248</v>
      </c>
      <c r="I908" s="32" t="s">
        <v>645</v>
      </c>
      <c r="J908" s="32" t="s">
        <v>819</v>
      </c>
    </row>
    <row r="909" spans="6:10" x14ac:dyDescent="0.25">
      <c r="F909" s="32"/>
      <c r="G909" s="32" t="s">
        <v>2249</v>
      </c>
      <c r="H909" s="32" t="s">
        <v>2250</v>
      </c>
      <c r="I909" s="32" t="s">
        <v>645</v>
      </c>
      <c r="J909" s="32" t="s">
        <v>819</v>
      </c>
    </row>
    <row r="910" spans="6:10" x14ac:dyDescent="0.25">
      <c r="F910" s="32"/>
      <c r="G910" s="32" t="s">
        <v>4253</v>
      </c>
      <c r="H910" s="32" t="s">
        <v>2251</v>
      </c>
      <c r="I910" s="32" t="s">
        <v>645</v>
      </c>
      <c r="J910" s="32" t="s">
        <v>819</v>
      </c>
    </row>
    <row r="911" spans="6:10" x14ac:dyDescent="0.25">
      <c r="F911" s="32"/>
      <c r="G911" s="32" t="s">
        <v>2252</v>
      </c>
      <c r="H911" s="32" t="s">
        <v>2253</v>
      </c>
      <c r="I911" s="32" t="s">
        <v>645</v>
      </c>
      <c r="J911" s="32" t="s">
        <v>819</v>
      </c>
    </row>
    <row r="912" spans="6:10" x14ac:dyDescent="0.25">
      <c r="F912" s="32"/>
      <c r="G912" s="32" t="s">
        <v>2254</v>
      </c>
      <c r="H912" s="32" t="s">
        <v>2255</v>
      </c>
      <c r="I912" s="32" t="s">
        <v>645</v>
      </c>
      <c r="J912" s="32" t="s">
        <v>819</v>
      </c>
    </row>
    <row r="913" spans="6:10" x14ac:dyDescent="0.25">
      <c r="F913" s="32"/>
      <c r="G913" s="32" t="s">
        <v>2891</v>
      </c>
      <c r="H913" s="32" t="s">
        <v>2256</v>
      </c>
      <c r="I913" s="32" t="s">
        <v>645</v>
      </c>
      <c r="J913" s="32" t="s">
        <v>819</v>
      </c>
    </row>
    <row r="914" spans="6:10" x14ac:dyDescent="0.25">
      <c r="F914" s="32"/>
      <c r="G914" s="32" t="s">
        <v>2257</v>
      </c>
      <c r="H914" s="32" t="s">
        <v>2258</v>
      </c>
      <c r="I914" s="32" t="s">
        <v>645</v>
      </c>
      <c r="J914" s="32" t="s">
        <v>819</v>
      </c>
    </row>
    <row r="915" spans="6:10" x14ac:dyDescent="0.25">
      <c r="F915" s="32"/>
      <c r="G915" s="32" t="s">
        <v>2259</v>
      </c>
      <c r="H915" s="32" t="s">
        <v>2260</v>
      </c>
      <c r="I915" s="32" t="s">
        <v>645</v>
      </c>
      <c r="J915" s="32" t="s">
        <v>819</v>
      </c>
    </row>
    <row r="916" spans="6:10" x14ac:dyDescent="0.25">
      <c r="F916" s="32" t="s">
        <v>522</v>
      </c>
      <c r="G916" s="32"/>
      <c r="H916" s="32" t="s">
        <v>2261</v>
      </c>
      <c r="I916" s="32"/>
      <c r="J916" s="32"/>
    </row>
    <row r="917" spans="6:10" x14ac:dyDescent="0.25">
      <c r="F917" s="32"/>
      <c r="G917" s="32" t="s">
        <v>522</v>
      </c>
      <c r="H917" s="32" t="s">
        <v>2262</v>
      </c>
      <c r="I917" s="32" t="s">
        <v>645</v>
      </c>
      <c r="J917" s="32" t="s">
        <v>819</v>
      </c>
    </row>
    <row r="918" spans="6:10" x14ac:dyDescent="0.25">
      <c r="F918" s="32"/>
      <c r="G918" s="32" t="s">
        <v>1973</v>
      </c>
      <c r="H918" s="32" t="s">
        <v>2263</v>
      </c>
      <c r="I918" s="32" t="s">
        <v>645</v>
      </c>
      <c r="J918" s="32" t="s">
        <v>819</v>
      </c>
    </row>
    <row r="919" spans="6:10" x14ac:dyDescent="0.25">
      <c r="F919" s="32"/>
      <c r="G919" s="32" t="s">
        <v>512</v>
      </c>
      <c r="H919" s="32" t="s">
        <v>2264</v>
      </c>
      <c r="I919" s="32" t="s">
        <v>645</v>
      </c>
      <c r="J919" s="32" t="s">
        <v>819</v>
      </c>
    </row>
    <row r="920" spans="6:10" x14ac:dyDescent="0.25">
      <c r="F920" s="32"/>
      <c r="G920" s="32" t="s">
        <v>2265</v>
      </c>
      <c r="H920" s="32" t="s">
        <v>2266</v>
      </c>
      <c r="I920" s="32" t="s">
        <v>645</v>
      </c>
      <c r="J920" s="32" t="s">
        <v>819</v>
      </c>
    </row>
    <row r="921" spans="6:10" x14ac:dyDescent="0.25">
      <c r="F921" s="32"/>
      <c r="G921" s="32" t="s">
        <v>2267</v>
      </c>
      <c r="H921" s="32" t="s">
        <v>2268</v>
      </c>
      <c r="I921" s="32" t="s">
        <v>645</v>
      </c>
      <c r="J921" s="32" t="s">
        <v>819</v>
      </c>
    </row>
    <row r="922" spans="6:10" x14ac:dyDescent="0.25">
      <c r="F922" s="32"/>
      <c r="G922" s="32" t="s">
        <v>2269</v>
      </c>
      <c r="H922" s="32" t="s">
        <v>2270</v>
      </c>
      <c r="I922" s="32" t="s">
        <v>645</v>
      </c>
      <c r="J922" s="32" t="s">
        <v>819</v>
      </c>
    </row>
    <row r="923" spans="6:10" x14ac:dyDescent="0.25">
      <c r="F923" s="32"/>
      <c r="G923" s="32" t="s">
        <v>1177</v>
      </c>
      <c r="H923" s="32" t="s">
        <v>2271</v>
      </c>
      <c r="I923" s="32" t="s">
        <v>645</v>
      </c>
      <c r="J923" s="32" t="s">
        <v>819</v>
      </c>
    </row>
    <row r="924" spans="6:10" x14ac:dyDescent="0.25">
      <c r="F924" s="32"/>
      <c r="G924" s="32" t="s">
        <v>2272</v>
      </c>
      <c r="H924" s="32" t="s">
        <v>2273</v>
      </c>
      <c r="I924" s="32" t="s">
        <v>645</v>
      </c>
      <c r="J924" s="32" t="s">
        <v>819</v>
      </c>
    </row>
    <row r="925" spans="6:10" x14ac:dyDescent="0.25">
      <c r="F925" s="32" t="s">
        <v>523</v>
      </c>
      <c r="G925" s="32"/>
      <c r="H925" s="32" t="s">
        <v>2274</v>
      </c>
      <c r="I925" s="32"/>
      <c r="J925" s="32"/>
    </row>
    <row r="926" spans="6:10" x14ac:dyDescent="0.25">
      <c r="F926" s="32"/>
      <c r="G926" s="32" t="s">
        <v>2275</v>
      </c>
      <c r="H926" s="32" t="s">
        <v>2276</v>
      </c>
      <c r="I926" s="32" t="s">
        <v>645</v>
      </c>
      <c r="J926" s="32" t="s">
        <v>819</v>
      </c>
    </row>
    <row r="927" spans="6:10" x14ac:dyDescent="0.25">
      <c r="F927" s="32"/>
      <c r="G927" s="32" t="s">
        <v>2277</v>
      </c>
      <c r="H927" s="32" t="s">
        <v>2278</v>
      </c>
      <c r="I927" s="32" t="s">
        <v>645</v>
      </c>
      <c r="J927" s="32" t="s">
        <v>819</v>
      </c>
    </row>
    <row r="928" spans="6:10" x14ac:dyDescent="0.25">
      <c r="F928" s="32"/>
      <c r="G928" s="32" t="s">
        <v>2279</v>
      </c>
      <c r="H928" s="32" t="s">
        <v>2280</v>
      </c>
      <c r="I928" s="32" t="s">
        <v>645</v>
      </c>
      <c r="J928" s="32" t="s">
        <v>819</v>
      </c>
    </row>
    <row r="929" spans="6:10" x14ac:dyDescent="0.25">
      <c r="F929" s="32"/>
      <c r="G929" s="32" t="s">
        <v>2281</v>
      </c>
      <c r="H929" s="32" t="s">
        <v>2282</v>
      </c>
      <c r="I929" s="32" t="s">
        <v>645</v>
      </c>
      <c r="J929" s="32" t="s">
        <v>819</v>
      </c>
    </row>
    <row r="930" spans="6:10" x14ac:dyDescent="0.25">
      <c r="F930" s="32"/>
      <c r="G930" s="32" t="s">
        <v>2283</v>
      </c>
      <c r="H930" s="32" t="s">
        <v>2284</v>
      </c>
      <c r="I930" s="32" t="s">
        <v>645</v>
      </c>
      <c r="J930" s="32" t="s">
        <v>819</v>
      </c>
    </row>
    <row r="931" spans="6:10" x14ac:dyDescent="0.25">
      <c r="F931" s="32"/>
      <c r="G931" s="32" t="s">
        <v>2285</v>
      </c>
      <c r="H931" s="32" t="s">
        <v>2286</v>
      </c>
      <c r="I931" s="32" t="s">
        <v>645</v>
      </c>
      <c r="J931" s="32" t="s">
        <v>819</v>
      </c>
    </row>
    <row r="932" spans="6:10" x14ac:dyDescent="0.25">
      <c r="F932" s="32"/>
      <c r="G932" s="32" t="s">
        <v>2287</v>
      </c>
      <c r="H932" s="32" t="s">
        <v>2288</v>
      </c>
      <c r="I932" s="32" t="s">
        <v>645</v>
      </c>
      <c r="J932" s="32" t="s">
        <v>819</v>
      </c>
    </row>
    <row r="933" spans="6:10" x14ac:dyDescent="0.25">
      <c r="F933" s="32"/>
      <c r="G933" s="32" t="s">
        <v>2289</v>
      </c>
      <c r="H933" s="32" t="s">
        <v>2290</v>
      </c>
      <c r="I933" s="32" t="s">
        <v>645</v>
      </c>
      <c r="J933" s="32" t="s">
        <v>819</v>
      </c>
    </row>
    <row r="934" spans="6:10" x14ac:dyDescent="0.25">
      <c r="F934" s="32"/>
      <c r="G934" s="32" t="s">
        <v>2291</v>
      </c>
      <c r="H934" s="32" t="s">
        <v>2292</v>
      </c>
      <c r="I934" s="32" t="s">
        <v>645</v>
      </c>
      <c r="J934" s="32" t="s">
        <v>819</v>
      </c>
    </row>
    <row r="935" spans="6:10" x14ac:dyDescent="0.25">
      <c r="F935" s="32"/>
      <c r="G935" s="32" t="s">
        <v>2293</v>
      </c>
      <c r="H935" s="32" t="s">
        <v>2294</v>
      </c>
      <c r="I935" s="32" t="s">
        <v>645</v>
      </c>
      <c r="J935" s="32" t="s">
        <v>819</v>
      </c>
    </row>
    <row r="936" spans="6:10" x14ac:dyDescent="0.25">
      <c r="F936" s="32"/>
      <c r="G936" s="32" t="s">
        <v>2295</v>
      </c>
      <c r="H936" s="32" t="s">
        <v>2296</v>
      </c>
      <c r="I936" s="32" t="s">
        <v>645</v>
      </c>
      <c r="J936" s="32" t="s">
        <v>819</v>
      </c>
    </row>
    <row r="937" spans="6:10" x14ac:dyDescent="0.25">
      <c r="F937" s="32"/>
      <c r="G937" s="32" t="s">
        <v>2297</v>
      </c>
      <c r="H937" s="32" t="s">
        <v>2298</v>
      </c>
      <c r="I937" s="32" t="s">
        <v>645</v>
      </c>
      <c r="J937" s="32" t="s">
        <v>819</v>
      </c>
    </row>
    <row r="938" spans="6:10" x14ac:dyDescent="0.25">
      <c r="F938" s="32" t="s">
        <v>524</v>
      </c>
      <c r="G938" s="32"/>
      <c r="H938" s="32" t="s">
        <v>2299</v>
      </c>
      <c r="I938" s="32"/>
      <c r="J938" s="32"/>
    </row>
    <row r="939" spans="6:10" x14ac:dyDescent="0.25">
      <c r="F939" s="32"/>
      <c r="G939" s="32" t="s">
        <v>524</v>
      </c>
      <c r="H939" s="32" t="s">
        <v>2300</v>
      </c>
      <c r="I939" s="32" t="s">
        <v>645</v>
      </c>
      <c r="J939" s="32" t="s">
        <v>819</v>
      </c>
    </row>
    <row r="940" spans="6:10" x14ac:dyDescent="0.25">
      <c r="F940" s="32"/>
      <c r="G940" s="32" t="s">
        <v>2301</v>
      </c>
      <c r="H940" s="32" t="s">
        <v>2302</v>
      </c>
      <c r="I940" s="32" t="s">
        <v>645</v>
      </c>
      <c r="J940" s="32" t="s">
        <v>819</v>
      </c>
    </row>
    <row r="941" spans="6:10" x14ac:dyDescent="0.25">
      <c r="F941" s="32"/>
      <c r="G941" s="32" t="s">
        <v>2303</v>
      </c>
      <c r="H941" s="32" t="s">
        <v>2304</v>
      </c>
      <c r="I941" s="32" t="s">
        <v>645</v>
      </c>
      <c r="J941" s="32" t="s">
        <v>819</v>
      </c>
    </row>
    <row r="942" spans="6:10" x14ac:dyDescent="0.25">
      <c r="F942" s="32"/>
      <c r="G942" s="32" t="s">
        <v>2305</v>
      </c>
      <c r="H942" s="32" t="s">
        <v>2306</v>
      </c>
      <c r="I942" s="32" t="s">
        <v>645</v>
      </c>
      <c r="J942" s="32" t="s">
        <v>819</v>
      </c>
    </row>
    <row r="943" spans="6:10" x14ac:dyDescent="0.25">
      <c r="F943" s="32"/>
      <c r="G943" s="32" t="s">
        <v>2307</v>
      </c>
      <c r="H943" s="32" t="s">
        <v>2308</v>
      </c>
      <c r="I943" s="32" t="s">
        <v>645</v>
      </c>
      <c r="J943" s="32" t="s">
        <v>819</v>
      </c>
    </row>
    <row r="944" spans="6:10" x14ac:dyDescent="0.25">
      <c r="F944" s="32"/>
      <c r="G944" s="32" t="s">
        <v>2309</v>
      </c>
      <c r="H944" s="32" t="s">
        <v>2310</v>
      </c>
      <c r="I944" s="32" t="s">
        <v>645</v>
      </c>
      <c r="J944" s="32" t="s">
        <v>819</v>
      </c>
    </row>
    <row r="945" spans="6:10" x14ac:dyDescent="0.25">
      <c r="F945" s="32"/>
      <c r="G945" s="32" t="s">
        <v>2311</v>
      </c>
      <c r="H945" s="32" t="s">
        <v>2312</v>
      </c>
      <c r="I945" s="32" t="s">
        <v>645</v>
      </c>
      <c r="J945" s="32" t="s">
        <v>819</v>
      </c>
    </row>
    <row r="946" spans="6:10" x14ac:dyDescent="0.25">
      <c r="F946" s="32"/>
      <c r="G946" s="32" t="s">
        <v>2313</v>
      </c>
      <c r="H946" s="32" t="s">
        <v>2314</v>
      </c>
      <c r="I946" s="32" t="s">
        <v>645</v>
      </c>
      <c r="J946" s="32" t="s">
        <v>819</v>
      </c>
    </row>
    <row r="947" spans="6:10" x14ac:dyDescent="0.25">
      <c r="F947" s="32"/>
      <c r="G947" s="32" t="s">
        <v>2315</v>
      </c>
      <c r="H947" s="32" t="s">
        <v>2316</v>
      </c>
      <c r="I947" s="32" t="s">
        <v>645</v>
      </c>
      <c r="J947" s="32" t="s">
        <v>819</v>
      </c>
    </row>
    <row r="948" spans="6:10" x14ac:dyDescent="0.25">
      <c r="F948" s="32"/>
      <c r="G948" s="32" t="s">
        <v>2317</v>
      </c>
      <c r="H948" s="32" t="s">
        <v>2318</v>
      </c>
      <c r="I948" s="32" t="s">
        <v>924</v>
      </c>
      <c r="J948" s="32" t="s">
        <v>925</v>
      </c>
    </row>
    <row r="949" spans="6:10" x14ac:dyDescent="0.25">
      <c r="F949" s="32"/>
      <c r="G949" s="32" t="s">
        <v>2134</v>
      </c>
      <c r="H949" s="32" t="s">
        <v>2319</v>
      </c>
      <c r="I949" s="32" t="s">
        <v>645</v>
      </c>
      <c r="J949" s="32" t="s">
        <v>819</v>
      </c>
    </row>
    <row r="950" spans="6:10" x14ac:dyDescent="0.25">
      <c r="F950" s="32"/>
      <c r="G950" s="32" t="s">
        <v>2320</v>
      </c>
      <c r="H950" s="32" t="s">
        <v>2321</v>
      </c>
      <c r="I950" s="32" t="s">
        <v>645</v>
      </c>
      <c r="J950" s="32" t="s">
        <v>819</v>
      </c>
    </row>
    <row r="951" spans="6:10" x14ac:dyDescent="0.25">
      <c r="F951" s="32"/>
      <c r="G951" s="32" t="s">
        <v>2322</v>
      </c>
      <c r="H951" s="32" t="s">
        <v>2323</v>
      </c>
      <c r="I951" s="32" t="s">
        <v>645</v>
      </c>
      <c r="J951" s="32" t="s">
        <v>819</v>
      </c>
    </row>
    <row r="952" spans="6:10" x14ac:dyDescent="0.25">
      <c r="F952" s="32" t="s">
        <v>525</v>
      </c>
      <c r="G952" s="32"/>
      <c r="H952" s="32" t="s">
        <v>2324</v>
      </c>
      <c r="I952" s="32"/>
      <c r="J952" s="32"/>
    </row>
    <row r="953" spans="6:10" x14ac:dyDescent="0.25">
      <c r="F953" s="32"/>
      <c r="G953" s="32" t="s">
        <v>525</v>
      </c>
      <c r="H953" s="32" t="s">
        <v>2325</v>
      </c>
      <c r="I953" s="32" t="s">
        <v>645</v>
      </c>
      <c r="J953" s="32" t="s">
        <v>819</v>
      </c>
    </row>
    <row r="954" spans="6:10" x14ac:dyDescent="0.25">
      <c r="F954" s="32"/>
      <c r="G954" s="32" t="s">
        <v>1595</v>
      </c>
      <c r="H954" s="32" t="s">
        <v>2326</v>
      </c>
      <c r="I954" s="32" t="s">
        <v>645</v>
      </c>
      <c r="J954" s="32" t="s">
        <v>819</v>
      </c>
    </row>
    <row r="955" spans="6:10" x14ac:dyDescent="0.25">
      <c r="F955" s="32"/>
      <c r="G955" s="32" t="s">
        <v>2327</v>
      </c>
      <c r="H955" s="32" t="s">
        <v>2328</v>
      </c>
      <c r="I955" s="32" t="s">
        <v>645</v>
      </c>
      <c r="J955" s="32" t="s">
        <v>819</v>
      </c>
    </row>
    <row r="956" spans="6:10" x14ac:dyDescent="0.25">
      <c r="F956" s="32"/>
      <c r="G956" s="32" t="s">
        <v>2329</v>
      </c>
      <c r="H956" s="32" t="s">
        <v>2330</v>
      </c>
      <c r="I956" s="32" t="s">
        <v>645</v>
      </c>
      <c r="J956" s="32" t="s">
        <v>819</v>
      </c>
    </row>
    <row r="957" spans="6:10" x14ac:dyDescent="0.25">
      <c r="F957" s="32"/>
      <c r="G957" s="32" t="s">
        <v>844</v>
      </c>
      <c r="H957" s="32" t="s">
        <v>2331</v>
      </c>
      <c r="I957" s="32" t="s">
        <v>645</v>
      </c>
      <c r="J957" s="32" t="s">
        <v>819</v>
      </c>
    </row>
    <row r="958" spans="6:10" x14ac:dyDescent="0.25">
      <c r="F958" s="32"/>
      <c r="G958" s="32" t="s">
        <v>2332</v>
      </c>
      <c r="H958" s="32" t="s">
        <v>2333</v>
      </c>
      <c r="I958" s="32" t="s">
        <v>645</v>
      </c>
      <c r="J958" s="32" t="s">
        <v>819</v>
      </c>
    </row>
    <row r="959" spans="6:10" x14ac:dyDescent="0.25">
      <c r="F959" s="32"/>
      <c r="G959" s="32" t="s">
        <v>2334</v>
      </c>
      <c r="H959" s="32" t="s">
        <v>2335</v>
      </c>
      <c r="I959" s="32" t="s">
        <v>645</v>
      </c>
      <c r="J959" s="32" t="s">
        <v>819</v>
      </c>
    </row>
    <row r="960" spans="6:10" x14ac:dyDescent="0.25">
      <c r="F960" s="32"/>
      <c r="G960" s="32" t="s">
        <v>2336</v>
      </c>
      <c r="H960" s="32" t="s">
        <v>2337</v>
      </c>
      <c r="I960" s="32" t="s">
        <v>645</v>
      </c>
      <c r="J960" s="32" t="s">
        <v>819</v>
      </c>
    </row>
    <row r="961" spans="6:10" x14ac:dyDescent="0.25">
      <c r="F961" s="32"/>
      <c r="G961" s="32" t="s">
        <v>2338</v>
      </c>
      <c r="H961" s="32" t="s">
        <v>2339</v>
      </c>
      <c r="I961" s="32" t="s">
        <v>645</v>
      </c>
      <c r="J961" s="32" t="s">
        <v>819</v>
      </c>
    </row>
    <row r="962" spans="6:10" x14ac:dyDescent="0.25">
      <c r="F962" s="32"/>
      <c r="G962" s="32" t="s">
        <v>2340</v>
      </c>
      <c r="H962" s="32" t="s">
        <v>2341</v>
      </c>
      <c r="I962" s="32" t="s">
        <v>645</v>
      </c>
      <c r="J962" s="32" t="s">
        <v>819</v>
      </c>
    </row>
    <row r="963" spans="6:10" x14ac:dyDescent="0.25">
      <c r="F963" s="32"/>
      <c r="G963" s="32" t="s">
        <v>2342</v>
      </c>
      <c r="H963" s="32" t="s">
        <v>2343</v>
      </c>
      <c r="I963" s="32" t="s">
        <v>645</v>
      </c>
      <c r="J963" s="32" t="s">
        <v>819</v>
      </c>
    </row>
    <row r="964" spans="6:10" x14ac:dyDescent="0.25">
      <c r="F964" s="32" t="s">
        <v>526</v>
      </c>
      <c r="G964" s="32"/>
      <c r="H964" s="32" t="s">
        <v>2344</v>
      </c>
      <c r="I964" s="32"/>
      <c r="J964" s="32"/>
    </row>
    <row r="965" spans="6:10" x14ac:dyDescent="0.25">
      <c r="F965" s="32"/>
      <c r="G965" s="32" t="s">
        <v>2345</v>
      </c>
      <c r="H965" s="32" t="s">
        <v>2346</v>
      </c>
      <c r="I965" s="32" t="s">
        <v>645</v>
      </c>
      <c r="J965" s="32" t="s">
        <v>819</v>
      </c>
    </row>
    <row r="966" spans="6:10" x14ac:dyDescent="0.25">
      <c r="F966" s="32"/>
      <c r="G966" s="32" t="s">
        <v>2347</v>
      </c>
      <c r="H966" s="32" t="s">
        <v>2348</v>
      </c>
      <c r="I966" s="32" t="s">
        <v>645</v>
      </c>
      <c r="J966" s="32" t="s">
        <v>819</v>
      </c>
    </row>
    <row r="967" spans="6:10" x14ac:dyDescent="0.25">
      <c r="F967" s="32"/>
      <c r="G967" s="32" t="s">
        <v>2349</v>
      </c>
      <c r="H967" s="32" t="s">
        <v>2350</v>
      </c>
      <c r="I967" s="32" t="s">
        <v>645</v>
      </c>
      <c r="J967" s="32" t="s">
        <v>819</v>
      </c>
    </row>
    <row r="968" spans="6:10" x14ac:dyDescent="0.25">
      <c r="F968" s="32"/>
      <c r="G968" s="32" t="s">
        <v>2351</v>
      </c>
      <c r="H968" s="32" t="s">
        <v>2352</v>
      </c>
      <c r="I968" s="32" t="s">
        <v>645</v>
      </c>
      <c r="J968" s="32" t="s">
        <v>819</v>
      </c>
    </row>
    <row r="969" spans="6:10" x14ac:dyDescent="0.25">
      <c r="F969" s="32"/>
      <c r="G969" s="32" t="s">
        <v>2353</v>
      </c>
      <c r="H969" s="32" t="s">
        <v>2354</v>
      </c>
      <c r="I969" s="32" t="s">
        <v>645</v>
      </c>
      <c r="J969" s="32" t="s">
        <v>819</v>
      </c>
    </row>
    <row r="970" spans="6:10" x14ac:dyDescent="0.25">
      <c r="F970" s="32"/>
      <c r="G970" s="32" t="s">
        <v>2355</v>
      </c>
      <c r="H970" s="32" t="s">
        <v>2356</v>
      </c>
      <c r="I970" s="32" t="s">
        <v>645</v>
      </c>
      <c r="J970" s="32" t="s">
        <v>819</v>
      </c>
    </row>
    <row r="971" spans="6:10" x14ac:dyDescent="0.25">
      <c r="F971" s="32"/>
      <c r="G971" s="32" t="s">
        <v>2357</v>
      </c>
      <c r="H971" s="32" t="s">
        <v>2358</v>
      </c>
      <c r="I971" s="32" t="s">
        <v>645</v>
      </c>
      <c r="J971" s="32" t="s">
        <v>819</v>
      </c>
    </row>
    <row r="972" spans="6:10" x14ac:dyDescent="0.25">
      <c r="F972" s="32"/>
      <c r="G972" s="32" t="s">
        <v>2359</v>
      </c>
      <c r="H972" s="32" t="s">
        <v>2360</v>
      </c>
      <c r="I972" s="32" t="s">
        <v>645</v>
      </c>
      <c r="J972" s="32" t="s">
        <v>819</v>
      </c>
    </row>
    <row r="973" spans="6:10" x14ac:dyDescent="0.25">
      <c r="F973" s="32"/>
      <c r="G973" s="32" t="s">
        <v>2361</v>
      </c>
      <c r="H973" s="32" t="s">
        <v>2362</v>
      </c>
      <c r="I973" s="32" t="s">
        <v>645</v>
      </c>
      <c r="J973" s="32" t="s">
        <v>819</v>
      </c>
    </row>
    <row r="974" spans="6:10" x14ac:dyDescent="0.25">
      <c r="F974" s="32"/>
      <c r="G974" s="32" t="s">
        <v>2363</v>
      </c>
      <c r="H974" s="32" t="s">
        <v>2364</v>
      </c>
      <c r="I974" s="32" t="s">
        <v>645</v>
      </c>
      <c r="J974" s="32" t="s">
        <v>819</v>
      </c>
    </row>
    <row r="975" spans="6:10" x14ac:dyDescent="0.25">
      <c r="F975" s="32"/>
      <c r="G975" s="32" t="s">
        <v>2365</v>
      </c>
      <c r="H975" s="32" t="s">
        <v>2366</v>
      </c>
      <c r="I975" s="32" t="s">
        <v>645</v>
      </c>
      <c r="J975" s="32" t="s">
        <v>819</v>
      </c>
    </row>
    <row r="976" spans="6:10" x14ac:dyDescent="0.25">
      <c r="F976" s="32"/>
      <c r="G976" s="32" t="s">
        <v>2367</v>
      </c>
      <c r="H976" s="32" t="s">
        <v>2368</v>
      </c>
      <c r="I976" s="32" t="s">
        <v>645</v>
      </c>
      <c r="J976" s="32" t="s">
        <v>819</v>
      </c>
    </row>
    <row r="977" spans="6:10" x14ac:dyDescent="0.25">
      <c r="F977" s="32"/>
      <c r="G977" s="32" t="s">
        <v>2369</v>
      </c>
      <c r="H977" s="32" t="s">
        <v>2370</v>
      </c>
      <c r="I977" s="32" t="s">
        <v>645</v>
      </c>
      <c r="J977" s="32" t="s">
        <v>819</v>
      </c>
    </row>
    <row r="978" spans="6:10" x14ac:dyDescent="0.25">
      <c r="F978" s="32"/>
      <c r="G978" s="32" t="s">
        <v>2371</v>
      </c>
      <c r="H978" s="32" t="s">
        <v>2372</v>
      </c>
      <c r="I978" s="32" t="s">
        <v>645</v>
      </c>
      <c r="J978" s="32" t="s">
        <v>819</v>
      </c>
    </row>
    <row r="979" spans="6:10" x14ac:dyDescent="0.25">
      <c r="F979" s="32"/>
      <c r="G979" s="32" t="s">
        <v>2373</v>
      </c>
      <c r="H979" s="32" t="s">
        <v>2374</v>
      </c>
      <c r="I979" s="32" t="s">
        <v>645</v>
      </c>
      <c r="J979" s="32" t="s">
        <v>819</v>
      </c>
    </row>
    <row r="980" spans="6:10" x14ac:dyDescent="0.25">
      <c r="F980" s="32"/>
      <c r="G980" s="32" t="s">
        <v>1606</v>
      </c>
      <c r="H980" s="32" t="s">
        <v>2375</v>
      </c>
      <c r="I980" s="32" t="s">
        <v>645</v>
      </c>
      <c r="J980" s="32" t="s">
        <v>819</v>
      </c>
    </row>
    <row r="981" spans="6:10" x14ac:dyDescent="0.25">
      <c r="F981" s="32" t="s">
        <v>527</v>
      </c>
      <c r="G981" s="32"/>
      <c r="H981" s="32" t="s">
        <v>2376</v>
      </c>
      <c r="I981" s="32"/>
      <c r="J981" s="32"/>
    </row>
    <row r="982" spans="6:10" x14ac:dyDescent="0.25">
      <c r="F982" s="32"/>
      <c r="G982" s="32" t="s">
        <v>1053</v>
      </c>
      <c r="H982" s="32" t="s">
        <v>2377</v>
      </c>
      <c r="I982" s="32" t="s">
        <v>645</v>
      </c>
      <c r="J982" s="32" t="s">
        <v>819</v>
      </c>
    </row>
    <row r="983" spans="6:10" x14ac:dyDescent="0.25">
      <c r="F983" s="32"/>
      <c r="G983" s="32" t="s">
        <v>2378</v>
      </c>
      <c r="H983" s="32" t="s">
        <v>2379</v>
      </c>
      <c r="I983" s="32" t="s">
        <v>645</v>
      </c>
      <c r="J983" s="32" t="s">
        <v>819</v>
      </c>
    </row>
    <row r="984" spans="6:10" x14ac:dyDescent="0.25">
      <c r="F984" s="32"/>
      <c r="G984" s="32" t="s">
        <v>2380</v>
      </c>
      <c r="H984" s="32" t="s">
        <v>2381</v>
      </c>
      <c r="I984" s="32" t="s">
        <v>645</v>
      </c>
      <c r="J984" s="32" t="s">
        <v>819</v>
      </c>
    </row>
    <row r="985" spans="6:10" x14ac:dyDescent="0.25">
      <c r="F985" s="32"/>
      <c r="G985" s="32" t="s">
        <v>2382</v>
      </c>
      <c r="H985" s="32" t="s">
        <v>2383</v>
      </c>
      <c r="I985" s="32" t="s">
        <v>645</v>
      </c>
      <c r="J985" s="32" t="s">
        <v>819</v>
      </c>
    </row>
    <row r="986" spans="6:10" x14ac:dyDescent="0.25">
      <c r="F986" s="32"/>
      <c r="G986" s="32" t="s">
        <v>2384</v>
      </c>
      <c r="H986" s="32" t="s">
        <v>2385</v>
      </c>
      <c r="I986" s="32" t="s">
        <v>645</v>
      </c>
      <c r="J986" s="32" t="s">
        <v>819</v>
      </c>
    </row>
    <row r="987" spans="6:10" x14ac:dyDescent="0.25">
      <c r="F987" s="32"/>
      <c r="G987" s="32" t="s">
        <v>2386</v>
      </c>
      <c r="H987" s="32" t="s">
        <v>2387</v>
      </c>
      <c r="I987" s="32" t="s">
        <v>645</v>
      </c>
      <c r="J987" s="32" t="s">
        <v>819</v>
      </c>
    </row>
    <row r="988" spans="6:10" x14ac:dyDescent="0.25">
      <c r="F988" s="32"/>
      <c r="G988" s="32" t="s">
        <v>2236</v>
      </c>
      <c r="H988" s="32" t="s">
        <v>2388</v>
      </c>
      <c r="I988" s="32" t="s">
        <v>645</v>
      </c>
      <c r="J988" s="32" t="s">
        <v>819</v>
      </c>
    </row>
    <row r="989" spans="6:10" x14ac:dyDescent="0.25">
      <c r="F989" s="32"/>
      <c r="G989" s="32" t="s">
        <v>2259</v>
      </c>
      <c r="H989" s="32" t="s">
        <v>2389</v>
      </c>
      <c r="I989" s="32" t="s">
        <v>645</v>
      </c>
      <c r="J989" s="32" t="s">
        <v>819</v>
      </c>
    </row>
    <row r="990" spans="6:10" x14ac:dyDescent="0.25">
      <c r="F990" s="32"/>
      <c r="G990" s="32" t="s">
        <v>2390</v>
      </c>
      <c r="H990" s="32" t="s">
        <v>2391</v>
      </c>
      <c r="I990" s="32" t="s">
        <v>645</v>
      </c>
      <c r="J990" s="32" t="s">
        <v>819</v>
      </c>
    </row>
    <row r="991" spans="6:10" x14ac:dyDescent="0.25">
      <c r="F991" s="32"/>
      <c r="G991" s="32" t="s">
        <v>2392</v>
      </c>
      <c r="H991" s="32" t="s">
        <v>2393</v>
      </c>
      <c r="I991" s="32" t="s">
        <v>645</v>
      </c>
      <c r="J991" s="32" t="s">
        <v>819</v>
      </c>
    </row>
    <row r="992" spans="6:10" x14ac:dyDescent="0.25">
      <c r="F992" s="32"/>
      <c r="G992" s="32" t="s">
        <v>2394</v>
      </c>
      <c r="H992" s="32" t="s">
        <v>2395</v>
      </c>
      <c r="I992" s="32" t="s">
        <v>645</v>
      </c>
      <c r="J992" s="32" t="s">
        <v>819</v>
      </c>
    </row>
    <row r="993" spans="6:10" x14ac:dyDescent="0.25">
      <c r="F993" s="32"/>
      <c r="G993" s="32" t="s">
        <v>2340</v>
      </c>
      <c r="H993" s="32" t="s">
        <v>2396</v>
      </c>
      <c r="I993" s="32" t="s">
        <v>645</v>
      </c>
      <c r="J993" s="32" t="s">
        <v>819</v>
      </c>
    </row>
    <row r="994" spans="6:10" x14ac:dyDescent="0.25">
      <c r="F994" s="32"/>
      <c r="G994" s="32" t="s">
        <v>2397</v>
      </c>
      <c r="H994" s="32" t="s">
        <v>2398</v>
      </c>
      <c r="I994" s="32" t="s">
        <v>645</v>
      </c>
      <c r="J994" s="32" t="s">
        <v>819</v>
      </c>
    </row>
    <row r="995" spans="6:10" x14ac:dyDescent="0.25">
      <c r="F995" s="32"/>
      <c r="G995" s="32" t="s">
        <v>2399</v>
      </c>
      <c r="H995" s="32" t="s">
        <v>2400</v>
      </c>
      <c r="I995" s="32" t="s">
        <v>645</v>
      </c>
      <c r="J995" s="32" t="s">
        <v>819</v>
      </c>
    </row>
    <row r="996" spans="6:10" x14ac:dyDescent="0.25">
      <c r="F996" s="32"/>
      <c r="G996" s="32" t="s">
        <v>2401</v>
      </c>
      <c r="H996" s="32" t="s">
        <v>2402</v>
      </c>
      <c r="I996" s="32" t="s">
        <v>645</v>
      </c>
      <c r="J996" s="32" t="s">
        <v>819</v>
      </c>
    </row>
    <row r="997" spans="6:10" x14ac:dyDescent="0.25">
      <c r="F997" s="32"/>
      <c r="G997" s="32" t="s">
        <v>2403</v>
      </c>
      <c r="H997" s="32" t="s">
        <v>2404</v>
      </c>
      <c r="I997" s="32" t="s">
        <v>645</v>
      </c>
      <c r="J997" s="32" t="s">
        <v>819</v>
      </c>
    </row>
    <row r="998" spans="6:10" x14ac:dyDescent="0.25">
      <c r="F998" s="32"/>
      <c r="G998" s="32" t="s">
        <v>2405</v>
      </c>
      <c r="H998" s="32" t="s">
        <v>2406</v>
      </c>
      <c r="I998" s="32" t="s">
        <v>645</v>
      </c>
      <c r="J998" s="32" t="s">
        <v>819</v>
      </c>
    </row>
    <row r="999" spans="6:10" x14ac:dyDescent="0.25">
      <c r="F999" s="32"/>
      <c r="G999" s="32" t="s">
        <v>2407</v>
      </c>
      <c r="H999" s="32" t="s">
        <v>2408</v>
      </c>
      <c r="I999" s="32" t="s">
        <v>645</v>
      </c>
      <c r="J999" s="32" t="s">
        <v>819</v>
      </c>
    </row>
    <row r="1000" spans="6:10" x14ac:dyDescent="0.25">
      <c r="F1000" s="32"/>
      <c r="G1000" s="32" t="s">
        <v>2409</v>
      </c>
      <c r="H1000" s="32" t="s">
        <v>2410</v>
      </c>
      <c r="I1000" s="32" t="s">
        <v>645</v>
      </c>
      <c r="J1000" s="32" t="s">
        <v>819</v>
      </c>
    </row>
    <row r="1001" spans="6:10" x14ac:dyDescent="0.25">
      <c r="F1001" s="32"/>
      <c r="G1001" s="32" t="s">
        <v>2411</v>
      </c>
      <c r="H1001" s="32" t="s">
        <v>2412</v>
      </c>
      <c r="I1001" s="32" t="s">
        <v>645</v>
      </c>
      <c r="J1001" s="32" t="s">
        <v>819</v>
      </c>
    </row>
    <row r="1002" spans="6:10" x14ac:dyDescent="0.25">
      <c r="F1002" s="32"/>
      <c r="G1002" s="32" t="s">
        <v>2413</v>
      </c>
      <c r="H1002" s="32" t="s">
        <v>2414</v>
      </c>
      <c r="I1002" s="32" t="s">
        <v>645</v>
      </c>
      <c r="J1002" s="32" t="s">
        <v>819</v>
      </c>
    </row>
    <row r="1003" spans="6:10" x14ac:dyDescent="0.25">
      <c r="F1003" s="32"/>
      <c r="G1003" s="32" t="s">
        <v>2415</v>
      </c>
      <c r="H1003" s="32" t="s">
        <v>2416</v>
      </c>
      <c r="I1003" s="32" t="s">
        <v>645</v>
      </c>
      <c r="J1003" s="32" t="s">
        <v>819</v>
      </c>
    </row>
    <row r="1004" spans="6:10" x14ac:dyDescent="0.25">
      <c r="F1004" s="32"/>
      <c r="G1004" s="32" t="s">
        <v>2417</v>
      </c>
      <c r="H1004" s="32" t="s">
        <v>2418</v>
      </c>
      <c r="I1004" s="32" t="s">
        <v>645</v>
      </c>
      <c r="J1004" s="32" t="s">
        <v>819</v>
      </c>
    </row>
    <row r="1005" spans="6:10" x14ac:dyDescent="0.25">
      <c r="F1005" s="32" t="s">
        <v>460</v>
      </c>
      <c r="G1005" s="32"/>
      <c r="H1005" s="32"/>
      <c r="I1005" s="32"/>
      <c r="J1005" s="32"/>
    </row>
    <row r="1006" spans="6:10" x14ac:dyDescent="0.25">
      <c r="F1006" s="32" t="s">
        <v>447</v>
      </c>
      <c r="G1006" s="32"/>
      <c r="H1006" s="32" t="s">
        <v>2419</v>
      </c>
      <c r="I1006" s="32"/>
      <c r="J1006" s="32"/>
    </row>
    <row r="1007" spans="6:10" x14ac:dyDescent="0.25">
      <c r="F1007" s="32"/>
      <c r="G1007" s="32" t="s">
        <v>2420</v>
      </c>
      <c r="H1007" s="32" t="s">
        <v>2421</v>
      </c>
      <c r="I1007" s="32" t="s">
        <v>688</v>
      </c>
      <c r="J1007" s="32" t="s">
        <v>688</v>
      </c>
    </row>
    <row r="1008" spans="6:10" x14ac:dyDescent="0.25">
      <c r="F1008" s="32"/>
      <c r="G1008" s="32" t="s">
        <v>2422</v>
      </c>
      <c r="H1008" s="32" t="s">
        <v>2423</v>
      </c>
      <c r="I1008" s="32" t="s">
        <v>688</v>
      </c>
      <c r="J1008" s="32" t="s">
        <v>688</v>
      </c>
    </row>
    <row r="1009" spans="6:10" x14ac:dyDescent="0.25">
      <c r="F1009" s="32"/>
      <c r="G1009" s="32" t="s">
        <v>2424</v>
      </c>
      <c r="H1009" s="32" t="s">
        <v>2425</v>
      </c>
      <c r="I1009" s="32" t="s">
        <v>645</v>
      </c>
      <c r="J1009" s="32" t="s">
        <v>819</v>
      </c>
    </row>
    <row r="1010" spans="6:10" x14ac:dyDescent="0.25">
      <c r="F1010" s="32"/>
      <c r="G1010" s="32" t="s">
        <v>2426</v>
      </c>
      <c r="H1010" s="32" t="s">
        <v>2427</v>
      </c>
      <c r="I1010" s="32" t="s">
        <v>645</v>
      </c>
      <c r="J1010" s="32" t="s">
        <v>819</v>
      </c>
    </row>
    <row r="1011" spans="6:10" x14ac:dyDescent="0.25">
      <c r="F1011" s="32"/>
      <c r="G1011" s="32" t="s">
        <v>2428</v>
      </c>
      <c r="H1011" s="32" t="s">
        <v>2429</v>
      </c>
      <c r="I1011" s="32" t="s">
        <v>645</v>
      </c>
      <c r="J1011" s="32" t="s">
        <v>819</v>
      </c>
    </row>
    <row r="1012" spans="6:10" x14ac:dyDescent="0.25">
      <c r="F1012" s="32"/>
      <c r="G1012" s="32" t="s">
        <v>2430</v>
      </c>
      <c r="H1012" s="32" t="s">
        <v>2431</v>
      </c>
      <c r="I1012" s="32" t="s">
        <v>645</v>
      </c>
      <c r="J1012" s="32" t="s">
        <v>819</v>
      </c>
    </row>
    <row r="1013" spans="6:10" x14ac:dyDescent="0.25">
      <c r="F1013" s="32"/>
      <c r="G1013" s="32" t="s">
        <v>2432</v>
      </c>
      <c r="H1013" s="32" t="s">
        <v>2433</v>
      </c>
      <c r="I1013" s="32" t="s">
        <v>645</v>
      </c>
      <c r="J1013" s="32" t="s">
        <v>819</v>
      </c>
    </row>
    <row r="1014" spans="6:10" x14ac:dyDescent="0.25">
      <c r="F1014" s="32"/>
      <c r="G1014" s="32" t="s">
        <v>2434</v>
      </c>
      <c r="H1014" s="32" t="s">
        <v>2435</v>
      </c>
      <c r="I1014" s="32" t="s">
        <v>645</v>
      </c>
      <c r="J1014" s="32" t="s">
        <v>819</v>
      </c>
    </row>
    <row r="1015" spans="6:10" x14ac:dyDescent="0.25">
      <c r="F1015" s="32"/>
      <c r="G1015" s="32" t="s">
        <v>2436</v>
      </c>
      <c r="H1015" s="32" t="s">
        <v>2437</v>
      </c>
      <c r="I1015" s="32" t="s">
        <v>645</v>
      </c>
      <c r="J1015" s="32" t="s">
        <v>819</v>
      </c>
    </row>
    <row r="1016" spans="6:10" x14ac:dyDescent="0.25">
      <c r="F1016" s="32"/>
      <c r="G1016" s="32" t="s">
        <v>2438</v>
      </c>
      <c r="H1016" s="32" t="s">
        <v>2439</v>
      </c>
      <c r="I1016" s="32" t="s">
        <v>645</v>
      </c>
      <c r="J1016" s="32" t="s">
        <v>819</v>
      </c>
    </row>
    <row r="1017" spans="6:10" x14ac:dyDescent="0.25">
      <c r="F1017" s="32"/>
      <c r="G1017" s="32" t="s">
        <v>2440</v>
      </c>
      <c r="H1017" s="32" t="s">
        <v>2441</v>
      </c>
      <c r="I1017" s="32" t="s">
        <v>688</v>
      </c>
      <c r="J1017" s="32" t="s">
        <v>688</v>
      </c>
    </row>
    <row r="1018" spans="6:10" x14ac:dyDescent="0.25">
      <c r="F1018" s="32"/>
      <c r="G1018" s="32" t="s">
        <v>2442</v>
      </c>
      <c r="H1018" s="32" t="s">
        <v>2443</v>
      </c>
      <c r="I1018" s="32" t="s">
        <v>645</v>
      </c>
      <c r="J1018" s="32" t="s">
        <v>819</v>
      </c>
    </row>
    <row r="1019" spans="6:10" x14ac:dyDescent="0.25">
      <c r="F1019" s="32"/>
      <c r="G1019" s="32" t="s">
        <v>2444</v>
      </c>
      <c r="H1019" s="32" t="s">
        <v>2445</v>
      </c>
      <c r="I1019" s="32" t="s">
        <v>645</v>
      </c>
      <c r="J1019" s="32" t="s">
        <v>819</v>
      </c>
    </row>
    <row r="1020" spans="6:10" x14ac:dyDescent="0.25">
      <c r="F1020" s="32" t="s">
        <v>528</v>
      </c>
      <c r="G1020" s="32"/>
      <c r="H1020" s="32" t="s">
        <v>2446</v>
      </c>
      <c r="I1020" s="32"/>
      <c r="J1020" s="32"/>
    </row>
    <row r="1021" spans="6:10" x14ac:dyDescent="0.25">
      <c r="F1021" s="32"/>
      <c r="G1021" s="32" t="s">
        <v>528</v>
      </c>
      <c r="H1021" s="32" t="s">
        <v>2447</v>
      </c>
      <c r="I1021" s="32" t="s">
        <v>645</v>
      </c>
      <c r="J1021" s="32" t="s">
        <v>819</v>
      </c>
    </row>
    <row r="1022" spans="6:10" x14ac:dyDescent="0.25">
      <c r="F1022" s="32"/>
      <c r="G1022" s="32" t="s">
        <v>2448</v>
      </c>
      <c r="H1022" s="32" t="s">
        <v>2449</v>
      </c>
      <c r="I1022" s="32" t="s">
        <v>645</v>
      </c>
      <c r="J1022" s="32" t="s">
        <v>819</v>
      </c>
    </row>
    <row r="1023" spans="6:10" x14ac:dyDescent="0.25">
      <c r="F1023" s="32"/>
      <c r="G1023" s="32" t="s">
        <v>2450</v>
      </c>
      <c r="H1023" s="32" t="s">
        <v>2451</v>
      </c>
      <c r="I1023" s="32" t="s">
        <v>645</v>
      </c>
      <c r="J1023" s="32" t="s">
        <v>819</v>
      </c>
    </row>
    <row r="1024" spans="6:10" x14ac:dyDescent="0.25">
      <c r="F1024" s="32"/>
      <c r="G1024" s="32" t="s">
        <v>2452</v>
      </c>
      <c r="H1024" s="32" t="s">
        <v>2453</v>
      </c>
      <c r="I1024" s="32" t="s">
        <v>645</v>
      </c>
      <c r="J1024" s="32" t="s">
        <v>819</v>
      </c>
    </row>
    <row r="1025" spans="6:10" x14ac:dyDescent="0.25">
      <c r="F1025" s="32"/>
      <c r="G1025" s="32" t="s">
        <v>2454</v>
      </c>
      <c r="H1025" s="32" t="s">
        <v>2455</v>
      </c>
      <c r="I1025" s="32" t="s">
        <v>645</v>
      </c>
      <c r="J1025" s="32" t="s">
        <v>819</v>
      </c>
    </row>
    <row r="1026" spans="6:10" x14ac:dyDescent="0.25">
      <c r="F1026" s="32"/>
      <c r="G1026" s="32" t="s">
        <v>2456</v>
      </c>
      <c r="H1026" s="32" t="s">
        <v>2457</v>
      </c>
      <c r="I1026" s="32" t="s">
        <v>645</v>
      </c>
      <c r="J1026" s="32" t="s">
        <v>819</v>
      </c>
    </row>
    <row r="1027" spans="6:10" x14ac:dyDescent="0.25">
      <c r="F1027" s="32"/>
      <c r="G1027" s="32" t="s">
        <v>4103</v>
      </c>
      <c r="H1027" s="32" t="s">
        <v>2458</v>
      </c>
      <c r="I1027" s="32" t="s">
        <v>645</v>
      </c>
      <c r="J1027" s="32" t="s">
        <v>819</v>
      </c>
    </row>
    <row r="1028" spans="6:10" x14ac:dyDescent="0.25">
      <c r="F1028" s="32"/>
      <c r="G1028" s="32" t="s">
        <v>2459</v>
      </c>
      <c r="H1028" s="32" t="s">
        <v>2460</v>
      </c>
      <c r="I1028" s="32" t="s">
        <v>645</v>
      </c>
      <c r="J1028" s="32" t="s">
        <v>819</v>
      </c>
    </row>
    <row r="1029" spans="6:10" x14ac:dyDescent="0.25">
      <c r="F1029" s="32" t="s">
        <v>623</v>
      </c>
      <c r="G1029" s="32"/>
      <c r="H1029" s="32" t="s">
        <v>2461</v>
      </c>
      <c r="I1029" s="32"/>
      <c r="J1029" s="32"/>
    </row>
    <row r="1030" spans="6:10" x14ac:dyDescent="0.25">
      <c r="F1030" s="32"/>
      <c r="G1030" s="32" t="s">
        <v>612</v>
      </c>
      <c r="H1030" s="32" t="s">
        <v>2462</v>
      </c>
      <c r="I1030" s="32" t="s">
        <v>645</v>
      </c>
      <c r="J1030" s="32" t="s">
        <v>819</v>
      </c>
    </row>
    <row r="1031" spans="6:10" x14ac:dyDescent="0.25">
      <c r="F1031" s="32"/>
      <c r="G1031" s="32" t="s">
        <v>2463</v>
      </c>
      <c r="H1031" s="32" t="s">
        <v>2464</v>
      </c>
      <c r="I1031" s="32" t="s">
        <v>645</v>
      </c>
      <c r="J1031" s="32" t="s">
        <v>819</v>
      </c>
    </row>
    <row r="1032" spans="6:10" x14ac:dyDescent="0.25">
      <c r="F1032" s="32"/>
      <c r="G1032" s="32" t="s">
        <v>2465</v>
      </c>
      <c r="H1032" s="32" t="s">
        <v>2466</v>
      </c>
      <c r="I1032" s="32" t="s">
        <v>645</v>
      </c>
      <c r="J1032" s="32" t="s">
        <v>819</v>
      </c>
    </row>
    <row r="1033" spans="6:10" x14ac:dyDescent="0.25">
      <c r="F1033" s="32"/>
      <c r="G1033" s="32" t="s">
        <v>2467</v>
      </c>
      <c r="H1033" s="32" t="s">
        <v>2468</v>
      </c>
      <c r="I1033" s="32" t="s">
        <v>645</v>
      </c>
      <c r="J1033" s="32" t="s">
        <v>819</v>
      </c>
    </row>
    <row r="1034" spans="6:10" x14ac:dyDescent="0.25">
      <c r="F1034" s="32"/>
      <c r="G1034" s="32" t="s">
        <v>2469</v>
      </c>
      <c r="H1034" s="32" t="s">
        <v>2470</v>
      </c>
      <c r="I1034" s="32" t="s">
        <v>645</v>
      </c>
      <c r="J1034" s="32" t="s">
        <v>819</v>
      </c>
    </row>
    <row r="1035" spans="6:10" x14ac:dyDescent="0.25">
      <c r="F1035" s="32"/>
      <c r="G1035" s="32" t="s">
        <v>2471</v>
      </c>
      <c r="H1035" s="32" t="s">
        <v>2472</v>
      </c>
      <c r="I1035" s="32" t="s">
        <v>645</v>
      </c>
      <c r="J1035" s="32" t="s">
        <v>819</v>
      </c>
    </row>
    <row r="1036" spans="6:10" x14ac:dyDescent="0.25">
      <c r="F1036" s="32"/>
      <c r="G1036" s="32" t="s">
        <v>2473</v>
      </c>
      <c r="H1036" s="32" t="s">
        <v>2474</v>
      </c>
      <c r="I1036" s="32" t="s">
        <v>645</v>
      </c>
      <c r="J1036" s="32" t="s">
        <v>819</v>
      </c>
    </row>
    <row r="1037" spans="6:10" x14ac:dyDescent="0.25">
      <c r="F1037" s="32"/>
      <c r="G1037" s="32" t="s">
        <v>2475</v>
      </c>
      <c r="H1037" s="32" t="s">
        <v>2476</v>
      </c>
      <c r="I1037" s="32" t="s">
        <v>645</v>
      </c>
      <c r="J1037" s="32" t="s">
        <v>819</v>
      </c>
    </row>
    <row r="1038" spans="6:10" x14ac:dyDescent="0.25">
      <c r="F1038" s="32"/>
      <c r="G1038" s="32" t="s">
        <v>2477</v>
      </c>
      <c r="H1038" s="32" t="s">
        <v>2478</v>
      </c>
      <c r="I1038" s="32" t="s">
        <v>645</v>
      </c>
      <c r="J1038" s="32" t="s">
        <v>819</v>
      </c>
    </row>
    <row r="1039" spans="6:10" x14ac:dyDescent="0.25">
      <c r="F1039" s="32" t="s">
        <v>529</v>
      </c>
      <c r="G1039" s="32"/>
      <c r="H1039" s="32" t="s">
        <v>2479</v>
      </c>
      <c r="I1039" s="32"/>
      <c r="J1039" s="32"/>
    </row>
    <row r="1040" spans="6:10" x14ac:dyDescent="0.25">
      <c r="F1040" s="32"/>
      <c r="G1040" s="32" t="s">
        <v>529</v>
      </c>
      <c r="H1040" s="32" t="s">
        <v>2480</v>
      </c>
      <c r="I1040" s="32" t="s">
        <v>645</v>
      </c>
      <c r="J1040" s="32" t="s">
        <v>819</v>
      </c>
    </row>
    <row r="1041" spans="6:10" x14ac:dyDescent="0.25">
      <c r="F1041" s="32"/>
      <c r="G1041" s="32" t="s">
        <v>2481</v>
      </c>
      <c r="H1041" s="32" t="s">
        <v>2482</v>
      </c>
      <c r="I1041" s="32" t="s">
        <v>645</v>
      </c>
      <c r="J1041" s="32" t="s">
        <v>819</v>
      </c>
    </row>
    <row r="1042" spans="6:10" x14ac:dyDescent="0.25">
      <c r="F1042" s="32"/>
      <c r="G1042" s="32" t="s">
        <v>820</v>
      </c>
      <c r="H1042" s="32" t="s">
        <v>2483</v>
      </c>
      <c r="I1042" s="32" t="s">
        <v>645</v>
      </c>
      <c r="J1042" s="32" t="s">
        <v>819</v>
      </c>
    </row>
    <row r="1043" spans="6:10" x14ac:dyDescent="0.25">
      <c r="F1043" s="32"/>
      <c r="G1043" s="32" t="s">
        <v>2484</v>
      </c>
      <c r="H1043" s="32" t="s">
        <v>2485</v>
      </c>
      <c r="I1043" s="32" t="s">
        <v>645</v>
      </c>
      <c r="J1043" s="32" t="s">
        <v>819</v>
      </c>
    </row>
    <row r="1044" spans="6:10" x14ac:dyDescent="0.25">
      <c r="F1044" s="32" t="s">
        <v>530</v>
      </c>
      <c r="G1044" s="32"/>
      <c r="H1044" s="32" t="s">
        <v>2486</v>
      </c>
      <c r="I1044" s="32"/>
      <c r="J1044" s="32"/>
    </row>
    <row r="1045" spans="6:10" x14ac:dyDescent="0.25">
      <c r="F1045" s="32"/>
      <c r="G1045" s="32" t="s">
        <v>2487</v>
      </c>
      <c r="H1045" s="32" t="s">
        <v>2488</v>
      </c>
      <c r="I1045" s="32" t="s">
        <v>645</v>
      </c>
      <c r="J1045" s="32" t="s">
        <v>819</v>
      </c>
    </row>
    <row r="1046" spans="6:10" x14ac:dyDescent="0.25">
      <c r="F1046" s="32"/>
      <c r="G1046" s="32" t="s">
        <v>2489</v>
      </c>
      <c r="H1046" s="32" t="s">
        <v>2490</v>
      </c>
      <c r="I1046" s="32" t="s">
        <v>645</v>
      </c>
      <c r="J1046" s="32" t="s">
        <v>819</v>
      </c>
    </row>
    <row r="1047" spans="6:10" x14ac:dyDescent="0.25">
      <c r="F1047" s="32"/>
      <c r="G1047" s="32" t="s">
        <v>2491</v>
      </c>
      <c r="H1047" s="32" t="s">
        <v>2492</v>
      </c>
      <c r="I1047" s="32" t="s">
        <v>645</v>
      </c>
      <c r="J1047" s="32" t="s">
        <v>819</v>
      </c>
    </row>
    <row r="1048" spans="6:10" x14ac:dyDescent="0.25">
      <c r="F1048" s="32"/>
      <c r="G1048" s="32" t="s">
        <v>2493</v>
      </c>
      <c r="H1048" s="32" t="s">
        <v>2494</v>
      </c>
      <c r="I1048" s="32" t="s">
        <v>645</v>
      </c>
      <c r="J1048" s="32" t="s">
        <v>819</v>
      </c>
    </row>
    <row r="1049" spans="6:10" x14ac:dyDescent="0.25">
      <c r="F1049" s="32"/>
      <c r="G1049" s="32" t="s">
        <v>2495</v>
      </c>
      <c r="H1049" s="32" t="s">
        <v>2496</v>
      </c>
      <c r="I1049" s="32" t="s">
        <v>645</v>
      </c>
      <c r="J1049" s="32" t="s">
        <v>819</v>
      </c>
    </row>
    <row r="1050" spans="6:10" x14ac:dyDescent="0.25">
      <c r="F1050" s="32"/>
      <c r="G1050" s="32" t="s">
        <v>3194</v>
      </c>
      <c r="H1050" s="32" t="s">
        <v>2497</v>
      </c>
      <c r="I1050" s="32" t="s">
        <v>645</v>
      </c>
      <c r="J1050" s="32" t="s">
        <v>819</v>
      </c>
    </row>
    <row r="1051" spans="6:10" x14ac:dyDescent="0.25">
      <c r="F1051" s="32"/>
      <c r="G1051" s="32" t="s">
        <v>2498</v>
      </c>
      <c r="H1051" s="32" t="s">
        <v>2499</v>
      </c>
      <c r="I1051" s="32" t="s">
        <v>688</v>
      </c>
      <c r="J1051" s="32" t="s">
        <v>688</v>
      </c>
    </row>
    <row r="1052" spans="6:10" x14ac:dyDescent="0.25">
      <c r="F1052" s="32"/>
      <c r="G1052" s="32" t="s">
        <v>2500</v>
      </c>
      <c r="H1052" s="32" t="s">
        <v>2501</v>
      </c>
      <c r="I1052" s="32" t="s">
        <v>645</v>
      </c>
      <c r="J1052" s="32" t="s">
        <v>819</v>
      </c>
    </row>
    <row r="1053" spans="6:10" x14ac:dyDescent="0.25">
      <c r="F1053" s="32"/>
      <c r="G1053" s="32" t="s">
        <v>2502</v>
      </c>
      <c r="H1053" s="32" t="s">
        <v>2503</v>
      </c>
      <c r="I1053" s="32" t="s">
        <v>645</v>
      </c>
      <c r="J1053" s="32" t="s">
        <v>819</v>
      </c>
    </row>
    <row r="1054" spans="6:10" x14ac:dyDescent="0.25">
      <c r="F1054" s="32"/>
      <c r="G1054" s="32" t="s">
        <v>2504</v>
      </c>
      <c r="H1054" s="32" t="s">
        <v>2505</v>
      </c>
      <c r="I1054" s="32" t="s">
        <v>645</v>
      </c>
      <c r="J1054" s="32" t="s">
        <v>819</v>
      </c>
    </row>
    <row r="1055" spans="6:10" x14ac:dyDescent="0.25">
      <c r="F1055" s="32"/>
      <c r="G1055" s="32" t="s">
        <v>2506</v>
      </c>
      <c r="H1055" s="32" t="s">
        <v>2507</v>
      </c>
      <c r="I1055" s="32" t="s">
        <v>645</v>
      </c>
      <c r="J1055" s="32" t="s">
        <v>819</v>
      </c>
    </row>
    <row r="1056" spans="6:10" x14ac:dyDescent="0.25">
      <c r="F1056" s="32" t="s">
        <v>624</v>
      </c>
      <c r="G1056" s="32"/>
      <c r="H1056" s="32" t="s">
        <v>2508</v>
      </c>
      <c r="I1056" s="32"/>
      <c r="J1056" s="32"/>
    </row>
    <row r="1057" spans="6:10" x14ac:dyDescent="0.25">
      <c r="F1057" s="32"/>
      <c r="G1057" s="32" t="s">
        <v>2509</v>
      </c>
      <c r="H1057" s="32" t="s">
        <v>2510</v>
      </c>
      <c r="I1057" s="32" t="s">
        <v>688</v>
      </c>
      <c r="J1057" s="32" t="s">
        <v>688</v>
      </c>
    </row>
    <row r="1058" spans="6:10" x14ac:dyDescent="0.25">
      <c r="F1058" s="32"/>
      <c r="G1058" s="32" t="s">
        <v>2511</v>
      </c>
      <c r="H1058" s="32" t="s">
        <v>2512</v>
      </c>
      <c r="I1058" s="32" t="s">
        <v>688</v>
      </c>
      <c r="J1058" s="32" t="s">
        <v>688</v>
      </c>
    </row>
    <row r="1059" spans="6:10" x14ac:dyDescent="0.25">
      <c r="F1059" s="32"/>
      <c r="G1059" s="32" t="s">
        <v>2513</v>
      </c>
      <c r="H1059" s="32" t="s">
        <v>2514</v>
      </c>
      <c r="I1059" s="32" t="s">
        <v>688</v>
      </c>
      <c r="J1059" s="32" t="s">
        <v>688</v>
      </c>
    </row>
    <row r="1060" spans="6:10" x14ac:dyDescent="0.25">
      <c r="F1060" s="32"/>
      <c r="G1060" s="32" t="s">
        <v>2515</v>
      </c>
      <c r="H1060" s="32" t="s">
        <v>2516</v>
      </c>
      <c r="I1060" s="32" t="s">
        <v>688</v>
      </c>
      <c r="J1060" s="32" t="s">
        <v>688</v>
      </c>
    </row>
    <row r="1061" spans="6:10" x14ac:dyDescent="0.25">
      <c r="F1061" s="32"/>
      <c r="G1061" s="32" t="s">
        <v>2517</v>
      </c>
      <c r="H1061" s="32" t="s">
        <v>2518</v>
      </c>
      <c r="I1061" s="32" t="s">
        <v>688</v>
      </c>
      <c r="J1061" s="32" t="s">
        <v>688</v>
      </c>
    </row>
    <row r="1062" spans="6:10" x14ac:dyDescent="0.25">
      <c r="F1062" s="32"/>
      <c r="G1062" s="32" t="s">
        <v>2519</v>
      </c>
      <c r="H1062" s="32" t="s">
        <v>2520</v>
      </c>
      <c r="I1062" s="32" t="s">
        <v>688</v>
      </c>
      <c r="J1062" s="32" t="s">
        <v>688</v>
      </c>
    </row>
    <row r="1063" spans="6:10" x14ac:dyDescent="0.25">
      <c r="F1063" s="32"/>
      <c r="G1063" s="32" t="s">
        <v>2521</v>
      </c>
      <c r="H1063" s="32" t="s">
        <v>2522</v>
      </c>
      <c r="I1063" s="32" t="s">
        <v>688</v>
      </c>
      <c r="J1063" s="32" t="s">
        <v>688</v>
      </c>
    </row>
    <row r="1064" spans="6:10" x14ac:dyDescent="0.25">
      <c r="F1064" s="32"/>
      <c r="G1064" s="32" t="s">
        <v>2523</v>
      </c>
      <c r="H1064" s="32" t="s">
        <v>2524</v>
      </c>
      <c r="I1064" s="32" t="s">
        <v>688</v>
      </c>
      <c r="J1064" s="32" t="s">
        <v>688</v>
      </c>
    </row>
    <row r="1065" spans="6:10" x14ac:dyDescent="0.25">
      <c r="F1065" s="32"/>
      <c r="G1065" s="32" t="s">
        <v>3131</v>
      </c>
      <c r="H1065" s="32" t="s">
        <v>2525</v>
      </c>
      <c r="I1065" s="32" t="s">
        <v>688</v>
      </c>
      <c r="J1065" s="32" t="s">
        <v>688</v>
      </c>
    </row>
    <row r="1066" spans="6:10" x14ac:dyDescent="0.25">
      <c r="F1066" s="32"/>
      <c r="G1066" s="32" t="s">
        <v>2526</v>
      </c>
      <c r="H1066" s="32" t="s">
        <v>2527</v>
      </c>
      <c r="I1066" s="32" t="s">
        <v>688</v>
      </c>
      <c r="J1066" s="32" t="s">
        <v>688</v>
      </c>
    </row>
    <row r="1067" spans="6:10" x14ac:dyDescent="0.25">
      <c r="F1067" s="32" t="s">
        <v>531</v>
      </c>
      <c r="G1067" s="32"/>
      <c r="H1067" s="32" t="s">
        <v>2528</v>
      </c>
      <c r="I1067" s="32"/>
      <c r="J1067" s="32"/>
    </row>
    <row r="1068" spans="6:10" x14ac:dyDescent="0.25">
      <c r="F1068" s="32"/>
      <c r="G1068" s="32" t="s">
        <v>2529</v>
      </c>
      <c r="H1068" s="32" t="s">
        <v>2530</v>
      </c>
      <c r="I1068" s="32" t="s">
        <v>645</v>
      </c>
      <c r="J1068" s="32" t="s">
        <v>819</v>
      </c>
    </row>
    <row r="1069" spans="6:10" x14ac:dyDescent="0.25">
      <c r="F1069" s="32"/>
      <c r="G1069" s="32" t="s">
        <v>2531</v>
      </c>
      <c r="H1069" s="32" t="s">
        <v>2532</v>
      </c>
      <c r="I1069" s="32" t="s">
        <v>645</v>
      </c>
      <c r="J1069" s="32" t="s">
        <v>819</v>
      </c>
    </row>
    <row r="1070" spans="6:10" x14ac:dyDescent="0.25">
      <c r="F1070" s="32"/>
      <c r="G1070" s="32" t="s">
        <v>2533</v>
      </c>
      <c r="H1070" s="32" t="s">
        <v>2534</v>
      </c>
      <c r="I1070" s="32" t="s">
        <v>645</v>
      </c>
      <c r="J1070" s="32" t="s">
        <v>819</v>
      </c>
    </row>
    <row r="1071" spans="6:10" x14ac:dyDescent="0.25">
      <c r="F1071" s="32"/>
      <c r="G1071" s="32" t="s">
        <v>2535</v>
      </c>
      <c r="H1071" s="32" t="s">
        <v>2536</v>
      </c>
      <c r="I1071" s="32" t="s">
        <v>645</v>
      </c>
      <c r="J1071" s="32" t="s">
        <v>819</v>
      </c>
    </row>
    <row r="1072" spans="6:10" x14ac:dyDescent="0.25">
      <c r="F1072" s="32"/>
      <c r="G1072" s="32" t="s">
        <v>2537</v>
      </c>
      <c r="H1072" s="32" t="s">
        <v>2538</v>
      </c>
      <c r="I1072" s="32" t="s">
        <v>645</v>
      </c>
      <c r="J1072" s="32" t="s">
        <v>819</v>
      </c>
    </row>
    <row r="1073" spans="6:10" x14ac:dyDescent="0.25">
      <c r="F1073" s="32" t="s">
        <v>532</v>
      </c>
      <c r="G1073" s="32"/>
      <c r="H1073" s="32" t="s">
        <v>2539</v>
      </c>
      <c r="I1073" s="32"/>
      <c r="J1073" s="32"/>
    </row>
    <row r="1074" spans="6:10" x14ac:dyDescent="0.25">
      <c r="F1074" s="32"/>
      <c r="G1074" s="32" t="s">
        <v>2540</v>
      </c>
      <c r="H1074" s="32" t="s">
        <v>2541</v>
      </c>
      <c r="I1074" s="32" t="s">
        <v>645</v>
      </c>
      <c r="J1074" s="32" t="s">
        <v>819</v>
      </c>
    </row>
    <row r="1075" spans="6:10" x14ac:dyDescent="0.25">
      <c r="F1075" s="32"/>
      <c r="G1075" s="32" t="s">
        <v>2542</v>
      </c>
      <c r="H1075" s="32" t="s">
        <v>2543</v>
      </c>
      <c r="I1075" s="32" t="s">
        <v>645</v>
      </c>
      <c r="J1075" s="32" t="s">
        <v>819</v>
      </c>
    </row>
    <row r="1076" spans="6:10" x14ac:dyDescent="0.25">
      <c r="F1076" s="32"/>
      <c r="G1076" s="32" t="s">
        <v>2544</v>
      </c>
      <c r="H1076" s="32" t="s">
        <v>2545</v>
      </c>
      <c r="I1076" s="32" t="s">
        <v>645</v>
      </c>
      <c r="J1076" s="32" t="s">
        <v>819</v>
      </c>
    </row>
    <row r="1077" spans="6:10" x14ac:dyDescent="0.25">
      <c r="F1077" s="32"/>
      <c r="G1077" s="32" t="s">
        <v>2546</v>
      </c>
      <c r="H1077" s="32" t="s">
        <v>2547</v>
      </c>
      <c r="I1077" s="32" t="s">
        <v>688</v>
      </c>
      <c r="J1077" s="32" t="s">
        <v>688</v>
      </c>
    </row>
    <row r="1078" spans="6:10" x14ac:dyDescent="0.25">
      <c r="F1078" s="32" t="s">
        <v>533</v>
      </c>
      <c r="G1078" s="32"/>
      <c r="H1078" s="32" t="s">
        <v>2548</v>
      </c>
      <c r="I1078" s="32"/>
      <c r="J1078" s="32"/>
    </row>
    <row r="1079" spans="6:10" x14ac:dyDescent="0.25">
      <c r="F1079" s="32"/>
      <c r="G1079" s="32" t="s">
        <v>533</v>
      </c>
      <c r="H1079" s="32" t="s">
        <v>2549</v>
      </c>
      <c r="I1079" s="32" t="s">
        <v>688</v>
      </c>
      <c r="J1079" s="32" t="s">
        <v>688</v>
      </c>
    </row>
    <row r="1080" spans="6:10" x14ac:dyDescent="0.25">
      <c r="F1080" s="32"/>
      <c r="G1080" s="32" t="s">
        <v>2550</v>
      </c>
      <c r="H1080" s="32" t="s">
        <v>2551</v>
      </c>
      <c r="I1080" s="32" t="s">
        <v>688</v>
      </c>
      <c r="J1080" s="32" t="s">
        <v>688</v>
      </c>
    </row>
    <row r="1081" spans="6:10" x14ac:dyDescent="0.25">
      <c r="F1081" s="32"/>
      <c r="G1081" s="32" t="s">
        <v>2552</v>
      </c>
      <c r="H1081" s="32" t="s">
        <v>2553</v>
      </c>
      <c r="I1081" s="32" t="s">
        <v>688</v>
      </c>
      <c r="J1081" s="32" t="s">
        <v>688</v>
      </c>
    </row>
    <row r="1082" spans="6:10" x14ac:dyDescent="0.25">
      <c r="F1082" s="32"/>
      <c r="G1082" s="32" t="s">
        <v>2554</v>
      </c>
      <c r="H1082" s="32" t="s">
        <v>2555</v>
      </c>
      <c r="I1082" s="32" t="s">
        <v>688</v>
      </c>
      <c r="J1082" s="32" t="s">
        <v>688</v>
      </c>
    </row>
    <row r="1083" spans="6:10" x14ac:dyDescent="0.25">
      <c r="F1083" s="32"/>
      <c r="G1083" s="32" t="s">
        <v>2556</v>
      </c>
      <c r="H1083" s="32" t="s">
        <v>2557</v>
      </c>
      <c r="I1083" s="32" t="s">
        <v>688</v>
      </c>
      <c r="J1083" s="32" t="s">
        <v>688</v>
      </c>
    </row>
    <row r="1084" spans="6:10" x14ac:dyDescent="0.25">
      <c r="F1084" s="32" t="s">
        <v>534</v>
      </c>
      <c r="G1084" s="32"/>
      <c r="H1084" s="32" t="s">
        <v>2558</v>
      </c>
      <c r="I1084" s="32"/>
      <c r="J1084" s="32"/>
    </row>
    <row r="1085" spans="6:10" x14ac:dyDescent="0.25">
      <c r="F1085" s="32"/>
      <c r="G1085" s="32" t="s">
        <v>1759</v>
      </c>
      <c r="H1085" s="32" t="s">
        <v>2559</v>
      </c>
      <c r="I1085" s="32" t="s">
        <v>645</v>
      </c>
      <c r="J1085" s="32" t="s">
        <v>819</v>
      </c>
    </row>
    <row r="1086" spans="6:10" x14ac:dyDescent="0.25">
      <c r="F1086" s="32"/>
      <c r="G1086" s="32" t="s">
        <v>2560</v>
      </c>
      <c r="H1086" s="32" t="s">
        <v>2561</v>
      </c>
      <c r="I1086" s="32" t="s">
        <v>645</v>
      </c>
      <c r="J1086" s="32" t="s">
        <v>819</v>
      </c>
    </row>
    <row r="1087" spans="6:10" x14ac:dyDescent="0.25">
      <c r="F1087" s="32"/>
      <c r="G1087" s="32" t="s">
        <v>2562</v>
      </c>
      <c r="H1087" s="32" t="s">
        <v>2563</v>
      </c>
      <c r="I1087" s="32" t="s">
        <v>645</v>
      </c>
      <c r="J1087" s="32" t="s">
        <v>819</v>
      </c>
    </row>
    <row r="1088" spans="6:10" x14ac:dyDescent="0.25">
      <c r="F1088" s="32"/>
      <c r="G1088" s="32" t="s">
        <v>2564</v>
      </c>
      <c r="H1088" s="32" t="s">
        <v>2565</v>
      </c>
      <c r="I1088" s="32" t="s">
        <v>645</v>
      </c>
      <c r="J1088" s="32" t="s">
        <v>819</v>
      </c>
    </row>
    <row r="1089" spans="6:10" x14ac:dyDescent="0.25">
      <c r="F1089" s="32"/>
      <c r="G1089" s="32" t="s">
        <v>2566</v>
      </c>
      <c r="H1089" s="32" t="s">
        <v>2567</v>
      </c>
      <c r="I1089" s="32" t="s">
        <v>645</v>
      </c>
      <c r="J1089" s="32" t="s">
        <v>819</v>
      </c>
    </row>
    <row r="1090" spans="6:10" x14ac:dyDescent="0.25">
      <c r="F1090" s="32"/>
      <c r="G1090" s="32" t="s">
        <v>2568</v>
      </c>
      <c r="H1090" s="32" t="s">
        <v>2569</v>
      </c>
      <c r="I1090" s="32" t="s">
        <v>645</v>
      </c>
      <c r="J1090" s="32" t="s">
        <v>819</v>
      </c>
    </row>
    <row r="1091" spans="6:10" x14ac:dyDescent="0.25">
      <c r="F1091" s="32"/>
      <c r="G1091" s="32" t="s">
        <v>2570</v>
      </c>
      <c r="H1091" s="32" t="s">
        <v>2571</v>
      </c>
      <c r="I1091" s="32" t="s">
        <v>645</v>
      </c>
      <c r="J1091" s="32" t="s">
        <v>819</v>
      </c>
    </row>
    <row r="1092" spans="6:10" x14ac:dyDescent="0.25">
      <c r="F1092" s="32" t="s">
        <v>535</v>
      </c>
      <c r="G1092" s="32"/>
      <c r="H1092" s="32" t="s">
        <v>2572</v>
      </c>
      <c r="I1092" s="32"/>
      <c r="J1092" s="32"/>
    </row>
    <row r="1093" spans="6:10" x14ac:dyDescent="0.25">
      <c r="F1093" s="32"/>
      <c r="G1093" s="32" t="s">
        <v>2573</v>
      </c>
      <c r="H1093" s="32" t="s">
        <v>2574</v>
      </c>
      <c r="I1093" s="32" t="s">
        <v>645</v>
      </c>
      <c r="J1093" s="32" t="s">
        <v>819</v>
      </c>
    </row>
    <row r="1094" spans="6:10" x14ac:dyDescent="0.25">
      <c r="F1094" s="32"/>
      <c r="G1094" s="32" t="s">
        <v>2575</v>
      </c>
      <c r="H1094" s="32" t="s">
        <v>2576</v>
      </c>
      <c r="I1094" s="32" t="s">
        <v>645</v>
      </c>
      <c r="J1094" s="32" t="s">
        <v>819</v>
      </c>
    </row>
    <row r="1095" spans="6:10" x14ac:dyDescent="0.25">
      <c r="F1095" s="32"/>
      <c r="G1095" s="32" t="s">
        <v>2577</v>
      </c>
      <c r="H1095" s="32" t="s">
        <v>2578</v>
      </c>
      <c r="I1095" s="32" t="s">
        <v>645</v>
      </c>
      <c r="J1095" s="32" t="s">
        <v>819</v>
      </c>
    </row>
    <row r="1096" spans="6:10" x14ac:dyDescent="0.25">
      <c r="F1096" s="32"/>
      <c r="G1096" s="32" t="s">
        <v>2579</v>
      </c>
      <c r="H1096" s="32" t="s">
        <v>2580</v>
      </c>
      <c r="I1096" s="32" t="s">
        <v>645</v>
      </c>
      <c r="J1096" s="32" t="s">
        <v>819</v>
      </c>
    </row>
    <row r="1097" spans="6:10" x14ac:dyDescent="0.25">
      <c r="F1097" s="32"/>
      <c r="G1097" s="32" t="s">
        <v>2581</v>
      </c>
      <c r="H1097" s="32" t="s">
        <v>2582</v>
      </c>
      <c r="I1097" s="32" t="s">
        <v>645</v>
      </c>
      <c r="J1097" s="32" t="s">
        <v>819</v>
      </c>
    </row>
    <row r="1098" spans="6:10" x14ac:dyDescent="0.25">
      <c r="F1098" s="32"/>
      <c r="G1098" s="32" t="s">
        <v>2583</v>
      </c>
      <c r="H1098" s="32" t="s">
        <v>2584</v>
      </c>
      <c r="I1098" s="32" t="s">
        <v>645</v>
      </c>
      <c r="J1098" s="32" t="s">
        <v>819</v>
      </c>
    </row>
    <row r="1099" spans="6:10" x14ac:dyDescent="0.25">
      <c r="F1099" s="32"/>
      <c r="G1099" s="32" t="s">
        <v>2080</v>
      </c>
      <c r="H1099" s="32" t="s">
        <v>2585</v>
      </c>
      <c r="I1099" s="32" t="s">
        <v>645</v>
      </c>
      <c r="J1099" s="32" t="s">
        <v>819</v>
      </c>
    </row>
    <row r="1100" spans="6:10" x14ac:dyDescent="0.25">
      <c r="F1100" s="32"/>
      <c r="G1100" s="32" t="s">
        <v>2586</v>
      </c>
      <c r="H1100" s="32" t="s">
        <v>2587</v>
      </c>
      <c r="I1100" s="32" t="s">
        <v>645</v>
      </c>
      <c r="J1100" s="32" t="s">
        <v>819</v>
      </c>
    </row>
    <row r="1101" spans="6:10" x14ac:dyDescent="0.25">
      <c r="F1101" s="32" t="s">
        <v>460</v>
      </c>
      <c r="G1101" s="32"/>
      <c r="H1101" s="32"/>
      <c r="I1101" s="32"/>
      <c r="J1101" s="32"/>
    </row>
    <row r="1102" spans="6:10" x14ac:dyDescent="0.25">
      <c r="F1102" s="32" t="s">
        <v>4610</v>
      </c>
      <c r="G1102" s="32"/>
      <c r="H1102" s="32" t="s">
        <v>2588</v>
      </c>
      <c r="I1102" s="32"/>
      <c r="J1102" s="32"/>
    </row>
    <row r="1103" spans="6:10" x14ac:dyDescent="0.25">
      <c r="F1103" s="32"/>
      <c r="G1103" s="32" t="s">
        <v>448</v>
      </c>
      <c r="H1103" s="32" t="s">
        <v>2589</v>
      </c>
      <c r="I1103" s="32" t="s">
        <v>924</v>
      </c>
      <c r="J1103" s="32" t="s">
        <v>925</v>
      </c>
    </row>
    <row r="1104" spans="6:10" x14ac:dyDescent="0.25">
      <c r="F1104" s="32"/>
      <c r="G1104" s="32" t="s">
        <v>2590</v>
      </c>
      <c r="H1104" s="32" t="s">
        <v>2591</v>
      </c>
      <c r="I1104" s="32" t="s">
        <v>924</v>
      </c>
      <c r="J1104" s="32" t="s">
        <v>925</v>
      </c>
    </row>
    <row r="1105" spans="6:10" x14ac:dyDescent="0.25">
      <c r="F1105" s="32"/>
      <c r="G1105" s="32" t="s">
        <v>2592</v>
      </c>
      <c r="H1105" s="32" t="s">
        <v>2593</v>
      </c>
      <c r="I1105" s="32" t="s">
        <v>924</v>
      </c>
      <c r="J1105" s="32" t="s">
        <v>925</v>
      </c>
    </row>
    <row r="1106" spans="6:10" x14ac:dyDescent="0.25">
      <c r="F1106" s="32"/>
      <c r="G1106" s="32" t="s">
        <v>2594</v>
      </c>
      <c r="H1106" s="32" t="s">
        <v>2595</v>
      </c>
      <c r="I1106" s="32" t="s">
        <v>924</v>
      </c>
      <c r="J1106" s="32" t="s">
        <v>925</v>
      </c>
    </row>
    <row r="1107" spans="6:10" x14ac:dyDescent="0.25">
      <c r="F1107" s="32"/>
      <c r="G1107" s="32" t="s">
        <v>2596</v>
      </c>
      <c r="H1107" s="32" t="s">
        <v>2597</v>
      </c>
      <c r="I1107" s="32" t="s">
        <v>924</v>
      </c>
      <c r="J1107" s="32" t="s">
        <v>925</v>
      </c>
    </row>
    <row r="1108" spans="6:10" x14ac:dyDescent="0.25">
      <c r="F1108" s="32"/>
      <c r="G1108" s="32" t="s">
        <v>2598</v>
      </c>
      <c r="H1108" s="32" t="s">
        <v>2599</v>
      </c>
      <c r="I1108" s="32" t="s">
        <v>924</v>
      </c>
      <c r="J1108" s="32" t="s">
        <v>925</v>
      </c>
    </row>
    <row r="1109" spans="6:10" x14ac:dyDescent="0.25">
      <c r="F1109" s="32"/>
      <c r="G1109" s="32" t="s">
        <v>3131</v>
      </c>
      <c r="H1109" s="32" t="s">
        <v>2600</v>
      </c>
      <c r="I1109" s="32" t="s">
        <v>924</v>
      </c>
      <c r="J1109" s="32" t="s">
        <v>925</v>
      </c>
    </row>
    <row r="1110" spans="6:10" x14ac:dyDescent="0.25">
      <c r="F1110" s="32"/>
      <c r="G1110" s="32" t="s">
        <v>2601</v>
      </c>
      <c r="H1110" s="32" t="s">
        <v>2602</v>
      </c>
      <c r="I1110" s="32" t="s">
        <v>924</v>
      </c>
      <c r="J1110" s="32" t="s">
        <v>925</v>
      </c>
    </row>
    <row r="1111" spans="6:10" x14ac:dyDescent="0.25">
      <c r="F1111" s="32"/>
      <c r="G1111" s="32" t="s">
        <v>2603</v>
      </c>
      <c r="H1111" s="32" t="s">
        <v>2604</v>
      </c>
      <c r="I1111" s="32" t="s">
        <v>924</v>
      </c>
      <c r="J1111" s="32" t="s">
        <v>925</v>
      </c>
    </row>
    <row r="1112" spans="6:10" x14ac:dyDescent="0.25">
      <c r="F1112" s="32"/>
      <c r="G1112" s="32" t="s">
        <v>3510</v>
      </c>
      <c r="H1112" s="32" t="s">
        <v>2605</v>
      </c>
      <c r="I1112" s="32" t="s">
        <v>924</v>
      </c>
      <c r="J1112" s="32" t="s">
        <v>925</v>
      </c>
    </row>
    <row r="1113" spans="6:10" x14ac:dyDescent="0.25">
      <c r="F1113" s="32"/>
      <c r="G1113" s="32" t="s">
        <v>2015</v>
      </c>
      <c r="H1113" s="32" t="s">
        <v>2606</v>
      </c>
      <c r="I1113" s="32" t="s">
        <v>924</v>
      </c>
      <c r="J1113" s="32" t="s">
        <v>925</v>
      </c>
    </row>
    <row r="1114" spans="6:10" x14ac:dyDescent="0.25">
      <c r="F1114" s="32"/>
      <c r="G1114" s="32" t="s">
        <v>2607</v>
      </c>
      <c r="H1114" s="32" t="s">
        <v>2608</v>
      </c>
      <c r="I1114" s="32" t="s">
        <v>924</v>
      </c>
      <c r="J1114" s="32" t="s">
        <v>925</v>
      </c>
    </row>
    <row r="1115" spans="6:10" x14ac:dyDescent="0.25">
      <c r="F1115" s="32"/>
      <c r="G1115" s="32" t="s">
        <v>2609</v>
      </c>
      <c r="H1115" s="32" t="s">
        <v>2610</v>
      </c>
      <c r="I1115" s="32" t="s">
        <v>924</v>
      </c>
      <c r="J1115" s="32" t="s">
        <v>925</v>
      </c>
    </row>
    <row r="1116" spans="6:10" x14ac:dyDescent="0.25">
      <c r="F1116" s="32"/>
      <c r="G1116" s="32" t="s">
        <v>2611</v>
      </c>
      <c r="H1116" s="32" t="s">
        <v>2612</v>
      </c>
      <c r="I1116" s="32" t="s">
        <v>924</v>
      </c>
      <c r="J1116" s="32" t="s">
        <v>925</v>
      </c>
    </row>
    <row r="1117" spans="6:10" x14ac:dyDescent="0.25">
      <c r="F1117" s="32" t="s">
        <v>536</v>
      </c>
      <c r="G1117" s="32"/>
      <c r="H1117" s="32" t="s">
        <v>2613</v>
      </c>
      <c r="I1117" s="32"/>
      <c r="J1117" s="32"/>
    </row>
    <row r="1118" spans="6:10" x14ac:dyDescent="0.25">
      <c r="F1118" s="32"/>
      <c r="G1118" s="32" t="s">
        <v>2614</v>
      </c>
      <c r="H1118" s="32" t="s">
        <v>2615</v>
      </c>
      <c r="I1118" s="32" t="s">
        <v>924</v>
      </c>
      <c r="J1118" s="32" t="s">
        <v>925</v>
      </c>
    </row>
    <row r="1119" spans="6:10" x14ac:dyDescent="0.25">
      <c r="F1119" s="32"/>
      <c r="G1119" s="32" t="s">
        <v>2616</v>
      </c>
      <c r="H1119" s="32" t="s">
        <v>2617</v>
      </c>
      <c r="I1119" s="32" t="s">
        <v>924</v>
      </c>
      <c r="J1119" s="32" t="s">
        <v>925</v>
      </c>
    </row>
    <row r="1120" spans="6:10" x14ac:dyDescent="0.25">
      <c r="F1120" s="32"/>
      <c r="G1120" s="32" t="s">
        <v>2618</v>
      </c>
      <c r="H1120" s="32" t="s">
        <v>2619</v>
      </c>
      <c r="I1120" s="32" t="s">
        <v>924</v>
      </c>
      <c r="J1120" s="32" t="s">
        <v>925</v>
      </c>
    </row>
    <row r="1121" spans="6:10" x14ac:dyDescent="0.25">
      <c r="F1121" s="32"/>
      <c r="G1121" s="32" t="s">
        <v>2620</v>
      </c>
      <c r="H1121" s="32" t="s">
        <v>2621</v>
      </c>
      <c r="I1121" s="32" t="s">
        <v>645</v>
      </c>
      <c r="J1121" s="32" t="s">
        <v>819</v>
      </c>
    </row>
    <row r="1122" spans="6:10" x14ac:dyDescent="0.25">
      <c r="F1122" s="32"/>
      <c r="G1122" s="32" t="s">
        <v>2329</v>
      </c>
      <c r="H1122" s="32" t="s">
        <v>2622</v>
      </c>
      <c r="I1122" s="32" t="s">
        <v>924</v>
      </c>
      <c r="J1122" s="32" t="s">
        <v>925</v>
      </c>
    </row>
    <row r="1123" spans="6:10" x14ac:dyDescent="0.25">
      <c r="F1123" s="32"/>
      <c r="G1123" s="32" t="s">
        <v>2623</v>
      </c>
      <c r="H1123" s="32" t="s">
        <v>2624</v>
      </c>
      <c r="I1123" s="32" t="s">
        <v>924</v>
      </c>
      <c r="J1123" s="32" t="s">
        <v>925</v>
      </c>
    </row>
    <row r="1124" spans="6:10" x14ac:dyDescent="0.25">
      <c r="F1124" s="32"/>
      <c r="G1124" s="32" t="s">
        <v>3131</v>
      </c>
      <c r="H1124" s="32" t="s">
        <v>2625</v>
      </c>
      <c r="I1124" s="32" t="s">
        <v>924</v>
      </c>
      <c r="J1124" s="32" t="s">
        <v>925</v>
      </c>
    </row>
    <row r="1125" spans="6:10" x14ac:dyDescent="0.25">
      <c r="F1125" s="32"/>
      <c r="G1125" s="32" t="s">
        <v>2626</v>
      </c>
      <c r="H1125" s="32" t="s">
        <v>2627</v>
      </c>
      <c r="I1125" s="32" t="s">
        <v>924</v>
      </c>
      <c r="J1125" s="32" t="s">
        <v>925</v>
      </c>
    </row>
    <row r="1126" spans="6:10" x14ac:dyDescent="0.25">
      <c r="F1126" s="32"/>
      <c r="G1126" s="32" t="s">
        <v>2628</v>
      </c>
      <c r="H1126" s="32" t="s">
        <v>2629</v>
      </c>
      <c r="I1126" s="32" t="s">
        <v>645</v>
      </c>
      <c r="J1126" s="32" t="s">
        <v>819</v>
      </c>
    </row>
    <row r="1127" spans="6:10" x14ac:dyDescent="0.25">
      <c r="F1127" s="32"/>
      <c r="G1127" s="32" t="s">
        <v>2630</v>
      </c>
      <c r="H1127" s="32" t="s">
        <v>2631</v>
      </c>
      <c r="I1127" s="32" t="s">
        <v>924</v>
      </c>
      <c r="J1127" s="32" t="s">
        <v>925</v>
      </c>
    </row>
    <row r="1128" spans="6:10" x14ac:dyDescent="0.25">
      <c r="F1128" s="32"/>
      <c r="G1128" s="32" t="s">
        <v>2632</v>
      </c>
      <c r="H1128" s="32" t="s">
        <v>2633</v>
      </c>
      <c r="I1128" s="32" t="s">
        <v>924</v>
      </c>
      <c r="J1128" s="32" t="s">
        <v>925</v>
      </c>
    </row>
    <row r="1129" spans="6:10" x14ac:dyDescent="0.25">
      <c r="F1129" s="32" t="s">
        <v>537</v>
      </c>
      <c r="G1129" s="32"/>
      <c r="H1129" s="32" t="s">
        <v>2634</v>
      </c>
      <c r="I1129" s="32"/>
      <c r="J1129" s="32"/>
    </row>
    <row r="1130" spans="6:10" x14ac:dyDescent="0.25">
      <c r="F1130" s="32"/>
      <c r="G1130" s="32" t="s">
        <v>2635</v>
      </c>
      <c r="H1130" s="32" t="s">
        <v>2636</v>
      </c>
      <c r="I1130" s="32" t="s">
        <v>924</v>
      </c>
      <c r="J1130" s="32" t="s">
        <v>925</v>
      </c>
    </row>
    <row r="1131" spans="6:10" x14ac:dyDescent="0.25">
      <c r="F1131" s="32"/>
      <c r="G1131" s="32" t="s">
        <v>2637</v>
      </c>
      <c r="H1131" s="32" t="s">
        <v>2638</v>
      </c>
      <c r="I1131" s="32" t="s">
        <v>924</v>
      </c>
      <c r="J1131" s="32" t="s">
        <v>925</v>
      </c>
    </row>
    <row r="1132" spans="6:10" x14ac:dyDescent="0.25">
      <c r="F1132" s="32"/>
      <c r="G1132" s="32" t="s">
        <v>2639</v>
      </c>
      <c r="H1132" s="32" t="s">
        <v>2640</v>
      </c>
      <c r="I1132" s="32" t="s">
        <v>924</v>
      </c>
      <c r="J1132" s="32" t="s">
        <v>925</v>
      </c>
    </row>
    <row r="1133" spans="6:10" x14ac:dyDescent="0.25">
      <c r="F1133" s="32"/>
      <c r="G1133" s="32" t="s">
        <v>2641</v>
      </c>
      <c r="H1133" s="32" t="s">
        <v>2642</v>
      </c>
      <c r="I1133" s="32" t="s">
        <v>924</v>
      </c>
      <c r="J1133" s="32" t="s">
        <v>925</v>
      </c>
    </row>
    <row r="1134" spans="6:10" x14ac:dyDescent="0.25">
      <c r="F1134" s="32"/>
      <c r="G1134" s="32" t="s">
        <v>800</v>
      </c>
      <c r="H1134" s="32" t="s">
        <v>2643</v>
      </c>
      <c r="I1134" s="32" t="s">
        <v>924</v>
      </c>
      <c r="J1134" s="32" t="s">
        <v>925</v>
      </c>
    </row>
    <row r="1135" spans="6:10" x14ac:dyDescent="0.25">
      <c r="F1135" s="32" t="s">
        <v>538</v>
      </c>
      <c r="G1135" s="32"/>
      <c r="H1135" s="32" t="s">
        <v>2644</v>
      </c>
      <c r="I1135" s="32"/>
      <c r="J1135" s="32"/>
    </row>
    <row r="1136" spans="6:10" x14ac:dyDescent="0.25">
      <c r="F1136" s="32"/>
      <c r="G1136" s="32" t="s">
        <v>2645</v>
      </c>
      <c r="H1136" s="32" t="s">
        <v>2646</v>
      </c>
      <c r="I1136" s="32" t="s">
        <v>924</v>
      </c>
      <c r="J1136" s="32" t="s">
        <v>925</v>
      </c>
    </row>
    <row r="1137" spans="6:10" x14ac:dyDescent="0.25">
      <c r="F1137" s="32"/>
      <c r="G1137" s="32" t="s">
        <v>2647</v>
      </c>
      <c r="H1137" s="32" t="s">
        <v>2648</v>
      </c>
      <c r="I1137" s="32" t="s">
        <v>924</v>
      </c>
      <c r="J1137" s="32" t="s">
        <v>925</v>
      </c>
    </row>
    <row r="1138" spans="6:10" x14ac:dyDescent="0.25">
      <c r="F1138" s="32"/>
      <c r="G1138" s="32" t="s">
        <v>1479</v>
      </c>
      <c r="H1138" s="32" t="s">
        <v>2649</v>
      </c>
      <c r="I1138" s="32" t="s">
        <v>924</v>
      </c>
      <c r="J1138" s="32" t="s">
        <v>925</v>
      </c>
    </row>
    <row r="1139" spans="6:10" x14ac:dyDescent="0.25">
      <c r="F1139" s="32"/>
      <c r="G1139" s="32" t="s">
        <v>617</v>
      </c>
      <c r="H1139" s="32" t="s">
        <v>2650</v>
      </c>
      <c r="I1139" s="32" t="s">
        <v>924</v>
      </c>
      <c r="J1139" s="32" t="s">
        <v>925</v>
      </c>
    </row>
    <row r="1140" spans="6:10" x14ac:dyDescent="0.25">
      <c r="F1140" s="32"/>
      <c r="G1140" s="32" t="s">
        <v>2651</v>
      </c>
      <c r="H1140" s="32" t="s">
        <v>2652</v>
      </c>
      <c r="I1140" s="32" t="s">
        <v>645</v>
      </c>
      <c r="J1140" s="32" t="s">
        <v>819</v>
      </c>
    </row>
    <row r="1141" spans="6:10" x14ac:dyDescent="0.25">
      <c r="F1141" s="32" t="s">
        <v>539</v>
      </c>
      <c r="G1141" s="32"/>
      <c r="H1141" s="32" t="s">
        <v>2653</v>
      </c>
      <c r="I1141" s="32"/>
      <c r="J1141" s="32"/>
    </row>
    <row r="1142" spans="6:10" x14ac:dyDescent="0.25">
      <c r="F1142" s="32"/>
      <c r="G1142" s="32" t="s">
        <v>2654</v>
      </c>
      <c r="H1142" s="32" t="s">
        <v>2655</v>
      </c>
      <c r="I1142" s="32" t="s">
        <v>924</v>
      </c>
      <c r="J1142" s="32" t="s">
        <v>925</v>
      </c>
    </row>
    <row r="1143" spans="6:10" x14ac:dyDescent="0.25">
      <c r="F1143" s="32"/>
      <c r="G1143" s="32" t="s">
        <v>2656</v>
      </c>
      <c r="H1143" s="32" t="s">
        <v>2657</v>
      </c>
      <c r="I1143" s="32" t="s">
        <v>645</v>
      </c>
      <c r="J1143" s="32" t="s">
        <v>819</v>
      </c>
    </row>
    <row r="1144" spans="6:10" x14ac:dyDescent="0.25">
      <c r="F1144" s="32"/>
      <c r="G1144" s="32" t="s">
        <v>2658</v>
      </c>
      <c r="H1144" s="32" t="s">
        <v>2659</v>
      </c>
      <c r="I1144" s="32" t="s">
        <v>924</v>
      </c>
      <c r="J1144" s="32" t="s">
        <v>925</v>
      </c>
    </row>
    <row r="1145" spans="6:10" x14ac:dyDescent="0.25">
      <c r="F1145" s="32"/>
      <c r="G1145" s="32" t="s">
        <v>3176</v>
      </c>
      <c r="H1145" s="32" t="s">
        <v>2660</v>
      </c>
      <c r="I1145" s="32" t="s">
        <v>924</v>
      </c>
      <c r="J1145" s="32" t="s">
        <v>925</v>
      </c>
    </row>
    <row r="1146" spans="6:10" x14ac:dyDescent="0.25">
      <c r="F1146" s="32"/>
      <c r="G1146" s="32" t="s">
        <v>2661</v>
      </c>
      <c r="H1146" s="32" t="s">
        <v>2662</v>
      </c>
      <c r="I1146" s="32" t="s">
        <v>924</v>
      </c>
      <c r="J1146" s="32" t="s">
        <v>925</v>
      </c>
    </row>
    <row r="1147" spans="6:10" x14ac:dyDescent="0.25">
      <c r="F1147" s="32"/>
      <c r="G1147" s="32" t="s">
        <v>2663</v>
      </c>
      <c r="H1147" s="32" t="s">
        <v>2664</v>
      </c>
      <c r="I1147" s="32" t="s">
        <v>924</v>
      </c>
      <c r="J1147" s="32" t="s">
        <v>925</v>
      </c>
    </row>
    <row r="1148" spans="6:10" x14ac:dyDescent="0.25">
      <c r="F1148" s="32"/>
      <c r="G1148" s="32" t="s">
        <v>2665</v>
      </c>
      <c r="H1148" s="32" t="s">
        <v>2666</v>
      </c>
      <c r="I1148" s="32" t="s">
        <v>924</v>
      </c>
      <c r="J1148" s="32" t="s">
        <v>925</v>
      </c>
    </row>
    <row r="1149" spans="6:10" x14ac:dyDescent="0.25">
      <c r="F1149" s="32"/>
      <c r="G1149" s="32" t="s">
        <v>2667</v>
      </c>
      <c r="H1149" s="32" t="s">
        <v>2668</v>
      </c>
      <c r="I1149" s="32" t="s">
        <v>924</v>
      </c>
      <c r="J1149" s="32" t="s">
        <v>925</v>
      </c>
    </row>
    <row r="1150" spans="6:10" x14ac:dyDescent="0.25">
      <c r="F1150" s="32" t="s">
        <v>460</v>
      </c>
      <c r="G1150" s="32"/>
      <c r="H1150" s="32"/>
      <c r="I1150" s="32"/>
      <c r="J1150" s="32"/>
    </row>
    <row r="1151" spans="6:10" x14ac:dyDescent="0.25">
      <c r="F1151" s="32" t="s">
        <v>540</v>
      </c>
      <c r="G1151" s="32"/>
      <c r="H1151" s="32" t="s">
        <v>2669</v>
      </c>
      <c r="I1151" s="32"/>
      <c r="J1151" s="32"/>
    </row>
    <row r="1152" spans="6:10" x14ac:dyDescent="0.25">
      <c r="F1152" s="32"/>
      <c r="G1152" s="32" t="s">
        <v>2670</v>
      </c>
      <c r="H1152" s="32" t="s">
        <v>2671</v>
      </c>
      <c r="I1152" s="32" t="s">
        <v>645</v>
      </c>
      <c r="J1152" s="32" t="s">
        <v>819</v>
      </c>
    </row>
    <row r="1153" spans="6:10" x14ac:dyDescent="0.25">
      <c r="F1153" s="32"/>
      <c r="G1153" s="32" t="s">
        <v>2672</v>
      </c>
      <c r="H1153" s="32" t="s">
        <v>2673</v>
      </c>
      <c r="I1153" s="32" t="s">
        <v>645</v>
      </c>
      <c r="J1153" s="32" t="s">
        <v>819</v>
      </c>
    </row>
    <row r="1154" spans="6:10" x14ac:dyDescent="0.25">
      <c r="F1154" s="32"/>
      <c r="G1154" s="32" t="s">
        <v>2674</v>
      </c>
      <c r="H1154" s="32" t="s">
        <v>2675</v>
      </c>
      <c r="I1154" s="32" t="s">
        <v>645</v>
      </c>
      <c r="J1154" s="32" t="s">
        <v>819</v>
      </c>
    </row>
    <row r="1155" spans="6:10" x14ac:dyDescent="0.25">
      <c r="F1155" s="32"/>
      <c r="G1155" s="32" t="s">
        <v>2676</v>
      </c>
      <c r="H1155" s="32" t="s">
        <v>2677</v>
      </c>
      <c r="I1155" s="32" t="s">
        <v>645</v>
      </c>
      <c r="J1155" s="32" t="s">
        <v>819</v>
      </c>
    </row>
    <row r="1156" spans="6:10" x14ac:dyDescent="0.25">
      <c r="F1156" s="32"/>
      <c r="G1156" s="32" t="s">
        <v>3280</v>
      </c>
      <c r="H1156" s="32" t="s">
        <v>2678</v>
      </c>
      <c r="I1156" s="32" t="s">
        <v>645</v>
      </c>
      <c r="J1156" s="32" t="s">
        <v>819</v>
      </c>
    </row>
    <row r="1157" spans="6:10" x14ac:dyDescent="0.25">
      <c r="F1157" s="32"/>
      <c r="G1157" s="32" t="s">
        <v>2679</v>
      </c>
      <c r="H1157" s="32" t="s">
        <v>2680</v>
      </c>
      <c r="I1157" s="32" t="s">
        <v>645</v>
      </c>
      <c r="J1157" s="32" t="s">
        <v>819</v>
      </c>
    </row>
    <row r="1158" spans="6:10" x14ac:dyDescent="0.25">
      <c r="F1158" s="32"/>
      <c r="G1158" s="32" t="s">
        <v>2681</v>
      </c>
      <c r="H1158" s="32" t="s">
        <v>2682</v>
      </c>
      <c r="I1158" s="32" t="s">
        <v>645</v>
      </c>
      <c r="J1158" s="32" t="s">
        <v>819</v>
      </c>
    </row>
    <row r="1159" spans="6:10" x14ac:dyDescent="0.25">
      <c r="F1159" s="32"/>
      <c r="G1159" s="32" t="s">
        <v>1721</v>
      </c>
      <c r="H1159" s="32" t="s">
        <v>2683</v>
      </c>
      <c r="I1159" s="32" t="s">
        <v>645</v>
      </c>
      <c r="J1159" s="32" t="s">
        <v>819</v>
      </c>
    </row>
    <row r="1160" spans="6:10" x14ac:dyDescent="0.25">
      <c r="F1160" s="32"/>
      <c r="G1160" s="32" t="s">
        <v>2684</v>
      </c>
      <c r="H1160" s="32" t="s">
        <v>2685</v>
      </c>
      <c r="I1160" s="32" t="s">
        <v>645</v>
      </c>
      <c r="J1160" s="32" t="s">
        <v>819</v>
      </c>
    </row>
    <row r="1161" spans="6:10" x14ac:dyDescent="0.25">
      <c r="F1161" s="32"/>
      <c r="G1161" s="32" t="s">
        <v>2686</v>
      </c>
      <c r="H1161" s="32" t="s">
        <v>2687</v>
      </c>
      <c r="I1161" s="32" t="s">
        <v>645</v>
      </c>
      <c r="J1161" s="32" t="s">
        <v>819</v>
      </c>
    </row>
    <row r="1162" spans="6:10" x14ac:dyDescent="0.25">
      <c r="F1162" s="32"/>
      <c r="G1162" s="32" t="s">
        <v>2688</v>
      </c>
      <c r="H1162" s="32" t="s">
        <v>2689</v>
      </c>
      <c r="I1162" s="32" t="s">
        <v>645</v>
      </c>
      <c r="J1162" s="32" t="s">
        <v>819</v>
      </c>
    </row>
    <row r="1163" spans="6:10" x14ac:dyDescent="0.25">
      <c r="F1163" s="32"/>
      <c r="G1163" s="32" t="s">
        <v>2690</v>
      </c>
      <c r="H1163" s="32" t="s">
        <v>2691</v>
      </c>
      <c r="I1163" s="32" t="s">
        <v>645</v>
      </c>
      <c r="J1163" s="32" t="s">
        <v>819</v>
      </c>
    </row>
    <row r="1164" spans="6:10" x14ac:dyDescent="0.25">
      <c r="F1164" s="32"/>
      <c r="G1164" s="32" t="s">
        <v>2692</v>
      </c>
      <c r="H1164" s="32" t="s">
        <v>2693</v>
      </c>
      <c r="I1164" s="32" t="s">
        <v>645</v>
      </c>
      <c r="J1164" s="32" t="s">
        <v>819</v>
      </c>
    </row>
    <row r="1165" spans="6:10" x14ac:dyDescent="0.25">
      <c r="F1165" s="32"/>
      <c r="G1165" s="32" t="s">
        <v>2694</v>
      </c>
      <c r="H1165" s="32" t="s">
        <v>2695</v>
      </c>
      <c r="I1165" s="32" t="s">
        <v>645</v>
      </c>
      <c r="J1165" s="32" t="s">
        <v>819</v>
      </c>
    </row>
    <row r="1166" spans="6:10" x14ac:dyDescent="0.25">
      <c r="F1166" s="32"/>
      <c r="G1166" s="32" t="s">
        <v>2696</v>
      </c>
      <c r="H1166" s="32" t="s">
        <v>2697</v>
      </c>
      <c r="I1166" s="32" t="s">
        <v>645</v>
      </c>
      <c r="J1166" s="32" t="s">
        <v>819</v>
      </c>
    </row>
    <row r="1167" spans="6:10" x14ac:dyDescent="0.25">
      <c r="F1167" s="32"/>
      <c r="G1167" s="32" t="s">
        <v>2698</v>
      </c>
      <c r="H1167" s="32" t="s">
        <v>2699</v>
      </c>
      <c r="I1167" s="32" t="s">
        <v>645</v>
      </c>
      <c r="J1167" s="32" t="s">
        <v>819</v>
      </c>
    </row>
    <row r="1168" spans="6:10" x14ac:dyDescent="0.25">
      <c r="F1168" s="32"/>
      <c r="G1168" s="32" t="s">
        <v>907</v>
      </c>
      <c r="H1168" s="32" t="s">
        <v>2700</v>
      </c>
      <c r="I1168" s="32" t="s">
        <v>645</v>
      </c>
      <c r="J1168" s="32" t="s">
        <v>819</v>
      </c>
    </row>
    <row r="1169" spans="6:10" x14ac:dyDescent="0.25">
      <c r="F1169" s="32"/>
      <c r="G1169" s="32" t="s">
        <v>2701</v>
      </c>
      <c r="H1169" s="32" t="s">
        <v>2702</v>
      </c>
      <c r="I1169" s="32" t="s">
        <v>645</v>
      </c>
      <c r="J1169" s="32" t="s">
        <v>819</v>
      </c>
    </row>
    <row r="1170" spans="6:10" x14ac:dyDescent="0.25">
      <c r="F1170" s="32"/>
      <c r="G1170" s="32" t="s">
        <v>3990</v>
      </c>
      <c r="H1170" s="32" t="s">
        <v>2703</v>
      </c>
      <c r="I1170" s="32" t="s">
        <v>645</v>
      </c>
      <c r="J1170" s="32" t="s">
        <v>819</v>
      </c>
    </row>
    <row r="1171" spans="6:10" x14ac:dyDescent="0.25">
      <c r="F1171" s="32"/>
      <c r="G1171" s="32" t="s">
        <v>2704</v>
      </c>
      <c r="H1171" s="32" t="s">
        <v>2705</v>
      </c>
      <c r="I1171" s="32" t="s">
        <v>645</v>
      </c>
      <c r="J1171" s="32" t="s">
        <v>819</v>
      </c>
    </row>
    <row r="1172" spans="6:10" x14ac:dyDescent="0.25">
      <c r="F1172" s="32"/>
      <c r="G1172" s="32" t="s">
        <v>2706</v>
      </c>
      <c r="H1172" s="32" t="s">
        <v>2707</v>
      </c>
      <c r="I1172" s="32" t="s">
        <v>645</v>
      </c>
      <c r="J1172" s="32" t="s">
        <v>819</v>
      </c>
    </row>
    <row r="1173" spans="6:10" x14ac:dyDescent="0.25">
      <c r="F1173" s="32"/>
      <c r="G1173" s="32" t="s">
        <v>2708</v>
      </c>
      <c r="H1173" s="32" t="s">
        <v>2709</v>
      </c>
      <c r="I1173" s="32" t="s">
        <v>645</v>
      </c>
      <c r="J1173" s="32" t="s">
        <v>819</v>
      </c>
    </row>
    <row r="1174" spans="6:10" x14ac:dyDescent="0.25">
      <c r="F1174" s="32"/>
      <c r="G1174" s="32" t="s">
        <v>2710</v>
      </c>
      <c r="H1174" s="32" t="s">
        <v>2711</v>
      </c>
      <c r="I1174" s="32" t="s">
        <v>645</v>
      </c>
      <c r="J1174" s="32" t="s">
        <v>819</v>
      </c>
    </row>
    <row r="1175" spans="6:10" x14ac:dyDescent="0.25">
      <c r="F1175" s="32"/>
      <c r="G1175" s="32" t="s">
        <v>2712</v>
      </c>
      <c r="H1175" s="32" t="s">
        <v>2713</v>
      </c>
      <c r="I1175" s="32" t="s">
        <v>645</v>
      </c>
      <c r="J1175" s="32" t="s">
        <v>819</v>
      </c>
    </row>
    <row r="1176" spans="6:10" x14ac:dyDescent="0.25">
      <c r="F1176" s="32"/>
      <c r="G1176" s="32" t="s">
        <v>2714</v>
      </c>
      <c r="H1176" s="32" t="s">
        <v>2715</v>
      </c>
      <c r="I1176" s="32" t="s">
        <v>645</v>
      </c>
      <c r="J1176" s="32" t="s">
        <v>819</v>
      </c>
    </row>
    <row r="1177" spans="6:10" x14ac:dyDescent="0.25">
      <c r="F1177" s="32"/>
      <c r="G1177" s="32" t="s">
        <v>2716</v>
      </c>
      <c r="H1177" s="32" t="s">
        <v>2717</v>
      </c>
      <c r="I1177" s="32" t="s">
        <v>645</v>
      </c>
      <c r="J1177" s="32" t="s">
        <v>819</v>
      </c>
    </row>
    <row r="1178" spans="6:10" x14ac:dyDescent="0.25">
      <c r="F1178" s="32"/>
      <c r="G1178" s="32" t="s">
        <v>2718</v>
      </c>
      <c r="H1178" s="32" t="s">
        <v>2719</v>
      </c>
      <c r="I1178" s="32" t="s">
        <v>645</v>
      </c>
      <c r="J1178" s="32" t="s">
        <v>819</v>
      </c>
    </row>
    <row r="1179" spans="6:10" x14ac:dyDescent="0.25">
      <c r="F1179" s="32"/>
      <c r="G1179" s="32" t="s">
        <v>2720</v>
      </c>
      <c r="H1179" s="32" t="s">
        <v>2721</v>
      </c>
      <c r="I1179" s="32" t="s">
        <v>645</v>
      </c>
      <c r="J1179" s="32" t="s">
        <v>819</v>
      </c>
    </row>
    <row r="1180" spans="6:10" x14ac:dyDescent="0.25">
      <c r="F1180" s="32" t="s">
        <v>541</v>
      </c>
      <c r="G1180" s="32"/>
      <c r="H1180" s="32" t="s">
        <v>2722</v>
      </c>
      <c r="I1180" s="32"/>
      <c r="J1180" s="32"/>
    </row>
    <row r="1181" spans="6:10" x14ac:dyDescent="0.25">
      <c r="F1181" s="32"/>
      <c r="G1181" s="32" t="s">
        <v>1740</v>
      </c>
      <c r="H1181" s="32" t="s">
        <v>2723</v>
      </c>
      <c r="I1181" s="32" t="s">
        <v>645</v>
      </c>
      <c r="J1181" s="32" t="s">
        <v>819</v>
      </c>
    </row>
    <row r="1182" spans="6:10" x14ac:dyDescent="0.25">
      <c r="F1182" s="32"/>
      <c r="G1182" s="32" t="s">
        <v>934</v>
      </c>
      <c r="H1182" s="32" t="s">
        <v>2724</v>
      </c>
      <c r="I1182" s="32" t="s">
        <v>645</v>
      </c>
      <c r="J1182" s="32" t="s">
        <v>819</v>
      </c>
    </row>
    <row r="1183" spans="6:10" x14ac:dyDescent="0.25">
      <c r="F1183" s="32"/>
      <c r="G1183" s="32" t="s">
        <v>2725</v>
      </c>
      <c r="H1183" s="32" t="s">
        <v>2726</v>
      </c>
      <c r="I1183" s="32" t="s">
        <v>645</v>
      </c>
      <c r="J1183" s="32" t="s">
        <v>819</v>
      </c>
    </row>
    <row r="1184" spans="6:10" x14ac:dyDescent="0.25">
      <c r="F1184" s="32"/>
      <c r="G1184" s="32" t="s">
        <v>2727</v>
      </c>
      <c r="H1184" s="32" t="s">
        <v>2728</v>
      </c>
      <c r="I1184" s="32" t="s">
        <v>645</v>
      </c>
      <c r="J1184" s="32" t="s">
        <v>819</v>
      </c>
    </row>
    <row r="1185" spans="6:10" x14ac:dyDescent="0.25">
      <c r="F1185" s="32"/>
      <c r="G1185" s="32" t="s">
        <v>3444</v>
      </c>
      <c r="H1185" s="32" t="s">
        <v>2729</v>
      </c>
      <c r="I1185" s="32" t="s">
        <v>645</v>
      </c>
      <c r="J1185" s="32" t="s">
        <v>819</v>
      </c>
    </row>
    <row r="1186" spans="6:10" x14ac:dyDescent="0.25">
      <c r="F1186" s="32"/>
      <c r="G1186" s="32" t="s">
        <v>2730</v>
      </c>
      <c r="H1186" s="32" t="s">
        <v>2731</v>
      </c>
      <c r="I1186" s="32" t="s">
        <v>645</v>
      </c>
      <c r="J1186" s="32" t="s">
        <v>819</v>
      </c>
    </row>
    <row r="1187" spans="6:10" x14ac:dyDescent="0.25">
      <c r="F1187" s="32"/>
      <c r="G1187" s="32" t="s">
        <v>2732</v>
      </c>
      <c r="H1187" s="32" t="s">
        <v>2733</v>
      </c>
      <c r="I1187" s="32" t="s">
        <v>645</v>
      </c>
      <c r="J1187" s="32" t="s">
        <v>819</v>
      </c>
    </row>
    <row r="1188" spans="6:10" x14ac:dyDescent="0.25">
      <c r="F1188" s="32"/>
      <c r="G1188" s="32" t="s">
        <v>2734</v>
      </c>
      <c r="H1188" s="32" t="s">
        <v>2735</v>
      </c>
      <c r="I1188" s="32" t="s">
        <v>645</v>
      </c>
      <c r="J1188" s="32" t="s">
        <v>819</v>
      </c>
    </row>
    <row r="1189" spans="6:10" x14ac:dyDescent="0.25">
      <c r="F1189" s="32"/>
      <c r="G1189" s="32" t="s">
        <v>668</v>
      </c>
      <c r="H1189" s="32" t="s">
        <v>2736</v>
      </c>
      <c r="I1189" s="32" t="s">
        <v>645</v>
      </c>
      <c r="J1189" s="32" t="s">
        <v>819</v>
      </c>
    </row>
    <row r="1190" spans="6:10" x14ac:dyDescent="0.25">
      <c r="F1190" s="32"/>
      <c r="G1190" s="32" t="s">
        <v>2737</v>
      </c>
      <c r="H1190" s="32" t="s">
        <v>2738</v>
      </c>
      <c r="I1190" s="32" t="s">
        <v>645</v>
      </c>
      <c r="J1190" s="32" t="s">
        <v>819</v>
      </c>
    </row>
    <row r="1191" spans="6:10" x14ac:dyDescent="0.25">
      <c r="F1191" s="32"/>
      <c r="G1191" s="32" t="s">
        <v>2739</v>
      </c>
      <c r="H1191" s="32" t="s">
        <v>2740</v>
      </c>
      <c r="I1191" s="32" t="s">
        <v>645</v>
      </c>
      <c r="J1191" s="32" t="s">
        <v>819</v>
      </c>
    </row>
    <row r="1192" spans="6:10" x14ac:dyDescent="0.25">
      <c r="F1192" s="32"/>
      <c r="G1192" s="32" t="s">
        <v>2741</v>
      </c>
      <c r="H1192" s="32" t="s">
        <v>2742</v>
      </c>
      <c r="I1192" s="32" t="s">
        <v>645</v>
      </c>
      <c r="J1192" s="32" t="s">
        <v>819</v>
      </c>
    </row>
    <row r="1193" spans="6:10" x14ac:dyDescent="0.25">
      <c r="F1193" s="32"/>
      <c r="G1193" s="32" t="s">
        <v>2743</v>
      </c>
      <c r="H1193" s="32" t="s">
        <v>2744</v>
      </c>
      <c r="I1193" s="32" t="s">
        <v>645</v>
      </c>
      <c r="J1193" s="32" t="s">
        <v>819</v>
      </c>
    </row>
    <row r="1194" spans="6:10" x14ac:dyDescent="0.25">
      <c r="F1194" s="32"/>
      <c r="G1194" s="32" t="s">
        <v>2745</v>
      </c>
      <c r="H1194" s="32" t="s">
        <v>2746</v>
      </c>
      <c r="I1194" s="32" t="s">
        <v>645</v>
      </c>
      <c r="J1194" s="32" t="s">
        <v>819</v>
      </c>
    </row>
    <row r="1195" spans="6:10" x14ac:dyDescent="0.25">
      <c r="F1195" s="32"/>
      <c r="G1195" s="32" t="s">
        <v>2747</v>
      </c>
      <c r="H1195" s="32" t="s">
        <v>2748</v>
      </c>
      <c r="I1195" s="32" t="s">
        <v>645</v>
      </c>
      <c r="J1195" s="32" t="s">
        <v>819</v>
      </c>
    </row>
    <row r="1196" spans="6:10" x14ac:dyDescent="0.25">
      <c r="F1196" s="32" t="s">
        <v>542</v>
      </c>
      <c r="G1196" s="32"/>
      <c r="H1196" s="32" t="s">
        <v>2749</v>
      </c>
      <c r="I1196" s="32"/>
      <c r="J1196" s="32"/>
    </row>
    <row r="1197" spans="6:10" x14ac:dyDescent="0.25">
      <c r="F1197" s="32"/>
      <c r="G1197" s="32" t="s">
        <v>2750</v>
      </c>
      <c r="H1197" s="32" t="s">
        <v>2751</v>
      </c>
      <c r="I1197" s="32" t="s">
        <v>688</v>
      </c>
      <c r="J1197" s="32" t="s">
        <v>688</v>
      </c>
    </row>
    <row r="1198" spans="6:10" x14ac:dyDescent="0.25">
      <c r="F1198" s="32"/>
      <c r="G1198" s="32" t="s">
        <v>2752</v>
      </c>
      <c r="H1198" s="32" t="s">
        <v>2753</v>
      </c>
      <c r="I1198" s="32" t="s">
        <v>688</v>
      </c>
      <c r="J1198" s="32" t="s">
        <v>688</v>
      </c>
    </row>
    <row r="1199" spans="6:10" x14ac:dyDescent="0.25">
      <c r="F1199" s="32"/>
      <c r="G1199" s="32" t="s">
        <v>2754</v>
      </c>
      <c r="H1199" s="32" t="s">
        <v>2755</v>
      </c>
      <c r="I1199" s="32" t="s">
        <v>688</v>
      </c>
      <c r="J1199" s="32" t="s">
        <v>688</v>
      </c>
    </row>
    <row r="1200" spans="6:10" x14ac:dyDescent="0.25">
      <c r="F1200" s="32"/>
      <c r="G1200" s="32" t="s">
        <v>2756</v>
      </c>
      <c r="H1200" s="32" t="s">
        <v>2757</v>
      </c>
      <c r="I1200" s="32" t="s">
        <v>688</v>
      </c>
      <c r="J1200" s="32" t="s">
        <v>688</v>
      </c>
    </row>
    <row r="1201" spans="6:10" x14ac:dyDescent="0.25">
      <c r="F1201" s="32"/>
      <c r="G1201" s="32" t="s">
        <v>2758</v>
      </c>
      <c r="H1201" s="32" t="s">
        <v>2759</v>
      </c>
      <c r="I1201" s="32" t="s">
        <v>688</v>
      </c>
      <c r="J1201" s="32" t="s">
        <v>688</v>
      </c>
    </row>
    <row r="1202" spans="6:10" x14ac:dyDescent="0.25">
      <c r="F1202" s="32"/>
      <c r="G1202" s="32" t="s">
        <v>2760</v>
      </c>
      <c r="H1202" s="32" t="s">
        <v>2761</v>
      </c>
      <c r="I1202" s="32" t="s">
        <v>688</v>
      </c>
      <c r="J1202" s="32" t="s">
        <v>688</v>
      </c>
    </row>
    <row r="1203" spans="6:10" x14ac:dyDescent="0.25">
      <c r="F1203" s="32" t="s">
        <v>543</v>
      </c>
      <c r="G1203" s="32"/>
      <c r="H1203" s="32" t="s">
        <v>2762</v>
      </c>
      <c r="I1203" s="32"/>
      <c r="J1203" s="32"/>
    </row>
    <row r="1204" spans="6:10" x14ac:dyDescent="0.25">
      <c r="F1204" s="32"/>
      <c r="G1204" s="32" t="s">
        <v>2763</v>
      </c>
      <c r="H1204" s="32" t="s">
        <v>2764</v>
      </c>
      <c r="I1204" s="32" t="s">
        <v>645</v>
      </c>
      <c r="J1204" s="32" t="s">
        <v>819</v>
      </c>
    </row>
    <row r="1205" spans="6:10" x14ac:dyDescent="0.25">
      <c r="F1205" s="32"/>
      <c r="G1205" s="32" t="s">
        <v>2765</v>
      </c>
      <c r="H1205" s="32" t="s">
        <v>2766</v>
      </c>
      <c r="I1205" s="32" t="s">
        <v>645</v>
      </c>
      <c r="J1205" s="32" t="s">
        <v>819</v>
      </c>
    </row>
    <row r="1206" spans="6:10" x14ac:dyDescent="0.25">
      <c r="F1206" s="32"/>
      <c r="G1206" s="32" t="s">
        <v>2767</v>
      </c>
      <c r="H1206" s="32" t="s">
        <v>2768</v>
      </c>
      <c r="I1206" s="32" t="s">
        <v>645</v>
      </c>
      <c r="J1206" s="32" t="s">
        <v>819</v>
      </c>
    </row>
    <row r="1207" spans="6:10" x14ac:dyDescent="0.25">
      <c r="F1207" s="32"/>
      <c r="G1207" s="32" t="s">
        <v>2769</v>
      </c>
      <c r="H1207" s="32" t="s">
        <v>2770</v>
      </c>
      <c r="I1207" s="32" t="s">
        <v>645</v>
      </c>
      <c r="J1207" s="32" t="s">
        <v>819</v>
      </c>
    </row>
    <row r="1208" spans="6:10" x14ac:dyDescent="0.25">
      <c r="F1208" s="32"/>
      <c r="G1208" s="32" t="s">
        <v>2771</v>
      </c>
      <c r="H1208" s="32" t="s">
        <v>2772</v>
      </c>
      <c r="I1208" s="32" t="s">
        <v>645</v>
      </c>
      <c r="J1208" s="32" t="s">
        <v>819</v>
      </c>
    </row>
    <row r="1209" spans="6:10" x14ac:dyDescent="0.25">
      <c r="F1209" s="32"/>
      <c r="G1209" s="32" t="s">
        <v>2773</v>
      </c>
      <c r="H1209" s="32" t="s">
        <v>2774</v>
      </c>
      <c r="I1209" s="32" t="s">
        <v>645</v>
      </c>
      <c r="J1209" s="32" t="s">
        <v>819</v>
      </c>
    </row>
    <row r="1210" spans="6:10" x14ac:dyDescent="0.25">
      <c r="F1210" s="32"/>
      <c r="G1210" s="32" t="s">
        <v>2775</v>
      </c>
      <c r="H1210" s="32" t="s">
        <v>2776</v>
      </c>
      <c r="I1210" s="32" t="s">
        <v>645</v>
      </c>
      <c r="J1210" s="32" t="s">
        <v>819</v>
      </c>
    </row>
    <row r="1211" spans="6:10" x14ac:dyDescent="0.25">
      <c r="F1211" s="32"/>
      <c r="G1211" s="32" t="s">
        <v>2777</v>
      </c>
      <c r="H1211" s="32" t="s">
        <v>2778</v>
      </c>
      <c r="I1211" s="32" t="s">
        <v>645</v>
      </c>
      <c r="J1211" s="32" t="s">
        <v>819</v>
      </c>
    </row>
    <row r="1212" spans="6:10" x14ac:dyDescent="0.25">
      <c r="F1212" s="32"/>
      <c r="G1212" s="32" t="s">
        <v>2779</v>
      </c>
      <c r="H1212" s="32" t="s">
        <v>2780</v>
      </c>
      <c r="I1212" s="32" t="s">
        <v>645</v>
      </c>
      <c r="J1212" s="32" t="s">
        <v>819</v>
      </c>
    </row>
    <row r="1213" spans="6:10" x14ac:dyDescent="0.25">
      <c r="F1213" s="32"/>
      <c r="G1213" s="32" t="s">
        <v>2781</v>
      </c>
      <c r="H1213" s="32" t="s">
        <v>2782</v>
      </c>
      <c r="I1213" s="32" t="s">
        <v>645</v>
      </c>
      <c r="J1213" s="32" t="s">
        <v>819</v>
      </c>
    </row>
    <row r="1214" spans="6:10" x14ac:dyDescent="0.25">
      <c r="F1214" s="32"/>
      <c r="G1214" s="32" t="s">
        <v>2783</v>
      </c>
      <c r="H1214" s="32" t="s">
        <v>2784</v>
      </c>
      <c r="I1214" s="32" t="s">
        <v>645</v>
      </c>
      <c r="J1214" s="32" t="s">
        <v>819</v>
      </c>
    </row>
    <row r="1215" spans="6:10" x14ac:dyDescent="0.25">
      <c r="F1215" s="32"/>
      <c r="G1215" s="32" t="s">
        <v>2785</v>
      </c>
      <c r="H1215" s="32" t="s">
        <v>2786</v>
      </c>
      <c r="I1215" s="32" t="s">
        <v>645</v>
      </c>
      <c r="J1215" s="32" t="s">
        <v>819</v>
      </c>
    </row>
    <row r="1216" spans="6:10" x14ac:dyDescent="0.25">
      <c r="F1216" s="32"/>
      <c r="G1216" s="32" t="s">
        <v>2787</v>
      </c>
      <c r="H1216" s="32" t="s">
        <v>2788</v>
      </c>
      <c r="I1216" s="32" t="s">
        <v>645</v>
      </c>
      <c r="J1216" s="32" t="s">
        <v>819</v>
      </c>
    </row>
    <row r="1217" spans="6:10" x14ac:dyDescent="0.25">
      <c r="F1217" s="32"/>
      <c r="G1217" s="32" t="s">
        <v>2789</v>
      </c>
      <c r="H1217" s="32" t="s">
        <v>2790</v>
      </c>
      <c r="I1217" s="32" t="s">
        <v>645</v>
      </c>
      <c r="J1217" s="32" t="s">
        <v>819</v>
      </c>
    </row>
    <row r="1218" spans="6:10" x14ac:dyDescent="0.25">
      <c r="F1218" s="32"/>
      <c r="G1218" s="32" t="s">
        <v>2791</v>
      </c>
      <c r="H1218" s="32" t="s">
        <v>2792</v>
      </c>
      <c r="I1218" s="32" t="s">
        <v>645</v>
      </c>
      <c r="J1218" s="32" t="s">
        <v>819</v>
      </c>
    </row>
    <row r="1219" spans="6:10" x14ac:dyDescent="0.25">
      <c r="F1219" s="32"/>
      <c r="G1219" s="32" t="s">
        <v>2793</v>
      </c>
      <c r="H1219" s="32" t="s">
        <v>2794</v>
      </c>
      <c r="I1219" s="32" t="s">
        <v>645</v>
      </c>
      <c r="J1219" s="32" t="s">
        <v>819</v>
      </c>
    </row>
    <row r="1220" spans="6:10" x14ac:dyDescent="0.25">
      <c r="F1220" s="32"/>
      <c r="G1220" s="32" t="s">
        <v>2795</v>
      </c>
      <c r="H1220" s="32" t="s">
        <v>2796</v>
      </c>
      <c r="I1220" s="32" t="s">
        <v>645</v>
      </c>
      <c r="J1220" s="32" t="s">
        <v>819</v>
      </c>
    </row>
    <row r="1221" spans="6:10" x14ac:dyDescent="0.25">
      <c r="F1221" s="32"/>
      <c r="G1221" s="32" t="s">
        <v>2797</v>
      </c>
      <c r="H1221" s="32" t="s">
        <v>2798</v>
      </c>
      <c r="I1221" s="32" t="s">
        <v>645</v>
      </c>
      <c r="J1221" s="32" t="s">
        <v>819</v>
      </c>
    </row>
    <row r="1222" spans="6:10" x14ac:dyDescent="0.25">
      <c r="F1222" s="32"/>
      <c r="G1222" s="32" t="s">
        <v>2799</v>
      </c>
      <c r="H1222" s="32" t="s">
        <v>2800</v>
      </c>
      <c r="I1222" s="32" t="s">
        <v>688</v>
      </c>
      <c r="J1222" s="32" t="s">
        <v>688</v>
      </c>
    </row>
    <row r="1223" spans="6:10" x14ac:dyDescent="0.25">
      <c r="F1223" s="32"/>
      <c r="G1223" s="32" t="s">
        <v>2801</v>
      </c>
      <c r="H1223" s="32" t="s">
        <v>2802</v>
      </c>
      <c r="I1223" s="32" t="s">
        <v>645</v>
      </c>
      <c r="J1223" s="32" t="s">
        <v>819</v>
      </c>
    </row>
    <row r="1224" spans="6:10" x14ac:dyDescent="0.25">
      <c r="F1224" s="32"/>
      <c r="G1224" s="32" t="s">
        <v>2803</v>
      </c>
      <c r="H1224" s="32" t="s">
        <v>2804</v>
      </c>
      <c r="I1224" s="32" t="s">
        <v>645</v>
      </c>
      <c r="J1224" s="32" t="s">
        <v>819</v>
      </c>
    </row>
    <row r="1225" spans="6:10" x14ac:dyDescent="0.25">
      <c r="F1225" s="32"/>
      <c r="G1225" s="32" t="s">
        <v>2805</v>
      </c>
      <c r="H1225" s="32" t="s">
        <v>2806</v>
      </c>
      <c r="I1225" s="32" t="s">
        <v>645</v>
      </c>
      <c r="J1225" s="32" t="s">
        <v>819</v>
      </c>
    </row>
    <row r="1226" spans="6:10" x14ac:dyDescent="0.25">
      <c r="F1226" s="32"/>
      <c r="G1226" s="32" t="s">
        <v>2883</v>
      </c>
      <c r="H1226" s="32" t="s">
        <v>2807</v>
      </c>
      <c r="I1226" s="32" t="s">
        <v>645</v>
      </c>
      <c r="J1226" s="32" t="s">
        <v>819</v>
      </c>
    </row>
    <row r="1227" spans="6:10" x14ac:dyDescent="0.25">
      <c r="F1227" s="32"/>
      <c r="G1227" s="32" t="s">
        <v>2808</v>
      </c>
      <c r="H1227" s="32" t="s">
        <v>2809</v>
      </c>
      <c r="I1227" s="32" t="s">
        <v>645</v>
      </c>
      <c r="J1227" s="32" t="s">
        <v>819</v>
      </c>
    </row>
    <row r="1228" spans="6:10" x14ac:dyDescent="0.25">
      <c r="F1228" s="32"/>
      <c r="G1228" s="32" t="s">
        <v>2810</v>
      </c>
      <c r="H1228" s="32" t="s">
        <v>2811</v>
      </c>
      <c r="I1228" s="32" t="s">
        <v>645</v>
      </c>
      <c r="J1228" s="32" t="s">
        <v>819</v>
      </c>
    </row>
    <row r="1229" spans="6:10" x14ac:dyDescent="0.25">
      <c r="F1229" s="32"/>
      <c r="G1229" s="32" t="s">
        <v>2812</v>
      </c>
      <c r="H1229" s="32" t="s">
        <v>2813</v>
      </c>
      <c r="I1229" s="32" t="s">
        <v>645</v>
      </c>
      <c r="J1229" s="32" t="s">
        <v>819</v>
      </c>
    </row>
    <row r="1230" spans="6:10" x14ac:dyDescent="0.25">
      <c r="F1230" s="32"/>
      <c r="G1230" s="32" t="s">
        <v>2814</v>
      </c>
      <c r="H1230" s="32" t="s">
        <v>2815</v>
      </c>
      <c r="I1230" s="32" t="s">
        <v>645</v>
      </c>
      <c r="J1230" s="32" t="s">
        <v>819</v>
      </c>
    </row>
    <row r="1231" spans="6:10" x14ac:dyDescent="0.25">
      <c r="F1231" s="32"/>
      <c r="G1231" s="32" t="s">
        <v>2816</v>
      </c>
      <c r="H1231" s="32" t="s">
        <v>2817</v>
      </c>
      <c r="I1231" s="32" t="s">
        <v>645</v>
      </c>
      <c r="J1231" s="32" t="s">
        <v>819</v>
      </c>
    </row>
    <row r="1232" spans="6:10" x14ac:dyDescent="0.25">
      <c r="F1232" s="32"/>
      <c r="G1232" s="32" t="s">
        <v>2818</v>
      </c>
      <c r="H1232" s="32" t="s">
        <v>2819</v>
      </c>
      <c r="I1232" s="32" t="s">
        <v>645</v>
      </c>
      <c r="J1232" s="32" t="s">
        <v>819</v>
      </c>
    </row>
    <row r="1233" spans="6:10" x14ac:dyDescent="0.25">
      <c r="F1233" s="32"/>
      <c r="G1233" s="32" t="s">
        <v>2820</v>
      </c>
      <c r="H1233" s="32" t="s">
        <v>2821</v>
      </c>
      <c r="I1233" s="32" t="s">
        <v>645</v>
      </c>
      <c r="J1233" s="32" t="s">
        <v>819</v>
      </c>
    </row>
    <row r="1234" spans="6:10" x14ac:dyDescent="0.25">
      <c r="F1234" s="32"/>
      <c r="G1234" s="32" t="s">
        <v>2822</v>
      </c>
      <c r="H1234" s="32" t="s">
        <v>2823</v>
      </c>
      <c r="I1234" s="32" t="s">
        <v>645</v>
      </c>
      <c r="J1234" s="32" t="s">
        <v>819</v>
      </c>
    </row>
    <row r="1235" spans="6:10" x14ac:dyDescent="0.25">
      <c r="F1235" s="32"/>
      <c r="G1235" s="32" t="s">
        <v>2824</v>
      </c>
      <c r="H1235" s="32" t="s">
        <v>2825</v>
      </c>
      <c r="I1235" s="32" t="s">
        <v>645</v>
      </c>
      <c r="J1235" s="32" t="s">
        <v>819</v>
      </c>
    </row>
    <row r="1236" spans="6:10" x14ac:dyDescent="0.25">
      <c r="F1236" s="32"/>
      <c r="G1236" s="32" t="s">
        <v>2891</v>
      </c>
      <c r="H1236" s="32" t="s">
        <v>2826</v>
      </c>
      <c r="I1236" s="32" t="s">
        <v>645</v>
      </c>
      <c r="J1236" s="32" t="s">
        <v>819</v>
      </c>
    </row>
    <row r="1237" spans="6:10" x14ac:dyDescent="0.25">
      <c r="F1237" s="32"/>
      <c r="G1237" s="32" t="s">
        <v>3428</v>
      </c>
      <c r="H1237" s="32" t="s">
        <v>2827</v>
      </c>
      <c r="I1237" s="32" t="s">
        <v>645</v>
      </c>
      <c r="J1237" s="32" t="s">
        <v>819</v>
      </c>
    </row>
    <row r="1238" spans="6:10" x14ac:dyDescent="0.25">
      <c r="F1238" s="32" t="s">
        <v>4611</v>
      </c>
      <c r="G1238" s="32"/>
      <c r="H1238" s="32" t="s">
        <v>2828</v>
      </c>
      <c r="I1238" s="32"/>
      <c r="J1238" s="32"/>
    </row>
    <row r="1239" spans="6:10" x14ac:dyDescent="0.25">
      <c r="F1239" s="32"/>
      <c r="G1239" s="32" t="s">
        <v>2829</v>
      </c>
      <c r="H1239" s="32" t="s">
        <v>2830</v>
      </c>
      <c r="I1239" s="32" t="s">
        <v>645</v>
      </c>
      <c r="J1239" s="32" t="s">
        <v>819</v>
      </c>
    </row>
    <row r="1240" spans="6:10" x14ac:dyDescent="0.25">
      <c r="F1240" s="32"/>
      <c r="G1240" s="32" t="s">
        <v>2831</v>
      </c>
      <c r="H1240" s="32" t="s">
        <v>2832</v>
      </c>
      <c r="I1240" s="32" t="s">
        <v>645</v>
      </c>
      <c r="J1240" s="32" t="s">
        <v>819</v>
      </c>
    </row>
    <row r="1241" spans="6:10" x14ac:dyDescent="0.25">
      <c r="F1241" s="32"/>
      <c r="G1241" s="32" t="s">
        <v>2833</v>
      </c>
      <c r="H1241" s="32" t="s">
        <v>2834</v>
      </c>
      <c r="I1241" s="32" t="s">
        <v>645</v>
      </c>
      <c r="J1241" s="32" t="s">
        <v>819</v>
      </c>
    </row>
    <row r="1242" spans="6:10" x14ac:dyDescent="0.25">
      <c r="F1242" s="32"/>
      <c r="G1242" s="32" t="s">
        <v>2835</v>
      </c>
      <c r="H1242" s="32" t="s">
        <v>2836</v>
      </c>
      <c r="I1242" s="32" t="s">
        <v>645</v>
      </c>
      <c r="J1242" s="32" t="s">
        <v>819</v>
      </c>
    </row>
    <row r="1243" spans="6:10" x14ac:dyDescent="0.25">
      <c r="F1243" s="32" t="s">
        <v>545</v>
      </c>
      <c r="G1243" s="32"/>
      <c r="H1243" s="32" t="s">
        <v>2837</v>
      </c>
      <c r="I1243" s="32"/>
      <c r="J1243" s="32"/>
    </row>
    <row r="1244" spans="6:10" x14ac:dyDescent="0.25">
      <c r="F1244" s="32"/>
      <c r="G1244" s="32" t="s">
        <v>2838</v>
      </c>
      <c r="H1244" s="32" t="s">
        <v>2839</v>
      </c>
      <c r="I1244" s="32" t="s">
        <v>688</v>
      </c>
      <c r="J1244" s="32" t="s">
        <v>688</v>
      </c>
    </row>
    <row r="1245" spans="6:10" x14ac:dyDescent="0.25">
      <c r="F1245" s="32"/>
      <c r="G1245" s="32" t="s">
        <v>2840</v>
      </c>
      <c r="H1245" s="32" t="s">
        <v>2841</v>
      </c>
      <c r="I1245" s="32" t="s">
        <v>688</v>
      </c>
      <c r="J1245" s="32" t="s">
        <v>688</v>
      </c>
    </row>
    <row r="1246" spans="6:10" x14ac:dyDescent="0.25">
      <c r="F1246" s="32"/>
      <c r="G1246" s="32" t="s">
        <v>2842</v>
      </c>
      <c r="H1246" s="32" t="s">
        <v>2843</v>
      </c>
      <c r="I1246" s="32" t="s">
        <v>688</v>
      </c>
      <c r="J1246" s="32" t="s">
        <v>688</v>
      </c>
    </row>
    <row r="1247" spans="6:10" x14ac:dyDescent="0.25">
      <c r="F1247" s="32"/>
      <c r="G1247" s="32" t="s">
        <v>2844</v>
      </c>
      <c r="H1247" s="32" t="s">
        <v>2845</v>
      </c>
      <c r="I1247" s="32" t="s">
        <v>688</v>
      </c>
      <c r="J1247" s="32" t="s">
        <v>688</v>
      </c>
    </row>
    <row r="1248" spans="6:10" x14ac:dyDescent="0.25">
      <c r="F1248" s="32"/>
      <c r="G1248" s="32" t="s">
        <v>2846</v>
      </c>
      <c r="H1248" s="32" t="s">
        <v>2847</v>
      </c>
      <c r="I1248" s="32" t="s">
        <v>688</v>
      </c>
      <c r="J1248" s="32" t="s">
        <v>688</v>
      </c>
    </row>
    <row r="1249" spans="6:10" x14ac:dyDescent="0.25">
      <c r="F1249" s="32"/>
      <c r="G1249" s="32" t="s">
        <v>2848</v>
      </c>
      <c r="H1249" s="32" t="s">
        <v>2849</v>
      </c>
      <c r="I1249" s="32" t="s">
        <v>688</v>
      </c>
      <c r="J1249" s="32" t="s">
        <v>688</v>
      </c>
    </row>
    <row r="1250" spans="6:10" x14ac:dyDescent="0.25">
      <c r="F1250" s="32"/>
      <c r="G1250" s="32" t="s">
        <v>2850</v>
      </c>
      <c r="H1250" s="32" t="s">
        <v>2851</v>
      </c>
      <c r="I1250" s="32" t="s">
        <v>688</v>
      </c>
      <c r="J1250" s="32" t="s">
        <v>688</v>
      </c>
    </row>
    <row r="1251" spans="6:10" x14ac:dyDescent="0.25">
      <c r="F1251" s="32"/>
      <c r="G1251" s="32" t="s">
        <v>2852</v>
      </c>
      <c r="H1251" s="32" t="s">
        <v>2853</v>
      </c>
      <c r="I1251" s="32" t="s">
        <v>688</v>
      </c>
      <c r="J1251" s="32" t="s">
        <v>688</v>
      </c>
    </row>
    <row r="1252" spans="6:10" x14ac:dyDescent="0.25">
      <c r="F1252" s="32"/>
      <c r="G1252" s="32" t="s">
        <v>2854</v>
      </c>
      <c r="H1252" s="32" t="s">
        <v>2855</v>
      </c>
      <c r="I1252" s="32" t="s">
        <v>688</v>
      </c>
      <c r="J1252" s="32" t="s">
        <v>688</v>
      </c>
    </row>
    <row r="1253" spans="6:10" x14ac:dyDescent="0.25">
      <c r="F1253" s="32" t="s">
        <v>546</v>
      </c>
      <c r="G1253" s="32"/>
      <c r="H1253" s="32" t="s">
        <v>2856</v>
      </c>
      <c r="I1253" s="32"/>
      <c r="J1253" s="32"/>
    </row>
    <row r="1254" spans="6:10" x14ac:dyDescent="0.25">
      <c r="F1254" s="32"/>
      <c r="G1254" s="32" t="s">
        <v>2857</v>
      </c>
      <c r="H1254" s="32" t="s">
        <v>2858</v>
      </c>
      <c r="I1254" s="32" t="s">
        <v>645</v>
      </c>
      <c r="J1254" s="32" t="s">
        <v>819</v>
      </c>
    </row>
    <row r="1255" spans="6:10" x14ac:dyDescent="0.25">
      <c r="F1255" s="32"/>
      <c r="G1255" s="32" t="s">
        <v>522</v>
      </c>
      <c r="H1255" s="32" t="s">
        <v>2859</v>
      </c>
      <c r="I1255" s="32" t="s">
        <v>645</v>
      </c>
      <c r="J1255" s="32" t="s">
        <v>819</v>
      </c>
    </row>
    <row r="1256" spans="6:10" x14ac:dyDescent="0.25">
      <c r="F1256" s="32"/>
      <c r="G1256" s="32" t="s">
        <v>2860</v>
      </c>
      <c r="H1256" s="32" t="s">
        <v>2861</v>
      </c>
      <c r="I1256" s="32" t="s">
        <v>645</v>
      </c>
      <c r="J1256" s="32" t="s">
        <v>819</v>
      </c>
    </row>
    <row r="1257" spans="6:10" x14ac:dyDescent="0.25">
      <c r="F1257" s="32"/>
      <c r="G1257" s="32" t="s">
        <v>2862</v>
      </c>
      <c r="H1257" s="32" t="s">
        <v>2863</v>
      </c>
      <c r="I1257" s="32" t="s">
        <v>645</v>
      </c>
      <c r="J1257" s="32" t="s">
        <v>819</v>
      </c>
    </row>
    <row r="1258" spans="6:10" x14ac:dyDescent="0.25">
      <c r="F1258" s="32"/>
      <c r="G1258" s="32" t="s">
        <v>612</v>
      </c>
      <c r="H1258" s="32" t="s">
        <v>2864</v>
      </c>
      <c r="I1258" s="32" t="s">
        <v>645</v>
      </c>
      <c r="J1258" s="32" t="s">
        <v>819</v>
      </c>
    </row>
    <row r="1259" spans="6:10" x14ac:dyDescent="0.25">
      <c r="F1259" s="32"/>
      <c r="G1259" s="32" t="s">
        <v>4253</v>
      </c>
      <c r="H1259" s="32" t="s">
        <v>2865</v>
      </c>
      <c r="I1259" s="32" t="s">
        <v>645</v>
      </c>
      <c r="J1259" s="32" t="s">
        <v>819</v>
      </c>
    </row>
    <row r="1260" spans="6:10" x14ac:dyDescent="0.25">
      <c r="F1260" s="32"/>
      <c r="G1260" s="32" t="s">
        <v>2866</v>
      </c>
      <c r="H1260" s="32" t="s">
        <v>2867</v>
      </c>
      <c r="I1260" s="32" t="s">
        <v>645</v>
      </c>
      <c r="J1260" s="32" t="s">
        <v>819</v>
      </c>
    </row>
    <row r="1261" spans="6:10" x14ac:dyDescent="0.25">
      <c r="F1261" s="32"/>
      <c r="G1261" s="32" t="s">
        <v>2868</v>
      </c>
      <c r="H1261" s="32" t="s">
        <v>2869</v>
      </c>
      <c r="I1261" s="32" t="s">
        <v>645</v>
      </c>
      <c r="J1261" s="32" t="s">
        <v>819</v>
      </c>
    </row>
    <row r="1262" spans="6:10" x14ac:dyDescent="0.25">
      <c r="F1262" s="32"/>
      <c r="G1262" s="32" t="s">
        <v>2870</v>
      </c>
      <c r="H1262" s="32" t="s">
        <v>2871</v>
      </c>
      <c r="I1262" s="32" t="s">
        <v>645</v>
      </c>
      <c r="J1262" s="32" t="s">
        <v>819</v>
      </c>
    </row>
    <row r="1263" spans="6:10" x14ac:dyDescent="0.25">
      <c r="F1263" s="32" t="s">
        <v>547</v>
      </c>
      <c r="G1263" s="32"/>
      <c r="H1263" s="32" t="s">
        <v>2872</v>
      </c>
      <c r="I1263" s="32"/>
      <c r="J1263" s="32"/>
    </row>
    <row r="1264" spans="6:10" x14ac:dyDescent="0.25">
      <c r="F1264" s="32"/>
      <c r="G1264" s="32" t="s">
        <v>2873</v>
      </c>
      <c r="H1264" s="32" t="s">
        <v>2874</v>
      </c>
      <c r="I1264" s="32" t="s">
        <v>645</v>
      </c>
      <c r="J1264" s="32" t="s">
        <v>819</v>
      </c>
    </row>
    <row r="1265" spans="6:10" x14ac:dyDescent="0.25">
      <c r="F1265" s="32"/>
      <c r="G1265" s="32" t="s">
        <v>2875</v>
      </c>
      <c r="H1265" s="32" t="s">
        <v>2876</v>
      </c>
      <c r="I1265" s="32" t="s">
        <v>645</v>
      </c>
      <c r="J1265" s="32" t="s">
        <v>819</v>
      </c>
    </row>
    <row r="1266" spans="6:10" x14ac:dyDescent="0.25">
      <c r="F1266" s="32"/>
      <c r="G1266" s="32" t="s">
        <v>2877</v>
      </c>
      <c r="H1266" s="32" t="s">
        <v>2878</v>
      </c>
      <c r="I1266" s="32" t="s">
        <v>645</v>
      </c>
      <c r="J1266" s="32" t="s">
        <v>819</v>
      </c>
    </row>
    <row r="1267" spans="6:10" x14ac:dyDescent="0.25">
      <c r="F1267" s="32"/>
      <c r="G1267" s="32" t="s">
        <v>2879</v>
      </c>
      <c r="H1267" s="32" t="s">
        <v>2880</v>
      </c>
      <c r="I1267" s="32" t="s">
        <v>645</v>
      </c>
      <c r="J1267" s="32" t="s">
        <v>819</v>
      </c>
    </row>
    <row r="1268" spans="6:10" x14ac:dyDescent="0.25">
      <c r="F1268" s="32"/>
      <c r="G1268" s="32" t="s">
        <v>2881</v>
      </c>
      <c r="H1268" s="32" t="s">
        <v>2882</v>
      </c>
      <c r="I1268" s="32" t="s">
        <v>645</v>
      </c>
      <c r="J1268" s="32" t="s">
        <v>819</v>
      </c>
    </row>
    <row r="1269" spans="6:10" x14ac:dyDescent="0.25">
      <c r="F1269" s="32"/>
      <c r="G1269" s="32" t="s">
        <v>2883</v>
      </c>
      <c r="H1269" s="32" t="s">
        <v>2884</v>
      </c>
      <c r="I1269" s="32" t="s">
        <v>645</v>
      </c>
      <c r="J1269" s="32" t="s">
        <v>819</v>
      </c>
    </row>
    <row r="1270" spans="6:10" x14ac:dyDescent="0.25">
      <c r="F1270" s="32"/>
      <c r="G1270" s="32" t="s">
        <v>2885</v>
      </c>
      <c r="H1270" s="32" t="s">
        <v>2886</v>
      </c>
      <c r="I1270" s="32" t="s">
        <v>645</v>
      </c>
      <c r="J1270" s="32" t="s">
        <v>819</v>
      </c>
    </row>
    <row r="1271" spans="6:10" x14ac:dyDescent="0.25">
      <c r="F1271" s="32"/>
      <c r="G1271" s="32" t="s">
        <v>2887</v>
      </c>
      <c r="H1271" s="32" t="s">
        <v>2888</v>
      </c>
      <c r="I1271" s="32" t="s">
        <v>645</v>
      </c>
      <c r="J1271" s="32" t="s">
        <v>819</v>
      </c>
    </row>
    <row r="1272" spans="6:10" x14ac:dyDescent="0.25">
      <c r="F1272" s="32"/>
      <c r="G1272" s="32" t="s">
        <v>2889</v>
      </c>
      <c r="H1272" s="32" t="s">
        <v>2890</v>
      </c>
      <c r="I1272" s="32" t="s">
        <v>645</v>
      </c>
      <c r="J1272" s="32" t="s">
        <v>819</v>
      </c>
    </row>
    <row r="1273" spans="6:10" x14ac:dyDescent="0.25">
      <c r="F1273" s="32"/>
      <c r="G1273" s="32" t="s">
        <v>2891</v>
      </c>
      <c r="H1273" s="32" t="s">
        <v>2892</v>
      </c>
      <c r="I1273" s="32" t="s">
        <v>645</v>
      </c>
      <c r="J1273" s="32" t="s">
        <v>819</v>
      </c>
    </row>
    <row r="1274" spans="6:10" x14ac:dyDescent="0.25">
      <c r="F1274" s="32" t="s">
        <v>548</v>
      </c>
      <c r="G1274" s="32"/>
      <c r="H1274" s="32" t="s">
        <v>2893</v>
      </c>
      <c r="I1274" s="32"/>
      <c r="J1274" s="32"/>
    </row>
    <row r="1275" spans="6:10" x14ac:dyDescent="0.25">
      <c r="F1275" s="32"/>
      <c r="G1275" s="32" t="s">
        <v>2894</v>
      </c>
      <c r="H1275" s="32" t="s">
        <v>2895</v>
      </c>
      <c r="I1275" s="32" t="s">
        <v>645</v>
      </c>
      <c r="J1275" s="32" t="s">
        <v>819</v>
      </c>
    </row>
    <row r="1276" spans="6:10" x14ac:dyDescent="0.25">
      <c r="F1276" s="32"/>
      <c r="G1276" s="32" t="s">
        <v>2896</v>
      </c>
      <c r="H1276" s="32" t="s">
        <v>2897</v>
      </c>
      <c r="I1276" s="32" t="s">
        <v>645</v>
      </c>
      <c r="J1276" s="32" t="s">
        <v>819</v>
      </c>
    </row>
    <row r="1277" spans="6:10" x14ac:dyDescent="0.25">
      <c r="F1277" s="32"/>
      <c r="G1277" s="32" t="s">
        <v>2898</v>
      </c>
      <c r="H1277" s="32" t="s">
        <v>2899</v>
      </c>
      <c r="I1277" s="32" t="s">
        <v>645</v>
      </c>
      <c r="J1277" s="32" t="s">
        <v>819</v>
      </c>
    </row>
    <row r="1278" spans="6:10" x14ac:dyDescent="0.25">
      <c r="F1278" s="32"/>
      <c r="G1278" s="32" t="s">
        <v>2900</v>
      </c>
      <c r="H1278" s="32" t="s">
        <v>2901</v>
      </c>
      <c r="I1278" s="32" t="s">
        <v>645</v>
      </c>
      <c r="J1278" s="32" t="s">
        <v>819</v>
      </c>
    </row>
    <row r="1279" spans="6:10" x14ac:dyDescent="0.25">
      <c r="F1279" s="32"/>
      <c r="G1279" s="32" t="s">
        <v>2902</v>
      </c>
      <c r="H1279" s="32" t="s">
        <v>2903</v>
      </c>
      <c r="I1279" s="32" t="s">
        <v>645</v>
      </c>
      <c r="J1279" s="32" t="s">
        <v>819</v>
      </c>
    </row>
    <row r="1280" spans="6:10" x14ac:dyDescent="0.25">
      <c r="F1280" s="32"/>
      <c r="G1280" s="32" t="s">
        <v>2904</v>
      </c>
      <c r="H1280" s="32" t="s">
        <v>2905</v>
      </c>
      <c r="I1280" s="32" t="s">
        <v>645</v>
      </c>
      <c r="J1280" s="32" t="s">
        <v>819</v>
      </c>
    </row>
    <row r="1281" spans="6:10" x14ac:dyDescent="0.25">
      <c r="F1281" s="32"/>
      <c r="G1281" s="32" t="s">
        <v>2906</v>
      </c>
      <c r="H1281" s="32" t="s">
        <v>2907</v>
      </c>
      <c r="I1281" s="32" t="s">
        <v>645</v>
      </c>
      <c r="J1281" s="32" t="s">
        <v>819</v>
      </c>
    </row>
    <row r="1282" spans="6:10" x14ac:dyDescent="0.25">
      <c r="F1282" s="32"/>
      <c r="G1282" s="32" t="s">
        <v>2908</v>
      </c>
      <c r="H1282" s="32" t="s">
        <v>2909</v>
      </c>
      <c r="I1282" s="32" t="s">
        <v>645</v>
      </c>
      <c r="J1282" s="32" t="s">
        <v>819</v>
      </c>
    </row>
    <row r="1283" spans="6:10" x14ac:dyDescent="0.25">
      <c r="F1283" s="32"/>
      <c r="G1283" s="32" t="s">
        <v>3687</v>
      </c>
      <c r="H1283" s="32" t="s">
        <v>2910</v>
      </c>
      <c r="I1283" s="32" t="s">
        <v>645</v>
      </c>
      <c r="J1283" s="32" t="s">
        <v>819</v>
      </c>
    </row>
    <row r="1284" spans="6:10" x14ac:dyDescent="0.25">
      <c r="F1284" s="32" t="s">
        <v>460</v>
      </c>
      <c r="G1284" s="32"/>
      <c r="H1284" s="32"/>
      <c r="I1284" s="32"/>
      <c r="J1284" s="32"/>
    </row>
    <row r="1285" spans="6:10" x14ac:dyDescent="0.25">
      <c r="F1285" s="32" t="s">
        <v>549</v>
      </c>
      <c r="G1285" s="32"/>
      <c r="H1285" s="32" t="s">
        <v>2911</v>
      </c>
      <c r="I1285" s="32"/>
      <c r="J1285" s="32"/>
    </row>
    <row r="1286" spans="6:10" x14ac:dyDescent="0.25">
      <c r="F1286" s="32"/>
      <c r="G1286" s="32" t="s">
        <v>2912</v>
      </c>
      <c r="H1286" s="32" t="s">
        <v>2913</v>
      </c>
      <c r="I1286" s="32" t="s">
        <v>924</v>
      </c>
      <c r="J1286" s="32" t="s">
        <v>1815</v>
      </c>
    </row>
    <row r="1287" spans="6:10" x14ac:dyDescent="0.25">
      <c r="F1287" s="32"/>
      <c r="G1287" s="32" t="s">
        <v>4212</v>
      </c>
      <c r="H1287" s="32" t="s">
        <v>2914</v>
      </c>
      <c r="I1287" s="32" t="s">
        <v>924</v>
      </c>
      <c r="J1287" s="32" t="s">
        <v>1815</v>
      </c>
    </row>
    <row r="1288" spans="6:10" x14ac:dyDescent="0.25">
      <c r="F1288" s="32"/>
      <c r="G1288" s="32" t="s">
        <v>2915</v>
      </c>
      <c r="H1288" s="32" t="s">
        <v>2916</v>
      </c>
      <c r="I1288" s="32" t="s">
        <v>924</v>
      </c>
      <c r="J1288" s="32" t="s">
        <v>1815</v>
      </c>
    </row>
    <row r="1289" spans="6:10" x14ac:dyDescent="0.25">
      <c r="F1289" s="32"/>
      <c r="G1289" s="32" t="s">
        <v>2917</v>
      </c>
      <c r="H1289" s="32" t="s">
        <v>2918</v>
      </c>
      <c r="I1289" s="32" t="s">
        <v>924</v>
      </c>
      <c r="J1289" s="32" t="s">
        <v>1815</v>
      </c>
    </row>
    <row r="1290" spans="6:10" x14ac:dyDescent="0.25">
      <c r="F1290" s="32"/>
      <c r="G1290" s="32" t="s">
        <v>1979</v>
      </c>
      <c r="H1290" s="32" t="s">
        <v>2919</v>
      </c>
      <c r="I1290" s="32" t="s">
        <v>924</v>
      </c>
      <c r="J1290" s="32" t="s">
        <v>1815</v>
      </c>
    </row>
    <row r="1291" spans="6:10" x14ac:dyDescent="0.25">
      <c r="F1291" s="32"/>
      <c r="G1291" s="32" t="s">
        <v>2920</v>
      </c>
      <c r="H1291" s="32" t="s">
        <v>2921</v>
      </c>
      <c r="I1291" s="32" t="s">
        <v>924</v>
      </c>
      <c r="J1291" s="32" t="s">
        <v>1815</v>
      </c>
    </row>
    <row r="1292" spans="6:10" x14ac:dyDescent="0.25">
      <c r="F1292" s="32"/>
      <c r="G1292" s="32" t="s">
        <v>2922</v>
      </c>
      <c r="H1292" s="32" t="s">
        <v>2923</v>
      </c>
      <c r="I1292" s="32" t="s">
        <v>924</v>
      </c>
      <c r="J1292" s="32" t="s">
        <v>1815</v>
      </c>
    </row>
    <row r="1293" spans="6:10" x14ac:dyDescent="0.25">
      <c r="F1293" s="32"/>
      <c r="G1293" s="32" t="s">
        <v>2924</v>
      </c>
      <c r="H1293" s="32" t="s">
        <v>2925</v>
      </c>
      <c r="I1293" s="32" t="s">
        <v>924</v>
      </c>
      <c r="J1293" s="32" t="s">
        <v>1815</v>
      </c>
    </row>
    <row r="1294" spans="6:10" x14ac:dyDescent="0.25">
      <c r="F1294" s="32"/>
      <c r="G1294" s="32" t="s">
        <v>2926</v>
      </c>
      <c r="H1294" s="32" t="s">
        <v>2927</v>
      </c>
      <c r="I1294" s="32" t="s">
        <v>924</v>
      </c>
      <c r="J1294" s="32" t="s">
        <v>1815</v>
      </c>
    </row>
    <row r="1295" spans="6:10" x14ac:dyDescent="0.25">
      <c r="F1295" s="32"/>
      <c r="G1295" s="32" t="s">
        <v>2928</v>
      </c>
      <c r="H1295" s="32" t="s">
        <v>2929</v>
      </c>
      <c r="I1295" s="32" t="s">
        <v>924</v>
      </c>
      <c r="J1295" s="32" t="s">
        <v>1815</v>
      </c>
    </row>
    <row r="1296" spans="6:10" x14ac:dyDescent="0.25">
      <c r="F1296" s="32"/>
      <c r="G1296" s="32" t="s">
        <v>2930</v>
      </c>
      <c r="H1296" s="32" t="s">
        <v>2931</v>
      </c>
      <c r="I1296" s="32" t="s">
        <v>924</v>
      </c>
      <c r="J1296" s="32" t="s">
        <v>1815</v>
      </c>
    </row>
    <row r="1297" spans="6:10" x14ac:dyDescent="0.25">
      <c r="F1297" s="32" t="s">
        <v>550</v>
      </c>
      <c r="G1297" s="32"/>
      <c r="H1297" s="32" t="s">
        <v>2932</v>
      </c>
      <c r="I1297" s="32"/>
      <c r="J1297" s="32"/>
    </row>
    <row r="1298" spans="6:10" x14ac:dyDescent="0.25">
      <c r="F1298" s="32"/>
      <c r="G1298" s="32" t="s">
        <v>2933</v>
      </c>
      <c r="H1298" s="32" t="s">
        <v>2934</v>
      </c>
      <c r="I1298" s="32" t="s">
        <v>924</v>
      </c>
      <c r="J1298" s="32" t="s">
        <v>1815</v>
      </c>
    </row>
    <row r="1299" spans="6:10" x14ac:dyDescent="0.25">
      <c r="F1299" s="32"/>
      <c r="G1299" s="32" t="s">
        <v>2935</v>
      </c>
      <c r="H1299" s="32" t="s">
        <v>2936</v>
      </c>
      <c r="I1299" s="32" t="s">
        <v>924</v>
      </c>
      <c r="J1299" s="32" t="s">
        <v>1815</v>
      </c>
    </row>
    <row r="1300" spans="6:10" x14ac:dyDescent="0.25">
      <c r="F1300" s="32"/>
      <c r="G1300" s="32" t="s">
        <v>2937</v>
      </c>
      <c r="H1300" s="32" t="s">
        <v>2938</v>
      </c>
      <c r="I1300" s="32" t="s">
        <v>924</v>
      </c>
      <c r="J1300" s="32" t="s">
        <v>1815</v>
      </c>
    </row>
    <row r="1301" spans="6:10" x14ac:dyDescent="0.25">
      <c r="F1301" s="32"/>
      <c r="G1301" s="32" t="s">
        <v>2939</v>
      </c>
      <c r="H1301" s="32" t="s">
        <v>2940</v>
      </c>
      <c r="I1301" s="32" t="s">
        <v>924</v>
      </c>
      <c r="J1301" s="32" t="s">
        <v>1815</v>
      </c>
    </row>
    <row r="1302" spans="6:10" x14ac:dyDescent="0.25">
      <c r="F1302" s="32"/>
      <c r="G1302" s="32" t="s">
        <v>2941</v>
      </c>
      <c r="H1302" s="32" t="s">
        <v>2942</v>
      </c>
      <c r="I1302" s="32" t="s">
        <v>924</v>
      </c>
      <c r="J1302" s="32" t="s">
        <v>1815</v>
      </c>
    </row>
    <row r="1303" spans="6:10" x14ac:dyDescent="0.25">
      <c r="F1303" s="32"/>
      <c r="G1303" s="32" t="s">
        <v>2943</v>
      </c>
      <c r="H1303" s="32" t="s">
        <v>2944</v>
      </c>
      <c r="I1303" s="32" t="s">
        <v>924</v>
      </c>
      <c r="J1303" s="32" t="s">
        <v>1815</v>
      </c>
    </row>
    <row r="1304" spans="6:10" x14ac:dyDescent="0.25">
      <c r="F1304" s="32"/>
      <c r="G1304" s="32" t="s">
        <v>2945</v>
      </c>
      <c r="H1304" s="32" t="s">
        <v>2946</v>
      </c>
      <c r="I1304" s="32" t="s">
        <v>924</v>
      </c>
      <c r="J1304" s="32" t="s">
        <v>1815</v>
      </c>
    </row>
    <row r="1305" spans="6:10" x14ac:dyDescent="0.25">
      <c r="F1305" s="32"/>
      <c r="G1305" s="32" t="s">
        <v>2947</v>
      </c>
      <c r="H1305" s="32" t="s">
        <v>2948</v>
      </c>
      <c r="I1305" s="32" t="s">
        <v>924</v>
      </c>
      <c r="J1305" s="32" t="s">
        <v>1815</v>
      </c>
    </row>
    <row r="1306" spans="6:10" x14ac:dyDescent="0.25">
      <c r="F1306" s="32" t="s">
        <v>551</v>
      </c>
      <c r="G1306" s="32"/>
      <c r="H1306" s="32" t="s">
        <v>2949</v>
      </c>
      <c r="I1306" s="32"/>
      <c r="J1306" s="32"/>
    </row>
    <row r="1307" spans="6:10" x14ac:dyDescent="0.25">
      <c r="F1307" s="32"/>
      <c r="G1307" s="32" t="s">
        <v>1940</v>
      </c>
      <c r="H1307" s="32" t="s">
        <v>2950</v>
      </c>
      <c r="I1307" s="32" t="s">
        <v>645</v>
      </c>
      <c r="J1307" s="32" t="s">
        <v>646</v>
      </c>
    </row>
    <row r="1308" spans="6:10" x14ac:dyDescent="0.25">
      <c r="F1308" s="32"/>
      <c r="G1308" s="32" t="s">
        <v>1884</v>
      </c>
      <c r="H1308" s="32" t="s">
        <v>2951</v>
      </c>
      <c r="I1308" s="32" t="s">
        <v>645</v>
      </c>
      <c r="J1308" s="32" t="s">
        <v>646</v>
      </c>
    </row>
    <row r="1309" spans="6:10" x14ac:dyDescent="0.25">
      <c r="F1309" s="32"/>
      <c r="G1309" s="32" t="s">
        <v>2952</v>
      </c>
      <c r="H1309" s="32" t="s">
        <v>2953</v>
      </c>
      <c r="I1309" s="32" t="s">
        <v>645</v>
      </c>
      <c r="J1309" s="32" t="s">
        <v>646</v>
      </c>
    </row>
    <row r="1310" spans="6:10" x14ac:dyDescent="0.25">
      <c r="F1310" s="32"/>
      <c r="G1310" s="32" t="s">
        <v>2954</v>
      </c>
      <c r="H1310" s="32" t="s">
        <v>2955</v>
      </c>
      <c r="I1310" s="32" t="s">
        <v>645</v>
      </c>
      <c r="J1310" s="32" t="s">
        <v>646</v>
      </c>
    </row>
    <row r="1311" spans="6:10" x14ac:dyDescent="0.25">
      <c r="F1311" s="32"/>
      <c r="G1311" s="32" t="s">
        <v>2956</v>
      </c>
      <c r="H1311" s="32" t="s">
        <v>2957</v>
      </c>
      <c r="I1311" s="32" t="s">
        <v>645</v>
      </c>
      <c r="J1311" s="32" t="s">
        <v>646</v>
      </c>
    </row>
    <row r="1312" spans="6:10" x14ac:dyDescent="0.25">
      <c r="F1312" s="32"/>
      <c r="G1312" s="32" t="s">
        <v>2958</v>
      </c>
      <c r="H1312" s="32" t="s">
        <v>2959</v>
      </c>
      <c r="I1312" s="32" t="s">
        <v>645</v>
      </c>
      <c r="J1312" s="32" t="s">
        <v>646</v>
      </c>
    </row>
    <row r="1313" spans="6:10" x14ac:dyDescent="0.25">
      <c r="F1313" s="32" t="s">
        <v>552</v>
      </c>
      <c r="G1313" s="32"/>
      <c r="H1313" s="32" t="s">
        <v>2960</v>
      </c>
      <c r="I1313" s="32"/>
      <c r="J1313" s="32"/>
    </row>
    <row r="1314" spans="6:10" x14ac:dyDescent="0.25">
      <c r="F1314" s="32"/>
      <c r="G1314" s="32" t="s">
        <v>2961</v>
      </c>
      <c r="H1314" s="32" t="s">
        <v>2962</v>
      </c>
      <c r="I1314" s="32" t="s">
        <v>924</v>
      </c>
      <c r="J1314" s="32" t="s">
        <v>1815</v>
      </c>
    </row>
    <row r="1315" spans="6:10" x14ac:dyDescent="0.25">
      <c r="F1315" s="32"/>
      <c r="G1315" s="32" t="s">
        <v>2963</v>
      </c>
      <c r="H1315" s="32" t="s">
        <v>2964</v>
      </c>
      <c r="I1315" s="32" t="s">
        <v>924</v>
      </c>
      <c r="J1315" s="32" t="s">
        <v>1815</v>
      </c>
    </row>
    <row r="1316" spans="6:10" x14ac:dyDescent="0.25">
      <c r="F1316" s="32"/>
      <c r="G1316" s="32" t="s">
        <v>3131</v>
      </c>
      <c r="H1316" s="32" t="s">
        <v>2965</v>
      </c>
      <c r="I1316" s="32" t="s">
        <v>924</v>
      </c>
      <c r="J1316" s="32" t="s">
        <v>1815</v>
      </c>
    </row>
    <row r="1317" spans="6:10" x14ac:dyDescent="0.25">
      <c r="F1317" s="32" t="s">
        <v>553</v>
      </c>
      <c r="G1317" s="32"/>
      <c r="H1317" s="32" t="s">
        <v>2966</v>
      </c>
      <c r="I1317" s="32"/>
      <c r="J1317" s="32"/>
    </row>
    <row r="1318" spans="6:10" x14ac:dyDescent="0.25">
      <c r="F1318" s="32"/>
      <c r="G1318" s="32" t="s">
        <v>2967</v>
      </c>
      <c r="H1318" s="32" t="s">
        <v>2968</v>
      </c>
      <c r="I1318" s="32" t="s">
        <v>645</v>
      </c>
      <c r="J1318" s="32" t="s">
        <v>646</v>
      </c>
    </row>
    <row r="1319" spans="6:10" x14ac:dyDescent="0.25">
      <c r="F1319" s="32"/>
      <c r="G1319" s="32" t="s">
        <v>2969</v>
      </c>
      <c r="H1319" s="32" t="s">
        <v>2970</v>
      </c>
      <c r="I1319" s="32" t="s">
        <v>645</v>
      </c>
      <c r="J1319" s="32" t="s">
        <v>646</v>
      </c>
    </row>
    <row r="1320" spans="6:10" x14ac:dyDescent="0.25">
      <c r="F1320" s="32"/>
      <c r="G1320" s="32" t="s">
        <v>2971</v>
      </c>
      <c r="H1320" s="32" t="s">
        <v>2972</v>
      </c>
      <c r="I1320" s="32" t="s">
        <v>645</v>
      </c>
      <c r="J1320" s="32" t="s">
        <v>646</v>
      </c>
    </row>
    <row r="1321" spans="6:10" x14ac:dyDescent="0.25">
      <c r="F1321" s="32"/>
      <c r="G1321" s="32" t="s">
        <v>2973</v>
      </c>
      <c r="H1321" s="32" t="s">
        <v>2974</v>
      </c>
      <c r="I1321" s="32" t="s">
        <v>645</v>
      </c>
      <c r="J1321" s="32" t="s">
        <v>646</v>
      </c>
    </row>
    <row r="1322" spans="6:10" x14ac:dyDescent="0.25">
      <c r="F1322" s="32" t="s">
        <v>554</v>
      </c>
      <c r="G1322" s="32"/>
      <c r="H1322" s="32" t="s">
        <v>2975</v>
      </c>
      <c r="I1322" s="32"/>
      <c r="J1322" s="32"/>
    </row>
    <row r="1323" spans="6:10" x14ac:dyDescent="0.25">
      <c r="F1323" s="32"/>
      <c r="G1323" s="32" t="s">
        <v>2976</v>
      </c>
      <c r="H1323" s="32" t="s">
        <v>2977</v>
      </c>
      <c r="I1323" s="32" t="s">
        <v>645</v>
      </c>
      <c r="J1323" s="32" t="s">
        <v>646</v>
      </c>
    </row>
    <row r="1324" spans="6:10" x14ac:dyDescent="0.25">
      <c r="F1324" s="32"/>
      <c r="G1324" s="32" t="s">
        <v>2978</v>
      </c>
      <c r="H1324" s="32" t="s">
        <v>2979</v>
      </c>
      <c r="I1324" s="32" t="s">
        <v>645</v>
      </c>
      <c r="J1324" s="32" t="s">
        <v>646</v>
      </c>
    </row>
    <row r="1325" spans="6:10" x14ac:dyDescent="0.25">
      <c r="F1325" s="32"/>
      <c r="G1325" s="32" t="s">
        <v>2980</v>
      </c>
      <c r="H1325" s="32" t="s">
        <v>2981</v>
      </c>
      <c r="I1325" s="32" t="s">
        <v>645</v>
      </c>
      <c r="J1325" s="32" t="s">
        <v>646</v>
      </c>
    </row>
    <row r="1326" spans="6:10" x14ac:dyDescent="0.25">
      <c r="F1326" s="32"/>
      <c r="G1326" s="32" t="s">
        <v>2982</v>
      </c>
      <c r="H1326" s="32" t="s">
        <v>2983</v>
      </c>
      <c r="I1326" s="32" t="s">
        <v>645</v>
      </c>
      <c r="J1326" s="32" t="s">
        <v>646</v>
      </c>
    </row>
    <row r="1327" spans="6:10" x14ac:dyDescent="0.25">
      <c r="F1327" s="32"/>
      <c r="G1327" s="32" t="s">
        <v>2984</v>
      </c>
      <c r="H1327" s="32" t="s">
        <v>2985</v>
      </c>
      <c r="I1327" s="32" t="s">
        <v>924</v>
      </c>
      <c r="J1327" s="32" t="s">
        <v>1815</v>
      </c>
    </row>
    <row r="1328" spans="6:10" x14ac:dyDescent="0.25">
      <c r="F1328" s="32"/>
      <c r="G1328" s="32" t="s">
        <v>2986</v>
      </c>
      <c r="H1328" s="32" t="s">
        <v>2987</v>
      </c>
      <c r="I1328" s="32" t="s">
        <v>645</v>
      </c>
      <c r="J1328" s="32" t="s">
        <v>646</v>
      </c>
    </row>
    <row r="1329" spans="6:10" x14ac:dyDescent="0.25">
      <c r="F1329" s="32"/>
      <c r="G1329" s="32" t="s">
        <v>2988</v>
      </c>
      <c r="H1329" s="32" t="s">
        <v>2989</v>
      </c>
      <c r="I1329" s="32" t="s">
        <v>645</v>
      </c>
      <c r="J1329" s="32" t="s">
        <v>646</v>
      </c>
    </row>
    <row r="1330" spans="6:10" x14ac:dyDescent="0.25">
      <c r="F1330" s="32"/>
      <c r="G1330" s="32" t="s">
        <v>2990</v>
      </c>
      <c r="H1330" s="32" t="s">
        <v>2991</v>
      </c>
      <c r="I1330" s="32" t="s">
        <v>645</v>
      </c>
      <c r="J1330" s="32" t="s">
        <v>646</v>
      </c>
    </row>
    <row r="1331" spans="6:10" x14ac:dyDescent="0.25">
      <c r="F1331" s="32"/>
      <c r="G1331" s="32" t="s">
        <v>2992</v>
      </c>
      <c r="H1331" s="32" t="s">
        <v>2993</v>
      </c>
      <c r="I1331" s="32" t="s">
        <v>645</v>
      </c>
      <c r="J1331" s="32" t="s">
        <v>646</v>
      </c>
    </row>
    <row r="1332" spans="6:10" x14ac:dyDescent="0.25">
      <c r="F1332" s="32"/>
      <c r="G1332" s="32" t="s">
        <v>2994</v>
      </c>
      <c r="H1332" s="32" t="s">
        <v>2995</v>
      </c>
      <c r="I1332" s="32" t="s">
        <v>645</v>
      </c>
      <c r="J1332" s="32" t="s">
        <v>646</v>
      </c>
    </row>
    <row r="1333" spans="6:10" x14ac:dyDescent="0.25">
      <c r="F1333" s="32" t="s">
        <v>555</v>
      </c>
      <c r="G1333" s="32"/>
      <c r="H1333" s="32" t="s">
        <v>2996</v>
      </c>
      <c r="I1333" s="32"/>
      <c r="J1333" s="32"/>
    </row>
    <row r="1334" spans="6:10" x14ac:dyDescent="0.25">
      <c r="F1334" s="32"/>
      <c r="G1334" s="32" t="s">
        <v>2997</v>
      </c>
      <c r="H1334" s="32" t="s">
        <v>2998</v>
      </c>
      <c r="I1334" s="32" t="s">
        <v>924</v>
      </c>
      <c r="J1334" s="32" t="s">
        <v>1815</v>
      </c>
    </row>
    <row r="1335" spans="6:10" x14ac:dyDescent="0.25">
      <c r="F1335" s="32"/>
      <c r="G1335" s="32" t="s">
        <v>2999</v>
      </c>
      <c r="H1335" s="32" t="s">
        <v>3000</v>
      </c>
      <c r="I1335" s="32" t="s">
        <v>924</v>
      </c>
      <c r="J1335" s="32" t="s">
        <v>1815</v>
      </c>
    </row>
    <row r="1336" spans="6:10" x14ac:dyDescent="0.25">
      <c r="F1336" s="32"/>
      <c r="G1336" s="32" t="s">
        <v>3001</v>
      </c>
      <c r="H1336" s="32" t="s">
        <v>3002</v>
      </c>
      <c r="I1336" s="32" t="s">
        <v>924</v>
      </c>
      <c r="J1336" s="32" t="s">
        <v>1815</v>
      </c>
    </row>
    <row r="1337" spans="6:10" x14ac:dyDescent="0.25">
      <c r="F1337" s="32"/>
      <c r="G1337" s="32" t="s">
        <v>3003</v>
      </c>
      <c r="H1337" s="32" t="s">
        <v>3004</v>
      </c>
      <c r="I1337" s="32" t="s">
        <v>924</v>
      </c>
      <c r="J1337" s="32" t="s">
        <v>1815</v>
      </c>
    </row>
    <row r="1338" spans="6:10" x14ac:dyDescent="0.25">
      <c r="F1338" s="32"/>
      <c r="G1338" s="32" t="s">
        <v>3905</v>
      </c>
      <c r="H1338" s="32" t="s">
        <v>3005</v>
      </c>
      <c r="I1338" s="32" t="s">
        <v>924</v>
      </c>
      <c r="J1338" s="32" t="s">
        <v>1815</v>
      </c>
    </row>
    <row r="1339" spans="6:10" x14ac:dyDescent="0.25">
      <c r="F1339" s="32" t="s">
        <v>556</v>
      </c>
      <c r="G1339" s="32"/>
      <c r="H1339" s="32" t="s">
        <v>3006</v>
      </c>
      <c r="I1339" s="32"/>
      <c r="J1339" s="32"/>
    </row>
    <row r="1340" spans="6:10" x14ac:dyDescent="0.25">
      <c r="F1340" s="32"/>
      <c r="G1340" s="32" t="s">
        <v>3007</v>
      </c>
      <c r="H1340" s="32" t="s">
        <v>3008</v>
      </c>
      <c r="I1340" s="32" t="s">
        <v>645</v>
      </c>
      <c r="J1340" s="32" t="s">
        <v>646</v>
      </c>
    </row>
    <row r="1341" spans="6:10" x14ac:dyDescent="0.25">
      <c r="F1341" s="32"/>
      <c r="G1341" s="32" t="s">
        <v>3009</v>
      </c>
      <c r="H1341" s="32" t="s">
        <v>3010</v>
      </c>
      <c r="I1341" s="32" t="s">
        <v>645</v>
      </c>
      <c r="J1341" s="32" t="s">
        <v>646</v>
      </c>
    </row>
    <row r="1342" spans="6:10" x14ac:dyDescent="0.25">
      <c r="F1342" s="32"/>
      <c r="G1342" s="32" t="s">
        <v>3011</v>
      </c>
      <c r="H1342" s="32" t="s">
        <v>3012</v>
      </c>
      <c r="I1342" s="32" t="s">
        <v>645</v>
      </c>
      <c r="J1342" s="32" t="s">
        <v>646</v>
      </c>
    </row>
    <row r="1343" spans="6:10" x14ac:dyDescent="0.25">
      <c r="F1343" s="32"/>
      <c r="G1343" s="32" t="s">
        <v>3013</v>
      </c>
      <c r="H1343" s="32" t="s">
        <v>3014</v>
      </c>
      <c r="I1343" s="32" t="s">
        <v>645</v>
      </c>
      <c r="J1343" s="32" t="s">
        <v>646</v>
      </c>
    </row>
    <row r="1344" spans="6:10" x14ac:dyDescent="0.25">
      <c r="F1344" s="32"/>
      <c r="G1344" s="32" t="s">
        <v>3015</v>
      </c>
      <c r="H1344" s="32" t="s">
        <v>3016</v>
      </c>
      <c r="I1344" s="32" t="s">
        <v>645</v>
      </c>
      <c r="J1344" s="32" t="s">
        <v>646</v>
      </c>
    </row>
    <row r="1345" spans="6:10" x14ac:dyDescent="0.25">
      <c r="F1345" s="32"/>
      <c r="G1345" s="32" t="s">
        <v>3017</v>
      </c>
      <c r="H1345" s="32" t="s">
        <v>3018</v>
      </c>
      <c r="I1345" s="32" t="s">
        <v>645</v>
      </c>
      <c r="J1345" s="32" t="s">
        <v>646</v>
      </c>
    </row>
    <row r="1346" spans="6:10" x14ac:dyDescent="0.25">
      <c r="F1346" s="32"/>
      <c r="G1346" s="32" t="s">
        <v>3019</v>
      </c>
      <c r="H1346" s="32" t="s">
        <v>3020</v>
      </c>
      <c r="I1346" s="32" t="s">
        <v>688</v>
      </c>
      <c r="J1346" s="32" t="s">
        <v>688</v>
      </c>
    </row>
    <row r="1347" spans="6:10" x14ac:dyDescent="0.25">
      <c r="F1347" s="32"/>
      <c r="G1347" s="32" t="s">
        <v>3021</v>
      </c>
      <c r="H1347" s="32" t="s">
        <v>3022</v>
      </c>
      <c r="I1347" s="32" t="s">
        <v>645</v>
      </c>
      <c r="J1347" s="32" t="s">
        <v>646</v>
      </c>
    </row>
    <row r="1348" spans="6:10" x14ac:dyDescent="0.25">
      <c r="F1348" s="32"/>
      <c r="G1348" s="32" t="s">
        <v>3023</v>
      </c>
      <c r="H1348" s="32" t="s">
        <v>3024</v>
      </c>
      <c r="I1348" s="32" t="s">
        <v>645</v>
      </c>
      <c r="J1348" s="32" t="s">
        <v>646</v>
      </c>
    </row>
    <row r="1349" spans="6:10" x14ac:dyDescent="0.25">
      <c r="F1349" s="32"/>
      <c r="G1349" s="32" t="s">
        <v>3025</v>
      </c>
      <c r="H1349" s="32" t="s">
        <v>3026</v>
      </c>
      <c r="I1349" s="32" t="s">
        <v>645</v>
      </c>
      <c r="J1349" s="32" t="s">
        <v>646</v>
      </c>
    </row>
    <row r="1350" spans="6:10" x14ac:dyDescent="0.25">
      <c r="F1350" s="32"/>
      <c r="G1350" s="32" t="s">
        <v>3027</v>
      </c>
      <c r="H1350" s="32" t="s">
        <v>3028</v>
      </c>
      <c r="I1350" s="32" t="s">
        <v>645</v>
      </c>
      <c r="J1350" s="32" t="s">
        <v>646</v>
      </c>
    </row>
    <row r="1351" spans="6:10" x14ac:dyDescent="0.25">
      <c r="F1351" s="32"/>
      <c r="G1351" s="32" t="s">
        <v>3029</v>
      </c>
      <c r="H1351" s="32" t="s">
        <v>3030</v>
      </c>
      <c r="I1351" s="32" t="s">
        <v>645</v>
      </c>
      <c r="J1351" s="32" t="s">
        <v>646</v>
      </c>
    </row>
    <row r="1352" spans="6:10" x14ac:dyDescent="0.25">
      <c r="F1352" s="32"/>
      <c r="G1352" s="32" t="s">
        <v>3031</v>
      </c>
      <c r="H1352" s="32" t="s">
        <v>3032</v>
      </c>
      <c r="I1352" s="32" t="s">
        <v>645</v>
      </c>
      <c r="J1352" s="32" t="s">
        <v>646</v>
      </c>
    </row>
    <row r="1353" spans="6:10" x14ac:dyDescent="0.25">
      <c r="F1353" s="32" t="s">
        <v>626</v>
      </c>
      <c r="G1353" s="32"/>
      <c r="H1353" s="32" t="s">
        <v>3033</v>
      </c>
      <c r="I1353" s="32"/>
      <c r="J1353" s="32"/>
    </row>
    <row r="1354" spans="6:10" x14ac:dyDescent="0.25">
      <c r="F1354" s="32"/>
      <c r="G1354" s="32" t="s">
        <v>3034</v>
      </c>
      <c r="H1354" s="32" t="s">
        <v>3035</v>
      </c>
      <c r="I1354" s="32" t="s">
        <v>645</v>
      </c>
      <c r="J1354" s="32" t="s">
        <v>646</v>
      </c>
    </row>
    <row r="1355" spans="6:10" x14ac:dyDescent="0.25">
      <c r="F1355" s="32"/>
      <c r="G1355" s="32" t="s">
        <v>3036</v>
      </c>
      <c r="H1355" s="32" t="s">
        <v>3037</v>
      </c>
      <c r="I1355" s="32" t="s">
        <v>645</v>
      </c>
      <c r="J1355" s="32" t="s">
        <v>646</v>
      </c>
    </row>
    <row r="1356" spans="6:10" x14ac:dyDescent="0.25">
      <c r="F1356" s="32"/>
      <c r="G1356" s="32" t="s">
        <v>3038</v>
      </c>
      <c r="H1356" s="32" t="s">
        <v>3039</v>
      </c>
      <c r="I1356" s="32" t="s">
        <v>645</v>
      </c>
      <c r="J1356" s="32" t="s">
        <v>646</v>
      </c>
    </row>
    <row r="1357" spans="6:10" x14ac:dyDescent="0.25">
      <c r="F1357" s="32"/>
      <c r="G1357" s="32" t="s">
        <v>3040</v>
      </c>
      <c r="H1357" s="32" t="s">
        <v>3041</v>
      </c>
      <c r="I1357" s="32" t="s">
        <v>645</v>
      </c>
      <c r="J1357" s="32" t="s">
        <v>646</v>
      </c>
    </row>
    <row r="1358" spans="6:10" x14ac:dyDescent="0.25">
      <c r="F1358" s="32"/>
      <c r="G1358" s="32" t="s">
        <v>3042</v>
      </c>
      <c r="H1358" s="32" t="s">
        <v>3043</v>
      </c>
      <c r="I1358" s="32" t="s">
        <v>645</v>
      </c>
      <c r="J1358" s="32" t="s">
        <v>646</v>
      </c>
    </row>
    <row r="1359" spans="6:10" x14ac:dyDescent="0.25">
      <c r="F1359" s="32"/>
      <c r="G1359" s="32" t="s">
        <v>3044</v>
      </c>
      <c r="H1359" s="32" t="s">
        <v>3045</v>
      </c>
      <c r="I1359" s="32" t="s">
        <v>645</v>
      </c>
      <c r="J1359" s="32" t="s">
        <v>646</v>
      </c>
    </row>
    <row r="1360" spans="6:10" x14ac:dyDescent="0.25">
      <c r="F1360" s="32"/>
      <c r="G1360" s="32" t="s">
        <v>3046</v>
      </c>
      <c r="H1360" s="32" t="s">
        <v>3047</v>
      </c>
      <c r="I1360" s="32" t="s">
        <v>645</v>
      </c>
      <c r="J1360" s="32" t="s">
        <v>646</v>
      </c>
    </row>
    <row r="1361" spans="6:10" x14ac:dyDescent="0.25">
      <c r="F1361" s="32"/>
      <c r="G1361" s="32" t="s">
        <v>3048</v>
      </c>
      <c r="H1361" s="32" t="s">
        <v>3049</v>
      </c>
      <c r="I1361" s="32" t="s">
        <v>645</v>
      </c>
      <c r="J1361" s="32" t="s">
        <v>646</v>
      </c>
    </row>
    <row r="1362" spans="6:10" x14ac:dyDescent="0.25">
      <c r="F1362" s="32" t="s">
        <v>627</v>
      </c>
      <c r="G1362" s="32"/>
      <c r="H1362" s="32" t="s">
        <v>3050</v>
      </c>
      <c r="I1362" s="32"/>
      <c r="J1362" s="32"/>
    </row>
    <row r="1363" spans="6:10" x14ac:dyDescent="0.25">
      <c r="F1363" s="32"/>
      <c r="G1363" s="32" t="s">
        <v>3051</v>
      </c>
      <c r="H1363" s="32" t="s">
        <v>3052</v>
      </c>
      <c r="I1363" s="32" t="s">
        <v>645</v>
      </c>
      <c r="J1363" s="32" t="s">
        <v>646</v>
      </c>
    </row>
    <row r="1364" spans="6:10" x14ac:dyDescent="0.25">
      <c r="F1364" s="32"/>
      <c r="G1364" s="32" t="s">
        <v>3053</v>
      </c>
      <c r="H1364" s="32" t="s">
        <v>3054</v>
      </c>
      <c r="I1364" s="32" t="s">
        <v>645</v>
      </c>
      <c r="J1364" s="32" t="s">
        <v>646</v>
      </c>
    </row>
    <row r="1365" spans="6:10" x14ac:dyDescent="0.25">
      <c r="F1365" s="32"/>
      <c r="G1365" s="32" t="s">
        <v>3055</v>
      </c>
      <c r="H1365" s="32" t="s">
        <v>3056</v>
      </c>
      <c r="I1365" s="32" t="s">
        <v>645</v>
      </c>
      <c r="J1365" s="32" t="s">
        <v>646</v>
      </c>
    </row>
    <row r="1366" spans="6:10" x14ac:dyDescent="0.25">
      <c r="F1366" s="32"/>
      <c r="G1366" s="32" t="s">
        <v>3057</v>
      </c>
      <c r="H1366" s="32" t="s">
        <v>3058</v>
      </c>
      <c r="I1366" s="32" t="s">
        <v>645</v>
      </c>
      <c r="J1366" s="32" t="s">
        <v>646</v>
      </c>
    </row>
    <row r="1367" spans="6:10" x14ac:dyDescent="0.25">
      <c r="F1367" s="32"/>
      <c r="G1367" s="32" t="s">
        <v>2047</v>
      </c>
      <c r="H1367" s="32" t="s">
        <v>3059</v>
      </c>
      <c r="I1367" s="32" t="s">
        <v>645</v>
      </c>
      <c r="J1367" s="32" t="s">
        <v>646</v>
      </c>
    </row>
    <row r="1368" spans="6:10" x14ac:dyDescent="0.25">
      <c r="F1368" s="32"/>
      <c r="G1368" s="32" t="s">
        <v>3060</v>
      </c>
      <c r="H1368" s="32" t="s">
        <v>3061</v>
      </c>
      <c r="I1368" s="32" t="s">
        <v>645</v>
      </c>
      <c r="J1368" s="32" t="s">
        <v>646</v>
      </c>
    </row>
    <row r="1369" spans="6:10" x14ac:dyDescent="0.25">
      <c r="F1369" s="32"/>
      <c r="G1369" s="32" t="s">
        <v>3062</v>
      </c>
      <c r="H1369" s="32" t="s">
        <v>3063</v>
      </c>
      <c r="I1369" s="32" t="s">
        <v>645</v>
      </c>
      <c r="J1369" s="32" t="s">
        <v>646</v>
      </c>
    </row>
    <row r="1370" spans="6:10" x14ac:dyDescent="0.25">
      <c r="F1370" s="32"/>
      <c r="G1370" s="32" t="s">
        <v>3064</v>
      </c>
      <c r="H1370" s="32" t="s">
        <v>3065</v>
      </c>
      <c r="I1370" s="32" t="s">
        <v>645</v>
      </c>
      <c r="J1370" s="32" t="s">
        <v>646</v>
      </c>
    </row>
    <row r="1371" spans="6:10" x14ac:dyDescent="0.25">
      <c r="F1371" s="32" t="s">
        <v>625</v>
      </c>
      <c r="G1371" s="32"/>
      <c r="H1371" s="32" t="s">
        <v>3066</v>
      </c>
      <c r="I1371" s="32"/>
      <c r="J1371" s="32"/>
    </row>
    <row r="1372" spans="6:10" x14ac:dyDescent="0.25">
      <c r="F1372" s="32"/>
      <c r="G1372" s="32" t="s">
        <v>3067</v>
      </c>
      <c r="H1372" s="32" t="s">
        <v>3068</v>
      </c>
      <c r="I1372" s="32" t="s">
        <v>924</v>
      </c>
      <c r="J1372" s="32" t="s">
        <v>1815</v>
      </c>
    </row>
    <row r="1373" spans="6:10" x14ac:dyDescent="0.25">
      <c r="F1373" s="32"/>
      <c r="G1373" s="32" t="s">
        <v>1017</v>
      </c>
      <c r="H1373" s="32" t="s">
        <v>3069</v>
      </c>
      <c r="I1373" s="32" t="s">
        <v>645</v>
      </c>
      <c r="J1373" s="32" t="s">
        <v>646</v>
      </c>
    </row>
    <row r="1374" spans="6:10" x14ac:dyDescent="0.25">
      <c r="F1374" s="32"/>
      <c r="G1374" s="32" t="s">
        <v>3070</v>
      </c>
      <c r="H1374" s="32" t="s">
        <v>3071</v>
      </c>
      <c r="I1374" s="32" t="s">
        <v>924</v>
      </c>
      <c r="J1374" s="32" t="s">
        <v>1815</v>
      </c>
    </row>
    <row r="1375" spans="6:10" x14ac:dyDescent="0.25">
      <c r="F1375" s="32"/>
      <c r="G1375" s="32" t="s">
        <v>3072</v>
      </c>
      <c r="H1375" s="32" t="s">
        <v>3073</v>
      </c>
      <c r="I1375" s="32" t="s">
        <v>645</v>
      </c>
      <c r="J1375" s="32" t="s">
        <v>646</v>
      </c>
    </row>
    <row r="1376" spans="6:10" x14ac:dyDescent="0.25">
      <c r="F1376" s="32" t="s">
        <v>557</v>
      </c>
      <c r="G1376" s="32"/>
      <c r="H1376" s="32" t="s">
        <v>3074</v>
      </c>
      <c r="I1376" s="32"/>
      <c r="J1376" s="32"/>
    </row>
    <row r="1377" spans="6:10" x14ac:dyDescent="0.25">
      <c r="F1377" s="32"/>
      <c r="G1377" s="32" t="s">
        <v>3075</v>
      </c>
      <c r="H1377" s="32" t="s">
        <v>3076</v>
      </c>
      <c r="I1377" s="32" t="s">
        <v>924</v>
      </c>
      <c r="J1377" s="32" t="s">
        <v>1815</v>
      </c>
    </row>
    <row r="1378" spans="6:10" x14ac:dyDescent="0.25">
      <c r="F1378" s="32"/>
      <c r="G1378" s="32" t="s">
        <v>3077</v>
      </c>
      <c r="H1378" s="32" t="s">
        <v>3078</v>
      </c>
      <c r="I1378" s="32" t="s">
        <v>924</v>
      </c>
      <c r="J1378" s="32" t="s">
        <v>1815</v>
      </c>
    </row>
    <row r="1379" spans="6:10" x14ac:dyDescent="0.25">
      <c r="F1379" s="32"/>
      <c r="G1379" s="32" t="s">
        <v>3079</v>
      </c>
      <c r="H1379" s="32" t="s">
        <v>3080</v>
      </c>
      <c r="I1379" s="32" t="s">
        <v>924</v>
      </c>
      <c r="J1379" s="32" t="s">
        <v>1815</v>
      </c>
    </row>
    <row r="1380" spans="6:10" x14ac:dyDescent="0.25">
      <c r="F1380" s="32" t="s">
        <v>460</v>
      </c>
      <c r="G1380" s="32"/>
      <c r="H1380" s="32"/>
      <c r="I1380" s="32"/>
      <c r="J1380" s="32"/>
    </row>
    <row r="1381" spans="6:10" x14ac:dyDescent="0.25">
      <c r="F1381" s="32" t="s">
        <v>558</v>
      </c>
      <c r="G1381" s="32"/>
      <c r="H1381" s="32" t="s">
        <v>3081</v>
      </c>
      <c r="I1381" s="32"/>
      <c r="J1381" s="32"/>
    </row>
    <row r="1382" spans="6:10" x14ac:dyDescent="0.25">
      <c r="F1382" s="32"/>
      <c r="G1382" s="32" t="s">
        <v>3082</v>
      </c>
      <c r="H1382" s="32" t="s">
        <v>3083</v>
      </c>
      <c r="I1382" s="32" t="s">
        <v>924</v>
      </c>
      <c r="J1382" s="32" t="s">
        <v>1815</v>
      </c>
    </row>
    <row r="1383" spans="6:10" x14ac:dyDescent="0.25">
      <c r="F1383" s="32"/>
      <c r="G1383" s="32" t="s">
        <v>3084</v>
      </c>
      <c r="H1383" s="32" t="s">
        <v>3085</v>
      </c>
      <c r="I1383" s="32" t="s">
        <v>924</v>
      </c>
      <c r="J1383" s="32" t="s">
        <v>1815</v>
      </c>
    </row>
    <row r="1384" spans="6:10" x14ac:dyDescent="0.25">
      <c r="F1384" s="32"/>
      <c r="G1384" s="32" t="s">
        <v>3086</v>
      </c>
      <c r="H1384" s="32" t="s">
        <v>3087</v>
      </c>
      <c r="I1384" s="32" t="s">
        <v>924</v>
      </c>
      <c r="J1384" s="32" t="s">
        <v>1815</v>
      </c>
    </row>
    <row r="1385" spans="6:10" x14ac:dyDescent="0.25">
      <c r="F1385" s="32"/>
      <c r="G1385" s="32" t="s">
        <v>3088</v>
      </c>
      <c r="H1385" s="32" t="s">
        <v>3089</v>
      </c>
      <c r="I1385" s="32" t="s">
        <v>924</v>
      </c>
      <c r="J1385" s="32" t="s">
        <v>1815</v>
      </c>
    </row>
    <row r="1386" spans="6:10" x14ac:dyDescent="0.25">
      <c r="F1386" s="32"/>
      <c r="G1386" s="32" t="s">
        <v>3090</v>
      </c>
      <c r="H1386" s="32" t="s">
        <v>3091</v>
      </c>
      <c r="I1386" s="32" t="s">
        <v>924</v>
      </c>
      <c r="J1386" s="32" t="s">
        <v>1815</v>
      </c>
    </row>
    <row r="1387" spans="6:10" x14ac:dyDescent="0.25">
      <c r="F1387" s="32"/>
      <c r="G1387" s="32" t="s">
        <v>3092</v>
      </c>
      <c r="H1387" s="32" t="s">
        <v>3093</v>
      </c>
      <c r="I1387" s="32" t="s">
        <v>924</v>
      </c>
      <c r="J1387" s="32" t="s">
        <v>1815</v>
      </c>
    </row>
    <row r="1388" spans="6:10" x14ac:dyDescent="0.25">
      <c r="F1388" s="32"/>
      <c r="G1388" s="32" t="s">
        <v>3746</v>
      </c>
      <c r="H1388" s="32" t="s">
        <v>3094</v>
      </c>
      <c r="I1388" s="32" t="s">
        <v>924</v>
      </c>
      <c r="J1388" s="32" t="s">
        <v>1815</v>
      </c>
    </row>
    <row r="1389" spans="6:10" x14ac:dyDescent="0.25">
      <c r="F1389" s="32"/>
      <c r="G1389" s="32" t="s">
        <v>3095</v>
      </c>
      <c r="H1389" s="32" t="s">
        <v>3096</v>
      </c>
      <c r="I1389" s="32" t="s">
        <v>924</v>
      </c>
      <c r="J1389" s="32" t="s">
        <v>1815</v>
      </c>
    </row>
    <row r="1390" spans="6:10" x14ac:dyDescent="0.25">
      <c r="F1390" s="32"/>
      <c r="G1390" s="32" t="s">
        <v>3097</v>
      </c>
      <c r="H1390" s="32" t="s">
        <v>3098</v>
      </c>
      <c r="I1390" s="32" t="s">
        <v>924</v>
      </c>
      <c r="J1390" s="32" t="s">
        <v>1815</v>
      </c>
    </row>
    <row r="1391" spans="6:10" x14ac:dyDescent="0.25">
      <c r="F1391" s="32"/>
      <c r="G1391" s="32" t="s">
        <v>3099</v>
      </c>
      <c r="H1391" s="32" t="s">
        <v>3100</v>
      </c>
      <c r="I1391" s="32" t="s">
        <v>924</v>
      </c>
      <c r="J1391" s="32" t="s">
        <v>1815</v>
      </c>
    </row>
    <row r="1392" spans="6:10" x14ac:dyDescent="0.25">
      <c r="F1392" s="32"/>
      <c r="G1392" s="32" t="s">
        <v>3101</v>
      </c>
      <c r="H1392" s="32" t="s">
        <v>3102</v>
      </c>
      <c r="I1392" s="32" t="s">
        <v>924</v>
      </c>
      <c r="J1392" s="32" t="s">
        <v>1815</v>
      </c>
    </row>
    <row r="1393" spans="6:10" x14ac:dyDescent="0.25">
      <c r="F1393" s="32"/>
      <c r="G1393" s="32" t="s">
        <v>3103</v>
      </c>
      <c r="H1393" s="32" t="s">
        <v>3104</v>
      </c>
      <c r="I1393" s="32" t="s">
        <v>924</v>
      </c>
      <c r="J1393" s="32" t="s">
        <v>1815</v>
      </c>
    </row>
    <row r="1394" spans="6:10" x14ac:dyDescent="0.25">
      <c r="F1394" s="32"/>
      <c r="G1394" s="32" t="s">
        <v>3105</v>
      </c>
      <c r="H1394" s="32" t="s">
        <v>3106</v>
      </c>
      <c r="I1394" s="32" t="s">
        <v>924</v>
      </c>
      <c r="J1394" s="32" t="s">
        <v>1815</v>
      </c>
    </row>
    <row r="1395" spans="6:10" x14ac:dyDescent="0.25">
      <c r="F1395" s="32"/>
      <c r="G1395" s="32" t="s">
        <v>4111</v>
      </c>
      <c r="H1395" s="32" t="s">
        <v>3107</v>
      </c>
      <c r="I1395" s="32" t="s">
        <v>924</v>
      </c>
      <c r="J1395" s="32" t="s">
        <v>1815</v>
      </c>
    </row>
    <row r="1396" spans="6:10" x14ac:dyDescent="0.25">
      <c r="F1396" s="32"/>
      <c r="G1396" s="32" t="s">
        <v>3108</v>
      </c>
      <c r="H1396" s="32" t="s">
        <v>3109</v>
      </c>
      <c r="I1396" s="32" t="s">
        <v>924</v>
      </c>
      <c r="J1396" s="32" t="s">
        <v>1815</v>
      </c>
    </row>
    <row r="1397" spans="6:10" x14ac:dyDescent="0.25">
      <c r="F1397" s="32"/>
      <c r="G1397" s="32" t="s">
        <v>3110</v>
      </c>
      <c r="H1397" s="32" t="s">
        <v>3111</v>
      </c>
      <c r="I1397" s="32" t="s">
        <v>924</v>
      </c>
      <c r="J1397" s="32" t="s">
        <v>1815</v>
      </c>
    </row>
    <row r="1398" spans="6:10" x14ac:dyDescent="0.25">
      <c r="F1398" s="32"/>
      <c r="G1398" s="32" t="s">
        <v>3112</v>
      </c>
      <c r="H1398" s="32" t="s">
        <v>3113</v>
      </c>
      <c r="I1398" s="32" t="s">
        <v>924</v>
      </c>
      <c r="J1398" s="32" t="s">
        <v>1815</v>
      </c>
    </row>
    <row r="1399" spans="6:10" x14ac:dyDescent="0.25">
      <c r="F1399" s="32"/>
      <c r="G1399" s="32" t="s">
        <v>3114</v>
      </c>
      <c r="H1399" s="32" t="s">
        <v>3115</v>
      </c>
      <c r="I1399" s="32" t="s">
        <v>924</v>
      </c>
      <c r="J1399" s="32" t="s">
        <v>1815</v>
      </c>
    </row>
    <row r="1400" spans="6:10" x14ac:dyDescent="0.25">
      <c r="F1400" s="32"/>
      <c r="G1400" s="32" t="s">
        <v>3116</v>
      </c>
      <c r="H1400" s="32" t="s">
        <v>3117</v>
      </c>
      <c r="I1400" s="32" t="s">
        <v>924</v>
      </c>
      <c r="J1400" s="32" t="s">
        <v>1815</v>
      </c>
    </row>
    <row r="1401" spans="6:10" x14ac:dyDescent="0.25">
      <c r="F1401" s="32"/>
      <c r="G1401" s="32" t="s">
        <v>3118</v>
      </c>
      <c r="H1401" s="32" t="s">
        <v>3119</v>
      </c>
      <c r="I1401" s="32" t="s">
        <v>924</v>
      </c>
      <c r="J1401" s="32" t="s">
        <v>1815</v>
      </c>
    </row>
    <row r="1402" spans="6:10" x14ac:dyDescent="0.25">
      <c r="F1402" s="32" t="s">
        <v>559</v>
      </c>
      <c r="G1402" s="32"/>
      <c r="H1402" s="32" t="s">
        <v>3120</v>
      </c>
      <c r="I1402" s="32"/>
      <c r="J1402" s="32"/>
    </row>
    <row r="1403" spans="6:10" x14ac:dyDescent="0.25">
      <c r="F1403" s="32"/>
      <c r="G1403" s="32" t="s">
        <v>3121</v>
      </c>
      <c r="H1403" s="32" t="s">
        <v>3122</v>
      </c>
      <c r="I1403" s="32" t="s">
        <v>924</v>
      </c>
      <c r="J1403" s="32" t="s">
        <v>1815</v>
      </c>
    </row>
    <row r="1404" spans="6:10" x14ac:dyDescent="0.25">
      <c r="F1404" s="32"/>
      <c r="G1404" s="32" t="s">
        <v>3123</v>
      </c>
      <c r="H1404" s="32" t="s">
        <v>3124</v>
      </c>
      <c r="I1404" s="32" t="s">
        <v>645</v>
      </c>
      <c r="J1404" s="32" t="s">
        <v>646</v>
      </c>
    </row>
    <row r="1405" spans="6:10" x14ac:dyDescent="0.25">
      <c r="F1405" s="32"/>
      <c r="G1405" s="32" t="s">
        <v>3125</v>
      </c>
      <c r="H1405" s="32" t="s">
        <v>3126</v>
      </c>
      <c r="I1405" s="32" t="s">
        <v>645</v>
      </c>
      <c r="J1405" s="32" t="s">
        <v>646</v>
      </c>
    </row>
    <row r="1406" spans="6:10" x14ac:dyDescent="0.25">
      <c r="F1406" s="32"/>
      <c r="G1406" s="32" t="s">
        <v>3127</v>
      </c>
      <c r="H1406" s="32" t="s">
        <v>3128</v>
      </c>
      <c r="I1406" s="32" t="s">
        <v>924</v>
      </c>
      <c r="J1406" s="32" t="s">
        <v>1815</v>
      </c>
    </row>
    <row r="1407" spans="6:10" x14ac:dyDescent="0.25">
      <c r="F1407" s="32"/>
      <c r="G1407" s="32" t="s">
        <v>3129</v>
      </c>
      <c r="H1407" s="32" t="s">
        <v>3130</v>
      </c>
      <c r="I1407" s="32" t="s">
        <v>924</v>
      </c>
      <c r="J1407" s="32" t="s">
        <v>1815</v>
      </c>
    </row>
    <row r="1408" spans="6:10" x14ac:dyDescent="0.25">
      <c r="F1408" s="32"/>
      <c r="G1408" s="32" t="s">
        <v>3131</v>
      </c>
      <c r="H1408" s="32" t="s">
        <v>3132</v>
      </c>
      <c r="I1408" s="32" t="s">
        <v>924</v>
      </c>
      <c r="J1408" s="32" t="s">
        <v>1815</v>
      </c>
    </row>
    <row r="1409" spans="6:10" x14ac:dyDescent="0.25">
      <c r="F1409" s="32" t="s">
        <v>4612</v>
      </c>
      <c r="G1409" s="32"/>
      <c r="H1409" s="32" t="s">
        <v>3133</v>
      </c>
      <c r="I1409" s="32"/>
      <c r="J1409" s="32"/>
    </row>
    <row r="1410" spans="6:10" x14ac:dyDescent="0.25">
      <c r="F1410" s="32"/>
      <c r="G1410" s="32" t="s">
        <v>450</v>
      </c>
      <c r="H1410" s="32" t="s">
        <v>3134</v>
      </c>
      <c r="I1410" s="32" t="s">
        <v>924</v>
      </c>
      <c r="J1410" s="32" t="s">
        <v>1815</v>
      </c>
    </row>
    <row r="1411" spans="6:10" x14ac:dyDescent="0.25">
      <c r="F1411" s="32"/>
      <c r="G1411" s="32" t="s">
        <v>3135</v>
      </c>
      <c r="H1411" s="32" t="s">
        <v>3136</v>
      </c>
      <c r="I1411" s="32" t="s">
        <v>924</v>
      </c>
      <c r="J1411" s="32" t="s">
        <v>1815</v>
      </c>
    </row>
    <row r="1412" spans="6:10" x14ac:dyDescent="0.25">
      <c r="F1412" s="32"/>
      <c r="G1412" s="32" t="s">
        <v>3137</v>
      </c>
      <c r="H1412" s="32" t="s">
        <v>3138</v>
      </c>
      <c r="I1412" s="32" t="s">
        <v>924</v>
      </c>
      <c r="J1412" s="32" t="s">
        <v>1815</v>
      </c>
    </row>
    <row r="1413" spans="6:10" x14ac:dyDescent="0.25">
      <c r="F1413" s="32"/>
      <c r="G1413" s="32" t="s">
        <v>3139</v>
      </c>
      <c r="H1413" s="32" t="s">
        <v>3140</v>
      </c>
      <c r="I1413" s="32" t="s">
        <v>924</v>
      </c>
      <c r="J1413" s="32" t="s">
        <v>1815</v>
      </c>
    </row>
    <row r="1414" spans="6:10" x14ac:dyDescent="0.25">
      <c r="F1414" s="32"/>
      <c r="G1414" s="32" t="s">
        <v>3141</v>
      </c>
      <c r="H1414" s="32" t="s">
        <v>3142</v>
      </c>
      <c r="I1414" s="32" t="s">
        <v>924</v>
      </c>
      <c r="J1414" s="32" t="s">
        <v>1815</v>
      </c>
    </row>
    <row r="1415" spans="6:10" x14ac:dyDescent="0.25">
      <c r="F1415" s="32"/>
      <c r="G1415" s="32" t="s">
        <v>3143</v>
      </c>
      <c r="H1415" s="32" t="s">
        <v>3144</v>
      </c>
      <c r="I1415" s="32" t="s">
        <v>924</v>
      </c>
      <c r="J1415" s="32" t="s">
        <v>1815</v>
      </c>
    </row>
    <row r="1416" spans="6:10" x14ac:dyDescent="0.25">
      <c r="F1416" s="32"/>
      <c r="G1416" s="32" t="s">
        <v>3145</v>
      </c>
      <c r="H1416" s="32" t="s">
        <v>3146</v>
      </c>
      <c r="I1416" s="32" t="s">
        <v>924</v>
      </c>
      <c r="J1416" s="32" t="s">
        <v>1815</v>
      </c>
    </row>
    <row r="1417" spans="6:10" x14ac:dyDescent="0.25">
      <c r="F1417" s="32"/>
      <c r="G1417" s="32" t="s">
        <v>3147</v>
      </c>
      <c r="H1417" s="32" t="s">
        <v>3148</v>
      </c>
      <c r="I1417" s="32" t="s">
        <v>924</v>
      </c>
      <c r="J1417" s="32" t="s">
        <v>1815</v>
      </c>
    </row>
    <row r="1418" spans="6:10" x14ac:dyDescent="0.25">
      <c r="F1418" s="32"/>
      <c r="G1418" s="32" t="s">
        <v>3149</v>
      </c>
      <c r="H1418" s="32" t="s">
        <v>3150</v>
      </c>
      <c r="I1418" s="32" t="s">
        <v>924</v>
      </c>
      <c r="J1418" s="32" t="s">
        <v>1815</v>
      </c>
    </row>
    <row r="1419" spans="6:10" x14ac:dyDescent="0.25">
      <c r="F1419" s="32"/>
      <c r="G1419" s="32" t="s">
        <v>2601</v>
      </c>
      <c r="H1419" s="32" t="s">
        <v>3151</v>
      </c>
      <c r="I1419" s="32" t="s">
        <v>924</v>
      </c>
      <c r="J1419" s="32" t="s">
        <v>1815</v>
      </c>
    </row>
    <row r="1420" spans="6:10" x14ac:dyDescent="0.25">
      <c r="F1420" s="32"/>
      <c r="G1420" s="32" t="s">
        <v>3905</v>
      </c>
      <c r="H1420" s="32" t="s">
        <v>3152</v>
      </c>
      <c r="I1420" s="32" t="s">
        <v>924</v>
      </c>
      <c r="J1420" s="32" t="s">
        <v>1815</v>
      </c>
    </row>
    <row r="1421" spans="6:10" x14ac:dyDescent="0.25">
      <c r="F1421" s="32"/>
      <c r="G1421" s="32" t="s">
        <v>3153</v>
      </c>
      <c r="H1421" s="32" t="s">
        <v>3154</v>
      </c>
      <c r="I1421" s="32" t="s">
        <v>924</v>
      </c>
      <c r="J1421" s="32" t="s">
        <v>1815</v>
      </c>
    </row>
    <row r="1422" spans="6:10" x14ac:dyDescent="0.25">
      <c r="F1422" s="32" t="s">
        <v>460</v>
      </c>
      <c r="G1422" s="32"/>
      <c r="H1422" s="32"/>
      <c r="I1422" s="32"/>
      <c r="J1422" s="32"/>
    </row>
    <row r="1423" spans="6:10" x14ac:dyDescent="0.25">
      <c r="F1423" s="32" t="s">
        <v>4613</v>
      </c>
      <c r="G1423" s="32"/>
      <c r="H1423" s="32" t="s">
        <v>3155</v>
      </c>
      <c r="I1423" s="32"/>
      <c r="J1423" s="32"/>
    </row>
    <row r="1424" spans="6:10" x14ac:dyDescent="0.25">
      <c r="F1424" s="32"/>
      <c r="G1424" s="32" t="s">
        <v>451</v>
      </c>
      <c r="H1424" s="32" t="s">
        <v>3156</v>
      </c>
      <c r="I1424" s="32" t="s">
        <v>924</v>
      </c>
      <c r="J1424" s="32" t="s">
        <v>925</v>
      </c>
    </row>
    <row r="1425" spans="6:10" x14ac:dyDescent="0.25">
      <c r="F1425" s="32"/>
      <c r="G1425" s="32" t="s">
        <v>3157</v>
      </c>
      <c r="H1425" s="32" t="s">
        <v>3158</v>
      </c>
      <c r="I1425" s="32" t="s">
        <v>924</v>
      </c>
      <c r="J1425" s="32" t="s">
        <v>925</v>
      </c>
    </row>
    <row r="1426" spans="6:10" x14ac:dyDescent="0.25">
      <c r="F1426" s="32"/>
      <c r="G1426" s="32" t="s">
        <v>3159</v>
      </c>
      <c r="H1426" s="32" t="s">
        <v>3160</v>
      </c>
      <c r="I1426" s="32" t="s">
        <v>924</v>
      </c>
      <c r="J1426" s="32" t="s">
        <v>925</v>
      </c>
    </row>
    <row r="1427" spans="6:10" x14ac:dyDescent="0.25">
      <c r="F1427" s="32"/>
      <c r="G1427" s="32" t="s">
        <v>3161</v>
      </c>
      <c r="H1427" s="32" t="s">
        <v>3162</v>
      </c>
      <c r="I1427" s="32" t="s">
        <v>924</v>
      </c>
      <c r="J1427" s="32" t="s">
        <v>925</v>
      </c>
    </row>
    <row r="1428" spans="6:10" x14ac:dyDescent="0.25">
      <c r="F1428" s="32"/>
      <c r="G1428" s="32" t="s">
        <v>3163</v>
      </c>
      <c r="H1428" s="32" t="s">
        <v>3164</v>
      </c>
      <c r="I1428" s="32" t="s">
        <v>924</v>
      </c>
      <c r="J1428" s="32" t="s">
        <v>925</v>
      </c>
    </row>
    <row r="1429" spans="6:10" x14ac:dyDescent="0.25">
      <c r="F1429" s="32"/>
      <c r="G1429" s="32" t="s">
        <v>3165</v>
      </c>
      <c r="H1429" s="32" t="s">
        <v>3166</v>
      </c>
      <c r="I1429" s="32" t="s">
        <v>924</v>
      </c>
      <c r="J1429" s="32" t="s">
        <v>925</v>
      </c>
    </row>
    <row r="1430" spans="6:10" x14ac:dyDescent="0.25">
      <c r="F1430" s="32"/>
      <c r="G1430" s="32" t="s">
        <v>3167</v>
      </c>
      <c r="H1430" s="32" t="s">
        <v>3168</v>
      </c>
      <c r="I1430" s="32" t="s">
        <v>924</v>
      </c>
      <c r="J1430" s="32" t="s">
        <v>925</v>
      </c>
    </row>
    <row r="1431" spans="6:10" x14ac:dyDescent="0.25">
      <c r="F1431" s="32"/>
      <c r="G1431" s="32" t="s">
        <v>3169</v>
      </c>
      <c r="H1431" s="32" t="s">
        <v>3170</v>
      </c>
      <c r="I1431" s="32" t="s">
        <v>924</v>
      </c>
      <c r="J1431" s="32" t="s">
        <v>925</v>
      </c>
    </row>
    <row r="1432" spans="6:10" x14ac:dyDescent="0.25">
      <c r="F1432" s="32"/>
      <c r="G1432" s="32" t="s">
        <v>3171</v>
      </c>
      <c r="H1432" s="32" t="s">
        <v>3172</v>
      </c>
      <c r="I1432" s="32" t="s">
        <v>924</v>
      </c>
      <c r="J1432" s="32" t="s">
        <v>925</v>
      </c>
    </row>
    <row r="1433" spans="6:10" x14ac:dyDescent="0.25">
      <c r="F1433" s="32"/>
      <c r="G1433" s="32" t="s">
        <v>2730</v>
      </c>
      <c r="H1433" s="32" t="s">
        <v>3173</v>
      </c>
      <c r="I1433" s="32" t="s">
        <v>924</v>
      </c>
      <c r="J1433" s="32" t="s">
        <v>925</v>
      </c>
    </row>
    <row r="1434" spans="6:10" x14ac:dyDescent="0.25">
      <c r="F1434" s="32"/>
      <c r="G1434" s="32" t="s">
        <v>3174</v>
      </c>
      <c r="H1434" s="32" t="s">
        <v>3175</v>
      </c>
      <c r="I1434" s="32" t="s">
        <v>924</v>
      </c>
      <c r="J1434" s="32" t="s">
        <v>925</v>
      </c>
    </row>
    <row r="1435" spans="6:10" x14ac:dyDescent="0.25">
      <c r="F1435" s="32"/>
      <c r="G1435" s="32" t="s">
        <v>3176</v>
      </c>
      <c r="H1435" s="32" t="s">
        <v>3177</v>
      </c>
      <c r="I1435" s="32" t="s">
        <v>924</v>
      </c>
      <c r="J1435" s="32" t="s">
        <v>925</v>
      </c>
    </row>
    <row r="1436" spans="6:10" x14ac:dyDescent="0.25">
      <c r="F1436" s="32"/>
      <c r="G1436" s="32" t="s">
        <v>3178</v>
      </c>
      <c r="H1436" s="32" t="s">
        <v>3179</v>
      </c>
      <c r="I1436" s="32" t="s">
        <v>924</v>
      </c>
      <c r="J1436" s="32" t="s">
        <v>925</v>
      </c>
    </row>
    <row r="1437" spans="6:10" x14ac:dyDescent="0.25">
      <c r="F1437" s="32"/>
      <c r="G1437" s="32" t="s">
        <v>3180</v>
      </c>
      <c r="H1437" s="32" t="s">
        <v>3181</v>
      </c>
      <c r="I1437" s="32" t="s">
        <v>924</v>
      </c>
      <c r="J1437" s="32" t="s">
        <v>925</v>
      </c>
    </row>
    <row r="1438" spans="6:10" x14ac:dyDescent="0.25">
      <c r="F1438" s="32"/>
      <c r="G1438" s="32" t="s">
        <v>3092</v>
      </c>
      <c r="H1438" s="32" t="s">
        <v>3182</v>
      </c>
      <c r="I1438" s="32" t="s">
        <v>924</v>
      </c>
      <c r="J1438" s="32" t="s">
        <v>925</v>
      </c>
    </row>
    <row r="1439" spans="6:10" x14ac:dyDescent="0.25">
      <c r="F1439" s="32"/>
      <c r="G1439" s="32" t="s">
        <v>3183</v>
      </c>
      <c r="H1439" s="32" t="s">
        <v>3184</v>
      </c>
      <c r="I1439" s="32" t="s">
        <v>924</v>
      </c>
      <c r="J1439" s="32" t="s">
        <v>925</v>
      </c>
    </row>
    <row r="1440" spans="6:10" x14ac:dyDescent="0.25">
      <c r="F1440" s="32"/>
      <c r="G1440" s="32" t="s">
        <v>3185</v>
      </c>
      <c r="H1440" s="32" t="s">
        <v>3186</v>
      </c>
      <c r="I1440" s="32" t="s">
        <v>924</v>
      </c>
      <c r="J1440" s="32" t="s">
        <v>925</v>
      </c>
    </row>
    <row r="1441" spans="6:10" x14ac:dyDescent="0.25">
      <c r="F1441" s="32"/>
      <c r="G1441" s="32" t="s">
        <v>3187</v>
      </c>
      <c r="H1441" s="32" t="s">
        <v>3188</v>
      </c>
      <c r="I1441" s="32" t="s">
        <v>924</v>
      </c>
      <c r="J1441" s="32" t="s">
        <v>925</v>
      </c>
    </row>
    <row r="1442" spans="6:10" x14ac:dyDescent="0.25">
      <c r="F1442" s="32"/>
      <c r="G1442" s="32" t="s">
        <v>3189</v>
      </c>
      <c r="H1442" s="32" t="s">
        <v>3190</v>
      </c>
      <c r="I1442" s="32" t="s">
        <v>924</v>
      </c>
      <c r="J1442" s="32" t="s">
        <v>925</v>
      </c>
    </row>
    <row r="1443" spans="6:10" x14ac:dyDescent="0.25">
      <c r="F1443" s="32"/>
      <c r="G1443" s="32" t="s">
        <v>3191</v>
      </c>
      <c r="H1443" s="32" t="s">
        <v>3192</v>
      </c>
      <c r="I1443" s="32" t="s">
        <v>924</v>
      </c>
      <c r="J1443" s="32" t="s">
        <v>925</v>
      </c>
    </row>
    <row r="1444" spans="6:10" x14ac:dyDescent="0.25">
      <c r="F1444" s="32"/>
      <c r="G1444" s="32" t="s">
        <v>997</v>
      </c>
      <c r="H1444" s="32" t="s">
        <v>3193</v>
      </c>
      <c r="I1444" s="32" t="s">
        <v>924</v>
      </c>
      <c r="J1444" s="32" t="s">
        <v>925</v>
      </c>
    </row>
    <row r="1445" spans="6:10" x14ac:dyDescent="0.25">
      <c r="F1445" s="32"/>
      <c r="G1445" s="32" t="s">
        <v>3194</v>
      </c>
      <c r="H1445" s="32" t="s">
        <v>3195</v>
      </c>
      <c r="I1445" s="32" t="s">
        <v>924</v>
      </c>
      <c r="J1445" s="32" t="s">
        <v>925</v>
      </c>
    </row>
    <row r="1446" spans="6:10" x14ac:dyDescent="0.25">
      <c r="F1446" s="32"/>
      <c r="G1446" s="32" t="s">
        <v>3196</v>
      </c>
      <c r="H1446" s="32" t="s">
        <v>3197</v>
      </c>
      <c r="I1446" s="32" t="s">
        <v>924</v>
      </c>
      <c r="J1446" s="32" t="s">
        <v>925</v>
      </c>
    </row>
    <row r="1447" spans="6:10" x14ac:dyDescent="0.25">
      <c r="F1447" s="32"/>
      <c r="G1447" s="32" t="s">
        <v>3198</v>
      </c>
      <c r="H1447" s="32" t="s">
        <v>3199</v>
      </c>
      <c r="I1447" s="32" t="s">
        <v>924</v>
      </c>
      <c r="J1447" s="32" t="s">
        <v>925</v>
      </c>
    </row>
    <row r="1448" spans="6:10" x14ac:dyDescent="0.25">
      <c r="F1448" s="32"/>
      <c r="G1448" s="32" t="s">
        <v>3200</v>
      </c>
      <c r="H1448" s="32" t="s">
        <v>3201</v>
      </c>
      <c r="I1448" s="32" t="s">
        <v>924</v>
      </c>
      <c r="J1448" s="32" t="s">
        <v>925</v>
      </c>
    </row>
    <row r="1449" spans="6:10" x14ac:dyDescent="0.25">
      <c r="F1449" s="32"/>
      <c r="G1449" s="32" t="s">
        <v>3202</v>
      </c>
      <c r="H1449" s="32" t="s">
        <v>3203</v>
      </c>
      <c r="I1449" s="32" t="s">
        <v>924</v>
      </c>
      <c r="J1449" s="32" t="s">
        <v>925</v>
      </c>
    </row>
    <row r="1450" spans="6:10" x14ac:dyDescent="0.25">
      <c r="F1450" s="32"/>
      <c r="G1450" s="32" t="s">
        <v>3204</v>
      </c>
      <c r="H1450" s="32" t="s">
        <v>3205</v>
      </c>
      <c r="I1450" s="32" t="s">
        <v>924</v>
      </c>
      <c r="J1450" s="32" t="s">
        <v>925</v>
      </c>
    </row>
    <row r="1451" spans="6:10" x14ac:dyDescent="0.25">
      <c r="F1451" s="32"/>
      <c r="G1451" s="32" t="s">
        <v>3206</v>
      </c>
      <c r="H1451" s="32" t="s">
        <v>3207</v>
      </c>
      <c r="I1451" s="32" t="s">
        <v>924</v>
      </c>
      <c r="J1451" s="32" t="s">
        <v>925</v>
      </c>
    </row>
    <row r="1452" spans="6:10" x14ac:dyDescent="0.25">
      <c r="F1452" s="32"/>
      <c r="G1452" s="32" t="s">
        <v>3208</v>
      </c>
      <c r="H1452" s="32" t="s">
        <v>3209</v>
      </c>
      <c r="I1452" s="32" t="s">
        <v>924</v>
      </c>
      <c r="J1452" s="32" t="s">
        <v>925</v>
      </c>
    </row>
    <row r="1453" spans="6:10" x14ac:dyDescent="0.25">
      <c r="F1453" s="32"/>
      <c r="G1453" s="32" t="s">
        <v>3210</v>
      </c>
      <c r="H1453" s="32" t="s">
        <v>3211</v>
      </c>
      <c r="I1453" s="32" t="s">
        <v>924</v>
      </c>
      <c r="J1453" s="32" t="s">
        <v>925</v>
      </c>
    </row>
    <row r="1454" spans="6:10" x14ac:dyDescent="0.25">
      <c r="F1454" s="32"/>
      <c r="G1454" s="32" t="s">
        <v>2367</v>
      </c>
      <c r="H1454" s="32" t="s">
        <v>3212</v>
      </c>
      <c r="I1454" s="32" t="s">
        <v>924</v>
      </c>
      <c r="J1454" s="32" t="s">
        <v>925</v>
      </c>
    </row>
    <row r="1455" spans="6:10" x14ac:dyDescent="0.25">
      <c r="F1455" s="32"/>
      <c r="G1455" s="32" t="s">
        <v>3213</v>
      </c>
      <c r="H1455" s="32" t="s">
        <v>3214</v>
      </c>
      <c r="I1455" s="32" t="s">
        <v>924</v>
      </c>
      <c r="J1455" s="32" t="s">
        <v>925</v>
      </c>
    </row>
    <row r="1456" spans="6:10" x14ac:dyDescent="0.25">
      <c r="F1456" s="32"/>
      <c r="G1456" s="32" t="s">
        <v>3215</v>
      </c>
      <c r="H1456" s="32" t="s">
        <v>3216</v>
      </c>
      <c r="I1456" s="32" t="s">
        <v>924</v>
      </c>
      <c r="J1456" s="32" t="s">
        <v>925</v>
      </c>
    </row>
    <row r="1457" spans="6:10" x14ac:dyDescent="0.25">
      <c r="F1457" s="32"/>
      <c r="G1457" s="32" t="s">
        <v>3217</v>
      </c>
      <c r="H1457" s="32" t="s">
        <v>3218</v>
      </c>
      <c r="I1457" s="32" t="s">
        <v>924</v>
      </c>
      <c r="J1457" s="32" t="s">
        <v>925</v>
      </c>
    </row>
    <row r="1458" spans="6:10" x14ac:dyDescent="0.25">
      <c r="F1458" s="32"/>
      <c r="G1458" s="32" t="s">
        <v>3219</v>
      </c>
      <c r="H1458" s="32" t="s">
        <v>3220</v>
      </c>
      <c r="I1458" s="32" t="s">
        <v>924</v>
      </c>
      <c r="J1458" s="32" t="s">
        <v>925</v>
      </c>
    </row>
    <row r="1459" spans="6:10" x14ac:dyDescent="0.25">
      <c r="F1459" s="32"/>
      <c r="G1459" s="32" t="s">
        <v>619</v>
      </c>
      <c r="H1459" s="32" t="s">
        <v>3221</v>
      </c>
      <c r="I1459" s="32" t="s">
        <v>924</v>
      </c>
      <c r="J1459" s="32" t="s">
        <v>925</v>
      </c>
    </row>
    <row r="1460" spans="6:10" x14ac:dyDescent="0.25">
      <c r="F1460" s="32"/>
      <c r="G1460" s="32" t="s">
        <v>3222</v>
      </c>
      <c r="H1460" s="32" t="s">
        <v>3223</v>
      </c>
      <c r="I1460" s="32" t="s">
        <v>924</v>
      </c>
      <c r="J1460" s="32" t="s">
        <v>925</v>
      </c>
    </row>
    <row r="1461" spans="6:10" x14ac:dyDescent="0.25">
      <c r="F1461" s="32"/>
      <c r="G1461" s="32" t="s">
        <v>3224</v>
      </c>
      <c r="H1461" s="32" t="s">
        <v>3225</v>
      </c>
      <c r="I1461" s="32" t="s">
        <v>924</v>
      </c>
      <c r="J1461" s="32" t="s">
        <v>925</v>
      </c>
    </row>
    <row r="1462" spans="6:10" x14ac:dyDescent="0.25">
      <c r="F1462" s="32"/>
      <c r="G1462" s="32" t="s">
        <v>4111</v>
      </c>
      <c r="H1462" s="32" t="s">
        <v>3226</v>
      </c>
      <c r="I1462" s="32" t="s">
        <v>924</v>
      </c>
      <c r="J1462" s="32" t="s">
        <v>925</v>
      </c>
    </row>
    <row r="1463" spans="6:10" x14ac:dyDescent="0.25">
      <c r="F1463" s="32"/>
      <c r="G1463" s="32" t="s">
        <v>3227</v>
      </c>
      <c r="H1463" s="32" t="s">
        <v>3228</v>
      </c>
      <c r="I1463" s="32" t="s">
        <v>924</v>
      </c>
      <c r="J1463" s="32" t="s">
        <v>925</v>
      </c>
    </row>
    <row r="1464" spans="6:10" x14ac:dyDescent="0.25">
      <c r="F1464" s="32"/>
      <c r="G1464" s="32" t="s">
        <v>3229</v>
      </c>
      <c r="H1464" s="32" t="s">
        <v>3230</v>
      </c>
      <c r="I1464" s="32" t="s">
        <v>924</v>
      </c>
      <c r="J1464" s="32" t="s">
        <v>925</v>
      </c>
    </row>
    <row r="1465" spans="6:10" x14ac:dyDescent="0.25">
      <c r="F1465" s="32"/>
      <c r="G1465" s="32" t="s">
        <v>3231</v>
      </c>
      <c r="H1465" s="32" t="s">
        <v>3232</v>
      </c>
      <c r="I1465" s="32" t="s">
        <v>924</v>
      </c>
      <c r="J1465" s="32" t="s">
        <v>925</v>
      </c>
    </row>
    <row r="1466" spans="6:10" x14ac:dyDescent="0.25">
      <c r="F1466" s="32"/>
      <c r="G1466" s="32" t="s">
        <v>3233</v>
      </c>
      <c r="H1466" s="32" t="s">
        <v>3234</v>
      </c>
      <c r="I1466" s="32" t="s">
        <v>924</v>
      </c>
      <c r="J1466" s="32" t="s">
        <v>925</v>
      </c>
    </row>
    <row r="1467" spans="6:10" x14ac:dyDescent="0.25">
      <c r="F1467" s="32" t="s">
        <v>560</v>
      </c>
      <c r="G1467" s="32"/>
      <c r="H1467" s="32" t="s">
        <v>3235</v>
      </c>
      <c r="I1467" s="32"/>
      <c r="J1467" s="32"/>
    </row>
    <row r="1468" spans="6:10" x14ac:dyDescent="0.25">
      <c r="F1468" s="32"/>
      <c r="G1468" s="32" t="s">
        <v>3236</v>
      </c>
      <c r="H1468" s="32" t="s">
        <v>3237</v>
      </c>
      <c r="I1468" s="32" t="s">
        <v>924</v>
      </c>
      <c r="J1468" s="32" t="s">
        <v>925</v>
      </c>
    </row>
    <row r="1469" spans="6:10" x14ac:dyDescent="0.25">
      <c r="F1469" s="32"/>
      <c r="G1469" s="32" t="s">
        <v>3238</v>
      </c>
      <c r="H1469" s="32" t="s">
        <v>3239</v>
      </c>
      <c r="I1469" s="32" t="s">
        <v>924</v>
      </c>
      <c r="J1469" s="32" t="s">
        <v>925</v>
      </c>
    </row>
    <row r="1470" spans="6:10" x14ac:dyDescent="0.25">
      <c r="F1470" s="32"/>
      <c r="G1470" s="32" t="s">
        <v>3240</v>
      </c>
      <c r="H1470" s="32" t="s">
        <v>3241</v>
      </c>
      <c r="I1470" s="32" t="s">
        <v>924</v>
      </c>
      <c r="J1470" s="32" t="s">
        <v>925</v>
      </c>
    </row>
    <row r="1471" spans="6:10" x14ac:dyDescent="0.25">
      <c r="F1471" s="32"/>
      <c r="G1471" s="32" t="s">
        <v>3242</v>
      </c>
      <c r="H1471" s="32" t="s">
        <v>3243</v>
      </c>
      <c r="I1471" s="32" t="s">
        <v>924</v>
      </c>
      <c r="J1471" s="32" t="s">
        <v>925</v>
      </c>
    </row>
    <row r="1472" spans="6:10" x14ac:dyDescent="0.25">
      <c r="F1472" s="32"/>
      <c r="G1472" s="32" t="s">
        <v>3244</v>
      </c>
      <c r="H1472" s="32" t="s">
        <v>3245</v>
      </c>
      <c r="I1472" s="32" t="s">
        <v>924</v>
      </c>
      <c r="J1472" s="32" t="s">
        <v>925</v>
      </c>
    </row>
    <row r="1473" spans="6:10" x14ac:dyDescent="0.25">
      <c r="F1473" s="32" t="s">
        <v>561</v>
      </c>
      <c r="G1473" s="32"/>
      <c r="H1473" s="32" t="s">
        <v>3246</v>
      </c>
      <c r="I1473" s="32"/>
      <c r="J1473" s="32"/>
    </row>
    <row r="1474" spans="6:10" x14ac:dyDescent="0.25">
      <c r="F1474" s="32"/>
      <c r="G1474" s="32" t="s">
        <v>3247</v>
      </c>
      <c r="H1474" s="32" t="s">
        <v>3248</v>
      </c>
      <c r="I1474" s="33" t="s">
        <v>645</v>
      </c>
      <c r="J1474" s="33" t="s">
        <v>819</v>
      </c>
    </row>
    <row r="1475" spans="6:10" x14ac:dyDescent="0.25">
      <c r="F1475" s="32"/>
      <c r="G1475" s="32" t="s">
        <v>3249</v>
      </c>
      <c r="H1475" s="32" t="s">
        <v>3250</v>
      </c>
      <c r="I1475" s="33" t="s">
        <v>645</v>
      </c>
      <c r="J1475" s="33" t="s">
        <v>819</v>
      </c>
    </row>
    <row r="1476" spans="6:10" x14ac:dyDescent="0.25">
      <c r="F1476" s="32"/>
      <c r="G1476" s="32" t="s">
        <v>3251</v>
      </c>
      <c r="H1476" s="32" t="s">
        <v>3252</v>
      </c>
      <c r="I1476" s="33" t="s">
        <v>645</v>
      </c>
      <c r="J1476" s="33" t="s">
        <v>819</v>
      </c>
    </row>
    <row r="1477" spans="6:10" x14ac:dyDescent="0.25">
      <c r="F1477" s="32"/>
      <c r="G1477" s="32" t="s">
        <v>3253</v>
      </c>
      <c r="H1477" s="32" t="s">
        <v>3254</v>
      </c>
      <c r="I1477" s="33" t="s">
        <v>924</v>
      </c>
      <c r="J1477" s="33" t="s">
        <v>925</v>
      </c>
    </row>
    <row r="1478" spans="6:10" x14ac:dyDescent="0.25">
      <c r="F1478" s="32"/>
      <c r="G1478" s="32" t="s">
        <v>3255</v>
      </c>
      <c r="H1478" s="32" t="s">
        <v>3256</v>
      </c>
      <c r="I1478" s="33" t="s">
        <v>645</v>
      </c>
      <c r="J1478" s="33" t="s">
        <v>819</v>
      </c>
    </row>
    <row r="1479" spans="6:10" x14ac:dyDescent="0.25">
      <c r="F1479" s="32" t="s">
        <v>562</v>
      </c>
      <c r="G1479" s="32"/>
      <c r="H1479" s="32" t="s">
        <v>3257</v>
      </c>
      <c r="I1479" s="32"/>
      <c r="J1479" s="32"/>
    </row>
    <row r="1480" spans="6:10" x14ac:dyDescent="0.25">
      <c r="F1480" s="32"/>
      <c r="G1480" s="32" t="s">
        <v>3258</v>
      </c>
      <c r="H1480" s="32" t="s">
        <v>3259</v>
      </c>
      <c r="I1480" s="32" t="s">
        <v>645</v>
      </c>
      <c r="J1480" s="32" t="s">
        <v>819</v>
      </c>
    </row>
    <row r="1481" spans="6:10" x14ac:dyDescent="0.25">
      <c r="F1481" s="32"/>
      <c r="G1481" s="32" t="s">
        <v>3260</v>
      </c>
      <c r="H1481" s="32" t="s">
        <v>3261</v>
      </c>
      <c r="I1481" s="32" t="s">
        <v>645</v>
      </c>
      <c r="J1481" s="32" t="s">
        <v>819</v>
      </c>
    </row>
    <row r="1482" spans="6:10" x14ac:dyDescent="0.25">
      <c r="F1482" s="32"/>
      <c r="G1482" s="32" t="s">
        <v>3262</v>
      </c>
      <c r="H1482" s="32" t="s">
        <v>3263</v>
      </c>
      <c r="I1482" s="32" t="s">
        <v>645</v>
      </c>
      <c r="J1482" s="32" t="s">
        <v>819</v>
      </c>
    </row>
    <row r="1483" spans="6:10" x14ac:dyDescent="0.25">
      <c r="F1483" s="32"/>
      <c r="G1483" s="32" t="s">
        <v>3264</v>
      </c>
      <c r="H1483" s="32" t="s">
        <v>3265</v>
      </c>
      <c r="I1483" s="32" t="s">
        <v>645</v>
      </c>
      <c r="J1483" s="32" t="s">
        <v>819</v>
      </c>
    </row>
    <row r="1484" spans="6:10" x14ac:dyDescent="0.25">
      <c r="F1484" s="32"/>
      <c r="G1484" s="32" t="s">
        <v>3266</v>
      </c>
      <c r="H1484" s="32" t="s">
        <v>3267</v>
      </c>
      <c r="I1484" s="32" t="s">
        <v>645</v>
      </c>
      <c r="J1484" s="32" t="s">
        <v>819</v>
      </c>
    </row>
    <row r="1485" spans="6:10" x14ac:dyDescent="0.25">
      <c r="F1485" s="32"/>
      <c r="G1485" s="32" t="s">
        <v>2533</v>
      </c>
      <c r="H1485" s="32" t="s">
        <v>3268</v>
      </c>
      <c r="I1485" s="32" t="s">
        <v>645</v>
      </c>
      <c r="J1485" s="32" t="s">
        <v>819</v>
      </c>
    </row>
    <row r="1486" spans="6:10" x14ac:dyDescent="0.25">
      <c r="F1486" s="32"/>
      <c r="G1486" s="32" t="s">
        <v>3269</v>
      </c>
      <c r="H1486" s="32" t="s">
        <v>3270</v>
      </c>
      <c r="I1486" s="32" t="s">
        <v>924</v>
      </c>
      <c r="J1486" s="32" t="s">
        <v>925</v>
      </c>
    </row>
    <row r="1487" spans="6:10" x14ac:dyDescent="0.25">
      <c r="F1487" s="32" t="s">
        <v>563</v>
      </c>
      <c r="G1487" s="32"/>
      <c r="H1487" s="32" t="s">
        <v>3271</v>
      </c>
      <c r="I1487" s="32"/>
      <c r="J1487" s="32"/>
    </row>
    <row r="1488" spans="6:10" x14ac:dyDescent="0.25">
      <c r="F1488" s="32"/>
      <c r="G1488" s="32" t="s">
        <v>3272</v>
      </c>
      <c r="H1488" s="32" t="s">
        <v>3273</v>
      </c>
      <c r="I1488" s="32" t="s">
        <v>924</v>
      </c>
      <c r="J1488" s="32" t="s">
        <v>925</v>
      </c>
    </row>
    <row r="1489" spans="6:10" x14ac:dyDescent="0.25">
      <c r="F1489" s="32"/>
      <c r="G1489" s="32" t="s">
        <v>3274</v>
      </c>
      <c r="H1489" s="32" t="s">
        <v>3275</v>
      </c>
      <c r="I1489" s="32" t="s">
        <v>924</v>
      </c>
      <c r="J1489" s="32" t="s">
        <v>925</v>
      </c>
    </row>
    <row r="1490" spans="6:10" x14ac:dyDescent="0.25">
      <c r="F1490" s="32"/>
      <c r="G1490" s="32" t="s">
        <v>3276</v>
      </c>
      <c r="H1490" s="32" t="s">
        <v>3277</v>
      </c>
      <c r="I1490" s="32" t="s">
        <v>924</v>
      </c>
      <c r="J1490" s="32" t="s">
        <v>925</v>
      </c>
    </row>
    <row r="1491" spans="6:10" x14ac:dyDescent="0.25">
      <c r="F1491" s="32"/>
      <c r="G1491" s="32" t="s">
        <v>3278</v>
      </c>
      <c r="H1491" s="32" t="s">
        <v>3279</v>
      </c>
      <c r="I1491" s="32" t="s">
        <v>924</v>
      </c>
      <c r="J1491" s="32" t="s">
        <v>925</v>
      </c>
    </row>
    <row r="1492" spans="6:10" x14ac:dyDescent="0.25">
      <c r="F1492" s="32"/>
      <c r="G1492" s="32" t="s">
        <v>3280</v>
      </c>
      <c r="H1492" s="32" t="s">
        <v>3281</v>
      </c>
      <c r="I1492" s="32" t="s">
        <v>924</v>
      </c>
      <c r="J1492" s="32" t="s">
        <v>925</v>
      </c>
    </row>
    <row r="1493" spans="6:10" x14ac:dyDescent="0.25">
      <c r="F1493" s="32"/>
      <c r="G1493" s="32" t="s">
        <v>3282</v>
      </c>
      <c r="H1493" s="32" t="s">
        <v>3283</v>
      </c>
      <c r="I1493" s="32" t="s">
        <v>924</v>
      </c>
      <c r="J1493" s="32" t="s">
        <v>925</v>
      </c>
    </row>
    <row r="1494" spans="6:10" x14ac:dyDescent="0.25">
      <c r="F1494" s="32"/>
      <c r="G1494" s="32" t="s">
        <v>3284</v>
      </c>
      <c r="H1494" s="32" t="s">
        <v>3285</v>
      </c>
      <c r="I1494" s="32" t="s">
        <v>924</v>
      </c>
      <c r="J1494" s="32" t="s">
        <v>925</v>
      </c>
    </row>
    <row r="1495" spans="6:10" x14ac:dyDescent="0.25">
      <c r="F1495" s="32"/>
      <c r="G1495" s="32" t="s">
        <v>3286</v>
      </c>
      <c r="H1495" s="32" t="s">
        <v>3287</v>
      </c>
      <c r="I1495" s="32" t="s">
        <v>924</v>
      </c>
      <c r="J1495" s="32" t="s">
        <v>925</v>
      </c>
    </row>
    <row r="1496" spans="6:10" x14ac:dyDescent="0.25">
      <c r="F1496" s="32"/>
      <c r="G1496" s="32" t="s">
        <v>3288</v>
      </c>
      <c r="H1496" s="32" t="s">
        <v>3289</v>
      </c>
      <c r="I1496" s="32" t="s">
        <v>924</v>
      </c>
      <c r="J1496" s="32" t="s">
        <v>925</v>
      </c>
    </row>
    <row r="1497" spans="6:10" x14ac:dyDescent="0.25">
      <c r="F1497" s="32"/>
      <c r="G1497" s="32" t="s">
        <v>3290</v>
      </c>
      <c r="H1497" s="32" t="s">
        <v>3291</v>
      </c>
      <c r="I1497" s="32" t="s">
        <v>924</v>
      </c>
      <c r="J1497" s="32" t="s">
        <v>925</v>
      </c>
    </row>
    <row r="1498" spans="6:10" x14ac:dyDescent="0.25">
      <c r="F1498" s="32"/>
      <c r="G1498" s="32" t="s">
        <v>3292</v>
      </c>
      <c r="H1498" s="32" t="s">
        <v>3293</v>
      </c>
      <c r="I1498" s="32" t="s">
        <v>924</v>
      </c>
      <c r="J1498" s="32" t="s">
        <v>925</v>
      </c>
    </row>
    <row r="1499" spans="6:10" x14ac:dyDescent="0.25">
      <c r="F1499" s="32"/>
      <c r="G1499" s="32" t="s">
        <v>3294</v>
      </c>
      <c r="H1499" s="32" t="s">
        <v>3295</v>
      </c>
      <c r="I1499" s="32" t="s">
        <v>924</v>
      </c>
      <c r="J1499" s="32" t="s">
        <v>925</v>
      </c>
    </row>
    <row r="1500" spans="6:10" x14ac:dyDescent="0.25">
      <c r="F1500" s="32"/>
      <c r="G1500" s="32" t="s">
        <v>4224</v>
      </c>
      <c r="H1500" s="32" t="s">
        <v>3296</v>
      </c>
      <c r="I1500" s="32" t="s">
        <v>924</v>
      </c>
      <c r="J1500" s="32" t="s">
        <v>925</v>
      </c>
    </row>
    <row r="1501" spans="6:10" x14ac:dyDescent="0.25">
      <c r="F1501" s="32"/>
      <c r="G1501" s="32" t="s">
        <v>3217</v>
      </c>
      <c r="H1501" s="32" t="s">
        <v>3297</v>
      </c>
      <c r="I1501" s="32" t="s">
        <v>924</v>
      </c>
      <c r="J1501" s="32" t="s">
        <v>925</v>
      </c>
    </row>
    <row r="1502" spans="6:10" x14ac:dyDescent="0.25">
      <c r="F1502" s="32"/>
      <c r="G1502" s="32" t="s">
        <v>3298</v>
      </c>
      <c r="H1502" s="32" t="s">
        <v>3299</v>
      </c>
      <c r="I1502" s="32" t="s">
        <v>924</v>
      </c>
      <c r="J1502" s="32" t="s">
        <v>925</v>
      </c>
    </row>
    <row r="1503" spans="6:10" x14ac:dyDescent="0.25">
      <c r="F1503" s="32"/>
      <c r="G1503" s="32" t="s">
        <v>3300</v>
      </c>
      <c r="H1503" s="32" t="s">
        <v>3301</v>
      </c>
      <c r="I1503" s="32" t="s">
        <v>924</v>
      </c>
      <c r="J1503" s="32" t="s">
        <v>925</v>
      </c>
    </row>
    <row r="1504" spans="6:10" x14ac:dyDescent="0.25">
      <c r="F1504" s="32" t="s">
        <v>564</v>
      </c>
      <c r="G1504" s="32"/>
      <c r="H1504" s="32" t="s">
        <v>3302</v>
      </c>
      <c r="I1504" s="32"/>
      <c r="J1504" s="32"/>
    </row>
    <row r="1505" spans="6:10" x14ac:dyDescent="0.25">
      <c r="F1505" s="32"/>
      <c r="G1505" s="32" t="s">
        <v>3303</v>
      </c>
      <c r="H1505" s="32" t="s">
        <v>3304</v>
      </c>
      <c r="I1505" s="32" t="s">
        <v>924</v>
      </c>
      <c r="J1505" s="32" t="s">
        <v>925</v>
      </c>
    </row>
    <row r="1506" spans="6:10" x14ac:dyDescent="0.25">
      <c r="F1506" s="32"/>
      <c r="G1506" s="32" t="s">
        <v>3305</v>
      </c>
      <c r="H1506" s="32" t="s">
        <v>3306</v>
      </c>
      <c r="I1506" s="32" t="s">
        <v>645</v>
      </c>
      <c r="J1506" s="32" t="s">
        <v>819</v>
      </c>
    </row>
    <row r="1507" spans="6:10" x14ac:dyDescent="0.25">
      <c r="F1507" s="32"/>
      <c r="G1507" s="32" t="s">
        <v>3307</v>
      </c>
      <c r="H1507" s="32" t="s">
        <v>3308</v>
      </c>
      <c r="I1507" s="32" t="s">
        <v>645</v>
      </c>
      <c r="J1507" s="32" t="s">
        <v>819</v>
      </c>
    </row>
    <row r="1508" spans="6:10" x14ac:dyDescent="0.25">
      <c r="F1508" s="32"/>
      <c r="G1508" s="32" t="s">
        <v>3309</v>
      </c>
      <c r="H1508" s="32" t="s">
        <v>3310</v>
      </c>
      <c r="I1508" s="32" t="s">
        <v>924</v>
      </c>
      <c r="J1508" s="32" t="s">
        <v>925</v>
      </c>
    </row>
    <row r="1509" spans="6:10" x14ac:dyDescent="0.25">
      <c r="F1509" s="32"/>
      <c r="G1509" s="32" t="s">
        <v>3311</v>
      </c>
      <c r="H1509" s="32" t="s">
        <v>3312</v>
      </c>
      <c r="I1509" s="32" t="s">
        <v>924</v>
      </c>
      <c r="J1509" s="32" t="s">
        <v>925</v>
      </c>
    </row>
    <row r="1510" spans="6:10" x14ac:dyDescent="0.25">
      <c r="F1510" s="32"/>
      <c r="G1510" s="32" t="s">
        <v>3313</v>
      </c>
      <c r="H1510" s="32" t="s">
        <v>3314</v>
      </c>
      <c r="I1510" s="32" t="s">
        <v>645</v>
      </c>
      <c r="J1510" s="32" t="s">
        <v>819</v>
      </c>
    </row>
    <row r="1511" spans="6:10" x14ac:dyDescent="0.25">
      <c r="F1511" s="32"/>
      <c r="G1511" s="32" t="s">
        <v>3315</v>
      </c>
      <c r="H1511" s="32" t="s">
        <v>3316</v>
      </c>
      <c r="I1511" s="32" t="s">
        <v>645</v>
      </c>
      <c r="J1511" s="32" t="s">
        <v>819</v>
      </c>
    </row>
    <row r="1512" spans="6:10" x14ac:dyDescent="0.25">
      <c r="F1512" s="32"/>
      <c r="G1512" s="32" t="s">
        <v>3317</v>
      </c>
      <c r="H1512" s="32" t="s">
        <v>3318</v>
      </c>
      <c r="I1512" s="32" t="s">
        <v>645</v>
      </c>
      <c r="J1512" s="32" t="s">
        <v>819</v>
      </c>
    </row>
    <row r="1513" spans="6:10" x14ac:dyDescent="0.25">
      <c r="F1513" s="32"/>
      <c r="G1513" s="32" t="s">
        <v>3319</v>
      </c>
      <c r="H1513" s="32" t="s">
        <v>3320</v>
      </c>
      <c r="I1513" s="32" t="s">
        <v>924</v>
      </c>
      <c r="J1513" s="32" t="s">
        <v>925</v>
      </c>
    </row>
    <row r="1514" spans="6:10" x14ac:dyDescent="0.25">
      <c r="F1514" s="32"/>
      <c r="G1514" s="32" t="s">
        <v>3321</v>
      </c>
      <c r="H1514" s="32" t="s">
        <v>3322</v>
      </c>
      <c r="I1514" s="32" t="s">
        <v>645</v>
      </c>
      <c r="J1514" s="32" t="s">
        <v>819</v>
      </c>
    </row>
    <row r="1515" spans="6:10" x14ac:dyDescent="0.25">
      <c r="F1515" s="32"/>
      <c r="G1515" s="32" t="s">
        <v>3323</v>
      </c>
      <c r="H1515" s="32" t="s">
        <v>3324</v>
      </c>
      <c r="I1515" s="32" t="s">
        <v>645</v>
      </c>
      <c r="J1515" s="32" t="s">
        <v>819</v>
      </c>
    </row>
    <row r="1516" spans="6:10" x14ac:dyDescent="0.25">
      <c r="F1516" s="32"/>
      <c r="G1516" s="32" t="s">
        <v>3325</v>
      </c>
      <c r="H1516" s="32" t="s">
        <v>3326</v>
      </c>
      <c r="I1516" s="32" t="s">
        <v>645</v>
      </c>
      <c r="J1516" s="32" t="s">
        <v>819</v>
      </c>
    </row>
    <row r="1517" spans="6:10" x14ac:dyDescent="0.25">
      <c r="F1517" s="32" t="s">
        <v>565</v>
      </c>
      <c r="G1517" s="32"/>
      <c r="H1517" s="32" t="s">
        <v>3327</v>
      </c>
      <c r="I1517" s="32"/>
      <c r="J1517" s="32"/>
    </row>
    <row r="1518" spans="6:10" x14ac:dyDescent="0.25">
      <c r="F1518" s="32"/>
      <c r="G1518" s="32" t="s">
        <v>3328</v>
      </c>
      <c r="H1518" s="32" t="s">
        <v>3329</v>
      </c>
      <c r="I1518" s="32" t="s">
        <v>645</v>
      </c>
      <c r="J1518" s="32" t="s">
        <v>819</v>
      </c>
    </row>
    <row r="1519" spans="6:10" x14ac:dyDescent="0.25">
      <c r="F1519" s="32"/>
      <c r="G1519" s="32" t="s">
        <v>3330</v>
      </c>
      <c r="H1519" s="32" t="s">
        <v>3331</v>
      </c>
      <c r="I1519" s="32" t="s">
        <v>924</v>
      </c>
      <c r="J1519" s="32" t="s">
        <v>925</v>
      </c>
    </row>
    <row r="1520" spans="6:10" x14ac:dyDescent="0.25">
      <c r="F1520" s="32"/>
      <c r="G1520" s="32" t="s">
        <v>3332</v>
      </c>
      <c r="H1520" s="32" t="s">
        <v>3333</v>
      </c>
      <c r="I1520" s="32" t="s">
        <v>924</v>
      </c>
      <c r="J1520" s="32" t="s">
        <v>925</v>
      </c>
    </row>
    <row r="1521" spans="6:10" x14ac:dyDescent="0.25">
      <c r="F1521" s="32"/>
      <c r="G1521" s="32" t="s">
        <v>3334</v>
      </c>
      <c r="H1521" s="32" t="s">
        <v>3335</v>
      </c>
      <c r="I1521" s="32" t="s">
        <v>645</v>
      </c>
      <c r="J1521" s="32" t="s">
        <v>819</v>
      </c>
    </row>
    <row r="1522" spans="6:10" x14ac:dyDescent="0.25">
      <c r="F1522" s="32"/>
      <c r="G1522" s="32" t="s">
        <v>3336</v>
      </c>
      <c r="H1522" s="32" t="s">
        <v>3337</v>
      </c>
      <c r="I1522" s="32" t="s">
        <v>645</v>
      </c>
      <c r="J1522" s="32" t="s">
        <v>819</v>
      </c>
    </row>
    <row r="1523" spans="6:10" x14ac:dyDescent="0.25">
      <c r="F1523" s="32"/>
      <c r="G1523" s="32" t="s">
        <v>2234</v>
      </c>
      <c r="H1523" s="32" t="s">
        <v>3338</v>
      </c>
      <c r="I1523" s="32" t="s">
        <v>645</v>
      </c>
      <c r="J1523" s="32" t="s">
        <v>819</v>
      </c>
    </row>
    <row r="1524" spans="6:10" x14ac:dyDescent="0.25">
      <c r="F1524" s="32"/>
      <c r="G1524" s="32" t="s">
        <v>3339</v>
      </c>
      <c r="H1524" s="32" t="s">
        <v>3340</v>
      </c>
      <c r="I1524" s="32" t="s">
        <v>645</v>
      </c>
      <c r="J1524" s="32" t="s">
        <v>819</v>
      </c>
    </row>
    <row r="1525" spans="6:10" x14ac:dyDescent="0.25">
      <c r="F1525" s="32"/>
      <c r="G1525" s="32" t="s">
        <v>3341</v>
      </c>
      <c r="H1525" s="32" t="s">
        <v>3342</v>
      </c>
      <c r="I1525" s="32" t="s">
        <v>645</v>
      </c>
      <c r="J1525" s="32" t="s">
        <v>819</v>
      </c>
    </row>
    <row r="1526" spans="6:10" x14ac:dyDescent="0.25">
      <c r="F1526" s="32"/>
      <c r="G1526" s="32" t="s">
        <v>3343</v>
      </c>
      <c r="H1526" s="32" t="s">
        <v>3344</v>
      </c>
      <c r="I1526" s="32" t="s">
        <v>645</v>
      </c>
      <c r="J1526" s="32" t="s">
        <v>819</v>
      </c>
    </row>
    <row r="1527" spans="6:10" x14ac:dyDescent="0.25">
      <c r="F1527" s="32"/>
      <c r="G1527" s="32" t="s">
        <v>3345</v>
      </c>
      <c r="H1527" s="32" t="s">
        <v>3346</v>
      </c>
      <c r="I1527" s="32" t="s">
        <v>645</v>
      </c>
      <c r="J1527" s="32" t="s">
        <v>819</v>
      </c>
    </row>
    <row r="1528" spans="6:10" x14ac:dyDescent="0.25">
      <c r="F1528" s="32"/>
      <c r="G1528" s="32" t="s">
        <v>3347</v>
      </c>
      <c r="H1528" s="32" t="s">
        <v>3348</v>
      </c>
      <c r="I1528" s="32" t="s">
        <v>645</v>
      </c>
      <c r="J1528" s="32" t="s">
        <v>819</v>
      </c>
    </row>
    <row r="1529" spans="6:10" x14ac:dyDescent="0.25">
      <c r="F1529" s="32"/>
      <c r="G1529" s="32" t="s">
        <v>3349</v>
      </c>
      <c r="H1529" s="32" t="s">
        <v>3350</v>
      </c>
      <c r="I1529" s="32" t="s">
        <v>645</v>
      </c>
      <c r="J1529" s="32" t="s">
        <v>819</v>
      </c>
    </row>
    <row r="1530" spans="6:10" x14ac:dyDescent="0.25">
      <c r="F1530" s="32"/>
      <c r="G1530" s="32" t="s">
        <v>3351</v>
      </c>
      <c r="H1530" s="32" t="s">
        <v>3352</v>
      </c>
      <c r="I1530" s="32" t="s">
        <v>645</v>
      </c>
      <c r="J1530" s="32" t="s">
        <v>819</v>
      </c>
    </row>
    <row r="1531" spans="6:10" x14ac:dyDescent="0.25">
      <c r="F1531" s="32"/>
      <c r="G1531" s="32" t="s">
        <v>3353</v>
      </c>
      <c r="H1531" s="32" t="s">
        <v>3354</v>
      </c>
      <c r="I1531" s="32" t="s">
        <v>924</v>
      </c>
      <c r="J1531" s="32" t="s">
        <v>925</v>
      </c>
    </row>
    <row r="1532" spans="6:10" x14ac:dyDescent="0.25">
      <c r="F1532" s="32"/>
      <c r="G1532" s="32" t="s">
        <v>3355</v>
      </c>
      <c r="H1532" s="32" t="s">
        <v>3356</v>
      </c>
      <c r="I1532" s="32" t="s">
        <v>645</v>
      </c>
      <c r="J1532" s="32" t="s">
        <v>819</v>
      </c>
    </row>
    <row r="1533" spans="6:10" x14ac:dyDescent="0.25">
      <c r="F1533" s="32"/>
      <c r="G1533" s="32" t="s">
        <v>4224</v>
      </c>
      <c r="H1533" s="32" t="s">
        <v>3357</v>
      </c>
      <c r="I1533" s="32" t="s">
        <v>645</v>
      </c>
      <c r="J1533" s="32" t="s">
        <v>819</v>
      </c>
    </row>
    <row r="1534" spans="6:10" x14ac:dyDescent="0.25">
      <c r="F1534" s="32"/>
      <c r="G1534" s="32" t="s">
        <v>3358</v>
      </c>
      <c r="H1534" s="32" t="s">
        <v>3359</v>
      </c>
      <c r="I1534" s="32" t="s">
        <v>924</v>
      </c>
      <c r="J1534" s="32" t="s">
        <v>925</v>
      </c>
    </row>
    <row r="1535" spans="6:10" x14ac:dyDescent="0.25">
      <c r="F1535" s="32"/>
      <c r="G1535" s="32" t="s">
        <v>3360</v>
      </c>
      <c r="H1535" s="32" t="s">
        <v>3361</v>
      </c>
      <c r="I1535" s="32" t="s">
        <v>645</v>
      </c>
      <c r="J1535" s="32" t="s">
        <v>819</v>
      </c>
    </row>
    <row r="1536" spans="6:10" x14ac:dyDescent="0.25">
      <c r="F1536" s="32"/>
      <c r="G1536" s="32" t="s">
        <v>3362</v>
      </c>
      <c r="H1536" s="32" t="s">
        <v>3363</v>
      </c>
      <c r="I1536" s="32" t="s">
        <v>645</v>
      </c>
      <c r="J1536" s="32" t="s">
        <v>819</v>
      </c>
    </row>
    <row r="1537" spans="6:10" x14ac:dyDescent="0.25">
      <c r="F1537" s="32"/>
      <c r="G1537" s="32" t="s">
        <v>3364</v>
      </c>
      <c r="H1537" s="32" t="s">
        <v>3365</v>
      </c>
      <c r="I1537" s="32" t="s">
        <v>645</v>
      </c>
      <c r="J1537" s="32" t="s">
        <v>819</v>
      </c>
    </row>
    <row r="1538" spans="6:10" x14ac:dyDescent="0.25">
      <c r="F1538" s="32"/>
      <c r="G1538" s="32" t="s">
        <v>3366</v>
      </c>
      <c r="H1538" s="32" t="s">
        <v>3367</v>
      </c>
      <c r="I1538" s="32" t="s">
        <v>645</v>
      </c>
      <c r="J1538" s="32" t="s">
        <v>819</v>
      </c>
    </row>
    <row r="1539" spans="6:10" x14ac:dyDescent="0.25">
      <c r="F1539" s="32"/>
      <c r="G1539" s="32" t="s">
        <v>3368</v>
      </c>
      <c r="H1539" s="32" t="s">
        <v>3369</v>
      </c>
      <c r="I1539" s="32" t="s">
        <v>645</v>
      </c>
      <c r="J1539" s="32" t="s">
        <v>819</v>
      </c>
    </row>
    <row r="1540" spans="6:10" x14ac:dyDescent="0.25">
      <c r="F1540" s="32"/>
      <c r="G1540" s="32" t="s">
        <v>3370</v>
      </c>
      <c r="H1540" s="32" t="s">
        <v>3371</v>
      </c>
      <c r="I1540" s="32" t="s">
        <v>645</v>
      </c>
      <c r="J1540" s="32" t="s">
        <v>819</v>
      </c>
    </row>
    <row r="1541" spans="6:10" x14ac:dyDescent="0.25">
      <c r="F1541" s="32"/>
      <c r="G1541" s="32" t="s">
        <v>3372</v>
      </c>
      <c r="H1541" s="32" t="s">
        <v>3373</v>
      </c>
      <c r="I1541" s="32" t="s">
        <v>645</v>
      </c>
      <c r="J1541" s="32" t="s">
        <v>819</v>
      </c>
    </row>
    <row r="1542" spans="6:10" x14ac:dyDescent="0.25">
      <c r="F1542" s="32"/>
      <c r="G1542" s="32" t="s">
        <v>3374</v>
      </c>
      <c r="H1542" s="32" t="s">
        <v>3375</v>
      </c>
      <c r="I1542" s="32" t="s">
        <v>645</v>
      </c>
      <c r="J1542" s="32" t="s">
        <v>819</v>
      </c>
    </row>
    <row r="1543" spans="6:10" x14ac:dyDescent="0.25">
      <c r="F1543" s="32"/>
      <c r="G1543" s="32" t="s">
        <v>3376</v>
      </c>
      <c r="H1543" s="32" t="s">
        <v>3377</v>
      </c>
      <c r="I1543" s="32" t="s">
        <v>645</v>
      </c>
      <c r="J1543" s="32" t="s">
        <v>819</v>
      </c>
    </row>
    <row r="1544" spans="6:10" x14ac:dyDescent="0.25">
      <c r="F1544" s="32"/>
      <c r="G1544" s="32" t="s">
        <v>3378</v>
      </c>
      <c r="H1544" s="32" t="s">
        <v>3379</v>
      </c>
      <c r="I1544" s="32" t="s">
        <v>924</v>
      </c>
      <c r="J1544" s="32" t="s">
        <v>925</v>
      </c>
    </row>
    <row r="1545" spans="6:10" x14ac:dyDescent="0.25">
      <c r="F1545" s="32"/>
      <c r="G1545" s="32" t="s">
        <v>3380</v>
      </c>
      <c r="H1545" s="32" t="s">
        <v>3381</v>
      </c>
      <c r="I1545" s="32" t="s">
        <v>924</v>
      </c>
      <c r="J1545" s="32" t="s">
        <v>925</v>
      </c>
    </row>
    <row r="1546" spans="6:10" x14ac:dyDescent="0.25">
      <c r="F1546" s="32"/>
      <c r="G1546" s="32" t="s">
        <v>3382</v>
      </c>
      <c r="H1546" s="32" t="s">
        <v>3383</v>
      </c>
      <c r="I1546" s="32" t="s">
        <v>645</v>
      </c>
      <c r="J1546" s="32" t="s">
        <v>819</v>
      </c>
    </row>
    <row r="1547" spans="6:10" x14ac:dyDescent="0.25">
      <c r="F1547" s="32"/>
      <c r="G1547" s="32" t="s">
        <v>3384</v>
      </c>
      <c r="H1547" s="32" t="s">
        <v>3385</v>
      </c>
      <c r="I1547" s="32" t="s">
        <v>645</v>
      </c>
      <c r="J1547" s="32" t="s">
        <v>819</v>
      </c>
    </row>
    <row r="1548" spans="6:10" x14ac:dyDescent="0.25">
      <c r="F1548" s="32"/>
      <c r="G1548" s="32" t="s">
        <v>3386</v>
      </c>
      <c r="H1548" s="32" t="s">
        <v>3387</v>
      </c>
      <c r="I1548" s="32" t="s">
        <v>645</v>
      </c>
      <c r="J1548" s="32" t="s">
        <v>819</v>
      </c>
    </row>
    <row r="1549" spans="6:10" x14ac:dyDescent="0.25">
      <c r="F1549" s="32"/>
      <c r="G1549" s="32" t="s">
        <v>3388</v>
      </c>
      <c r="H1549" s="32" t="s">
        <v>3389</v>
      </c>
      <c r="I1549" s="32" t="s">
        <v>645</v>
      </c>
      <c r="J1549" s="32" t="s">
        <v>819</v>
      </c>
    </row>
    <row r="1550" spans="6:10" x14ac:dyDescent="0.25">
      <c r="F1550" s="32" t="s">
        <v>566</v>
      </c>
      <c r="G1550" s="32"/>
      <c r="H1550" s="32" t="s">
        <v>3390</v>
      </c>
      <c r="I1550" s="32"/>
      <c r="J1550" s="32"/>
    </row>
    <row r="1551" spans="6:10" x14ac:dyDescent="0.25">
      <c r="F1551" s="32"/>
      <c r="G1551" s="32" t="s">
        <v>3391</v>
      </c>
      <c r="H1551" s="32" t="s">
        <v>3392</v>
      </c>
      <c r="I1551" s="33" t="s">
        <v>924</v>
      </c>
      <c r="J1551" s="33" t="s">
        <v>925</v>
      </c>
    </row>
    <row r="1552" spans="6:10" x14ac:dyDescent="0.25">
      <c r="F1552" s="32"/>
      <c r="G1552" s="32" t="s">
        <v>3393</v>
      </c>
      <c r="H1552" s="32" t="s">
        <v>3394</v>
      </c>
      <c r="I1552" s="33" t="s">
        <v>645</v>
      </c>
      <c r="J1552" s="33" t="s">
        <v>819</v>
      </c>
    </row>
    <row r="1553" spans="6:10" x14ac:dyDescent="0.25">
      <c r="F1553" s="32"/>
      <c r="G1553" s="32" t="s">
        <v>3395</v>
      </c>
      <c r="H1553" s="32" t="s">
        <v>3396</v>
      </c>
      <c r="I1553" s="33" t="s">
        <v>924</v>
      </c>
      <c r="J1553" s="33" t="s">
        <v>925</v>
      </c>
    </row>
    <row r="1554" spans="6:10" x14ac:dyDescent="0.25">
      <c r="F1554" s="32"/>
      <c r="G1554" s="32" t="s">
        <v>3397</v>
      </c>
      <c r="H1554" s="32" t="s">
        <v>3398</v>
      </c>
      <c r="I1554" s="33" t="s">
        <v>645</v>
      </c>
      <c r="J1554" s="33" t="s">
        <v>819</v>
      </c>
    </row>
    <row r="1555" spans="6:10" x14ac:dyDescent="0.25">
      <c r="F1555" s="32"/>
      <c r="G1555" s="32" t="s">
        <v>3399</v>
      </c>
      <c r="H1555" s="32" t="s">
        <v>3400</v>
      </c>
      <c r="I1555" s="33" t="s">
        <v>924</v>
      </c>
      <c r="J1555" s="33" t="s">
        <v>925</v>
      </c>
    </row>
    <row r="1556" spans="6:10" x14ac:dyDescent="0.25">
      <c r="F1556" s="32"/>
      <c r="G1556" s="32" t="s">
        <v>3401</v>
      </c>
      <c r="H1556" s="32" t="s">
        <v>3402</v>
      </c>
      <c r="I1556" s="33" t="s">
        <v>924</v>
      </c>
      <c r="J1556" s="33" t="s">
        <v>925</v>
      </c>
    </row>
    <row r="1557" spans="6:10" x14ac:dyDescent="0.25">
      <c r="F1557" s="32"/>
      <c r="G1557" s="32" t="s">
        <v>4614</v>
      </c>
      <c r="H1557" s="32" t="s">
        <v>3403</v>
      </c>
      <c r="I1557" s="33" t="s">
        <v>645</v>
      </c>
      <c r="J1557" s="33" t="s">
        <v>819</v>
      </c>
    </row>
    <row r="1558" spans="6:10" x14ac:dyDescent="0.25">
      <c r="F1558" s="32"/>
      <c r="G1558" s="32" t="s">
        <v>3404</v>
      </c>
      <c r="H1558" s="32" t="s">
        <v>3405</v>
      </c>
      <c r="I1558" s="33" t="s">
        <v>645</v>
      </c>
      <c r="J1558" s="33" t="s">
        <v>819</v>
      </c>
    </row>
    <row r="1559" spans="6:10" x14ac:dyDescent="0.25">
      <c r="F1559" s="32"/>
      <c r="G1559" s="32" t="s">
        <v>3406</v>
      </c>
      <c r="H1559" s="32" t="s">
        <v>3407</v>
      </c>
      <c r="I1559" s="33" t="s">
        <v>645</v>
      </c>
      <c r="J1559" s="33" t="s">
        <v>819</v>
      </c>
    </row>
    <row r="1560" spans="6:10" x14ac:dyDescent="0.25">
      <c r="F1560" s="32"/>
      <c r="G1560" s="32" t="s">
        <v>3408</v>
      </c>
      <c r="H1560" s="32" t="s">
        <v>3409</v>
      </c>
      <c r="I1560" s="33" t="s">
        <v>924</v>
      </c>
      <c r="J1560" s="33" t="s">
        <v>925</v>
      </c>
    </row>
    <row r="1561" spans="6:10" x14ac:dyDescent="0.25">
      <c r="F1561" s="32"/>
      <c r="G1561" s="32" t="s">
        <v>3410</v>
      </c>
      <c r="H1561" s="32" t="s">
        <v>3411</v>
      </c>
      <c r="I1561" s="33" t="s">
        <v>924</v>
      </c>
      <c r="J1561" s="33" t="s">
        <v>925</v>
      </c>
    </row>
    <row r="1562" spans="6:10" x14ac:dyDescent="0.25">
      <c r="F1562" s="32"/>
      <c r="G1562" s="32" t="s">
        <v>3412</v>
      </c>
      <c r="H1562" s="32" t="s">
        <v>3413</v>
      </c>
      <c r="I1562" s="33" t="s">
        <v>924</v>
      </c>
      <c r="J1562" s="33" t="s">
        <v>925</v>
      </c>
    </row>
    <row r="1563" spans="6:10" x14ac:dyDescent="0.25">
      <c r="F1563" s="32" t="s">
        <v>567</v>
      </c>
      <c r="G1563" s="32"/>
      <c r="H1563" s="32" t="s">
        <v>3414</v>
      </c>
      <c r="I1563" s="32"/>
      <c r="J1563" s="32"/>
    </row>
    <row r="1564" spans="6:10" x14ac:dyDescent="0.25">
      <c r="F1564" s="32"/>
      <c r="G1564" s="32" t="s">
        <v>3415</v>
      </c>
      <c r="H1564" s="32" t="s">
        <v>3416</v>
      </c>
      <c r="I1564" s="32" t="s">
        <v>645</v>
      </c>
      <c r="J1564" s="32" t="s">
        <v>819</v>
      </c>
    </row>
    <row r="1565" spans="6:10" x14ac:dyDescent="0.25">
      <c r="F1565" s="32"/>
      <c r="G1565" s="32" t="s">
        <v>3417</v>
      </c>
      <c r="H1565" s="32" t="s">
        <v>3418</v>
      </c>
      <c r="I1565" s="32" t="s">
        <v>645</v>
      </c>
      <c r="J1565" s="32" t="s">
        <v>819</v>
      </c>
    </row>
    <row r="1566" spans="6:10" x14ac:dyDescent="0.25">
      <c r="F1566" s="32"/>
      <c r="G1566" s="32" t="s">
        <v>3419</v>
      </c>
      <c r="H1566" s="32" t="s">
        <v>3420</v>
      </c>
      <c r="I1566" s="32" t="s">
        <v>645</v>
      </c>
      <c r="J1566" s="32" t="s">
        <v>819</v>
      </c>
    </row>
    <row r="1567" spans="6:10" x14ac:dyDescent="0.25">
      <c r="F1567" s="32"/>
      <c r="G1567" s="32" t="s">
        <v>3421</v>
      </c>
      <c r="H1567" s="32" t="s">
        <v>3422</v>
      </c>
      <c r="I1567" s="32" t="s">
        <v>645</v>
      </c>
      <c r="J1567" s="32" t="s">
        <v>819</v>
      </c>
    </row>
    <row r="1568" spans="6:10" x14ac:dyDescent="0.25">
      <c r="F1568" s="32"/>
      <c r="G1568" s="32" t="s">
        <v>3423</v>
      </c>
      <c r="H1568" s="32" t="s">
        <v>3424</v>
      </c>
      <c r="I1568" s="32" t="s">
        <v>645</v>
      </c>
      <c r="J1568" s="32" t="s">
        <v>819</v>
      </c>
    </row>
    <row r="1569" spans="6:10" x14ac:dyDescent="0.25">
      <c r="F1569" s="32"/>
      <c r="G1569" s="32" t="s">
        <v>3425</v>
      </c>
      <c r="H1569" s="32" t="s">
        <v>3426</v>
      </c>
      <c r="I1569" s="32" t="s">
        <v>645</v>
      </c>
      <c r="J1569" s="32" t="s">
        <v>819</v>
      </c>
    </row>
    <row r="1570" spans="6:10" x14ac:dyDescent="0.25">
      <c r="F1570" s="32" t="s">
        <v>568</v>
      </c>
      <c r="G1570" s="32"/>
      <c r="H1570" s="32" t="s">
        <v>3427</v>
      </c>
      <c r="I1570" s="32"/>
      <c r="J1570" s="32"/>
    </row>
    <row r="1571" spans="6:10" x14ac:dyDescent="0.25">
      <c r="F1571" s="32"/>
      <c r="G1571" s="32" t="s">
        <v>3428</v>
      </c>
      <c r="H1571" s="32" t="s">
        <v>3429</v>
      </c>
      <c r="I1571" s="33" t="s">
        <v>645</v>
      </c>
      <c r="J1571" s="33" t="s">
        <v>819</v>
      </c>
    </row>
    <row r="1572" spans="6:10" x14ac:dyDescent="0.25">
      <c r="F1572" s="32"/>
      <c r="G1572" s="32" t="s">
        <v>3430</v>
      </c>
      <c r="H1572" s="32" t="s">
        <v>3431</v>
      </c>
      <c r="I1572" s="33" t="s">
        <v>645</v>
      </c>
      <c r="J1572" s="33" t="s">
        <v>819</v>
      </c>
    </row>
    <row r="1573" spans="6:10" x14ac:dyDescent="0.25">
      <c r="F1573" s="32"/>
      <c r="G1573" s="32" t="s">
        <v>3432</v>
      </c>
      <c r="H1573" s="32" t="s">
        <v>3433</v>
      </c>
      <c r="I1573" s="33" t="s">
        <v>645</v>
      </c>
      <c r="J1573" s="33" t="s">
        <v>819</v>
      </c>
    </row>
    <row r="1574" spans="6:10" x14ac:dyDescent="0.25">
      <c r="F1574" s="32"/>
      <c r="G1574" s="32" t="s">
        <v>3997</v>
      </c>
      <c r="H1574" s="32" t="s">
        <v>3434</v>
      </c>
      <c r="I1574" s="33" t="s">
        <v>645</v>
      </c>
      <c r="J1574" s="33" t="s">
        <v>819</v>
      </c>
    </row>
    <row r="1575" spans="6:10" x14ac:dyDescent="0.25">
      <c r="F1575" s="32"/>
      <c r="G1575" s="32" t="s">
        <v>3883</v>
      </c>
      <c r="H1575" s="32" t="s">
        <v>3435</v>
      </c>
      <c r="I1575" s="33" t="s">
        <v>645</v>
      </c>
      <c r="J1575" s="33" t="s">
        <v>819</v>
      </c>
    </row>
    <row r="1576" spans="6:10" x14ac:dyDescent="0.25">
      <c r="F1576" s="32"/>
      <c r="G1576" s="32" t="s">
        <v>3436</v>
      </c>
      <c r="H1576" s="32" t="s">
        <v>3437</v>
      </c>
      <c r="I1576" s="33" t="s">
        <v>645</v>
      </c>
      <c r="J1576" s="33" t="s">
        <v>819</v>
      </c>
    </row>
    <row r="1577" spans="6:10" x14ac:dyDescent="0.25">
      <c r="F1577" s="32"/>
      <c r="G1577" s="32" t="s">
        <v>3438</v>
      </c>
      <c r="H1577" s="32" t="s">
        <v>3439</v>
      </c>
      <c r="I1577" s="33" t="s">
        <v>645</v>
      </c>
      <c r="J1577" s="33" t="s">
        <v>819</v>
      </c>
    </row>
    <row r="1578" spans="6:10" x14ac:dyDescent="0.25">
      <c r="F1578" s="32"/>
      <c r="G1578" s="32" t="s">
        <v>3440</v>
      </c>
      <c r="H1578" s="32" t="s">
        <v>3441</v>
      </c>
      <c r="I1578" s="33" t="s">
        <v>924</v>
      </c>
      <c r="J1578" s="33" t="s">
        <v>925</v>
      </c>
    </row>
    <row r="1579" spans="6:10" x14ac:dyDescent="0.25">
      <c r="F1579" s="32"/>
      <c r="G1579" s="32" t="s">
        <v>3442</v>
      </c>
      <c r="H1579" s="32" t="s">
        <v>3443</v>
      </c>
      <c r="I1579" s="33" t="s">
        <v>645</v>
      </c>
      <c r="J1579" s="33" t="s">
        <v>819</v>
      </c>
    </row>
    <row r="1580" spans="6:10" x14ac:dyDescent="0.25">
      <c r="F1580" s="32"/>
      <c r="G1580" s="32" t="s">
        <v>3444</v>
      </c>
      <c r="H1580" s="32" t="s">
        <v>3445</v>
      </c>
      <c r="I1580" s="33" t="s">
        <v>645</v>
      </c>
      <c r="J1580" s="33" t="s">
        <v>819</v>
      </c>
    </row>
    <row r="1581" spans="6:10" x14ac:dyDescent="0.25">
      <c r="F1581" s="32"/>
      <c r="G1581" s="32" t="s">
        <v>3446</v>
      </c>
      <c r="H1581" s="32" t="s">
        <v>3447</v>
      </c>
      <c r="I1581" s="33" t="s">
        <v>645</v>
      </c>
      <c r="J1581" s="33" t="s">
        <v>819</v>
      </c>
    </row>
    <row r="1582" spans="6:10" x14ac:dyDescent="0.25">
      <c r="F1582" s="32"/>
      <c r="G1582" s="32" t="s">
        <v>3448</v>
      </c>
      <c r="H1582" s="32" t="s">
        <v>3449</v>
      </c>
      <c r="I1582" s="33" t="s">
        <v>645</v>
      </c>
      <c r="J1582" s="33" t="s">
        <v>819</v>
      </c>
    </row>
    <row r="1583" spans="6:10" x14ac:dyDescent="0.25">
      <c r="F1583" s="32"/>
      <c r="G1583" s="32" t="s">
        <v>3450</v>
      </c>
      <c r="H1583" s="32" t="s">
        <v>3451</v>
      </c>
      <c r="I1583" s="33" t="s">
        <v>645</v>
      </c>
      <c r="J1583" s="33" t="s">
        <v>819</v>
      </c>
    </row>
    <row r="1584" spans="6:10" x14ac:dyDescent="0.25">
      <c r="F1584" s="32"/>
      <c r="G1584" s="32" t="s">
        <v>3452</v>
      </c>
      <c r="H1584" s="32" t="s">
        <v>3453</v>
      </c>
      <c r="I1584" s="33" t="s">
        <v>645</v>
      </c>
      <c r="J1584" s="33" t="s">
        <v>819</v>
      </c>
    </row>
    <row r="1585" spans="6:10" x14ac:dyDescent="0.25">
      <c r="F1585" s="32"/>
      <c r="G1585" s="32" t="s">
        <v>3454</v>
      </c>
      <c r="H1585" s="32" t="s">
        <v>3455</v>
      </c>
      <c r="I1585" s="33" t="s">
        <v>645</v>
      </c>
      <c r="J1585" s="33" t="s">
        <v>819</v>
      </c>
    </row>
    <row r="1586" spans="6:10" x14ac:dyDescent="0.25">
      <c r="F1586" s="32"/>
      <c r="G1586" s="32" t="s">
        <v>3456</v>
      </c>
      <c r="H1586" s="32" t="s">
        <v>3457</v>
      </c>
      <c r="I1586" s="33" t="s">
        <v>645</v>
      </c>
      <c r="J1586" s="33" t="s">
        <v>819</v>
      </c>
    </row>
    <row r="1587" spans="6:10" x14ac:dyDescent="0.25">
      <c r="F1587" s="32"/>
      <c r="G1587" s="32" t="s">
        <v>3458</v>
      </c>
      <c r="H1587" s="32" t="s">
        <v>3459</v>
      </c>
      <c r="I1587" s="33" t="s">
        <v>645</v>
      </c>
      <c r="J1587" s="33" t="s">
        <v>819</v>
      </c>
    </row>
    <row r="1588" spans="6:10" x14ac:dyDescent="0.25">
      <c r="F1588" s="32"/>
      <c r="G1588" s="32" t="s">
        <v>3349</v>
      </c>
      <c r="H1588" s="32" t="s">
        <v>3460</v>
      </c>
      <c r="I1588" s="33" t="s">
        <v>645</v>
      </c>
      <c r="J1588" s="33" t="s">
        <v>819</v>
      </c>
    </row>
    <row r="1589" spans="6:10" x14ac:dyDescent="0.25">
      <c r="F1589" s="32"/>
      <c r="G1589" s="32" t="s">
        <v>3461</v>
      </c>
      <c r="H1589" s="32" t="s">
        <v>3462</v>
      </c>
      <c r="I1589" s="33" t="s">
        <v>645</v>
      </c>
      <c r="J1589" s="33" t="s">
        <v>819</v>
      </c>
    </row>
    <row r="1590" spans="6:10" x14ac:dyDescent="0.25">
      <c r="F1590" s="32"/>
      <c r="G1590" s="32" t="s">
        <v>3463</v>
      </c>
      <c r="H1590" s="32" t="s">
        <v>3464</v>
      </c>
      <c r="I1590" s="33" t="s">
        <v>645</v>
      </c>
      <c r="J1590" s="33" t="s">
        <v>819</v>
      </c>
    </row>
    <row r="1591" spans="6:10" x14ac:dyDescent="0.25">
      <c r="F1591" s="32"/>
      <c r="G1591" s="32" t="s">
        <v>3194</v>
      </c>
      <c r="H1591" s="32" t="s">
        <v>3465</v>
      </c>
      <c r="I1591" s="33" t="s">
        <v>645</v>
      </c>
      <c r="J1591" s="33" t="s">
        <v>819</v>
      </c>
    </row>
    <row r="1592" spans="6:10" x14ac:dyDescent="0.25">
      <c r="F1592" s="32"/>
      <c r="G1592" s="32" t="s">
        <v>3466</v>
      </c>
      <c r="H1592" s="32" t="s">
        <v>3467</v>
      </c>
      <c r="I1592" s="33" t="s">
        <v>924</v>
      </c>
      <c r="J1592" s="33" t="s">
        <v>925</v>
      </c>
    </row>
    <row r="1593" spans="6:10" x14ac:dyDescent="0.25">
      <c r="F1593" s="32"/>
      <c r="G1593" s="32" t="s">
        <v>3468</v>
      </c>
      <c r="H1593" s="32" t="s">
        <v>3469</v>
      </c>
      <c r="I1593" s="33" t="s">
        <v>924</v>
      </c>
      <c r="J1593" s="33" t="s">
        <v>925</v>
      </c>
    </row>
    <row r="1594" spans="6:10" x14ac:dyDescent="0.25">
      <c r="F1594" s="32"/>
      <c r="G1594" s="32" t="s">
        <v>3470</v>
      </c>
      <c r="H1594" s="32" t="s">
        <v>3471</v>
      </c>
      <c r="I1594" s="33" t="s">
        <v>645</v>
      </c>
      <c r="J1594" s="33" t="s">
        <v>819</v>
      </c>
    </row>
    <row r="1595" spans="6:10" x14ac:dyDescent="0.25">
      <c r="F1595" s="32"/>
      <c r="G1595" s="32" t="s">
        <v>3472</v>
      </c>
      <c r="H1595" s="32" t="s">
        <v>3473</v>
      </c>
      <c r="I1595" s="33" t="s">
        <v>645</v>
      </c>
      <c r="J1595" s="33" t="s">
        <v>819</v>
      </c>
    </row>
    <row r="1596" spans="6:10" x14ac:dyDescent="0.25">
      <c r="F1596" s="32"/>
      <c r="G1596" s="32" t="s">
        <v>3474</v>
      </c>
      <c r="H1596" s="32" t="s">
        <v>3475</v>
      </c>
      <c r="I1596" s="33" t="s">
        <v>645</v>
      </c>
      <c r="J1596" s="33" t="s">
        <v>819</v>
      </c>
    </row>
    <row r="1597" spans="6:10" x14ac:dyDescent="0.25">
      <c r="F1597" s="32"/>
      <c r="G1597" s="32" t="s">
        <v>3476</v>
      </c>
      <c r="H1597" s="32" t="s">
        <v>3477</v>
      </c>
      <c r="I1597" s="33" t="s">
        <v>645</v>
      </c>
      <c r="J1597" s="33" t="s">
        <v>819</v>
      </c>
    </row>
    <row r="1598" spans="6:10" x14ac:dyDescent="0.25">
      <c r="F1598" s="32"/>
      <c r="G1598" s="32" t="s">
        <v>3478</v>
      </c>
      <c r="H1598" s="32" t="s">
        <v>3479</v>
      </c>
      <c r="I1598" s="33" t="s">
        <v>645</v>
      </c>
      <c r="J1598" s="33" t="s">
        <v>819</v>
      </c>
    </row>
    <row r="1599" spans="6:10" x14ac:dyDescent="0.25">
      <c r="F1599" s="32"/>
      <c r="G1599" s="32" t="s">
        <v>3480</v>
      </c>
      <c r="H1599" s="32" t="s">
        <v>3481</v>
      </c>
      <c r="I1599" s="33" t="s">
        <v>645</v>
      </c>
      <c r="J1599" s="33" t="s">
        <v>819</v>
      </c>
    </row>
    <row r="1600" spans="6:10" x14ac:dyDescent="0.25">
      <c r="F1600" s="32"/>
      <c r="G1600" s="32" t="s">
        <v>3482</v>
      </c>
      <c r="H1600" s="32" t="s">
        <v>3483</v>
      </c>
      <c r="I1600" s="33" t="s">
        <v>645</v>
      </c>
      <c r="J1600" s="33" t="s">
        <v>819</v>
      </c>
    </row>
    <row r="1601" spans="6:10" x14ac:dyDescent="0.25">
      <c r="F1601" s="32"/>
      <c r="G1601" s="32" t="s">
        <v>3484</v>
      </c>
      <c r="H1601" s="32" t="s">
        <v>3485</v>
      </c>
      <c r="I1601" s="33" t="s">
        <v>645</v>
      </c>
      <c r="J1601" s="33" t="s">
        <v>819</v>
      </c>
    </row>
    <row r="1602" spans="6:10" x14ac:dyDescent="0.25">
      <c r="F1602" s="32"/>
      <c r="G1602" s="32" t="s">
        <v>3486</v>
      </c>
      <c r="H1602" s="32" t="s">
        <v>3487</v>
      </c>
      <c r="I1602" s="33" t="s">
        <v>645</v>
      </c>
      <c r="J1602" s="33" t="s">
        <v>819</v>
      </c>
    </row>
    <row r="1603" spans="6:10" x14ac:dyDescent="0.25">
      <c r="F1603" s="32"/>
      <c r="G1603" s="32" t="s">
        <v>3488</v>
      </c>
      <c r="H1603" s="32" t="s">
        <v>3489</v>
      </c>
      <c r="I1603" s="33" t="s">
        <v>645</v>
      </c>
      <c r="J1603" s="33" t="s">
        <v>819</v>
      </c>
    </row>
    <row r="1604" spans="6:10" x14ac:dyDescent="0.25">
      <c r="F1604" s="32" t="s">
        <v>460</v>
      </c>
      <c r="G1604" s="32"/>
      <c r="H1604" s="32"/>
      <c r="I1604" s="32"/>
      <c r="J1604" s="32"/>
    </row>
    <row r="1605" spans="6:10" x14ac:dyDescent="0.25">
      <c r="F1605" s="32" t="s">
        <v>569</v>
      </c>
      <c r="G1605" s="32"/>
      <c r="H1605" s="32" t="s">
        <v>3490</v>
      </c>
      <c r="I1605" s="32"/>
      <c r="J1605" s="32"/>
    </row>
    <row r="1606" spans="6:10" x14ac:dyDescent="0.25">
      <c r="F1606" s="32"/>
      <c r="G1606" s="32" t="s">
        <v>3491</v>
      </c>
      <c r="H1606" s="32" t="s">
        <v>3492</v>
      </c>
      <c r="I1606" s="32" t="s">
        <v>688</v>
      </c>
      <c r="J1606" s="32" t="s">
        <v>688</v>
      </c>
    </row>
    <row r="1607" spans="6:10" x14ac:dyDescent="0.25">
      <c r="F1607" s="32"/>
      <c r="G1607" s="32" t="s">
        <v>3493</v>
      </c>
      <c r="H1607" s="32" t="s">
        <v>3494</v>
      </c>
      <c r="I1607" s="32" t="s">
        <v>688</v>
      </c>
      <c r="J1607" s="32" t="s">
        <v>688</v>
      </c>
    </row>
    <row r="1608" spans="6:10" x14ac:dyDescent="0.25">
      <c r="F1608" s="32"/>
      <c r="G1608" s="32" t="s">
        <v>3495</v>
      </c>
      <c r="H1608" s="32" t="s">
        <v>3496</v>
      </c>
      <c r="I1608" s="32" t="s">
        <v>688</v>
      </c>
      <c r="J1608" s="32" t="s">
        <v>688</v>
      </c>
    </row>
    <row r="1609" spans="6:10" x14ac:dyDescent="0.25">
      <c r="F1609" s="32"/>
      <c r="G1609" s="32" t="s">
        <v>3497</v>
      </c>
      <c r="H1609" s="32" t="s">
        <v>3498</v>
      </c>
      <c r="I1609" s="32" t="s">
        <v>688</v>
      </c>
      <c r="J1609" s="32" t="s">
        <v>688</v>
      </c>
    </row>
    <row r="1610" spans="6:10" x14ac:dyDescent="0.25">
      <c r="F1610" s="32"/>
      <c r="G1610" s="32" t="s">
        <v>3499</v>
      </c>
      <c r="H1610" s="32" t="s">
        <v>3500</v>
      </c>
      <c r="I1610" s="32" t="s">
        <v>688</v>
      </c>
      <c r="J1610" s="32" t="s">
        <v>688</v>
      </c>
    </row>
    <row r="1611" spans="6:10" x14ac:dyDescent="0.25">
      <c r="F1611" s="32"/>
      <c r="G1611" s="32" t="s">
        <v>3501</v>
      </c>
      <c r="H1611" s="32" t="s">
        <v>3502</v>
      </c>
      <c r="I1611" s="32" t="s">
        <v>688</v>
      </c>
      <c r="J1611" s="32" t="s">
        <v>688</v>
      </c>
    </row>
    <row r="1612" spans="6:10" x14ac:dyDescent="0.25">
      <c r="F1612" s="32"/>
      <c r="G1612" s="32" t="s">
        <v>3503</v>
      </c>
      <c r="H1612" s="32" t="s">
        <v>3504</v>
      </c>
      <c r="I1612" s="32" t="s">
        <v>688</v>
      </c>
      <c r="J1612" s="32" t="s">
        <v>688</v>
      </c>
    </row>
    <row r="1613" spans="6:10" x14ac:dyDescent="0.25">
      <c r="F1613" s="32"/>
      <c r="G1613" s="32" t="s">
        <v>3505</v>
      </c>
      <c r="H1613" s="32" t="s">
        <v>3506</v>
      </c>
      <c r="I1613" s="32" t="s">
        <v>688</v>
      </c>
      <c r="J1613" s="32" t="s">
        <v>688</v>
      </c>
    </row>
    <row r="1614" spans="6:10" x14ac:dyDescent="0.25">
      <c r="F1614" s="32"/>
      <c r="G1614" s="32" t="s">
        <v>3507</v>
      </c>
      <c r="H1614" s="32" t="s">
        <v>3508</v>
      </c>
      <c r="I1614" s="32" t="s">
        <v>688</v>
      </c>
      <c r="J1614" s="32" t="s">
        <v>688</v>
      </c>
    </row>
    <row r="1615" spans="6:10" x14ac:dyDescent="0.25">
      <c r="F1615" s="32"/>
      <c r="G1615" s="32" t="s">
        <v>1688</v>
      </c>
      <c r="H1615" s="32" t="s">
        <v>3509</v>
      </c>
      <c r="I1615" s="32" t="s">
        <v>688</v>
      </c>
      <c r="J1615" s="32" t="s">
        <v>688</v>
      </c>
    </row>
    <row r="1616" spans="6:10" x14ac:dyDescent="0.25">
      <c r="F1616" s="32"/>
      <c r="G1616" s="32" t="s">
        <v>3510</v>
      </c>
      <c r="H1616" s="32" t="s">
        <v>3511</v>
      </c>
      <c r="I1616" s="32" t="s">
        <v>688</v>
      </c>
      <c r="J1616" s="32" t="s">
        <v>688</v>
      </c>
    </row>
    <row r="1617" spans="6:10" x14ac:dyDescent="0.25">
      <c r="F1617" s="32" t="s">
        <v>628</v>
      </c>
      <c r="G1617" s="32"/>
      <c r="H1617" s="32" t="s">
        <v>3512</v>
      </c>
      <c r="I1617" s="32"/>
      <c r="J1617" s="32"/>
    </row>
    <row r="1618" spans="6:10" x14ac:dyDescent="0.25">
      <c r="F1618" s="32"/>
      <c r="G1618" s="32" t="s">
        <v>3513</v>
      </c>
      <c r="H1618" s="32" t="s">
        <v>3514</v>
      </c>
      <c r="I1618" s="32" t="s">
        <v>688</v>
      </c>
      <c r="J1618" s="32" t="s">
        <v>688</v>
      </c>
    </row>
    <row r="1619" spans="6:10" x14ac:dyDescent="0.25">
      <c r="F1619" s="32"/>
      <c r="G1619" s="32" t="s">
        <v>3515</v>
      </c>
      <c r="H1619" s="32" t="s">
        <v>3516</v>
      </c>
      <c r="I1619" s="32" t="s">
        <v>688</v>
      </c>
      <c r="J1619" s="32" t="s">
        <v>688</v>
      </c>
    </row>
    <row r="1620" spans="6:10" x14ac:dyDescent="0.25">
      <c r="F1620" s="32"/>
      <c r="G1620" s="32" t="s">
        <v>3517</v>
      </c>
      <c r="H1620" s="32" t="s">
        <v>3518</v>
      </c>
      <c r="I1620" s="32" t="s">
        <v>688</v>
      </c>
      <c r="J1620" s="32" t="s">
        <v>688</v>
      </c>
    </row>
    <row r="1621" spans="6:10" x14ac:dyDescent="0.25">
      <c r="F1621" s="32"/>
      <c r="G1621" s="32" t="s">
        <v>3746</v>
      </c>
      <c r="H1621" s="32" t="s">
        <v>3519</v>
      </c>
      <c r="I1621" s="32" t="s">
        <v>688</v>
      </c>
      <c r="J1621" s="32" t="s">
        <v>688</v>
      </c>
    </row>
    <row r="1622" spans="6:10" x14ac:dyDescent="0.25">
      <c r="F1622" s="32"/>
      <c r="G1622" s="32" t="s">
        <v>617</v>
      </c>
      <c r="H1622" s="32" t="s">
        <v>3520</v>
      </c>
      <c r="I1622" s="32" t="s">
        <v>688</v>
      </c>
      <c r="J1622" s="32" t="s">
        <v>688</v>
      </c>
    </row>
    <row r="1623" spans="6:10" x14ac:dyDescent="0.25">
      <c r="F1623" s="32"/>
      <c r="G1623" s="32" t="s">
        <v>3521</v>
      </c>
      <c r="H1623" s="32" t="s">
        <v>3522</v>
      </c>
      <c r="I1623" s="32" t="s">
        <v>688</v>
      </c>
      <c r="J1623" s="32" t="s">
        <v>688</v>
      </c>
    </row>
    <row r="1624" spans="6:10" x14ac:dyDescent="0.25">
      <c r="F1624" s="32" t="s">
        <v>4615</v>
      </c>
      <c r="G1624" s="32"/>
      <c r="H1624" s="32" t="s">
        <v>3523</v>
      </c>
      <c r="I1624" s="32"/>
      <c r="J1624" s="32"/>
    </row>
    <row r="1625" spans="6:10" x14ac:dyDescent="0.25">
      <c r="F1625" s="32"/>
      <c r="G1625" s="32" t="s">
        <v>3524</v>
      </c>
      <c r="H1625" s="32" t="s">
        <v>3525</v>
      </c>
      <c r="I1625" s="32" t="s">
        <v>688</v>
      </c>
      <c r="J1625" s="32" t="s">
        <v>688</v>
      </c>
    </row>
    <row r="1626" spans="6:10" x14ac:dyDescent="0.25">
      <c r="F1626" s="32"/>
      <c r="G1626" s="32" t="s">
        <v>3526</v>
      </c>
      <c r="H1626" s="32" t="s">
        <v>3527</v>
      </c>
      <c r="I1626" s="32" t="s">
        <v>688</v>
      </c>
      <c r="J1626" s="32" t="s">
        <v>688</v>
      </c>
    </row>
    <row r="1627" spans="6:10" x14ac:dyDescent="0.25">
      <c r="F1627" s="32"/>
      <c r="G1627" s="32" t="s">
        <v>3528</v>
      </c>
      <c r="H1627" s="32" t="s">
        <v>3529</v>
      </c>
      <c r="I1627" s="32" t="s">
        <v>688</v>
      </c>
      <c r="J1627" s="32" t="s">
        <v>688</v>
      </c>
    </row>
    <row r="1628" spans="6:10" x14ac:dyDescent="0.25">
      <c r="F1628" s="32"/>
      <c r="G1628" s="32" t="s">
        <v>3530</v>
      </c>
      <c r="H1628" s="32" t="s">
        <v>3531</v>
      </c>
      <c r="I1628" s="32" t="s">
        <v>688</v>
      </c>
      <c r="J1628" s="32" t="s">
        <v>688</v>
      </c>
    </row>
    <row r="1629" spans="6:10" x14ac:dyDescent="0.25">
      <c r="F1629" s="32"/>
      <c r="G1629" s="32" t="s">
        <v>3532</v>
      </c>
      <c r="H1629" s="32" t="s">
        <v>3533</v>
      </c>
      <c r="I1629" s="32" t="s">
        <v>688</v>
      </c>
      <c r="J1629" s="32" t="s">
        <v>688</v>
      </c>
    </row>
    <row r="1630" spans="6:10" x14ac:dyDescent="0.25">
      <c r="F1630" s="32" t="s">
        <v>629</v>
      </c>
      <c r="G1630" s="32"/>
      <c r="H1630" s="32" t="s">
        <v>3534</v>
      </c>
      <c r="I1630" s="32"/>
      <c r="J1630" s="32"/>
    </row>
    <row r="1631" spans="6:10" x14ac:dyDescent="0.25">
      <c r="F1631" s="32"/>
      <c r="G1631" s="32" t="s">
        <v>3535</v>
      </c>
      <c r="H1631" s="32" t="s">
        <v>3536</v>
      </c>
      <c r="I1631" s="32" t="s">
        <v>688</v>
      </c>
      <c r="J1631" s="32" t="s">
        <v>688</v>
      </c>
    </row>
    <row r="1632" spans="6:10" x14ac:dyDescent="0.25">
      <c r="F1632" s="32"/>
      <c r="G1632" s="32" t="s">
        <v>3537</v>
      </c>
      <c r="H1632" s="32" t="s">
        <v>3538</v>
      </c>
      <c r="I1632" s="32" t="s">
        <v>688</v>
      </c>
      <c r="J1632" s="32" t="s">
        <v>688</v>
      </c>
    </row>
    <row r="1633" spans="6:10" x14ac:dyDescent="0.25">
      <c r="F1633" s="32"/>
      <c r="G1633" s="32" t="s">
        <v>3539</v>
      </c>
      <c r="H1633" s="32" t="s">
        <v>3540</v>
      </c>
      <c r="I1633" s="32" t="s">
        <v>688</v>
      </c>
      <c r="J1633" s="32" t="s">
        <v>688</v>
      </c>
    </row>
    <row r="1634" spans="6:10" x14ac:dyDescent="0.25">
      <c r="F1634" s="32"/>
      <c r="G1634" s="32" t="s">
        <v>618</v>
      </c>
      <c r="H1634" s="32" t="s">
        <v>3541</v>
      </c>
      <c r="I1634" s="32" t="s">
        <v>688</v>
      </c>
      <c r="J1634" s="32" t="s">
        <v>688</v>
      </c>
    </row>
    <row r="1635" spans="6:10" x14ac:dyDescent="0.25">
      <c r="F1635" s="32" t="s">
        <v>570</v>
      </c>
      <c r="G1635" s="32"/>
      <c r="H1635" s="32" t="s">
        <v>3542</v>
      </c>
      <c r="I1635" s="32"/>
      <c r="J1635" s="32"/>
    </row>
    <row r="1636" spans="6:10" x14ac:dyDescent="0.25">
      <c r="F1636" s="32"/>
      <c r="G1636" s="32" t="s">
        <v>3543</v>
      </c>
      <c r="H1636" s="32" t="s">
        <v>3544</v>
      </c>
      <c r="I1636" s="32" t="s">
        <v>688</v>
      </c>
      <c r="J1636" s="32" t="s">
        <v>688</v>
      </c>
    </row>
    <row r="1637" spans="6:10" x14ac:dyDescent="0.25">
      <c r="F1637" s="32"/>
      <c r="G1637" s="32" t="s">
        <v>3545</v>
      </c>
      <c r="H1637" s="32" t="s">
        <v>3546</v>
      </c>
      <c r="I1637" s="32" t="s">
        <v>688</v>
      </c>
      <c r="J1637" s="32" t="s">
        <v>688</v>
      </c>
    </row>
    <row r="1638" spans="6:10" x14ac:dyDescent="0.25">
      <c r="F1638" s="32"/>
      <c r="G1638" s="32" t="s">
        <v>3547</v>
      </c>
      <c r="H1638" s="32" t="s">
        <v>3548</v>
      </c>
      <c r="I1638" s="32" t="s">
        <v>688</v>
      </c>
      <c r="J1638" s="32" t="s">
        <v>688</v>
      </c>
    </row>
    <row r="1639" spans="6:10" x14ac:dyDescent="0.25">
      <c r="F1639" s="32"/>
      <c r="G1639" s="32" t="s">
        <v>3549</v>
      </c>
      <c r="H1639" s="32" t="s">
        <v>3550</v>
      </c>
      <c r="I1639" s="32" t="s">
        <v>688</v>
      </c>
      <c r="J1639" s="32" t="s">
        <v>688</v>
      </c>
    </row>
    <row r="1640" spans="6:10" x14ac:dyDescent="0.25">
      <c r="F1640" s="32"/>
      <c r="G1640" s="32" t="s">
        <v>3551</v>
      </c>
      <c r="H1640" s="32" t="s">
        <v>3552</v>
      </c>
      <c r="I1640" s="32" t="s">
        <v>688</v>
      </c>
      <c r="J1640" s="32" t="s">
        <v>688</v>
      </c>
    </row>
    <row r="1641" spans="6:10" x14ac:dyDescent="0.25">
      <c r="F1641" s="32"/>
      <c r="G1641" s="32" t="s">
        <v>3553</v>
      </c>
      <c r="H1641" s="32" t="s">
        <v>3554</v>
      </c>
      <c r="I1641" s="32" t="s">
        <v>688</v>
      </c>
      <c r="J1641" s="32" t="s">
        <v>688</v>
      </c>
    </row>
    <row r="1642" spans="6:10" x14ac:dyDescent="0.25">
      <c r="F1642" s="32"/>
      <c r="G1642" s="32" t="s">
        <v>3555</v>
      </c>
      <c r="H1642" s="32" t="s">
        <v>3556</v>
      </c>
      <c r="I1642" s="32" t="s">
        <v>688</v>
      </c>
      <c r="J1642" s="32" t="s">
        <v>688</v>
      </c>
    </row>
    <row r="1643" spans="6:10" x14ac:dyDescent="0.25">
      <c r="F1643" s="32"/>
      <c r="G1643" s="32" t="s">
        <v>3557</v>
      </c>
      <c r="H1643" s="32" t="s">
        <v>3558</v>
      </c>
      <c r="I1643" s="32" t="s">
        <v>688</v>
      </c>
      <c r="J1643" s="32" t="s">
        <v>688</v>
      </c>
    </row>
    <row r="1644" spans="6:10" x14ac:dyDescent="0.25">
      <c r="F1644" s="32"/>
      <c r="G1644" s="32" t="s">
        <v>3559</v>
      </c>
      <c r="H1644" s="32" t="s">
        <v>3560</v>
      </c>
      <c r="I1644" s="32" t="s">
        <v>688</v>
      </c>
      <c r="J1644" s="32" t="s">
        <v>688</v>
      </c>
    </row>
    <row r="1645" spans="6:10" x14ac:dyDescent="0.25">
      <c r="F1645" s="32"/>
      <c r="G1645" s="32" t="s">
        <v>3561</v>
      </c>
      <c r="H1645" s="32" t="s">
        <v>3562</v>
      </c>
      <c r="I1645" s="32" t="s">
        <v>688</v>
      </c>
      <c r="J1645" s="32" t="s">
        <v>688</v>
      </c>
    </row>
    <row r="1646" spans="6:10" x14ac:dyDescent="0.25">
      <c r="F1646" s="32"/>
      <c r="G1646" s="32" t="s">
        <v>3563</v>
      </c>
      <c r="H1646" s="32" t="s">
        <v>3564</v>
      </c>
      <c r="I1646" s="32" t="s">
        <v>688</v>
      </c>
      <c r="J1646" s="32" t="s">
        <v>688</v>
      </c>
    </row>
    <row r="1647" spans="6:10" x14ac:dyDescent="0.25">
      <c r="F1647" s="32" t="s">
        <v>571</v>
      </c>
      <c r="G1647" s="32"/>
      <c r="H1647" s="32" t="s">
        <v>3565</v>
      </c>
      <c r="I1647" s="32"/>
      <c r="J1647" s="32"/>
    </row>
    <row r="1648" spans="6:10" x14ac:dyDescent="0.25">
      <c r="F1648" s="32"/>
      <c r="G1648" s="32" t="s">
        <v>3566</v>
      </c>
      <c r="H1648" s="32" t="s">
        <v>3567</v>
      </c>
      <c r="I1648" s="32" t="s">
        <v>688</v>
      </c>
      <c r="J1648" s="32" t="s">
        <v>688</v>
      </c>
    </row>
    <row r="1649" spans="6:10" x14ac:dyDescent="0.25">
      <c r="F1649" s="32"/>
      <c r="G1649" s="32" t="s">
        <v>3568</v>
      </c>
      <c r="H1649" s="32" t="s">
        <v>3569</v>
      </c>
      <c r="I1649" s="32" t="s">
        <v>688</v>
      </c>
      <c r="J1649" s="32" t="s">
        <v>688</v>
      </c>
    </row>
    <row r="1650" spans="6:10" x14ac:dyDescent="0.25">
      <c r="F1650" s="32"/>
      <c r="G1650" s="32" t="s">
        <v>3570</v>
      </c>
      <c r="H1650" s="32" t="s">
        <v>3571</v>
      </c>
      <c r="I1650" s="32" t="s">
        <v>688</v>
      </c>
      <c r="J1650" s="32" t="s">
        <v>688</v>
      </c>
    </row>
    <row r="1651" spans="6:10" x14ac:dyDescent="0.25">
      <c r="F1651" s="32"/>
      <c r="G1651" s="32" t="s">
        <v>2846</v>
      </c>
      <c r="H1651" s="32" t="s">
        <v>3572</v>
      </c>
      <c r="I1651" s="32" t="s">
        <v>688</v>
      </c>
      <c r="J1651" s="32" t="s">
        <v>688</v>
      </c>
    </row>
    <row r="1652" spans="6:10" x14ac:dyDescent="0.25">
      <c r="F1652" s="32"/>
      <c r="G1652" s="32" t="s">
        <v>3573</v>
      </c>
      <c r="H1652" s="32" t="s">
        <v>3574</v>
      </c>
      <c r="I1652" s="32" t="s">
        <v>688</v>
      </c>
      <c r="J1652" s="32" t="s">
        <v>688</v>
      </c>
    </row>
    <row r="1653" spans="6:10" x14ac:dyDescent="0.25">
      <c r="F1653" s="32"/>
      <c r="G1653" s="32" t="s">
        <v>3575</v>
      </c>
      <c r="H1653" s="32" t="s">
        <v>3576</v>
      </c>
      <c r="I1653" s="32" t="s">
        <v>688</v>
      </c>
      <c r="J1653" s="32" t="s">
        <v>688</v>
      </c>
    </row>
    <row r="1654" spans="6:10" x14ac:dyDescent="0.25">
      <c r="F1654" s="32" t="s">
        <v>630</v>
      </c>
      <c r="G1654" s="32"/>
      <c r="H1654" s="32" t="s">
        <v>3577</v>
      </c>
      <c r="I1654" s="32"/>
      <c r="J1654" s="32"/>
    </row>
    <row r="1655" spans="6:10" x14ac:dyDescent="0.25">
      <c r="F1655" s="32"/>
      <c r="G1655" s="32" t="s">
        <v>3236</v>
      </c>
      <c r="H1655" s="32" t="s">
        <v>3578</v>
      </c>
      <c r="I1655" s="32" t="s">
        <v>688</v>
      </c>
      <c r="J1655" s="32" t="s">
        <v>688</v>
      </c>
    </row>
    <row r="1656" spans="6:10" x14ac:dyDescent="0.25">
      <c r="F1656" s="32"/>
      <c r="G1656" s="32" t="s">
        <v>3579</v>
      </c>
      <c r="H1656" s="32" t="s">
        <v>3580</v>
      </c>
      <c r="I1656" s="32" t="s">
        <v>688</v>
      </c>
      <c r="J1656" s="32" t="s">
        <v>688</v>
      </c>
    </row>
    <row r="1657" spans="6:10" x14ac:dyDescent="0.25">
      <c r="F1657" s="32"/>
      <c r="G1657" s="32" t="s">
        <v>3581</v>
      </c>
      <c r="H1657" s="32" t="s">
        <v>3582</v>
      </c>
      <c r="I1657" s="32" t="s">
        <v>688</v>
      </c>
      <c r="J1657" s="32" t="s">
        <v>688</v>
      </c>
    </row>
    <row r="1658" spans="6:10" x14ac:dyDescent="0.25">
      <c r="F1658" s="32"/>
      <c r="G1658" s="32" t="s">
        <v>3583</v>
      </c>
      <c r="H1658" s="32" t="s">
        <v>3584</v>
      </c>
      <c r="I1658" s="32" t="s">
        <v>688</v>
      </c>
      <c r="J1658" s="32" t="s">
        <v>688</v>
      </c>
    </row>
    <row r="1659" spans="6:10" x14ac:dyDescent="0.25">
      <c r="F1659" s="32"/>
      <c r="G1659" s="32" t="s">
        <v>3585</v>
      </c>
      <c r="H1659" s="32" t="s">
        <v>3586</v>
      </c>
      <c r="I1659" s="32" t="s">
        <v>688</v>
      </c>
      <c r="J1659" s="32" t="s">
        <v>688</v>
      </c>
    </row>
    <row r="1660" spans="6:10" x14ac:dyDescent="0.25">
      <c r="F1660" s="32"/>
      <c r="G1660" s="32" t="s">
        <v>3587</v>
      </c>
      <c r="H1660" s="32" t="s">
        <v>3588</v>
      </c>
      <c r="I1660" s="32" t="s">
        <v>688</v>
      </c>
      <c r="J1660" s="32" t="s">
        <v>688</v>
      </c>
    </row>
    <row r="1661" spans="6:10" x14ac:dyDescent="0.25">
      <c r="F1661" s="32" t="s">
        <v>572</v>
      </c>
      <c r="G1661" s="32"/>
      <c r="H1661" s="32" t="s">
        <v>3589</v>
      </c>
      <c r="I1661" s="32"/>
      <c r="J1661" s="32"/>
    </row>
    <row r="1662" spans="6:10" x14ac:dyDescent="0.25">
      <c r="F1662" s="32"/>
      <c r="G1662" s="32" t="s">
        <v>572</v>
      </c>
      <c r="H1662" s="32" t="s">
        <v>3590</v>
      </c>
      <c r="I1662" s="32" t="s">
        <v>688</v>
      </c>
      <c r="J1662" s="32" t="s">
        <v>688</v>
      </c>
    </row>
    <row r="1663" spans="6:10" x14ac:dyDescent="0.25">
      <c r="F1663" s="32"/>
      <c r="G1663" s="32" t="s">
        <v>3591</v>
      </c>
      <c r="H1663" s="32" t="s">
        <v>3592</v>
      </c>
      <c r="I1663" s="32" t="s">
        <v>688</v>
      </c>
      <c r="J1663" s="32" t="s">
        <v>688</v>
      </c>
    </row>
    <row r="1664" spans="6:10" x14ac:dyDescent="0.25">
      <c r="F1664" s="32"/>
      <c r="G1664" s="32" t="s">
        <v>3593</v>
      </c>
      <c r="H1664" s="32" t="s">
        <v>3594</v>
      </c>
      <c r="I1664" s="32" t="s">
        <v>688</v>
      </c>
      <c r="J1664" s="32" t="s">
        <v>688</v>
      </c>
    </row>
    <row r="1665" spans="6:10" x14ac:dyDescent="0.25">
      <c r="F1665" s="32"/>
      <c r="G1665" s="32" t="s">
        <v>3595</v>
      </c>
      <c r="H1665" s="32" t="s">
        <v>3596</v>
      </c>
      <c r="I1665" s="32" t="s">
        <v>688</v>
      </c>
      <c r="J1665" s="32" t="s">
        <v>688</v>
      </c>
    </row>
    <row r="1666" spans="6:10" x14ac:dyDescent="0.25">
      <c r="F1666" s="32" t="s">
        <v>460</v>
      </c>
      <c r="G1666" s="32"/>
      <c r="H1666" s="32"/>
      <c r="I1666" s="32"/>
      <c r="J1666" s="32"/>
    </row>
    <row r="1667" spans="6:10" x14ac:dyDescent="0.25">
      <c r="F1667" s="32" t="s">
        <v>573</v>
      </c>
      <c r="G1667" s="32"/>
      <c r="H1667" s="32" t="s">
        <v>3597</v>
      </c>
      <c r="I1667" s="32"/>
      <c r="J1667" s="32"/>
    </row>
    <row r="1668" spans="6:10" x14ac:dyDescent="0.25">
      <c r="F1668" s="32"/>
      <c r="G1668" s="32" t="s">
        <v>3598</v>
      </c>
      <c r="H1668" s="32" t="s">
        <v>3599</v>
      </c>
      <c r="I1668" s="32" t="s">
        <v>688</v>
      </c>
      <c r="J1668" s="32" t="s">
        <v>688</v>
      </c>
    </row>
    <row r="1669" spans="6:10" x14ac:dyDescent="0.25">
      <c r="F1669" s="32"/>
      <c r="G1669" s="32" t="s">
        <v>3600</v>
      </c>
      <c r="H1669" s="32" t="s">
        <v>3601</v>
      </c>
      <c r="I1669" s="32" t="s">
        <v>688</v>
      </c>
      <c r="J1669" s="32" t="s">
        <v>688</v>
      </c>
    </row>
    <row r="1670" spans="6:10" x14ac:dyDescent="0.25">
      <c r="F1670" s="32"/>
      <c r="G1670" s="32" t="s">
        <v>3602</v>
      </c>
      <c r="H1670" s="32" t="s">
        <v>3603</v>
      </c>
      <c r="I1670" s="32" t="s">
        <v>688</v>
      </c>
      <c r="J1670" s="32" t="s">
        <v>688</v>
      </c>
    </row>
    <row r="1671" spans="6:10" x14ac:dyDescent="0.25">
      <c r="F1671" s="32"/>
      <c r="G1671" s="32" t="s">
        <v>3604</v>
      </c>
      <c r="H1671" s="32" t="s">
        <v>3605</v>
      </c>
      <c r="I1671" s="32" t="s">
        <v>688</v>
      </c>
      <c r="J1671" s="32" t="s">
        <v>688</v>
      </c>
    </row>
    <row r="1672" spans="6:10" x14ac:dyDescent="0.25">
      <c r="F1672" s="32" t="s">
        <v>574</v>
      </c>
      <c r="G1672" s="32"/>
      <c r="H1672" s="32" t="s">
        <v>3606</v>
      </c>
      <c r="I1672" s="32"/>
      <c r="J1672" s="32"/>
    </row>
    <row r="1673" spans="6:10" x14ac:dyDescent="0.25">
      <c r="F1673" s="32"/>
      <c r="G1673" s="32" t="s">
        <v>3607</v>
      </c>
      <c r="H1673" s="32" t="s">
        <v>3608</v>
      </c>
      <c r="I1673" s="32" t="s">
        <v>688</v>
      </c>
      <c r="J1673" s="32" t="s">
        <v>688</v>
      </c>
    </row>
    <row r="1674" spans="6:10" x14ac:dyDescent="0.25">
      <c r="F1674" s="32"/>
      <c r="G1674" s="32" t="s">
        <v>3609</v>
      </c>
      <c r="H1674" s="32" t="s">
        <v>3610</v>
      </c>
      <c r="I1674" s="32" t="s">
        <v>688</v>
      </c>
      <c r="J1674" s="32" t="s">
        <v>688</v>
      </c>
    </row>
    <row r="1675" spans="6:10" x14ac:dyDescent="0.25">
      <c r="F1675" s="32"/>
      <c r="G1675" s="32" t="s">
        <v>606</v>
      </c>
      <c r="H1675" s="32" t="s">
        <v>3611</v>
      </c>
      <c r="I1675" s="32" t="s">
        <v>688</v>
      </c>
      <c r="J1675" s="32" t="s">
        <v>688</v>
      </c>
    </row>
    <row r="1676" spans="6:10" x14ac:dyDescent="0.25">
      <c r="F1676" s="32"/>
      <c r="G1676" s="32" t="s">
        <v>3612</v>
      </c>
      <c r="H1676" s="32" t="s">
        <v>3613</v>
      </c>
      <c r="I1676" s="32" t="s">
        <v>688</v>
      </c>
      <c r="J1676" s="32" t="s">
        <v>688</v>
      </c>
    </row>
    <row r="1677" spans="6:10" x14ac:dyDescent="0.25">
      <c r="F1677" s="32" t="s">
        <v>575</v>
      </c>
      <c r="G1677" s="32"/>
      <c r="H1677" s="32" t="s">
        <v>3614</v>
      </c>
      <c r="I1677" s="32"/>
      <c r="J1677" s="32"/>
    </row>
    <row r="1678" spans="6:10" x14ac:dyDescent="0.25">
      <c r="F1678" s="32"/>
      <c r="G1678" s="32" t="s">
        <v>3615</v>
      </c>
      <c r="H1678" s="32" t="s">
        <v>3616</v>
      </c>
      <c r="I1678" s="32" t="s">
        <v>688</v>
      </c>
      <c r="J1678" s="32" t="s">
        <v>688</v>
      </c>
    </row>
    <row r="1679" spans="6:10" x14ac:dyDescent="0.25">
      <c r="F1679" s="32"/>
      <c r="G1679" s="32" t="s">
        <v>3617</v>
      </c>
      <c r="H1679" s="32" t="s">
        <v>3618</v>
      </c>
      <c r="I1679" s="32" t="s">
        <v>688</v>
      </c>
      <c r="J1679" s="32" t="s">
        <v>688</v>
      </c>
    </row>
    <row r="1680" spans="6:10" x14ac:dyDescent="0.25">
      <c r="F1680" s="32"/>
      <c r="G1680" s="32" t="s">
        <v>3619</v>
      </c>
      <c r="H1680" s="32" t="s">
        <v>3620</v>
      </c>
      <c r="I1680" s="32" t="s">
        <v>688</v>
      </c>
      <c r="J1680" s="32" t="s">
        <v>688</v>
      </c>
    </row>
    <row r="1681" spans="6:10" x14ac:dyDescent="0.25">
      <c r="F1681" s="32" t="s">
        <v>460</v>
      </c>
      <c r="G1681" s="32"/>
      <c r="H1681" s="32"/>
      <c r="I1681" s="32"/>
      <c r="J1681" s="32"/>
    </row>
    <row r="1682" spans="6:10" x14ac:dyDescent="0.25">
      <c r="F1682" s="32" t="s">
        <v>631</v>
      </c>
      <c r="G1682" s="32"/>
      <c r="H1682" s="32" t="s">
        <v>3621</v>
      </c>
      <c r="I1682" s="32"/>
      <c r="J1682" s="32"/>
    </row>
    <row r="1683" spans="6:10" x14ac:dyDescent="0.25">
      <c r="F1683" s="32"/>
      <c r="G1683" s="32" t="s">
        <v>453</v>
      </c>
      <c r="H1683" s="32" t="s">
        <v>3622</v>
      </c>
      <c r="I1683" s="32" t="s">
        <v>924</v>
      </c>
      <c r="J1683" s="32" t="s">
        <v>1317</v>
      </c>
    </row>
    <row r="1684" spans="6:10" x14ac:dyDescent="0.25">
      <c r="F1684" s="32"/>
      <c r="G1684" s="32" t="s">
        <v>3623</v>
      </c>
      <c r="H1684" s="32" t="s">
        <v>3624</v>
      </c>
      <c r="I1684" s="32" t="s">
        <v>645</v>
      </c>
      <c r="J1684" s="32" t="s">
        <v>1140</v>
      </c>
    </row>
    <row r="1685" spans="6:10" x14ac:dyDescent="0.25">
      <c r="F1685" s="32"/>
      <c r="G1685" s="32" t="s">
        <v>3625</v>
      </c>
      <c r="H1685" s="32" t="s">
        <v>3626</v>
      </c>
      <c r="I1685" s="32" t="s">
        <v>645</v>
      </c>
      <c r="J1685" s="32" t="s">
        <v>1140</v>
      </c>
    </row>
    <row r="1686" spans="6:10" x14ac:dyDescent="0.25">
      <c r="F1686" s="32"/>
      <c r="G1686" s="32" t="s">
        <v>3627</v>
      </c>
      <c r="H1686" s="32" t="s">
        <v>3628</v>
      </c>
      <c r="I1686" s="32" t="s">
        <v>924</v>
      </c>
      <c r="J1686" s="32" t="s">
        <v>1317</v>
      </c>
    </row>
    <row r="1687" spans="6:10" x14ac:dyDescent="0.25">
      <c r="F1687" s="32"/>
      <c r="G1687" s="32" t="s">
        <v>761</v>
      </c>
      <c r="H1687" s="32" t="s">
        <v>3629</v>
      </c>
      <c r="I1687" s="32" t="s">
        <v>645</v>
      </c>
      <c r="J1687" s="32" t="s">
        <v>1140</v>
      </c>
    </row>
    <row r="1688" spans="6:10" x14ac:dyDescent="0.25">
      <c r="F1688" s="32"/>
      <c r="G1688" s="32" t="s">
        <v>3630</v>
      </c>
      <c r="H1688" s="32" t="s">
        <v>3631</v>
      </c>
      <c r="I1688" s="32" t="s">
        <v>645</v>
      </c>
      <c r="J1688" s="32" t="s">
        <v>1140</v>
      </c>
    </row>
    <row r="1689" spans="6:10" x14ac:dyDescent="0.25">
      <c r="F1689" s="32" t="s">
        <v>632</v>
      </c>
      <c r="G1689" s="32"/>
      <c r="H1689" s="32" t="s">
        <v>3632</v>
      </c>
      <c r="I1689" s="32"/>
      <c r="J1689" s="32"/>
    </row>
    <row r="1690" spans="6:10" x14ac:dyDescent="0.25">
      <c r="F1690" s="32"/>
      <c r="G1690" s="32" t="s">
        <v>3633</v>
      </c>
      <c r="H1690" s="32" t="s">
        <v>3634</v>
      </c>
      <c r="I1690" s="32" t="s">
        <v>924</v>
      </c>
      <c r="J1690" s="32" t="s">
        <v>1317</v>
      </c>
    </row>
    <row r="1691" spans="6:10" x14ac:dyDescent="0.25">
      <c r="F1691" s="32"/>
      <c r="G1691" s="32" t="s">
        <v>3635</v>
      </c>
      <c r="H1691" s="32" t="s">
        <v>3636</v>
      </c>
      <c r="I1691" s="32" t="s">
        <v>645</v>
      </c>
      <c r="J1691" s="32" t="s">
        <v>1140</v>
      </c>
    </row>
    <row r="1692" spans="6:10" x14ac:dyDescent="0.25">
      <c r="F1692" s="32"/>
      <c r="G1692" s="32" t="s">
        <v>3637</v>
      </c>
      <c r="H1692" s="32" t="s">
        <v>3638</v>
      </c>
      <c r="I1692" s="32" t="s">
        <v>645</v>
      </c>
      <c r="J1692" s="32" t="s">
        <v>1140</v>
      </c>
    </row>
    <row r="1693" spans="6:10" x14ac:dyDescent="0.25">
      <c r="F1693" s="32"/>
      <c r="G1693" s="32" t="s">
        <v>3639</v>
      </c>
      <c r="H1693" s="32" t="s">
        <v>3640</v>
      </c>
      <c r="I1693" s="32" t="s">
        <v>645</v>
      </c>
      <c r="J1693" s="32" t="s">
        <v>1140</v>
      </c>
    </row>
    <row r="1694" spans="6:10" x14ac:dyDescent="0.25">
      <c r="F1694" s="32"/>
      <c r="G1694" s="32" t="s">
        <v>3641</v>
      </c>
      <c r="H1694" s="32" t="s">
        <v>3642</v>
      </c>
      <c r="I1694" s="32" t="s">
        <v>924</v>
      </c>
      <c r="J1694" s="32" t="s">
        <v>1317</v>
      </c>
    </row>
    <row r="1695" spans="6:10" x14ac:dyDescent="0.25">
      <c r="F1695" s="32"/>
      <c r="G1695" s="32" t="s">
        <v>3643</v>
      </c>
      <c r="H1695" s="32" t="s">
        <v>3644</v>
      </c>
      <c r="I1695" s="32" t="s">
        <v>645</v>
      </c>
      <c r="J1695" s="32" t="s">
        <v>1140</v>
      </c>
    </row>
    <row r="1696" spans="6:10" x14ac:dyDescent="0.25">
      <c r="F1696" s="32"/>
      <c r="G1696" s="32" t="s">
        <v>3645</v>
      </c>
      <c r="H1696" s="32" t="s">
        <v>3646</v>
      </c>
      <c r="I1696" s="32" t="s">
        <v>645</v>
      </c>
      <c r="J1696" s="32" t="s">
        <v>1140</v>
      </c>
    </row>
    <row r="1697" spans="6:10" x14ac:dyDescent="0.25">
      <c r="F1697" s="32"/>
      <c r="G1697" s="32" t="s">
        <v>3647</v>
      </c>
      <c r="H1697" s="32" t="s">
        <v>3648</v>
      </c>
      <c r="I1697" s="32" t="s">
        <v>645</v>
      </c>
      <c r="J1697" s="32" t="s">
        <v>1140</v>
      </c>
    </row>
    <row r="1698" spans="6:10" x14ac:dyDescent="0.25">
      <c r="F1698" s="32"/>
      <c r="G1698" s="32" t="s">
        <v>3649</v>
      </c>
      <c r="H1698" s="32" t="s">
        <v>3650</v>
      </c>
      <c r="I1698" s="32" t="s">
        <v>924</v>
      </c>
      <c r="J1698" s="32" t="s">
        <v>1317</v>
      </c>
    </row>
    <row r="1699" spans="6:10" x14ac:dyDescent="0.25">
      <c r="F1699" s="32"/>
      <c r="G1699" s="32" t="s">
        <v>3651</v>
      </c>
      <c r="H1699" s="32" t="s">
        <v>3652</v>
      </c>
      <c r="I1699" s="32" t="s">
        <v>645</v>
      </c>
      <c r="J1699" s="32" t="s">
        <v>1140</v>
      </c>
    </row>
    <row r="1700" spans="6:10" x14ac:dyDescent="0.25">
      <c r="F1700" s="32"/>
      <c r="G1700" s="32" t="s">
        <v>3653</v>
      </c>
      <c r="H1700" s="32" t="s">
        <v>3654</v>
      </c>
      <c r="I1700" s="32" t="s">
        <v>645</v>
      </c>
      <c r="J1700" s="32" t="s">
        <v>1140</v>
      </c>
    </row>
    <row r="1701" spans="6:10" x14ac:dyDescent="0.25">
      <c r="F1701" s="32" t="s">
        <v>576</v>
      </c>
      <c r="G1701" s="32"/>
      <c r="H1701" s="32" t="s">
        <v>3655</v>
      </c>
      <c r="I1701" s="32"/>
      <c r="J1701" s="32"/>
    </row>
    <row r="1702" spans="6:10" x14ac:dyDescent="0.25">
      <c r="F1702" s="32"/>
      <c r="G1702" s="32" t="s">
        <v>3656</v>
      </c>
      <c r="H1702" s="32" t="s">
        <v>3657</v>
      </c>
      <c r="I1702" s="32" t="s">
        <v>924</v>
      </c>
      <c r="J1702" s="32" t="s">
        <v>1317</v>
      </c>
    </row>
    <row r="1703" spans="6:10" x14ac:dyDescent="0.25">
      <c r="F1703" s="32"/>
      <c r="G1703" s="32" t="s">
        <v>3658</v>
      </c>
      <c r="H1703" s="32" t="s">
        <v>3659</v>
      </c>
      <c r="I1703" s="32" t="s">
        <v>924</v>
      </c>
      <c r="J1703" s="32" t="s">
        <v>1317</v>
      </c>
    </row>
    <row r="1704" spans="6:10" x14ac:dyDescent="0.25">
      <c r="F1704" s="32"/>
      <c r="G1704" s="32" t="s">
        <v>3660</v>
      </c>
      <c r="H1704" s="32" t="s">
        <v>3661</v>
      </c>
      <c r="I1704" s="32" t="s">
        <v>924</v>
      </c>
      <c r="J1704" s="32" t="s">
        <v>1317</v>
      </c>
    </row>
    <row r="1705" spans="6:10" x14ac:dyDescent="0.25">
      <c r="F1705" s="32" t="s">
        <v>460</v>
      </c>
      <c r="G1705" s="32"/>
      <c r="H1705" s="32" t="s">
        <v>3662</v>
      </c>
      <c r="I1705" s="32"/>
      <c r="J1705" s="32"/>
    </row>
    <row r="1706" spans="6:10" x14ac:dyDescent="0.25">
      <c r="F1706" s="32" t="s">
        <v>4616</v>
      </c>
      <c r="G1706" s="32"/>
      <c r="H1706" s="32" t="s">
        <v>3663</v>
      </c>
      <c r="I1706" s="32"/>
      <c r="J1706" s="32"/>
    </row>
    <row r="1707" spans="6:10" x14ac:dyDescent="0.25">
      <c r="F1707" s="32"/>
      <c r="G1707" s="32" t="s">
        <v>3664</v>
      </c>
      <c r="H1707" s="32" t="s">
        <v>3665</v>
      </c>
      <c r="I1707" s="32" t="s">
        <v>645</v>
      </c>
      <c r="J1707" s="32" t="s">
        <v>819</v>
      </c>
    </row>
    <row r="1708" spans="6:10" x14ac:dyDescent="0.25">
      <c r="F1708" s="32"/>
      <c r="G1708" s="32" t="s">
        <v>3666</v>
      </c>
      <c r="H1708" s="32" t="s">
        <v>3667</v>
      </c>
      <c r="I1708" s="32" t="s">
        <v>645</v>
      </c>
      <c r="J1708" s="32" t="s">
        <v>819</v>
      </c>
    </row>
    <row r="1709" spans="6:10" x14ac:dyDescent="0.25">
      <c r="F1709" s="32"/>
      <c r="G1709" s="32" t="s">
        <v>3668</v>
      </c>
      <c r="H1709" s="32" t="s">
        <v>3669</v>
      </c>
      <c r="I1709" s="32" t="s">
        <v>645</v>
      </c>
      <c r="J1709" s="32" t="s">
        <v>819</v>
      </c>
    </row>
    <row r="1710" spans="6:10" x14ac:dyDescent="0.25">
      <c r="F1710" s="32"/>
      <c r="G1710" s="32" t="s">
        <v>3670</v>
      </c>
      <c r="H1710" s="32" t="s">
        <v>3671</v>
      </c>
      <c r="I1710" s="32" t="s">
        <v>645</v>
      </c>
      <c r="J1710" s="32" t="s">
        <v>819</v>
      </c>
    </row>
    <row r="1711" spans="6:10" x14ac:dyDescent="0.25">
      <c r="F1711" s="32"/>
      <c r="G1711" s="32" t="s">
        <v>3672</v>
      </c>
      <c r="H1711" s="32" t="s">
        <v>3673</v>
      </c>
      <c r="I1711" s="32" t="s">
        <v>645</v>
      </c>
      <c r="J1711" s="32" t="s">
        <v>819</v>
      </c>
    </row>
    <row r="1712" spans="6:10" x14ac:dyDescent="0.25">
      <c r="F1712" s="32"/>
      <c r="G1712" s="32" t="s">
        <v>3674</v>
      </c>
      <c r="H1712" s="32" t="s">
        <v>3675</v>
      </c>
      <c r="I1712" s="32" t="s">
        <v>645</v>
      </c>
      <c r="J1712" s="32" t="s">
        <v>819</v>
      </c>
    </row>
    <row r="1713" spans="6:10" x14ac:dyDescent="0.25">
      <c r="F1713" s="32"/>
      <c r="G1713" s="32" t="s">
        <v>519</v>
      </c>
      <c r="H1713" s="32" t="s">
        <v>3676</v>
      </c>
      <c r="I1713" s="32" t="s">
        <v>645</v>
      </c>
      <c r="J1713" s="32" t="s">
        <v>819</v>
      </c>
    </row>
    <row r="1714" spans="6:10" x14ac:dyDescent="0.25">
      <c r="F1714" s="32"/>
      <c r="G1714" s="32" t="s">
        <v>3677</v>
      </c>
      <c r="H1714" s="32" t="s">
        <v>3678</v>
      </c>
      <c r="I1714" s="32" t="s">
        <v>645</v>
      </c>
      <c r="J1714" s="32" t="s">
        <v>819</v>
      </c>
    </row>
    <row r="1715" spans="6:10" x14ac:dyDescent="0.25">
      <c r="F1715" s="32"/>
      <c r="G1715" s="32" t="s">
        <v>3679</v>
      </c>
      <c r="H1715" s="32" t="s">
        <v>3680</v>
      </c>
      <c r="I1715" s="32" t="s">
        <v>645</v>
      </c>
      <c r="J1715" s="32" t="s">
        <v>819</v>
      </c>
    </row>
    <row r="1716" spans="6:10" x14ac:dyDescent="0.25">
      <c r="F1716" s="32"/>
      <c r="G1716" s="32" t="s">
        <v>3681</v>
      </c>
      <c r="H1716" s="32" t="s">
        <v>3682</v>
      </c>
      <c r="I1716" s="32" t="s">
        <v>645</v>
      </c>
      <c r="J1716" s="32" t="s">
        <v>819</v>
      </c>
    </row>
    <row r="1717" spans="6:10" x14ac:dyDescent="0.25">
      <c r="F1717" s="32"/>
      <c r="G1717" s="32" t="s">
        <v>3683</v>
      </c>
      <c r="H1717" s="32" t="s">
        <v>3684</v>
      </c>
      <c r="I1717" s="32" t="s">
        <v>645</v>
      </c>
      <c r="J1717" s="32" t="s">
        <v>819</v>
      </c>
    </row>
    <row r="1718" spans="6:10" x14ac:dyDescent="0.25">
      <c r="F1718" s="32"/>
      <c r="G1718" s="32" t="s">
        <v>3685</v>
      </c>
      <c r="H1718" s="32" t="s">
        <v>3686</v>
      </c>
      <c r="I1718" s="32" t="s">
        <v>645</v>
      </c>
      <c r="J1718" s="32" t="s">
        <v>819</v>
      </c>
    </row>
    <row r="1719" spans="6:10" x14ac:dyDescent="0.25">
      <c r="F1719" s="32"/>
      <c r="G1719" s="32" t="s">
        <v>3687</v>
      </c>
      <c r="H1719" s="32" t="s">
        <v>3688</v>
      </c>
      <c r="I1719" s="32" t="s">
        <v>645</v>
      </c>
      <c r="J1719" s="32" t="s">
        <v>819</v>
      </c>
    </row>
    <row r="1720" spans="6:10" x14ac:dyDescent="0.25">
      <c r="F1720" s="32" t="s">
        <v>633</v>
      </c>
      <c r="G1720" s="32"/>
      <c r="H1720" s="32" t="s">
        <v>3689</v>
      </c>
      <c r="I1720" s="32"/>
      <c r="J1720" s="32"/>
    </row>
    <row r="1721" spans="6:10" x14ac:dyDescent="0.25">
      <c r="F1721" s="32"/>
      <c r="G1721" s="32" t="s">
        <v>3690</v>
      </c>
      <c r="H1721" s="32" t="s">
        <v>3691</v>
      </c>
      <c r="I1721" s="32" t="s">
        <v>645</v>
      </c>
      <c r="J1721" s="32" t="s">
        <v>819</v>
      </c>
    </row>
    <row r="1722" spans="6:10" x14ac:dyDescent="0.25">
      <c r="F1722" s="32"/>
      <c r="G1722" s="32" t="s">
        <v>3692</v>
      </c>
      <c r="H1722" s="32" t="s">
        <v>3693</v>
      </c>
      <c r="I1722" s="32" t="s">
        <v>645</v>
      </c>
      <c r="J1722" s="32" t="s">
        <v>819</v>
      </c>
    </row>
    <row r="1723" spans="6:10" x14ac:dyDescent="0.25">
      <c r="F1723" s="32"/>
      <c r="G1723" s="32" t="s">
        <v>3694</v>
      </c>
      <c r="H1723" s="32" t="s">
        <v>3695</v>
      </c>
      <c r="I1723" s="32" t="s">
        <v>645</v>
      </c>
      <c r="J1723" s="32" t="s">
        <v>819</v>
      </c>
    </row>
    <row r="1724" spans="6:10" x14ac:dyDescent="0.25">
      <c r="F1724" s="32"/>
      <c r="G1724" s="32" t="s">
        <v>3696</v>
      </c>
      <c r="H1724" s="32" t="s">
        <v>3697</v>
      </c>
      <c r="I1724" s="32" t="s">
        <v>645</v>
      </c>
      <c r="J1724" s="32" t="s">
        <v>819</v>
      </c>
    </row>
    <row r="1725" spans="6:10" x14ac:dyDescent="0.25">
      <c r="F1725" s="32"/>
      <c r="G1725" s="32" t="s">
        <v>3698</v>
      </c>
      <c r="H1725" s="32" t="s">
        <v>3699</v>
      </c>
      <c r="I1725" s="32" t="s">
        <v>645</v>
      </c>
      <c r="J1725" s="32" t="s">
        <v>819</v>
      </c>
    </row>
    <row r="1726" spans="6:10" x14ac:dyDescent="0.25">
      <c r="F1726" s="32"/>
      <c r="G1726" s="32" t="s">
        <v>3700</v>
      </c>
      <c r="H1726" s="32" t="s">
        <v>3701</v>
      </c>
      <c r="I1726" s="32" t="s">
        <v>645</v>
      </c>
      <c r="J1726" s="32" t="s">
        <v>819</v>
      </c>
    </row>
    <row r="1727" spans="6:10" x14ac:dyDescent="0.25">
      <c r="F1727" s="32"/>
      <c r="G1727" s="32" t="s">
        <v>3702</v>
      </c>
      <c r="H1727" s="32" t="s">
        <v>3703</v>
      </c>
      <c r="I1727" s="32" t="s">
        <v>645</v>
      </c>
      <c r="J1727" s="32" t="s">
        <v>819</v>
      </c>
    </row>
    <row r="1728" spans="6:10" x14ac:dyDescent="0.25">
      <c r="F1728" s="32"/>
      <c r="G1728" s="32" t="s">
        <v>3704</v>
      </c>
      <c r="H1728" s="32" t="s">
        <v>3705</v>
      </c>
      <c r="I1728" s="32" t="s">
        <v>645</v>
      </c>
      <c r="J1728" s="32" t="s">
        <v>819</v>
      </c>
    </row>
    <row r="1729" spans="6:10" x14ac:dyDescent="0.25">
      <c r="F1729" s="32" t="s">
        <v>4561</v>
      </c>
      <c r="G1729" s="32"/>
      <c r="H1729" s="32" t="s">
        <v>3706</v>
      </c>
      <c r="I1729" s="32"/>
      <c r="J1729" s="32"/>
    </row>
    <row r="1730" spans="6:10" x14ac:dyDescent="0.25">
      <c r="F1730" s="32"/>
      <c r="G1730" s="32" t="s">
        <v>577</v>
      </c>
      <c r="H1730" s="32" t="s">
        <v>3707</v>
      </c>
      <c r="I1730" s="32" t="s">
        <v>688</v>
      </c>
      <c r="J1730" s="32" t="s">
        <v>688</v>
      </c>
    </row>
    <row r="1731" spans="6:10" x14ac:dyDescent="0.25">
      <c r="F1731" s="32"/>
      <c r="G1731" s="32" t="s">
        <v>3708</v>
      </c>
      <c r="H1731" s="32" t="s">
        <v>3709</v>
      </c>
      <c r="I1731" s="32" t="s">
        <v>688</v>
      </c>
      <c r="J1731" s="32" t="s">
        <v>688</v>
      </c>
    </row>
    <row r="1732" spans="6:10" x14ac:dyDescent="0.25">
      <c r="F1732" s="32"/>
      <c r="G1732" s="32" t="s">
        <v>3761</v>
      </c>
      <c r="H1732" s="32" t="s">
        <v>3710</v>
      </c>
      <c r="I1732" s="32" t="s">
        <v>688</v>
      </c>
      <c r="J1732" s="32" t="s">
        <v>688</v>
      </c>
    </row>
    <row r="1733" spans="6:10" x14ac:dyDescent="0.25">
      <c r="F1733" s="32"/>
      <c r="G1733" s="32" t="s">
        <v>3711</v>
      </c>
      <c r="H1733" s="32" t="s">
        <v>3712</v>
      </c>
      <c r="I1733" s="32" t="s">
        <v>688</v>
      </c>
      <c r="J1733" s="32" t="s">
        <v>688</v>
      </c>
    </row>
    <row r="1734" spans="6:10" x14ac:dyDescent="0.25">
      <c r="F1734" s="32"/>
      <c r="G1734" s="32" t="s">
        <v>3713</v>
      </c>
      <c r="H1734" s="32" t="s">
        <v>3714</v>
      </c>
      <c r="I1734" s="32" t="s">
        <v>688</v>
      </c>
      <c r="J1734" s="32" t="s">
        <v>688</v>
      </c>
    </row>
    <row r="1735" spans="6:10" x14ac:dyDescent="0.25">
      <c r="F1735" s="32"/>
      <c r="G1735" s="32" t="s">
        <v>3715</v>
      </c>
      <c r="H1735" s="32" t="s">
        <v>3716</v>
      </c>
      <c r="I1735" s="32" t="s">
        <v>688</v>
      </c>
      <c r="J1735" s="32" t="s">
        <v>688</v>
      </c>
    </row>
    <row r="1736" spans="6:10" x14ac:dyDescent="0.25">
      <c r="F1736" s="32"/>
      <c r="G1736" s="32" t="s">
        <v>3717</v>
      </c>
      <c r="H1736" s="32" t="s">
        <v>3718</v>
      </c>
      <c r="I1736" s="32" t="s">
        <v>688</v>
      </c>
      <c r="J1736" s="32" t="s">
        <v>688</v>
      </c>
    </row>
    <row r="1737" spans="6:10" x14ac:dyDescent="0.25">
      <c r="F1737" s="32"/>
      <c r="G1737" s="32" t="s">
        <v>3719</v>
      </c>
      <c r="H1737" s="32" t="s">
        <v>3720</v>
      </c>
      <c r="I1737" s="32" t="s">
        <v>688</v>
      </c>
      <c r="J1737" s="32" t="s">
        <v>688</v>
      </c>
    </row>
    <row r="1738" spans="6:10" x14ac:dyDescent="0.25">
      <c r="F1738" s="32" t="s">
        <v>460</v>
      </c>
      <c r="G1738" s="32"/>
      <c r="H1738" s="32"/>
      <c r="I1738" s="32"/>
      <c r="J1738" s="32"/>
    </row>
    <row r="1739" spans="6:10" x14ac:dyDescent="0.25">
      <c r="F1739" s="32" t="s">
        <v>4617</v>
      </c>
      <c r="G1739" s="32"/>
      <c r="H1739" s="32" t="s">
        <v>3721</v>
      </c>
      <c r="I1739" s="32"/>
      <c r="J1739" s="32"/>
    </row>
    <row r="1740" spans="6:10" x14ac:dyDescent="0.25">
      <c r="F1740" s="32"/>
      <c r="G1740" s="32" t="s">
        <v>455</v>
      </c>
      <c r="H1740" s="32" t="s">
        <v>3722</v>
      </c>
      <c r="I1740" s="32" t="s">
        <v>924</v>
      </c>
      <c r="J1740" s="32" t="s">
        <v>1815</v>
      </c>
    </row>
    <row r="1741" spans="6:10" x14ac:dyDescent="0.25">
      <c r="F1741" s="32"/>
      <c r="G1741" s="32" t="s">
        <v>493</v>
      </c>
      <c r="H1741" s="32" t="s">
        <v>3723</v>
      </c>
      <c r="I1741" s="32" t="s">
        <v>924</v>
      </c>
      <c r="J1741" s="32" t="s">
        <v>1815</v>
      </c>
    </row>
    <row r="1742" spans="6:10" x14ac:dyDescent="0.25">
      <c r="F1742" s="32"/>
      <c r="G1742" s="32" t="s">
        <v>3724</v>
      </c>
      <c r="H1742" s="32" t="s">
        <v>3725</v>
      </c>
      <c r="I1742" s="32" t="s">
        <v>924</v>
      </c>
      <c r="J1742" s="32" t="s">
        <v>1815</v>
      </c>
    </row>
    <row r="1743" spans="6:10" x14ac:dyDescent="0.25">
      <c r="F1743" s="32"/>
      <c r="G1743" s="32" t="s">
        <v>3726</v>
      </c>
      <c r="H1743" s="32" t="s">
        <v>3727</v>
      </c>
      <c r="I1743" s="32" t="s">
        <v>924</v>
      </c>
      <c r="J1743" s="32" t="s">
        <v>1815</v>
      </c>
    </row>
    <row r="1744" spans="6:10" x14ac:dyDescent="0.25">
      <c r="F1744" s="32"/>
      <c r="G1744" s="32" t="s">
        <v>3728</v>
      </c>
      <c r="H1744" s="32" t="s">
        <v>3729</v>
      </c>
      <c r="I1744" s="32" t="s">
        <v>924</v>
      </c>
      <c r="J1744" s="32" t="s">
        <v>1815</v>
      </c>
    </row>
    <row r="1745" spans="6:10" x14ac:dyDescent="0.25">
      <c r="F1745" s="32"/>
      <c r="G1745" s="32" t="s">
        <v>3730</v>
      </c>
      <c r="H1745" s="32" t="s">
        <v>3731</v>
      </c>
      <c r="I1745" s="32" t="s">
        <v>924</v>
      </c>
      <c r="J1745" s="32" t="s">
        <v>1815</v>
      </c>
    </row>
    <row r="1746" spans="6:10" x14ac:dyDescent="0.25">
      <c r="F1746" s="32"/>
      <c r="G1746" s="32" t="s">
        <v>612</v>
      </c>
      <c r="H1746" s="32" t="s">
        <v>3732</v>
      </c>
      <c r="I1746" s="32" t="s">
        <v>924</v>
      </c>
      <c r="J1746" s="32" t="s">
        <v>1815</v>
      </c>
    </row>
    <row r="1747" spans="6:10" x14ac:dyDescent="0.25">
      <c r="F1747" s="32"/>
      <c r="G1747" s="32" t="s">
        <v>3733</v>
      </c>
      <c r="H1747" s="32" t="s">
        <v>3734</v>
      </c>
      <c r="I1747" s="32" t="s">
        <v>924</v>
      </c>
      <c r="J1747" s="32" t="s">
        <v>1815</v>
      </c>
    </row>
    <row r="1748" spans="6:10" x14ac:dyDescent="0.25">
      <c r="F1748" s="32"/>
      <c r="G1748" s="32" t="s">
        <v>3735</v>
      </c>
      <c r="H1748" s="32" t="s">
        <v>3736</v>
      </c>
      <c r="I1748" s="32" t="s">
        <v>924</v>
      </c>
      <c r="J1748" s="32" t="s">
        <v>1815</v>
      </c>
    </row>
    <row r="1749" spans="6:10" x14ac:dyDescent="0.25">
      <c r="F1749" s="32"/>
      <c r="G1749" s="32" t="s">
        <v>3737</v>
      </c>
      <c r="H1749" s="32" t="s">
        <v>3738</v>
      </c>
      <c r="I1749" s="32" t="s">
        <v>924</v>
      </c>
      <c r="J1749" s="32" t="s">
        <v>1815</v>
      </c>
    </row>
    <row r="1750" spans="6:10" x14ac:dyDescent="0.25">
      <c r="F1750" s="32" t="s">
        <v>578</v>
      </c>
      <c r="G1750" s="32"/>
      <c r="H1750" s="32" t="s">
        <v>3739</v>
      </c>
      <c r="I1750" s="32"/>
      <c r="J1750" s="32"/>
    </row>
    <row r="1751" spans="6:10" x14ac:dyDescent="0.25">
      <c r="F1751" s="32"/>
      <c r="G1751" s="32" t="s">
        <v>3740</v>
      </c>
      <c r="H1751" s="32" t="s">
        <v>3741</v>
      </c>
      <c r="I1751" s="33" t="s">
        <v>645</v>
      </c>
      <c r="J1751" s="33" t="s">
        <v>646</v>
      </c>
    </row>
    <row r="1752" spans="6:10" x14ac:dyDescent="0.25">
      <c r="F1752" s="32"/>
      <c r="G1752" s="32" t="s">
        <v>3742</v>
      </c>
      <c r="H1752" s="32" t="s">
        <v>3743</v>
      </c>
      <c r="I1752" s="33" t="s">
        <v>924</v>
      </c>
      <c r="J1752" s="33" t="s">
        <v>1815</v>
      </c>
    </row>
    <row r="1753" spans="6:10" x14ac:dyDescent="0.25">
      <c r="F1753" s="32"/>
      <c r="G1753" s="32" t="s">
        <v>3744</v>
      </c>
      <c r="H1753" s="32" t="s">
        <v>3745</v>
      </c>
      <c r="I1753" s="33" t="s">
        <v>924</v>
      </c>
      <c r="J1753" s="33" t="s">
        <v>1815</v>
      </c>
    </row>
    <row r="1754" spans="6:10" x14ac:dyDescent="0.25">
      <c r="F1754" s="32"/>
      <c r="G1754" s="32" t="s">
        <v>3746</v>
      </c>
      <c r="H1754" s="32" t="s">
        <v>3747</v>
      </c>
      <c r="I1754" s="33" t="s">
        <v>645</v>
      </c>
      <c r="J1754" s="33" t="s">
        <v>646</v>
      </c>
    </row>
    <row r="1755" spans="6:10" x14ac:dyDescent="0.25">
      <c r="F1755" s="32"/>
      <c r="G1755" s="32" t="s">
        <v>3748</v>
      </c>
      <c r="H1755" s="32" t="s">
        <v>3749</v>
      </c>
      <c r="I1755" s="33" t="s">
        <v>924</v>
      </c>
      <c r="J1755" s="33" t="s">
        <v>1815</v>
      </c>
    </row>
    <row r="1756" spans="6:10" x14ac:dyDescent="0.25">
      <c r="F1756" s="32"/>
      <c r="G1756" s="32" t="s">
        <v>3750</v>
      </c>
      <c r="H1756" s="32" t="s">
        <v>3751</v>
      </c>
      <c r="I1756" s="33" t="s">
        <v>645</v>
      </c>
      <c r="J1756" s="33" t="s">
        <v>646</v>
      </c>
    </row>
    <row r="1757" spans="6:10" x14ac:dyDescent="0.25">
      <c r="F1757" s="32"/>
      <c r="G1757" s="32" t="s">
        <v>3752</v>
      </c>
      <c r="H1757" s="32" t="s">
        <v>3753</v>
      </c>
      <c r="I1757" s="33" t="s">
        <v>924</v>
      </c>
      <c r="J1757" s="33" t="s">
        <v>1815</v>
      </c>
    </row>
    <row r="1758" spans="6:10" x14ac:dyDescent="0.25">
      <c r="F1758" s="32"/>
      <c r="G1758" s="32" t="s">
        <v>3754</v>
      </c>
      <c r="H1758" s="32" t="s">
        <v>3755</v>
      </c>
      <c r="I1758" s="33" t="s">
        <v>924</v>
      </c>
      <c r="J1758" s="33" t="s">
        <v>1815</v>
      </c>
    </row>
    <row r="1759" spans="6:10" x14ac:dyDescent="0.25">
      <c r="F1759" s="32"/>
      <c r="G1759" s="32" t="s">
        <v>3756</v>
      </c>
      <c r="H1759" s="32" t="s">
        <v>3757</v>
      </c>
      <c r="I1759" s="33" t="s">
        <v>924</v>
      </c>
      <c r="J1759" s="33" t="s">
        <v>1815</v>
      </c>
    </row>
    <row r="1760" spans="6:10" x14ac:dyDescent="0.25">
      <c r="F1760" s="32"/>
      <c r="G1760" s="32" t="s">
        <v>3758</v>
      </c>
      <c r="H1760" s="32" t="s">
        <v>3759</v>
      </c>
      <c r="I1760" s="33" t="s">
        <v>924</v>
      </c>
      <c r="J1760" s="33" t="s">
        <v>1815</v>
      </c>
    </row>
    <row r="1761" spans="6:10" x14ac:dyDescent="0.25">
      <c r="F1761" s="32" t="s">
        <v>579</v>
      </c>
      <c r="G1761" s="32"/>
      <c r="H1761" s="32" t="s">
        <v>3760</v>
      </c>
      <c r="I1761" s="32"/>
      <c r="J1761" s="32"/>
    </row>
    <row r="1762" spans="6:10" x14ac:dyDescent="0.25">
      <c r="F1762" s="32"/>
      <c r="G1762" s="32" t="s">
        <v>3761</v>
      </c>
      <c r="H1762" s="32" t="s">
        <v>3762</v>
      </c>
      <c r="I1762" s="32" t="s">
        <v>645</v>
      </c>
      <c r="J1762" s="32" t="s">
        <v>646</v>
      </c>
    </row>
    <row r="1763" spans="6:10" x14ac:dyDescent="0.25">
      <c r="F1763" s="32"/>
      <c r="G1763" s="32" t="s">
        <v>3763</v>
      </c>
      <c r="H1763" s="32" t="s">
        <v>3764</v>
      </c>
      <c r="I1763" s="32" t="s">
        <v>924</v>
      </c>
      <c r="J1763" s="32" t="s">
        <v>1815</v>
      </c>
    </row>
    <row r="1764" spans="6:10" x14ac:dyDescent="0.25">
      <c r="F1764" s="32"/>
      <c r="G1764" s="32" t="s">
        <v>3765</v>
      </c>
      <c r="H1764" s="32" t="s">
        <v>3766</v>
      </c>
      <c r="I1764" s="32" t="s">
        <v>645</v>
      </c>
      <c r="J1764" s="32" t="s">
        <v>646</v>
      </c>
    </row>
    <row r="1765" spans="6:10" x14ac:dyDescent="0.25">
      <c r="F1765" s="32"/>
      <c r="G1765" s="32" t="s">
        <v>3767</v>
      </c>
      <c r="H1765" s="32" t="s">
        <v>3768</v>
      </c>
      <c r="I1765" s="32" t="s">
        <v>645</v>
      </c>
      <c r="J1765" s="32" t="s">
        <v>646</v>
      </c>
    </row>
    <row r="1766" spans="6:10" x14ac:dyDescent="0.25">
      <c r="F1766" s="32"/>
      <c r="G1766" s="32" t="s">
        <v>3769</v>
      </c>
      <c r="H1766" s="32" t="s">
        <v>3770</v>
      </c>
      <c r="I1766" s="32" t="s">
        <v>924</v>
      </c>
      <c r="J1766" s="32" t="s">
        <v>1815</v>
      </c>
    </row>
    <row r="1767" spans="6:10" x14ac:dyDescent="0.25">
      <c r="F1767" s="32"/>
      <c r="G1767" s="32" t="s">
        <v>3771</v>
      </c>
      <c r="H1767" s="32" t="s">
        <v>3772</v>
      </c>
      <c r="I1767" s="32" t="s">
        <v>924</v>
      </c>
      <c r="J1767" s="32" t="s">
        <v>1815</v>
      </c>
    </row>
    <row r="1768" spans="6:10" x14ac:dyDescent="0.25">
      <c r="F1768" s="32"/>
      <c r="G1768" s="32" t="s">
        <v>3773</v>
      </c>
      <c r="H1768" s="32" t="s">
        <v>3774</v>
      </c>
      <c r="I1768" s="32" t="s">
        <v>645</v>
      </c>
      <c r="J1768" s="32" t="s">
        <v>646</v>
      </c>
    </row>
    <row r="1769" spans="6:10" x14ac:dyDescent="0.25">
      <c r="F1769" s="32"/>
      <c r="G1769" s="32" t="s">
        <v>3775</v>
      </c>
      <c r="H1769" s="32" t="s">
        <v>3776</v>
      </c>
      <c r="I1769" s="32" t="s">
        <v>645</v>
      </c>
      <c r="J1769" s="32" t="s">
        <v>646</v>
      </c>
    </row>
    <row r="1770" spans="6:10" x14ac:dyDescent="0.25">
      <c r="F1770" s="32" t="s">
        <v>580</v>
      </c>
      <c r="G1770" s="32"/>
      <c r="H1770" s="32" t="s">
        <v>3777</v>
      </c>
      <c r="I1770" s="32"/>
      <c r="J1770" s="32"/>
    </row>
    <row r="1771" spans="6:10" x14ac:dyDescent="0.25">
      <c r="F1771" s="32"/>
      <c r="G1771" s="32" t="s">
        <v>3778</v>
      </c>
      <c r="H1771" s="32" t="s">
        <v>3779</v>
      </c>
      <c r="I1771" s="32" t="s">
        <v>924</v>
      </c>
      <c r="J1771" s="32" t="s">
        <v>1815</v>
      </c>
    </row>
    <row r="1772" spans="6:10" x14ac:dyDescent="0.25">
      <c r="F1772" s="32"/>
      <c r="G1772" s="32" t="s">
        <v>4618</v>
      </c>
      <c r="H1772" s="32" t="s">
        <v>3780</v>
      </c>
      <c r="I1772" s="32" t="s">
        <v>924</v>
      </c>
      <c r="J1772" s="32" t="s">
        <v>1815</v>
      </c>
    </row>
    <row r="1773" spans="6:10" x14ac:dyDescent="0.25">
      <c r="F1773" s="32"/>
      <c r="G1773" s="32" t="s">
        <v>3781</v>
      </c>
      <c r="H1773" s="32" t="s">
        <v>3782</v>
      </c>
      <c r="I1773" s="32" t="s">
        <v>924</v>
      </c>
      <c r="J1773" s="32" t="s">
        <v>1815</v>
      </c>
    </row>
    <row r="1774" spans="6:10" x14ac:dyDescent="0.25">
      <c r="F1774" s="32"/>
      <c r="G1774" s="32" t="s">
        <v>3783</v>
      </c>
      <c r="H1774" s="32" t="s">
        <v>3784</v>
      </c>
      <c r="I1774" s="32" t="s">
        <v>924</v>
      </c>
      <c r="J1774" s="32" t="s">
        <v>1815</v>
      </c>
    </row>
    <row r="1775" spans="6:10" x14ac:dyDescent="0.25">
      <c r="F1775" s="32"/>
      <c r="G1775" s="32" t="s">
        <v>3785</v>
      </c>
      <c r="H1775" s="32" t="s">
        <v>3786</v>
      </c>
      <c r="I1775" s="32" t="s">
        <v>924</v>
      </c>
      <c r="J1775" s="32" t="s">
        <v>1815</v>
      </c>
    </row>
    <row r="1776" spans="6:10" x14ac:dyDescent="0.25">
      <c r="F1776" s="32"/>
      <c r="G1776" s="32" t="s">
        <v>3825</v>
      </c>
      <c r="H1776" s="32" t="s">
        <v>3787</v>
      </c>
      <c r="I1776" s="32" t="s">
        <v>924</v>
      </c>
      <c r="J1776" s="32" t="s">
        <v>1815</v>
      </c>
    </row>
    <row r="1777" spans="6:10" x14ac:dyDescent="0.25">
      <c r="F1777" s="32"/>
      <c r="G1777" s="32" t="s">
        <v>3788</v>
      </c>
      <c r="H1777" s="32" t="s">
        <v>3789</v>
      </c>
      <c r="I1777" s="32" t="s">
        <v>924</v>
      </c>
      <c r="J1777" s="32" t="s">
        <v>1815</v>
      </c>
    </row>
    <row r="1778" spans="6:10" x14ac:dyDescent="0.25">
      <c r="F1778" s="32"/>
      <c r="G1778" s="32" t="s">
        <v>3790</v>
      </c>
      <c r="H1778" s="32" t="s">
        <v>3791</v>
      </c>
      <c r="I1778" s="32" t="s">
        <v>924</v>
      </c>
      <c r="J1778" s="32" t="s">
        <v>1815</v>
      </c>
    </row>
    <row r="1779" spans="6:10" x14ac:dyDescent="0.25">
      <c r="F1779" s="32"/>
      <c r="G1779" s="32" t="s">
        <v>3792</v>
      </c>
      <c r="H1779" s="32" t="s">
        <v>3793</v>
      </c>
      <c r="I1779" s="32" t="s">
        <v>924</v>
      </c>
      <c r="J1779" s="32" t="s">
        <v>1815</v>
      </c>
    </row>
    <row r="1780" spans="6:10" x14ac:dyDescent="0.25">
      <c r="F1780" s="32"/>
      <c r="G1780" s="32" t="s">
        <v>3794</v>
      </c>
      <c r="H1780" s="32" t="s">
        <v>3795</v>
      </c>
      <c r="I1780" s="32" t="s">
        <v>924</v>
      </c>
      <c r="J1780" s="32" t="s">
        <v>1815</v>
      </c>
    </row>
    <row r="1781" spans="6:10" x14ac:dyDescent="0.25">
      <c r="F1781" s="32" t="s">
        <v>581</v>
      </c>
      <c r="G1781" s="32"/>
      <c r="H1781" s="32" t="s">
        <v>3796</v>
      </c>
      <c r="I1781" s="32"/>
      <c r="J1781" s="32"/>
    </row>
    <row r="1782" spans="6:10" x14ac:dyDescent="0.25">
      <c r="F1782" s="32"/>
      <c r="G1782" s="32" t="s">
        <v>3797</v>
      </c>
      <c r="H1782" s="32" t="s">
        <v>3798</v>
      </c>
      <c r="I1782" s="32" t="s">
        <v>924</v>
      </c>
      <c r="J1782" s="32" t="s">
        <v>1815</v>
      </c>
    </row>
    <row r="1783" spans="6:10" x14ac:dyDescent="0.25">
      <c r="F1783" s="32"/>
      <c r="G1783" s="32" t="s">
        <v>3799</v>
      </c>
      <c r="H1783" s="32" t="s">
        <v>3800</v>
      </c>
      <c r="I1783" s="32" t="s">
        <v>924</v>
      </c>
      <c r="J1783" s="32" t="s">
        <v>1815</v>
      </c>
    </row>
    <row r="1784" spans="6:10" x14ac:dyDescent="0.25">
      <c r="F1784" s="32"/>
      <c r="G1784" s="32" t="s">
        <v>3801</v>
      </c>
      <c r="H1784" s="32" t="s">
        <v>3802</v>
      </c>
      <c r="I1784" s="32" t="s">
        <v>924</v>
      </c>
      <c r="J1784" s="32" t="s">
        <v>1815</v>
      </c>
    </row>
    <row r="1785" spans="6:10" x14ac:dyDescent="0.25">
      <c r="F1785" s="32"/>
      <c r="G1785" s="32" t="s">
        <v>3803</v>
      </c>
      <c r="H1785" s="32" t="s">
        <v>3804</v>
      </c>
      <c r="I1785" s="32" t="s">
        <v>924</v>
      </c>
      <c r="J1785" s="32" t="s">
        <v>1815</v>
      </c>
    </row>
    <row r="1786" spans="6:10" x14ac:dyDescent="0.25">
      <c r="F1786" s="32"/>
      <c r="G1786" s="32" t="s">
        <v>3805</v>
      </c>
      <c r="H1786" s="32" t="s">
        <v>3806</v>
      </c>
      <c r="I1786" s="32" t="s">
        <v>924</v>
      </c>
      <c r="J1786" s="32" t="s">
        <v>1815</v>
      </c>
    </row>
    <row r="1787" spans="6:10" x14ac:dyDescent="0.25">
      <c r="F1787" s="32"/>
      <c r="G1787" s="32" t="s">
        <v>3807</v>
      </c>
      <c r="H1787" s="32" t="s">
        <v>3808</v>
      </c>
      <c r="I1787" s="32" t="s">
        <v>924</v>
      </c>
      <c r="J1787" s="32" t="s">
        <v>1815</v>
      </c>
    </row>
    <row r="1788" spans="6:10" x14ac:dyDescent="0.25">
      <c r="F1788" s="32"/>
      <c r="G1788" s="32" t="s">
        <v>3809</v>
      </c>
      <c r="H1788" s="32" t="s">
        <v>3810</v>
      </c>
      <c r="I1788" s="32" t="s">
        <v>924</v>
      </c>
      <c r="J1788" s="32" t="s">
        <v>1815</v>
      </c>
    </row>
    <row r="1789" spans="6:10" x14ac:dyDescent="0.25">
      <c r="F1789" s="32" t="s">
        <v>582</v>
      </c>
      <c r="G1789" s="32"/>
      <c r="H1789" s="32" t="s">
        <v>3811</v>
      </c>
      <c r="I1789" s="32"/>
      <c r="J1789" s="32"/>
    </row>
    <row r="1790" spans="6:10" x14ac:dyDescent="0.25">
      <c r="F1790" s="32"/>
      <c r="G1790" s="32" t="s">
        <v>3812</v>
      </c>
      <c r="H1790" s="32" t="s">
        <v>3813</v>
      </c>
      <c r="I1790" s="32" t="s">
        <v>924</v>
      </c>
      <c r="J1790" s="32" t="s">
        <v>1815</v>
      </c>
    </row>
    <row r="1791" spans="6:10" x14ac:dyDescent="0.25">
      <c r="F1791" s="32"/>
      <c r="G1791" s="32" t="s">
        <v>4094</v>
      </c>
      <c r="H1791" s="32" t="s">
        <v>3814</v>
      </c>
      <c r="I1791" s="32" t="s">
        <v>924</v>
      </c>
      <c r="J1791" s="32" t="s">
        <v>1815</v>
      </c>
    </row>
    <row r="1792" spans="6:10" x14ac:dyDescent="0.25">
      <c r="F1792" s="32"/>
      <c r="G1792" s="32" t="s">
        <v>3815</v>
      </c>
      <c r="H1792" s="32" t="s">
        <v>3816</v>
      </c>
      <c r="I1792" s="32" t="s">
        <v>924</v>
      </c>
      <c r="J1792" s="32" t="s">
        <v>1815</v>
      </c>
    </row>
    <row r="1793" spans="6:10" x14ac:dyDescent="0.25">
      <c r="F1793" s="32"/>
      <c r="G1793" s="32" t="s">
        <v>3817</v>
      </c>
      <c r="H1793" s="32" t="s">
        <v>3818</v>
      </c>
      <c r="I1793" s="32" t="s">
        <v>924</v>
      </c>
      <c r="J1793" s="32" t="s">
        <v>1815</v>
      </c>
    </row>
    <row r="1794" spans="6:10" x14ac:dyDescent="0.25">
      <c r="F1794" s="32"/>
      <c r="G1794" s="32" t="s">
        <v>3819</v>
      </c>
      <c r="H1794" s="32" t="s">
        <v>3820</v>
      </c>
      <c r="I1794" s="32" t="s">
        <v>924</v>
      </c>
      <c r="J1794" s="32" t="s">
        <v>1815</v>
      </c>
    </row>
    <row r="1795" spans="6:10" x14ac:dyDescent="0.25">
      <c r="F1795" s="32"/>
      <c r="G1795" s="32" t="s">
        <v>3821</v>
      </c>
      <c r="H1795" s="32" t="s">
        <v>3822</v>
      </c>
      <c r="I1795" s="32" t="s">
        <v>924</v>
      </c>
      <c r="J1795" s="32" t="s">
        <v>1815</v>
      </c>
    </row>
    <row r="1796" spans="6:10" x14ac:dyDescent="0.25">
      <c r="F1796" s="32"/>
      <c r="G1796" s="32" t="s">
        <v>3823</v>
      </c>
      <c r="H1796" s="32" t="s">
        <v>3824</v>
      </c>
      <c r="I1796" s="32" t="s">
        <v>924</v>
      </c>
      <c r="J1796" s="32" t="s">
        <v>1815</v>
      </c>
    </row>
    <row r="1797" spans="6:10" x14ac:dyDescent="0.25">
      <c r="F1797" s="32"/>
      <c r="G1797" s="32" t="s">
        <v>3825</v>
      </c>
      <c r="H1797" s="32" t="s">
        <v>3826</v>
      </c>
      <c r="I1797" s="32" t="s">
        <v>924</v>
      </c>
      <c r="J1797" s="32" t="s">
        <v>1815</v>
      </c>
    </row>
    <row r="1798" spans="6:10" x14ac:dyDescent="0.25">
      <c r="F1798" s="32" t="s">
        <v>583</v>
      </c>
      <c r="G1798" s="32"/>
      <c r="H1798" s="32" t="s">
        <v>3827</v>
      </c>
      <c r="I1798" s="32"/>
      <c r="J1798" s="32"/>
    </row>
    <row r="1799" spans="6:10" x14ac:dyDescent="0.25">
      <c r="F1799" s="32"/>
      <c r="G1799" s="32" t="s">
        <v>3828</v>
      </c>
      <c r="H1799" s="32" t="s">
        <v>3829</v>
      </c>
      <c r="I1799" s="32" t="s">
        <v>924</v>
      </c>
      <c r="J1799" s="32" t="s">
        <v>1815</v>
      </c>
    </row>
    <row r="1800" spans="6:10" x14ac:dyDescent="0.25">
      <c r="F1800" s="32"/>
      <c r="G1800" s="32" t="s">
        <v>3830</v>
      </c>
      <c r="H1800" s="32" t="s">
        <v>3831</v>
      </c>
      <c r="I1800" s="32" t="s">
        <v>924</v>
      </c>
      <c r="J1800" s="32" t="s">
        <v>1815</v>
      </c>
    </row>
    <row r="1801" spans="6:10" x14ac:dyDescent="0.25">
      <c r="F1801" s="32"/>
      <c r="G1801" s="32" t="s">
        <v>3832</v>
      </c>
      <c r="H1801" s="32" t="s">
        <v>3833</v>
      </c>
      <c r="I1801" s="32" t="s">
        <v>924</v>
      </c>
      <c r="J1801" s="32" t="s">
        <v>1815</v>
      </c>
    </row>
    <row r="1802" spans="6:10" x14ac:dyDescent="0.25">
      <c r="F1802" s="32"/>
      <c r="G1802" s="32" t="s">
        <v>3834</v>
      </c>
      <c r="H1802" s="32" t="s">
        <v>3835</v>
      </c>
      <c r="I1802" s="32" t="s">
        <v>924</v>
      </c>
      <c r="J1802" s="32" t="s">
        <v>1815</v>
      </c>
    </row>
    <row r="1803" spans="6:10" x14ac:dyDescent="0.25">
      <c r="F1803" s="32"/>
      <c r="G1803" s="32" t="s">
        <v>3836</v>
      </c>
      <c r="H1803" s="32" t="s">
        <v>3837</v>
      </c>
      <c r="I1803" s="32" t="s">
        <v>924</v>
      </c>
      <c r="J1803" s="32" t="s">
        <v>1815</v>
      </c>
    </row>
    <row r="1804" spans="6:10" x14ac:dyDescent="0.25">
      <c r="F1804" s="32"/>
      <c r="G1804" s="32" t="s">
        <v>3838</v>
      </c>
      <c r="H1804" s="32" t="s">
        <v>3839</v>
      </c>
      <c r="I1804" s="32" t="s">
        <v>924</v>
      </c>
      <c r="J1804" s="32" t="s">
        <v>1815</v>
      </c>
    </row>
    <row r="1805" spans="6:10" x14ac:dyDescent="0.25">
      <c r="F1805" s="32" t="s">
        <v>584</v>
      </c>
      <c r="G1805" s="32"/>
      <c r="H1805" s="32" t="s">
        <v>3840</v>
      </c>
      <c r="I1805" s="32"/>
      <c r="J1805" s="32"/>
    </row>
    <row r="1806" spans="6:10" x14ac:dyDescent="0.25">
      <c r="F1806" s="32"/>
      <c r="G1806" s="32" t="s">
        <v>3841</v>
      </c>
      <c r="H1806" s="32" t="s">
        <v>3842</v>
      </c>
      <c r="I1806" s="32" t="s">
        <v>924</v>
      </c>
      <c r="J1806" s="32" t="s">
        <v>1815</v>
      </c>
    </row>
    <row r="1807" spans="6:10" x14ac:dyDescent="0.25">
      <c r="F1807" s="32"/>
      <c r="G1807" s="32" t="s">
        <v>3843</v>
      </c>
      <c r="H1807" s="32" t="s">
        <v>3844</v>
      </c>
      <c r="I1807" s="32" t="s">
        <v>924</v>
      </c>
      <c r="J1807" s="32" t="s">
        <v>1815</v>
      </c>
    </row>
    <row r="1808" spans="6:10" x14ac:dyDescent="0.25">
      <c r="F1808" s="32"/>
      <c r="G1808" s="32" t="s">
        <v>3845</v>
      </c>
      <c r="H1808" s="32" t="s">
        <v>3846</v>
      </c>
      <c r="I1808" s="32" t="s">
        <v>924</v>
      </c>
      <c r="J1808" s="32" t="s">
        <v>1815</v>
      </c>
    </row>
    <row r="1809" spans="6:10" x14ac:dyDescent="0.25">
      <c r="F1809" s="32"/>
      <c r="G1809" s="32" t="s">
        <v>3847</v>
      </c>
      <c r="H1809" s="32" t="s">
        <v>3848</v>
      </c>
      <c r="I1809" s="32" t="s">
        <v>924</v>
      </c>
      <c r="J1809" s="32" t="s">
        <v>1815</v>
      </c>
    </row>
    <row r="1810" spans="6:10" x14ac:dyDescent="0.25">
      <c r="F1810" s="32"/>
      <c r="G1810" s="32" t="s">
        <v>3849</v>
      </c>
      <c r="H1810" s="32" t="s">
        <v>3850</v>
      </c>
      <c r="I1810" s="32" t="s">
        <v>924</v>
      </c>
      <c r="J1810" s="32" t="s">
        <v>1815</v>
      </c>
    </row>
    <row r="1811" spans="6:10" x14ac:dyDescent="0.25">
      <c r="F1811" s="32"/>
      <c r="G1811" s="32" t="s">
        <v>3851</v>
      </c>
      <c r="H1811" s="32" t="s">
        <v>3852</v>
      </c>
      <c r="I1811" s="32" t="s">
        <v>924</v>
      </c>
      <c r="J1811" s="32" t="s">
        <v>1815</v>
      </c>
    </row>
    <row r="1812" spans="6:10" x14ac:dyDescent="0.25">
      <c r="F1812" s="32" t="s">
        <v>460</v>
      </c>
      <c r="G1812" s="32"/>
      <c r="H1812" s="32"/>
      <c r="I1812" s="32"/>
      <c r="J1812" s="32"/>
    </row>
    <row r="1813" spans="6:10" x14ac:dyDescent="0.25">
      <c r="F1813" s="32" t="s">
        <v>4619</v>
      </c>
      <c r="G1813" s="32"/>
      <c r="H1813" s="32" t="s">
        <v>3853</v>
      </c>
      <c r="I1813" s="32"/>
      <c r="J1813" s="32"/>
    </row>
    <row r="1814" spans="6:10" x14ac:dyDescent="0.25">
      <c r="F1814" s="32"/>
      <c r="G1814" s="32" t="s">
        <v>456</v>
      </c>
      <c r="H1814" s="32" t="s">
        <v>3854</v>
      </c>
      <c r="I1814" s="32" t="s">
        <v>645</v>
      </c>
      <c r="J1814" s="32" t="s">
        <v>1140</v>
      </c>
    </row>
    <row r="1815" spans="6:10" x14ac:dyDescent="0.25">
      <c r="F1815" s="32"/>
      <c r="G1815" s="32" t="s">
        <v>3855</v>
      </c>
      <c r="H1815" s="32" t="s">
        <v>3856</v>
      </c>
      <c r="I1815" s="32" t="s">
        <v>645</v>
      </c>
      <c r="J1815" s="32" t="s">
        <v>1140</v>
      </c>
    </row>
    <row r="1816" spans="6:10" x14ac:dyDescent="0.25">
      <c r="F1816" s="32"/>
      <c r="G1816" s="32" t="s">
        <v>3857</v>
      </c>
      <c r="H1816" s="32" t="s">
        <v>3858</v>
      </c>
      <c r="I1816" s="32" t="s">
        <v>645</v>
      </c>
      <c r="J1816" s="32" t="s">
        <v>1140</v>
      </c>
    </row>
    <row r="1817" spans="6:10" x14ac:dyDescent="0.25">
      <c r="F1817" s="32"/>
      <c r="G1817" s="32" t="s">
        <v>3859</v>
      </c>
      <c r="H1817" s="32" t="s">
        <v>3860</v>
      </c>
      <c r="I1817" s="32" t="s">
        <v>645</v>
      </c>
      <c r="J1817" s="32" t="s">
        <v>1140</v>
      </c>
    </row>
    <row r="1818" spans="6:10" x14ac:dyDescent="0.25">
      <c r="F1818" s="32"/>
      <c r="G1818" s="32" t="s">
        <v>3861</v>
      </c>
      <c r="H1818" s="32" t="s">
        <v>3862</v>
      </c>
      <c r="I1818" s="32" t="s">
        <v>645</v>
      </c>
      <c r="J1818" s="32" t="s">
        <v>1140</v>
      </c>
    </row>
    <row r="1819" spans="6:10" x14ac:dyDescent="0.25">
      <c r="F1819" s="32"/>
      <c r="G1819" s="32" t="s">
        <v>3863</v>
      </c>
      <c r="H1819" s="32" t="s">
        <v>3864</v>
      </c>
      <c r="I1819" s="32" t="s">
        <v>645</v>
      </c>
      <c r="J1819" s="32" t="s">
        <v>1140</v>
      </c>
    </row>
    <row r="1820" spans="6:10" x14ac:dyDescent="0.25">
      <c r="F1820" s="32"/>
      <c r="G1820" s="32" t="s">
        <v>3865</v>
      </c>
      <c r="H1820" s="32" t="s">
        <v>3866</v>
      </c>
      <c r="I1820" s="32" t="s">
        <v>645</v>
      </c>
      <c r="J1820" s="32" t="s">
        <v>1140</v>
      </c>
    </row>
    <row r="1821" spans="6:10" x14ac:dyDescent="0.25">
      <c r="F1821" s="32"/>
      <c r="G1821" s="32" t="s">
        <v>3867</v>
      </c>
      <c r="H1821" s="32" t="s">
        <v>3868</v>
      </c>
      <c r="I1821" s="32" t="s">
        <v>645</v>
      </c>
      <c r="J1821" s="32" t="s">
        <v>1140</v>
      </c>
    </row>
    <row r="1822" spans="6:10" x14ac:dyDescent="0.25">
      <c r="F1822" s="32"/>
      <c r="G1822" s="32" t="s">
        <v>3869</v>
      </c>
      <c r="H1822" s="32" t="s">
        <v>3870</v>
      </c>
      <c r="I1822" s="32" t="s">
        <v>645</v>
      </c>
      <c r="J1822" s="32" t="s">
        <v>1140</v>
      </c>
    </row>
    <row r="1823" spans="6:10" x14ac:dyDescent="0.25">
      <c r="F1823" s="32"/>
      <c r="G1823" s="32" t="s">
        <v>3871</v>
      </c>
      <c r="H1823" s="32" t="s">
        <v>3872</v>
      </c>
      <c r="I1823" s="32" t="s">
        <v>645</v>
      </c>
      <c r="J1823" s="32" t="s">
        <v>1140</v>
      </c>
    </row>
    <row r="1824" spans="6:10" x14ac:dyDescent="0.25">
      <c r="F1824" s="32"/>
      <c r="G1824" s="32" t="s">
        <v>3873</v>
      </c>
      <c r="H1824" s="32" t="s">
        <v>3874</v>
      </c>
      <c r="I1824" s="32" t="s">
        <v>645</v>
      </c>
      <c r="J1824" s="32" t="s">
        <v>1140</v>
      </c>
    </row>
    <row r="1825" spans="6:10" x14ac:dyDescent="0.25">
      <c r="F1825" s="32"/>
      <c r="G1825" s="32" t="s">
        <v>3875</v>
      </c>
      <c r="H1825" s="32" t="s">
        <v>3876</v>
      </c>
      <c r="I1825" s="32" t="s">
        <v>645</v>
      </c>
      <c r="J1825" s="32" t="s">
        <v>1140</v>
      </c>
    </row>
    <row r="1826" spans="6:10" x14ac:dyDescent="0.25">
      <c r="F1826" s="32"/>
      <c r="G1826" s="32" t="s">
        <v>4224</v>
      </c>
      <c r="H1826" s="32" t="s">
        <v>3877</v>
      </c>
      <c r="I1826" s="32" t="s">
        <v>645</v>
      </c>
      <c r="J1826" s="32" t="s">
        <v>1140</v>
      </c>
    </row>
    <row r="1827" spans="6:10" x14ac:dyDescent="0.25">
      <c r="F1827" s="32"/>
      <c r="G1827" s="32" t="s">
        <v>3878</v>
      </c>
      <c r="H1827" s="32" t="s">
        <v>3879</v>
      </c>
      <c r="I1827" s="32" t="s">
        <v>645</v>
      </c>
      <c r="J1827" s="32" t="s">
        <v>1140</v>
      </c>
    </row>
    <row r="1828" spans="6:10" x14ac:dyDescent="0.25">
      <c r="F1828" s="32"/>
      <c r="G1828" s="32" t="s">
        <v>3880</v>
      </c>
      <c r="H1828" s="32" t="s">
        <v>3881</v>
      </c>
      <c r="I1828" s="32" t="s">
        <v>645</v>
      </c>
      <c r="J1828" s="32" t="s">
        <v>1140</v>
      </c>
    </row>
    <row r="1829" spans="6:10" x14ac:dyDescent="0.25">
      <c r="F1829" s="32" t="s">
        <v>585</v>
      </c>
      <c r="G1829" s="32"/>
      <c r="H1829" s="32" t="s">
        <v>3882</v>
      </c>
      <c r="I1829" s="32"/>
      <c r="J1829" s="32"/>
    </row>
    <row r="1830" spans="6:10" x14ac:dyDescent="0.25">
      <c r="F1830" s="32"/>
      <c r="G1830" s="32" t="s">
        <v>3883</v>
      </c>
      <c r="H1830" s="32" t="s">
        <v>3884</v>
      </c>
      <c r="I1830" s="32" t="s">
        <v>645</v>
      </c>
      <c r="J1830" s="32" t="s">
        <v>1140</v>
      </c>
    </row>
    <row r="1831" spans="6:10" x14ac:dyDescent="0.25">
      <c r="F1831" s="32"/>
      <c r="G1831" s="32" t="s">
        <v>3885</v>
      </c>
      <c r="H1831" s="32" t="s">
        <v>3886</v>
      </c>
      <c r="I1831" s="32" t="s">
        <v>645</v>
      </c>
      <c r="J1831" s="32" t="s">
        <v>1140</v>
      </c>
    </row>
    <row r="1832" spans="6:10" x14ac:dyDescent="0.25">
      <c r="F1832" s="32"/>
      <c r="G1832" s="32" t="s">
        <v>3887</v>
      </c>
      <c r="H1832" s="32" t="s">
        <v>3888</v>
      </c>
      <c r="I1832" s="32" t="s">
        <v>645</v>
      </c>
      <c r="J1832" s="32" t="s">
        <v>1140</v>
      </c>
    </row>
    <row r="1833" spans="6:10" x14ac:dyDescent="0.25">
      <c r="F1833" s="32"/>
      <c r="G1833" s="32" t="s">
        <v>3889</v>
      </c>
      <c r="H1833" s="32" t="s">
        <v>3890</v>
      </c>
      <c r="I1833" s="32" t="s">
        <v>645</v>
      </c>
      <c r="J1833" s="32" t="s">
        <v>1140</v>
      </c>
    </row>
    <row r="1834" spans="6:10" x14ac:dyDescent="0.25">
      <c r="F1834" s="32"/>
      <c r="G1834" s="32" t="s">
        <v>3891</v>
      </c>
      <c r="H1834" s="32" t="s">
        <v>3892</v>
      </c>
      <c r="I1834" s="32" t="s">
        <v>645</v>
      </c>
      <c r="J1834" s="32" t="s">
        <v>1140</v>
      </c>
    </row>
    <row r="1835" spans="6:10" x14ac:dyDescent="0.25">
      <c r="F1835" s="32"/>
      <c r="G1835" s="32" t="s">
        <v>3893</v>
      </c>
      <c r="H1835" s="32" t="s">
        <v>3894</v>
      </c>
      <c r="I1835" s="32" t="s">
        <v>645</v>
      </c>
      <c r="J1835" s="32" t="s">
        <v>1140</v>
      </c>
    </row>
    <row r="1836" spans="6:10" x14ac:dyDescent="0.25">
      <c r="F1836" s="32"/>
      <c r="G1836" s="32" t="s">
        <v>3895</v>
      </c>
      <c r="H1836" s="32" t="s">
        <v>3896</v>
      </c>
      <c r="I1836" s="32" t="s">
        <v>645</v>
      </c>
      <c r="J1836" s="32" t="s">
        <v>1140</v>
      </c>
    </row>
    <row r="1837" spans="6:10" x14ac:dyDescent="0.25">
      <c r="F1837" s="32"/>
      <c r="G1837" s="32" t="s">
        <v>3897</v>
      </c>
      <c r="H1837" s="32" t="s">
        <v>3898</v>
      </c>
      <c r="I1837" s="32" t="s">
        <v>645</v>
      </c>
      <c r="J1837" s="32" t="s">
        <v>1140</v>
      </c>
    </row>
    <row r="1838" spans="6:10" x14ac:dyDescent="0.25">
      <c r="F1838" s="32"/>
      <c r="G1838" s="32" t="s">
        <v>3899</v>
      </c>
      <c r="H1838" s="32" t="s">
        <v>3900</v>
      </c>
      <c r="I1838" s="32" t="s">
        <v>645</v>
      </c>
      <c r="J1838" s="32" t="s">
        <v>1140</v>
      </c>
    </row>
    <row r="1839" spans="6:10" x14ac:dyDescent="0.25">
      <c r="F1839" s="32"/>
      <c r="G1839" s="32" t="s">
        <v>3901</v>
      </c>
      <c r="H1839" s="32" t="s">
        <v>3902</v>
      </c>
      <c r="I1839" s="32" t="s">
        <v>645</v>
      </c>
      <c r="J1839" s="32" t="s">
        <v>1140</v>
      </c>
    </row>
    <row r="1840" spans="6:10" x14ac:dyDescent="0.25">
      <c r="F1840" s="32"/>
      <c r="G1840" s="32" t="s">
        <v>3903</v>
      </c>
      <c r="H1840" s="32" t="s">
        <v>3904</v>
      </c>
      <c r="I1840" s="32" t="s">
        <v>645</v>
      </c>
      <c r="J1840" s="32" t="s">
        <v>1140</v>
      </c>
    </row>
    <row r="1841" spans="6:10" x14ac:dyDescent="0.25">
      <c r="F1841" s="32"/>
      <c r="G1841" s="32" t="s">
        <v>3905</v>
      </c>
      <c r="H1841" s="32" t="s">
        <v>3906</v>
      </c>
      <c r="I1841" s="32" t="s">
        <v>645</v>
      </c>
      <c r="J1841" s="32" t="s">
        <v>1140</v>
      </c>
    </row>
    <row r="1842" spans="6:10" x14ac:dyDescent="0.25">
      <c r="F1842" s="32"/>
      <c r="G1842" s="32" t="s">
        <v>3907</v>
      </c>
      <c r="H1842" s="32" t="s">
        <v>3908</v>
      </c>
      <c r="I1842" s="32" t="s">
        <v>645</v>
      </c>
      <c r="J1842" s="32" t="s">
        <v>1140</v>
      </c>
    </row>
    <row r="1843" spans="6:10" x14ac:dyDescent="0.25">
      <c r="F1843" s="32"/>
      <c r="G1843" s="32" t="s">
        <v>3909</v>
      </c>
      <c r="H1843" s="32" t="s">
        <v>3910</v>
      </c>
      <c r="I1843" s="32" t="s">
        <v>645</v>
      </c>
      <c r="J1843" s="32" t="s">
        <v>1140</v>
      </c>
    </row>
    <row r="1844" spans="6:10" x14ac:dyDescent="0.25">
      <c r="F1844" s="32"/>
      <c r="G1844" s="32" t="s">
        <v>3911</v>
      </c>
      <c r="H1844" s="32" t="s">
        <v>3912</v>
      </c>
      <c r="I1844" s="32" t="s">
        <v>645</v>
      </c>
      <c r="J1844" s="32" t="s">
        <v>1140</v>
      </c>
    </row>
    <row r="1845" spans="6:10" x14ac:dyDescent="0.25">
      <c r="F1845" s="32" t="s">
        <v>586</v>
      </c>
      <c r="G1845" s="32"/>
      <c r="H1845" s="32" t="s">
        <v>3913</v>
      </c>
      <c r="I1845" s="32"/>
      <c r="J1845" s="32"/>
    </row>
    <row r="1846" spans="6:10" x14ac:dyDescent="0.25">
      <c r="F1846" s="32"/>
      <c r="G1846" s="32" t="s">
        <v>3914</v>
      </c>
      <c r="H1846" s="32" t="s">
        <v>3915</v>
      </c>
      <c r="I1846" s="32" t="s">
        <v>645</v>
      </c>
      <c r="J1846" s="32" t="s">
        <v>1140</v>
      </c>
    </row>
    <row r="1847" spans="6:10" x14ac:dyDescent="0.25">
      <c r="F1847" s="32"/>
      <c r="G1847" s="32" t="s">
        <v>3916</v>
      </c>
      <c r="H1847" s="32" t="s">
        <v>3917</v>
      </c>
      <c r="I1847" s="32" t="s">
        <v>645</v>
      </c>
      <c r="J1847" s="32" t="s">
        <v>1140</v>
      </c>
    </row>
    <row r="1848" spans="6:10" x14ac:dyDescent="0.25">
      <c r="F1848" s="32"/>
      <c r="G1848" s="32" t="s">
        <v>3918</v>
      </c>
      <c r="H1848" s="32" t="s">
        <v>3919</v>
      </c>
      <c r="I1848" s="32" t="s">
        <v>645</v>
      </c>
      <c r="J1848" s="32" t="s">
        <v>1140</v>
      </c>
    </row>
    <row r="1849" spans="6:10" x14ac:dyDescent="0.25">
      <c r="F1849" s="32"/>
      <c r="G1849" s="32" t="s">
        <v>3920</v>
      </c>
      <c r="H1849" s="32" t="s">
        <v>3921</v>
      </c>
      <c r="I1849" s="32" t="s">
        <v>645</v>
      </c>
      <c r="J1849" s="32" t="s">
        <v>1140</v>
      </c>
    </row>
    <row r="1850" spans="6:10" x14ac:dyDescent="0.25">
      <c r="F1850" s="32"/>
      <c r="G1850" s="32" t="s">
        <v>3922</v>
      </c>
      <c r="H1850" s="32" t="s">
        <v>3923</v>
      </c>
      <c r="I1850" s="32" t="s">
        <v>645</v>
      </c>
      <c r="J1850" s="32" t="s">
        <v>1140</v>
      </c>
    </row>
    <row r="1851" spans="6:10" x14ac:dyDescent="0.25">
      <c r="F1851" s="32"/>
      <c r="G1851" s="32" t="s">
        <v>3924</v>
      </c>
      <c r="H1851" s="32" t="s">
        <v>3925</v>
      </c>
      <c r="I1851" s="32" t="s">
        <v>645</v>
      </c>
      <c r="J1851" s="32" t="s">
        <v>1140</v>
      </c>
    </row>
    <row r="1852" spans="6:10" x14ac:dyDescent="0.25">
      <c r="F1852" s="32"/>
      <c r="G1852" s="32" t="s">
        <v>3926</v>
      </c>
      <c r="H1852" s="32" t="s">
        <v>3927</v>
      </c>
      <c r="I1852" s="32" t="s">
        <v>645</v>
      </c>
      <c r="J1852" s="32" t="s">
        <v>1140</v>
      </c>
    </row>
    <row r="1853" spans="6:10" x14ac:dyDescent="0.25">
      <c r="F1853" s="32"/>
      <c r="G1853" s="32" t="s">
        <v>3928</v>
      </c>
      <c r="H1853" s="32" t="s">
        <v>3929</v>
      </c>
      <c r="I1853" s="32" t="s">
        <v>645</v>
      </c>
      <c r="J1853" s="32" t="s">
        <v>1140</v>
      </c>
    </row>
    <row r="1854" spans="6:10" x14ac:dyDescent="0.25">
      <c r="F1854" s="32"/>
      <c r="G1854" s="32" t="s">
        <v>3930</v>
      </c>
      <c r="H1854" s="32" t="s">
        <v>3931</v>
      </c>
      <c r="I1854" s="32" t="s">
        <v>688</v>
      </c>
      <c r="J1854" s="32" t="s">
        <v>688</v>
      </c>
    </row>
    <row r="1855" spans="6:10" x14ac:dyDescent="0.25">
      <c r="F1855" s="32"/>
      <c r="G1855" s="32" t="s">
        <v>3932</v>
      </c>
      <c r="H1855" s="32" t="s">
        <v>3933</v>
      </c>
      <c r="I1855" s="32" t="s">
        <v>645</v>
      </c>
      <c r="J1855" s="32" t="s">
        <v>1140</v>
      </c>
    </row>
    <row r="1856" spans="6:10" x14ac:dyDescent="0.25">
      <c r="F1856" s="32" t="s">
        <v>587</v>
      </c>
      <c r="G1856" s="32"/>
      <c r="H1856" s="32" t="s">
        <v>3934</v>
      </c>
      <c r="I1856" s="32"/>
      <c r="J1856" s="32"/>
    </row>
    <row r="1857" spans="6:10" x14ac:dyDescent="0.25">
      <c r="F1857" s="32"/>
      <c r="G1857" s="32" t="s">
        <v>3935</v>
      </c>
      <c r="H1857" s="32" t="s">
        <v>3936</v>
      </c>
      <c r="I1857" s="32" t="s">
        <v>645</v>
      </c>
      <c r="J1857" s="32" t="s">
        <v>1140</v>
      </c>
    </row>
    <row r="1858" spans="6:10" x14ac:dyDescent="0.25">
      <c r="F1858" s="32"/>
      <c r="G1858" s="32" t="s">
        <v>3937</v>
      </c>
      <c r="H1858" s="32" t="s">
        <v>3938</v>
      </c>
      <c r="I1858" s="32" t="s">
        <v>645</v>
      </c>
      <c r="J1858" s="32" t="s">
        <v>1140</v>
      </c>
    </row>
    <row r="1859" spans="6:10" x14ac:dyDescent="0.25">
      <c r="F1859" s="32"/>
      <c r="G1859" s="32" t="s">
        <v>3939</v>
      </c>
      <c r="H1859" s="32" t="s">
        <v>3940</v>
      </c>
      <c r="I1859" s="32" t="s">
        <v>645</v>
      </c>
      <c r="J1859" s="32" t="s">
        <v>1140</v>
      </c>
    </row>
    <row r="1860" spans="6:10" x14ac:dyDescent="0.25">
      <c r="F1860" s="32"/>
      <c r="G1860" s="32" t="s">
        <v>3941</v>
      </c>
      <c r="H1860" s="32" t="s">
        <v>3942</v>
      </c>
      <c r="I1860" s="32" t="s">
        <v>645</v>
      </c>
      <c r="J1860" s="32" t="s">
        <v>1140</v>
      </c>
    </row>
    <row r="1861" spans="6:10" x14ac:dyDescent="0.25">
      <c r="F1861" s="32"/>
      <c r="G1861" s="32" t="s">
        <v>3943</v>
      </c>
      <c r="H1861" s="32" t="s">
        <v>3944</v>
      </c>
      <c r="I1861" s="32" t="s">
        <v>645</v>
      </c>
      <c r="J1861" s="32" t="s">
        <v>1140</v>
      </c>
    </row>
    <row r="1862" spans="6:10" x14ac:dyDescent="0.25">
      <c r="F1862" s="32"/>
      <c r="G1862" s="32" t="s">
        <v>3945</v>
      </c>
      <c r="H1862" s="32" t="s">
        <v>3946</v>
      </c>
      <c r="I1862" s="32" t="s">
        <v>645</v>
      </c>
      <c r="J1862" s="32" t="s">
        <v>1140</v>
      </c>
    </row>
    <row r="1863" spans="6:10" x14ac:dyDescent="0.25">
      <c r="F1863" s="32"/>
      <c r="G1863" s="32" t="s">
        <v>3947</v>
      </c>
      <c r="H1863" s="32" t="s">
        <v>3948</v>
      </c>
      <c r="I1863" s="32" t="s">
        <v>645</v>
      </c>
      <c r="J1863" s="32" t="s">
        <v>1140</v>
      </c>
    </row>
    <row r="1864" spans="6:10" x14ac:dyDescent="0.25">
      <c r="F1864" s="32" t="s">
        <v>634</v>
      </c>
      <c r="G1864" s="32"/>
      <c r="H1864" s="32" t="s">
        <v>3949</v>
      </c>
      <c r="I1864" s="32"/>
      <c r="J1864" s="32"/>
    </row>
    <row r="1865" spans="6:10" x14ac:dyDescent="0.25">
      <c r="F1865" s="32"/>
      <c r="G1865" s="32" t="s">
        <v>3950</v>
      </c>
      <c r="H1865" s="32" t="s">
        <v>3951</v>
      </c>
      <c r="I1865" s="32" t="s">
        <v>645</v>
      </c>
      <c r="J1865" s="32" t="s">
        <v>1140</v>
      </c>
    </row>
    <row r="1866" spans="6:10" x14ac:dyDescent="0.25">
      <c r="F1866" s="32"/>
      <c r="G1866" s="32" t="s">
        <v>3952</v>
      </c>
      <c r="H1866" s="32" t="s">
        <v>3953</v>
      </c>
      <c r="I1866" s="32" t="s">
        <v>645</v>
      </c>
      <c r="J1866" s="32" t="s">
        <v>1140</v>
      </c>
    </row>
    <row r="1867" spans="6:10" x14ac:dyDescent="0.25">
      <c r="F1867" s="32"/>
      <c r="G1867" s="32" t="s">
        <v>3954</v>
      </c>
      <c r="H1867" s="32" t="s">
        <v>3955</v>
      </c>
      <c r="I1867" s="32" t="s">
        <v>645</v>
      </c>
      <c r="J1867" s="32" t="s">
        <v>1140</v>
      </c>
    </row>
    <row r="1868" spans="6:10" x14ac:dyDescent="0.25">
      <c r="F1868" s="32"/>
      <c r="G1868" s="32" t="s">
        <v>4111</v>
      </c>
      <c r="H1868" s="32" t="s">
        <v>3956</v>
      </c>
      <c r="I1868" s="32" t="s">
        <v>645</v>
      </c>
      <c r="J1868" s="32" t="s">
        <v>1140</v>
      </c>
    </row>
    <row r="1869" spans="6:10" x14ac:dyDescent="0.25">
      <c r="F1869" s="32"/>
      <c r="G1869" s="32" t="s">
        <v>3957</v>
      </c>
      <c r="H1869" s="32" t="s">
        <v>3958</v>
      </c>
      <c r="I1869" s="32" t="s">
        <v>645</v>
      </c>
      <c r="J1869" s="32" t="s">
        <v>1140</v>
      </c>
    </row>
    <row r="1870" spans="6:10" x14ac:dyDescent="0.25">
      <c r="F1870" s="32" t="s">
        <v>588</v>
      </c>
      <c r="G1870" s="32"/>
      <c r="H1870" s="32" t="s">
        <v>3959</v>
      </c>
      <c r="I1870" s="32"/>
      <c r="J1870" s="32"/>
    </row>
    <row r="1871" spans="6:10" x14ac:dyDescent="0.25">
      <c r="F1871" s="32"/>
      <c r="G1871" s="32" t="s">
        <v>3960</v>
      </c>
      <c r="H1871" s="32" t="s">
        <v>3961</v>
      </c>
      <c r="I1871" s="32" t="s">
        <v>645</v>
      </c>
      <c r="J1871" s="32" t="s">
        <v>1140</v>
      </c>
    </row>
    <row r="1872" spans="6:10" x14ac:dyDescent="0.25">
      <c r="F1872" s="32"/>
      <c r="G1872" s="32" t="s">
        <v>3962</v>
      </c>
      <c r="H1872" s="32" t="s">
        <v>3963</v>
      </c>
      <c r="I1872" s="32" t="s">
        <v>645</v>
      </c>
      <c r="J1872" s="32" t="s">
        <v>1140</v>
      </c>
    </row>
    <row r="1873" spans="6:10" x14ac:dyDescent="0.25">
      <c r="F1873" s="32"/>
      <c r="G1873" s="32" t="s">
        <v>3964</v>
      </c>
      <c r="H1873" s="32" t="s">
        <v>3965</v>
      </c>
      <c r="I1873" s="32" t="s">
        <v>645</v>
      </c>
      <c r="J1873" s="32" t="s">
        <v>1140</v>
      </c>
    </row>
    <row r="1874" spans="6:10" x14ac:dyDescent="0.25">
      <c r="F1874" s="32"/>
      <c r="G1874" s="32" t="s">
        <v>3966</v>
      </c>
      <c r="H1874" s="32" t="s">
        <v>3967</v>
      </c>
      <c r="I1874" s="32" t="s">
        <v>645</v>
      </c>
      <c r="J1874" s="32" t="s">
        <v>1140</v>
      </c>
    </row>
    <row r="1875" spans="6:10" x14ac:dyDescent="0.25">
      <c r="F1875" s="32"/>
      <c r="G1875" s="32" t="s">
        <v>3968</v>
      </c>
      <c r="H1875" s="32" t="s">
        <v>3969</v>
      </c>
      <c r="I1875" s="32" t="s">
        <v>645</v>
      </c>
      <c r="J1875" s="32" t="s">
        <v>1140</v>
      </c>
    </row>
    <row r="1876" spans="6:10" x14ac:dyDescent="0.25">
      <c r="F1876" s="32"/>
      <c r="G1876" s="32" t="s">
        <v>3970</v>
      </c>
      <c r="H1876" s="32" t="s">
        <v>3971</v>
      </c>
      <c r="I1876" s="32" t="s">
        <v>645</v>
      </c>
      <c r="J1876" s="32" t="s">
        <v>1140</v>
      </c>
    </row>
    <row r="1877" spans="6:10" x14ac:dyDescent="0.25">
      <c r="F1877" s="32"/>
      <c r="G1877" s="32" t="s">
        <v>3972</v>
      </c>
      <c r="H1877" s="32" t="s">
        <v>3973</v>
      </c>
      <c r="I1877" s="32" t="s">
        <v>645</v>
      </c>
      <c r="J1877" s="32" t="s">
        <v>1140</v>
      </c>
    </row>
    <row r="1878" spans="6:10" x14ac:dyDescent="0.25">
      <c r="F1878" s="32"/>
      <c r="G1878" s="32" t="s">
        <v>3974</v>
      </c>
      <c r="H1878" s="32" t="s">
        <v>3975</v>
      </c>
      <c r="I1878" s="32" t="s">
        <v>645</v>
      </c>
      <c r="J1878" s="32" t="s">
        <v>1140</v>
      </c>
    </row>
    <row r="1879" spans="6:10" x14ac:dyDescent="0.25">
      <c r="F1879" s="32" t="s">
        <v>589</v>
      </c>
      <c r="G1879" s="32"/>
      <c r="H1879" s="32" t="s">
        <v>3976</v>
      </c>
      <c r="I1879" s="32"/>
      <c r="J1879" s="32"/>
    </row>
    <row r="1880" spans="6:10" x14ac:dyDescent="0.25">
      <c r="F1880" s="32"/>
      <c r="G1880" s="32" t="s">
        <v>3977</v>
      </c>
      <c r="H1880" s="32" t="s">
        <v>3978</v>
      </c>
      <c r="I1880" s="32" t="s">
        <v>645</v>
      </c>
      <c r="J1880" s="32" t="s">
        <v>1140</v>
      </c>
    </row>
    <row r="1881" spans="6:10" x14ac:dyDescent="0.25">
      <c r="F1881" s="32"/>
      <c r="G1881" s="32" t="s">
        <v>3979</v>
      </c>
      <c r="H1881" s="32" t="s">
        <v>3980</v>
      </c>
      <c r="I1881" s="32" t="s">
        <v>645</v>
      </c>
      <c r="J1881" s="32" t="s">
        <v>1140</v>
      </c>
    </row>
    <row r="1882" spans="6:10" x14ac:dyDescent="0.25">
      <c r="F1882" s="32"/>
      <c r="G1882" s="32" t="s">
        <v>3981</v>
      </c>
      <c r="H1882" s="32" t="s">
        <v>3982</v>
      </c>
      <c r="I1882" s="32" t="s">
        <v>645</v>
      </c>
      <c r="J1882" s="32" t="s">
        <v>1140</v>
      </c>
    </row>
    <row r="1883" spans="6:10" x14ac:dyDescent="0.25">
      <c r="F1883" s="32"/>
      <c r="G1883" s="32" t="s">
        <v>3983</v>
      </c>
      <c r="H1883" s="32" t="s">
        <v>3984</v>
      </c>
      <c r="I1883" s="32" t="s">
        <v>645</v>
      </c>
      <c r="J1883" s="32" t="s">
        <v>1140</v>
      </c>
    </row>
    <row r="1884" spans="6:10" x14ac:dyDescent="0.25">
      <c r="F1884" s="32"/>
      <c r="G1884" s="32" t="s">
        <v>3985</v>
      </c>
      <c r="H1884" s="32" t="s">
        <v>3986</v>
      </c>
      <c r="I1884" s="32" t="s">
        <v>645</v>
      </c>
      <c r="J1884" s="32" t="s">
        <v>1140</v>
      </c>
    </row>
    <row r="1885" spans="6:10" x14ac:dyDescent="0.25">
      <c r="F1885" s="32"/>
      <c r="G1885" s="32" t="s">
        <v>4253</v>
      </c>
      <c r="H1885" s="32" t="s">
        <v>3987</v>
      </c>
      <c r="I1885" s="32" t="s">
        <v>645</v>
      </c>
      <c r="J1885" s="32" t="s">
        <v>1140</v>
      </c>
    </row>
    <row r="1886" spans="6:10" x14ac:dyDescent="0.25">
      <c r="F1886" s="32"/>
      <c r="G1886" s="32" t="s">
        <v>3988</v>
      </c>
      <c r="H1886" s="32" t="s">
        <v>3989</v>
      </c>
      <c r="I1886" s="32" t="s">
        <v>645</v>
      </c>
      <c r="J1886" s="32" t="s">
        <v>1140</v>
      </c>
    </row>
    <row r="1887" spans="6:10" x14ac:dyDescent="0.25">
      <c r="F1887" s="32"/>
      <c r="G1887" s="32" t="s">
        <v>3990</v>
      </c>
      <c r="H1887" s="32" t="s">
        <v>3991</v>
      </c>
      <c r="I1887" s="32" t="s">
        <v>645</v>
      </c>
      <c r="J1887" s="32" t="s">
        <v>1140</v>
      </c>
    </row>
    <row r="1888" spans="6:10" x14ac:dyDescent="0.25">
      <c r="F1888" s="32"/>
      <c r="G1888" s="32" t="s">
        <v>3992</v>
      </c>
      <c r="H1888" s="32" t="s">
        <v>3993</v>
      </c>
      <c r="I1888" s="32" t="s">
        <v>645</v>
      </c>
      <c r="J1888" s="32" t="s">
        <v>1140</v>
      </c>
    </row>
    <row r="1889" spans="6:10" x14ac:dyDescent="0.25">
      <c r="F1889" s="32"/>
      <c r="G1889" s="32" t="s">
        <v>3994</v>
      </c>
      <c r="H1889" s="32" t="s">
        <v>3995</v>
      </c>
      <c r="I1889" s="32" t="s">
        <v>645</v>
      </c>
      <c r="J1889" s="32" t="s">
        <v>1140</v>
      </c>
    </row>
    <row r="1890" spans="6:10" x14ac:dyDescent="0.25">
      <c r="F1890" s="32" t="s">
        <v>590</v>
      </c>
      <c r="G1890" s="32"/>
      <c r="H1890" s="32" t="s">
        <v>3996</v>
      </c>
      <c r="I1890" s="32"/>
      <c r="J1890" s="32"/>
    </row>
    <row r="1891" spans="6:10" x14ac:dyDescent="0.25">
      <c r="F1891" s="32"/>
      <c r="G1891" s="32" t="s">
        <v>3997</v>
      </c>
      <c r="H1891" s="32" t="s">
        <v>3998</v>
      </c>
      <c r="I1891" s="32" t="s">
        <v>645</v>
      </c>
      <c r="J1891" s="32" t="s">
        <v>1140</v>
      </c>
    </row>
    <row r="1892" spans="6:10" x14ac:dyDescent="0.25">
      <c r="F1892" s="32"/>
      <c r="G1892" s="32" t="s">
        <v>3999</v>
      </c>
      <c r="H1892" s="32" t="s">
        <v>4000</v>
      </c>
      <c r="I1892" s="32" t="s">
        <v>645</v>
      </c>
      <c r="J1892" s="32" t="s">
        <v>1140</v>
      </c>
    </row>
    <row r="1893" spans="6:10" x14ac:dyDescent="0.25">
      <c r="F1893" s="32"/>
      <c r="G1893" s="32" t="s">
        <v>4001</v>
      </c>
      <c r="H1893" s="32" t="s">
        <v>4002</v>
      </c>
      <c r="I1893" s="32" t="s">
        <v>645</v>
      </c>
      <c r="J1893" s="32" t="s">
        <v>1140</v>
      </c>
    </row>
    <row r="1894" spans="6:10" x14ac:dyDescent="0.25">
      <c r="F1894" s="32"/>
      <c r="G1894" s="32" t="s">
        <v>4003</v>
      </c>
      <c r="H1894" s="32" t="s">
        <v>4004</v>
      </c>
      <c r="I1894" s="32" t="s">
        <v>645</v>
      </c>
      <c r="J1894" s="32" t="s">
        <v>1140</v>
      </c>
    </row>
    <row r="1895" spans="6:10" x14ac:dyDescent="0.25">
      <c r="F1895" s="32"/>
      <c r="G1895" s="32" t="s">
        <v>4005</v>
      </c>
      <c r="H1895" s="32" t="s">
        <v>4006</v>
      </c>
      <c r="I1895" s="32" t="s">
        <v>645</v>
      </c>
      <c r="J1895" s="32" t="s">
        <v>1140</v>
      </c>
    </row>
    <row r="1896" spans="6:10" x14ac:dyDescent="0.25">
      <c r="F1896" s="32"/>
      <c r="G1896" s="32" t="s">
        <v>4007</v>
      </c>
      <c r="H1896" s="32" t="s">
        <v>4008</v>
      </c>
      <c r="I1896" s="32" t="s">
        <v>645</v>
      </c>
      <c r="J1896" s="32" t="s">
        <v>1140</v>
      </c>
    </row>
    <row r="1897" spans="6:10" x14ac:dyDescent="0.25">
      <c r="F1897" s="32"/>
      <c r="G1897" s="32" t="s">
        <v>4009</v>
      </c>
      <c r="H1897" s="32" t="s">
        <v>4010</v>
      </c>
      <c r="I1897" s="32" t="s">
        <v>645</v>
      </c>
      <c r="J1897" s="32" t="s">
        <v>1140</v>
      </c>
    </row>
    <row r="1898" spans="6:10" x14ac:dyDescent="0.25">
      <c r="F1898" s="32"/>
      <c r="G1898" s="32" t="s">
        <v>4111</v>
      </c>
      <c r="H1898" s="32" t="s">
        <v>4011</v>
      </c>
      <c r="I1898" s="32" t="s">
        <v>645</v>
      </c>
      <c r="J1898" s="32" t="s">
        <v>1140</v>
      </c>
    </row>
    <row r="1899" spans="6:10" x14ac:dyDescent="0.25">
      <c r="F1899" s="32"/>
      <c r="G1899" s="32" t="s">
        <v>4012</v>
      </c>
      <c r="H1899" s="32" t="s">
        <v>4013</v>
      </c>
      <c r="I1899" s="32" t="s">
        <v>645</v>
      </c>
      <c r="J1899" s="32" t="s">
        <v>1140</v>
      </c>
    </row>
    <row r="1900" spans="6:10" x14ac:dyDescent="0.25">
      <c r="F1900" s="32" t="s">
        <v>591</v>
      </c>
      <c r="G1900" s="32"/>
      <c r="H1900" s="32" t="s">
        <v>4014</v>
      </c>
      <c r="I1900" s="32"/>
      <c r="J1900" s="32"/>
    </row>
    <row r="1901" spans="6:10" x14ac:dyDescent="0.25">
      <c r="F1901" s="32"/>
      <c r="G1901" s="32" t="s">
        <v>4015</v>
      </c>
      <c r="H1901" s="32" t="s">
        <v>4016</v>
      </c>
      <c r="I1901" s="32" t="s">
        <v>645</v>
      </c>
      <c r="J1901" s="32" t="s">
        <v>1140</v>
      </c>
    </row>
    <row r="1902" spans="6:10" x14ac:dyDescent="0.25">
      <c r="F1902" s="32"/>
      <c r="G1902" s="32" t="s">
        <v>4017</v>
      </c>
      <c r="H1902" s="32" t="s">
        <v>4018</v>
      </c>
      <c r="I1902" s="32" t="s">
        <v>645</v>
      </c>
      <c r="J1902" s="32" t="s">
        <v>1140</v>
      </c>
    </row>
    <row r="1903" spans="6:10" x14ac:dyDescent="0.25">
      <c r="F1903" s="32"/>
      <c r="G1903" s="32" t="s">
        <v>4019</v>
      </c>
      <c r="H1903" s="32" t="s">
        <v>4020</v>
      </c>
      <c r="I1903" s="32" t="s">
        <v>645</v>
      </c>
      <c r="J1903" s="32" t="s">
        <v>1140</v>
      </c>
    </row>
    <row r="1904" spans="6:10" x14ac:dyDescent="0.25">
      <c r="F1904" s="32"/>
      <c r="G1904" s="32" t="s">
        <v>4021</v>
      </c>
      <c r="H1904" s="32" t="s">
        <v>4022</v>
      </c>
      <c r="I1904" s="32" t="s">
        <v>645</v>
      </c>
      <c r="J1904" s="32" t="s">
        <v>1140</v>
      </c>
    </row>
    <row r="1905" spans="6:10" x14ac:dyDescent="0.25">
      <c r="F1905" s="32" t="s">
        <v>635</v>
      </c>
      <c r="G1905" s="32"/>
      <c r="H1905" s="32" t="s">
        <v>4023</v>
      </c>
      <c r="I1905" s="32"/>
      <c r="J1905" s="32"/>
    </row>
    <row r="1906" spans="6:10" x14ac:dyDescent="0.25">
      <c r="F1906" s="32"/>
      <c r="G1906" s="32" t="s">
        <v>4024</v>
      </c>
      <c r="H1906" s="32" t="s">
        <v>4025</v>
      </c>
      <c r="I1906" s="32" t="s">
        <v>645</v>
      </c>
      <c r="J1906" s="32" t="s">
        <v>1140</v>
      </c>
    </row>
    <row r="1907" spans="6:10" x14ac:dyDescent="0.25">
      <c r="F1907" s="32"/>
      <c r="G1907" s="32" t="s">
        <v>4026</v>
      </c>
      <c r="H1907" s="32" t="s">
        <v>4027</v>
      </c>
      <c r="I1907" s="32" t="s">
        <v>645</v>
      </c>
      <c r="J1907" s="32" t="s">
        <v>1140</v>
      </c>
    </row>
    <row r="1908" spans="6:10" x14ac:dyDescent="0.25">
      <c r="F1908" s="32"/>
      <c r="G1908" s="32" t="s">
        <v>4028</v>
      </c>
      <c r="H1908" s="32" t="s">
        <v>4029</v>
      </c>
      <c r="I1908" s="32" t="s">
        <v>645</v>
      </c>
      <c r="J1908" s="32" t="s">
        <v>1140</v>
      </c>
    </row>
    <row r="1909" spans="6:10" x14ac:dyDescent="0.25">
      <c r="F1909" s="32"/>
      <c r="G1909" s="32" t="s">
        <v>4030</v>
      </c>
      <c r="H1909" s="32" t="s">
        <v>4031</v>
      </c>
      <c r="I1909" s="32" t="s">
        <v>645</v>
      </c>
      <c r="J1909" s="32" t="s">
        <v>1140</v>
      </c>
    </row>
    <row r="1910" spans="6:10" x14ac:dyDescent="0.25">
      <c r="F1910" s="32"/>
      <c r="G1910" s="32" t="s">
        <v>4032</v>
      </c>
      <c r="H1910" s="32" t="s">
        <v>4033</v>
      </c>
      <c r="I1910" s="32" t="s">
        <v>645</v>
      </c>
      <c r="J1910" s="32" t="s">
        <v>1140</v>
      </c>
    </row>
    <row r="1911" spans="6:10" x14ac:dyDescent="0.25">
      <c r="F1911" s="32" t="s">
        <v>636</v>
      </c>
      <c r="G1911" s="32"/>
      <c r="H1911" s="32" t="s">
        <v>4034</v>
      </c>
      <c r="I1911" s="32"/>
      <c r="J1911" s="32"/>
    </row>
    <row r="1912" spans="6:10" x14ac:dyDescent="0.25">
      <c r="F1912" s="32"/>
      <c r="G1912" s="32" t="s">
        <v>4035</v>
      </c>
      <c r="H1912" s="32" t="s">
        <v>4036</v>
      </c>
      <c r="I1912" s="32" t="s">
        <v>645</v>
      </c>
      <c r="J1912" s="32" t="s">
        <v>1140</v>
      </c>
    </row>
    <row r="1913" spans="6:10" x14ac:dyDescent="0.25">
      <c r="F1913" s="32"/>
      <c r="G1913" s="32" t="s">
        <v>4037</v>
      </c>
      <c r="H1913" s="32" t="s">
        <v>4038</v>
      </c>
      <c r="I1913" s="32" t="s">
        <v>645</v>
      </c>
      <c r="J1913" s="32" t="s">
        <v>1140</v>
      </c>
    </row>
    <row r="1914" spans="6:10" x14ac:dyDescent="0.25">
      <c r="F1914" s="32"/>
      <c r="G1914" s="32" t="s">
        <v>4039</v>
      </c>
      <c r="H1914" s="32" t="s">
        <v>4040</v>
      </c>
      <c r="I1914" s="32" t="s">
        <v>645</v>
      </c>
      <c r="J1914" s="32" t="s">
        <v>1140</v>
      </c>
    </row>
    <row r="1915" spans="6:10" x14ac:dyDescent="0.25">
      <c r="F1915" s="32"/>
      <c r="G1915" s="32" t="s">
        <v>4041</v>
      </c>
      <c r="H1915" s="32" t="s">
        <v>4042</v>
      </c>
      <c r="I1915" s="32" t="s">
        <v>645</v>
      </c>
      <c r="J1915" s="32" t="s">
        <v>1140</v>
      </c>
    </row>
    <row r="1916" spans="6:10" x14ac:dyDescent="0.25">
      <c r="F1916" s="32"/>
      <c r="G1916" s="32" t="s">
        <v>619</v>
      </c>
      <c r="H1916" s="32" t="s">
        <v>4043</v>
      </c>
      <c r="I1916" s="32" t="s">
        <v>645</v>
      </c>
      <c r="J1916" s="32" t="s">
        <v>1140</v>
      </c>
    </row>
    <row r="1917" spans="6:10" x14ac:dyDescent="0.25">
      <c r="F1917" s="32" t="s">
        <v>592</v>
      </c>
      <c r="G1917" s="32"/>
      <c r="H1917" s="32" t="s">
        <v>4044</v>
      </c>
      <c r="I1917" s="32"/>
      <c r="J1917" s="32"/>
    </row>
    <row r="1918" spans="6:10" x14ac:dyDescent="0.25">
      <c r="F1918" s="32"/>
      <c r="G1918" s="32" t="s">
        <v>4045</v>
      </c>
      <c r="H1918" s="32" t="s">
        <v>4046</v>
      </c>
      <c r="I1918" s="32" t="s">
        <v>645</v>
      </c>
      <c r="J1918" s="32" t="s">
        <v>1140</v>
      </c>
    </row>
    <row r="1919" spans="6:10" x14ac:dyDescent="0.25">
      <c r="F1919" s="32"/>
      <c r="G1919" s="32" t="s">
        <v>4047</v>
      </c>
      <c r="H1919" s="32" t="s">
        <v>4048</v>
      </c>
      <c r="I1919" s="32" t="s">
        <v>645</v>
      </c>
      <c r="J1919" s="32" t="s">
        <v>1140</v>
      </c>
    </row>
    <row r="1920" spans="6:10" x14ac:dyDescent="0.25">
      <c r="F1920" s="32"/>
      <c r="G1920" s="32" t="s">
        <v>4049</v>
      </c>
      <c r="H1920" s="32" t="s">
        <v>4050</v>
      </c>
      <c r="I1920" s="32" t="s">
        <v>645</v>
      </c>
      <c r="J1920" s="32" t="s">
        <v>1140</v>
      </c>
    </row>
    <row r="1921" spans="6:10" x14ac:dyDescent="0.25">
      <c r="F1921" s="32"/>
      <c r="G1921" s="32" t="s">
        <v>4051</v>
      </c>
      <c r="H1921" s="32" t="s">
        <v>4052</v>
      </c>
      <c r="I1921" s="32" t="s">
        <v>645</v>
      </c>
      <c r="J1921" s="32" t="s">
        <v>1140</v>
      </c>
    </row>
    <row r="1922" spans="6:10" x14ac:dyDescent="0.25">
      <c r="F1922" s="32"/>
      <c r="G1922" s="32" t="s">
        <v>4053</v>
      </c>
      <c r="H1922" s="32" t="s">
        <v>4054</v>
      </c>
      <c r="I1922" s="32" t="s">
        <v>645</v>
      </c>
      <c r="J1922" s="32" t="s">
        <v>1140</v>
      </c>
    </row>
    <row r="1923" spans="6:10" x14ac:dyDescent="0.25">
      <c r="F1923" s="32"/>
      <c r="G1923" s="32" t="s">
        <v>4055</v>
      </c>
      <c r="H1923" s="32" t="s">
        <v>4056</v>
      </c>
      <c r="I1923" s="32" t="s">
        <v>645</v>
      </c>
      <c r="J1923" s="32" t="s">
        <v>1140</v>
      </c>
    </row>
    <row r="1924" spans="6:10" x14ac:dyDescent="0.25">
      <c r="F1924" s="32"/>
      <c r="G1924" s="32" t="s">
        <v>4057</v>
      </c>
      <c r="H1924" s="32" t="s">
        <v>4058</v>
      </c>
      <c r="I1924" s="32" t="s">
        <v>688</v>
      </c>
      <c r="J1924" s="32" t="s">
        <v>688</v>
      </c>
    </row>
    <row r="1925" spans="6:10" x14ac:dyDescent="0.25">
      <c r="F1925" s="32"/>
      <c r="G1925" s="32" t="s">
        <v>4059</v>
      </c>
      <c r="H1925" s="32" t="s">
        <v>4060</v>
      </c>
      <c r="I1925" s="32" t="s">
        <v>688</v>
      </c>
      <c r="J1925" s="32" t="s">
        <v>688</v>
      </c>
    </row>
    <row r="1926" spans="6:10" x14ac:dyDescent="0.25">
      <c r="F1926" s="32"/>
      <c r="G1926" s="32" t="s">
        <v>4061</v>
      </c>
      <c r="H1926" s="32" t="s">
        <v>4062</v>
      </c>
      <c r="I1926" s="32" t="s">
        <v>688</v>
      </c>
      <c r="J1926" s="32" t="s">
        <v>688</v>
      </c>
    </row>
    <row r="1927" spans="6:10" x14ac:dyDescent="0.25">
      <c r="F1927" s="32"/>
      <c r="G1927" s="32" t="s">
        <v>4063</v>
      </c>
      <c r="H1927" s="32" t="s">
        <v>4064</v>
      </c>
      <c r="I1927" s="32" t="s">
        <v>688</v>
      </c>
      <c r="J1927" s="32" t="s">
        <v>688</v>
      </c>
    </row>
    <row r="1928" spans="6:10" x14ac:dyDescent="0.25">
      <c r="F1928" s="32" t="s">
        <v>593</v>
      </c>
      <c r="G1928" s="32"/>
      <c r="H1928" s="32" t="s">
        <v>4065</v>
      </c>
      <c r="I1928" s="32"/>
      <c r="J1928" s="32"/>
    </row>
    <row r="1929" spans="6:10" x14ac:dyDescent="0.25">
      <c r="F1929" s="32"/>
      <c r="G1929" s="32" t="s">
        <v>4066</v>
      </c>
      <c r="H1929" s="32" t="s">
        <v>4067</v>
      </c>
      <c r="I1929" s="32" t="s">
        <v>645</v>
      </c>
      <c r="J1929" s="32" t="s">
        <v>1140</v>
      </c>
    </row>
    <row r="1930" spans="6:10" x14ac:dyDescent="0.25">
      <c r="F1930" s="32"/>
      <c r="G1930" s="32" t="s">
        <v>4068</v>
      </c>
      <c r="H1930" s="32" t="s">
        <v>4069</v>
      </c>
      <c r="I1930" s="32" t="s">
        <v>645</v>
      </c>
      <c r="J1930" s="32" t="s">
        <v>1140</v>
      </c>
    </row>
    <row r="1931" spans="6:10" x14ac:dyDescent="0.25">
      <c r="F1931" s="32"/>
      <c r="G1931" s="32" t="s">
        <v>4070</v>
      </c>
      <c r="H1931" s="32" t="s">
        <v>4071</v>
      </c>
      <c r="I1931" s="32" t="s">
        <v>645</v>
      </c>
      <c r="J1931" s="32" t="s">
        <v>1140</v>
      </c>
    </row>
    <row r="1932" spans="6:10" x14ac:dyDescent="0.25">
      <c r="F1932" s="32"/>
      <c r="G1932" s="32" t="s">
        <v>4072</v>
      </c>
      <c r="H1932" s="32" t="s">
        <v>4073</v>
      </c>
      <c r="I1932" s="32" t="s">
        <v>645</v>
      </c>
      <c r="J1932" s="32" t="s">
        <v>1140</v>
      </c>
    </row>
    <row r="1933" spans="6:10" x14ac:dyDescent="0.25">
      <c r="F1933" s="32"/>
      <c r="G1933" s="32" t="s">
        <v>4074</v>
      </c>
      <c r="H1933" s="32" t="s">
        <v>4075</v>
      </c>
      <c r="I1933" s="32" t="s">
        <v>645</v>
      </c>
      <c r="J1933" s="32" t="s">
        <v>1140</v>
      </c>
    </row>
    <row r="1934" spans="6:10" x14ac:dyDescent="0.25">
      <c r="F1934" s="32"/>
      <c r="G1934" s="32" t="s">
        <v>4076</v>
      </c>
      <c r="H1934" s="32" t="s">
        <v>4077</v>
      </c>
      <c r="I1934" s="32" t="s">
        <v>645</v>
      </c>
      <c r="J1934" s="32" t="s">
        <v>1140</v>
      </c>
    </row>
    <row r="1935" spans="6:10" x14ac:dyDescent="0.25">
      <c r="F1935" s="32"/>
      <c r="G1935" s="32" t="s">
        <v>4078</v>
      </c>
      <c r="H1935" s="32" t="s">
        <v>4079</v>
      </c>
      <c r="I1935" s="32" t="s">
        <v>645</v>
      </c>
      <c r="J1935" s="32" t="s">
        <v>1140</v>
      </c>
    </row>
    <row r="1936" spans="6:10" x14ac:dyDescent="0.25">
      <c r="F1936" s="32" t="s">
        <v>460</v>
      </c>
      <c r="G1936" s="32"/>
      <c r="H1936" s="32"/>
      <c r="I1936" s="32"/>
      <c r="J1936" s="32"/>
    </row>
    <row r="1937" spans="6:10" x14ac:dyDescent="0.25">
      <c r="F1937" s="32" t="s">
        <v>594</v>
      </c>
      <c r="G1937" s="32"/>
      <c r="H1937" s="32" t="s">
        <v>4080</v>
      </c>
      <c r="I1937" s="32"/>
      <c r="J1937" s="32"/>
    </row>
    <row r="1938" spans="6:10" x14ac:dyDescent="0.25">
      <c r="F1938" s="32"/>
      <c r="G1938" s="32" t="s">
        <v>4081</v>
      </c>
      <c r="H1938" s="32" t="s">
        <v>4082</v>
      </c>
      <c r="I1938" s="32" t="s">
        <v>688</v>
      </c>
      <c r="J1938" s="32" t="s">
        <v>688</v>
      </c>
    </row>
    <row r="1939" spans="6:10" x14ac:dyDescent="0.25">
      <c r="F1939" s="32"/>
      <c r="G1939" s="32" t="s">
        <v>4083</v>
      </c>
      <c r="H1939" s="32" t="s">
        <v>4084</v>
      </c>
      <c r="I1939" s="32" t="s">
        <v>688</v>
      </c>
      <c r="J1939" s="32" t="s">
        <v>688</v>
      </c>
    </row>
    <row r="1940" spans="6:10" x14ac:dyDescent="0.25">
      <c r="F1940" s="32"/>
      <c r="G1940" s="32" t="s">
        <v>4085</v>
      </c>
      <c r="H1940" s="32" t="s">
        <v>4086</v>
      </c>
      <c r="I1940" s="32" t="s">
        <v>688</v>
      </c>
      <c r="J1940" s="32" t="s">
        <v>688</v>
      </c>
    </row>
    <row r="1941" spans="6:10" x14ac:dyDescent="0.25">
      <c r="F1941" s="32"/>
      <c r="G1941" s="32" t="s">
        <v>4087</v>
      </c>
      <c r="H1941" s="32" t="s">
        <v>4088</v>
      </c>
      <c r="I1941" s="32" t="s">
        <v>688</v>
      </c>
      <c r="J1941" s="32" t="s">
        <v>688</v>
      </c>
    </row>
    <row r="1942" spans="6:10" x14ac:dyDescent="0.25">
      <c r="F1942" s="32"/>
      <c r="G1942" s="32" t="s">
        <v>4089</v>
      </c>
      <c r="H1942" s="32" t="s">
        <v>4090</v>
      </c>
      <c r="I1942" s="32" t="s">
        <v>688</v>
      </c>
      <c r="J1942" s="32" t="s">
        <v>688</v>
      </c>
    </row>
    <row r="1943" spans="6:10" x14ac:dyDescent="0.25">
      <c r="F1943" s="32"/>
      <c r="G1943" s="32" t="s">
        <v>4091</v>
      </c>
      <c r="H1943" s="32" t="s">
        <v>4092</v>
      </c>
      <c r="I1943" s="32" t="s">
        <v>688</v>
      </c>
      <c r="J1943" s="32" t="s">
        <v>688</v>
      </c>
    </row>
    <row r="1944" spans="6:10" x14ac:dyDescent="0.25">
      <c r="F1944" s="32" t="s">
        <v>595</v>
      </c>
      <c r="G1944" s="32"/>
      <c r="H1944" s="32" t="s">
        <v>4093</v>
      </c>
      <c r="I1944" s="32"/>
      <c r="J1944" s="32"/>
    </row>
    <row r="1945" spans="6:10" x14ac:dyDescent="0.25">
      <c r="F1945" s="32"/>
      <c r="G1945" s="32" t="s">
        <v>4094</v>
      </c>
      <c r="H1945" s="32" t="s">
        <v>4095</v>
      </c>
      <c r="I1945" s="32" t="s">
        <v>688</v>
      </c>
      <c r="J1945" s="32" t="s">
        <v>688</v>
      </c>
    </row>
    <row r="1946" spans="6:10" x14ac:dyDescent="0.25">
      <c r="F1946" s="32"/>
      <c r="G1946" s="32" t="s">
        <v>4096</v>
      </c>
      <c r="H1946" s="32" t="s">
        <v>4097</v>
      </c>
      <c r="I1946" s="32" t="s">
        <v>688</v>
      </c>
      <c r="J1946" s="32" t="s">
        <v>688</v>
      </c>
    </row>
    <row r="1947" spans="6:10" x14ac:dyDescent="0.25">
      <c r="F1947" s="32"/>
      <c r="G1947" s="32" t="s">
        <v>4098</v>
      </c>
      <c r="H1947" s="32" t="s">
        <v>4099</v>
      </c>
      <c r="I1947" s="32" t="s">
        <v>688</v>
      </c>
      <c r="J1947" s="32" t="s">
        <v>688</v>
      </c>
    </row>
    <row r="1948" spans="6:10" x14ac:dyDescent="0.25">
      <c r="F1948" s="32"/>
      <c r="G1948" s="32" t="s">
        <v>4100</v>
      </c>
      <c r="H1948" s="32" t="s">
        <v>4101</v>
      </c>
      <c r="I1948" s="32" t="s">
        <v>688</v>
      </c>
      <c r="J1948" s="32" t="s">
        <v>688</v>
      </c>
    </row>
    <row r="1949" spans="6:10" x14ac:dyDescent="0.25">
      <c r="F1949" s="32"/>
      <c r="G1949" s="32" t="s">
        <v>618</v>
      </c>
      <c r="H1949" s="32" t="s">
        <v>4102</v>
      </c>
      <c r="I1949" s="32" t="s">
        <v>688</v>
      </c>
      <c r="J1949" s="32" t="s">
        <v>688</v>
      </c>
    </row>
    <row r="1950" spans="6:10" x14ac:dyDescent="0.25">
      <c r="F1950" s="32"/>
      <c r="G1950" s="32" t="s">
        <v>4103</v>
      </c>
      <c r="H1950" s="32" t="s">
        <v>4104</v>
      </c>
      <c r="I1950" s="32" t="s">
        <v>688</v>
      </c>
      <c r="J1950" s="32" t="s">
        <v>688</v>
      </c>
    </row>
    <row r="1951" spans="6:10" x14ac:dyDescent="0.25">
      <c r="F1951" s="32" t="s">
        <v>637</v>
      </c>
      <c r="G1951" s="32"/>
      <c r="H1951" s="32" t="s">
        <v>4105</v>
      </c>
      <c r="I1951" s="32"/>
      <c r="J1951" s="32"/>
    </row>
    <row r="1952" spans="6:10" x14ac:dyDescent="0.25">
      <c r="F1952" s="32"/>
      <c r="G1952" s="32" t="s">
        <v>4106</v>
      </c>
      <c r="H1952" s="32" t="s">
        <v>4107</v>
      </c>
      <c r="I1952" s="32" t="s">
        <v>688</v>
      </c>
      <c r="J1952" s="32" t="s">
        <v>688</v>
      </c>
    </row>
    <row r="1953" spans="6:10" x14ac:dyDescent="0.25">
      <c r="F1953" s="32"/>
      <c r="G1953" s="32" t="s">
        <v>4108</v>
      </c>
      <c r="H1953" s="32" t="s">
        <v>4109</v>
      </c>
      <c r="I1953" s="32" t="s">
        <v>688</v>
      </c>
      <c r="J1953" s="32" t="s">
        <v>688</v>
      </c>
    </row>
    <row r="1954" spans="6:10" x14ac:dyDescent="0.25">
      <c r="F1954" s="32"/>
      <c r="G1954" s="32" t="s">
        <v>607</v>
      </c>
      <c r="H1954" s="32" t="s">
        <v>4110</v>
      </c>
      <c r="I1954" s="32" t="s">
        <v>688</v>
      </c>
      <c r="J1954" s="32" t="s">
        <v>688</v>
      </c>
    </row>
    <row r="1955" spans="6:10" x14ac:dyDescent="0.25">
      <c r="F1955" s="32"/>
      <c r="G1955" s="32" t="s">
        <v>4111</v>
      </c>
      <c r="H1955" s="32" t="s">
        <v>4112</v>
      </c>
      <c r="I1955" s="32" t="s">
        <v>688</v>
      </c>
      <c r="J1955" s="32" t="s">
        <v>688</v>
      </c>
    </row>
    <row r="1956" spans="6:10" x14ac:dyDescent="0.25">
      <c r="F1956" s="32"/>
      <c r="G1956" s="32" t="s">
        <v>4113</v>
      </c>
      <c r="H1956" s="32" t="s">
        <v>4114</v>
      </c>
      <c r="I1956" s="32" t="s">
        <v>688</v>
      </c>
      <c r="J1956" s="32" t="s">
        <v>688</v>
      </c>
    </row>
    <row r="1957" spans="6:10" x14ac:dyDescent="0.25">
      <c r="F1957" s="32" t="s">
        <v>596</v>
      </c>
      <c r="G1957" s="32"/>
      <c r="H1957" s="32" t="s">
        <v>4115</v>
      </c>
      <c r="I1957" s="32"/>
      <c r="J1957" s="32"/>
    </row>
    <row r="1958" spans="6:10" x14ac:dyDescent="0.25">
      <c r="F1958" s="32"/>
      <c r="G1958" s="32" t="s">
        <v>4116</v>
      </c>
      <c r="H1958" s="32" t="s">
        <v>4117</v>
      </c>
      <c r="I1958" s="32" t="s">
        <v>688</v>
      </c>
      <c r="J1958" s="32" t="s">
        <v>688</v>
      </c>
    </row>
    <row r="1959" spans="6:10" x14ac:dyDescent="0.25">
      <c r="F1959" s="32"/>
      <c r="G1959" s="32" t="s">
        <v>4118</v>
      </c>
      <c r="H1959" s="32" t="s">
        <v>4119</v>
      </c>
      <c r="I1959" s="32" t="s">
        <v>688</v>
      </c>
      <c r="J1959" s="32" t="s">
        <v>688</v>
      </c>
    </row>
    <row r="1960" spans="6:10" x14ac:dyDescent="0.25">
      <c r="F1960" s="32"/>
      <c r="G1960" s="32" t="s">
        <v>4120</v>
      </c>
      <c r="H1960" s="32" t="s">
        <v>4121</v>
      </c>
      <c r="I1960" s="32" t="s">
        <v>688</v>
      </c>
      <c r="J1960" s="32" t="s">
        <v>688</v>
      </c>
    </row>
    <row r="1961" spans="6:10" x14ac:dyDescent="0.25">
      <c r="F1961" s="32"/>
      <c r="G1961" s="32" t="s">
        <v>4122</v>
      </c>
      <c r="H1961" s="32" t="s">
        <v>4123</v>
      </c>
      <c r="I1961" s="32" t="s">
        <v>688</v>
      </c>
      <c r="J1961" s="32" t="s">
        <v>688</v>
      </c>
    </row>
    <row r="1962" spans="6:10" x14ac:dyDescent="0.25">
      <c r="F1962" s="32"/>
      <c r="G1962" s="32" t="s">
        <v>4124</v>
      </c>
      <c r="H1962" s="32" t="s">
        <v>4125</v>
      </c>
      <c r="I1962" s="32" t="s">
        <v>688</v>
      </c>
      <c r="J1962" s="32" t="s">
        <v>688</v>
      </c>
    </row>
    <row r="1963" spans="6:10" x14ac:dyDescent="0.25">
      <c r="F1963" s="32"/>
      <c r="G1963" s="32" t="s">
        <v>4126</v>
      </c>
      <c r="H1963" s="32" t="s">
        <v>4127</v>
      </c>
      <c r="I1963" s="32" t="s">
        <v>688</v>
      </c>
      <c r="J1963" s="32" t="s">
        <v>688</v>
      </c>
    </row>
    <row r="1964" spans="6:10" x14ac:dyDescent="0.25">
      <c r="F1964" s="32" t="s">
        <v>597</v>
      </c>
      <c r="G1964" s="32"/>
      <c r="H1964" s="32" t="s">
        <v>4128</v>
      </c>
      <c r="I1964" s="32"/>
      <c r="J1964" s="32"/>
    </row>
    <row r="1965" spans="6:10" x14ac:dyDescent="0.25">
      <c r="F1965" s="32"/>
      <c r="G1965" s="32" t="s">
        <v>4129</v>
      </c>
      <c r="H1965" s="32" t="s">
        <v>4130</v>
      </c>
      <c r="I1965" s="32" t="s">
        <v>688</v>
      </c>
      <c r="J1965" s="32" t="s">
        <v>688</v>
      </c>
    </row>
    <row r="1966" spans="6:10" x14ac:dyDescent="0.25">
      <c r="F1966" s="32"/>
      <c r="G1966" s="32" t="s">
        <v>4131</v>
      </c>
      <c r="H1966" s="32" t="s">
        <v>4132</v>
      </c>
      <c r="I1966" s="32" t="s">
        <v>688</v>
      </c>
      <c r="J1966" s="32" t="s">
        <v>688</v>
      </c>
    </row>
    <row r="1967" spans="6:10" x14ac:dyDescent="0.25">
      <c r="F1967" s="32"/>
      <c r="G1967" s="32" t="s">
        <v>4133</v>
      </c>
      <c r="H1967" s="32" t="s">
        <v>4134</v>
      </c>
      <c r="I1967" s="32" t="s">
        <v>688</v>
      </c>
      <c r="J1967" s="32" t="s">
        <v>688</v>
      </c>
    </row>
    <row r="1968" spans="6:10" x14ac:dyDescent="0.25">
      <c r="F1968" s="32"/>
      <c r="G1968" s="32" t="s">
        <v>4135</v>
      </c>
      <c r="H1968" s="32" t="s">
        <v>4136</v>
      </c>
      <c r="I1968" s="32" t="s">
        <v>688</v>
      </c>
      <c r="J1968" s="32" t="s">
        <v>688</v>
      </c>
    </row>
    <row r="1969" spans="6:10" x14ac:dyDescent="0.25">
      <c r="F1969" s="32"/>
      <c r="G1969" s="32" t="s">
        <v>4137</v>
      </c>
      <c r="H1969" s="32" t="s">
        <v>4138</v>
      </c>
      <c r="I1969" s="32" t="s">
        <v>688</v>
      </c>
      <c r="J1969" s="32" t="s">
        <v>688</v>
      </c>
    </row>
    <row r="1970" spans="6:10" x14ac:dyDescent="0.25">
      <c r="F1970" s="32"/>
      <c r="G1970" s="32" t="s">
        <v>4139</v>
      </c>
      <c r="H1970" s="32" t="s">
        <v>4140</v>
      </c>
      <c r="I1970" s="32" t="s">
        <v>688</v>
      </c>
      <c r="J1970" s="32" t="s">
        <v>688</v>
      </c>
    </row>
    <row r="1971" spans="6:10" x14ac:dyDescent="0.25">
      <c r="F1971" s="32"/>
      <c r="G1971" s="32" t="s">
        <v>4141</v>
      </c>
      <c r="H1971" s="32" t="s">
        <v>4142</v>
      </c>
      <c r="I1971" s="32" t="s">
        <v>688</v>
      </c>
      <c r="J1971" s="32" t="s">
        <v>688</v>
      </c>
    </row>
    <row r="1972" spans="6:10" x14ac:dyDescent="0.25">
      <c r="F1972" s="32"/>
      <c r="G1972" s="32" t="s">
        <v>4143</v>
      </c>
      <c r="H1972" s="32" t="s">
        <v>4144</v>
      </c>
      <c r="I1972" s="32" t="s">
        <v>688</v>
      </c>
      <c r="J1972" s="32" t="s">
        <v>688</v>
      </c>
    </row>
    <row r="1973" spans="6:10" x14ac:dyDescent="0.25">
      <c r="F1973" s="32"/>
      <c r="G1973" s="32" t="s">
        <v>4145</v>
      </c>
      <c r="H1973" s="32" t="s">
        <v>4146</v>
      </c>
      <c r="I1973" s="32" t="s">
        <v>688</v>
      </c>
      <c r="J1973" s="32" t="s">
        <v>688</v>
      </c>
    </row>
    <row r="1974" spans="6:10" x14ac:dyDescent="0.25">
      <c r="F1974" s="32"/>
      <c r="G1974" s="32" t="s">
        <v>4147</v>
      </c>
      <c r="H1974" s="32" t="s">
        <v>4148</v>
      </c>
      <c r="I1974" s="32" t="s">
        <v>688</v>
      </c>
      <c r="J1974" s="32" t="s">
        <v>688</v>
      </c>
    </row>
    <row r="1975" spans="6:10" x14ac:dyDescent="0.25">
      <c r="F1975" s="32"/>
      <c r="G1975" s="32" t="s">
        <v>4149</v>
      </c>
      <c r="H1975" s="32" t="s">
        <v>4150</v>
      </c>
      <c r="I1975" s="32" t="s">
        <v>688</v>
      </c>
      <c r="J1975" s="32" t="s">
        <v>688</v>
      </c>
    </row>
    <row r="1976" spans="6:10" x14ac:dyDescent="0.25">
      <c r="F1976" s="32" t="s">
        <v>638</v>
      </c>
      <c r="G1976" s="32"/>
      <c r="H1976" s="32" t="s">
        <v>4151</v>
      </c>
      <c r="I1976" s="32"/>
      <c r="J1976" s="32"/>
    </row>
    <row r="1977" spans="6:10" x14ac:dyDescent="0.25">
      <c r="F1977" s="32"/>
      <c r="G1977" s="32" t="s">
        <v>4152</v>
      </c>
      <c r="H1977" s="32" t="s">
        <v>4153</v>
      </c>
      <c r="I1977" s="32" t="s">
        <v>688</v>
      </c>
      <c r="J1977" s="32" t="s">
        <v>688</v>
      </c>
    </row>
    <row r="1978" spans="6:10" x14ac:dyDescent="0.25">
      <c r="F1978" s="32"/>
      <c r="G1978" s="32" t="s">
        <v>4154</v>
      </c>
      <c r="H1978" s="32" t="s">
        <v>4155</v>
      </c>
      <c r="I1978" s="32" t="s">
        <v>688</v>
      </c>
      <c r="J1978" s="32" t="s">
        <v>688</v>
      </c>
    </row>
    <row r="1979" spans="6:10" x14ac:dyDescent="0.25">
      <c r="F1979" s="32"/>
      <c r="G1979" s="32" t="s">
        <v>4156</v>
      </c>
      <c r="H1979" s="32" t="s">
        <v>4157</v>
      </c>
      <c r="I1979" s="32" t="s">
        <v>688</v>
      </c>
      <c r="J1979" s="32" t="s">
        <v>688</v>
      </c>
    </row>
    <row r="1980" spans="6:10" x14ac:dyDescent="0.25">
      <c r="F1980" s="32"/>
      <c r="G1980" s="32" t="s">
        <v>4158</v>
      </c>
      <c r="H1980" s="32" t="s">
        <v>4159</v>
      </c>
      <c r="I1980" s="32" t="s">
        <v>688</v>
      </c>
      <c r="J1980" s="32" t="s">
        <v>688</v>
      </c>
    </row>
    <row r="1981" spans="6:10" x14ac:dyDescent="0.25">
      <c r="F1981" s="32"/>
      <c r="G1981" s="32" t="s">
        <v>4160</v>
      </c>
      <c r="H1981" s="32" t="s">
        <v>4161</v>
      </c>
      <c r="I1981" s="32" t="s">
        <v>688</v>
      </c>
      <c r="J1981" s="32" t="s">
        <v>688</v>
      </c>
    </row>
    <row r="1982" spans="6:10" x14ac:dyDescent="0.25">
      <c r="F1982" s="32" t="s">
        <v>598</v>
      </c>
      <c r="G1982" s="32"/>
      <c r="H1982" s="32" t="s">
        <v>4162</v>
      </c>
      <c r="I1982" s="32"/>
      <c r="J1982" s="32"/>
    </row>
    <row r="1983" spans="6:10" x14ac:dyDescent="0.25">
      <c r="F1983" s="32"/>
      <c r="G1983" s="32" t="s">
        <v>4163</v>
      </c>
      <c r="H1983" s="32" t="s">
        <v>4164</v>
      </c>
      <c r="I1983" s="32" t="s">
        <v>688</v>
      </c>
      <c r="J1983" s="32" t="s">
        <v>688</v>
      </c>
    </row>
    <row r="1984" spans="6:10" x14ac:dyDescent="0.25">
      <c r="F1984" s="32"/>
      <c r="G1984" s="32" t="s">
        <v>4165</v>
      </c>
      <c r="H1984" s="32" t="s">
        <v>4166</v>
      </c>
      <c r="I1984" s="32" t="s">
        <v>688</v>
      </c>
      <c r="J1984" s="32" t="s">
        <v>688</v>
      </c>
    </row>
    <row r="1985" spans="6:10" x14ac:dyDescent="0.25">
      <c r="F1985" s="32"/>
      <c r="G1985" s="32" t="s">
        <v>4167</v>
      </c>
      <c r="H1985" s="32" t="s">
        <v>4168</v>
      </c>
      <c r="I1985" s="32" t="s">
        <v>688</v>
      </c>
      <c r="J1985" s="32" t="s">
        <v>688</v>
      </c>
    </row>
    <row r="1986" spans="6:10" x14ac:dyDescent="0.25">
      <c r="F1986" s="32"/>
      <c r="G1986" s="32" t="s">
        <v>4169</v>
      </c>
      <c r="H1986" s="32" t="s">
        <v>4170</v>
      </c>
      <c r="I1986" s="32" t="s">
        <v>688</v>
      </c>
      <c r="J1986" s="32" t="s">
        <v>688</v>
      </c>
    </row>
    <row r="1987" spans="6:10" x14ac:dyDescent="0.25">
      <c r="F1987" s="32"/>
      <c r="G1987" s="32" t="s">
        <v>4171</v>
      </c>
      <c r="H1987" s="32" t="s">
        <v>4172</v>
      </c>
      <c r="I1987" s="32" t="s">
        <v>688</v>
      </c>
      <c r="J1987" s="32" t="s">
        <v>688</v>
      </c>
    </row>
    <row r="1988" spans="6:10" x14ac:dyDescent="0.25">
      <c r="F1988" s="32"/>
      <c r="G1988" s="32" t="s">
        <v>761</v>
      </c>
      <c r="H1988" s="32" t="s">
        <v>4173</v>
      </c>
      <c r="I1988" s="32" t="s">
        <v>688</v>
      </c>
      <c r="J1988" s="32" t="s">
        <v>688</v>
      </c>
    </row>
    <row r="1989" spans="6:10" x14ac:dyDescent="0.25">
      <c r="F1989" s="32"/>
      <c r="G1989" s="32" t="s">
        <v>4174</v>
      </c>
      <c r="H1989" s="32" t="s">
        <v>4175</v>
      </c>
      <c r="I1989" s="32" t="s">
        <v>688</v>
      </c>
      <c r="J1989" s="32" t="s">
        <v>688</v>
      </c>
    </row>
    <row r="1990" spans="6:10" x14ac:dyDescent="0.25">
      <c r="F1990" s="32"/>
      <c r="G1990" s="32" t="s">
        <v>4176</v>
      </c>
      <c r="H1990" s="32" t="s">
        <v>4177</v>
      </c>
      <c r="I1990" s="32" t="s">
        <v>688</v>
      </c>
      <c r="J1990" s="32" t="s">
        <v>688</v>
      </c>
    </row>
    <row r="1991" spans="6:10" x14ac:dyDescent="0.25">
      <c r="F1991" s="32"/>
      <c r="G1991" s="32" t="s">
        <v>4178</v>
      </c>
      <c r="H1991" s="32" t="s">
        <v>4179</v>
      </c>
      <c r="I1991" s="32" t="s">
        <v>688</v>
      </c>
      <c r="J1991" s="32" t="s">
        <v>688</v>
      </c>
    </row>
    <row r="1992" spans="6:10" x14ac:dyDescent="0.25">
      <c r="F1992" s="32"/>
      <c r="G1992" s="32" t="s">
        <v>4180</v>
      </c>
      <c r="H1992" s="32" t="s">
        <v>4181</v>
      </c>
      <c r="I1992" s="32" t="s">
        <v>688</v>
      </c>
      <c r="J1992" s="32" t="s">
        <v>688</v>
      </c>
    </row>
    <row r="1993" spans="6:10" x14ac:dyDescent="0.25">
      <c r="F1993" s="32" t="s">
        <v>599</v>
      </c>
      <c r="G1993" s="32"/>
      <c r="H1993" s="32" t="s">
        <v>4182</v>
      </c>
      <c r="I1993" s="32"/>
      <c r="J1993" s="32"/>
    </row>
    <row r="1994" spans="6:10" x14ac:dyDescent="0.25">
      <c r="F1994" s="32"/>
      <c r="G1994" s="32" t="s">
        <v>4183</v>
      </c>
      <c r="H1994" s="32" t="s">
        <v>4184</v>
      </c>
      <c r="I1994" s="32" t="s">
        <v>688</v>
      </c>
      <c r="J1994" s="32" t="s">
        <v>688</v>
      </c>
    </row>
    <row r="1995" spans="6:10" x14ac:dyDescent="0.25">
      <c r="F1995" s="32"/>
      <c r="G1995" s="32" t="s">
        <v>4185</v>
      </c>
      <c r="H1995" s="32" t="s">
        <v>4186</v>
      </c>
      <c r="I1995" s="32" t="s">
        <v>688</v>
      </c>
      <c r="J1995" s="32" t="s">
        <v>688</v>
      </c>
    </row>
    <row r="1996" spans="6:10" x14ac:dyDescent="0.25">
      <c r="F1996" s="32"/>
      <c r="G1996" s="32" t="s">
        <v>4187</v>
      </c>
      <c r="H1996" s="32" t="s">
        <v>4188</v>
      </c>
      <c r="I1996" s="32" t="s">
        <v>688</v>
      </c>
      <c r="J1996" s="32" t="s">
        <v>688</v>
      </c>
    </row>
    <row r="1997" spans="6:10" x14ac:dyDescent="0.25">
      <c r="F1997" s="32"/>
      <c r="G1997" s="32" t="s">
        <v>4189</v>
      </c>
      <c r="H1997" s="32" t="s">
        <v>4190</v>
      </c>
      <c r="I1997" s="32" t="s">
        <v>688</v>
      </c>
      <c r="J1997" s="32" t="s">
        <v>688</v>
      </c>
    </row>
    <row r="1998" spans="6:10" x14ac:dyDescent="0.25">
      <c r="F1998" s="32"/>
      <c r="G1998" s="32" t="s">
        <v>4191</v>
      </c>
      <c r="H1998" s="32" t="s">
        <v>4192</v>
      </c>
      <c r="I1998" s="32" t="s">
        <v>688</v>
      </c>
      <c r="J1998" s="32" t="s">
        <v>688</v>
      </c>
    </row>
    <row r="1999" spans="6:10" x14ac:dyDescent="0.25">
      <c r="F1999" s="32"/>
      <c r="G1999" s="32" t="s">
        <v>4193</v>
      </c>
      <c r="H1999" s="32" t="s">
        <v>4194</v>
      </c>
      <c r="I1999" s="32" t="s">
        <v>688</v>
      </c>
      <c r="J1999" s="32" t="s">
        <v>688</v>
      </c>
    </row>
    <row r="2000" spans="6:10" x14ac:dyDescent="0.25">
      <c r="F2000" s="32"/>
      <c r="G2000" s="32" t="s">
        <v>4195</v>
      </c>
      <c r="H2000" s="32" t="s">
        <v>4196</v>
      </c>
      <c r="I2000" s="32" t="s">
        <v>688</v>
      </c>
      <c r="J2000" s="32" t="s">
        <v>688</v>
      </c>
    </row>
    <row r="2001" spans="6:10" x14ac:dyDescent="0.25">
      <c r="F2001" s="32"/>
      <c r="G2001" s="32" t="s">
        <v>4197</v>
      </c>
      <c r="H2001" s="32" t="s">
        <v>4198</v>
      </c>
      <c r="I2001" s="32" t="s">
        <v>688</v>
      </c>
      <c r="J2001" s="32" t="s">
        <v>688</v>
      </c>
    </row>
    <row r="2002" spans="6:10" x14ac:dyDescent="0.25">
      <c r="F2002" s="32"/>
      <c r="G2002" s="32" t="s">
        <v>4199</v>
      </c>
      <c r="H2002" s="32" t="s">
        <v>4200</v>
      </c>
      <c r="I2002" s="32" t="s">
        <v>688</v>
      </c>
      <c r="J2002" s="32" t="s">
        <v>688</v>
      </c>
    </row>
    <row r="2003" spans="6:10" x14ac:dyDescent="0.25">
      <c r="F2003" s="32" t="s">
        <v>4620</v>
      </c>
      <c r="G2003" s="32"/>
      <c r="H2003" s="32" t="s">
        <v>4201</v>
      </c>
      <c r="I2003" s="32"/>
      <c r="J2003" s="32"/>
    </row>
    <row r="2004" spans="6:10" x14ac:dyDescent="0.25">
      <c r="F2004" s="32"/>
      <c r="G2004" s="32" t="s">
        <v>4202</v>
      </c>
      <c r="H2004" s="32" t="s">
        <v>4203</v>
      </c>
      <c r="I2004" s="32" t="s">
        <v>688</v>
      </c>
      <c r="J2004" s="32" t="s">
        <v>688</v>
      </c>
    </row>
    <row r="2005" spans="6:10" x14ac:dyDescent="0.25">
      <c r="F2005" s="32"/>
      <c r="G2005" s="32" t="s">
        <v>4204</v>
      </c>
      <c r="H2005" s="32" t="s">
        <v>4205</v>
      </c>
      <c r="I2005" s="32" t="s">
        <v>688</v>
      </c>
      <c r="J2005" s="32" t="s">
        <v>688</v>
      </c>
    </row>
    <row r="2006" spans="6:10" x14ac:dyDescent="0.25">
      <c r="F2006" s="32"/>
      <c r="G2006" s="32" t="s">
        <v>4206</v>
      </c>
      <c r="H2006" s="32" t="s">
        <v>4207</v>
      </c>
      <c r="I2006" s="32" t="s">
        <v>688</v>
      </c>
      <c r="J2006" s="32" t="s">
        <v>688</v>
      </c>
    </row>
    <row r="2007" spans="6:10" x14ac:dyDescent="0.25">
      <c r="F2007" s="32"/>
      <c r="G2007" s="32" t="s">
        <v>4208</v>
      </c>
      <c r="H2007" s="32" t="s">
        <v>4209</v>
      </c>
      <c r="I2007" s="32" t="s">
        <v>688</v>
      </c>
      <c r="J2007" s="32" t="s">
        <v>688</v>
      </c>
    </row>
    <row r="2008" spans="6:10" x14ac:dyDescent="0.25">
      <c r="F2008" s="32"/>
      <c r="G2008" s="32" t="s">
        <v>4210</v>
      </c>
      <c r="H2008" s="32" t="s">
        <v>4211</v>
      </c>
      <c r="I2008" s="32" t="s">
        <v>688</v>
      </c>
      <c r="J2008" s="32" t="s">
        <v>688</v>
      </c>
    </row>
    <row r="2009" spans="6:10" x14ac:dyDescent="0.25">
      <c r="F2009" s="32"/>
      <c r="G2009" s="32" t="s">
        <v>4212</v>
      </c>
      <c r="H2009" s="32" t="s">
        <v>4213</v>
      </c>
      <c r="I2009" s="32" t="s">
        <v>688</v>
      </c>
      <c r="J2009" s="32" t="s">
        <v>688</v>
      </c>
    </row>
    <row r="2010" spans="6:10" x14ac:dyDescent="0.25">
      <c r="F2010" s="32"/>
      <c r="G2010" s="32" t="s">
        <v>4214</v>
      </c>
      <c r="H2010" s="32" t="s">
        <v>4215</v>
      </c>
      <c r="I2010" s="32" t="s">
        <v>688</v>
      </c>
      <c r="J2010" s="32" t="s">
        <v>688</v>
      </c>
    </row>
    <row r="2011" spans="6:10" x14ac:dyDescent="0.25">
      <c r="F2011" s="32"/>
      <c r="G2011" s="32" t="s">
        <v>4216</v>
      </c>
      <c r="H2011" s="32" t="s">
        <v>4217</v>
      </c>
      <c r="I2011" s="32" t="s">
        <v>688</v>
      </c>
      <c r="J2011" s="32" t="s">
        <v>688</v>
      </c>
    </row>
    <row r="2012" spans="6:10" x14ac:dyDescent="0.25">
      <c r="F2012" s="32"/>
      <c r="G2012" s="32" t="s">
        <v>4218</v>
      </c>
      <c r="H2012" s="32" t="s">
        <v>4219</v>
      </c>
      <c r="I2012" s="32" t="s">
        <v>688</v>
      </c>
      <c r="J2012" s="32" t="s">
        <v>688</v>
      </c>
    </row>
    <row r="2013" spans="6:10" x14ac:dyDescent="0.25">
      <c r="F2013" s="32"/>
      <c r="G2013" s="32" t="s">
        <v>4220</v>
      </c>
      <c r="H2013" s="32" t="s">
        <v>4221</v>
      </c>
      <c r="I2013" s="32" t="s">
        <v>688</v>
      </c>
      <c r="J2013" s="32" t="s">
        <v>688</v>
      </c>
    </row>
    <row r="2014" spans="6:10" x14ac:dyDescent="0.25">
      <c r="F2014" s="32"/>
      <c r="G2014" s="32" t="s">
        <v>4222</v>
      </c>
      <c r="H2014" s="32" t="s">
        <v>4223</v>
      </c>
      <c r="I2014" s="32" t="s">
        <v>688</v>
      </c>
      <c r="J2014" s="32" t="s">
        <v>688</v>
      </c>
    </row>
    <row r="2015" spans="6:10" x14ac:dyDescent="0.25">
      <c r="F2015" s="32"/>
      <c r="G2015" s="32" t="s">
        <v>4224</v>
      </c>
      <c r="H2015" s="32" t="s">
        <v>4225</v>
      </c>
      <c r="I2015" s="32" t="s">
        <v>688</v>
      </c>
      <c r="J2015" s="32" t="s">
        <v>688</v>
      </c>
    </row>
    <row r="2016" spans="6:10" x14ac:dyDescent="0.25">
      <c r="F2016" s="32"/>
      <c r="G2016" s="32" t="s">
        <v>4226</v>
      </c>
      <c r="H2016" s="32" t="s">
        <v>4227</v>
      </c>
      <c r="I2016" s="32" t="s">
        <v>688</v>
      </c>
      <c r="J2016" s="32" t="s">
        <v>688</v>
      </c>
    </row>
    <row r="2017" spans="6:10" x14ac:dyDescent="0.25">
      <c r="F2017" s="32"/>
      <c r="G2017" s="32" t="s">
        <v>4228</v>
      </c>
      <c r="H2017" s="32" t="s">
        <v>4229</v>
      </c>
      <c r="I2017" s="32" t="s">
        <v>688</v>
      </c>
      <c r="J2017" s="32" t="s">
        <v>688</v>
      </c>
    </row>
    <row r="2018" spans="6:10" x14ac:dyDescent="0.25">
      <c r="F2018" s="32" t="s">
        <v>600</v>
      </c>
      <c r="G2018" s="32"/>
      <c r="H2018" s="32" t="s">
        <v>4230</v>
      </c>
      <c r="I2018" s="32"/>
      <c r="J2018" s="32"/>
    </row>
    <row r="2019" spans="6:10" x14ac:dyDescent="0.25">
      <c r="F2019" s="32"/>
      <c r="G2019" s="32" t="s">
        <v>4231</v>
      </c>
      <c r="H2019" s="32" t="s">
        <v>4232</v>
      </c>
      <c r="I2019" s="32" t="s">
        <v>688</v>
      </c>
      <c r="J2019" s="32" t="s">
        <v>688</v>
      </c>
    </row>
    <row r="2020" spans="6:10" x14ac:dyDescent="0.25">
      <c r="F2020" s="32"/>
      <c r="G2020" s="32" t="s">
        <v>4233</v>
      </c>
      <c r="H2020" s="32" t="s">
        <v>4234</v>
      </c>
      <c r="I2020" s="32" t="s">
        <v>688</v>
      </c>
      <c r="J2020" s="32" t="s">
        <v>688</v>
      </c>
    </row>
    <row r="2021" spans="6:10" x14ac:dyDescent="0.25">
      <c r="F2021" s="32"/>
      <c r="G2021" s="32" t="s">
        <v>4235</v>
      </c>
      <c r="H2021" s="32" t="s">
        <v>4236</v>
      </c>
      <c r="I2021" s="32" t="s">
        <v>688</v>
      </c>
      <c r="J2021" s="32" t="s">
        <v>688</v>
      </c>
    </row>
    <row r="2022" spans="6:10" x14ac:dyDescent="0.25">
      <c r="F2022" s="32"/>
      <c r="G2022" s="32" t="s">
        <v>4237</v>
      </c>
      <c r="H2022" s="32" t="s">
        <v>4238</v>
      </c>
      <c r="I2022" s="32" t="s">
        <v>688</v>
      </c>
      <c r="J2022" s="32" t="s">
        <v>688</v>
      </c>
    </row>
    <row r="2023" spans="6:10" x14ac:dyDescent="0.25">
      <c r="F2023" s="32"/>
      <c r="G2023" s="32" t="s">
        <v>4239</v>
      </c>
      <c r="H2023" s="32" t="s">
        <v>4240</v>
      </c>
      <c r="I2023" s="32" t="s">
        <v>688</v>
      </c>
      <c r="J2023" s="32" t="s">
        <v>688</v>
      </c>
    </row>
    <row r="2024" spans="6:10" x14ac:dyDescent="0.25">
      <c r="F2024" s="32" t="s">
        <v>460</v>
      </c>
      <c r="G2024" s="32"/>
      <c r="H2024" s="32"/>
      <c r="I2024" s="32"/>
      <c r="J2024" s="32"/>
    </row>
    <row r="2025" spans="6:10" x14ac:dyDescent="0.25">
      <c r="F2025" s="32" t="s">
        <v>4621</v>
      </c>
      <c r="G2025" s="32"/>
      <c r="H2025" s="32" t="s">
        <v>4241</v>
      </c>
      <c r="I2025" s="32"/>
      <c r="J2025" s="32"/>
    </row>
    <row r="2026" spans="6:10" x14ac:dyDescent="0.25">
      <c r="F2026" s="32"/>
      <c r="G2026" s="32" t="s">
        <v>457</v>
      </c>
      <c r="H2026" s="32" t="s">
        <v>4242</v>
      </c>
      <c r="I2026" s="32" t="s">
        <v>924</v>
      </c>
      <c r="J2026" s="32" t="s">
        <v>1317</v>
      </c>
    </row>
    <row r="2027" spans="6:10" x14ac:dyDescent="0.25">
      <c r="F2027" s="32"/>
      <c r="G2027" s="32" t="s">
        <v>4243</v>
      </c>
      <c r="H2027" s="32" t="s">
        <v>4244</v>
      </c>
      <c r="I2027" s="32" t="s">
        <v>924</v>
      </c>
      <c r="J2027" s="32" t="s">
        <v>1317</v>
      </c>
    </row>
    <row r="2028" spans="6:10" x14ac:dyDescent="0.25">
      <c r="F2028" s="32"/>
      <c r="G2028" s="32" t="s">
        <v>4245</v>
      </c>
      <c r="H2028" s="32" t="s">
        <v>4246</v>
      </c>
      <c r="I2028" s="32" t="s">
        <v>924</v>
      </c>
      <c r="J2028" s="32" t="s">
        <v>1317</v>
      </c>
    </row>
    <row r="2029" spans="6:10" x14ac:dyDescent="0.25">
      <c r="F2029" s="32"/>
      <c r="G2029" s="32" t="s">
        <v>4247</v>
      </c>
      <c r="H2029" s="32" t="s">
        <v>4248</v>
      </c>
      <c r="I2029" s="32" t="s">
        <v>924</v>
      </c>
      <c r="J2029" s="32" t="s">
        <v>1317</v>
      </c>
    </row>
    <row r="2030" spans="6:10" x14ac:dyDescent="0.25">
      <c r="F2030" s="32"/>
      <c r="G2030" s="32" t="s">
        <v>4249</v>
      </c>
      <c r="H2030" s="32" t="s">
        <v>4250</v>
      </c>
      <c r="I2030" s="32" t="s">
        <v>924</v>
      </c>
      <c r="J2030" s="32" t="s">
        <v>1317</v>
      </c>
    </row>
    <row r="2031" spans="6:10" x14ac:dyDescent="0.25">
      <c r="F2031" s="32"/>
      <c r="G2031" s="32" t="s">
        <v>4251</v>
      </c>
      <c r="H2031" s="32" t="s">
        <v>4252</v>
      </c>
      <c r="I2031" s="32" t="s">
        <v>924</v>
      </c>
      <c r="J2031" s="32" t="s">
        <v>1317</v>
      </c>
    </row>
    <row r="2032" spans="6:10" x14ac:dyDescent="0.25">
      <c r="F2032" s="32"/>
      <c r="G2032" s="32" t="s">
        <v>4253</v>
      </c>
      <c r="H2032" s="32" t="s">
        <v>4254</v>
      </c>
      <c r="I2032" s="32" t="s">
        <v>924</v>
      </c>
      <c r="J2032" s="32" t="s">
        <v>1317</v>
      </c>
    </row>
    <row r="2033" spans="6:10" x14ac:dyDescent="0.25">
      <c r="F2033" s="32"/>
      <c r="G2033" s="32" t="s">
        <v>4255</v>
      </c>
      <c r="H2033" s="32" t="s">
        <v>4256</v>
      </c>
      <c r="I2033" s="32" t="s">
        <v>924</v>
      </c>
      <c r="J2033" s="32" t="s">
        <v>1317</v>
      </c>
    </row>
    <row r="2034" spans="6:10" x14ac:dyDescent="0.25">
      <c r="F2034" s="32"/>
      <c r="G2034" s="32" t="s">
        <v>4257</v>
      </c>
      <c r="H2034" s="32" t="s">
        <v>4258</v>
      </c>
      <c r="I2034" s="32" t="s">
        <v>924</v>
      </c>
      <c r="J2034" s="32" t="s">
        <v>1317</v>
      </c>
    </row>
    <row r="2035" spans="6:10" x14ac:dyDescent="0.25">
      <c r="F2035" s="32"/>
      <c r="G2035" s="32" t="s">
        <v>4259</v>
      </c>
      <c r="H2035" s="32" t="s">
        <v>4260</v>
      </c>
      <c r="I2035" s="32" t="s">
        <v>924</v>
      </c>
      <c r="J2035" s="32" t="s">
        <v>1317</v>
      </c>
    </row>
    <row r="2036" spans="6:10" x14ac:dyDescent="0.25">
      <c r="F2036" s="32"/>
      <c r="G2036" s="32" t="s">
        <v>4261</v>
      </c>
      <c r="H2036" s="32" t="s">
        <v>4262</v>
      </c>
      <c r="I2036" s="32" t="s">
        <v>924</v>
      </c>
      <c r="J2036" s="32" t="s">
        <v>1317</v>
      </c>
    </row>
    <row r="2037" spans="6:10" x14ac:dyDescent="0.25">
      <c r="F2037" s="32" t="s">
        <v>601</v>
      </c>
      <c r="G2037" s="32"/>
      <c r="H2037" s="32" t="s">
        <v>4263</v>
      </c>
      <c r="I2037" s="32"/>
      <c r="J2037" s="32"/>
    </row>
    <row r="2038" spans="6:10" x14ac:dyDescent="0.25">
      <c r="F2038" s="32"/>
      <c r="G2038" s="32" t="s">
        <v>4264</v>
      </c>
      <c r="H2038" s="32" t="s">
        <v>4265</v>
      </c>
      <c r="I2038" s="32" t="s">
        <v>645</v>
      </c>
      <c r="J2038" s="32" t="s">
        <v>1140</v>
      </c>
    </row>
    <row r="2039" spans="6:10" x14ac:dyDescent="0.25">
      <c r="F2039" s="32"/>
      <c r="G2039" s="32" t="s">
        <v>4266</v>
      </c>
      <c r="H2039" s="32" t="s">
        <v>4267</v>
      </c>
      <c r="I2039" s="32" t="s">
        <v>645</v>
      </c>
      <c r="J2039" s="32" t="s">
        <v>1140</v>
      </c>
    </row>
    <row r="2040" spans="6:10" x14ac:dyDescent="0.25">
      <c r="F2040" s="32"/>
      <c r="G2040" s="32" t="s">
        <v>4268</v>
      </c>
      <c r="H2040" s="32" t="s">
        <v>4269</v>
      </c>
      <c r="I2040" s="32" t="s">
        <v>645</v>
      </c>
      <c r="J2040" s="32" t="s">
        <v>1140</v>
      </c>
    </row>
    <row r="2041" spans="6:10" x14ac:dyDescent="0.25">
      <c r="F2041" s="32"/>
      <c r="G2041" s="32" t="s">
        <v>4270</v>
      </c>
      <c r="H2041" s="32" t="s">
        <v>4271</v>
      </c>
      <c r="I2041" s="32" t="s">
        <v>645</v>
      </c>
      <c r="J2041" s="32" t="s">
        <v>1140</v>
      </c>
    </row>
    <row r="2042" spans="6:10" x14ac:dyDescent="0.25">
      <c r="F2042" s="32"/>
      <c r="G2042" s="32" t="s">
        <v>4272</v>
      </c>
      <c r="H2042" s="32" t="s">
        <v>4273</v>
      </c>
      <c r="I2042" s="32" t="s">
        <v>645</v>
      </c>
      <c r="J2042" s="32" t="s">
        <v>1140</v>
      </c>
    </row>
    <row r="2043" spans="6:10" x14ac:dyDescent="0.25">
      <c r="F2043" s="32"/>
      <c r="G2043" s="32" t="s">
        <v>4274</v>
      </c>
      <c r="H2043" s="32" t="s">
        <v>4275</v>
      </c>
      <c r="I2043" s="32" t="s">
        <v>645</v>
      </c>
      <c r="J2043" s="32" t="s">
        <v>1140</v>
      </c>
    </row>
    <row r="2044" spans="6:10" x14ac:dyDescent="0.25">
      <c r="F2044" s="32" t="s">
        <v>639</v>
      </c>
      <c r="G2044" s="32"/>
      <c r="H2044" s="32" t="s">
        <v>4276</v>
      </c>
      <c r="I2044" s="32"/>
      <c r="J2044" s="32"/>
    </row>
    <row r="2045" spans="6:10" x14ac:dyDescent="0.25">
      <c r="F2045" s="32"/>
      <c r="G2045" s="32" t="s">
        <v>4277</v>
      </c>
      <c r="H2045" s="32" t="s">
        <v>4278</v>
      </c>
      <c r="I2045" s="32" t="s">
        <v>924</v>
      </c>
      <c r="J2045" s="32" t="s">
        <v>1317</v>
      </c>
    </row>
    <row r="2046" spans="6:10" x14ac:dyDescent="0.25">
      <c r="F2046" s="32"/>
      <c r="G2046" s="32" t="s">
        <v>4279</v>
      </c>
      <c r="H2046" s="32" t="s">
        <v>4280</v>
      </c>
      <c r="I2046" s="32" t="s">
        <v>924</v>
      </c>
      <c r="J2046" s="32" t="s">
        <v>1317</v>
      </c>
    </row>
    <row r="2047" spans="6:10" x14ac:dyDescent="0.25">
      <c r="F2047" s="32"/>
      <c r="G2047" s="32" t="s">
        <v>4281</v>
      </c>
      <c r="H2047" s="32" t="s">
        <v>4282</v>
      </c>
      <c r="I2047" s="32" t="s">
        <v>924</v>
      </c>
      <c r="J2047" s="32" t="s">
        <v>1317</v>
      </c>
    </row>
    <row r="2048" spans="6:10" x14ac:dyDescent="0.25">
      <c r="F2048" s="32" t="s">
        <v>602</v>
      </c>
      <c r="G2048" s="32"/>
      <c r="H2048" s="32" t="s">
        <v>4283</v>
      </c>
      <c r="I2048" s="32"/>
      <c r="J2048" s="32"/>
    </row>
    <row r="2049" spans="6:10" x14ac:dyDescent="0.25">
      <c r="F2049" s="32"/>
      <c r="G2049" s="32" t="s">
        <v>4284</v>
      </c>
      <c r="H2049" s="32" t="s">
        <v>4285</v>
      </c>
      <c r="I2049" s="32" t="s">
        <v>645</v>
      </c>
      <c r="J2049" s="32" t="s">
        <v>1140</v>
      </c>
    </row>
    <row r="2050" spans="6:10" x14ac:dyDescent="0.25">
      <c r="F2050" s="32"/>
      <c r="G2050" s="32" t="s">
        <v>4286</v>
      </c>
      <c r="H2050" s="32" t="s">
        <v>4287</v>
      </c>
      <c r="I2050" s="32" t="s">
        <v>645</v>
      </c>
      <c r="J2050" s="32" t="s">
        <v>1140</v>
      </c>
    </row>
    <row r="2051" spans="6:10" x14ac:dyDescent="0.25">
      <c r="F2051" s="32"/>
      <c r="G2051" s="32" t="s">
        <v>4288</v>
      </c>
      <c r="H2051" s="32" t="s">
        <v>4289</v>
      </c>
      <c r="I2051" s="32" t="s">
        <v>645</v>
      </c>
      <c r="J2051" s="32" t="s">
        <v>1140</v>
      </c>
    </row>
    <row r="2052" spans="6:10" x14ac:dyDescent="0.25">
      <c r="F2052" s="32"/>
      <c r="G2052" s="32" t="s">
        <v>4290</v>
      </c>
      <c r="H2052" s="32" t="s">
        <v>4291</v>
      </c>
      <c r="I2052" s="32" t="s">
        <v>645</v>
      </c>
      <c r="J2052" s="32" t="s">
        <v>1140</v>
      </c>
    </row>
    <row r="2053" spans="6:10" x14ac:dyDescent="0.25">
      <c r="F2053" s="32"/>
      <c r="G2053" s="32" t="s">
        <v>4292</v>
      </c>
      <c r="H2053" s="32" t="s">
        <v>4293</v>
      </c>
      <c r="I2053" s="32" t="s">
        <v>645</v>
      </c>
      <c r="J2053" s="32" t="s">
        <v>1140</v>
      </c>
    </row>
    <row r="2054" spans="6:10" x14ac:dyDescent="0.25">
      <c r="F2054" s="32"/>
      <c r="G2054" s="32" t="s">
        <v>4294</v>
      </c>
      <c r="H2054" s="32" t="s">
        <v>4295</v>
      </c>
      <c r="I2054" s="32" t="s">
        <v>645</v>
      </c>
      <c r="J2054" s="32" t="s">
        <v>1140</v>
      </c>
    </row>
    <row r="2055" spans="6:10" x14ac:dyDescent="0.25">
      <c r="F2055" s="32"/>
      <c r="G2055" s="32" t="s">
        <v>4296</v>
      </c>
      <c r="H2055" s="32" t="s">
        <v>4297</v>
      </c>
      <c r="I2055" s="32" t="s">
        <v>645</v>
      </c>
      <c r="J2055" s="32" t="s">
        <v>1140</v>
      </c>
    </row>
    <row r="2056" spans="6:10" x14ac:dyDescent="0.25">
      <c r="F2056" s="32"/>
      <c r="G2056" s="32" t="s">
        <v>4298</v>
      </c>
      <c r="H2056" s="32" t="s">
        <v>4299</v>
      </c>
      <c r="I2056" s="32" t="s">
        <v>645</v>
      </c>
      <c r="J2056" s="32" t="s">
        <v>1140</v>
      </c>
    </row>
    <row r="2057" spans="6:10" x14ac:dyDescent="0.25">
      <c r="F2057" s="32" t="s">
        <v>460</v>
      </c>
      <c r="G2057" s="32"/>
      <c r="H2057" s="32"/>
      <c r="I2057" s="32"/>
      <c r="J2057" s="32"/>
    </row>
    <row r="2058" spans="6:10" x14ac:dyDescent="0.25">
      <c r="F2058" s="32" t="s">
        <v>4622</v>
      </c>
      <c r="G2058" s="32"/>
      <c r="H2058" s="32" t="s">
        <v>4300</v>
      </c>
      <c r="I2058" s="32"/>
      <c r="J2058" s="32"/>
    </row>
    <row r="2059" spans="6:10" x14ac:dyDescent="0.25">
      <c r="F2059" s="32"/>
      <c r="G2059" s="32" t="s">
        <v>458</v>
      </c>
      <c r="H2059" s="32" t="s">
        <v>4301</v>
      </c>
      <c r="I2059" s="32" t="s">
        <v>924</v>
      </c>
      <c r="J2059" s="32" t="s">
        <v>1815</v>
      </c>
    </row>
    <row r="2060" spans="6:10" x14ac:dyDescent="0.25">
      <c r="F2060" s="32"/>
      <c r="G2060" s="32" t="s">
        <v>4302</v>
      </c>
      <c r="H2060" s="32" t="s">
        <v>4303</v>
      </c>
      <c r="I2060" s="32" t="s">
        <v>924</v>
      </c>
      <c r="J2060" s="32" t="s">
        <v>1815</v>
      </c>
    </row>
    <row r="2061" spans="6:10" x14ac:dyDescent="0.25">
      <c r="F2061" s="32"/>
      <c r="G2061" s="32" t="s">
        <v>4304</v>
      </c>
      <c r="H2061" s="32" t="s">
        <v>4305</v>
      </c>
      <c r="I2061" s="32" t="s">
        <v>924</v>
      </c>
      <c r="J2061" s="32" t="s">
        <v>1815</v>
      </c>
    </row>
    <row r="2062" spans="6:10" x14ac:dyDescent="0.25">
      <c r="F2062" s="32"/>
      <c r="G2062" s="32" t="s">
        <v>4306</v>
      </c>
      <c r="H2062" s="32" t="s">
        <v>4307</v>
      </c>
      <c r="I2062" s="32" t="s">
        <v>924</v>
      </c>
      <c r="J2062" s="32" t="s">
        <v>1815</v>
      </c>
    </row>
    <row r="2063" spans="6:10" x14ac:dyDescent="0.25">
      <c r="F2063" s="32"/>
      <c r="G2063" s="32" t="s">
        <v>4308</v>
      </c>
      <c r="H2063" s="32" t="s">
        <v>4309</v>
      </c>
      <c r="I2063" s="32" t="s">
        <v>924</v>
      </c>
      <c r="J2063" s="32" t="s">
        <v>1815</v>
      </c>
    </row>
    <row r="2064" spans="6:10" x14ac:dyDescent="0.25">
      <c r="F2064" s="32"/>
      <c r="G2064" s="32" t="s">
        <v>4310</v>
      </c>
      <c r="H2064" s="32" t="s">
        <v>4311</v>
      </c>
      <c r="I2064" s="32" t="s">
        <v>924</v>
      </c>
      <c r="J2064" s="32" t="s">
        <v>1815</v>
      </c>
    </row>
    <row r="2065" spans="6:10" x14ac:dyDescent="0.25">
      <c r="F2065" s="32" t="s">
        <v>640</v>
      </c>
      <c r="G2065" s="32"/>
      <c r="H2065" s="32" t="s">
        <v>4312</v>
      </c>
      <c r="I2065" s="32"/>
      <c r="J2065" s="32"/>
    </row>
    <row r="2066" spans="6:10" x14ac:dyDescent="0.25">
      <c r="F2066" s="32"/>
      <c r="G2066" s="32" t="s">
        <v>4313</v>
      </c>
      <c r="H2066" s="32" t="s">
        <v>4314</v>
      </c>
      <c r="I2066" s="32" t="s">
        <v>924</v>
      </c>
      <c r="J2066" s="32" t="s">
        <v>1815</v>
      </c>
    </row>
    <row r="2067" spans="6:10" x14ac:dyDescent="0.25">
      <c r="F2067" s="32"/>
      <c r="G2067" s="32" t="s">
        <v>4315</v>
      </c>
      <c r="H2067" s="32" t="s">
        <v>4316</v>
      </c>
      <c r="I2067" s="32" t="s">
        <v>924</v>
      </c>
      <c r="J2067" s="32" t="s">
        <v>1815</v>
      </c>
    </row>
    <row r="2068" spans="6:10" x14ac:dyDescent="0.25">
      <c r="F2068" s="32"/>
      <c r="G2068" s="32" t="s">
        <v>4317</v>
      </c>
      <c r="H2068" s="32" t="s">
        <v>4318</v>
      </c>
      <c r="I2068" s="32" t="s">
        <v>924</v>
      </c>
      <c r="J2068" s="32" t="s">
        <v>1815</v>
      </c>
    </row>
    <row r="2069" spans="6:10" x14ac:dyDescent="0.25">
      <c r="F2069" s="32" t="s">
        <v>603</v>
      </c>
      <c r="G2069" s="32"/>
      <c r="H2069" s="32" t="s">
        <v>4319</v>
      </c>
      <c r="I2069" s="32"/>
      <c r="J2069" s="32"/>
    </row>
    <row r="2070" spans="6:10" x14ac:dyDescent="0.25">
      <c r="F2070" s="32"/>
      <c r="G2070" s="32" t="s">
        <v>4320</v>
      </c>
      <c r="H2070" s="32" t="s">
        <v>4321</v>
      </c>
      <c r="I2070" s="32" t="s">
        <v>924</v>
      </c>
      <c r="J2070" s="32" t="s">
        <v>1815</v>
      </c>
    </row>
    <row r="2071" spans="6:10" x14ac:dyDescent="0.25">
      <c r="F2071" s="32"/>
      <c r="G2071" s="32" t="s">
        <v>4322</v>
      </c>
      <c r="H2071" s="32" t="s">
        <v>4323</v>
      </c>
      <c r="I2071" s="32" t="s">
        <v>924</v>
      </c>
      <c r="J2071" s="32" t="s">
        <v>1815</v>
      </c>
    </row>
    <row r="2072" spans="6:10" x14ac:dyDescent="0.25">
      <c r="F2072" s="32"/>
      <c r="G2072" s="32" t="s">
        <v>4324</v>
      </c>
      <c r="H2072" s="32" t="s">
        <v>4325</v>
      </c>
      <c r="I2072" s="32" t="s">
        <v>924</v>
      </c>
      <c r="J2072" s="32" t="s">
        <v>1815</v>
      </c>
    </row>
    <row r="2073" spans="6:10" x14ac:dyDescent="0.25">
      <c r="F2073" s="32"/>
      <c r="G2073" s="32" t="s">
        <v>4326</v>
      </c>
      <c r="H2073" s="32" t="s">
        <v>4327</v>
      </c>
      <c r="I2073" s="32" t="s">
        <v>924</v>
      </c>
      <c r="J2073" s="32" t="s">
        <v>1815</v>
      </c>
    </row>
    <row r="2074" spans="6:10" x14ac:dyDescent="0.25">
      <c r="F2074" s="32" t="s">
        <v>460</v>
      </c>
      <c r="G2074" s="32"/>
      <c r="H2074" s="32"/>
      <c r="I2074" s="32"/>
      <c r="J2074" s="32"/>
    </row>
    <row r="2075" spans="6:10" x14ac:dyDescent="0.25">
      <c r="F2075" s="32" t="s">
        <v>641</v>
      </c>
      <c r="G2075" s="32"/>
      <c r="H2075" s="32" t="s">
        <v>4328</v>
      </c>
      <c r="I2075" s="32"/>
      <c r="J2075" s="32"/>
    </row>
    <row r="2076" spans="6:10" x14ac:dyDescent="0.25">
      <c r="F2076" s="32"/>
      <c r="G2076" s="32" t="s">
        <v>4329</v>
      </c>
      <c r="H2076" s="32" t="s">
        <v>4330</v>
      </c>
      <c r="I2076" s="32" t="s">
        <v>688</v>
      </c>
      <c r="J2076" s="32" t="s">
        <v>688</v>
      </c>
    </row>
    <row r="2077" spans="6:10" x14ac:dyDescent="0.25">
      <c r="F2077" s="32"/>
      <c r="G2077" s="32" t="s">
        <v>4331</v>
      </c>
      <c r="H2077" s="32" t="s">
        <v>4332</v>
      </c>
      <c r="I2077" s="32" t="s">
        <v>688</v>
      </c>
      <c r="J2077" s="32" t="s">
        <v>688</v>
      </c>
    </row>
    <row r="2078" spans="6:10" x14ac:dyDescent="0.25">
      <c r="F2078" s="32"/>
      <c r="G2078" s="32" t="s">
        <v>4333</v>
      </c>
      <c r="H2078" s="32" t="s">
        <v>4334</v>
      </c>
      <c r="I2078" s="32" t="s">
        <v>688</v>
      </c>
      <c r="J2078" s="32" t="s">
        <v>688</v>
      </c>
    </row>
    <row r="2079" spans="6:10" x14ac:dyDescent="0.25">
      <c r="F2079" s="32"/>
      <c r="G2079" s="32" t="s">
        <v>4335</v>
      </c>
      <c r="H2079" s="32" t="s">
        <v>4336</v>
      </c>
      <c r="I2079" s="32" t="s">
        <v>688</v>
      </c>
      <c r="J2079" s="32" t="s">
        <v>688</v>
      </c>
    </row>
    <row r="2080" spans="6:10" x14ac:dyDescent="0.25">
      <c r="F2080" s="32"/>
      <c r="G2080" s="32" t="s">
        <v>4337</v>
      </c>
      <c r="H2080" s="32" t="s">
        <v>4338</v>
      </c>
      <c r="I2080" s="32" t="s">
        <v>688</v>
      </c>
      <c r="J2080" s="32" t="s">
        <v>688</v>
      </c>
    </row>
    <row r="2081" spans="6:10" x14ac:dyDescent="0.25">
      <c r="F2081" s="32"/>
      <c r="G2081" s="32" t="s">
        <v>4339</v>
      </c>
      <c r="H2081" s="32" t="s">
        <v>4340</v>
      </c>
      <c r="I2081" s="32" t="s">
        <v>688</v>
      </c>
      <c r="J2081" s="32" t="s">
        <v>688</v>
      </c>
    </row>
    <row r="2082" spans="6:10" x14ac:dyDescent="0.25">
      <c r="F2082" s="32"/>
      <c r="G2082" s="32" t="s">
        <v>4341</v>
      </c>
      <c r="H2082" s="32" t="s">
        <v>4342</v>
      </c>
      <c r="I2082" s="32" t="s">
        <v>688</v>
      </c>
      <c r="J2082" s="32" t="s">
        <v>688</v>
      </c>
    </row>
    <row r="2083" spans="6:10" x14ac:dyDescent="0.25">
      <c r="F2083" s="32" t="s">
        <v>604</v>
      </c>
      <c r="G2083" s="32"/>
      <c r="H2083" s="32" t="s">
        <v>4343</v>
      </c>
      <c r="I2083" s="32"/>
      <c r="J2083" s="32"/>
    </row>
    <row r="2084" spans="6:10" x14ac:dyDescent="0.25">
      <c r="F2084" s="32"/>
      <c r="G2084" s="32" t="s">
        <v>4344</v>
      </c>
      <c r="H2084" s="32" t="s">
        <v>4345</v>
      </c>
      <c r="I2084" s="32" t="s">
        <v>688</v>
      </c>
      <c r="J2084" s="32" t="s">
        <v>688</v>
      </c>
    </row>
    <row r="2085" spans="6:10" x14ac:dyDescent="0.25">
      <c r="F2085" s="32"/>
      <c r="G2085" s="32" t="s">
        <v>4346</v>
      </c>
      <c r="H2085" s="32" t="s">
        <v>4347</v>
      </c>
      <c r="I2085" s="32" t="s">
        <v>688</v>
      </c>
      <c r="J2085" s="32" t="s">
        <v>688</v>
      </c>
    </row>
    <row r="2086" spans="6:10" x14ac:dyDescent="0.25">
      <c r="F2086" s="32"/>
      <c r="G2086" s="32" t="s">
        <v>4348</v>
      </c>
      <c r="H2086" s="32" t="s">
        <v>4349</v>
      </c>
      <c r="I2086" s="32" t="s">
        <v>688</v>
      </c>
      <c r="J2086" s="32" t="s">
        <v>688</v>
      </c>
    </row>
    <row r="2087" spans="6:10" x14ac:dyDescent="0.25">
      <c r="F2087" s="32"/>
      <c r="G2087" s="32" t="s">
        <v>4350</v>
      </c>
      <c r="H2087" s="32" t="s">
        <v>4351</v>
      </c>
      <c r="I2087" s="32" t="s">
        <v>688</v>
      </c>
      <c r="J2087" s="32" t="s">
        <v>688</v>
      </c>
    </row>
    <row r="2088" spans="6:10" x14ac:dyDescent="0.25">
      <c r="F2088" s="32" t="s">
        <v>642</v>
      </c>
      <c r="G2088" s="32"/>
      <c r="H2088" s="32" t="s">
        <v>4352</v>
      </c>
      <c r="I2088" s="32"/>
      <c r="J2088" s="32"/>
    </row>
    <row r="2089" spans="6:10" x14ac:dyDescent="0.25">
      <c r="F2089" s="32"/>
      <c r="G2089" s="32" t="s">
        <v>4353</v>
      </c>
      <c r="H2089" s="32" t="s">
        <v>4354</v>
      </c>
      <c r="I2089" s="32" t="s">
        <v>688</v>
      </c>
      <c r="J2089" s="32" t="s">
        <v>688</v>
      </c>
    </row>
    <row r="2090" spans="6:10" x14ac:dyDescent="0.25">
      <c r="F2090" s="32"/>
      <c r="G2090" s="32" t="s">
        <v>4355</v>
      </c>
      <c r="H2090" s="32" t="s">
        <v>4356</v>
      </c>
      <c r="I2090" s="32" t="s">
        <v>688</v>
      </c>
      <c r="J2090" s="32" t="s">
        <v>688</v>
      </c>
    </row>
    <row r="2091" spans="6:10" x14ac:dyDescent="0.25">
      <c r="F2091" s="32"/>
      <c r="G2091" s="32" t="s">
        <v>4357</v>
      </c>
      <c r="H2091" s="32" t="s">
        <v>4358</v>
      </c>
      <c r="I2091" s="32" t="s">
        <v>688</v>
      </c>
      <c r="J2091" s="32" t="s">
        <v>688</v>
      </c>
    </row>
    <row r="2092" spans="6:10" x14ac:dyDescent="0.25">
      <c r="F2092" s="32"/>
      <c r="G2092" s="32" t="s">
        <v>4359</v>
      </c>
      <c r="H2092" s="32" t="s">
        <v>4360</v>
      </c>
      <c r="I2092" s="32" t="s">
        <v>688</v>
      </c>
      <c r="J2092" s="32" t="s">
        <v>688</v>
      </c>
    </row>
    <row r="2093" spans="6:10" x14ac:dyDescent="0.25">
      <c r="F2093" s="32"/>
      <c r="G2093" s="32" t="s">
        <v>4361</v>
      </c>
      <c r="H2093" s="32" t="s">
        <v>4362</v>
      </c>
      <c r="I2093" s="32" t="s">
        <v>688</v>
      </c>
      <c r="J2093" s="32" t="s">
        <v>688</v>
      </c>
    </row>
    <row r="2094" spans="6:10" x14ac:dyDescent="0.25">
      <c r="F2094" s="32" t="s">
        <v>605</v>
      </c>
      <c r="G2094" s="32"/>
      <c r="H2094" s="32" t="s">
        <v>4363</v>
      </c>
      <c r="I2094" s="32"/>
      <c r="J2094" s="32"/>
    </row>
    <row r="2095" spans="6:10" x14ac:dyDescent="0.25">
      <c r="F2095" s="32"/>
      <c r="G2095" s="32" t="s">
        <v>4364</v>
      </c>
      <c r="H2095" s="32" t="s">
        <v>4365</v>
      </c>
      <c r="I2095" s="32" t="s">
        <v>688</v>
      </c>
      <c r="J2095" s="32" t="s">
        <v>688</v>
      </c>
    </row>
  </sheetData>
  <mergeCells count="4">
    <mergeCell ref="A1:B1"/>
    <mergeCell ref="C1:E1"/>
    <mergeCell ref="F1:J1"/>
    <mergeCell ref="A28:B28"/>
  </mergeCells>
  <pageMargins left="0.70866141732283472" right="0.70866141732283472" top="0.74803149606299213" bottom="0.74803149606299213" header="0.31496062992125984" footer="0.31496062992125984"/>
  <pageSetup paperSize="9" scale="85"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2:O645"/>
  <sheetViews>
    <sheetView topLeftCell="A8" workbookViewId="0">
      <selection activeCell="E19" sqref="E19:K46"/>
    </sheetView>
  </sheetViews>
  <sheetFormatPr baseColWidth="10" defaultColWidth="11.42578125" defaultRowHeight="15" x14ac:dyDescent="0.25"/>
  <cols>
    <col min="1" max="1" width="12.5703125" style="50" customWidth="1"/>
    <col min="2" max="8" width="11.42578125" style="50"/>
    <col min="9" max="9" width="12.140625" style="50" customWidth="1"/>
    <col min="10" max="16384" width="11.42578125" style="50"/>
  </cols>
  <sheetData>
    <row r="2" spans="1:15" ht="15.75" x14ac:dyDescent="0.25">
      <c r="A2" s="1967" t="s">
        <v>4997</v>
      </c>
      <c r="B2" s="1968"/>
      <c r="C2" s="1968"/>
      <c r="D2" s="1968"/>
      <c r="E2" s="1968"/>
      <c r="F2" s="1968"/>
      <c r="G2" s="1968"/>
      <c r="H2" s="1968"/>
      <c r="I2" s="1968"/>
      <c r="J2" s="1968"/>
      <c r="K2" s="1968"/>
      <c r="L2" s="1968"/>
      <c r="M2" s="1968"/>
    </row>
    <row r="3" spans="1:15" x14ac:dyDescent="0.25">
      <c r="A3" s="708"/>
      <c r="B3" s="708"/>
      <c r="C3" s="708"/>
      <c r="D3" s="708"/>
      <c r="E3" s="708"/>
      <c r="F3" s="708"/>
      <c r="G3" s="708"/>
      <c r="H3" s="708"/>
      <c r="I3" s="708"/>
      <c r="J3" s="708"/>
      <c r="K3" s="708"/>
      <c r="L3" s="708"/>
      <c r="M3" s="708"/>
      <c r="N3" s="708"/>
      <c r="O3" s="708"/>
    </row>
    <row r="4" spans="1:15" x14ac:dyDescent="0.25">
      <c r="A4" s="708" t="s">
        <v>4998</v>
      </c>
      <c r="B4" s="708"/>
      <c r="C4" s="1969" t="s">
        <v>5620</v>
      </c>
      <c r="D4" s="1970"/>
      <c r="E4" s="1970"/>
      <c r="F4" s="1970"/>
      <c r="G4" s="1970"/>
      <c r="H4" s="1970"/>
      <c r="I4" s="1970"/>
      <c r="J4" s="1970"/>
      <c r="K4" s="1971"/>
      <c r="L4" s="708"/>
      <c r="M4" s="708"/>
      <c r="N4" s="708"/>
      <c r="O4" s="708"/>
    </row>
    <row r="5" spans="1:15" x14ac:dyDescent="0.25">
      <c r="A5" s="708"/>
      <c r="B5" s="708"/>
      <c r="C5" s="708"/>
      <c r="D5" s="708"/>
      <c r="E5" s="708"/>
      <c r="F5" s="708"/>
      <c r="G5" s="708"/>
      <c r="H5" s="708"/>
      <c r="I5" s="708"/>
      <c r="J5" s="708"/>
      <c r="K5" s="708"/>
      <c r="L5" s="708"/>
      <c r="M5" s="708"/>
      <c r="N5" s="708"/>
      <c r="O5" s="708"/>
    </row>
    <row r="6" spans="1:15" x14ac:dyDescent="0.25">
      <c r="A6" s="708" t="s">
        <v>4999</v>
      </c>
      <c r="B6" s="708"/>
      <c r="C6" s="708"/>
      <c r="D6" s="1972" t="s">
        <v>5620</v>
      </c>
      <c r="E6" s="1973"/>
      <c r="F6" s="1973"/>
      <c r="G6" s="1973"/>
      <c r="H6" s="1973"/>
      <c r="I6" s="1973"/>
      <c r="J6" s="1973"/>
      <c r="K6" s="1974"/>
      <c r="L6" s="708"/>
      <c r="M6" s="708"/>
      <c r="N6" s="708"/>
      <c r="O6" s="708"/>
    </row>
    <row r="7" spans="1:15" x14ac:dyDescent="0.25">
      <c r="A7" s="708"/>
      <c r="B7" s="708"/>
      <c r="C7" s="708"/>
      <c r="D7" s="708"/>
      <c r="E7" s="708"/>
      <c r="F7" s="708"/>
      <c r="G7" s="708"/>
      <c r="H7" s="708"/>
      <c r="I7" s="708"/>
      <c r="J7" s="708"/>
      <c r="K7" s="708"/>
      <c r="L7" s="708"/>
      <c r="M7" s="708"/>
      <c r="N7" s="708"/>
      <c r="O7" s="708"/>
    </row>
    <row r="8" spans="1:15" x14ac:dyDescent="0.25">
      <c r="A8" s="1975" t="s">
        <v>5000</v>
      </c>
      <c r="B8" s="1976"/>
      <c r="C8" s="1976"/>
      <c r="D8" s="1976"/>
      <c r="E8" s="1976"/>
      <c r="F8" s="1976"/>
      <c r="G8" s="1976"/>
      <c r="H8" s="1976"/>
      <c r="I8" s="1976"/>
      <c r="J8" s="1976"/>
      <c r="K8" s="1976"/>
      <c r="L8" s="1976"/>
      <c r="M8" s="1977"/>
      <c r="N8" s="708"/>
      <c r="O8" s="708"/>
    </row>
    <row r="9" spans="1:15" x14ac:dyDescent="0.25">
      <c r="A9" s="708"/>
      <c r="B9" s="708"/>
      <c r="C9" s="708"/>
      <c r="D9" s="708"/>
      <c r="E9" s="708"/>
      <c r="F9" s="708"/>
      <c r="G9" s="708"/>
      <c r="H9" s="708"/>
      <c r="I9" s="708"/>
      <c r="J9" s="708"/>
      <c r="K9" s="708"/>
      <c r="L9" s="708"/>
      <c r="M9" s="708"/>
      <c r="N9" s="708"/>
      <c r="O9" s="708"/>
    </row>
    <row r="10" spans="1:15" x14ac:dyDescent="0.25">
      <c r="A10" s="801" t="s">
        <v>5001</v>
      </c>
      <c r="B10" s="708"/>
      <c r="D10" s="708"/>
      <c r="E10" s="708"/>
      <c r="F10" s="708"/>
      <c r="G10" s="708"/>
      <c r="H10" s="708"/>
      <c r="I10" s="708"/>
      <c r="J10" s="708"/>
      <c r="K10" s="708"/>
      <c r="L10" s="708"/>
      <c r="M10" s="708"/>
      <c r="N10" s="708"/>
      <c r="O10" s="708"/>
    </row>
    <row r="11" spans="1:15" x14ac:dyDescent="0.25">
      <c r="A11" s="801"/>
      <c r="B11" s="708"/>
      <c r="D11" s="708"/>
      <c r="E11" s="708"/>
      <c r="F11" s="708"/>
      <c r="G11" s="708"/>
      <c r="H11" s="708"/>
      <c r="I11" s="708"/>
      <c r="J11" s="708"/>
      <c r="K11" s="708"/>
      <c r="L11" s="708"/>
      <c r="M11" s="708"/>
      <c r="N11" s="708"/>
      <c r="O11" s="708"/>
    </row>
    <row r="12" spans="1:15" x14ac:dyDescent="0.25">
      <c r="A12" s="708" t="s">
        <v>5002</v>
      </c>
      <c r="B12" s="1969" t="s">
        <v>5620</v>
      </c>
      <c r="C12" s="1970"/>
      <c r="D12" s="1970"/>
      <c r="E12" s="1971"/>
      <c r="F12" s="708"/>
      <c r="G12" s="708" t="s">
        <v>5003</v>
      </c>
      <c r="H12" s="1969" t="s">
        <v>5620</v>
      </c>
      <c r="I12" s="1970"/>
      <c r="J12" s="1970"/>
      <c r="K12" s="1971"/>
      <c r="L12" s="708"/>
      <c r="M12" s="708"/>
      <c r="N12" s="708"/>
      <c r="O12" s="708"/>
    </row>
    <row r="13" spans="1:15" x14ac:dyDescent="0.25">
      <c r="A13" s="708" t="s">
        <v>5004</v>
      </c>
      <c r="B13" s="1969" t="s">
        <v>5620</v>
      </c>
      <c r="C13" s="1970"/>
      <c r="D13" s="1970"/>
      <c r="E13" s="1971"/>
      <c r="F13" s="708"/>
      <c r="G13" s="708" t="s">
        <v>5005</v>
      </c>
      <c r="H13" s="1969" t="s">
        <v>5620</v>
      </c>
      <c r="I13" s="1970"/>
      <c r="J13" s="1970"/>
      <c r="K13" s="1971"/>
      <c r="L13" s="708"/>
      <c r="M13" s="708"/>
      <c r="N13" s="708"/>
      <c r="O13" s="708"/>
    </row>
    <row r="14" spans="1:15" x14ac:dyDescent="0.25">
      <c r="A14" s="708"/>
      <c r="B14" s="708"/>
      <c r="D14" s="708"/>
      <c r="E14" s="708"/>
      <c r="F14" s="708"/>
      <c r="G14" s="708"/>
      <c r="H14" s="708"/>
      <c r="I14" s="708"/>
      <c r="J14" s="708"/>
      <c r="K14" s="708"/>
      <c r="L14" s="708"/>
      <c r="M14" s="708"/>
      <c r="N14" s="708"/>
      <c r="O14" s="708"/>
    </row>
    <row r="15" spans="1:15" ht="15.75" customHeight="1" x14ac:dyDescent="0.25">
      <c r="A15" s="708" t="s">
        <v>5006</v>
      </c>
      <c r="B15" s="708"/>
      <c r="C15" s="708"/>
      <c r="D15" s="708"/>
      <c r="E15" s="708" t="s">
        <v>5007</v>
      </c>
      <c r="F15" s="1978" t="s">
        <v>5620</v>
      </c>
      <c r="G15" s="1979"/>
      <c r="H15" s="708"/>
      <c r="I15" s="708" t="s">
        <v>5008</v>
      </c>
      <c r="J15" s="1978" t="s">
        <v>5620</v>
      </c>
      <c r="K15" s="1979"/>
      <c r="L15" s="708"/>
      <c r="M15" s="708"/>
      <c r="N15" s="708"/>
      <c r="O15" s="708"/>
    </row>
    <row r="16" spans="1:15" x14ac:dyDescent="0.25">
      <c r="A16" s="708"/>
      <c r="B16" s="708"/>
      <c r="C16" s="708"/>
      <c r="D16" s="708"/>
      <c r="E16" s="708"/>
      <c r="F16" s="708"/>
      <c r="G16" s="708"/>
      <c r="H16" s="708"/>
      <c r="I16" s="708"/>
      <c r="J16" s="708"/>
      <c r="K16" s="708"/>
      <c r="L16" s="708"/>
      <c r="M16" s="708"/>
      <c r="N16" s="708"/>
      <c r="O16" s="708"/>
    </row>
    <row r="17" spans="1:15" x14ac:dyDescent="0.25">
      <c r="A17" s="1975" t="s">
        <v>5009</v>
      </c>
      <c r="B17" s="1976"/>
      <c r="C17" s="1976"/>
      <c r="D17" s="1976"/>
      <c r="E17" s="1976"/>
      <c r="F17" s="1976"/>
      <c r="G17" s="1976"/>
      <c r="H17" s="1976"/>
      <c r="I17" s="1976"/>
      <c r="J17" s="1976"/>
      <c r="K17" s="1976"/>
      <c r="L17" s="1976"/>
      <c r="M17" s="1977"/>
      <c r="N17" s="708"/>
      <c r="O17" s="708"/>
    </row>
    <row r="18" spans="1:15" ht="15.75" thickBot="1" x14ac:dyDescent="0.3">
      <c r="B18" s="708"/>
      <c r="C18" s="708"/>
      <c r="D18" s="708"/>
      <c r="E18" s="708"/>
      <c r="F18" s="708"/>
      <c r="G18" s="708"/>
      <c r="H18" s="708"/>
      <c r="I18" s="708"/>
      <c r="J18" s="708"/>
      <c r="K18" s="708"/>
      <c r="L18" s="708"/>
      <c r="M18" s="708"/>
      <c r="N18" s="708"/>
      <c r="O18" s="708"/>
    </row>
    <row r="19" spans="1:15" ht="27" x14ac:dyDescent="0.25">
      <c r="A19" s="802" t="s">
        <v>5010</v>
      </c>
      <c r="B19" s="803" t="s">
        <v>5011</v>
      </c>
      <c r="C19" s="804" t="s">
        <v>5012</v>
      </c>
      <c r="D19" s="708"/>
      <c r="E19" s="1958" t="s">
        <v>5624</v>
      </c>
      <c r="F19" s="1959"/>
      <c r="G19" s="1959"/>
      <c r="H19" s="1959"/>
      <c r="I19" s="1959"/>
      <c r="J19" s="1959"/>
      <c r="K19" s="1960"/>
      <c r="L19" s="708"/>
      <c r="M19" s="708"/>
      <c r="N19" s="708"/>
      <c r="O19" s="708"/>
    </row>
    <row r="20" spans="1:15" x14ac:dyDescent="0.25">
      <c r="A20" s="823" t="s">
        <v>5013</v>
      </c>
      <c r="B20" s="824"/>
      <c r="C20" s="825"/>
      <c r="D20" s="708"/>
      <c r="E20" s="1961"/>
      <c r="F20" s="1962"/>
      <c r="G20" s="1962"/>
      <c r="H20" s="1962"/>
      <c r="I20" s="1962"/>
      <c r="J20" s="1962"/>
      <c r="K20" s="1963"/>
      <c r="L20" s="708"/>
      <c r="M20" s="708"/>
      <c r="N20" s="708"/>
      <c r="O20" s="708"/>
    </row>
    <row r="21" spans="1:15" x14ac:dyDescent="0.25">
      <c r="A21" s="823" t="s">
        <v>5014</v>
      </c>
      <c r="B21" s="824"/>
      <c r="C21" s="825"/>
      <c r="D21" s="708"/>
      <c r="E21" s="1961"/>
      <c r="F21" s="1962"/>
      <c r="G21" s="1962"/>
      <c r="H21" s="1962"/>
      <c r="I21" s="1962"/>
      <c r="J21" s="1962"/>
      <c r="K21" s="1963"/>
      <c r="L21" s="708"/>
      <c r="M21" s="708"/>
      <c r="N21" s="708"/>
      <c r="O21" s="708"/>
    </row>
    <row r="22" spans="1:15" x14ac:dyDescent="0.25">
      <c r="A22" s="823" t="s">
        <v>5015</v>
      </c>
      <c r="B22" s="824"/>
      <c r="C22" s="825"/>
      <c r="D22" s="708"/>
      <c r="E22" s="1961"/>
      <c r="F22" s="1962"/>
      <c r="G22" s="1962"/>
      <c r="H22" s="1962"/>
      <c r="I22" s="1962"/>
      <c r="J22" s="1962"/>
      <c r="K22" s="1963"/>
      <c r="L22" s="708"/>
      <c r="M22" s="708"/>
      <c r="N22" s="708"/>
      <c r="O22" s="708"/>
    </row>
    <row r="23" spans="1:15" x14ac:dyDescent="0.25">
      <c r="A23" s="823" t="s">
        <v>5016</v>
      </c>
      <c r="B23" s="824"/>
      <c r="C23" s="825"/>
      <c r="D23" s="708"/>
      <c r="E23" s="1961"/>
      <c r="F23" s="1962"/>
      <c r="G23" s="1962"/>
      <c r="H23" s="1962"/>
      <c r="I23" s="1962"/>
      <c r="J23" s="1962"/>
      <c r="K23" s="1963"/>
      <c r="L23" s="708"/>
      <c r="M23" s="708"/>
      <c r="N23" s="708"/>
      <c r="O23" s="708"/>
    </row>
    <row r="24" spans="1:15" x14ac:dyDescent="0.25">
      <c r="A24" s="823" t="s">
        <v>5017</v>
      </c>
      <c r="B24" s="824"/>
      <c r="C24" s="825"/>
      <c r="D24" s="708"/>
      <c r="E24" s="1961"/>
      <c r="F24" s="1962"/>
      <c r="G24" s="1962"/>
      <c r="H24" s="1962"/>
      <c r="I24" s="1962"/>
      <c r="J24" s="1962"/>
      <c r="K24" s="1963"/>
      <c r="L24" s="708"/>
      <c r="M24" s="708"/>
      <c r="N24" s="708"/>
      <c r="O24" s="708"/>
    </row>
    <row r="25" spans="1:15" x14ac:dyDescent="0.25">
      <c r="A25" s="823" t="s">
        <v>5018</v>
      </c>
      <c r="B25" s="824"/>
      <c r="C25" s="825"/>
      <c r="D25" s="708"/>
      <c r="E25" s="1961"/>
      <c r="F25" s="1962"/>
      <c r="G25" s="1962"/>
      <c r="H25" s="1962"/>
      <c r="I25" s="1962"/>
      <c r="J25" s="1962"/>
      <c r="K25" s="1963"/>
      <c r="L25" s="708"/>
      <c r="M25" s="708"/>
      <c r="N25" s="708"/>
      <c r="O25" s="708"/>
    </row>
    <row r="26" spans="1:15" x14ac:dyDescent="0.25">
      <c r="A26" s="823" t="s">
        <v>5019</v>
      </c>
      <c r="B26" s="824"/>
      <c r="C26" s="825"/>
      <c r="D26" s="708"/>
      <c r="E26" s="1961"/>
      <c r="F26" s="1962"/>
      <c r="G26" s="1962"/>
      <c r="H26" s="1962"/>
      <c r="I26" s="1962"/>
      <c r="J26" s="1962"/>
      <c r="K26" s="1963"/>
      <c r="L26" s="708"/>
      <c r="M26" s="708"/>
      <c r="N26" s="708"/>
      <c r="O26" s="708"/>
    </row>
    <row r="27" spans="1:15" x14ac:dyDescent="0.25">
      <c r="A27" s="823" t="s">
        <v>5020</v>
      </c>
      <c r="B27" s="824"/>
      <c r="C27" s="825"/>
      <c r="D27" s="708"/>
      <c r="E27" s="1961"/>
      <c r="F27" s="1962"/>
      <c r="G27" s="1962"/>
      <c r="H27" s="1962"/>
      <c r="I27" s="1962"/>
      <c r="J27" s="1962"/>
      <c r="K27" s="1963"/>
      <c r="L27" s="708"/>
      <c r="M27" s="708"/>
      <c r="N27" s="708"/>
      <c r="O27" s="708"/>
    </row>
    <row r="28" spans="1:15" x14ac:dyDescent="0.25">
      <c r="A28" s="823" t="s">
        <v>5021</v>
      </c>
      <c r="B28" s="824"/>
      <c r="C28" s="825"/>
      <c r="D28" s="708"/>
      <c r="E28" s="1961"/>
      <c r="F28" s="1962"/>
      <c r="G28" s="1962"/>
      <c r="H28" s="1962"/>
      <c r="I28" s="1962"/>
      <c r="J28" s="1962"/>
      <c r="K28" s="1963"/>
      <c r="L28" s="708"/>
      <c r="M28" s="708"/>
      <c r="N28" s="708"/>
      <c r="O28" s="708"/>
    </row>
    <row r="29" spans="1:15" x14ac:dyDescent="0.25">
      <c r="A29" s="823" t="s">
        <v>5022</v>
      </c>
      <c r="B29" s="824"/>
      <c r="C29" s="825"/>
      <c r="D29" s="708"/>
      <c r="E29" s="1961"/>
      <c r="F29" s="1962"/>
      <c r="G29" s="1962"/>
      <c r="H29" s="1962"/>
      <c r="I29" s="1962"/>
      <c r="J29" s="1962"/>
      <c r="K29" s="1963"/>
      <c r="L29" s="708"/>
      <c r="M29" s="708"/>
      <c r="N29" s="708"/>
      <c r="O29" s="708"/>
    </row>
    <row r="30" spans="1:15" x14ac:dyDescent="0.25">
      <c r="A30" s="823" t="s">
        <v>5023</v>
      </c>
      <c r="B30" s="824"/>
      <c r="C30" s="825"/>
      <c r="D30" s="708"/>
      <c r="E30" s="1961"/>
      <c r="F30" s="1962"/>
      <c r="G30" s="1962"/>
      <c r="H30" s="1962"/>
      <c r="I30" s="1962"/>
      <c r="J30" s="1962"/>
      <c r="K30" s="1963"/>
      <c r="L30" s="708"/>
      <c r="M30" s="708"/>
      <c r="N30" s="708"/>
      <c r="O30" s="708"/>
    </row>
    <row r="31" spans="1:15" x14ac:dyDescent="0.25">
      <c r="A31" s="823" t="s">
        <v>5024</v>
      </c>
      <c r="B31" s="824"/>
      <c r="C31" s="825"/>
      <c r="D31" s="708"/>
      <c r="E31" s="1961"/>
      <c r="F31" s="1962"/>
      <c r="G31" s="1962"/>
      <c r="H31" s="1962"/>
      <c r="I31" s="1962"/>
      <c r="J31" s="1962"/>
      <c r="K31" s="1963"/>
      <c r="L31" s="708"/>
      <c r="N31" s="708"/>
      <c r="O31" s="708"/>
    </row>
    <row r="32" spans="1:15" ht="15.75" thickBot="1" x14ac:dyDescent="0.3">
      <c r="A32" s="806" t="s">
        <v>157</v>
      </c>
      <c r="B32" s="807"/>
      <c r="C32" s="826"/>
      <c r="D32" s="708"/>
      <c r="E32" s="1961"/>
      <c r="F32" s="1962"/>
      <c r="G32" s="1962"/>
      <c r="H32" s="1962"/>
      <c r="I32" s="1962"/>
      <c r="J32" s="1962"/>
      <c r="K32" s="1963"/>
      <c r="L32" s="708"/>
      <c r="M32" s="708"/>
      <c r="N32" s="708"/>
      <c r="O32" s="708"/>
    </row>
    <row r="33" spans="1:15" x14ac:dyDescent="0.25">
      <c r="A33" s="708"/>
      <c r="B33" s="708"/>
      <c r="C33" s="708"/>
      <c r="D33" s="708"/>
      <c r="E33" s="1961"/>
      <c r="F33" s="1962"/>
      <c r="G33" s="1962"/>
      <c r="H33" s="1962"/>
      <c r="I33" s="1962"/>
      <c r="J33" s="1962"/>
      <c r="K33" s="1963"/>
      <c r="L33" s="708"/>
      <c r="M33" s="708"/>
      <c r="N33" s="708"/>
      <c r="O33" s="708"/>
    </row>
    <row r="34" spans="1:15" x14ac:dyDescent="0.25">
      <c r="A34" s="708"/>
      <c r="B34" s="708"/>
      <c r="C34" s="708"/>
      <c r="D34" s="708"/>
      <c r="E34" s="1961"/>
      <c r="F34" s="1962"/>
      <c r="G34" s="1962"/>
      <c r="H34" s="1962"/>
      <c r="I34" s="1962"/>
      <c r="J34" s="1962"/>
      <c r="K34" s="1963"/>
      <c r="L34" s="708"/>
      <c r="M34" s="708"/>
      <c r="N34" s="708"/>
      <c r="O34" s="708"/>
    </row>
    <row r="35" spans="1:15" x14ac:dyDescent="0.25">
      <c r="A35" s="708"/>
      <c r="B35" s="708"/>
      <c r="C35" s="708"/>
      <c r="D35" s="708"/>
      <c r="E35" s="1961"/>
      <c r="F35" s="1962"/>
      <c r="G35" s="1962"/>
      <c r="H35" s="1962"/>
      <c r="I35" s="1962"/>
      <c r="J35" s="1962"/>
      <c r="K35" s="1963"/>
      <c r="L35" s="708"/>
      <c r="M35" s="708"/>
      <c r="N35" s="708"/>
      <c r="O35" s="708"/>
    </row>
    <row r="36" spans="1:15" x14ac:dyDescent="0.25">
      <c r="A36" s="708"/>
      <c r="B36" s="708"/>
      <c r="C36" s="708"/>
      <c r="D36" s="708"/>
      <c r="E36" s="1961"/>
      <c r="F36" s="1962"/>
      <c r="G36" s="1962"/>
      <c r="H36" s="1962"/>
      <c r="I36" s="1962"/>
      <c r="J36" s="1962"/>
      <c r="K36" s="1963"/>
      <c r="L36" s="708"/>
      <c r="M36" s="708"/>
      <c r="N36" s="708"/>
      <c r="O36" s="708"/>
    </row>
    <row r="37" spans="1:15" x14ac:dyDescent="0.25">
      <c r="A37" s="708"/>
      <c r="B37" s="708"/>
      <c r="C37" s="708"/>
      <c r="D37" s="708"/>
      <c r="E37" s="1961"/>
      <c r="F37" s="1962"/>
      <c r="G37" s="1962"/>
      <c r="H37" s="1962"/>
      <c r="I37" s="1962"/>
      <c r="J37" s="1962"/>
      <c r="K37" s="1963"/>
      <c r="L37" s="708"/>
      <c r="M37" s="708"/>
      <c r="N37" s="708"/>
      <c r="O37" s="708"/>
    </row>
    <row r="38" spans="1:15" x14ac:dyDescent="0.25">
      <c r="A38" s="708"/>
      <c r="B38" s="708"/>
      <c r="C38" s="708"/>
      <c r="D38" s="708"/>
      <c r="E38" s="1961"/>
      <c r="F38" s="1962"/>
      <c r="G38" s="1962"/>
      <c r="H38" s="1962"/>
      <c r="I38" s="1962"/>
      <c r="J38" s="1962"/>
      <c r="K38" s="1963"/>
      <c r="L38" s="708"/>
      <c r="M38" s="708"/>
      <c r="N38" s="708"/>
      <c r="O38" s="708"/>
    </row>
    <row r="39" spans="1:15" x14ac:dyDescent="0.25">
      <c r="A39" s="708"/>
      <c r="B39" s="708"/>
      <c r="C39" s="708"/>
      <c r="D39" s="708"/>
      <c r="E39" s="1961"/>
      <c r="F39" s="1962"/>
      <c r="G39" s="1962"/>
      <c r="H39" s="1962"/>
      <c r="I39" s="1962"/>
      <c r="J39" s="1962"/>
      <c r="K39" s="1963"/>
      <c r="L39" s="708"/>
      <c r="M39" s="708"/>
      <c r="N39" s="708"/>
      <c r="O39" s="708"/>
    </row>
    <row r="40" spans="1:15" x14ac:dyDescent="0.25">
      <c r="A40" s="708"/>
      <c r="B40" s="708"/>
      <c r="C40" s="708"/>
      <c r="D40" s="708"/>
      <c r="E40" s="1961"/>
      <c r="F40" s="1962"/>
      <c r="G40" s="1962"/>
      <c r="H40" s="1962"/>
      <c r="I40" s="1962"/>
      <c r="J40" s="1962"/>
      <c r="K40" s="1963"/>
      <c r="L40" s="708"/>
      <c r="M40" s="708"/>
      <c r="N40" s="708"/>
      <c r="O40" s="708"/>
    </row>
    <row r="41" spans="1:15" x14ac:dyDescent="0.25">
      <c r="A41" s="708"/>
      <c r="B41" s="708"/>
      <c r="C41" s="708"/>
      <c r="D41" s="708"/>
      <c r="E41" s="1961"/>
      <c r="F41" s="1962"/>
      <c r="G41" s="1962"/>
      <c r="H41" s="1962"/>
      <c r="I41" s="1962"/>
      <c r="J41" s="1962"/>
      <c r="K41" s="1963"/>
      <c r="L41" s="708"/>
      <c r="M41" s="708"/>
      <c r="N41" s="708"/>
      <c r="O41" s="708"/>
    </row>
    <row r="42" spans="1:15" x14ac:dyDescent="0.25">
      <c r="A42" s="708"/>
      <c r="B42" s="708"/>
      <c r="C42" s="708"/>
      <c r="D42" s="708"/>
      <c r="E42" s="1961"/>
      <c r="F42" s="1962"/>
      <c r="G42" s="1962"/>
      <c r="H42" s="1962"/>
      <c r="I42" s="1962"/>
      <c r="J42" s="1962"/>
      <c r="K42" s="1963"/>
      <c r="L42" s="708"/>
      <c r="M42" s="708"/>
      <c r="N42" s="708"/>
      <c r="O42" s="708"/>
    </row>
    <row r="43" spans="1:15" x14ac:dyDescent="0.25">
      <c r="A43" s="708"/>
      <c r="B43" s="708"/>
      <c r="C43" s="708"/>
      <c r="D43" s="708"/>
      <c r="E43" s="1961"/>
      <c r="F43" s="1962"/>
      <c r="G43" s="1962"/>
      <c r="H43" s="1962"/>
      <c r="I43" s="1962"/>
      <c r="J43" s="1962"/>
      <c r="K43" s="1963"/>
      <c r="L43" s="708"/>
      <c r="M43" s="708"/>
      <c r="N43" s="708"/>
      <c r="O43" s="708"/>
    </row>
    <row r="44" spans="1:15" x14ac:dyDescent="0.25">
      <c r="A44" s="708"/>
      <c r="B44" s="708"/>
      <c r="C44" s="708"/>
      <c r="D44" s="708"/>
      <c r="E44" s="1961"/>
      <c r="F44" s="1962"/>
      <c r="G44" s="1962"/>
      <c r="H44" s="1962"/>
      <c r="I44" s="1962"/>
      <c r="J44" s="1962"/>
      <c r="K44" s="1963"/>
      <c r="L44" s="708"/>
      <c r="M44" s="708"/>
      <c r="N44" s="708"/>
      <c r="O44" s="708"/>
    </row>
    <row r="45" spans="1:15" x14ac:dyDescent="0.25">
      <c r="A45" s="708"/>
      <c r="B45" s="708"/>
      <c r="C45" s="708"/>
      <c r="D45" s="708"/>
      <c r="E45" s="1961"/>
      <c r="F45" s="1962"/>
      <c r="G45" s="1962"/>
      <c r="H45" s="1962"/>
      <c r="I45" s="1962"/>
      <c r="J45" s="1962"/>
      <c r="K45" s="1963"/>
      <c r="L45" s="708"/>
      <c r="M45" s="708"/>
      <c r="N45" s="708"/>
      <c r="O45" s="708"/>
    </row>
    <row r="46" spans="1:15" x14ac:dyDescent="0.25">
      <c r="A46" s="708"/>
      <c r="B46" s="708"/>
      <c r="C46" s="708"/>
      <c r="D46" s="708"/>
      <c r="E46" s="1964"/>
      <c r="F46" s="1965"/>
      <c r="G46" s="1965"/>
      <c r="H46" s="1965"/>
      <c r="I46" s="1965"/>
      <c r="J46" s="1965"/>
      <c r="K46" s="1966"/>
      <c r="L46" s="708"/>
      <c r="M46" s="708"/>
      <c r="N46" s="708"/>
      <c r="O46" s="708"/>
    </row>
    <row r="47" spans="1:15" x14ac:dyDescent="0.25">
      <c r="A47" s="708"/>
      <c r="B47" s="708"/>
      <c r="C47" s="708"/>
      <c r="D47" s="708"/>
      <c r="E47" s="708"/>
      <c r="F47" s="708"/>
      <c r="G47" s="708"/>
      <c r="H47" s="708"/>
      <c r="I47" s="708"/>
      <c r="J47" s="708"/>
      <c r="K47" s="708"/>
      <c r="L47" s="708"/>
      <c r="M47" s="708"/>
      <c r="N47" s="708"/>
      <c r="O47" s="708"/>
    </row>
    <row r="48" spans="1:15" x14ac:dyDescent="0.25">
      <c r="A48" s="1975" t="s">
        <v>5025</v>
      </c>
      <c r="B48" s="1976"/>
      <c r="C48" s="1976"/>
      <c r="D48" s="1976"/>
      <c r="E48" s="1976"/>
      <c r="F48" s="1976"/>
      <c r="G48" s="1976"/>
      <c r="H48" s="1976"/>
      <c r="I48" s="1976"/>
      <c r="J48" s="1976"/>
      <c r="K48" s="1976"/>
      <c r="L48" s="1976"/>
      <c r="M48" s="1977"/>
      <c r="N48" s="708"/>
      <c r="O48" s="708"/>
    </row>
    <row r="49" spans="1:15" x14ac:dyDescent="0.25">
      <c r="A49" s="708"/>
      <c r="B49" s="708"/>
      <c r="C49" s="708"/>
      <c r="D49" s="708"/>
      <c r="E49" s="708"/>
      <c r="F49" s="708"/>
      <c r="G49" s="708"/>
      <c r="H49" s="708"/>
      <c r="I49" s="708"/>
      <c r="J49" s="708"/>
      <c r="K49" s="708"/>
      <c r="L49" s="708"/>
      <c r="M49" s="708"/>
      <c r="N49" s="708"/>
      <c r="O49" s="708"/>
    </row>
    <row r="50" spans="1:15" x14ac:dyDescent="0.25">
      <c r="A50" s="708" t="s">
        <v>5026</v>
      </c>
      <c r="B50" s="708"/>
      <c r="C50" s="1969"/>
      <c r="D50" s="1970"/>
      <c r="E50" s="1970"/>
      <c r="F50" s="1970"/>
      <c r="G50" s="1971"/>
      <c r="H50" s="708"/>
      <c r="I50" s="708"/>
      <c r="J50" s="708"/>
      <c r="K50" s="708"/>
      <c r="L50" s="708"/>
      <c r="M50" s="708"/>
      <c r="N50" s="708"/>
      <c r="O50" s="708"/>
    </row>
    <row r="51" spans="1:15" x14ac:dyDescent="0.25">
      <c r="A51" s="708"/>
      <c r="B51" s="708"/>
      <c r="C51" s="708"/>
      <c r="D51" s="708"/>
      <c r="E51" s="708"/>
      <c r="F51" s="708"/>
      <c r="G51" s="708"/>
      <c r="H51" s="708"/>
      <c r="I51" s="708"/>
      <c r="J51" s="708"/>
      <c r="K51" s="708"/>
      <c r="L51" s="708"/>
      <c r="M51" s="708"/>
      <c r="N51" s="708"/>
      <c r="O51" s="708"/>
    </row>
    <row r="52" spans="1:15" x14ac:dyDescent="0.25">
      <c r="A52" s="708" t="s">
        <v>5027</v>
      </c>
      <c r="B52" s="827"/>
      <c r="C52" s="708" t="s">
        <v>5028</v>
      </c>
      <c r="D52" s="708"/>
      <c r="E52" s="708" t="s">
        <v>5029</v>
      </c>
      <c r="F52" s="827"/>
      <c r="G52" s="708" t="s">
        <v>5030</v>
      </c>
      <c r="H52" s="708"/>
      <c r="J52" s="808" t="s">
        <v>5031</v>
      </c>
      <c r="K52" s="827"/>
      <c r="L52" s="708" t="s">
        <v>5030</v>
      </c>
      <c r="M52" s="708"/>
      <c r="N52" s="708"/>
      <c r="O52" s="708"/>
    </row>
    <row r="53" spans="1:15" x14ac:dyDescent="0.25">
      <c r="A53" s="708"/>
      <c r="B53" s="708"/>
      <c r="C53" s="708"/>
      <c r="D53" s="708"/>
      <c r="E53" s="708"/>
      <c r="F53" s="708"/>
      <c r="G53" s="708"/>
      <c r="H53" s="708"/>
      <c r="I53" s="708"/>
      <c r="J53" s="708"/>
      <c r="K53" s="708"/>
      <c r="L53" s="708"/>
      <c r="M53" s="708"/>
      <c r="N53" s="708"/>
      <c r="O53" s="708"/>
    </row>
    <row r="54" spans="1:15" x14ac:dyDescent="0.25">
      <c r="A54" s="708" t="s">
        <v>5032</v>
      </c>
      <c r="B54" s="708"/>
      <c r="C54" s="708"/>
      <c r="D54" s="1969"/>
      <c r="E54" s="1970"/>
      <c r="F54" s="1970"/>
      <c r="G54" s="1970"/>
      <c r="H54" s="1970"/>
      <c r="I54" s="1971"/>
      <c r="J54" s="708"/>
      <c r="K54" s="708"/>
      <c r="L54" s="708"/>
      <c r="M54" s="708"/>
      <c r="N54" s="708"/>
      <c r="O54" s="708"/>
    </row>
    <row r="55" spans="1:15" x14ac:dyDescent="0.25">
      <c r="A55" s="708"/>
      <c r="B55" s="708"/>
      <c r="C55" s="708"/>
      <c r="D55" s="809"/>
      <c r="E55" s="809"/>
      <c r="F55" s="809"/>
      <c r="G55" s="809"/>
      <c r="H55" s="809"/>
      <c r="I55" s="809"/>
      <c r="J55" s="708"/>
      <c r="K55" s="708"/>
      <c r="L55" s="708"/>
      <c r="M55" s="708"/>
      <c r="N55" s="708"/>
      <c r="O55" s="708"/>
    </row>
    <row r="56" spans="1:15" x14ac:dyDescent="0.25">
      <c r="A56" s="708" t="s">
        <v>5033</v>
      </c>
      <c r="B56" s="708"/>
      <c r="C56" s="827"/>
      <c r="D56" s="809"/>
      <c r="E56" s="809"/>
      <c r="F56" s="809"/>
      <c r="G56" s="809"/>
      <c r="H56" s="809"/>
      <c r="I56" s="809"/>
      <c r="J56" s="708"/>
      <c r="K56" s="708"/>
      <c r="L56" s="708"/>
      <c r="M56" s="708"/>
      <c r="N56" s="708"/>
      <c r="O56" s="708"/>
    </row>
    <row r="57" spans="1:15" ht="15.75" thickBot="1" x14ac:dyDescent="0.3">
      <c r="A57" s="708"/>
      <c r="B57" s="708"/>
      <c r="C57" s="708"/>
      <c r="D57" s="708"/>
      <c r="E57" s="708"/>
      <c r="F57" s="708"/>
      <c r="G57" s="708"/>
      <c r="H57" s="708"/>
      <c r="I57" s="708"/>
      <c r="J57" s="708"/>
      <c r="K57" s="708"/>
      <c r="L57" s="708"/>
      <c r="M57" s="708"/>
      <c r="N57" s="708"/>
      <c r="O57" s="708"/>
    </row>
    <row r="58" spans="1:15" ht="42.75" customHeight="1" x14ac:dyDescent="0.25">
      <c r="A58" s="708"/>
      <c r="B58" s="708"/>
      <c r="C58" s="810" t="s">
        <v>313</v>
      </c>
      <c r="D58" s="1025"/>
      <c r="E58" s="1025"/>
      <c r="F58" s="1025"/>
      <c r="G58" s="1025"/>
      <c r="H58" s="1025"/>
      <c r="I58" s="1025"/>
      <c r="J58" s="1024"/>
      <c r="K58" s="708"/>
      <c r="L58" s="708"/>
      <c r="M58" s="708"/>
      <c r="N58" s="708"/>
      <c r="O58" s="708"/>
    </row>
    <row r="59" spans="1:15" x14ac:dyDescent="0.25">
      <c r="A59" s="708"/>
      <c r="C59" s="805" t="s">
        <v>5013</v>
      </c>
      <c r="D59" s="824"/>
      <c r="E59" s="824"/>
      <c r="F59" s="828"/>
      <c r="G59" s="828"/>
      <c r="H59" s="828"/>
      <c r="I59" s="828"/>
      <c r="J59" s="829"/>
      <c r="K59" s="708"/>
      <c r="L59" s="708"/>
      <c r="M59" s="708"/>
      <c r="N59" s="708"/>
      <c r="O59" s="708"/>
    </row>
    <row r="60" spans="1:15" x14ac:dyDescent="0.25">
      <c r="A60" s="708"/>
      <c r="C60" s="805" t="s">
        <v>5014</v>
      </c>
      <c r="D60" s="824"/>
      <c r="E60" s="824"/>
      <c r="F60" s="828"/>
      <c r="G60" s="828"/>
      <c r="H60" s="828"/>
      <c r="I60" s="828"/>
      <c r="J60" s="829"/>
      <c r="K60" s="708"/>
      <c r="L60" s="708"/>
      <c r="M60" s="708"/>
      <c r="N60" s="708"/>
      <c r="O60" s="708"/>
    </row>
    <row r="61" spans="1:15" x14ac:dyDescent="0.25">
      <c r="A61" s="708"/>
      <c r="C61" s="805" t="s">
        <v>5015</v>
      </c>
      <c r="D61" s="824"/>
      <c r="E61" s="824"/>
      <c r="F61" s="828"/>
      <c r="G61" s="828"/>
      <c r="H61" s="828"/>
      <c r="I61" s="828"/>
      <c r="J61" s="829"/>
      <c r="K61" s="708"/>
      <c r="L61" s="708"/>
      <c r="M61" s="708"/>
      <c r="N61" s="708"/>
      <c r="O61" s="708"/>
    </row>
    <row r="62" spans="1:15" x14ac:dyDescent="0.25">
      <c r="A62" s="708"/>
      <c r="C62" s="805" t="s">
        <v>5016</v>
      </c>
      <c r="D62" s="824"/>
      <c r="E62" s="824"/>
      <c r="F62" s="828"/>
      <c r="G62" s="828"/>
      <c r="H62" s="828"/>
      <c r="I62" s="828"/>
      <c r="J62" s="829"/>
      <c r="K62" s="708"/>
      <c r="L62" s="708"/>
      <c r="M62" s="708"/>
      <c r="N62" s="708"/>
      <c r="O62" s="708"/>
    </row>
    <row r="63" spans="1:15" x14ac:dyDescent="0.25">
      <c r="A63" s="708"/>
      <c r="C63" s="805" t="s">
        <v>5017</v>
      </c>
      <c r="D63" s="824"/>
      <c r="E63" s="824"/>
      <c r="F63" s="828"/>
      <c r="G63" s="828"/>
      <c r="H63" s="828"/>
      <c r="I63" s="828"/>
      <c r="J63" s="829"/>
      <c r="K63" s="708"/>
      <c r="L63" s="708"/>
      <c r="M63" s="708"/>
      <c r="N63" s="708"/>
      <c r="O63" s="708"/>
    </row>
    <row r="64" spans="1:15" x14ac:dyDescent="0.25">
      <c r="A64" s="708"/>
      <c r="C64" s="805" t="s">
        <v>5018</v>
      </c>
      <c r="D64" s="824"/>
      <c r="E64" s="824"/>
      <c r="F64" s="828"/>
      <c r="G64" s="828"/>
      <c r="H64" s="828"/>
      <c r="I64" s="828"/>
      <c r="J64" s="829"/>
      <c r="K64" s="708"/>
      <c r="L64" s="708"/>
      <c r="M64" s="708"/>
      <c r="N64" s="708"/>
      <c r="O64" s="708"/>
    </row>
    <row r="65" spans="1:15" x14ac:dyDescent="0.25">
      <c r="A65" s="708"/>
      <c r="C65" s="805" t="s">
        <v>5019</v>
      </c>
      <c r="D65" s="824"/>
      <c r="E65" s="824"/>
      <c r="F65" s="828"/>
      <c r="G65" s="828"/>
      <c r="H65" s="828"/>
      <c r="I65" s="828"/>
      <c r="J65" s="829"/>
      <c r="K65" s="708"/>
      <c r="L65" s="708"/>
      <c r="M65" s="708"/>
      <c r="N65" s="708"/>
      <c r="O65" s="708"/>
    </row>
    <row r="66" spans="1:15" x14ac:dyDescent="0.25">
      <c r="A66" s="708"/>
      <c r="C66" s="805" t="s">
        <v>5020</v>
      </c>
      <c r="D66" s="824"/>
      <c r="E66" s="824"/>
      <c r="F66" s="828"/>
      <c r="G66" s="828"/>
      <c r="H66" s="828"/>
      <c r="I66" s="828"/>
      <c r="J66" s="829"/>
      <c r="K66" s="708"/>
      <c r="L66" s="708"/>
      <c r="M66" s="708"/>
      <c r="N66" s="708"/>
      <c r="O66" s="708"/>
    </row>
    <row r="67" spans="1:15" x14ac:dyDescent="0.25">
      <c r="A67" s="708"/>
      <c r="C67" s="805" t="s">
        <v>5021</v>
      </c>
      <c r="D67" s="824"/>
      <c r="E67" s="824"/>
      <c r="F67" s="828"/>
      <c r="G67" s="828"/>
      <c r="H67" s="828"/>
      <c r="I67" s="828"/>
      <c r="J67" s="829"/>
      <c r="K67" s="708"/>
      <c r="L67" s="708"/>
      <c r="M67" s="708"/>
      <c r="N67" s="708"/>
      <c r="O67" s="708"/>
    </row>
    <row r="68" spans="1:15" x14ac:dyDescent="0.25">
      <c r="A68" s="708"/>
      <c r="C68" s="805" t="s">
        <v>5022</v>
      </c>
      <c r="D68" s="824"/>
      <c r="E68" s="824"/>
      <c r="F68" s="828"/>
      <c r="G68" s="828"/>
      <c r="H68" s="828"/>
      <c r="I68" s="828"/>
      <c r="J68" s="829"/>
      <c r="K68" s="708"/>
      <c r="L68" s="708"/>
      <c r="M68" s="708"/>
      <c r="N68" s="708"/>
      <c r="O68" s="708"/>
    </row>
    <row r="69" spans="1:15" x14ac:dyDescent="0.25">
      <c r="A69" s="708"/>
      <c r="C69" s="805" t="s">
        <v>5023</v>
      </c>
      <c r="D69" s="824"/>
      <c r="E69" s="824"/>
      <c r="F69" s="828"/>
      <c r="G69" s="828"/>
      <c r="H69" s="828"/>
      <c r="I69" s="828"/>
      <c r="J69" s="829"/>
      <c r="K69" s="708"/>
      <c r="L69" s="708"/>
      <c r="M69" s="708"/>
      <c r="N69" s="708"/>
      <c r="O69" s="708"/>
    </row>
    <row r="70" spans="1:15" x14ac:dyDescent="0.25">
      <c r="A70" s="708"/>
      <c r="C70" s="805" t="s">
        <v>5024</v>
      </c>
      <c r="D70" s="824"/>
      <c r="E70" s="824"/>
      <c r="F70" s="828"/>
      <c r="G70" s="828"/>
      <c r="H70" s="828"/>
      <c r="I70" s="828"/>
      <c r="J70" s="829"/>
      <c r="K70" s="708"/>
      <c r="L70" s="708"/>
      <c r="M70" s="708"/>
      <c r="N70" s="708"/>
      <c r="O70" s="708"/>
    </row>
    <row r="71" spans="1:15" ht="15.75" thickBot="1" x14ac:dyDescent="0.3">
      <c r="A71" s="708"/>
      <c r="C71" s="806" t="s">
        <v>5034</v>
      </c>
      <c r="D71" s="830"/>
      <c r="E71" s="830"/>
      <c r="F71" s="831"/>
      <c r="G71" s="830"/>
      <c r="H71" s="830"/>
      <c r="I71" s="830"/>
      <c r="J71" s="832"/>
      <c r="K71" s="708"/>
      <c r="L71" s="708"/>
      <c r="M71" s="708"/>
      <c r="N71" s="708"/>
      <c r="O71" s="708"/>
    </row>
    <row r="72" spans="1:15" x14ac:dyDescent="0.25">
      <c r="A72" s="708"/>
      <c r="B72" s="708"/>
      <c r="C72" s="708"/>
      <c r="D72" s="708"/>
      <c r="E72" s="708"/>
      <c r="F72" s="708"/>
      <c r="G72" s="708"/>
      <c r="H72" s="708"/>
      <c r="I72" s="708"/>
      <c r="J72" s="708"/>
      <c r="K72" s="708"/>
      <c r="L72" s="708"/>
      <c r="M72" s="708"/>
      <c r="N72" s="708"/>
      <c r="O72" s="708"/>
    </row>
    <row r="73" spans="1:15" x14ac:dyDescent="0.25">
      <c r="A73" s="1975" t="s">
        <v>5035</v>
      </c>
      <c r="B73" s="1976"/>
      <c r="C73" s="1976"/>
      <c r="D73" s="1976"/>
      <c r="E73" s="1976"/>
      <c r="F73" s="1976"/>
      <c r="G73" s="1976"/>
      <c r="H73" s="1976"/>
      <c r="I73" s="1976"/>
      <c r="J73" s="1976"/>
      <c r="K73" s="1976"/>
      <c r="L73" s="1976"/>
      <c r="M73" s="1977"/>
      <c r="N73" s="708"/>
      <c r="O73" s="708"/>
    </row>
    <row r="74" spans="1:15" x14ac:dyDescent="0.25">
      <c r="A74" s="708"/>
      <c r="B74" s="708"/>
      <c r="C74" s="708"/>
      <c r="D74" s="708"/>
      <c r="E74" s="708"/>
      <c r="F74" s="708"/>
      <c r="G74" s="708"/>
      <c r="H74" s="708"/>
      <c r="I74" s="708"/>
      <c r="J74" s="708"/>
      <c r="K74" s="708"/>
      <c r="L74" s="708"/>
      <c r="M74" s="708"/>
      <c r="N74" s="708"/>
      <c r="O74" s="708"/>
    </row>
    <row r="75" spans="1:15" x14ac:dyDescent="0.25">
      <c r="A75" s="708" t="s">
        <v>5026</v>
      </c>
      <c r="B75" s="708"/>
      <c r="C75" s="1969"/>
      <c r="D75" s="1970"/>
      <c r="E75" s="1970"/>
      <c r="F75" s="1970"/>
      <c r="G75" s="1971"/>
      <c r="H75" s="708"/>
      <c r="I75" s="708"/>
      <c r="J75" s="708"/>
      <c r="K75" s="708"/>
      <c r="L75" s="708"/>
      <c r="M75" s="708"/>
      <c r="N75" s="708"/>
      <c r="O75" s="708"/>
    </row>
    <row r="76" spans="1:15" x14ac:dyDescent="0.25">
      <c r="A76" s="708"/>
      <c r="B76" s="708"/>
      <c r="C76" s="708"/>
      <c r="D76" s="708"/>
      <c r="E76" s="708"/>
      <c r="F76" s="708"/>
      <c r="G76" s="708"/>
      <c r="H76" s="708"/>
      <c r="I76" s="708"/>
      <c r="J76" s="708"/>
      <c r="K76" s="708"/>
      <c r="L76" s="708"/>
      <c r="M76" s="708"/>
      <c r="N76" s="708"/>
      <c r="O76" s="708"/>
    </row>
    <row r="77" spans="1:15" x14ac:dyDescent="0.25">
      <c r="A77" s="708" t="s">
        <v>5032</v>
      </c>
      <c r="B77" s="708"/>
      <c r="C77" s="708"/>
      <c r="D77" s="1969"/>
      <c r="E77" s="1970"/>
      <c r="F77" s="1970"/>
      <c r="G77" s="1970"/>
      <c r="H77" s="1970"/>
      <c r="I77" s="1971"/>
      <c r="J77" s="708"/>
      <c r="K77" s="708"/>
      <c r="L77" s="708"/>
      <c r="M77" s="708"/>
      <c r="N77" s="708"/>
      <c r="O77" s="708"/>
    </row>
    <row r="78" spans="1:15" ht="15.75" thickBot="1" x14ac:dyDescent="0.3">
      <c r="A78" s="708"/>
      <c r="B78" s="708"/>
      <c r="C78" s="708"/>
      <c r="D78" s="708"/>
      <c r="E78" s="708"/>
      <c r="F78" s="708"/>
      <c r="G78" s="708"/>
      <c r="H78" s="708"/>
      <c r="I78" s="708"/>
      <c r="J78" s="708"/>
      <c r="K78" s="708"/>
      <c r="L78" s="708"/>
      <c r="M78" s="708"/>
      <c r="N78" s="708"/>
      <c r="O78" s="708"/>
    </row>
    <row r="79" spans="1:15" ht="25.5" x14ac:dyDescent="0.25">
      <c r="B79" s="811"/>
      <c r="C79" s="812" t="s">
        <v>313</v>
      </c>
      <c r="D79" s="813" t="s">
        <v>5036</v>
      </c>
      <c r="E79" s="814" t="s">
        <v>5037</v>
      </c>
      <c r="H79" s="815"/>
      <c r="I79" s="815"/>
      <c r="J79" s="708"/>
      <c r="K79" s="708"/>
      <c r="L79" s="708"/>
      <c r="M79" s="708"/>
      <c r="N79" s="708"/>
      <c r="O79" s="708"/>
    </row>
    <row r="80" spans="1:15" x14ac:dyDescent="0.25">
      <c r="C80" s="805" t="s">
        <v>5013</v>
      </c>
      <c r="D80" s="827"/>
      <c r="E80" s="833"/>
      <c r="I80" s="322" t="s">
        <v>5038</v>
      </c>
      <c r="K80" s="708"/>
      <c r="L80" s="708"/>
      <c r="M80" s="708"/>
      <c r="N80" s="708"/>
      <c r="O80" s="708"/>
    </row>
    <row r="81" spans="1:15" x14ac:dyDescent="0.25">
      <c r="C81" s="805" t="s">
        <v>5014</v>
      </c>
      <c r="D81" s="827"/>
      <c r="E81" s="833"/>
      <c r="I81" s="816" t="s">
        <v>5039</v>
      </c>
      <c r="J81" s="827"/>
      <c r="K81" s="708"/>
      <c r="L81" s="708"/>
      <c r="M81" s="708"/>
      <c r="N81" s="708"/>
      <c r="O81" s="708"/>
    </row>
    <row r="82" spans="1:15" x14ac:dyDescent="0.25">
      <c r="B82" s="809"/>
      <c r="C82" s="805" t="s">
        <v>5015</v>
      </c>
      <c r="D82" s="827"/>
      <c r="E82" s="833"/>
      <c r="I82" s="817" t="s">
        <v>5040</v>
      </c>
      <c r="J82" s="708"/>
      <c r="K82" s="708"/>
      <c r="L82" s="708"/>
      <c r="M82" s="708"/>
      <c r="N82" s="708"/>
      <c r="O82" s="708"/>
    </row>
    <row r="83" spans="1:15" x14ac:dyDescent="0.25">
      <c r="B83" s="809"/>
      <c r="C83" s="805" t="s">
        <v>5016</v>
      </c>
      <c r="D83" s="827"/>
      <c r="E83" s="833"/>
      <c r="I83" s="816" t="s">
        <v>5041</v>
      </c>
      <c r="J83" s="827"/>
      <c r="K83" s="708"/>
      <c r="L83" s="708"/>
      <c r="M83" s="708"/>
      <c r="N83" s="708"/>
      <c r="O83" s="708"/>
    </row>
    <row r="84" spans="1:15" x14ac:dyDescent="0.25">
      <c r="B84" s="809"/>
      <c r="C84" s="805" t="s">
        <v>5017</v>
      </c>
      <c r="D84" s="827"/>
      <c r="E84" s="833"/>
      <c r="I84" s="816" t="s">
        <v>5042</v>
      </c>
      <c r="J84" s="827"/>
      <c r="K84" s="708"/>
      <c r="L84" s="708"/>
      <c r="M84" s="708"/>
      <c r="N84" s="708"/>
      <c r="O84" s="708"/>
    </row>
    <row r="85" spans="1:15" x14ac:dyDescent="0.25">
      <c r="B85" s="809"/>
      <c r="C85" s="805" t="s">
        <v>5018</v>
      </c>
      <c r="D85" s="827"/>
      <c r="E85" s="833"/>
      <c r="I85" s="816" t="s">
        <v>5043</v>
      </c>
      <c r="J85" s="827"/>
      <c r="K85" s="708"/>
      <c r="L85" s="708"/>
      <c r="M85" s="708"/>
      <c r="N85" s="708"/>
      <c r="O85" s="708"/>
    </row>
    <row r="86" spans="1:15" x14ac:dyDescent="0.25">
      <c r="B86" s="809"/>
      <c r="C86" s="805" t="s">
        <v>5019</v>
      </c>
      <c r="D86" s="827"/>
      <c r="E86" s="833"/>
      <c r="I86" s="816" t="s">
        <v>5044</v>
      </c>
      <c r="J86" s="827"/>
      <c r="K86" s="708"/>
      <c r="L86" s="708"/>
      <c r="M86" s="708"/>
      <c r="N86" s="708"/>
      <c r="O86" s="708"/>
    </row>
    <row r="87" spans="1:15" x14ac:dyDescent="0.25">
      <c r="B87" s="809"/>
      <c r="C87" s="805" t="s">
        <v>5020</v>
      </c>
      <c r="D87" s="827"/>
      <c r="E87" s="833"/>
      <c r="I87" s="816" t="s">
        <v>5045</v>
      </c>
      <c r="J87" s="827"/>
      <c r="K87" s="708"/>
      <c r="L87" s="708"/>
      <c r="M87" s="708"/>
      <c r="N87" s="708"/>
      <c r="O87" s="708"/>
    </row>
    <row r="88" spans="1:15" x14ac:dyDescent="0.25">
      <c r="B88" s="809"/>
      <c r="C88" s="805" t="s">
        <v>5021</v>
      </c>
      <c r="D88" s="827"/>
      <c r="E88" s="833"/>
      <c r="H88" s="816"/>
      <c r="I88" s="816"/>
      <c r="J88" s="708"/>
      <c r="K88" s="708"/>
      <c r="L88" s="708"/>
      <c r="M88" s="708"/>
      <c r="N88" s="708"/>
      <c r="O88" s="708"/>
    </row>
    <row r="89" spans="1:15" x14ac:dyDescent="0.25">
      <c r="A89" s="708"/>
      <c r="B89" s="708"/>
      <c r="C89" s="805" t="s">
        <v>5022</v>
      </c>
      <c r="D89" s="827"/>
      <c r="E89" s="833"/>
      <c r="H89" s="708"/>
      <c r="I89" s="708"/>
      <c r="J89" s="708"/>
      <c r="K89" s="708"/>
      <c r="L89" s="708"/>
      <c r="M89" s="708"/>
      <c r="N89" s="708"/>
      <c r="O89" s="708"/>
    </row>
    <row r="90" spans="1:15" x14ac:dyDescent="0.25">
      <c r="A90" s="708"/>
      <c r="B90" s="811"/>
      <c r="C90" s="805" t="s">
        <v>5023</v>
      </c>
      <c r="D90" s="834"/>
      <c r="E90" s="835"/>
      <c r="H90" s="815"/>
      <c r="I90" s="815"/>
      <c r="J90" s="815" t="s">
        <v>157</v>
      </c>
      <c r="K90" s="708"/>
      <c r="L90" s="708"/>
      <c r="M90" s="708"/>
      <c r="N90" s="708"/>
      <c r="O90" s="708"/>
    </row>
    <row r="91" spans="1:15" x14ac:dyDescent="0.25">
      <c r="A91" s="708"/>
      <c r="B91" s="818"/>
      <c r="C91" s="805" t="s">
        <v>5024</v>
      </c>
      <c r="D91" s="827"/>
      <c r="E91" s="833"/>
      <c r="H91" s="816"/>
      <c r="I91" s="816"/>
      <c r="J91" s="816"/>
      <c r="K91" s="708"/>
      <c r="L91" s="708"/>
      <c r="M91" s="708"/>
      <c r="N91" s="708"/>
      <c r="O91" s="708"/>
    </row>
    <row r="92" spans="1:15" ht="15.75" thickBot="1" x14ac:dyDescent="0.3">
      <c r="A92" s="708"/>
      <c r="B92" s="818"/>
      <c r="C92" s="806" t="s">
        <v>4770</v>
      </c>
      <c r="D92" s="830"/>
      <c r="E92" s="836"/>
      <c r="H92" s="816"/>
      <c r="I92" s="816"/>
      <c r="J92" s="816"/>
      <c r="K92" s="708"/>
      <c r="L92" s="708"/>
      <c r="M92" s="708"/>
      <c r="N92" s="708"/>
      <c r="O92" s="708"/>
    </row>
    <row r="93" spans="1:15" x14ac:dyDescent="0.25">
      <c r="A93" s="708"/>
      <c r="B93" s="708"/>
      <c r="C93" s="708"/>
      <c r="D93" s="708"/>
      <c r="E93" s="708"/>
      <c r="F93" s="708"/>
      <c r="G93" s="708"/>
      <c r="H93" s="708"/>
      <c r="I93" s="708"/>
      <c r="J93" s="708"/>
      <c r="K93" s="708"/>
      <c r="L93" s="708"/>
      <c r="M93" s="708"/>
      <c r="N93" s="708"/>
      <c r="O93" s="708"/>
    </row>
    <row r="94" spans="1:15" x14ac:dyDescent="0.25">
      <c r="A94" s="1975" t="s">
        <v>5046</v>
      </c>
      <c r="B94" s="1976"/>
      <c r="C94" s="1976"/>
      <c r="D94" s="1976"/>
      <c r="E94" s="1976"/>
      <c r="F94" s="1976"/>
      <c r="G94" s="1976"/>
      <c r="H94" s="1976"/>
      <c r="I94" s="1976"/>
      <c r="J94" s="1976"/>
      <c r="K94" s="1976"/>
      <c r="L94" s="1976"/>
      <c r="M94" s="1977"/>
      <c r="N94" s="708"/>
      <c r="O94" s="708"/>
    </row>
    <row r="95" spans="1:15" x14ac:dyDescent="0.25">
      <c r="A95" s="708"/>
      <c r="B95" s="708"/>
      <c r="C95" s="708"/>
      <c r="D95" s="708"/>
      <c r="E95" s="708"/>
      <c r="F95" s="708"/>
      <c r="G95" s="708"/>
      <c r="H95" s="708"/>
      <c r="I95" s="708"/>
      <c r="J95" s="708"/>
      <c r="K95" s="708"/>
      <c r="L95" s="708"/>
      <c r="M95" s="708"/>
      <c r="N95" s="708"/>
      <c r="O95" s="708"/>
    </row>
    <row r="96" spans="1:15" x14ac:dyDescent="0.25">
      <c r="A96" s="322" t="s">
        <v>5047</v>
      </c>
      <c r="B96" s="708"/>
      <c r="C96" s="708"/>
      <c r="D96" s="708"/>
      <c r="E96" s="708"/>
      <c r="F96" s="708"/>
      <c r="G96" s="322" t="s">
        <v>5048</v>
      </c>
      <c r="H96" s="708"/>
      <c r="I96" s="708"/>
      <c r="J96" s="708"/>
      <c r="K96" s="708"/>
      <c r="L96" s="708"/>
      <c r="M96" s="708"/>
      <c r="N96" s="708"/>
      <c r="O96" s="708"/>
    </row>
    <row r="97" spans="1:15" x14ac:dyDescent="0.25">
      <c r="A97" s="322"/>
      <c r="B97" s="708"/>
      <c r="C97" s="708"/>
      <c r="D97" s="708"/>
      <c r="E97" s="708"/>
      <c r="F97" s="708"/>
      <c r="G97" s="322"/>
      <c r="H97" s="708"/>
      <c r="I97" s="708"/>
      <c r="J97" s="708"/>
      <c r="K97" s="708"/>
      <c r="L97" s="708"/>
      <c r="M97" s="708"/>
      <c r="N97" s="708"/>
      <c r="O97" s="708"/>
    </row>
    <row r="98" spans="1:15" x14ac:dyDescent="0.25">
      <c r="A98" s="708" t="s">
        <v>5049</v>
      </c>
      <c r="B98" s="708"/>
      <c r="C98" s="827">
        <v>1</v>
      </c>
      <c r="D98" s="708"/>
      <c r="E98" s="708"/>
      <c r="F98" s="708"/>
      <c r="G98" s="708" t="s">
        <v>5049</v>
      </c>
      <c r="H98" s="708"/>
      <c r="I98" s="827">
        <v>1</v>
      </c>
      <c r="J98" s="708"/>
      <c r="K98" s="708"/>
      <c r="L98" s="708"/>
      <c r="M98" s="708"/>
      <c r="N98" s="708"/>
      <c r="O98" s="708"/>
    </row>
    <row r="99" spans="1:15" ht="15.75" thickBot="1" x14ac:dyDescent="0.3">
      <c r="A99" s="708"/>
      <c r="B99" s="708"/>
      <c r="C99" s="819"/>
      <c r="D99" s="708"/>
      <c r="E99" s="708"/>
      <c r="F99" s="708"/>
      <c r="G99" s="708"/>
      <c r="H99" s="708"/>
      <c r="I99" s="708"/>
      <c r="J99" s="708"/>
      <c r="K99" s="708"/>
      <c r="L99" s="708"/>
      <c r="M99" s="708"/>
      <c r="N99" s="708"/>
      <c r="O99" s="708"/>
    </row>
    <row r="100" spans="1:15" x14ac:dyDescent="0.25">
      <c r="A100" s="1982" t="s">
        <v>5050</v>
      </c>
      <c r="B100" s="1983"/>
      <c r="C100" s="1983"/>
      <c r="D100" s="820" t="s">
        <v>5051</v>
      </c>
      <c r="E100" s="821" t="s">
        <v>5052</v>
      </c>
      <c r="F100" s="708"/>
      <c r="G100" s="1982" t="s">
        <v>5050</v>
      </c>
      <c r="H100" s="1983"/>
      <c r="I100" s="1983"/>
      <c r="J100" s="820" t="s">
        <v>5051</v>
      </c>
      <c r="K100" s="821" t="s">
        <v>5052</v>
      </c>
      <c r="L100" s="708"/>
      <c r="M100" s="708"/>
      <c r="N100" s="708"/>
      <c r="O100" s="708"/>
    </row>
    <row r="101" spans="1:15" x14ac:dyDescent="0.25">
      <c r="A101" s="1980"/>
      <c r="B101" s="1981"/>
      <c r="C101" s="1981"/>
      <c r="D101" s="827"/>
      <c r="E101" s="825"/>
      <c r="F101" s="708"/>
      <c r="G101" s="1980"/>
      <c r="H101" s="1981"/>
      <c r="I101" s="1981"/>
      <c r="J101" s="827"/>
      <c r="K101" s="825"/>
      <c r="L101" s="708"/>
      <c r="M101" s="708"/>
      <c r="N101" s="708"/>
      <c r="O101" s="708"/>
    </row>
    <row r="102" spans="1:15" x14ac:dyDescent="0.25">
      <c r="A102" s="1980"/>
      <c r="B102" s="1981"/>
      <c r="C102" s="1981"/>
      <c r="D102" s="827"/>
      <c r="E102" s="825"/>
      <c r="F102" s="708"/>
      <c r="G102" s="1980"/>
      <c r="H102" s="1981"/>
      <c r="I102" s="1981"/>
      <c r="J102" s="827"/>
      <c r="K102" s="825"/>
      <c r="L102" s="708"/>
      <c r="M102" s="708"/>
      <c r="N102" s="708"/>
      <c r="O102" s="708"/>
    </row>
    <row r="103" spans="1:15" x14ac:dyDescent="0.25">
      <c r="A103" s="1980"/>
      <c r="B103" s="1981"/>
      <c r="C103" s="1981"/>
      <c r="D103" s="827"/>
      <c r="E103" s="825"/>
      <c r="F103" s="708"/>
      <c r="G103" s="1980"/>
      <c r="H103" s="1981"/>
      <c r="I103" s="1981"/>
      <c r="J103" s="827"/>
      <c r="K103" s="825"/>
      <c r="L103" s="708"/>
      <c r="M103" s="708"/>
      <c r="N103" s="708"/>
      <c r="O103" s="708"/>
    </row>
    <row r="104" spans="1:15" x14ac:dyDescent="0.25">
      <c r="A104" s="1980"/>
      <c r="B104" s="1981"/>
      <c r="C104" s="1981"/>
      <c r="D104" s="827"/>
      <c r="E104" s="825"/>
      <c r="F104" s="708"/>
      <c r="G104" s="1980"/>
      <c r="H104" s="1981"/>
      <c r="I104" s="1981"/>
      <c r="J104" s="827"/>
      <c r="K104" s="825"/>
      <c r="L104" s="708"/>
      <c r="M104" s="708"/>
      <c r="N104" s="708"/>
      <c r="O104" s="708"/>
    </row>
    <row r="105" spans="1:15" x14ac:dyDescent="0.25">
      <c r="A105" s="1980"/>
      <c r="B105" s="1981"/>
      <c r="C105" s="1981"/>
      <c r="D105" s="827"/>
      <c r="E105" s="825"/>
      <c r="F105" s="708"/>
      <c r="G105" s="1980"/>
      <c r="H105" s="1981"/>
      <c r="I105" s="1981"/>
      <c r="J105" s="827"/>
      <c r="K105" s="825"/>
      <c r="L105" s="708"/>
      <c r="M105" s="708"/>
      <c r="N105" s="708"/>
      <c r="O105" s="708"/>
    </row>
    <row r="106" spans="1:15" x14ac:dyDescent="0.25">
      <c r="A106" s="1980"/>
      <c r="B106" s="1981"/>
      <c r="C106" s="1981"/>
      <c r="D106" s="827"/>
      <c r="E106" s="825"/>
      <c r="F106" s="708"/>
      <c r="G106" s="1980"/>
      <c r="H106" s="1981"/>
      <c r="I106" s="1981"/>
      <c r="J106" s="827"/>
      <c r="K106" s="825"/>
      <c r="L106" s="708"/>
      <c r="M106" s="708"/>
      <c r="N106" s="708"/>
      <c r="O106" s="708"/>
    </row>
    <row r="107" spans="1:15" x14ac:dyDescent="0.25">
      <c r="A107" s="1980"/>
      <c r="B107" s="1981"/>
      <c r="C107" s="1981"/>
      <c r="D107" s="827"/>
      <c r="E107" s="825"/>
      <c r="F107" s="708"/>
      <c r="G107" s="1980"/>
      <c r="H107" s="1981"/>
      <c r="I107" s="1981"/>
      <c r="J107" s="827"/>
      <c r="K107" s="825"/>
      <c r="L107" s="708"/>
      <c r="M107" s="708"/>
      <c r="N107" s="708"/>
      <c r="O107" s="708"/>
    </row>
    <row r="108" spans="1:15" x14ac:dyDescent="0.25">
      <c r="A108" s="1980"/>
      <c r="B108" s="1981"/>
      <c r="C108" s="1981"/>
      <c r="D108" s="827"/>
      <c r="E108" s="825"/>
      <c r="F108" s="708"/>
      <c r="G108" s="1980"/>
      <c r="H108" s="1981"/>
      <c r="I108" s="1981"/>
      <c r="J108" s="827"/>
      <c r="K108" s="825"/>
      <c r="L108" s="708"/>
      <c r="M108" s="708"/>
      <c r="N108" s="708"/>
      <c r="O108" s="708"/>
    </row>
    <row r="109" spans="1:15" x14ac:dyDescent="0.25">
      <c r="A109" s="1980"/>
      <c r="B109" s="1981"/>
      <c r="C109" s="1981"/>
      <c r="D109" s="827"/>
      <c r="E109" s="825"/>
      <c r="F109" s="708"/>
      <c r="G109" s="1980"/>
      <c r="H109" s="1981"/>
      <c r="I109" s="1981"/>
      <c r="J109" s="827"/>
      <c r="K109" s="825"/>
      <c r="L109" s="708"/>
      <c r="M109" s="708"/>
      <c r="N109" s="708"/>
      <c r="O109" s="708"/>
    </row>
    <row r="110" spans="1:15" x14ac:dyDescent="0.25">
      <c r="A110" s="1980"/>
      <c r="B110" s="1981"/>
      <c r="C110" s="1981"/>
      <c r="D110" s="827"/>
      <c r="E110" s="825"/>
      <c r="F110" s="708"/>
      <c r="G110" s="1980"/>
      <c r="H110" s="1981"/>
      <c r="I110" s="1981"/>
      <c r="J110" s="827"/>
      <c r="K110" s="825"/>
      <c r="L110" s="708"/>
      <c r="M110" s="708"/>
      <c r="N110" s="708"/>
      <c r="O110" s="708"/>
    </row>
    <row r="111" spans="1:15" x14ac:dyDescent="0.25">
      <c r="A111" s="1990"/>
      <c r="B111" s="1970"/>
      <c r="C111" s="1971"/>
      <c r="D111" s="837"/>
      <c r="E111" s="838"/>
      <c r="F111" s="708"/>
      <c r="G111" s="1990"/>
      <c r="H111" s="1970"/>
      <c r="I111" s="1970"/>
      <c r="J111" s="839"/>
      <c r="K111" s="840"/>
      <c r="L111" s="708"/>
      <c r="M111" s="708"/>
      <c r="N111" s="708"/>
      <c r="O111" s="708"/>
    </row>
    <row r="112" spans="1:15" ht="15.75" thickBot="1" x14ac:dyDescent="0.3">
      <c r="A112" s="1984" t="s">
        <v>4770</v>
      </c>
      <c r="B112" s="1985"/>
      <c r="C112" s="1985"/>
      <c r="D112" s="1986"/>
      <c r="E112" s="832"/>
      <c r="F112" s="708"/>
      <c r="G112" s="1987" t="s">
        <v>4770</v>
      </c>
      <c r="H112" s="1988"/>
      <c r="I112" s="1988"/>
      <c r="J112" s="1989"/>
      <c r="K112" s="832"/>
      <c r="L112" s="708"/>
      <c r="M112" s="708"/>
      <c r="N112" s="708"/>
      <c r="O112" s="708"/>
    </row>
    <row r="113" spans="1:15" x14ac:dyDescent="0.25">
      <c r="A113" s="708"/>
      <c r="B113" s="708"/>
      <c r="C113" s="708"/>
      <c r="D113" s="708"/>
      <c r="E113" s="708"/>
      <c r="F113" s="708"/>
      <c r="G113" s="708"/>
      <c r="H113" s="708"/>
      <c r="I113" s="708"/>
      <c r="J113" s="708"/>
      <c r="K113" s="708"/>
      <c r="L113" s="708"/>
      <c r="M113" s="708"/>
      <c r="N113" s="708"/>
      <c r="O113" s="708"/>
    </row>
    <row r="114" spans="1:15" x14ac:dyDescent="0.25">
      <c r="A114" s="322" t="s">
        <v>359</v>
      </c>
      <c r="B114" s="708"/>
      <c r="C114" s="708"/>
      <c r="D114" s="708"/>
      <c r="E114" s="708"/>
      <c r="F114" s="708"/>
      <c r="G114" s="708"/>
      <c r="H114" s="708"/>
      <c r="I114" s="708"/>
      <c r="J114" s="708"/>
      <c r="K114" s="708"/>
      <c r="L114" s="708"/>
      <c r="M114" s="708"/>
      <c r="N114" s="708"/>
      <c r="O114" s="708"/>
    </row>
    <row r="115" spans="1:15" ht="15.75" thickBot="1" x14ac:dyDescent="0.3">
      <c r="A115" s="708"/>
      <c r="B115" s="708"/>
      <c r="C115" s="708"/>
      <c r="D115" s="708"/>
      <c r="E115" s="708"/>
      <c r="F115" s="708"/>
      <c r="G115" s="708"/>
      <c r="H115" s="708"/>
      <c r="I115" s="708"/>
      <c r="J115" s="708"/>
      <c r="K115" s="708"/>
      <c r="L115" s="708"/>
      <c r="M115" s="708"/>
      <c r="N115" s="708"/>
      <c r="O115" s="708"/>
    </row>
    <row r="116" spans="1:15" x14ac:dyDescent="0.25">
      <c r="A116" s="822" t="s">
        <v>5050</v>
      </c>
      <c r="B116" s="820" t="s">
        <v>5062</v>
      </c>
      <c r="C116" s="820" t="s">
        <v>5063</v>
      </c>
      <c r="D116" s="820" t="s">
        <v>5064</v>
      </c>
      <c r="E116" s="820" t="s">
        <v>5065</v>
      </c>
      <c r="F116" s="820" t="s">
        <v>5066</v>
      </c>
      <c r="G116" s="820" t="s">
        <v>5067</v>
      </c>
      <c r="H116" s="820" t="s">
        <v>5068</v>
      </c>
      <c r="I116" s="820" t="s">
        <v>5069</v>
      </c>
      <c r="J116" s="820" t="s">
        <v>5070</v>
      </c>
      <c r="K116" s="820" t="s">
        <v>5071</v>
      </c>
      <c r="L116" s="820" t="s">
        <v>5072</v>
      </c>
      <c r="M116" s="821" t="s">
        <v>5073</v>
      </c>
      <c r="N116" s="708"/>
      <c r="O116" s="708"/>
    </row>
    <row r="117" spans="1:15" x14ac:dyDescent="0.25">
      <c r="A117" s="823"/>
      <c r="B117" s="1022">
        <v>1</v>
      </c>
      <c r="C117" s="1022">
        <v>1</v>
      </c>
      <c r="D117" s="1022">
        <v>1</v>
      </c>
      <c r="E117" s="1018"/>
      <c r="F117" s="1018"/>
      <c r="G117" s="1018"/>
      <c r="H117" s="1018"/>
      <c r="I117" s="1018"/>
      <c r="J117" s="1018"/>
      <c r="K117" s="1018"/>
      <c r="L117" s="1018"/>
      <c r="M117" s="1019">
        <v>1</v>
      </c>
      <c r="N117" s="708"/>
      <c r="O117" s="708"/>
    </row>
    <row r="118" spans="1:15" x14ac:dyDescent="0.25">
      <c r="A118" s="823"/>
      <c r="B118" s="1018">
        <v>1</v>
      </c>
      <c r="C118" s="1018">
        <v>1</v>
      </c>
      <c r="D118" s="1018">
        <v>1</v>
      </c>
      <c r="E118" s="1018">
        <v>1</v>
      </c>
      <c r="F118" s="1018"/>
      <c r="G118" s="1018"/>
      <c r="H118" s="1018"/>
      <c r="I118" s="1018"/>
      <c r="J118" s="1018"/>
      <c r="K118" s="1018"/>
      <c r="L118" s="1018">
        <v>1</v>
      </c>
      <c r="M118" s="1019">
        <v>1</v>
      </c>
      <c r="N118" s="708"/>
      <c r="O118" s="708"/>
    </row>
    <row r="119" spans="1:15" x14ac:dyDescent="0.25">
      <c r="A119" s="823"/>
      <c r="B119" s="1018"/>
      <c r="C119" s="1018"/>
      <c r="D119" s="1018">
        <v>1</v>
      </c>
      <c r="E119" s="1018">
        <v>1</v>
      </c>
      <c r="F119" s="1018">
        <v>1</v>
      </c>
      <c r="G119" s="1018">
        <v>1</v>
      </c>
      <c r="H119" s="1018">
        <v>1</v>
      </c>
      <c r="I119" s="1018"/>
      <c r="J119" s="1018"/>
      <c r="K119" s="1018"/>
      <c r="L119" s="1018"/>
      <c r="M119" s="1019"/>
      <c r="N119" s="708"/>
      <c r="O119" s="708"/>
    </row>
    <row r="120" spans="1:15" x14ac:dyDescent="0.25">
      <c r="A120" s="823"/>
      <c r="B120" s="1018"/>
      <c r="C120" s="1018"/>
      <c r="D120" s="1018"/>
      <c r="E120" s="1018"/>
      <c r="F120" s="1018"/>
      <c r="G120" s="1018"/>
      <c r="H120" s="1018"/>
      <c r="I120" s="1018"/>
      <c r="J120" s="1018"/>
      <c r="K120" s="1018"/>
      <c r="L120" s="1018"/>
      <c r="M120" s="1019"/>
      <c r="N120" s="708"/>
      <c r="O120" s="708"/>
    </row>
    <row r="121" spans="1:15" x14ac:dyDescent="0.25">
      <c r="A121" s="823"/>
      <c r="B121" s="1018"/>
      <c r="C121" s="1018"/>
      <c r="D121" s="1018"/>
      <c r="E121" s="1018"/>
      <c r="F121" s="1018"/>
      <c r="G121" s="1018"/>
      <c r="H121" s="1018"/>
      <c r="I121" s="1018"/>
      <c r="J121" s="1018"/>
      <c r="K121" s="1018"/>
      <c r="L121" s="1018"/>
      <c r="M121" s="1019"/>
      <c r="N121" s="708"/>
      <c r="O121" s="708"/>
    </row>
    <row r="122" spans="1:15" x14ac:dyDescent="0.25">
      <c r="A122" s="823"/>
      <c r="B122" s="1018"/>
      <c r="C122" s="1018"/>
      <c r="D122" s="1018"/>
      <c r="E122" s="1018"/>
      <c r="F122" s="1018"/>
      <c r="G122" s="1018"/>
      <c r="H122" s="1018"/>
      <c r="I122" s="1018"/>
      <c r="J122" s="1018"/>
      <c r="K122" s="1018"/>
      <c r="L122" s="1018"/>
      <c r="M122" s="1019"/>
      <c r="N122" s="708"/>
      <c r="O122" s="708"/>
    </row>
    <row r="123" spans="1:15" x14ac:dyDescent="0.25">
      <c r="A123" s="823"/>
      <c r="B123" s="1018"/>
      <c r="C123" s="1018"/>
      <c r="D123" s="1018"/>
      <c r="E123" s="1018"/>
      <c r="F123" s="1018"/>
      <c r="G123" s="1018"/>
      <c r="H123" s="1018"/>
      <c r="I123" s="1018"/>
      <c r="J123" s="1018"/>
      <c r="K123" s="1018"/>
      <c r="L123" s="1018"/>
      <c r="M123" s="1019"/>
      <c r="N123" s="708"/>
      <c r="O123" s="708"/>
    </row>
    <row r="124" spans="1:15" x14ac:dyDescent="0.25">
      <c r="A124" s="823"/>
      <c r="B124" s="1018"/>
      <c r="C124" s="1018"/>
      <c r="D124" s="1018"/>
      <c r="E124" s="1018"/>
      <c r="F124" s="1018"/>
      <c r="G124" s="1018"/>
      <c r="H124" s="1018"/>
      <c r="I124" s="1018"/>
      <c r="J124" s="1018"/>
      <c r="K124" s="1018"/>
      <c r="L124" s="1018"/>
      <c r="M124" s="1019"/>
      <c r="N124" s="708"/>
      <c r="O124" s="708"/>
    </row>
    <row r="125" spans="1:15" x14ac:dyDescent="0.25">
      <c r="A125" s="823"/>
      <c r="B125" s="1018"/>
      <c r="C125" s="1018"/>
      <c r="D125" s="1018"/>
      <c r="E125" s="1018"/>
      <c r="F125" s="1018"/>
      <c r="G125" s="1018"/>
      <c r="H125" s="1018"/>
      <c r="I125" s="1018"/>
      <c r="J125" s="1018"/>
      <c r="K125" s="1018"/>
      <c r="L125" s="1018"/>
      <c r="M125" s="1019"/>
      <c r="N125" s="708"/>
      <c r="O125" s="708"/>
    </row>
    <row r="126" spans="1:15" x14ac:dyDescent="0.25">
      <c r="A126" s="823"/>
      <c r="B126" s="1018"/>
      <c r="C126" s="1018"/>
      <c r="D126" s="1018"/>
      <c r="E126" s="1018"/>
      <c r="F126" s="1018"/>
      <c r="G126" s="1018"/>
      <c r="H126" s="1018"/>
      <c r="I126" s="1018"/>
      <c r="J126" s="1018"/>
      <c r="K126" s="1018"/>
      <c r="L126" s="1018"/>
      <c r="M126" s="1019"/>
      <c r="N126" s="708"/>
      <c r="O126" s="708"/>
    </row>
    <row r="127" spans="1:15" ht="15.75" thickBot="1" x14ac:dyDescent="0.3">
      <c r="A127" s="841"/>
      <c r="B127" s="1020"/>
      <c r="C127" s="1020"/>
      <c r="D127" s="1020"/>
      <c r="E127" s="1020"/>
      <c r="F127" s="1020"/>
      <c r="G127" s="1020"/>
      <c r="H127" s="1020"/>
      <c r="I127" s="1020"/>
      <c r="J127" s="1020"/>
      <c r="K127" s="1020"/>
      <c r="L127" s="1020"/>
      <c r="M127" s="1021"/>
      <c r="N127" s="708"/>
      <c r="O127" s="708"/>
    </row>
    <row r="128" spans="1:15" x14ac:dyDescent="0.25">
      <c r="A128" s="708"/>
      <c r="B128" s="708"/>
      <c r="C128" s="708"/>
      <c r="D128" s="708"/>
      <c r="E128" s="708"/>
      <c r="F128" s="708"/>
      <c r="G128" s="708"/>
      <c r="H128" s="708"/>
      <c r="I128" s="708"/>
      <c r="J128" s="708"/>
      <c r="K128" s="708"/>
      <c r="L128" s="708"/>
      <c r="M128" s="708"/>
      <c r="N128" s="708"/>
      <c r="O128" s="708"/>
    </row>
    <row r="129" spans="1:15" x14ac:dyDescent="0.25">
      <c r="A129" s="322" t="s">
        <v>5074</v>
      </c>
      <c r="B129" s="708"/>
      <c r="C129" s="708"/>
      <c r="D129" s="708"/>
      <c r="E129" s="708"/>
      <c r="F129" s="708"/>
      <c r="G129" s="708"/>
      <c r="H129" s="708"/>
      <c r="I129" s="708"/>
      <c r="J129" s="708"/>
      <c r="K129" s="708"/>
      <c r="L129" s="708"/>
      <c r="M129" s="708"/>
      <c r="N129" s="708"/>
      <c r="O129" s="708"/>
    </row>
    <row r="130" spans="1:15" ht="15.75" thickBot="1" x14ac:dyDescent="0.3">
      <c r="A130" s="708"/>
      <c r="B130" s="708"/>
      <c r="C130" s="708"/>
      <c r="D130" s="708"/>
      <c r="E130" s="708"/>
      <c r="F130" s="708"/>
      <c r="G130" s="708"/>
      <c r="H130" s="708"/>
      <c r="I130" s="708"/>
      <c r="J130" s="708"/>
      <c r="K130" s="708"/>
      <c r="L130" s="708"/>
      <c r="M130" s="708"/>
      <c r="N130" s="708"/>
      <c r="O130" s="708"/>
    </row>
    <row r="131" spans="1:15" x14ac:dyDescent="0.25">
      <c r="A131" s="822" t="s">
        <v>5050</v>
      </c>
      <c r="B131" s="820" t="s">
        <v>5062</v>
      </c>
      <c r="C131" s="820" t="s">
        <v>5063</v>
      </c>
      <c r="D131" s="820" t="s">
        <v>5064</v>
      </c>
      <c r="E131" s="820" t="s">
        <v>5065</v>
      </c>
      <c r="F131" s="820" t="s">
        <v>5066</v>
      </c>
      <c r="G131" s="820" t="s">
        <v>5067</v>
      </c>
      <c r="H131" s="820" t="s">
        <v>5068</v>
      </c>
      <c r="I131" s="820" t="s">
        <v>5069</v>
      </c>
      <c r="J131" s="820" t="s">
        <v>5070</v>
      </c>
      <c r="K131" s="820" t="s">
        <v>5071</v>
      </c>
      <c r="L131" s="820" t="s">
        <v>5072</v>
      </c>
      <c r="M131" s="821" t="s">
        <v>5073</v>
      </c>
      <c r="N131" s="708"/>
      <c r="O131" s="708"/>
    </row>
    <row r="132" spans="1:15" x14ac:dyDescent="0.25">
      <c r="A132" s="823"/>
      <c r="B132" s="827">
        <v>1</v>
      </c>
      <c r="C132" s="827">
        <v>1</v>
      </c>
      <c r="D132" s="827">
        <v>1</v>
      </c>
      <c r="E132" s="827"/>
      <c r="F132" s="827"/>
      <c r="G132" s="827"/>
      <c r="H132" s="827"/>
      <c r="I132" s="827"/>
      <c r="J132" s="827"/>
      <c r="K132" s="827"/>
      <c r="L132" s="827"/>
      <c r="M132" s="825">
        <v>1</v>
      </c>
      <c r="N132" s="708"/>
      <c r="O132" s="708"/>
    </row>
    <row r="133" spans="1:15" x14ac:dyDescent="0.25">
      <c r="A133" s="823"/>
      <c r="B133" s="827">
        <v>1</v>
      </c>
      <c r="C133" s="827">
        <v>1</v>
      </c>
      <c r="D133" s="827">
        <v>1</v>
      </c>
      <c r="E133" s="827">
        <v>1</v>
      </c>
      <c r="F133" s="827"/>
      <c r="G133" s="827"/>
      <c r="H133" s="827"/>
      <c r="I133" s="827"/>
      <c r="J133" s="827"/>
      <c r="K133" s="827"/>
      <c r="L133" s="827">
        <v>1</v>
      </c>
      <c r="M133" s="825">
        <v>1</v>
      </c>
      <c r="N133" s="708"/>
      <c r="O133" s="708"/>
    </row>
    <row r="134" spans="1:15" x14ac:dyDescent="0.25">
      <c r="A134" s="823"/>
      <c r="B134" s="827"/>
      <c r="C134" s="827"/>
      <c r="D134" s="827">
        <v>1</v>
      </c>
      <c r="E134" s="827">
        <v>1</v>
      </c>
      <c r="F134" s="827">
        <v>1</v>
      </c>
      <c r="G134" s="827">
        <v>1</v>
      </c>
      <c r="H134" s="827">
        <v>1</v>
      </c>
      <c r="I134" s="827"/>
      <c r="J134" s="827"/>
      <c r="K134" s="827"/>
      <c r="L134" s="827"/>
      <c r="M134" s="825"/>
      <c r="N134" s="708"/>
      <c r="O134" s="708"/>
    </row>
    <row r="135" spans="1:15" x14ac:dyDescent="0.25">
      <c r="A135" s="823"/>
      <c r="B135" s="827"/>
      <c r="C135" s="827"/>
      <c r="D135" s="827"/>
      <c r="E135" s="827"/>
      <c r="F135" s="827"/>
      <c r="G135" s="827"/>
      <c r="H135" s="827"/>
      <c r="I135" s="827"/>
      <c r="J135" s="827"/>
      <c r="K135" s="827"/>
      <c r="L135" s="827"/>
      <c r="M135" s="825"/>
      <c r="N135" s="708"/>
      <c r="O135" s="708"/>
    </row>
    <row r="136" spans="1:15" x14ac:dyDescent="0.25">
      <c r="A136" s="823"/>
      <c r="B136" s="827"/>
      <c r="C136" s="827"/>
      <c r="D136" s="827"/>
      <c r="E136" s="827"/>
      <c r="F136" s="827"/>
      <c r="G136" s="827"/>
      <c r="H136" s="827"/>
      <c r="I136" s="827"/>
      <c r="J136" s="827"/>
      <c r="K136" s="827"/>
      <c r="L136" s="827"/>
      <c r="M136" s="825"/>
      <c r="N136" s="708"/>
      <c r="O136" s="708"/>
    </row>
    <row r="137" spans="1:15" x14ac:dyDescent="0.25">
      <c r="A137" s="823"/>
      <c r="B137" s="827"/>
      <c r="C137" s="827"/>
      <c r="D137" s="827"/>
      <c r="E137" s="827"/>
      <c r="F137" s="827"/>
      <c r="G137" s="827"/>
      <c r="H137" s="827"/>
      <c r="I137" s="827"/>
      <c r="J137" s="827"/>
      <c r="K137" s="827"/>
      <c r="L137" s="827"/>
      <c r="M137" s="825"/>
      <c r="N137" s="708"/>
      <c r="O137" s="708"/>
    </row>
    <row r="138" spans="1:15" x14ac:dyDescent="0.25">
      <c r="A138" s="823"/>
      <c r="B138" s="827"/>
      <c r="C138" s="827"/>
      <c r="D138" s="827"/>
      <c r="E138" s="827"/>
      <c r="F138" s="827"/>
      <c r="G138" s="827"/>
      <c r="H138" s="827"/>
      <c r="I138" s="827"/>
      <c r="J138" s="827"/>
      <c r="K138" s="827"/>
      <c r="L138" s="827"/>
      <c r="M138" s="825"/>
      <c r="N138" s="708"/>
      <c r="O138" s="708"/>
    </row>
    <row r="139" spans="1:15" x14ac:dyDescent="0.25">
      <c r="A139" s="823"/>
      <c r="B139" s="827"/>
      <c r="C139" s="827"/>
      <c r="D139" s="827"/>
      <c r="E139" s="827"/>
      <c r="F139" s="827"/>
      <c r="G139" s="827"/>
      <c r="H139" s="827"/>
      <c r="I139" s="827"/>
      <c r="J139" s="827"/>
      <c r="K139" s="827"/>
      <c r="L139" s="827"/>
      <c r="M139" s="825"/>
      <c r="N139" s="708"/>
      <c r="O139" s="708"/>
    </row>
    <row r="140" spans="1:15" x14ac:dyDescent="0.25">
      <c r="A140" s="823"/>
      <c r="B140" s="827"/>
      <c r="C140" s="827"/>
      <c r="D140" s="827"/>
      <c r="E140" s="827"/>
      <c r="F140" s="827"/>
      <c r="G140" s="827"/>
      <c r="H140" s="827"/>
      <c r="I140" s="827"/>
      <c r="J140" s="827"/>
      <c r="K140" s="827"/>
      <c r="L140" s="827"/>
      <c r="M140" s="825"/>
      <c r="N140" s="708"/>
      <c r="O140" s="708"/>
    </row>
    <row r="141" spans="1:15" x14ac:dyDescent="0.25">
      <c r="A141" s="823"/>
      <c r="B141" s="827"/>
      <c r="C141" s="827"/>
      <c r="D141" s="827"/>
      <c r="E141" s="827"/>
      <c r="F141" s="827"/>
      <c r="G141" s="827"/>
      <c r="H141" s="827"/>
      <c r="I141" s="827"/>
      <c r="J141" s="827"/>
      <c r="K141" s="827"/>
      <c r="L141" s="827"/>
      <c r="M141" s="825"/>
      <c r="N141" s="708"/>
      <c r="O141" s="708"/>
    </row>
    <row r="142" spans="1:15" ht="15.75" thickBot="1" x14ac:dyDescent="0.3">
      <c r="A142" s="841"/>
      <c r="B142" s="842"/>
      <c r="C142" s="842"/>
      <c r="D142" s="842"/>
      <c r="E142" s="842"/>
      <c r="F142" s="842"/>
      <c r="G142" s="842"/>
      <c r="H142" s="842"/>
      <c r="I142" s="842"/>
      <c r="J142" s="842"/>
      <c r="K142" s="842"/>
      <c r="L142" s="842"/>
      <c r="M142" s="843"/>
      <c r="N142" s="708"/>
      <c r="O142" s="708"/>
    </row>
    <row r="143" spans="1:15" x14ac:dyDescent="0.25">
      <c r="A143" s="708"/>
      <c r="B143" s="708"/>
      <c r="C143" s="708"/>
      <c r="D143" s="708"/>
      <c r="E143" s="708"/>
      <c r="F143" s="708"/>
      <c r="G143" s="708"/>
      <c r="H143" s="708"/>
      <c r="I143" s="708"/>
      <c r="J143" s="708"/>
      <c r="K143" s="708"/>
      <c r="L143" s="708"/>
      <c r="M143" s="708"/>
      <c r="N143" s="708"/>
      <c r="O143" s="708"/>
    </row>
    <row r="144" spans="1:15" x14ac:dyDescent="0.25">
      <c r="A144" s="708"/>
      <c r="B144" s="708"/>
      <c r="C144" s="708"/>
      <c r="D144" s="708"/>
      <c r="E144" s="708"/>
      <c r="F144" s="708"/>
      <c r="G144" s="708"/>
      <c r="H144" s="708"/>
      <c r="I144" s="708"/>
      <c r="J144" s="708"/>
      <c r="K144" s="708"/>
      <c r="L144" s="708"/>
      <c r="M144" s="708"/>
      <c r="N144" s="708"/>
      <c r="O144" s="708"/>
    </row>
    <row r="145" spans="1:15" x14ac:dyDescent="0.25">
      <c r="A145" s="1975" t="s">
        <v>5075</v>
      </c>
      <c r="B145" s="1976"/>
      <c r="C145" s="1976"/>
      <c r="D145" s="1976"/>
      <c r="E145" s="1976"/>
      <c r="F145" s="1976"/>
      <c r="G145" s="1976"/>
      <c r="H145" s="1976"/>
      <c r="I145" s="1976"/>
      <c r="J145" s="1976"/>
      <c r="K145" s="1976"/>
      <c r="L145" s="1976"/>
      <c r="M145" s="1977"/>
      <c r="N145" s="708"/>
      <c r="O145" s="708"/>
    </row>
    <row r="146" spans="1:15" x14ac:dyDescent="0.25">
      <c r="A146" s="708"/>
      <c r="B146" s="708"/>
      <c r="C146" s="708"/>
      <c r="D146" s="708"/>
      <c r="E146" s="708"/>
      <c r="F146" s="708"/>
      <c r="G146" s="708"/>
      <c r="H146" s="708"/>
      <c r="I146" s="708"/>
      <c r="J146" s="708"/>
      <c r="K146" s="708"/>
      <c r="L146" s="708"/>
      <c r="M146" s="708"/>
      <c r="N146" s="708"/>
      <c r="O146" s="708"/>
    </row>
    <row r="147" spans="1:15" x14ac:dyDescent="0.25">
      <c r="A147" s="322" t="s">
        <v>5047</v>
      </c>
      <c r="B147" s="708"/>
      <c r="C147" s="708"/>
      <c r="D147" s="708"/>
      <c r="E147" s="708"/>
      <c r="F147" s="708"/>
      <c r="G147" s="322" t="s">
        <v>5048</v>
      </c>
      <c r="H147" s="708"/>
      <c r="I147" s="708"/>
      <c r="J147" s="708"/>
      <c r="K147" s="708"/>
      <c r="L147" s="708"/>
      <c r="M147" s="708"/>
      <c r="N147" s="708"/>
      <c r="O147" s="708"/>
    </row>
    <row r="148" spans="1:15" x14ac:dyDescent="0.25">
      <c r="A148" s="708"/>
      <c r="B148" s="708"/>
      <c r="C148" s="708"/>
      <c r="D148" s="708"/>
      <c r="E148" s="708"/>
      <c r="F148" s="708"/>
      <c r="G148" s="708"/>
      <c r="H148" s="708"/>
      <c r="I148" s="708"/>
      <c r="J148" s="708"/>
      <c r="K148" s="708"/>
      <c r="L148" s="708"/>
      <c r="M148" s="708"/>
      <c r="N148" s="708"/>
      <c r="O148" s="708"/>
    </row>
    <row r="149" spans="1:15" x14ac:dyDescent="0.25">
      <c r="A149" s="708" t="s">
        <v>5076</v>
      </c>
      <c r="B149" s="708"/>
      <c r="C149" s="827"/>
      <c r="D149" s="708"/>
      <c r="E149" s="708"/>
      <c r="F149" s="708"/>
      <c r="G149" s="708" t="s">
        <v>5076</v>
      </c>
      <c r="H149" s="708"/>
      <c r="I149" s="827"/>
      <c r="J149" s="708"/>
      <c r="K149" s="708"/>
      <c r="L149" s="708"/>
      <c r="M149" s="708"/>
      <c r="N149" s="708"/>
      <c r="O149" s="708"/>
    </row>
    <row r="150" spans="1:15" x14ac:dyDescent="0.25">
      <c r="A150" s="708"/>
      <c r="B150" s="708"/>
      <c r="C150" s="708"/>
      <c r="D150" s="708"/>
      <c r="E150" s="708"/>
      <c r="F150" s="708"/>
      <c r="G150" s="708"/>
      <c r="H150" s="708"/>
      <c r="I150" s="708"/>
      <c r="J150" s="708"/>
      <c r="K150" s="708"/>
      <c r="L150" s="708"/>
      <c r="M150" s="708"/>
      <c r="N150" s="708"/>
      <c r="O150" s="708"/>
    </row>
    <row r="151" spans="1:15" x14ac:dyDescent="0.25">
      <c r="A151" s="708" t="s">
        <v>5077</v>
      </c>
      <c r="B151" s="708"/>
      <c r="C151" s="827"/>
      <c r="D151" s="708"/>
      <c r="E151" s="708"/>
      <c r="F151" s="708"/>
      <c r="G151" s="708" t="s">
        <v>5077</v>
      </c>
      <c r="H151" s="708"/>
      <c r="I151" s="827"/>
      <c r="J151" s="708"/>
      <c r="K151" s="708"/>
      <c r="L151" s="708"/>
      <c r="M151" s="708"/>
      <c r="N151" s="708"/>
      <c r="O151" s="708"/>
    </row>
    <row r="152" spans="1:15" x14ac:dyDescent="0.25">
      <c r="A152" s="708"/>
      <c r="B152" s="708"/>
      <c r="C152" s="708"/>
      <c r="D152" s="708"/>
      <c r="E152" s="708"/>
      <c r="F152" s="708"/>
      <c r="G152" s="708"/>
      <c r="H152" s="708"/>
      <c r="I152" s="708"/>
      <c r="J152" s="708"/>
      <c r="K152" s="708"/>
      <c r="L152" s="708"/>
      <c r="M152" s="708"/>
      <c r="N152" s="708"/>
      <c r="O152" s="708"/>
    </row>
    <row r="153" spans="1:15" x14ac:dyDescent="0.25">
      <c r="A153" s="708" t="s">
        <v>5078</v>
      </c>
      <c r="B153" s="708"/>
      <c r="C153" s="827"/>
      <c r="D153" s="708"/>
      <c r="E153" s="708"/>
      <c r="F153" s="708"/>
      <c r="G153" s="708" t="s">
        <v>5078</v>
      </c>
      <c r="H153" s="708"/>
      <c r="I153" s="827"/>
      <c r="J153" s="708"/>
      <c r="K153" s="708"/>
      <c r="L153" s="708"/>
      <c r="M153" s="708"/>
      <c r="N153" s="708"/>
      <c r="O153" s="708"/>
    </row>
    <row r="154" spans="1:15" x14ac:dyDescent="0.25">
      <c r="A154" s="708"/>
      <c r="B154" s="708"/>
      <c r="C154" s="708"/>
      <c r="D154" s="708"/>
      <c r="E154" s="708"/>
      <c r="F154" s="708"/>
      <c r="G154" s="708"/>
      <c r="H154" s="708"/>
      <c r="I154" s="708"/>
      <c r="J154" s="708"/>
      <c r="K154" s="708"/>
      <c r="L154" s="708"/>
      <c r="M154" s="708"/>
      <c r="N154" s="708"/>
      <c r="O154" s="708"/>
    </row>
    <row r="155" spans="1:15" x14ac:dyDescent="0.25">
      <c r="A155" s="708" t="s">
        <v>5079</v>
      </c>
      <c r="B155" s="708"/>
      <c r="C155" s="827"/>
      <c r="D155" s="708"/>
      <c r="E155" s="708"/>
      <c r="F155" s="708"/>
      <c r="G155" s="708" t="s">
        <v>5079</v>
      </c>
      <c r="H155" s="708"/>
      <c r="I155" s="827"/>
      <c r="J155" s="708"/>
      <c r="K155" s="708"/>
      <c r="L155" s="708"/>
      <c r="M155" s="708"/>
      <c r="N155" s="708"/>
      <c r="O155" s="708"/>
    </row>
    <row r="156" spans="1:15" x14ac:dyDescent="0.25">
      <c r="A156" s="708"/>
      <c r="B156" s="708"/>
      <c r="C156" s="708"/>
      <c r="D156" s="708"/>
      <c r="E156" s="708"/>
      <c r="F156" s="708"/>
      <c r="G156" s="708"/>
      <c r="H156" s="708"/>
      <c r="I156" s="708"/>
      <c r="J156" s="708"/>
      <c r="K156" s="708"/>
      <c r="L156" s="708"/>
      <c r="M156" s="708"/>
      <c r="N156" s="708"/>
      <c r="O156" s="708"/>
    </row>
    <row r="157" spans="1:15" x14ac:dyDescent="0.25">
      <c r="A157" s="708" t="s">
        <v>5080</v>
      </c>
      <c r="B157" s="708"/>
      <c r="C157" s="827"/>
      <c r="D157" s="708"/>
      <c r="E157" s="708"/>
      <c r="F157" s="708"/>
      <c r="G157" s="708" t="s">
        <v>5080</v>
      </c>
      <c r="H157" s="708"/>
      <c r="I157" s="827"/>
      <c r="J157" s="708"/>
      <c r="K157" s="708"/>
      <c r="L157" s="708"/>
      <c r="M157" s="708"/>
      <c r="N157" s="708"/>
      <c r="O157" s="708"/>
    </row>
    <row r="158" spans="1:15" x14ac:dyDescent="0.25">
      <c r="A158" s="708"/>
      <c r="B158" s="708"/>
      <c r="C158" s="708"/>
      <c r="D158" s="708"/>
      <c r="E158" s="708"/>
      <c r="F158" s="708"/>
      <c r="G158" s="708"/>
      <c r="H158" s="708"/>
      <c r="I158" s="708"/>
      <c r="J158" s="708"/>
      <c r="K158" s="708"/>
      <c r="L158" s="708"/>
      <c r="M158" s="708"/>
      <c r="N158" s="708"/>
      <c r="O158" s="708"/>
    </row>
    <row r="159" spans="1:15" x14ac:dyDescent="0.25">
      <c r="A159" s="708" t="s">
        <v>5081</v>
      </c>
      <c r="B159" s="708"/>
      <c r="C159" s="844"/>
      <c r="D159" s="708"/>
      <c r="E159" s="708"/>
      <c r="F159" s="708"/>
      <c r="G159" s="708" t="s">
        <v>5081</v>
      </c>
      <c r="H159" s="708"/>
      <c r="I159" s="844"/>
      <c r="J159" s="708"/>
      <c r="K159" s="708"/>
      <c r="L159" s="708"/>
      <c r="M159" s="708"/>
      <c r="N159" s="708"/>
      <c r="O159" s="708"/>
    </row>
    <row r="160" spans="1:15" x14ac:dyDescent="0.25">
      <c r="A160" s="708"/>
      <c r="B160" s="708"/>
      <c r="C160" s="708"/>
      <c r="D160" s="708"/>
      <c r="E160" s="708"/>
      <c r="F160" s="708"/>
      <c r="G160" s="708"/>
      <c r="H160" s="708"/>
      <c r="I160" s="708"/>
      <c r="J160" s="708"/>
      <c r="K160" s="708"/>
      <c r="L160" s="708"/>
      <c r="M160" s="708"/>
      <c r="N160" s="708"/>
      <c r="O160" s="708"/>
    </row>
    <row r="161" spans="1:15" x14ac:dyDescent="0.25">
      <c r="A161" s="708"/>
      <c r="B161" s="708"/>
      <c r="C161" s="708"/>
      <c r="D161" s="708"/>
      <c r="E161" s="708"/>
      <c r="F161" s="708"/>
      <c r="G161" s="708"/>
      <c r="H161" s="708"/>
      <c r="I161" s="708"/>
      <c r="J161" s="708"/>
      <c r="K161" s="708"/>
      <c r="L161" s="708"/>
      <c r="M161" s="708"/>
      <c r="N161" s="708"/>
      <c r="O161" s="708"/>
    </row>
    <row r="162" spans="1:15" x14ac:dyDescent="0.25">
      <c r="A162" s="1975" t="s">
        <v>5082</v>
      </c>
      <c r="B162" s="1976"/>
      <c r="C162" s="1976"/>
      <c r="D162" s="1976"/>
      <c r="E162" s="1976"/>
      <c r="F162" s="1976"/>
      <c r="G162" s="1976"/>
      <c r="H162" s="1976"/>
      <c r="I162" s="1976"/>
      <c r="J162" s="1976"/>
      <c r="K162" s="1976"/>
      <c r="L162" s="1976"/>
      <c r="M162" s="1977"/>
      <c r="N162" s="708"/>
      <c r="O162" s="708"/>
    </row>
    <row r="163" spans="1:15" x14ac:dyDescent="0.25">
      <c r="N163" s="708"/>
      <c r="O163" s="708"/>
    </row>
    <row r="164" spans="1:15" x14ac:dyDescent="0.25">
      <c r="A164" s="322" t="s">
        <v>359</v>
      </c>
      <c r="B164" s="708"/>
      <c r="C164" s="708"/>
      <c r="D164" s="708"/>
      <c r="E164" s="708"/>
      <c r="F164" s="708"/>
      <c r="G164" s="708"/>
      <c r="H164" s="708"/>
      <c r="I164" s="708"/>
      <c r="J164" s="708"/>
      <c r="K164" s="708"/>
      <c r="L164" s="708"/>
      <c r="M164" s="708"/>
      <c r="N164" s="708"/>
      <c r="O164" s="708"/>
    </row>
    <row r="165" spans="1:15" ht="15.75" thickBot="1" x14ac:dyDescent="0.3">
      <c r="A165" s="708"/>
      <c r="B165" s="708"/>
      <c r="C165" s="708"/>
      <c r="D165" s="708"/>
      <c r="E165" s="708"/>
      <c r="F165" s="708"/>
      <c r="G165" s="708"/>
      <c r="H165" s="708"/>
      <c r="I165" s="708"/>
      <c r="J165" s="708"/>
      <c r="K165" s="708"/>
      <c r="L165" s="708"/>
      <c r="M165" s="708"/>
      <c r="N165" s="708"/>
      <c r="O165" s="708"/>
    </row>
    <row r="166" spans="1:15" x14ac:dyDescent="0.25">
      <c r="A166" s="822" t="s">
        <v>5050</v>
      </c>
      <c r="B166" s="820" t="s">
        <v>5062</v>
      </c>
      <c r="C166" s="820" t="s">
        <v>5063</v>
      </c>
      <c r="D166" s="820" t="s">
        <v>5064</v>
      </c>
      <c r="E166" s="820" t="s">
        <v>5065</v>
      </c>
      <c r="F166" s="820" t="s">
        <v>5066</v>
      </c>
      <c r="G166" s="820" t="s">
        <v>5067</v>
      </c>
      <c r="H166" s="820" t="s">
        <v>5068</v>
      </c>
      <c r="I166" s="820" t="s">
        <v>5069</v>
      </c>
      <c r="J166" s="820" t="s">
        <v>5070</v>
      </c>
      <c r="K166" s="820" t="s">
        <v>5071</v>
      </c>
      <c r="L166" s="820" t="s">
        <v>5072</v>
      </c>
      <c r="M166" s="821" t="s">
        <v>5073</v>
      </c>
      <c r="N166" s="708"/>
      <c r="O166" s="708"/>
    </row>
    <row r="167" spans="1:15" x14ac:dyDescent="0.25">
      <c r="A167" s="823"/>
      <c r="B167" s="845"/>
      <c r="C167" s="845"/>
      <c r="D167" s="845"/>
      <c r="E167" s="845"/>
      <c r="F167" s="845"/>
      <c r="G167" s="845"/>
      <c r="H167" s="845"/>
      <c r="I167" s="845"/>
      <c r="J167" s="845"/>
      <c r="K167" s="845"/>
      <c r="L167" s="845"/>
      <c r="M167" s="833"/>
      <c r="N167" s="708"/>
      <c r="O167" s="708"/>
    </row>
    <row r="168" spans="1:15" x14ac:dyDescent="0.25">
      <c r="A168" s="823"/>
      <c r="B168" s="845"/>
      <c r="C168" s="845"/>
      <c r="D168" s="845"/>
      <c r="E168" s="845"/>
      <c r="F168" s="845"/>
      <c r="G168" s="845"/>
      <c r="H168" s="845"/>
      <c r="I168" s="845"/>
      <c r="J168" s="845"/>
      <c r="K168" s="845"/>
      <c r="L168" s="845"/>
      <c r="M168" s="833"/>
      <c r="N168" s="708"/>
      <c r="O168" s="708"/>
    </row>
    <row r="169" spans="1:15" x14ac:dyDescent="0.25">
      <c r="A169" s="823"/>
      <c r="B169" s="845"/>
      <c r="C169" s="845"/>
      <c r="D169" s="845"/>
      <c r="E169" s="845"/>
      <c r="F169" s="845"/>
      <c r="G169" s="845"/>
      <c r="H169" s="845"/>
      <c r="I169" s="845"/>
      <c r="J169" s="845"/>
      <c r="K169" s="845"/>
      <c r="L169" s="845"/>
      <c r="M169" s="833"/>
      <c r="N169" s="708"/>
      <c r="O169" s="708"/>
    </row>
    <row r="170" spans="1:15" x14ac:dyDescent="0.25">
      <c r="A170" s="823"/>
      <c r="B170" s="845"/>
      <c r="C170" s="845"/>
      <c r="D170" s="845"/>
      <c r="E170" s="845"/>
      <c r="F170" s="845"/>
      <c r="G170" s="845"/>
      <c r="H170" s="845"/>
      <c r="I170" s="845"/>
      <c r="J170" s="845"/>
      <c r="K170" s="845"/>
      <c r="L170" s="845"/>
      <c r="M170" s="833"/>
      <c r="N170" s="708"/>
      <c r="O170" s="708"/>
    </row>
    <row r="171" spans="1:15" x14ac:dyDescent="0.25">
      <c r="A171" s="823"/>
      <c r="B171" s="845"/>
      <c r="C171" s="845"/>
      <c r="D171" s="845"/>
      <c r="E171" s="845"/>
      <c r="F171" s="845"/>
      <c r="G171" s="845"/>
      <c r="H171" s="845"/>
      <c r="I171" s="845"/>
      <c r="J171" s="845"/>
      <c r="K171" s="845"/>
      <c r="L171" s="845"/>
      <c r="M171" s="833"/>
      <c r="N171" s="708"/>
      <c r="O171" s="708"/>
    </row>
    <row r="172" spans="1:15" x14ac:dyDescent="0.25">
      <c r="A172" s="823"/>
      <c r="B172" s="845"/>
      <c r="C172" s="845"/>
      <c r="D172" s="845"/>
      <c r="E172" s="845"/>
      <c r="F172" s="845"/>
      <c r="G172" s="845"/>
      <c r="H172" s="845"/>
      <c r="I172" s="845"/>
      <c r="J172" s="845"/>
      <c r="K172" s="845"/>
      <c r="L172" s="845"/>
      <c r="M172" s="833"/>
      <c r="N172" s="708"/>
      <c r="O172" s="708"/>
    </row>
    <row r="173" spans="1:15" x14ac:dyDescent="0.25">
      <c r="A173" s="823"/>
      <c r="B173" s="845"/>
      <c r="C173" s="845"/>
      <c r="D173" s="845"/>
      <c r="E173" s="845"/>
      <c r="F173" s="845"/>
      <c r="G173" s="845"/>
      <c r="H173" s="845"/>
      <c r="I173" s="845"/>
      <c r="J173" s="845"/>
      <c r="K173" s="845"/>
      <c r="L173" s="845"/>
      <c r="M173" s="833"/>
      <c r="N173" s="708"/>
      <c r="O173" s="708"/>
    </row>
    <row r="174" spans="1:15" x14ac:dyDescent="0.25">
      <c r="A174" s="823"/>
      <c r="B174" s="845"/>
      <c r="C174" s="845"/>
      <c r="D174" s="845"/>
      <c r="E174" s="845"/>
      <c r="F174" s="845"/>
      <c r="G174" s="845"/>
      <c r="H174" s="845"/>
      <c r="I174" s="845"/>
      <c r="J174" s="845"/>
      <c r="K174" s="845"/>
      <c r="L174" s="845"/>
      <c r="M174" s="833"/>
      <c r="N174" s="708"/>
      <c r="O174" s="708"/>
    </row>
    <row r="175" spans="1:15" x14ac:dyDescent="0.25">
      <c r="A175" s="823"/>
      <c r="B175" s="845"/>
      <c r="C175" s="845"/>
      <c r="D175" s="845"/>
      <c r="E175" s="845"/>
      <c r="F175" s="845"/>
      <c r="G175" s="845"/>
      <c r="H175" s="845"/>
      <c r="I175" s="845"/>
      <c r="J175" s="845"/>
      <c r="K175" s="845"/>
      <c r="L175" s="845"/>
      <c r="M175" s="833"/>
      <c r="N175" s="708"/>
      <c r="O175" s="708"/>
    </row>
    <row r="176" spans="1:15" x14ac:dyDescent="0.25">
      <c r="A176" s="823"/>
      <c r="B176" s="845"/>
      <c r="C176" s="845"/>
      <c r="D176" s="845"/>
      <c r="E176" s="845"/>
      <c r="F176" s="845"/>
      <c r="G176" s="845"/>
      <c r="H176" s="845"/>
      <c r="I176" s="845"/>
      <c r="J176" s="845"/>
      <c r="K176" s="845"/>
      <c r="L176" s="845"/>
      <c r="M176" s="833"/>
      <c r="N176" s="708"/>
      <c r="O176" s="708"/>
    </row>
    <row r="177" spans="1:15" ht="15.75" thickBot="1" x14ac:dyDescent="0.3">
      <c r="A177" s="841"/>
      <c r="B177" s="846"/>
      <c r="C177" s="846"/>
      <c r="D177" s="846"/>
      <c r="E177" s="846"/>
      <c r="F177" s="846"/>
      <c r="G177" s="846"/>
      <c r="H177" s="846"/>
      <c r="I177" s="846"/>
      <c r="J177" s="846"/>
      <c r="K177" s="846"/>
      <c r="L177" s="846"/>
      <c r="M177" s="847"/>
      <c r="N177" s="708"/>
      <c r="O177" s="708"/>
    </row>
    <row r="178" spans="1:15" x14ac:dyDescent="0.25">
      <c r="A178" s="708"/>
      <c r="B178" s="708"/>
      <c r="C178" s="708"/>
      <c r="D178" s="708"/>
      <c r="E178" s="708"/>
      <c r="F178" s="708"/>
      <c r="G178" s="708"/>
      <c r="H178" s="708"/>
      <c r="I178" s="708"/>
      <c r="J178" s="708"/>
      <c r="K178" s="708"/>
      <c r="L178" s="708"/>
      <c r="M178" s="708"/>
      <c r="N178" s="708"/>
      <c r="O178" s="708"/>
    </row>
    <row r="179" spans="1:15" x14ac:dyDescent="0.25">
      <c r="A179" s="322" t="s">
        <v>5074</v>
      </c>
      <c r="B179" s="708"/>
      <c r="C179" s="708"/>
      <c r="D179" s="708"/>
      <c r="E179" s="708"/>
      <c r="F179" s="708"/>
      <c r="G179" s="708"/>
      <c r="H179" s="708"/>
      <c r="I179" s="708"/>
      <c r="J179" s="708"/>
      <c r="K179" s="708"/>
      <c r="L179" s="708"/>
      <c r="M179" s="708"/>
      <c r="N179" s="708"/>
      <c r="O179" s="708"/>
    </row>
    <row r="180" spans="1:15" ht="15.75" thickBot="1" x14ac:dyDescent="0.3">
      <c r="A180" s="708"/>
      <c r="B180" s="708"/>
      <c r="C180" s="708"/>
      <c r="D180" s="708"/>
      <c r="E180" s="708"/>
      <c r="F180" s="708"/>
      <c r="G180" s="708"/>
      <c r="H180" s="708"/>
      <c r="I180" s="708"/>
      <c r="J180" s="708"/>
      <c r="K180" s="708"/>
      <c r="L180" s="708"/>
      <c r="M180" s="708"/>
      <c r="N180" s="708"/>
      <c r="O180" s="708"/>
    </row>
    <row r="181" spans="1:15" x14ac:dyDescent="0.25">
      <c r="A181" s="822" t="s">
        <v>5050</v>
      </c>
      <c r="B181" s="820" t="s">
        <v>5062</v>
      </c>
      <c r="C181" s="820" t="s">
        <v>5063</v>
      </c>
      <c r="D181" s="820" t="s">
        <v>5064</v>
      </c>
      <c r="E181" s="820" t="s">
        <v>5065</v>
      </c>
      <c r="F181" s="820" t="s">
        <v>5066</v>
      </c>
      <c r="G181" s="820" t="s">
        <v>5067</v>
      </c>
      <c r="H181" s="820" t="s">
        <v>5068</v>
      </c>
      <c r="I181" s="820" t="s">
        <v>5069</v>
      </c>
      <c r="J181" s="820" t="s">
        <v>5070</v>
      </c>
      <c r="K181" s="820" t="s">
        <v>5071</v>
      </c>
      <c r="L181" s="820" t="s">
        <v>5072</v>
      </c>
      <c r="M181" s="821" t="s">
        <v>5073</v>
      </c>
      <c r="N181" s="708"/>
      <c r="O181" s="708"/>
    </row>
    <row r="182" spans="1:15" x14ac:dyDescent="0.25">
      <c r="A182" s="823"/>
      <c r="B182" s="845"/>
      <c r="C182" s="845"/>
      <c r="D182" s="845"/>
      <c r="E182" s="845"/>
      <c r="F182" s="845"/>
      <c r="G182" s="845"/>
      <c r="H182" s="845"/>
      <c r="I182" s="845"/>
      <c r="J182" s="845"/>
      <c r="K182" s="845"/>
      <c r="L182" s="845"/>
      <c r="M182" s="833"/>
      <c r="N182" s="708"/>
      <c r="O182" s="708"/>
    </row>
    <row r="183" spans="1:15" x14ac:dyDescent="0.25">
      <c r="A183" s="823"/>
      <c r="B183" s="845"/>
      <c r="C183" s="845"/>
      <c r="D183" s="845"/>
      <c r="E183" s="845"/>
      <c r="F183" s="845"/>
      <c r="G183" s="845"/>
      <c r="H183" s="845"/>
      <c r="I183" s="845"/>
      <c r="J183" s="845"/>
      <c r="K183" s="845"/>
      <c r="L183" s="845"/>
      <c r="M183" s="833"/>
      <c r="N183" s="708"/>
      <c r="O183" s="708"/>
    </row>
    <row r="184" spans="1:15" x14ac:dyDescent="0.25">
      <c r="A184" s="823"/>
      <c r="B184" s="845"/>
      <c r="C184" s="845"/>
      <c r="D184" s="845"/>
      <c r="E184" s="845"/>
      <c r="F184" s="845"/>
      <c r="G184" s="845"/>
      <c r="H184" s="845"/>
      <c r="I184" s="845"/>
      <c r="J184" s="845"/>
      <c r="K184" s="845"/>
      <c r="L184" s="845"/>
      <c r="M184" s="833"/>
      <c r="N184" s="708"/>
      <c r="O184" s="708"/>
    </row>
    <row r="185" spans="1:15" x14ac:dyDescent="0.25">
      <c r="A185" s="823"/>
      <c r="B185" s="845"/>
      <c r="C185" s="845"/>
      <c r="D185" s="845"/>
      <c r="E185" s="845"/>
      <c r="F185" s="845"/>
      <c r="G185" s="845"/>
      <c r="H185" s="845"/>
      <c r="I185" s="845"/>
      <c r="J185" s="845"/>
      <c r="K185" s="845"/>
      <c r="L185" s="845"/>
      <c r="M185" s="833"/>
      <c r="N185" s="708"/>
      <c r="O185" s="708"/>
    </row>
    <row r="186" spans="1:15" x14ac:dyDescent="0.25">
      <c r="A186" s="823"/>
      <c r="B186" s="845"/>
      <c r="C186" s="845"/>
      <c r="D186" s="845"/>
      <c r="E186" s="845"/>
      <c r="F186" s="845"/>
      <c r="G186" s="845"/>
      <c r="H186" s="845"/>
      <c r="I186" s="845"/>
      <c r="J186" s="845"/>
      <c r="K186" s="845"/>
      <c r="L186" s="845"/>
      <c r="M186" s="833"/>
      <c r="N186" s="708"/>
      <c r="O186" s="708"/>
    </row>
    <row r="187" spans="1:15" x14ac:dyDescent="0.25">
      <c r="A187" s="823"/>
      <c r="B187" s="845"/>
      <c r="C187" s="845"/>
      <c r="D187" s="845"/>
      <c r="E187" s="845"/>
      <c r="F187" s="845"/>
      <c r="G187" s="845"/>
      <c r="H187" s="845"/>
      <c r="I187" s="845"/>
      <c r="J187" s="845"/>
      <c r="K187" s="845"/>
      <c r="L187" s="845"/>
      <c r="M187" s="833"/>
      <c r="N187" s="708"/>
      <c r="O187" s="708"/>
    </row>
    <row r="188" spans="1:15" x14ac:dyDescent="0.25">
      <c r="A188" s="823"/>
      <c r="B188" s="845"/>
      <c r="C188" s="845"/>
      <c r="D188" s="845"/>
      <c r="E188" s="845"/>
      <c r="F188" s="845"/>
      <c r="G188" s="845"/>
      <c r="H188" s="845"/>
      <c r="I188" s="845"/>
      <c r="J188" s="845"/>
      <c r="K188" s="845"/>
      <c r="L188" s="845"/>
      <c r="M188" s="833"/>
      <c r="N188" s="708"/>
      <c r="O188" s="708"/>
    </row>
    <row r="189" spans="1:15" x14ac:dyDescent="0.25">
      <c r="A189" s="823"/>
      <c r="B189" s="845"/>
      <c r="C189" s="845"/>
      <c r="D189" s="845"/>
      <c r="E189" s="845"/>
      <c r="F189" s="845"/>
      <c r="G189" s="845"/>
      <c r="H189" s="845"/>
      <c r="I189" s="845"/>
      <c r="J189" s="845"/>
      <c r="K189" s="845"/>
      <c r="L189" s="845"/>
      <c r="M189" s="833"/>
      <c r="N189" s="708"/>
      <c r="O189" s="708"/>
    </row>
    <row r="190" spans="1:15" x14ac:dyDescent="0.25">
      <c r="A190" s="823"/>
      <c r="B190" s="845"/>
      <c r="C190" s="845"/>
      <c r="D190" s="845"/>
      <c r="E190" s="845"/>
      <c r="F190" s="845"/>
      <c r="G190" s="845"/>
      <c r="H190" s="845"/>
      <c r="I190" s="845"/>
      <c r="J190" s="845"/>
      <c r="K190" s="845"/>
      <c r="L190" s="845"/>
      <c r="M190" s="833"/>
      <c r="N190" s="708"/>
      <c r="O190" s="708"/>
    </row>
    <row r="191" spans="1:15" x14ac:dyDescent="0.25">
      <c r="A191" s="823"/>
      <c r="B191" s="845"/>
      <c r="C191" s="845"/>
      <c r="D191" s="845"/>
      <c r="E191" s="845"/>
      <c r="F191" s="845"/>
      <c r="G191" s="845"/>
      <c r="H191" s="845"/>
      <c r="I191" s="845"/>
      <c r="J191" s="845"/>
      <c r="K191" s="845"/>
      <c r="L191" s="845"/>
      <c r="M191" s="833"/>
      <c r="N191" s="708"/>
      <c r="O191" s="708"/>
    </row>
    <row r="192" spans="1:15" ht="15.75" thickBot="1" x14ac:dyDescent="0.3">
      <c r="A192" s="841"/>
      <c r="B192" s="846"/>
      <c r="C192" s="846"/>
      <c r="D192" s="846"/>
      <c r="E192" s="846"/>
      <c r="F192" s="846"/>
      <c r="G192" s="846"/>
      <c r="H192" s="846"/>
      <c r="I192" s="846"/>
      <c r="J192" s="846"/>
      <c r="K192" s="846"/>
      <c r="L192" s="846"/>
      <c r="M192" s="847"/>
      <c r="N192" s="708"/>
      <c r="O192" s="708"/>
    </row>
    <row r="193" spans="1:15" x14ac:dyDescent="0.25">
      <c r="A193" s="708"/>
      <c r="B193" s="708"/>
      <c r="C193" s="708"/>
      <c r="D193" s="708"/>
      <c r="E193" s="708"/>
      <c r="F193" s="708"/>
      <c r="G193" s="708"/>
      <c r="H193" s="708"/>
      <c r="I193" s="708"/>
      <c r="J193" s="708"/>
      <c r="K193" s="708"/>
      <c r="L193" s="708"/>
      <c r="M193" s="708"/>
      <c r="N193" s="708"/>
      <c r="O193" s="708"/>
    </row>
    <row r="194" spans="1:15" x14ac:dyDescent="0.25">
      <c r="A194" s="708"/>
      <c r="B194" s="708"/>
      <c r="C194" s="708"/>
      <c r="D194" s="708"/>
      <c r="E194" s="708"/>
      <c r="F194" s="708"/>
      <c r="G194" s="708"/>
      <c r="H194" s="708"/>
      <c r="I194" s="708"/>
      <c r="J194" s="708"/>
      <c r="K194" s="708"/>
      <c r="L194" s="708"/>
      <c r="M194" s="708"/>
      <c r="N194" s="708"/>
      <c r="O194" s="708"/>
    </row>
    <row r="195" spans="1:15" x14ac:dyDescent="0.25">
      <c r="A195" s="708"/>
      <c r="B195" s="708"/>
      <c r="C195" s="708"/>
      <c r="D195" s="708"/>
      <c r="E195" s="708"/>
      <c r="F195" s="708"/>
      <c r="G195" s="708"/>
      <c r="H195" s="708"/>
      <c r="I195" s="708"/>
      <c r="J195" s="708"/>
      <c r="K195" s="708"/>
      <c r="L195" s="708"/>
      <c r="M195" s="708"/>
      <c r="N195" s="708"/>
      <c r="O195" s="708"/>
    </row>
    <row r="196" spans="1:15" x14ac:dyDescent="0.25">
      <c r="A196" s="708"/>
      <c r="B196" s="708"/>
      <c r="C196" s="708"/>
      <c r="D196" s="708"/>
      <c r="E196" s="708"/>
      <c r="F196" s="708"/>
      <c r="G196" s="708"/>
      <c r="H196" s="708"/>
      <c r="I196" s="708"/>
      <c r="J196" s="708"/>
      <c r="K196" s="708"/>
      <c r="L196" s="708"/>
      <c r="M196" s="708"/>
      <c r="N196" s="708"/>
      <c r="O196" s="708"/>
    </row>
    <row r="197" spans="1:15" x14ac:dyDescent="0.25">
      <c r="A197" s="708"/>
      <c r="B197" s="708"/>
      <c r="C197" s="708"/>
      <c r="D197" s="708"/>
      <c r="E197" s="708"/>
      <c r="F197" s="708"/>
      <c r="G197" s="708"/>
      <c r="H197" s="708"/>
      <c r="I197" s="708"/>
      <c r="J197" s="708"/>
      <c r="K197" s="708"/>
      <c r="L197" s="708"/>
      <c r="M197" s="708"/>
      <c r="N197" s="708"/>
      <c r="O197" s="708"/>
    </row>
    <row r="198" spans="1:15" x14ac:dyDescent="0.25">
      <c r="A198" s="708"/>
      <c r="B198" s="708"/>
      <c r="C198" s="708"/>
      <c r="D198" s="708"/>
      <c r="E198" s="708"/>
      <c r="F198" s="708"/>
      <c r="G198" s="708"/>
      <c r="H198" s="708"/>
      <c r="I198" s="708"/>
      <c r="J198" s="708"/>
      <c r="K198" s="708"/>
      <c r="L198" s="708"/>
      <c r="M198" s="708"/>
      <c r="N198" s="708"/>
      <c r="O198" s="708"/>
    </row>
    <row r="199" spans="1:15" x14ac:dyDescent="0.25">
      <c r="A199" s="708"/>
      <c r="B199" s="708"/>
      <c r="C199" s="708"/>
      <c r="D199" s="708"/>
      <c r="E199" s="708"/>
      <c r="F199" s="708"/>
      <c r="G199" s="708"/>
      <c r="H199" s="708"/>
      <c r="I199" s="708"/>
      <c r="J199" s="708"/>
      <c r="K199" s="708"/>
      <c r="L199" s="708"/>
      <c r="M199" s="708"/>
      <c r="N199" s="708"/>
      <c r="O199" s="708"/>
    </row>
    <row r="200" spans="1:15" x14ac:dyDescent="0.25">
      <c r="A200" s="708"/>
      <c r="B200" s="708"/>
      <c r="C200" s="708"/>
      <c r="D200" s="708"/>
      <c r="E200" s="708"/>
      <c r="F200" s="708"/>
      <c r="G200" s="708"/>
      <c r="H200" s="708"/>
      <c r="I200" s="708"/>
      <c r="J200" s="708"/>
      <c r="K200" s="708"/>
      <c r="L200" s="708"/>
      <c r="M200" s="708"/>
      <c r="N200" s="708"/>
      <c r="O200" s="708"/>
    </row>
    <row r="201" spans="1:15" x14ac:dyDescent="0.25">
      <c r="A201" s="708"/>
      <c r="B201" s="708"/>
      <c r="C201" s="708"/>
      <c r="D201" s="708"/>
      <c r="E201" s="708"/>
      <c r="F201" s="708"/>
      <c r="G201" s="708"/>
      <c r="H201" s="708"/>
      <c r="I201" s="708"/>
      <c r="J201" s="708"/>
      <c r="K201" s="708"/>
      <c r="L201" s="708"/>
      <c r="M201" s="708"/>
      <c r="N201" s="708"/>
      <c r="O201" s="708"/>
    </row>
    <row r="202" spans="1:15" x14ac:dyDescent="0.25">
      <c r="A202" s="708"/>
      <c r="B202" s="708"/>
      <c r="C202" s="708"/>
      <c r="D202" s="708"/>
      <c r="E202" s="708"/>
      <c r="F202" s="708"/>
      <c r="G202" s="708"/>
      <c r="H202" s="708"/>
      <c r="I202" s="708"/>
      <c r="J202" s="708"/>
      <c r="K202" s="708"/>
      <c r="L202" s="708"/>
      <c r="M202" s="708"/>
      <c r="N202" s="708"/>
      <c r="O202" s="708"/>
    </row>
    <row r="203" spans="1:15" x14ac:dyDescent="0.25">
      <c r="A203" s="708"/>
      <c r="B203" s="708"/>
      <c r="C203" s="708"/>
      <c r="D203" s="708"/>
      <c r="E203" s="708"/>
      <c r="F203" s="708"/>
      <c r="G203" s="708"/>
      <c r="H203" s="708"/>
      <c r="I203" s="708"/>
      <c r="J203" s="708"/>
      <c r="K203" s="708"/>
      <c r="L203" s="708"/>
      <c r="M203" s="708"/>
      <c r="N203" s="708"/>
      <c r="O203" s="708"/>
    </row>
    <row r="204" spans="1:15" x14ac:dyDescent="0.25">
      <c r="A204" s="708"/>
      <c r="B204" s="708"/>
      <c r="C204" s="708"/>
      <c r="D204" s="708"/>
      <c r="E204" s="708"/>
      <c r="F204" s="708"/>
      <c r="G204" s="708"/>
      <c r="H204" s="708"/>
      <c r="I204" s="708"/>
      <c r="J204" s="708"/>
      <c r="K204" s="708"/>
      <c r="L204" s="708"/>
      <c r="M204" s="708"/>
      <c r="N204" s="708"/>
      <c r="O204" s="708"/>
    </row>
    <row r="205" spans="1:15" x14ac:dyDescent="0.25">
      <c r="A205" s="708"/>
      <c r="B205" s="708"/>
      <c r="C205" s="708"/>
      <c r="D205" s="708"/>
      <c r="E205" s="708"/>
      <c r="F205" s="708"/>
      <c r="G205" s="708"/>
      <c r="H205" s="708"/>
      <c r="I205" s="708"/>
      <c r="J205" s="708"/>
      <c r="K205" s="708"/>
      <c r="L205" s="708"/>
      <c r="M205" s="708"/>
      <c r="N205" s="708"/>
      <c r="O205" s="708"/>
    </row>
    <row r="206" spans="1:15" x14ac:dyDescent="0.25">
      <c r="A206" s="708"/>
      <c r="B206" s="708"/>
      <c r="C206" s="708"/>
      <c r="D206" s="708"/>
      <c r="E206" s="708"/>
      <c r="F206" s="708"/>
      <c r="G206" s="708"/>
      <c r="H206" s="708"/>
      <c r="I206" s="708"/>
      <c r="J206" s="708"/>
      <c r="K206" s="708"/>
      <c r="L206" s="708"/>
      <c r="M206" s="708"/>
      <c r="N206" s="708"/>
      <c r="O206" s="708"/>
    </row>
    <row r="207" spans="1:15" x14ac:dyDescent="0.25">
      <c r="A207" s="708"/>
      <c r="B207" s="708"/>
      <c r="C207" s="708"/>
      <c r="D207" s="708"/>
      <c r="E207" s="708"/>
      <c r="F207" s="708"/>
      <c r="G207" s="708"/>
      <c r="H207" s="708"/>
      <c r="I207" s="708"/>
      <c r="J207" s="708"/>
      <c r="K207" s="708"/>
      <c r="L207" s="708"/>
      <c r="M207" s="708"/>
      <c r="N207" s="708"/>
      <c r="O207" s="708"/>
    </row>
    <row r="208" spans="1:15" x14ac:dyDescent="0.25">
      <c r="A208" s="708"/>
      <c r="B208" s="708"/>
      <c r="C208" s="708"/>
      <c r="D208" s="708"/>
      <c r="E208" s="708"/>
      <c r="F208" s="708"/>
      <c r="G208" s="708"/>
      <c r="H208" s="708"/>
      <c r="I208" s="708"/>
      <c r="J208" s="708"/>
      <c r="K208" s="708"/>
      <c r="L208" s="708"/>
      <c r="M208" s="708"/>
      <c r="N208" s="708"/>
      <c r="O208" s="708"/>
    </row>
    <row r="209" spans="1:15" x14ac:dyDescent="0.25">
      <c r="A209" s="708"/>
      <c r="B209" s="708"/>
      <c r="C209" s="708"/>
      <c r="D209" s="708"/>
      <c r="E209" s="708"/>
      <c r="F209" s="708"/>
      <c r="G209" s="708"/>
      <c r="H209" s="708"/>
      <c r="I209" s="708"/>
      <c r="J209" s="708"/>
      <c r="K209" s="708"/>
      <c r="L209" s="708"/>
      <c r="M209" s="708"/>
      <c r="N209" s="708"/>
      <c r="O209" s="708"/>
    </row>
    <row r="210" spans="1:15" x14ac:dyDescent="0.25">
      <c r="A210" s="708"/>
      <c r="B210" s="708"/>
      <c r="C210" s="708"/>
      <c r="D210" s="708"/>
      <c r="E210" s="708"/>
      <c r="F210" s="708"/>
      <c r="G210" s="708"/>
      <c r="H210" s="708"/>
      <c r="I210" s="708"/>
      <c r="J210" s="708"/>
      <c r="K210" s="708"/>
      <c r="L210" s="708"/>
      <c r="M210" s="708"/>
      <c r="N210" s="708"/>
      <c r="O210" s="708"/>
    </row>
    <row r="211" spans="1:15" x14ac:dyDescent="0.25">
      <c r="A211" s="708"/>
      <c r="B211" s="708"/>
      <c r="C211" s="708"/>
      <c r="D211" s="708"/>
      <c r="E211" s="708"/>
      <c r="F211" s="708"/>
      <c r="G211" s="708"/>
      <c r="H211" s="708"/>
      <c r="I211" s="708"/>
      <c r="J211" s="708"/>
      <c r="K211" s="708"/>
      <c r="L211" s="708"/>
      <c r="M211" s="708"/>
      <c r="N211" s="708"/>
      <c r="O211" s="708"/>
    </row>
    <row r="212" spans="1:15" x14ac:dyDescent="0.25">
      <c r="A212" s="708"/>
      <c r="B212" s="708"/>
      <c r="C212" s="708"/>
      <c r="D212" s="708"/>
      <c r="E212" s="708"/>
      <c r="F212" s="708"/>
      <c r="G212" s="708"/>
      <c r="H212" s="708"/>
      <c r="I212" s="708"/>
      <c r="J212" s="708"/>
      <c r="K212" s="708"/>
      <c r="L212" s="708"/>
      <c r="M212" s="708"/>
      <c r="N212" s="708"/>
      <c r="O212" s="708"/>
    </row>
    <row r="213" spans="1:15" x14ac:dyDescent="0.25">
      <c r="A213" s="708"/>
      <c r="B213" s="708"/>
      <c r="C213" s="708"/>
      <c r="D213" s="708"/>
      <c r="E213" s="708"/>
      <c r="F213" s="708"/>
      <c r="G213" s="708"/>
      <c r="H213" s="708"/>
      <c r="I213" s="708"/>
      <c r="J213" s="708"/>
      <c r="K213" s="708"/>
      <c r="L213" s="708"/>
      <c r="M213" s="708"/>
      <c r="N213" s="708"/>
      <c r="O213" s="708"/>
    </row>
    <row r="214" spans="1:15" x14ac:dyDescent="0.25">
      <c r="A214" s="708"/>
      <c r="B214" s="708"/>
      <c r="C214" s="708"/>
      <c r="D214" s="708"/>
      <c r="E214" s="708"/>
      <c r="F214" s="708"/>
      <c r="G214" s="708"/>
      <c r="H214" s="708"/>
      <c r="I214" s="708"/>
      <c r="J214" s="708"/>
      <c r="K214" s="708"/>
      <c r="L214" s="708"/>
      <c r="M214" s="708"/>
      <c r="N214" s="708"/>
      <c r="O214" s="708"/>
    </row>
    <row r="215" spans="1:15" x14ac:dyDescent="0.25">
      <c r="A215" s="708"/>
      <c r="B215" s="708"/>
      <c r="C215" s="708"/>
      <c r="D215" s="708"/>
      <c r="E215" s="708"/>
      <c r="F215" s="708"/>
      <c r="G215" s="708"/>
      <c r="H215" s="708"/>
      <c r="I215" s="708"/>
      <c r="J215" s="708"/>
      <c r="K215" s="708"/>
      <c r="L215" s="708"/>
      <c r="M215" s="708"/>
      <c r="N215" s="708"/>
      <c r="O215" s="708"/>
    </row>
    <row r="216" spans="1:15" x14ac:dyDescent="0.25">
      <c r="A216" s="708"/>
      <c r="B216" s="708"/>
      <c r="C216" s="708"/>
      <c r="D216" s="708"/>
      <c r="E216" s="708"/>
      <c r="F216" s="708"/>
      <c r="G216" s="708"/>
      <c r="H216" s="708"/>
      <c r="I216" s="708"/>
      <c r="J216" s="708"/>
      <c r="K216" s="708"/>
      <c r="L216" s="708"/>
      <c r="M216" s="708"/>
      <c r="N216" s="708"/>
      <c r="O216" s="708"/>
    </row>
    <row r="217" spans="1:15" x14ac:dyDescent="0.25">
      <c r="A217" s="708"/>
      <c r="B217" s="708"/>
      <c r="C217" s="708"/>
      <c r="D217" s="708"/>
      <c r="E217" s="708"/>
      <c r="F217" s="708"/>
      <c r="G217" s="708"/>
      <c r="H217" s="708"/>
      <c r="I217" s="708"/>
      <c r="J217" s="708"/>
      <c r="K217" s="708"/>
      <c r="L217" s="708"/>
      <c r="M217" s="708"/>
      <c r="N217" s="708"/>
      <c r="O217" s="708"/>
    </row>
    <row r="218" spans="1:15" x14ac:dyDescent="0.25">
      <c r="A218" s="708"/>
      <c r="B218" s="708"/>
      <c r="C218" s="708"/>
      <c r="D218" s="708"/>
      <c r="E218" s="708"/>
      <c r="F218" s="708"/>
      <c r="G218" s="708"/>
      <c r="H218" s="708"/>
      <c r="I218" s="708"/>
      <c r="J218" s="708"/>
      <c r="K218" s="708"/>
      <c r="L218" s="708"/>
      <c r="M218" s="708"/>
      <c r="N218" s="708"/>
      <c r="O218" s="708"/>
    </row>
    <row r="219" spans="1:15" x14ac:dyDescent="0.25">
      <c r="A219" s="708"/>
      <c r="B219" s="708"/>
      <c r="C219" s="708"/>
      <c r="D219" s="708"/>
      <c r="E219" s="708"/>
      <c r="F219" s="708"/>
      <c r="G219" s="708"/>
      <c r="H219" s="708"/>
      <c r="I219" s="708"/>
      <c r="J219" s="708"/>
      <c r="K219" s="708"/>
      <c r="L219" s="708"/>
      <c r="M219" s="708"/>
      <c r="N219" s="708"/>
      <c r="O219" s="708"/>
    </row>
    <row r="220" spans="1:15" x14ac:dyDescent="0.25">
      <c r="A220" s="708"/>
      <c r="B220" s="708"/>
      <c r="C220" s="708"/>
      <c r="D220" s="708"/>
      <c r="E220" s="708"/>
      <c r="F220" s="708"/>
      <c r="G220" s="708"/>
      <c r="H220" s="708"/>
      <c r="I220" s="708"/>
      <c r="J220" s="708"/>
      <c r="K220" s="708"/>
      <c r="L220" s="708"/>
      <c r="M220" s="708"/>
      <c r="N220" s="708"/>
      <c r="O220" s="708"/>
    </row>
    <row r="221" spans="1:15" x14ac:dyDescent="0.25">
      <c r="A221" s="708"/>
      <c r="B221" s="708"/>
      <c r="C221" s="708"/>
      <c r="D221" s="708"/>
      <c r="E221" s="708"/>
      <c r="F221" s="708"/>
      <c r="G221" s="708"/>
      <c r="H221" s="708"/>
      <c r="I221" s="708"/>
      <c r="J221" s="708"/>
      <c r="K221" s="708"/>
      <c r="L221" s="708"/>
      <c r="M221" s="708"/>
      <c r="N221" s="708"/>
      <c r="O221" s="708"/>
    </row>
    <row r="222" spans="1:15" x14ac:dyDescent="0.25">
      <c r="A222" s="708"/>
      <c r="B222" s="708"/>
      <c r="C222" s="708"/>
      <c r="D222" s="708"/>
      <c r="E222" s="708"/>
      <c r="F222" s="708"/>
      <c r="G222" s="708"/>
      <c r="H222" s="708"/>
      <c r="I222" s="708"/>
      <c r="J222" s="708"/>
      <c r="K222" s="708"/>
      <c r="L222" s="708"/>
      <c r="M222" s="708"/>
      <c r="N222" s="708"/>
      <c r="O222" s="708"/>
    </row>
    <row r="223" spans="1:15" x14ac:dyDescent="0.25">
      <c r="A223" s="708"/>
      <c r="B223" s="708"/>
      <c r="C223" s="708"/>
      <c r="D223" s="708"/>
      <c r="E223" s="708"/>
      <c r="F223" s="708"/>
      <c r="G223" s="708"/>
      <c r="H223" s="708"/>
      <c r="I223" s="708"/>
      <c r="J223" s="708"/>
      <c r="K223" s="708"/>
      <c r="L223" s="708"/>
      <c r="M223" s="708"/>
      <c r="N223" s="708"/>
      <c r="O223" s="708"/>
    </row>
    <row r="224" spans="1:15" x14ac:dyDescent="0.25">
      <c r="A224" s="708"/>
      <c r="B224" s="708"/>
      <c r="C224" s="708"/>
      <c r="D224" s="708"/>
      <c r="E224" s="708"/>
      <c r="F224" s="708"/>
      <c r="G224" s="708"/>
      <c r="H224" s="708"/>
      <c r="I224" s="708"/>
      <c r="J224" s="708"/>
      <c r="K224" s="708"/>
      <c r="L224" s="708"/>
      <c r="M224" s="708"/>
      <c r="N224" s="708"/>
      <c r="O224" s="708"/>
    </row>
    <row r="225" spans="1:15" x14ac:dyDescent="0.25">
      <c r="A225" s="708"/>
      <c r="B225" s="708"/>
      <c r="C225" s="708"/>
      <c r="D225" s="708"/>
      <c r="E225" s="708"/>
      <c r="F225" s="708"/>
      <c r="G225" s="708"/>
      <c r="H225" s="708"/>
      <c r="I225" s="708"/>
      <c r="J225" s="708"/>
      <c r="K225" s="708"/>
      <c r="L225" s="708"/>
      <c r="M225" s="708"/>
      <c r="N225" s="708"/>
      <c r="O225" s="708"/>
    </row>
    <row r="226" spans="1:15" x14ac:dyDescent="0.25">
      <c r="A226" s="708"/>
      <c r="B226" s="708"/>
      <c r="C226" s="708"/>
      <c r="D226" s="708"/>
      <c r="E226" s="708"/>
      <c r="F226" s="708"/>
      <c r="G226" s="708"/>
      <c r="H226" s="708"/>
      <c r="I226" s="708"/>
      <c r="J226" s="708"/>
      <c r="K226" s="708"/>
      <c r="L226" s="708"/>
      <c r="M226" s="708"/>
      <c r="N226" s="708"/>
      <c r="O226" s="708"/>
    </row>
    <row r="227" spans="1:15" x14ac:dyDescent="0.25">
      <c r="A227" s="708"/>
      <c r="B227" s="708"/>
      <c r="C227" s="708"/>
      <c r="D227" s="708"/>
      <c r="E227" s="708"/>
      <c r="F227" s="708"/>
      <c r="G227" s="708"/>
      <c r="H227" s="708"/>
      <c r="I227" s="708"/>
      <c r="J227" s="708"/>
      <c r="K227" s="708"/>
      <c r="L227" s="708"/>
      <c r="M227" s="708"/>
      <c r="N227" s="708"/>
      <c r="O227" s="708"/>
    </row>
    <row r="228" spans="1:15" x14ac:dyDescent="0.25">
      <c r="A228" s="708"/>
      <c r="B228" s="708"/>
      <c r="C228" s="708"/>
      <c r="D228" s="708"/>
      <c r="E228" s="708"/>
      <c r="F228" s="708"/>
      <c r="G228" s="708"/>
      <c r="H228" s="708"/>
      <c r="I228" s="708"/>
      <c r="J228" s="708"/>
      <c r="K228" s="708"/>
      <c r="L228" s="708"/>
      <c r="M228" s="708"/>
      <c r="N228" s="708"/>
      <c r="O228" s="708"/>
    </row>
    <row r="229" spans="1:15" x14ac:dyDescent="0.25">
      <c r="A229" s="708"/>
      <c r="B229" s="708"/>
      <c r="C229" s="708"/>
      <c r="D229" s="708"/>
      <c r="E229" s="708"/>
      <c r="F229" s="708"/>
      <c r="G229" s="708"/>
      <c r="H229" s="708"/>
      <c r="I229" s="708"/>
      <c r="J229" s="708"/>
      <c r="K229" s="708"/>
      <c r="L229" s="708"/>
      <c r="M229" s="708"/>
      <c r="N229" s="708"/>
      <c r="O229" s="708"/>
    </row>
    <row r="230" spans="1:15" x14ac:dyDescent="0.25">
      <c r="A230" s="708"/>
      <c r="B230" s="708"/>
      <c r="C230" s="708"/>
      <c r="D230" s="708"/>
      <c r="E230" s="708"/>
      <c r="F230" s="708"/>
      <c r="G230" s="708"/>
      <c r="H230" s="708"/>
      <c r="I230" s="708"/>
      <c r="J230" s="708"/>
      <c r="K230" s="708"/>
      <c r="L230" s="708"/>
      <c r="M230" s="708"/>
      <c r="N230" s="708"/>
      <c r="O230" s="708"/>
    </row>
    <row r="231" spans="1:15" x14ac:dyDescent="0.25">
      <c r="A231" s="708"/>
      <c r="B231" s="708"/>
      <c r="C231" s="708"/>
      <c r="D231" s="708"/>
      <c r="E231" s="708"/>
      <c r="F231" s="708"/>
      <c r="G231" s="708"/>
      <c r="H231" s="708"/>
      <c r="I231" s="708"/>
      <c r="J231" s="708"/>
      <c r="K231" s="708"/>
      <c r="L231" s="708"/>
      <c r="M231" s="708"/>
      <c r="N231" s="708"/>
      <c r="O231" s="708"/>
    </row>
    <row r="232" spans="1:15" x14ac:dyDescent="0.25">
      <c r="A232" s="708"/>
      <c r="B232" s="708"/>
      <c r="C232" s="708"/>
      <c r="D232" s="708"/>
      <c r="E232" s="708"/>
      <c r="F232" s="708"/>
      <c r="G232" s="708"/>
      <c r="H232" s="708"/>
      <c r="I232" s="708"/>
      <c r="J232" s="708"/>
      <c r="K232" s="708"/>
      <c r="L232" s="708"/>
      <c r="M232" s="708"/>
      <c r="N232" s="708"/>
      <c r="O232" s="708"/>
    </row>
    <row r="233" spans="1:15" x14ac:dyDescent="0.25">
      <c r="A233" s="708"/>
      <c r="B233" s="708"/>
      <c r="C233" s="708"/>
      <c r="D233" s="708"/>
      <c r="E233" s="708"/>
      <c r="F233" s="708"/>
      <c r="G233" s="708"/>
      <c r="H233" s="708"/>
      <c r="I233" s="708"/>
      <c r="J233" s="708"/>
      <c r="K233" s="708"/>
      <c r="L233" s="708"/>
      <c r="M233" s="708"/>
      <c r="N233" s="708"/>
      <c r="O233" s="708"/>
    </row>
    <row r="234" spans="1:15" x14ac:dyDescent="0.25">
      <c r="A234" s="708"/>
      <c r="B234" s="708"/>
      <c r="C234" s="708"/>
      <c r="D234" s="708"/>
      <c r="E234" s="708"/>
      <c r="F234" s="708"/>
      <c r="G234" s="708"/>
      <c r="H234" s="708"/>
      <c r="I234" s="708"/>
      <c r="J234" s="708"/>
      <c r="K234" s="708"/>
      <c r="L234" s="708"/>
      <c r="M234" s="708"/>
      <c r="N234" s="708"/>
      <c r="O234" s="708"/>
    </row>
    <row r="235" spans="1:15" x14ac:dyDescent="0.25">
      <c r="A235" s="708"/>
      <c r="B235" s="708"/>
      <c r="C235" s="708"/>
      <c r="D235" s="708"/>
      <c r="E235" s="708"/>
      <c r="F235" s="708"/>
      <c r="G235" s="708"/>
      <c r="H235" s="708"/>
      <c r="I235" s="708"/>
      <c r="J235" s="708"/>
      <c r="K235" s="708"/>
      <c r="L235" s="708"/>
      <c r="M235" s="708"/>
      <c r="N235" s="708"/>
      <c r="O235" s="708"/>
    </row>
    <row r="236" spans="1:15" x14ac:dyDescent="0.25">
      <c r="A236" s="708"/>
      <c r="B236" s="708"/>
      <c r="C236" s="708"/>
      <c r="D236" s="708"/>
      <c r="E236" s="708"/>
      <c r="F236" s="708"/>
      <c r="G236" s="708"/>
      <c r="H236" s="708"/>
      <c r="I236" s="708"/>
      <c r="J236" s="708"/>
      <c r="K236" s="708"/>
      <c r="L236" s="708"/>
      <c r="M236" s="708"/>
      <c r="N236" s="708"/>
      <c r="O236" s="708"/>
    </row>
    <row r="237" spans="1:15" x14ac:dyDescent="0.25">
      <c r="A237" s="708"/>
      <c r="B237" s="708"/>
      <c r="C237" s="708"/>
      <c r="D237" s="708"/>
      <c r="E237" s="708"/>
      <c r="F237" s="708"/>
      <c r="G237" s="708"/>
      <c r="H237" s="708"/>
      <c r="I237" s="708"/>
      <c r="J237" s="708"/>
      <c r="K237" s="708"/>
      <c r="L237" s="708"/>
      <c r="M237" s="708"/>
      <c r="N237" s="708"/>
      <c r="O237" s="708"/>
    </row>
    <row r="238" spans="1:15" x14ac:dyDescent="0.25">
      <c r="A238" s="708"/>
      <c r="B238" s="708"/>
      <c r="C238" s="708"/>
      <c r="D238" s="708"/>
      <c r="E238" s="708"/>
      <c r="F238" s="708"/>
      <c r="G238" s="708"/>
      <c r="H238" s="708"/>
      <c r="I238" s="708"/>
      <c r="J238" s="708"/>
      <c r="K238" s="708"/>
      <c r="L238" s="708"/>
      <c r="M238" s="708"/>
      <c r="N238" s="708"/>
      <c r="O238" s="708"/>
    </row>
    <row r="239" spans="1:15" x14ac:dyDescent="0.25">
      <c r="A239" s="708"/>
      <c r="B239" s="708"/>
      <c r="C239" s="708"/>
      <c r="D239" s="708"/>
      <c r="E239" s="708"/>
      <c r="F239" s="708"/>
      <c r="G239" s="708"/>
      <c r="H239" s="708"/>
      <c r="I239" s="708"/>
      <c r="J239" s="708"/>
      <c r="K239" s="708"/>
      <c r="L239" s="708"/>
      <c r="M239" s="708"/>
      <c r="N239" s="708"/>
      <c r="O239" s="708"/>
    </row>
    <row r="240" spans="1:15" x14ac:dyDescent="0.25">
      <c r="A240" s="708"/>
      <c r="B240" s="708"/>
      <c r="C240" s="708"/>
      <c r="D240" s="708"/>
      <c r="E240" s="708"/>
      <c r="F240" s="708"/>
      <c r="G240" s="708"/>
      <c r="H240" s="708"/>
      <c r="I240" s="708"/>
      <c r="J240" s="708"/>
      <c r="K240" s="708"/>
      <c r="L240" s="708"/>
      <c r="M240" s="708"/>
      <c r="N240" s="708"/>
      <c r="O240" s="708"/>
    </row>
    <row r="241" spans="1:15" x14ac:dyDescent="0.25">
      <c r="A241" s="708"/>
      <c r="B241" s="708"/>
      <c r="C241" s="708"/>
      <c r="D241" s="708"/>
      <c r="E241" s="708"/>
      <c r="F241" s="708"/>
      <c r="G241" s="708"/>
      <c r="H241" s="708"/>
      <c r="I241" s="708"/>
      <c r="J241" s="708"/>
      <c r="K241" s="708"/>
      <c r="L241" s="708"/>
      <c r="M241" s="708"/>
      <c r="N241" s="708"/>
      <c r="O241" s="708"/>
    </row>
    <row r="242" spans="1:15" x14ac:dyDescent="0.25">
      <c r="A242" s="708"/>
      <c r="B242" s="708"/>
      <c r="C242" s="708"/>
      <c r="D242" s="708"/>
      <c r="E242" s="708"/>
      <c r="F242" s="708"/>
      <c r="G242" s="708"/>
      <c r="H242" s="708"/>
      <c r="I242" s="708"/>
      <c r="J242" s="708"/>
      <c r="K242" s="708"/>
      <c r="L242" s="708"/>
      <c r="M242" s="708"/>
      <c r="N242" s="708"/>
      <c r="O242" s="708"/>
    </row>
    <row r="243" spans="1:15" x14ac:dyDescent="0.25">
      <c r="A243" s="708"/>
      <c r="B243" s="708"/>
      <c r="C243" s="708"/>
      <c r="D243" s="708"/>
      <c r="E243" s="708"/>
      <c r="F243" s="708"/>
      <c r="G243" s="708"/>
      <c r="H243" s="708"/>
      <c r="I243" s="708"/>
      <c r="J243" s="708"/>
      <c r="K243" s="708"/>
      <c r="L243" s="708"/>
      <c r="M243" s="708"/>
      <c r="N243" s="708"/>
      <c r="O243" s="708"/>
    </row>
    <row r="244" spans="1:15" x14ac:dyDescent="0.25">
      <c r="A244" s="708"/>
      <c r="B244" s="708"/>
      <c r="C244" s="708"/>
      <c r="D244" s="708"/>
      <c r="E244" s="708"/>
      <c r="F244" s="708"/>
      <c r="G244" s="708"/>
      <c r="H244" s="708"/>
      <c r="I244" s="708"/>
      <c r="J244" s="708"/>
      <c r="K244" s="708"/>
      <c r="L244" s="708"/>
      <c r="M244" s="708"/>
      <c r="N244" s="708"/>
      <c r="O244" s="708"/>
    </row>
    <row r="245" spans="1:15" x14ac:dyDescent="0.25">
      <c r="A245" s="708"/>
      <c r="B245" s="708"/>
      <c r="C245" s="708"/>
      <c r="D245" s="708"/>
      <c r="E245" s="708"/>
      <c r="F245" s="708"/>
      <c r="G245" s="708"/>
      <c r="H245" s="708"/>
      <c r="I245" s="708"/>
      <c r="J245" s="708"/>
      <c r="K245" s="708"/>
      <c r="L245" s="708"/>
      <c r="M245" s="708"/>
      <c r="N245" s="708"/>
      <c r="O245" s="708"/>
    </row>
    <row r="246" spans="1:15" x14ac:dyDescent="0.25">
      <c r="A246" s="708"/>
      <c r="B246" s="708"/>
      <c r="C246" s="708"/>
      <c r="D246" s="708"/>
      <c r="E246" s="708"/>
      <c r="F246" s="708"/>
      <c r="G246" s="708"/>
      <c r="H246" s="708"/>
      <c r="I246" s="708"/>
      <c r="J246" s="708"/>
      <c r="K246" s="708"/>
      <c r="L246" s="708"/>
      <c r="M246" s="708"/>
      <c r="N246" s="708"/>
      <c r="O246" s="708"/>
    </row>
    <row r="247" spans="1:15" x14ac:dyDescent="0.25">
      <c r="A247" s="708"/>
      <c r="B247" s="708"/>
      <c r="C247" s="708"/>
      <c r="D247" s="708"/>
      <c r="E247" s="708"/>
      <c r="F247" s="708"/>
      <c r="G247" s="708"/>
      <c r="H247" s="708"/>
      <c r="I247" s="708"/>
      <c r="J247" s="708"/>
      <c r="K247" s="708"/>
      <c r="L247" s="708"/>
      <c r="M247" s="708"/>
      <c r="N247" s="708"/>
      <c r="O247" s="708"/>
    </row>
    <row r="248" spans="1:15" x14ac:dyDescent="0.25">
      <c r="A248" s="708"/>
      <c r="B248" s="708"/>
      <c r="C248" s="708"/>
      <c r="D248" s="708"/>
      <c r="E248" s="708"/>
      <c r="F248" s="708"/>
      <c r="G248" s="708"/>
      <c r="H248" s="708"/>
      <c r="I248" s="708"/>
      <c r="J248" s="708"/>
      <c r="K248" s="708"/>
      <c r="L248" s="708"/>
      <c r="M248" s="708"/>
      <c r="N248" s="708"/>
      <c r="O248" s="708"/>
    </row>
    <row r="249" spans="1:15" x14ac:dyDescent="0.25">
      <c r="A249" s="708"/>
      <c r="B249" s="708"/>
      <c r="C249" s="708"/>
      <c r="D249" s="708"/>
      <c r="E249" s="708"/>
      <c r="F249" s="708"/>
      <c r="G249" s="708"/>
      <c r="H249" s="708"/>
      <c r="I249" s="708"/>
      <c r="J249" s="708"/>
      <c r="K249" s="708"/>
      <c r="L249" s="708"/>
      <c r="M249" s="708"/>
      <c r="N249" s="708"/>
      <c r="O249" s="708"/>
    </row>
    <row r="250" spans="1:15" x14ac:dyDescent="0.25">
      <c r="A250" s="708"/>
      <c r="B250" s="708"/>
      <c r="C250" s="708"/>
      <c r="D250" s="708"/>
      <c r="E250" s="708"/>
      <c r="F250" s="708"/>
      <c r="G250" s="708"/>
      <c r="H250" s="708"/>
      <c r="I250" s="708"/>
      <c r="J250" s="708"/>
      <c r="K250" s="708"/>
      <c r="L250" s="708"/>
      <c r="M250" s="708"/>
      <c r="N250" s="708"/>
      <c r="O250" s="708"/>
    </row>
    <row r="251" spans="1:15" x14ac:dyDescent="0.25">
      <c r="A251" s="708"/>
      <c r="B251" s="708"/>
      <c r="C251" s="708"/>
      <c r="D251" s="708"/>
      <c r="E251" s="708"/>
      <c r="F251" s="708"/>
      <c r="G251" s="708"/>
      <c r="H251" s="708"/>
      <c r="I251" s="708"/>
      <c r="J251" s="708"/>
      <c r="K251" s="708"/>
      <c r="L251" s="708"/>
      <c r="M251" s="708"/>
      <c r="N251" s="708"/>
      <c r="O251" s="708"/>
    </row>
    <row r="252" spans="1:15" x14ac:dyDescent="0.25">
      <c r="A252" s="708"/>
      <c r="B252" s="708"/>
      <c r="C252" s="708"/>
      <c r="D252" s="708"/>
      <c r="E252" s="708"/>
      <c r="F252" s="708"/>
      <c r="G252" s="708"/>
      <c r="H252" s="708"/>
      <c r="I252" s="708"/>
      <c r="J252" s="708"/>
      <c r="K252" s="708"/>
      <c r="L252" s="708"/>
      <c r="M252" s="708"/>
      <c r="N252" s="708"/>
      <c r="O252" s="708"/>
    </row>
    <row r="253" spans="1:15" x14ac:dyDescent="0.25">
      <c r="A253" s="708"/>
      <c r="B253" s="708"/>
      <c r="C253" s="708"/>
      <c r="D253" s="708"/>
      <c r="E253" s="708"/>
      <c r="F253" s="708"/>
      <c r="G253" s="708"/>
      <c r="H253" s="708"/>
      <c r="I253" s="708"/>
      <c r="J253" s="708"/>
      <c r="K253" s="708"/>
      <c r="L253" s="708"/>
      <c r="M253" s="708"/>
      <c r="N253" s="708"/>
      <c r="O253" s="708"/>
    </row>
    <row r="254" spans="1:15" x14ac:dyDescent="0.25">
      <c r="A254" s="708"/>
      <c r="B254" s="708"/>
      <c r="C254" s="708"/>
      <c r="D254" s="708"/>
      <c r="E254" s="708"/>
      <c r="F254" s="708"/>
      <c r="G254" s="708"/>
      <c r="H254" s="708"/>
      <c r="I254" s="708"/>
      <c r="J254" s="708"/>
      <c r="K254" s="708"/>
      <c r="L254" s="708"/>
      <c r="M254" s="708"/>
      <c r="N254" s="708"/>
      <c r="O254" s="708"/>
    </row>
    <row r="255" spans="1:15" x14ac:dyDescent="0.25">
      <c r="A255" s="708"/>
      <c r="B255" s="708"/>
      <c r="C255" s="708"/>
      <c r="D255" s="708"/>
      <c r="E255" s="708"/>
      <c r="F255" s="708"/>
      <c r="G255" s="708"/>
      <c r="H255" s="708"/>
      <c r="I255" s="708"/>
      <c r="J255" s="708"/>
      <c r="K255" s="708"/>
      <c r="L255" s="708"/>
      <c r="M255" s="708"/>
      <c r="N255" s="708"/>
      <c r="O255" s="708"/>
    </row>
    <row r="256" spans="1:15" x14ac:dyDescent="0.25">
      <c r="A256" s="708"/>
      <c r="B256" s="708"/>
      <c r="C256" s="708"/>
      <c r="D256" s="708"/>
      <c r="E256" s="708"/>
      <c r="F256" s="708"/>
      <c r="G256" s="708"/>
      <c r="H256" s="708"/>
      <c r="I256" s="708"/>
      <c r="J256" s="708"/>
      <c r="K256" s="708"/>
      <c r="L256" s="708"/>
      <c r="M256" s="708"/>
      <c r="N256" s="708"/>
      <c r="O256" s="708"/>
    </row>
    <row r="257" spans="1:15" x14ac:dyDescent="0.25">
      <c r="A257" s="708"/>
      <c r="B257" s="708"/>
      <c r="C257" s="708"/>
      <c r="D257" s="708"/>
      <c r="E257" s="708"/>
      <c r="F257" s="708"/>
      <c r="G257" s="708"/>
      <c r="H257" s="708"/>
      <c r="I257" s="708"/>
      <c r="J257" s="708"/>
      <c r="K257" s="708"/>
      <c r="L257" s="708"/>
      <c r="M257" s="708"/>
      <c r="N257" s="708"/>
      <c r="O257" s="708"/>
    </row>
    <row r="258" spans="1:15" x14ac:dyDescent="0.25">
      <c r="A258" s="708"/>
      <c r="B258" s="708"/>
      <c r="C258" s="708"/>
      <c r="D258" s="708"/>
      <c r="E258" s="708"/>
      <c r="F258" s="708"/>
      <c r="G258" s="708"/>
      <c r="H258" s="708"/>
      <c r="I258" s="708"/>
      <c r="J258" s="708"/>
      <c r="K258" s="708"/>
      <c r="L258" s="708"/>
      <c r="M258" s="708"/>
      <c r="N258" s="708"/>
      <c r="O258" s="708"/>
    </row>
    <row r="259" spans="1:15" x14ac:dyDescent="0.25">
      <c r="A259" s="708"/>
      <c r="B259" s="708"/>
      <c r="C259" s="708"/>
      <c r="D259" s="708"/>
      <c r="E259" s="708"/>
      <c r="F259" s="708"/>
      <c r="G259" s="708"/>
      <c r="H259" s="708"/>
      <c r="I259" s="708"/>
      <c r="J259" s="708"/>
      <c r="K259" s="708"/>
      <c r="L259" s="708"/>
      <c r="M259" s="708"/>
      <c r="N259" s="708"/>
      <c r="O259" s="708"/>
    </row>
    <row r="260" spans="1:15" x14ac:dyDescent="0.25">
      <c r="A260" s="708"/>
      <c r="B260" s="708"/>
      <c r="C260" s="708"/>
      <c r="D260" s="708"/>
      <c r="E260" s="708"/>
      <c r="F260" s="708"/>
      <c r="G260" s="708"/>
      <c r="H260" s="708"/>
      <c r="I260" s="708"/>
      <c r="J260" s="708"/>
      <c r="K260" s="708"/>
      <c r="L260" s="708"/>
      <c r="M260" s="708"/>
      <c r="N260" s="708"/>
      <c r="O260" s="708"/>
    </row>
    <row r="261" spans="1:15" x14ac:dyDescent="0.25">
      <c r="A261" s="708"/>
      <c r="B261" s="708"/>
      <c r="C261" s="708"/>
      <c r="D261" s="708"/>
      <c r="E261" s="708"/>
      <c r="F261" s="708"/>
      <c r="G261" s="708"/>
      <c r="H261" s="708"/>
      <c r="I261" s="708"/>
      <c r="J261" s="708"/>
      <c r="K261" s="708"/>
      <c r="L261" s="708"/>
      <c r="M261" s="708"/>
      <c r="N261" s="708"/>
      <c r="O261" s="708"/>
    </row>
    <row r="262" spans="1:15" x14ac:dyDescent="0.25">
      <c r="A262" s="708"/>
      <c r="B262" s="708"/>
      <c r="C262" s="708"/>
      <c r="D262" s="708"/>
      <c r="E262" s="708"/>
      <c r="F262" s="708"/>
      <c r="G262" s="708"/>
      <c r="H262" s="708"/>
      <c r="I262" s="708"/>
      <c r="J262" s="708"/>
      <c r="K262" s="708"/>
      <c r="L262" s="708"/>
      <c r="M262" s="708"/>
      <c r="N262" s="708"/>
      <c r="O262" s="708"/>
    </row>
    <row r="263" spans="1:15" x14ac:dyDescent="0.25">
      <c r="A263" s="708"/>
      <c r="B263" s="708"/>
      <c r="C263" s="708"/>
      <c r="D263" s="708"/>
      <c r="E263" s="708"/>
      <c r="F263" s="708"/>
      <c r="G263" s="708"/>
      <c r="H263" s="708"/>
      <c r="I263" s="708"/>
      <c r="J263" s="708"/>
      <c r="K263" s="708"/>
      <c r="L263" s="708"/>
      <c r="M263" s="708"/>
      <c r="N263" s="708"/>
      <c r="O263" s="708"/>
    </row>
    <row r="264" spans="1:15" x14ac:dyDescent="0.25">
      <c r="A264" s="708"/>
      <c r="B264" s="708"/>
      <c r="C264" s="708"/>
      <c r="D264" s="708"/>
      <c r="E264" s="708"/>
      <c r="F264" s="708"/>
      <c r="G264" s="708"/>
      <c r="H264" s="708"/>
      <c r="I264" s="708"/>
      <c r="J264" s="708"/>
      <c r="K264" s="708"/>
      <c r="L264" s="708"/>
      <c r="M264" s="708"/>
      <c r="N264" s="708"/>
      <c r="O264" s="708"/>
    </row>
    <row r="265" spans="1:15" x14ac:dyDescent="0.25">
      <c r="A265" s="708"/>
      <c r="B265" s="708"/>
      <c r="C265" s="708"/>
      <c r="D265" s="708"/>
      <c r="E265" s="708"/>
      <c r="F265" s="708"/>
      <c r="G265" s="708"/>
      <c r="H265" s="708"/>
      <c r="I265" s="708"/>
      <c r="J265" s="708"/>
      <c r="K265" s="708"/>
      <c r="L265" s="708"/>
      <c r="M265" s="708"/>
      <c r="N265" s="708"/>
      <c r="O265" s="708"/>
    </row>
    <row r="266" spans="1:15" x14ac:dyDescent="0.25">
      <c r="A266" s="708"/>
      <c r="B266" s="708"/>
      <c r="C266" s="708"/>
      <c r="D266" s="708"/>
      <c r="E266" s="708"/>
      <c r="F266" s="708"/>
      <c r="G266" s="708"/>
      <c r="H266" s="708"/>
      <c r="I266" s="708"/>
      <c r="J266" s="708"/>
      <c r="K266" s="708"/>
      <c r="L266" s="708"/>
      <c r="M266" s="708"/>
      <c r="N266" s="708"/>
      <c r="O266" s="708"/>
    </row>
    <row r="267" spans="1:15" x14ac:dyDescent="0.25">
      <c r="A267" s="708"/>
      <c r="B267" s="708"/>
      <c r="C267" s="708"/>
      <c r="D267" s="708"/>
      <c r="E267" s="708"/>
      <c r="F267" s="708"/>
      <c r="G267" s="708"/>
      <c r="H267" s="708"/>
      <c r="I267" s="708"/>
      <c r="J267" s="708"/>
      <c r="K267" s="708"/>
      <c r="L267" s="708"/>
      <c r="M267" s="708"/>
      <c r="N267" s="708"/>
      <c r="O267" s="708"/>
    </row>
    <row r="268" spans="1:15" x14ac:dyDescent="0.25">
      <c r="A268" s="708"/>
      <c r="B268" s="708"/>
      <c r="C268" s="708"/>
      <c r="D268" s="708"/>
      <c r="E268" s="708"/>
      <c r="F268" s="708"/>
      <c r="G268" s="708"/>
      <c r="H268" s="708"/>
      <c r="I268" s="708"/>
      <c r="J268" s="708"/>
      <c r="K268" s="708"/>
      <c r="L268" s="708"/>
      <c r="M268" s="708"/>
      <c r="N268" s="708"/>
      <c r="O268" s="708"/>
    </row>
    <row r="269" spans="1:15" x14ac:dyDescent="0.25">
      <c r="A269" s="708"/>
      <c r="B269" s="708"/>
      <c r="C269" s="708"/>
      <c r="D269" s="708"/>
      <c r="E269" s="708"/>
      <c r="F269" s="708"/>
      <c r="G269" s="708"/>
      <c r="H269" s="708"/>
      <c r="I269" s="708"/>
      <c r="J269" s="708"/>
      <c r="K269" s="708"/>
      <c r="L269" s="708"/>
      <c r="M269" s="708"/>
      <c r="N269" s="708"/>
      <c r="O269" s="708"/>
    </row>
    <row r="270" spans="1:15" x14ac:dyDescent="0.25">
      <c r="A270" s="708"/>
      <c r="B270" s="708"/>
      <c r="C270" s="708"/>
      <c r="D270" s="708"/>
      <c r="E270" s="708"/>
      <c r="F270" s="708"/>
      <c r="G270" s="708"/>
      <c r="H270" s="708"/>
      <c r="I270" s="708"/>
      <c r="J270" s="708"/>
      <c r="K270" s="708"/>
      <c r="L270" s="708"/>
      <c r="M270" s="708"/>
      <c r="N270" s="708"/>
      <c r="O270" s="708"/>
    </row>
    <row r="271" spans="1:15" x14ac:dyDescent="0.25">
      <c r="A271" s="708"/>
      <c r="B271" s="708"/>
      <c r="C271" s="708"/>
      <c r="D271" s="708"/>
      <c r="E271" s="708"/>
      <c r="F271" s="708"/>
      <c r="G271" s="708"/>
      <c r="H271" s="708"/>
      <c r="I271" s="708"/>
      <c r="J271" s="708"/>
      <c r="K271" s="708"/>
      <c r="L271" s="708"/>
      <c r="M271" s="708"/>
      <c r="N271" s="708"/>
      <c r="O271" s="708"/>
    </row>
    <row r="272" spans="1:15" x14ac:dyDescent="0.25">
      <c r="A272" s="708"/>
      <c r="B272" s="708"/>
      <c r="C272" s="708"/>
      <c r="D272" s="708"/>
      <c r="E272" s="708"/>
      <c r="F272" s="708"/>
      <c r="G272" s="708"/>
      <c r="H272" s="708"/>
      <c r="I272" s="708"/>
      <c r="J272" s="708"/>
      <c r="K272" s="708"/>
      <c r="L272" s="708"/>
      <c r="M272" s="708"/>
      <c r="N272" s="708"/>
      <c r="O272" s="708"/>
    </row>
    <row r="273" spans="1:15" x14ac:dyDescent="0.25">
      <c r="A273" s="708"/>
      <c r="B273" s="708"/>
      <c r="C273" s="708"/>
      <c r="D273" s="708"/>
      <c r="E273" s="708"/>
      <c r="F273" s="708"/>
      <c r="G273" s="708"/>
      <c r="H273" s="708"/>
      <c r="I273" s="708"/>
      <c r="J273" s="708"/>
      <c r="K273" s="708"/>
      <c r="L273" s="708"/>
      <c r="M273" s="708"/>
      <c r="N273" s="708"/>
      <c r="O273" s="708"/>
    </row>
    <row r="274" spans="1:15" x14ac:dyDescent="0.25">
      <c r="A274" s="708"/>
      <c r="B274" s="708"/>
      <c r="C274" s="708"/>
      <c r="D274" s="708"/>
      <c r="E274" s="708"/>
      <c r="F274" s="708"/>
      <c r="G274" s="708"/>
      <c r="H274" s="708"/>
      <c r="I274" s="708"/>
      <c r="J274" s="708"/>
      <c r="K274" s="708"/>
      <c r="L274" s="708"/>
      <c r="M274" s="708"/>
      <c r="N274" s="708"/>
      <c r="O274" s="708"/>
    </row>
    <row r="275" spans="1:15" x14ac:dyDescent="0.25">
      <c r="A275" s="708"/>
      <c r="B275" s="708"/>
      <c r="C275" s="708"/>
      <c r="D275" s="708"/>
      <c r="E275" s="708"/>
      <c r="F275" s="708"/>
      <c r="G275" s="708"/>
      <c r="H275" s="708"/>
      <c r="I275" s="708"/>
      <c r="J275" s="708"/>
      <c r="K275" s="708"/>
      <c r="L275" s="708"/>
      <c r="M275" s="708"/>
      <c r="N275" s="708"/>
      <c r="O275" s="708"/>
    </row>
    <row r="276" spans="1:15" x14ac:dyDescent="0.25">
      <c r="A276" s="708"/>
      <c r="B276" s="708"/>
      <c r="C276" s="708"/>
      <c r="D276" s="708"/>
      <c r="E276" s="708"/>
      <c r="F276" s="708"/>
      <c r="G276" s="708"/>
      <c r="H276" s="708"/>
      <c r="I276" s="708"/>
      <c r="J276" s="708"/>
      <c r="K276" s="708"/>
      <c r="L276" s="708"/>
      <c r="M276" s="708"/>
      <c r="N276" s="708"/>
      <c r="O276" s="708"/>
    </row>
    <row r="277" spans="1:15" x14ac:dyDescent="0.25">
      <c r="A277" s="708"/>
      <c r="B277" s="708"/>
      <c r="C277" s="708"/>
      <c r="D277" s="708"/>
      <c r="E277" s="708"/>
      <c r="F277" s="708"/>
      <c r="G277" s="708"/>
      <c r="H277" s="708"/>
      <c r="I277" s="708"/>
      <c r="J277" s="708"/>
      <c r="K277" s="708"/>
      <c r="L277" s="708"/>
      <c r="M277" s="708"/>
      <c r="N277" s="708"/>
      <c r="O277" s="708"/>
    </row>
    <row r="278" spans="1:15" x14ac:dyDescent="0.25">
      <c r="A278" s="708"/>
      <c r="B278" s="708"/>
      <c r="C278" s="708"/>
      <c r="D278" s="708"/>
      <c r="E278" s="708"/>
      <c r="F278" s="708"/>
      <c r="G278" s="708"/>
      <c r="H278" s="708"/>
      <c r="I278" s="708"/>
      <c r="J278" s="708"/>
      <c r="K278" s="708"/>
      <c r="L278" s="708"/>
      <c r="M278" s="708"/>
      <c r="N278" s="708"/>
      <c r="O278" s="708"/>
    </row>
    <row r="279" spans="1:15" x14ac:dyDescent="0.25">
      <c r="A279" s="708"/>
      <c r="B279" s="708"/>
      <c r="C279" s="708"/>
      <c r="D279" s="708"/>
      <c r="E279" s="708"/>
      <c r="F279" s="708"/>
      <c r="G279" s="708"/>
      <c r="H279" s="708"/>
      <c r="I279" s="708"/>
      <c r="J279" s="708"/>
      <c r="K279" s="708"/>
      <c r="L279" s="708"/>
      <c r="M279" s="708"/>
      <c r="N279" s="708"/>
      <c r="O279" s="708"/>
    </row>
    <row r="280" spans="1:15" x14ac:dyDescent="0.25">
      <c r="A280" s="708"/>
      <c r="B280" s="708"/>
      <c r="C280" s="708"/>
      <c r="D280" s="708"/>
      <c r="E280" s="708"/>
      <c r="F280" s="708"/>
      <c r="G280" s="708"/>
      <c r="H280" s="708"/>
      <c r="I280" s="708"/>
      <c r="J280" s="708"/>
      <c r="K280" s="708"/>
      <c r="L280" s="708"/>
      <c r="M280" s="708"/>
      <c r="N280" s="708"/>
      <c r="O280" s="708"/>
    </row>
    <row r="281" spans="1:15" x14ac:dyDescent="0.25">
      <c r="A281" s="708"/>
      <c r="B281" s="708"/>
      <c r="C281" s="708"/>
      <c r="D281" s="708"/>
      <c r="E281" s="708"/>
      <c r="F281" s="708"/>
      <c r="G281" s="708"/>
      <c r="H281" s="708"/>
      <c r="I281" s="708"/>
      <c r="J281" s="708"/>
      <c r="K281" s="708"/>
      <c r="L281" s="708"/>
      <c r="M281" s="708"/>
      <c r="N281" s="708"/>
      <c r="O281" s="708"/>
    </row>
    <row r="282" spans="1:15" x14ac:dyDescent="0.25">
      <c r="A282" s="708"/>
      <c r="B282" s="708"/>
      <c r="C282" s="708"/>
      <c r="D282" s="708"/>
      <c r="E282" s="708"/>
      <c r="F282" s="708"/>
      <c r="G282" s="708"/>
      <c r="H282" s="708"/>
      <c r="I282" s="708"/>
      <c r="J282" s="708"/>
      <c r="K282" s="708"/>
      <c r="L282" s="708"/>
      <c r="M282" s="708"/>
      <c r="N282" s="708"/>
      <c r="O282" s="708"/>
    </row>
    <row r="283" spans="1:15" x14ac:dyDescent="0.25">
      <c r="A283" s="708"/>
      <c r="B283" s="708"/>
      <c r="C283" s="708"/>
      <c r="D283" s="708"/>
      <c r="E283" s="708"/>
      <c r="F283" s="708"/>
      <c r="G283" s="708"/>
      <c r="H283" s="708"/>
      <c r="I283" s="708"/>
      <c r="J283" s="708"/>
      <c r="K283" s="708"/>
      <c r="L283" s="708"/>
      <c r="M283" s="708"/>
      <c r="N283" s="708"/>
      <c r="O283" s="708"/>
    </row>
    <row r="284" spans="1:15" x14ac:dyDescent="0.25">
      <c r="A284" s="708"/>
      <c r="B284" s="708"/>
      <c r="C284" s="708"/>
      <c r="D284" s="708"/>
      <c r="E284" s="708"/>
      <c r="F284" s="708"/>
      <c r="G284" s="708"/>
      <c r="H284" s="708"/>
      <c r="I284" s="708"/>
      <c r="J284" s="708"/>
      <c r="K284" s="708"/>
      <c r="L284" s="708"/>
      <c r="M284" s="708"/>
      <c r="N284" s="708"/>
      <c r="O284" s="708"/>
    </row>
    <row r="285" spans="1:15" x14ac:dyDescent="0.25">
      <c r="A285" s="708"/>
      <c r="B285" s="708"/>
      <c r="C285" s="708"/>
      <c r="D285" s="708"/>
      <c r="E285" s="708"/>
      <c r="F285" s="708"/>
      <c r="G285" s="708"/>
      <c r="H285" s="708"/>
      <c r="I285" s="708"/>
      <c r="J285" s="708"/>
      <c r="K285" s="708"/>
      <c r="L285" s="708"/>
      <c r="M285" s="708"/>
      <c r="N285" s="708"/>
      <c r="O285" s="708"/>
    </row>
    <row r="286" spans="1:15" x14ac:dyDescent="0.25">
      <c r="A286" s="708"/>
      <c r="B286" s="708"/>
      <c r="C286" s="708"/>
      <c r="D286" s="708"/>
      <c r="E286" s="708"/>
      <c r="F286" s="708"/>
      <c r="G286" s="708"/>
      <c r="H286" s="708"/>
      <c r="I286" s="708"/>
      <c r="J286" s="708"/>
      <c r="K286" s="708"/>
      <c r="L286" s="708"/>
      <c r="M286" s="708"/>
      <c r="N286" s="708"/>
      <c r="O286" s="708"/>
    </row>
    <row r="287" spans="1:15" x14ac:dyDescent="0.25">
      <c r="A287" s="708"/>
      <c r="B287" s="708"/>
      <c r="C287" s="708"/>
      <c r="D287" s="708"/>
      <c r="E287" s="708"/>
      <c r="F287" s="708"/>
      <c r="G287" s="708"/>
      <c r="H287" s="708"/>
      <c r="I287" s="708"/>
      <c r="J287" s="708"/>
      <c r="K287" s="708"/>
      <c r="L287" s="708"/>
      <c r="M287" s="708"/>
      <c r="N287" s="708"/>
      <c r="O287" s="708"/>
    </row>
    <row r="288" spans="1:15" x14ac:dyDescent="0.25">
      <c r="A288" s="708"/>
      <c r="B288" s="708"/>
      <c r="C288" s="708"/>
      <c r="D288" s="708"/>
      <c r="E288" s="708"/>
      <c r="F288" s="708"/>
      <c r="G288" s="708"/>
      <c r="H288" s="708"/>
      <c r="I288" s="708"/>
      <c r="J288" s="708"/>
      <c r="K288" s="708"/>
      <c r="L288" s="708"/>
      <c r="M288" s="708"/>
      <c r="N288" s="708"/>
      <c r="O288" s="708"/>
    </row>
    <row r="289" spans="1:15" x14ac:dyDescent="0.25">
      <c r="A289" s="708"/>
      <c r="B289" s="708"/>
      <c r="C289" s="708"/>
      <c r="D289" s="708"/>
      <c r="E289" s="708"/>
      <c r="F289" s="708"/>
      <c r="G289" s="708"/>
      <c r="H289" s="708"/>
      <c r="I289" s="708"/>
      <c r="J289" s="708"/>
      <c r="K289" s="708"/>
      <c r="L289" s="708"/>
      <c r="M289" s="708"/>
      <c r="N289" s="708"/>
      <c r="O289" s="708"/>
    </row>
    <row r="290" spans="1:15" x14ac:dyDescent="0.25">
      <c r="A290" s="708"/>
      <c r="B290" s="708"/>
      <c r="C290" s="708"/>
      <c r="D290" s="708"/>
      <c r="E290" s="708"/>
      <c r="F290" s="708"/>
      <c r="G290" s="708"/>
      <c r="H290" s="708"/>
      <c r="I290" s="708"/>
      <c r="J290" s="708"/>
      <c r="K290" s="708"/>
      <c r="L290" s="708"/>
      <c r="M290" s="708"/>
      <c r="N290" s="708"/>
      <c r="O290" s="708"/>
    </row>
    <row r="291" spans="1:15" x14ac:dyDescent="0.25">
      <c r="A291" s="708"/>
      <c r="B291" s="708"/>
      <c r="C291" s="708"/>
      <c r="D291" s="708"/>
      <c r="E291" s="708"/>
      <c r="F291" s="708"/>
      <c r="G291" s="708"/>
      <c r="H291" s="708"/>
      <c r="I291" s="708"/>
      <c r="J291" s="708"/>
      <c r="K291" s="708"/>
      <c r="L291" s="708"/>
      <c r="M291" s="708"/>
      <c r="N291" s="708"/>
      <c r="O291" s="708"/>
    </row>
    <row r="292" spans="1:15" x14ac:dyDescent="0.25">
      <c r="A292" s="708"/>
      <c r="B292" s="708"/>
      <c r="C292" s="708"/>
      <c r="D292" s="708"/>
      <c r="E292" s="708"/>
      <c r="F292" s="708"/>
      <c r="G292" s="708"/>
      <c r="H292" s="708"/>
      <c r="I292" s="708"/>
      <c r="J292" s="708"/>
      <c r="K292" s="708"/>
      <c r="L292" s="708"/>
      <c r="M292" s="708"/>
      <c r="N292" s="708"/>
      <c r="O292" s="708"/>
    </row>
    <row r="293" spans="1:15" x14ac:dyDescent="0.25">
      <c r="A293" s="708"/>
      <c r="B293" s="708"/>
      <c r="C293" s="708"/>
      <c r="D293" s="708"/>
      <c r="E293" s="708"/>
      <c r="F293" s="708"/>
      <c r="G293" s="708"/>
      <c r="H293" s="708"/>
      <c r="I293" s="708"/>
      <c r="J293" s="708"/>
      <c r="K293" s="708"/>
      <c r="L293" s="708"/>
      <c r="M293" s="708"/>
      <c r="N293" s="708"/>
      <c r="O293" s="708"/>
    </row>
    <row r="294" spans="1:15" x14ac:dyDescent="0.25">
      <c r="A294" s="708"/>
      <c r="B294" s="708"/>
      <c r="C294" s="708"/>
      <c r="D294" s="708"/>
      <c r="E294" s="708"/>
      <c r="F294" s="708"/>
      <c r="G294" s="708"/>
      <c r="H294" s="708"/>
      <c r="I294" s="708"/>
      <c r="J294" s="708"/>
      <c r="K294" s="708"/>
      <c r="L294" s="708"/>
      <c r="M294" s="708"/>
      <c r="N294" s="708"/>
      <c r="O294" s="708"/>
    </row>
    <row r="295" spans="1:15" x14ac:dyDescent="0.25">
      <c r="A295" s="708"/>
      <c r="B295" s="708"/>
      <c r="C295" s="708"/>
      <c r="D295" s="708"/>
      <c r="E295" s="708"/>
      <c r="F295" s="708"/>
      <c r="G295" s="708"/>
      <c r="H295" s="708"/>
      <c r="I295" s="708"/>
      <c r="J295" s="708"/>
      <c r="K295" s="708"/>
      <c r="L295" s="708"/>
      <c r="M295" s="708"/>
      <c r="N295" s="708"/>
      <c r="O295" s="708"/>
    </row>
    <row r="296" spans="1:15" x14ac:dyDescent="0.25">
      <c r="A296" s="708"/>
      <c r="B296" s="708"/>
      <c r="C296" s="708"/>
      <c r="D296" s="708"/>
      <c r="E296" s="708"/>
      <c r="F296" s="708"/>
      <c r="G296" s="708"/>
      <c r="H296" s="708"/>
      <c r="I296" s="708"/>
      <c r="J296" s="708"/>
      <c r="K296" s="708"/>
      <c r="L296" s="708"/>
      <c r="M296" s="708"/>
      <c r="N296" s="708"/>
      <c r="O296" s="708"/>
    </row>
    <row r="297" spans="1:15" x14ac:dyDescent="0.25">
      <c r="A297" s="708"/>
      <c r="B297" s="708"/>
      <c r="C297" s="708"/>
      <c r="D297" s="708"/>
      <c r="E297" s="708"/>
      <c r="F297" s="708"/>
      <c r="G297" s="708"/>
      <c r="H297" s="708"/>
      <c r="I297" s="708"/>
      <c r="J297" s="708"/>
      <c r="K297" s="708"/>
      <c r="L297" s="708"/>
      <c r="M297" s="708"/>
      <c r="N297" s="708"/>
      <c r="O297" s="708"/>
    </row>
    <row r="298" spans="1:15" x14ac:dyDescent="0.25">
      <c r="A298" s="708"/>
      <c r="B298" s="708"/>
      <c r="C298" s="708"/>
      <c r="D298" s="708"/>
      <c r="E298" s="708"/>
      <c r="F298" s="708"/>
      <c r="G298" s="708"/>
      <c r="H298" s="708"/>
      <c r="I298" s="708"/>
      <c r="J298" s="708"/>
      <c r="K298" s="708"/>
      <c r="L298" s="708"/>
      <c r="M298" s="708"/>
      <c r="N298" s="708"/>
      <c r="O298" s="708"/>
    </row>
    <row r="299" spans="1:15" x14ac:dyDescent="0.25">
      <c r="A299" s="708"/>
      <c r="B299" s="708"/>
      <c r="C299" s="708"/>
      <c r="D299" s="708"/>
      <c r="E299" s="708"/>
      <c r="F299" s="708"/>
      <c r="G299" s="708"/>
      <c r="H299" s="708"/>
      <c r="I299" s="708"/>
      <c r="J299" s="708"/>
      <c r="K299" s="708"/>
      <c r="L299" s="708"/>
      <c r="M299" s="708"/>
      <c r="N299" s="708"/>
      <c r="O299" s="708"/>
    </row>
    <row r="300" spans="1:15" x14ac:dyDescent="0.25">
      <c r="A300" s="708"/>
      <c r="B300" s="708"/>
      <c r="C300" s="708"/>
      <c r="D300" s="708"/>
      <c r="E300" s="708"/>
      <c r="F300" s="708"/>
      <c r="G300" s="708"/>
      <c r="H300" s="708"/>
      <c r="I300" s="708"/>
      <c r="J300" s="708"/>
      <c r="K300" s="708"/>
      <c r="L300" s="708"/>
      <c r="M300" s="708"/>
      <c r="N300" s="708"/>
      <c r="O300" s="708"/>
    </row>
    <row r="301" spans="1:15" x14ac:dyDescent="0.25">
      <c r="A301" s="708"/>
      <c r="B301" s="708"/>
      <c r="C301" s="708"/>
      <c r="D301" s="708"/>
      <c r="E301" s="708"/>
      <c r="F301" s="708"/>
      <c r="G301" s="708"/>
      <c r="H301" s="708"/>
      <c r="I301" s="708"/>
      <c r="J301" s="708"/>
      <c r="K301" s="708"/>
      <c r="L301" s="708"/>
      <c r="M301" s="708"/>
      <c r="N301" s="708"/>
      <c r="O301" s="708"/>
    </row>
    <row r="302" spans="1:15" x14ac:dyDescent="0.25">
      <c r="A302" s="708"/>
      <c r="B302" s="708"/>
      <c r="C302" s="708"/>
      <c r="D302" s="708"/>
      <c r="E302" s="708"/>
      <c r="F302" s="708"/>
      <c r="G302" s="708"/>
      <c r="H302" s="708"/>
      <c r="I302" s="708"/>
      <c r="J302" s="708"/>
      <c r="K302" s="708"/>
      <c r="L302" s="708"/>
      <c r="M302" s="708"/>
      <c r="N302" s="708"/>
      <c r="O302" s="708"/>
    </row>
    <row r="303" spans="1:15" x14ac:dyDescent="0.25">
      <c r="A303" s="708"/>
      <c r="B303" s="708"/>
      <c r="C303" s="708"/>
      <c r="D303" s="708"/>
      <c r="E303" s="708"/>
      <c r="F303" s="708"/>
      <c r="G303" s="708"/>
      <c r="H303" s="708"/>
      <c r="I303" s="708"/>
      <c r="J303" s="708"/>
      <c r="K303" s="708"/>
      <c r="L303" s="708"/>
      <c r="M303" s="708"/>
      <c r="N303" s="708"/>
      <c r="O303" s="708"/>
    </row>
    <row r="304" spans="1:15" x14ac:dyDescent="0.25">
      <c r="A304" s="708"/>
      <c r="B304" s="708"/>
      <c r="C304" s="708"/>
      <c r="D304" s="708"/>
      <c r="E304" s="708"/>
      <c r="F304" s="708"/>
      <c r="G304" s="708"/>
      <c r="H304" s="708"/>
      <c r="I304" s="708"/>
      <c r="J304" s="708"/>
      <c r="K304" s="708"/>
      <c r="L304" s="708"/>
      <c r="M304" s="708"/>
      <c r="N304" s="708"/>
      <c r="O304" s="708"/>
    </row>
    <row r="305" spans="1:15" x14ac:dyDescent="0.25">
      <c r="A305" s="708"/>
      <c r="B305" s="708"/>
      <c r="C305" s="708"/>
      <c r="D305" s="708"/>
      <c r="E305" s="708"/>
      <c r="F305" s="708"/>
      <c r="G305" s="708"/>
      <c r="H305" s="708"/>
      <c r="I305" s="708"/>
      <c r="J305" s="708"/>
      <c r="K305" s="708"/>
      <c r="L305" s="708"/>
      <c r="M305" s="708"/>
      <c r="N305" s="708"/>
      <c r="O305" s="708"/>
    </row>
    <row r="306" spans="1:15" x14ac:dyDescent="0.25">
      <c r="A306" s="708"/>
      <c r="B306" s="708"/>
      <c r="C306" s="708"/>
      <c r="D306" s="708"/>
      <c r="E306" s="708"/>
      <c r="F306" s="708"/>
      <c r="G306" s="708"/>
      <c r="H306" s="708"/>
      <c r="I306" s="708"/>
      <c r="J306" s="708"/>
      <c r="K306" s="708"/>
      <c r="L306" s="708"/>
      <c r="M306" s="708"/>
      <c r="N306" s="708"/>
      <c r="O306" s="708"/>
    </row>
    <row r="307" spans="1:15" x14ac:dyDescent="0.25">
      <c r="A307" s="708"/>
      <c r="B307" s="708"/>
      <c r="C307" s="708"/>
      <c r="D307" s="708"/>
      <c r="E307" s="708"/>
      <c r="F307" s="708"/>
      <c r="G307" s="708"/>
      <c r="H307" s="708"/>
      <c r="I307" s="708"/>
      <c r="J307" s="708"/>
      <c r="K307" s="708"/>
      <c r="L307" s="708"/>
      <c r="M307" s="708"/>
      <c r="N307" s="708"/>
      <c r="O307" s="708"/>
    </row>
    <row r="308" spans="1:15" x14ac:dyDescent="0.25">
      <c r="A308" s="708"/>
      <c r="B308" s="708"/>
      <c r="C308" s="708"/>
      <c r="D308" s="708"/>
      <c r="E308" s="708"/>
      <c r="F308" s="708"/>
      <c r="G308" s="708"/>
      <c r="H308" s="708"/>
      <c r="I308" s="708"/>
      <c r="J308" s="708"/>
      <c r="K308" s="708"/>
      <c r="L308" s="708"/>
      <c r="M308" s="708"/>
      <c r="N308" s="708"/>
      <c r="O308" s="708"/>
    </row>
    <row r="309" spans="1:15" x14ac:dyDescent="0.25">
      <c r="A309" s="708"/>
      <c r="B309" s="708"/>
      <c r="C309" s="708"/>
      <c r="D309" s="708"/>
      <c r="E309" s="708"/>
      <c r="F309" s="708"/>
      <c r="G309" s="708"/>
      <c r="H309" s="708"/>
      <c r="I309" s="708"/>
      <c r="J309" s="708"/>
      <c r="K309" s="708"/>
      <c r="L309" s="708"/>
      <c r="M309" s="708"/>
      <c r="N309" s="708"/>
      <c r="O309" s="708"/>
    </row>
    <row r="310" spans="1:15" x14ac:dyDescent="0.25">
      <c r="A310" s="708"/>
      <c r="B310" s="708"/>
      <c r="C310" s="708"/>
      <c r="D310" s="708"/>
      <c r="E310" s="708"/>
      <c r="F310" s="708"/>
      <c r="G310" s="708"/>
      <c r="H310" s="708"/>
      <c r="I310" s="708"/>
      <c r="J310" s="708"/>
      <c r="K310" s="708"/>
      <c r="L310" s="708"/>
      <c r="M310" s="708"/>
      <c r="N310" s="708"/>
      <c r="O310" s="708"/>
    </row>
    <row r="311" spans="1:15" x14ac:dyDescent="0.25">
      <c r="A311" s="708"/>
      <c r="B311" s="708"/>
      <c r="C311" s="708"/>
      <c r="D311" s="708"/>
      <c r="E311" s="708"/>
      <c r="F311" s="708"/>
      <c r="G311" s="708"/>
      <c r="H311" s="708"/>
      <c r="I311" s="708"/>
      <c r="J311" s="708"/>
      <c r="K311" s="708"/>
      <c r="L311" s="708"/>
      <c r="M311" s="708"/>
      <c r="N311" s="708"/>
      <c r="O311" s="708"/>
    </row>
    <row r="312" spans="1:15" x14ac:dyDescent="0.25">
      <c r="A312" s="708"/>
      <c r="B312" s="708"/>
      <c r="C312" s="708"/>
      <c r="D312" s="708"/>
      <c r="E312" s="708"/>
      <c r="F312" s="708"/>
      <c r="G312" s="708"/>
      <c r="H312" s="708"/>
      <c r="I312" s="708"/>
      <c r="J312" s="708"/>
      <c r="K312" s="708"/>
      <c r="L312" s="708"/>
      <c r="M312" s="708"/>
      <c r="N312" s="708"/>
      <c r="O312" s="708"/>
    </row>
    <row r="313" spans="1:15" x14ac:dyDescent="0.25">
      <c r="A313" s="708"/>
      <c r="B313" s="708"/>
      <c r="C313" s="708"/>
      <c r="D313" s="708"/>
      <c r="E313" s="708"/>
      <c r="F313" s="708"/>
      <c r="G313" s="708"/>
      <c r="H313" s="708"/>
      <c r="I313" s="708"/>
      <c r="J313" s="708"/>
      <c r="K313" s="708"/>
      <c r="L313" s="708"/>
      <c r="M313" s="708"/>
      <c r="N313" s="708"/>
      <c r="O313" s="708"/>
    </row>
    <row r="314" spans="1:15" x14ac:dyDescent="0.25">
      <c r="A314" s="708"/>
      <c r="B314" s="708"/>
      <c r="C314" s="708"/>
      <c r="D314" s="708"/>
      <c r="E314" s="708"/>
      <c r="F314" s="708"/>
      <c r="G314" s="708"/>
      <c r="H314" s="708"/>
      <c r="I314" s="708"/>
      <c r="J314" s="708"/>
      <c r="K314" s="708"/>
      <c r="L314" s="708"/>
      <c r="M314" s="708"/>
      <c r="N314" s="708"/>
      <c r="O314" s="708"/>
    </row>
    <row r="315" spans="1:15" x14ac:dyDescent="0.25">
      <c r="A315" s="708"/>
      <c r="B315" s="708"/>
      <c r="C315" s="708"/>
      <c r="D315" s="708"/>
      <c r="E315" s="708"/>
      <c r="F315" s="708"/>
      <c r="G315" s="708"/>
      <c r="H315" s="708"/>
      <c r="I315" s="708"/>
      <c r="J315" s="708"/>
      <c r="K315" s="708"/>
      <c r="L315" s="708"/>
      <c r="M315" s="708"/>
      <c r="N315" s="708"/>
      <c r="O315" s="708"/>
    </row>
    <row r="316" spans="1:15" x14ac:dyDescent="0.25">
      <c r="A316" s="708"/>
      <c r="B316" s="708"/>
      <c r="C316" s="708"/>
      <c r="D316" s="708"/>
      <c r="E316" s="708"/>
      <c r="F316" s="708"/>
      <c r="G316" s="708"/>
      <c r="H316" s="708"/>
      <c r="I316" s="708"/>
      <c r="J316" s="708"/>
      <c r="K316" s="708"/>
      <c r="L316" s="708"/>
      <c r="M316" s="708"/>
      <c r="N316" s="708"/>
      <c r="O316" s="708"/>
    </row>
    <row r="317" spans="1:15" x14ac:dyDescent="0.25">
      <c r="A317" s="708"/>
      <c r="B317" s="708"/>
      <c r="C317" s="708"/>
      <c r="D317" s="708"/>
      <c r="E317" s="708"/>
      <c r="F317" s="708"/>
      <c r="G317" s="708"/>
      <c r="H317" s="708"/>
      <c r="I317" s="708"/>
      <c r="J317" s="708"/>
      <c r="K317" s="708"/>
      <c r="L317" s="708"/>
      <c r="M317" s="708"/>
      <c r="N317" s="708"/>
      <c r="O317" s="708"/>
    </row>
    <row r="318" spans="1:15" x14ac:dyDescent="0.25">
      <c r="A318" s="708"/>
      <c r="B318" s="708"/>
      <c r="C318" s="708"/>
      <c r="D318" s="708"/>
      <c r="E318" s="708"/>
      <c r="F318" s="708"/>
      <c r="G318" s="708"/>
      <c r="H318" s="708"/>
      <c r="I318" s="708"/>
      <c r="J318" s="708"/>
      <c r="K318" s="708"/>
      <c r="L318" s="708"/>
      <c r="M318" s="708"/>
      <c r="N318" s="708"/>
      <c r="O318" s="708"/>
    </row>
    <row r="319" spans="1:15" x14ac:dyDescent="0.25">
      <c r="A319" s="708"/>
      <c r="B319" s="708"/>
      <c r="C319" s="708"/>
      <c r="D319" s="708"/>
      <c r="E319" s="708"/>
      <c r="F319" s="708"/>
      <c r="G319" s="708"/>
      <c r="H319" s="708"/>
      <c r="I319" s="708"/>
      <c r="J319" s="708"/>
      <c r="K319" s="708"/>
      <c r="L319" s="708"/>
      <c r="M319" s="708"/>
      <c r="N319" s="708"/>
      <c r="O319" s="708"/>
    </row>
    <row r="320" spans="1:15" x14ac:dyDescent="0.25">
      <c r="A320" s="708"/>
      <c r="B320" s="708"/>
      <c r="C320" s="708"/>
      <c r="D320" s="708"/>
      <c r="E320" s="708"/>
      <c r="F320" s="708"/>
      <c r="G320" s="708"/>
      <c r="H320" s="708"/>
      <c r="I320" s="708"/>
      <c r="J320" s="708"/>
      <c r="K320" s="708"/>
      <c r="L320" s="708"/>
      <c r="M320" s="708"/>
      <c r="N320" s="708"/>
      <c r="O320" s="708"/>
    </row>
    <row r="321" spans="1:15" x14ac:dyDescent="0.25">
      <c r="A321" s="708"/>
      <c r="B321" s="708"/>
      <c r="C321" s="708"/>
      <c r="D321" s="708"/>
      <c r="E321" s="708"/>
      <c r="F321" s="708"/>
      <c r="G321" s="708"/>
      <c r="H321" s="708"/>
      <c r="I321" s="708"/>
      <c r="J321" s="708"/>
      <c r="K321" s="708"/>
      <c r="L321" s="708"/>
      <c r="M321" s="708"/>
      <c r="N321" s="708"/>
      <c r="O321" s="708"/>
    </row>
    <row r="322" spans="1:15" x14ac:dyDescent="0.25">
      <c r="A322" s="708"/>
      <c r="B322" s="708"/>
      <c r="C322" s="708"/>
      <c r="D322" s="708"/>
      <c r="E322" s="708"/>
      <c r="F322" s="708"/>
      <c r="G322" s="708"/>
      <c r="H322" s="708"/>
      <c r="I322" s="708"/>
      <c r="J322" s="708"/>
      <c r="K322" s="708"/>
      <c r="L322" s="708"/>
      <c r="M322" s="708"/>
      <c r="N322" s="708"/>
      <c r="O322" s="708"/>
    </row>
    <row r="323" spans="1:15" x14ac:dyDescent="0.25">
      <c r="A323" s="708"/>
      <c r="B323" s="708"/>
      <c r="C323" s="708"/>
      <c r="D323" s="708"/>
      <c r="E323" s="708"/>
      <c r="F323" s="708"/>
      <c r="G323" s="708"/>
      <c r="H323" s="708"/>
      <c r="I323" s="708"/>
      <c r="J323" s="708"/>
      <c r="K323" s="708"/>
      <c r="L323" s="708"/>
      <c r="M323" s="708"/>
      <c r="N323" s="708"/>
      <c r="O323" s="708"/>
    </row>
    <row r="324" spans="1:15" x14ac:dyDescent="0.25">
      <c r="A324" s="708"/>
      <c r="B324" s="708"/>
      <c r="C324" s="708"/>
      <c r="D324" s="708"/>
      <c r="E324" s="708"/>
      <c r="F324" s="708"/>
      <c r="G324" s="708"/>
      <c r="H324" s="708"/>
      <c r="I324" s="708"/>
      <c r="J324" s="708"/>
      <c r="K324" s="708"/>
      <c r="L324" s="708"/>
      <c r="M324" s="708"/>
      <c r="N324" s="708"/>
      <c r="O324" s="708"/>
    </row>
    <row r="325" spans="1:15" x14ac:dyDescent="0.25">
      <c r="A325" s="708"/>
      <c r="B325" s="708"/>
      <c r="C325" s="708"/>
      <c r="D325" s="708"/>
      <c r="E325" s="708"/>
      <c r="F325" s="708"/>
      <c r="G325" s="708"/>
      <c r="H325" s="708"/>
      <c r="I325" s="708"/>
      <c r="J325" s="708"/>
      <c r="K325" s="708"/>
      <c r="L325" s="708"/>
      <c r="M325" s="708"/>
      <c r="N325" s="708"/>
      <c r="O325" s="708"/>
    </row>
    <row r="326" spans="1:15" x14ac:dyDescent="0.25">
      <c r="A326" s="708"/>
      <c r="B326" s="708"/>
      <c r="C326" s="708"/>
      <c r="D326" s="708"/>
      <c r="E326" s="708"/>
      <c r="F326" s="708"/>
      <c r="G326" s="708"/>
      <c r="H326" s="708"/>
      <c r="I326" s="708"/>
      <c r="J326" s="708"/>
      <c r="K326" s="708"/>
      <c r="L326" s="708"/>
      <c r="M326" s="708"/>
      <c r="N326" s="708"/>
      <c r="O326" s="708"/>
    </row>
    <row r="327" spans="1:15" x14ac:dyDescent="0.25">
      <c r="A327" s="708"/>
      <c r="B327" s="708"/>
      <c r="C327" s="708"/>
      <c r="D327" s="708"/>
      <c r="E327" s="708"/>
      <c r="F327" s="708"/>
      <c r="G327" s="708"/>
      <c r="H327" s="708"/>
      <c r="I327" s="708"/>
      <c r="J327" s="708"/>
      <c r="K327" s="708"/>
      <c r="L327" s="708"/>
      <c r="M327" s="708"/>
      <c r="N327" s="708"/>
      <c r="O327" s="708"/>
    </row>
    <row r="328" spans="1:15" x14ac:dyDescent="0.25">
      <c r="A328" s="708"/>
      <c r="B328" s="708"/>
      <c r="C328" s="708"/>
      <c r="D328" s="708"/>
      <c r="E328" s="708"/>
      <c r="F328" s="708"/>
      <c r="G328" s="708"/>
      <c r="H328" s="708"/>
      <c r="I328" s="708"/>
      <c r="J328" s="708"/>
      <c r="K328" s="708"/>
      <c r="L328" s="708"/>
      <c r="M328" s="708"/>
      <c r="N328" s="708"/>
      <c r="O328" s="708"/>
    </row>
    <row r="329" spans="1:15" x14ac:dyDescent="0.25">
      <c r="A329" s="708"/>
      <c r="B329" s="708"/>
      <c r="C329" s="708"/>
      <c r="D329" s="708"/>
      <c r="E329" s="708"/>
      <c r="F329" s="708"/>
      <c r="G329" s="708"/>
      <c r="H329" s="708"/>
      <c r="I329" s="708"/>
      <c r="J329" s="708"/>
      <c r="K329" s="708"/>
      <c r="L329" s="708"/>
      <c r="M329" s="708"/>
      <c r="N329" s="708"/>
      <c r="O329" s="708"/>
    </row>
    <row r="330" spans="1:15" x14ac:dyDescent="0.25">
      <c r="A330" s="708"/>
      <c r="B330" s="708"/>
      <c r="C330" s="708"/>
      <c r="D330" s="708"/>
      <c r="E330" s="708"/>
      <c r="F330" s="708"/>
      <c r="G330" s="708"/>
      <c r="H330" s="708"/>
      <c r="I330" s="708"/>
      <c r="J330" s="708"/>
      <c r="K330" s="708"/>
      <c r="L330" s="708"/>
      <c r="M330" s="708"/>
      <c r="N330" s="708"/>
      <c r="O330" s="708"/>
    </row>
    <row r="331" spans="1:15" x14ac:dyDescent="0.25">
      <c r="A331" s="708"/>
      <c r="B331" s="708"/>
      <c r="C331" s="708"/>
      <c r="D331" s="708"/>
      <c r="E331" s="708"/>
      <c r="F331" s="708"/>
      <c r="G331" s="708"/>
      <c r="H331" s="708"/>
      <c r="I331" s="708"/>
      <c r="J331" s="708"/>
      <c r="K331" s="708"/>
      <c r="L331" s="708"/>
      <c r="M331" s="708"/>
      <c r="N331" s="708"/>
      <c r="O331" s="708"/>
    </row>
    <row r="332" spans="1:15" x14ac:dyDescent="0.25">
      <c r="A332" s="708"/>
      <c r="B332" s="708"/>
      <c r="C332" s="708"/>
      <c r="D332" s="708"/>
      <c r="E332" s="708"/>
      <c r="F332" s="708"/>
      <c r="G332" s="708"/>
      <c r="H332" s="708"/>
      <c r="I332" s="708"/>
      <c r="J332" s="708"/>
      <c r="K332" s="708"/>
      <c r="L332" s="708"/>
      <c r="M332" s="708"/>
      <c r="N332" s="708"/>
      <c r="O332" s="708"/>
    </row>
    <row r="333" spans="1:15" x14ac:dyDescent="0.25">
      <c r="A333" s="708"/>
      <c r="B333" s="708"/>
      <c r="C333" s="708"/>
      <c r="D333" s="708"/>
      <c r="E333" s="708"/>
      <c r="F333" s="708"/>
      <c r="G333" s="708"/>
      <c r="H333" s="708"/>
      <c r="I333" s="708"/>
      <c r="J333" s="708"/>
      <c r="K333" s="708"/>
      <c r="L333" s="708"/>
      <c r="M333" s="708"/>
      <c r="N333" s="708"/>
      <c r="O333" s="708"/>
    </row>
    <row r="334" spans="1:15" x14ac:dyDescent="0.25">
      <c r="A334" s="708"/>
      <c r="B334" s="708"/>
      <c r="C334" s="708"/>
      <c r="D334" s="708"/>
      <c r="E334" s="708"/>
      <c r="F334" s="708"/>
      <c r="G334" s="708"/>
      <c r="H334" s="708"/>
      <c r="I334" s="708"/>
      <c r="J334" s="708"/>
      <c r="K334" s="708"/>
      <c r="L334" s="708"/>
      <c r="M334" s="708"/>
      <c r="N334" s="708"/>
      <c r="O334" s="708"/>
    </row>
    <row r="335" spans="1:15" x14ac:dyDescent="0.25">
      <c r="A335" s="708"/>
      <c r="B335" s="708"/>
      <c r="C335" s="708"/>
      <c r="D335" s="708"/>
      <c r="E335" s="708"/>
      <c r="F335" s="708"/>
      <c r="G335" s="708"/>
      <c r="H335" s="708"/>
      <c r="I335" s="708"/>
      <c r="J335" s="708"/>
      <c r="K335" s="708"/>
      <c r="L335" s="708"/>
      <c r="M335" s="708"/>
      <c r="N335" s="708"/>
      <c r="O335" s="708"/>
    </row>
    <row r="336" spans="1:15" x14ac:dyDescent="0.25">
      <c r="A336" s="708"/>
      <c r="B336" s="708"/>
      <c r="C336" s="708"/>
      <c r="D336" s="708"/>
      <c r="E336" s="708"/>
      <c r="F336" s="708"/>
      <c r="G336" s="708"/>
      <c r="H336" s="708"/>
      <c r="I336" s="708"/>
      <c r="J336" s="708"/>
      <c r="K336" s="708"/>
      <c r="L336" s="708"/>
      <c r="M336" s="708"/>
      <c r="N336" s="708"/>
      <c r="O336" s="708"/>
    </row>
    <row r="337" spans="1:15" x14ac:dyDescent="0.25">
      <c r="A337" s="708"/>
      <c r="B337" s="708"/>
      <c r="C337" s="708"/>
      <c r="D337" s="708"/>
      <c r="E337" s="708"/>
      <c r="F337" s="708"/>
      <c r="G337" s="708"/>
      <c r="H337" s="708"/>
      <c r="I337" s="708"/>
      <c r="J337" s="708"/>
      <c r="K337" s="708"/>
      <c r="L337" s="708"/>
      <c r="M337" s="708"/>
      <c r="N337" s="708"/>
      <c r="O337" s="708"/>
    </row>
    <row r="338" spans="1:15" x14ac:dyDescent="0.25">
      <c r="A338" s="708"/>
      <c r="B338" s="708"/>
      <c r="C338" s="708"/>
      <c r="D338" s="708"/>
      <c r="E338" s="708"/>
      <c r="F338" s="708"/>
      <c r="G338" s="708"/>
      <c r="H338" s="708"/>
      <c r="I338" s="708"/>
      <c r="J338" s="708"/>
      <c r="K338" s="708"/>
      <c r="L338" s="708"/>
      <c r="M338" s="708"/>
      <c r="N338" s="708"/>
      <c r="O338" s="708"/>
    </row>
    <row r="339" spans="1:15" x14ac:dyDescent="0.25">
      <c r="A339" s="708"/>
      <c r="B339" s="708"/>
      <c r="C339" s="708"/>
      <c r="D339" s="708"/>
      <c r="E339" s="708"/>
      <c r="F339" s="708"/>
      <c r="G339" s="708"/>
      <c r="H339" s="708"/>
      <c r="I339" s="708"/>
      <c r="J339" s="708"/>
      <c r="K339" s="708"/>
      <c r="L339" s="708"/>
      <c r="M339" s="708"/>
      <c r="N339" s="708"/>
      <c r="O339" s="708"/>
    </row>
    <row r="340" spans="1:15" x14ac:dyDescent="0.25">
      <c r="A340" s="708"/>
      <c r="B340" s="708"/>
      <c r="C340" s="708"/>
      <c r="D340" s="708"/>
      <c r="E340" s="708"/>
      <c r="F340" s="708"/>
      <c r="G340" s="708"/>
      <c r="H340" s="708"/>
      <c r="I340" s="708"/>
      <c r="J340" s="708"/>
      <c r="K340" s="708"/>
      <c r="L340" s="708"/>
      <c r="M340" s="708"/>
      <c r="N340" s="708"/>
      <c r="O340" s="708"/>
    </row>
    <row r="341" spans="1:15" x14ac:dyDescent="0.25">
      <c r="A341" s="708"/>
      <c r="B341" s="708"/>
      <c r="C341" s="708"/>
      <c r="D341" s="708"/>
      <c r="E341" s="708"/>
      <c r="F341" s="708"/>
      <c r="G341" s="708"/>
      <c r="H341" s="708"/>
      <c r="I341" s="708"/>
      <c r="J341" s="708"/>
      <c r="K341" s="708"/>
      <c r="L341" s="708"/>
      <c r="M341" s="708"/>
      <c r="N341" s="708"/>
      <c r="O341" s="708"/>
    </row>
    <row r="342" spans="1:15" x14ac:dyDescent="0.25">
      <c r="A342" s="708"/>
      <c r="B342" s="708"/>
      <c r="C342" s="708"/>
      <c r="D342" s="708"/>
      <c r="E342" s="708"/>
      <c r="F342" s="708"/>
      <c r="G342" s="708"/>
      <c r="H342" s="708"/>
      <c r="I342" s="708"/>
      <c r="J342" s="708"/>
      <c r="K342" s="708"/>
      <c r="L342" s="708"/>
      <c r="M342" s="708"/>
      <c r="N342" s="708"/>
      <c r="O342" s="708"/>
    </row>
    <row r="343" spans="1:15" x14ac:dyDescent="0.25">
      <c r="A343" s="708"/>
      <c r="B343" s="708"/>
      <c r="C343" s="708"/>
      <c r="D343" s="708"/>
      <c r="E343" s="708"/>
      <c r="F343" s="708"/>
      <c r="G343" s="708"/>
      <c r="H343" s="708"/>
      <c r="I343" s="708"/>
      <c r="J343" s="708"/>
      <c r="K343" s="708"/>
      <c r="L343" s="708"/>
      <c r="M343" s="708"/>
      <c r="N343" s="708"/>
      <c r="O343" s="708"/>
    </row>
    <row r="344" spans="1:15" x14ac:dyDescent="0.25">
      <c r="A344" s="708"/>
      <c r="B344" s="708"/>
      <c r="C344" s="708"/>
      <c r="D344" s="708"/>
      <c r="E344" s="708"/>
      <c r="F344" s="708"/>
      <c r="G344" s="708"/>
      <c r="H344" s="708"/>
      <c r="I344" s="708"/>
      <c r="J344" s="708"/>
      <c r="K344" s="708"/>
      <c r="L344" s="708"/>
      <c r="M344" s="708"/>
      <c r="N344" s="708"/>
      <c r="O344" s="708"/>
    </row>
    <row r="345" spans="1:15" x14ac:dyDescent="0.25">
      <c r="A345" s="708"/>
      <c r="B345" s="708"/>
      <c r="C345" s="708"/>
      <c r="D345" s="708"/>
      <c r="E345" s="708"/>
      <c r="F345" s="708"/>
      <c r="G345" s="708"/>
      <c r="H345" s="708"/>
      <c r="I345" s="708"/>
      <c r="J345" s="708"/>
      <c r="K345" s="708"/>
      <c r="L345" s="708"/>
      <c r="M345" s="708"/>
      <c r="N345" s="708"/>
      <c r="O345" s="708"/>
    </row>
    <row r="346" spans="1:15" x14ac:dyDescent="0.25">
      <c r="A346" s="708"/>
      <c r="B346" s="708"/>
      <c r="C346" s="708"/>
      <c r="D346" s="708"/>
      <c r="E346" s="708"/>
      <c r="F346" s="708"/>
      <c r="G346" s="708"/>
      <c r="H346" s="708"/>
      <c r="I346" s="708"/>
      <c r="J346" s="708"/>
      <c r="K346" s="708"/>
      <c r="L346" s="708"/>
      <c r="M346" s="708"/>
      <c r="N346" s="708"/>
      <c r="O346" s="708"/>
    </row>
    <row r="347" spans="1:15" x14ac:dyDescent="0.25">
      <c r="A347" s="708"/>
      <c r="B347" s="708"/>
      <c r="C347" s="708"/>
      <c r="D347" s="708"/>
      <c r="E347" s="708"/>
      <c r="F347" s="708"/>
      <c r="G347" s="708"/>
      <c r="H347" s="708"/>
      <c r="I347" s="708"/>
      <c r="J347" s="708"/>
      <c r="K347" s="708"/>
      <c r="L347" s="708"/>
      <c r="M347" s="708"/>
      <c r="N347" s="708"/>
      <c r="O347" s="708"/>
    </row>
    <row r="348" spans="1:15" x14ac:dyDescent="0.25">
      <c r="A348" s="708"/>
      <c r="B348" s="708"/>
      <c r="C348" s="708"/>
      <c r="D348" s="708"/>
      <c r="E348" s="708"/>
      <c r="F348" s="708"/>
      <c r="G348" s="708"/>
      <c r="H348" s="708"/>
      <c r="I348" s="708"/>
      <c r="J348" s="708"/>
      <c r="K348" s="708"/>
      <c r="L348" s="708"/>
      <c r="M348" s="708"/>
      <c r="N348" s="708"/>
      <c r="O348" s="708"/>
    </row>
    <row r="349" spans="1:15" x14ac:dyDescent="0.25">
      <c r="A349" s="708"/>
      <c r="B349" s="708"/>
      <c r="C349" s="708"/>
      <c r="D349" s="708"/>
      <c r="E349" s="708"/>
      <c r="F349" s="708"/>
      <c r="G349" s="708"/>
      <c r="H349" s="708"/>
      <c r="I349" s="708"/>
      <c r="J349" s="708"/>
      <c r="K349" s="708"/>
      <c r="L349" s="708"/>
      <c r="M349" s="708"/>
      <c r="N349" s="708"/>
      <c r="O349" s="708"/>
    </row>
    <row r="350" spans="1:15" x14ac:dyDescent="0.25">
      <c r="A350" s="708"/>
      <c r="B350" s="708"/>
      <c r="C350" s="708"/>
      <c r="D350" s="708"/>
      <c r="E350" s="708"/>
      <c r="F350" s="708"/>
      <c r="G350" s="708"/>
      <c r="H350" s="708"/>
      <c r="I350" s="708"/>
      <c r="J350" s="708"/>
      <c r="K350" s="708"/>
      <c r="L350" s="708"/>
      <c r="M350" s="708"/>
      <c r="N350" s="708"/>
      <c r="O350" s="708"/>
    </row>
    <row r="351" spans="1:15" x14ac:dyDescent="0.25">
      <c r="A351" s="708"/>
      <c r="B351" s="708"/>
      <c r="C351" s="708"/>
      <c r="D351" s="708"/>
      <c r="E351" s="708"/>
      <c r="F351" s="708"/>
      <c r="G351" s="708"/>
      <c r="H351" s="708"/>
      <c r="I351" s="708"/>
      <c r="J351" s="708"/>
      <c r="K351" s="708"/>
      <c r="L351" s="708"/>
      <c r="M351" s="708"/>
      <c r="N351" s="708"/>
      <c r="O351" s="708"/>
    </row>
    <row r="352" spans="1:15" x14ac:dyDescent="0.25">
      <c r="A352" s="708"/>
      <c r="B352" s="708"/>
      <c r="C352" s="708"/>
      <c r="D352" s="708"/>
      <c r="E352" s="708"/>
      <c r="F352" s="708"/>
      <c r="G352" s="708"/>
      <c r="H352" s="708"/>
      <c r="I352" s="708"/>
      <c r="J352" s="708"/>
      <c r="K352" s="708"/>
      <c r="L352" s="708"/>
      <c r="M352" s="708"/>
      <c r="N352" s="708"/>
      <c r="O352" s="708"/>
    </row>
    <row r="353" spans="1:15" x14ac:dyDescent="0.25">
      <c r="A353" s="708"/>
      <c r="B353" s="708"/>
      <c r="C353" s="708"/>
      <c r="D353" s="708"/>
      <c r="E353" s="708"/>
      <c r="F353" s="708"/>
      <c r="G353" s="708"/>
      <c r="H353" s="708"/>
      <c r="I353" s="708"/>
      <c r="J353" s="708"/>
      <c r="K353" s="708"/>
      <c r="L353" s="708"/>
      <c r="M353" s="708"/>
      <c r="N353" s="708"/>
      <c r="O353" s="708"/>
    </row>
    <row r="354" spans="1:15" x14ac:dyDescent="0.25">
      <c r="A354" s="708"/>
      <c r="B354" s="708"/>
      <c r="C354" s="708"/>
      <c r="D354" s="708"/>
      <c r="E354" s="708"/>
      <c r="F354" s="708"/>
      <c r="G354" s="708"/>
      <c r="H354" s="708"/>
      <c r="I354" s="708"/>
      <c r="J354" s="708"/>
      <c r="K354" s="708"/>
      <c r="L354" s="708"/>
      <c r="M354" s="708"/>
      <c r="N354" s="708"/>
      <c r="O354" s="708"/>
    </row>
    <row r="355" spans="1:15" x14ac:dyDescent="0.25">
      <c r="A355" s="708"/>
      <c r="B355" s="708"/>
      <c r="C355" s="708"/>
      <c r="D355" s="708"/>
      <c r="E355" s="708"/>
      <c r="F355" s="708"/>
      <c r="G355" s="708"/>
      <c r="H355" s="708"/>
      <c r="I355" s="708"/>
      <c r="J355" s="708"/>
      <c r="K355" s="708"/>
      <c r="L355" s="708"/>
      <c r="M355" s="708"/>
      <c r="N355" s="708"/>
      <c r="O355" s="708"/>
    </row>
    <row r="356" spans="1:15" x14ac:dyDescent="0.25">
      <c r="A356" s="708"/>
      <c r="B356" s="708"/>
      <c r="C356" s="708"/>
      <c r="D356" s="708"/>
      <c r="E356" s="708"/>
      <c r="F356" s="708"/>
      <c r="G356" s="708"/>
      <c r="H356" s="708"/>
      <c r="I356" s="708"/>
      <c r="J356" s="708"/>
      <c r="K356" s="708"/>
      <c r="L356" s="708"/>
      <c r="M356" s="708"/>
      <c r="N356" s="708"/>
      <c r="O356" s="708"/>
    </row>
    <row r="357" spans="1:15" x14ac:dyDescent="0.25">
      <c r="A357" s="708"/>
      <c r="B357" s="708"/>
      <c r="C357" s="708"/>
      <c r="D357" s="708"/>
      <c r="E357" s="708"/>
      <c r="F357" s="708"/>
      <c r="G357" s="708"/>
      <c r="H357" s="708"/>
      <c r="I357" s="708"/>
      <c r="J357" s="708"/>
      <c r="K357" s="708"/>
      <c r="L357" s="708"/>
      <c r="M357" s="708"/>
      <c r="N357" s="708"/>
      <c r="O357" s="708"/>
    </row>
    <row r="358" spans="1:15" x14ac:dyDescent="0.25">
      <c r="A358" s="708"/>
      <c r="B358" s="708"/>
      <c r="C358" s="708"/>
      <c r="D358" s="708"/>
      <c r="E358" s="708"/>
      <c r="F358" s="708"/>
      <c r="G358" s="708"/>
      <c r="H358" s="708"/>
      <c r="I358" s="708"/>
      <c r="J358" s="708"/>
      <c r="K358" s="708"/>
      <c r="L358" s="708"/>
      <c r="M358" s="708"/>
      <c r="N358" s="708"/>
      <c r="O358" s="708"/>
    </row>
    <row r="359" spans="1:15" x14ac:dyDescent="0.25">
      <c r="A359" s="708"/>
      <c r="B359" s="708"/>
      <c r="C359" s="708"/>
      <c r="D359" s="708"/>
      <c r="E359" s="708"/>
      <c r="F359" s="708"/>
      <c r="G359" s="708"/>
      <c r="H359" s="708"/>
      <c r="I359" s="708"/>
      <c r="J359" s="708"/>
      <c r="K359" s="708"/>
      <c r="L359" s="708"/>
      <c r="M359" s="708"/>
      <c r="N359" s="708"/>
      <c r="O359" s="708"/>
    </row>
    <row r="360" spans="1:15" x14ac:dyDescent="0.25">
      <c r="A360" s="708"/>
      <c r="B360" s="708"/>
      <c r="C360" s="708"/>
      <c r="D360" s="708"/>
      <c r="E360" s="708"/>
      <c r="F360" s="708"/>
      <c r="G360" s="708"/>
      <c r="H360" s="708"/>
      <c r="I360" s="708"/>
      <c r="J360" s="708"/>
      <c r="K360" s="708"/>
      <c r="L360" s="708"/>
      <c r="M360" s="708"/>
      <c r="N360" s="708"/>
      <c r="O360" s="708"/>
    </row>
    <row r="361" spans="1:15" x14ac:dyDescent="0.25">
      <c r="A361" s="708"/>
      <c r="B361" s="708"/>
      <c r="C361" s="708"/>
      <c r="D361" s="708"/>
      <c r="E361" s="708"/>
      <c r="F361" s="708"/>
      <c r="G361" s="708"/>
      <c r="H361" s="708"/>
      <c r="I361" s="708"/>
      <c r="J361" s="708"/>
      <c r="K361" s="708"/>
      <c r="L361" s="708"/>
      <c r="M361" s="708"/>
      <c r="N361" s="708"/>
      <c r="O361" s="708"/>
    </row>
    <row r="362" spans="1:15" x14ac:dyDescent="0.25">
      <c r="A362" s="708"/>
      <c r="B362" s="708"/>
      <c r="C362" s="708"/>
      <c r="D362" s="708"/>
      <c r="E362" s="708"/>
      <c r="F362" s="708"/>
      <c r="G362" s="708"/>
      <c r="H362" s="708"/>
      <c r="I362" s="708"/>
      <c r="J362" s="708"/>
      <c r="K362" s="708"/>
      <c r="L362" s="708"/>
      <c r="M362" s="708"/>
      <c r="N362" s="708"/>
      <c r="O362" s="708"/>
    </row>
    <row r="363" spans="1:15" x14ac:dyDescent="0.25">
      <c r="A363" s="708"/>
      <c r="B363" s="708"/>
      <c r="C363" s="708"/>
      <c r="D363" s="708"/>
      <c r="E363" s="708"/>
      <c r="F363" s="708"/>
      <c r="G363" s="708"/>
      <c r="H363" s="708"/>
      <c r="I363" s="708"/>
      <c r="J363" s="708"/>
      <c r="K363" s="708"/>
      <c r="L363" s="708"/>
      <c r="M363" s="708"/>
      <c r="N363" s="708"/>
      <c r="O363" s="708"/>
    </row>
    <row r="364" spans="1:15" x14ac:dyDescent="0.25">
      <c r="A364" s="708"/>
      <c r="B364" s="708"/>
      <c r="C364" s="708"/>
      <c r="D364" s="708"/>
      <c r="E364" s="708"/>
      <c r="F364" s="708"/>
      <c r="G364" s="708"/>
      <c r="H364" s="708"/>
      <c r="I364" s="708"/>
      <c r="J364" s="708"/>
      <c r="K364" s="708"/>
      <c r="L364" s="708"/>
      <c r="M364" s="708"/>
      <c r="N364" s="708"/>
      <c r="O364" s="708"/>
    </row>
    <row r="365" spans="1:15" x14ac:dyDescent="0.25">
      <c r="A365" s="708"/>
      <c r="B365" s="708"/>
      <c r="C365" s="708"/>
      <c r="D365" s="708"/>
      <c r="E365" s="708"/>
      <c r="F365" s="708"/>
      <c r="G365" s="708"/>
      <c r="H365" s="708"/>
      <c r="I365" s="708"/>
      <c r="J365" s="708"/>
      <c r="K365" s="708"/>
      <c r="L365" s="708"/>
      <c r="M365" s="708"/>
      <c r="N365" s="708"/>
      <c r="O365" s="708"/>
    </row>
    <row r="366" spans="1:15" x14ac:dyDescent="0.25">
      <c r="A366" s="708"/>
      <c r="B366" s="708"/>
      <c r="C366" s="708"/>
      <c r="D366" s="708"/>
      <c r="E366" s="708"/>
      <c r="F366" s="708"/>
      <c r="G366" s="708"/>
      <c r="H366" s="708"/>
      <c r="I366" s="708"/>
      <c r="J366" s="708"/>
      <c r="K366" s="708"/>
      <c r="L366" s="708"/>
      <c r="M366" s="708"/>
      <c r="N366" s="708"/>
      <c r="O366" s="708"/>
    </row>
    <row r="367" spans="1:15" x14ac:dyDescent="0.25">
      <c r="A367" s="708"/>
      <c r="B367" s="708"/>
      <c r="C367" s="708"/>
      <c r="D367" s="708"/>
      <c r="E367" s="708"/>
      <c r="F367" s="708"/>
      <c r="G367" s="708"/>
      <c r="H367" s="708"/>
      <c r="I367" s="708"/>
      <c r="J367" s="708"/>
      <c r="K367" s="708"/>
      <c r="L367" s="708"/>
      <c r="M367" s="708"/>
      <c r="N367" s="708"/>
      <c r="O367" s="708"/>
    </row>
    <row r="368" spans="1:15" x14ac:dyDescent="0.25">
      <c r="A368" s="708"/>
      <c r="B368" s="708"/>
      <c r="C368" s="708"/>
      <c r="D368" s="708"/>
      <c r="E368" s="708"/>
      <c r="F368" s="708"/>
      <c r="G368" s="708"/>
      <c r="H368" s="708"/>
      <c r="I368" s="708"/>
      <c r="J368" s="708"/>
      <c r="K368" s="708"/>
      <c r="L368" s="708"/>
      <c r="M368" s="708"/>
      <c r="N368" s="708"/>
      <c r="O368" s="708"/>
    </row>
    <row r="369" spans="1:15" x14ac:dyDescent="0.25">
      <c r="A369" s="708"/>
      <c r="B369" s="708"/>
      <c r="C369" s="708"/>
      <c r="D369" s="708"/>
      <c r="E369" s="708"/>
      <c r="F369" s="708"/>
      <c r="G369" s="708"/>
      <c r="H369" s="708"/>
      <c r="I369" s="708"/>
      <c r="J369" s="708"/>
      <c r="K369" s="708"/>
      <c r="L369" s="708"/>
      <c r="M369" s="708"/>
      <c r="N369" s="708"/>
      <c r="O369" s="708"/>
    </row>
    <row r="370" spans="1:15" x14ac:dyDescent="0.25">
      <c r="A370" s="708"/>
      <c r="B370" s="708"/>
      <c r="C370" s="708"/>
      <c r="D370" s="708"/>
      <c r="E370" s="708"/>
      <c r="F370" s="708"/>
      <c r="G370" s="708"/>
      <c r="H370" s="708"/>
      <c r="I370" s="708"/>
      <c r="J370" s="708"/>
      <c r="K370" s="708"/>
      <c r="L370" s="708"/>
      <c r="M370" s="708"/>
      <c r="N370" s="708"/>
      <c r="O370" s="708"/>
    </row>
    <row r="371" spans="1:15" x14ac:dyDescent="0.25">
      <c r="A371" s="708"/>
      <c r="B371" s="708"/>
      <c r="C371" s="708"/>
      <c r="D371" s="708"/>
      <c r="E371" s="708"/>
      <c r="F371" s="708"/>
      <c r="G371" s="708"/>
      <c r="H371" s="708"/>
      <c r="I371" s="708"/>
      <c r="J371" s="708"/>
      <c r="K371" s="708"/>
      <c r="L371" s="708"/>
      <c r="M371" s="708"/>
      <c r="N371" s="708"/>
      <c r="O371" s="708"/>
    </row>
    <row r="372" spans="1:15" x14ac:dyDescent="0.25">
      <c r="A372" s="708"/>
      <c r="B372" s="708"/>
      <c r="C372" s="708"/>
      <c r="D372" s="708"/>
      <c r="E372" s="708"/>
      <c r="F372" s="708"/>
      <c r="G372" s="708"/>
      <c r="H372" s="708"/>
      <c r="I372" s="708"/>
      <c r="J372" s="708"/>
      <c r="K372" s="708"/>
      <c r="L372" s="708"/>
      <c r="M372" s="708"/>
      <c r="N372" s="708"/>
      <c r="O372" s="708"/>
    </row>
    <row r="373" spans="1:15" x14ac:dyDescent="0.25">
      <c r="A373" s="708"/>
      <c r="B373" s="708"/>
      <c r="C373" s="708"/>
      <c r="D373" s="708"/>
      <c r="E373" s="708"/>
      <c r="F373" s="708"/>
      <c r="G373" s="708"/>
      <c r="H373" s="708"/>
      <c r="I373" s="708"/>
      <c r="J373" s="708"/>
      <c r="K373" s="708"/>
      <c r="L373" s="708"/>
      <c r="M373" s="708"/>
      <c r="N373" s="708"/>
      <c r="O373" s="708"/>
    </row>
    <row r="374" spans="1:15" x14ac:dyDescent="0.25">
      <c r="A374" s="708"/>
      <c r="B374" s="708"/>
      <c r="C374" s="708"/>
      <c r="D374" s="708"/>
      <c r="E374" s="708"/>
      <c r="F374" s="708"/>
      <c r="G374" s="708"/>
      <c r="H374" s="708"/>
      <c r="I374" s="708"/>
      <c r="J374" s="708"/>
      <c r="K374" s="708"/>
      <c r="L374" s="708"/>
      <c r="M374" s="708"/>
      <c r="N374" s="708"/>
      <c r="O374" s="708"/>
    </row>
    <row r="375" spans="1:15" x14ac:dyDescent="0.25">
      <c r="A375" s="708"/>
      <c r="B375" s="708"/>
      <c r="C375" s="708"/>
      <c r="D375" s="708"/>
      <c r="E375" s="708"/>
      <c r="F375" s="708"/>
      <c r="G375" s="708"/>
      <c r="H375" s="708"/>
      <c r="I375" s="708"/>
      <c r="J375" s="708"/>
      <c r="K375" s="708"/>
      <c r="L375" s="708"/>
      <c r="M375" s="708"/>
      <c r="N375" s="708"/>
      <c r="O375" s="708"/>
    </row>
    <row r="376" spans="1:15" x14ac:dyDescent="0.25">
      <c r="A376" s="708"/>
      <c r="B376" s="708"/>
      <c r="C376" s="708"/>
      <c r="D376" s="708"/>
      <c r="E376" s="708"/>
      <c r="F376" s="708"/>
      <c r="G376" s="708"/>
      <c r="H376" s="708"/>
      <c r="I376" s="708"/>
      <c r="J376" s="708"/>
      <c r="K376" s="708"/>
      <c r="L376" s="708"/>
      <c r="M376" s="708"/>
      <c r="N376" s="708"/>
      <c r="O376" s="708"/>
    </row>
    <row r="377" spans="1:15" x14ac:dyDescent="0.25">
      <c r="A377" s="708"/>
      <c r="B377" s="708"/>
      <c r="C377" s="708"/>
      <c r="D377" s="708"/>
      <c r="E377" s="708"/>
      <c r="F377" s="708"/>
      <c r="G377" s="708"/>
      <c r="H377" s="708"/>
      <c r="I377" s="708"/>
      <c r="J377" s="708"/>
      <c r="K377" s="708"/>
      <c r="L377" s="708"/>
      <c r="M377" s="708"/>
      <c r="N377" s="708"/>
      <c r="O377" s="708"/>
    </row>
    <row r="378" spans="1:15" x14ac:dyDescent="0.25">
      <c r="A378" s="708"/>
      <c r="B378" s="708"/>
      <c r="C378" s="708"/>
      <c r="D378" s="708"/>
      <c r="E378" s="708"/>
      <c r="F378" s="708"/>
      <c r="G378" s="708"/>
      <c r="H378" s="708"/>
      <c r="I378" s="708"/>
      <c r="J378" s="708"/>
      <c r="K378" s="708"/>
      <c r="L378" s="708"/>
      <c r="M378" s="708"/>
      <c r="N378" s="708"/>
      <c r="O378" s="708"/>
    </row>
    <row r="379" spans="1:15" x14ac:dyDescent="0.25">
      <c r="A379" s="708"/>
      <c r="B379" s="708"/>
      <c r="C379" s="708"/>
      <c r="D379" s="708"/>
      <c r="E379" s="708"/>
      <c r="F379" s="708"/>
      <c r="G379" s="708"/>
      <c r="H379" s="708"/>
      <c r="I379" s="708"/>
      <c r="J379" s="708"/>
      <c r="K379" s="708"/>
      <c r="L379" s="708"/>
      <c r="M379" s="708"/>
      <c r="N379" s="708"/>
      <c r="O379" s="708"/>
    </row>
    <row r="380" spans="1:15" x14ac:dyDescent="0.25">
      <c r="A380" s="708"/>
      <c r="B380" s="708"/>
      <c r="C380" s="708"/>
      <c r="D380" s="708"/>
      <c r="E380" s="708"/>
      <c r="F380" s="708"/>
      <c r="G380" s="708"/>
      <c r="H380" s="708"/>
      <c r="I380" s="708"/>
      <c r="J380" s="708"/>
      <c r="K380" s="708"/>
      <c r="L380" s="708"/>
      <c r="M380" s="708"/>
      <c r="N380" s="708"/>
      <c r="O380" s="708"/>
    </row>
    <row r="381" spans="1:15" x14ac:dyDescent="0.25">
      <c r="A381" s="708"/>
      <c r="B381" s="708"/>
      <c r="C381" s="708"/>
      <c r="D381" s="708"/>
      <c r="E381" s="708"/>
      <c r="F381" s="708"/>
      <c r="G381" s="708"/>
      <c r="H381" s="708"/>
      <c r="I381" s="708"/>
      <c r="J381" s="708"/>
      <c r="K381" s="708"/>
      <c r="L381" s="708"/>
      <c r="M381" s="708"/>
      <c r="N381" s="708"/>
      <c r="O381" s="708"/>
    </row>
    <row r="382" spans="1:15" x14ac:dyDescent="0.25">
      <c r="A382" s="708"/>
      <c r="B382" s="708"/>
      <c r="C382" s="708"/>
      <c r="D382" s="708"/>
      <c r="E382" s="708"/>
      <c r="F382" s="708"/>
      <c r="G382" s="708"/>
      <c r="H382" s="708"/>
      <c r="I382" s="708"/>
      <c r="J382" s="708"/>
      <c r="K382" s="708"/>
      <c r="L382" s="708"/>
      <c r="M382" s="708"/>
      <c r="N382" s="708"/>
      <c r="O382" s="708"/>
    </row>
    <row r="383" spans="1:15" x14ac:dyDescent="0.25">
      <c r="A383" s="708"/>
      <c r="B383" s="708"/>
      <c r="C383" s="708"/>
      <c r="D383" s="708"/>
      <c r="E383" s="708"/>
      <c r="F383" s="708"/>
      <c r="G383" s="708"/>
      <c r="H383" s="708"/>
      <c r="I383" s="708"/>
      <c r="J383" s="708"/>
      <c r="K383" s="708"/>
      <c r="L383" s="708"/>
      <c r="M383" s="708"/>
      <c r="N383" s="708"/>
      <c r="O383" s="708"/>
    </row>
    <row r="384" spans="1:15" x14ac:dyDescent="0.25">
      <c r="A384" s="708"/>
      <c r="B384" s="708"/>
      <c r="C384" s="708"/>
      <c r="D384" s="708"/>
      <c r="E384" s="708"/>
      <c r="F384" s="708"/>
      <c r="G384" s="708"/>
      <c r="H384" s="708"/>
      <c r="I384" s="708"/>
      <c r="J384" s="708"/>
      <c r="K384" s="708"/>
      <c r="L384" s="708"/>
      <c r="M384" s="708"/>
      <c r="N384" s="708"/>
      <c r="O384" s="708"/>
    </row>
    <row r="385" spans="1:15" x14ac:dyDescent="0.25">
      <c r="A385" s="708"/>
      <c r="B385" s="708"/>
      <c r="C385" s="708"/>
      <c r="D385" s="708"/>
      <c r="E385" s="708"/>
      <c r="F385" s="708"/>
      <c r="G385" s="708"/>
      <c r="H385" s="708"/>
      <c r="I385" s="708"/>
      <c r="J385" s="708"/>
      <c r="K385" s="708"/>
      <c r="L385" s="708"/>
      <c r="M385" s="708"/>
      <c r="N385" s="708"/>
      <c r="O385" s="708"/>
    </row>
    <row r="386" spans="1:15" x14ac:dyDescent="0.25">
      <c r="A386" s="708"/>
      <c r="B386" s="708"/>
      <c r="C386" s="708"/>
      <c r="D386" s="708"/>
      <c r="E386" s="708"/>
      <c r="F386" s="708"/>
      <c r="G386" s="708"/>
      <c r="H386" s="708"/>
      <c r="I386" s="708"/>
      <c r="J386" s="708"/>
      <c r="K386" s="708"/>
      <c r="L386" s="708"/>
      <c r="M386" s="708"/>
      <c r="N386" s="708"/>
      <c r="O386" s="708"/>
    </row>
    <row r="387" spans="1:15" x14ac:dyDescent="0.25">
      <c r="A387" s="708"/>
      <c r="B387" s="708"/>
      <c r="C387" s="708"/>
      <c r="D387" s="708"/>
      <c r="E387" s="708"/>
      <c r="F387" s="708"/>
      <c r="G387" s="708"/>
      <c r="H387" s="708"/>
      <c r="I387" s="708"/>
      <c r="J387" s="708"/>
      <c r="K387" s="708"/>
      <c r="L387" s="708"/>
      <c r="M387" s="708"/>
      <c r="N387" s="708"/>
      <c r="O387" s="708"/>
    </row>
    <row r="388" spans="1:15" x14ac:dyDescent="0.25">
      <c r="A388" s="708"/>
      <c r="B388" s="708"/>
      <c r="C388" s="708"/>
      <c r="D388" s="708"/>
      <c r="E388" s="708"/>
      <c r="F388" s="708"/>
      <c r="G388" s="708"/>
      <c r="H388" s="708"/>
      <c r="I388" s="708"/>
      <c r="J388" s="708"/>
      <c r="K388" s="708"/>
      <c r="L388" s="708"/>
      <c r="M388" s="708"/>
      <c r="N388" s="708"/>
      <c r="O388" s="708"/>
    </row>
    <row r="389" spans="1:15" x14ac:dyDescent="0.25">
      <c r="A389" s="708"/>
      <c r="B389" s="708"/>
      <c r="C389" s="708"/>
      <c r="D389" s="708"/>
      <c r="E389" s="708"/>
      <c r="F389" s="708"/>
      <c r="G389" s="708"/>
      <c r="H389" s="708"/>
      <c r="I389" s="708"/>
      <c r="J389" s="708"/>
      <c r="K389" s="708"/>
      <c r="L389" s="708"/>
      <c r="M389" s="708"/>
      <c r="N389" s="708"/>
      <c r="O389" s="708"/>
    </row>
    <row r="390" spans="1:15" x14ac:dyDescent="0.25">
      <c r="A390" s="708"/>
      <c r="B390" s="708"/>
      <c r="C390" s="708"/>
      <c r="D390" s="708"/>
      <c r="E390" s="708"/>
      <c r="F390" s="708"/>
      <c r="G390" s="708"/>
      <c r="H390" s="708"/>
      <c r="I390" s="708"/>
      <c r="J390" s="708"/>
      <c r="K390" s="708"/>
      <c r="L390" s="708"/>
      <c r="M390" s="708"/>
      <c r="N390" s="708"/>
      <c r="O390" s="708"/>
    </row>
    <row r="391" spans="1:15" x14ac:dyDescent="0.25">
      <c r="A391" s="708"/>
      <c r="B391" s="708"/>
      <c r="C391" s="708"/>
      <c r="D391" s="708"/>
      <c r="E391" s="708"/>
      <c r="F391" s="708"/>
      <c r="G391" s="708"/>
      <c r="H391" s="708"/>
      <c r="I391" s="708"/>
      <c r="J391" s="708"/>
      <c r="K391" s="708"/>
      <c r="L391" s="708"/>
      <c r="M391" s="708"/>
      <c r="N391" s="708"/>
      <c r="O391" s="708"/>
    </row>
    <row r="392" spans="1:15" x14ac:dyDescent="0.25">
      <c r="A392" s="708"/>
      <c r="B392" s="708"/>
      <c r="C392" s="708"/>
      <c r="D392" s="708"/>
      <c r="E392" s="708"/>
      <c r="F392" s="708"/>
      <c r="G392" s="708"/>
      <c r="H392" s="708"/>
      <c r="I392" s="708"/>
      <c r="J392" s="708"/>
      <c r="K392" s="708"/>
      <c r="L392" s="708"/>
      <c r="M392" s="708"/>
      <c r="N392" s="708"/>
      <c r="O392" s="708"/>
    </row>
    <row r="393" spans="1:15" x14ac:dyDescent="0.25">
      <c r="A393" s="708"/>
      <c r="B393" s="708"/>
      <c r="C393" s="708"/>
      <c r="D393" s="708"/>
      <c r="E393" s="708"/>
      <c r="F393" s="708"/>
      <c r="G393" s="708"/>
      <c r="H393" s="708"/>
      <c r="I393" s="708"/>
      <c r="J393" s="708"/>
      <c r="K393" s="708"/>
      <c r="L393" s="708"/>
      <c r="M393" s="708"/>
      <c r="N393" s="708"/>
      <c r="O393" s="708"/>
    </row>
    <row r="394" spans="1:15" x14ac:dyDescent="0.25">
      <c r="A394" s="708"/>
      <c r="B394" s="708"/>
      <c r="C394" s="708"/>
      <c r="D394" s="708"/>
      <c r="E394" s="708"/>
      <c r="F394" s="708"/>
      <c r="G394" s="708"/>
      <c r="H394" s="708"/>
      <c r="I394" s="708"/>
      <c r="J394" s="708"/>
      <c r="K394" s="708"/>
      <c r="L394" s="708"/>
      <c r="M394" s="708"/>
      <c r="N394" s="708"/>
      <c r="O394" s="708"/>
    </row>
    <row r="395" spans="1:15" x14ac:dyDescent="0.25">
      <c r="A395" s="708"/>
      <c r="B395" s="708"/>
      <c r="C395" s="708"/>
      <c r="D395" s="708"/>
      <c r="E395" s="708"/>
      <c r="F395" s="708"/>
      <c r="G395" s="708"/>
      <c r="H395" s="708"/>
      <c r="I395" s="708"/>
      <c r="J395" s="708"/>
      <c r="K395" s="708"/>
      <c r="L395" s="708"/>
      <c r="M395" s="708"/>
      <c r="N395" s="708"/>
      <c r="O395" s="708"/>
    </row>
    <row r="396" spans="1:15" x14ac:dyDescent="0.25">
      <c r="A396" s="708"/>
      <c r="B396" s="708"/>
      <c r="C396" s="708"/>
      <c r="D396" s="708"/>
      <c r="E396" s="708"/>
      <c r="F396" s="708"/>
      <c r="G396" s="708"/>
      <c r="H396" s="708"/>
      <c r="I396" s="708"/>
      <c r="J396" s="708"/>
      <c r="K396" s="708"/>
      <c r="L396" s="708"/>
      <c r="M396" s="708"/>
      <c r="N396" s="708"/>
      <c r="O396" s="708"/>
    </row>
    <row r="397" spans="1:15" x14ac:dyDescent="0.25">
      <c r="A397" s="708"/>
      <c r="B397" s="708"/>
      <c r="C397" s="708"/>
      <c r="D397" s="708"/>
      <c r="E397" s="708"/>
      <c r="F397" s="708"/>
      <c r="G397" s="708"/>
      <c r="H397" s="708"/>
      <c r="I397" s="708"/>
      <c r="J397" s="708"/>
      <c r="K397" s="708"/>
      <c r="L397" s="708"/>
      <c r="M397" s="708"/>
      <c r="N397" s="708"/>
      <c r="O397" s="708"/>
    </row>
    <row r="398" spans="1:15" x14ac:dyDescent="0.25">
      <c r="A398" s="708"/>
      <c r="B398" s="708"/>
      <c r="C398" s="708"/>
      <c r="D398" s="708"/>
      <c r="E398" s="708"/>
      <c r="F398" s="708"/>
      <c r="G398" s="708"/>
      <c r="H398" s="708"/>
      <c r="I398" s="708"/>
      <c r="J398" s="708"/>
      <c r="K398" s="708"/>
      <c r="L398" s="708"/>
      <c r="M398" s="708"/>
      <c r="N398" s="708"/>
      <c r="O398" s="708"/>
    </row>
    <row r="399" spans="1:15" x14ac:dyDescent="0.25">
      <c r="A399" s="708"/>
      <c r="B399" s="708"/>
      <c r="C399" s="708"/>
      <c r="D399" s="708"/>
      <c r="E399" s="708"/>
      <c r="F399" s="708"/>
      <c r="G399" s="708"/>
      <c r="H399" s="708"/>
      <c r="I399" s="708"/>
      <c r="J399" s="708"/>
      <c r="K399" s="708"/>
      <c r="L399" s="708"/>
      <c r="M399" s="708"/>
      <c r="N399" s="708"/>
      <c r="O399" s="708"/>
    </row>
    <row r="400" spans="1:15" x14ac:dyDescent="0.25">
      <c r="A400" s="708"/>
      <c r="B400" s="708"/>
      <c r="C400" s="708"/>
      <c r="D400" s="708"/>
      <c r="E400" s="708"/>
      <c r="F400" s="708"/>
      <c r="G400" s="708"/>
      <c r="H400" s="708"/>
      <c r="I400" s="708"/>
      <c r="J400" s="708"/>
      <c r="K400" s="708"/>
      <c r="L400" s="708"/>
      <c r="M400" s="708"/>
      <c r="N400" s="708"/>
      <c r="O400" s="708"/>
    </row>
    <row r="401" spans="1:15" x14ac:dyDescent="0.25">
      <c r="A401" s="708"/>
      <c r="B401" s="708"/>
      <c r="C401" s="708"/>
      <c r="D401" s="708"/>
      <c r="E401" s="708"/>
      <c r="F401" s="708"/>
      <c r="G401" s="708"/>
      <c r="H401" s="708"/>
      <c r="I401" s="708"/>
      <c r="J401" s="708"/>
      <c r="K401" s="708"/>
      <c r="L401" s="708"/>
      <c r="M401" s="708"/>
      <c r="N401" s="708"/>
      <c r="O401" s="708"/>
    </row>
    <row r="402" spans="1:15" x14ac:dyDescent="0.25">
      <c r="A402" s="708"/>
      <c r="B402" s="708"/>
      <c r="C402" s="708"/>
      <c r="D402" s="708"/>
      <c r="E402" s="708"/>
      <c r="F402" s="708"/>
      <c r="G402" s="708"/>
      <c r="H402" s="708"/>
      <c r="I402" s="708"/>
      <c r="J402" s="708"/>
      <c r="K402" s="708"/>
      <c r="L402" s="708"/>
      <c r="M402" s="708"/>
      <c r="N402" s="708"/>
      <c r="O402" s="708"/>
    </row>
    <row r="403" spans="1:15" x14ac:dyDescent="0.25">
      <c r="A403" s="708"/>
      <c r="B403" s="708"/>
      <c r="C403" s="708"/>
      <c r="D403" s="708"/>
      <c r="E403" s="708"/>
      <c r="F403" s="708"/>
      <c r="G403" s="708"/>
      <c r="H403" s="708"/>
      <c r="I403" s="708"/>
      <c r="J403" s="708"/>
      <c r="K403" s="708"/>
      <c r="L403" s="708"/>
      <c r="M403" s="708"/>
      <c r="N403" s="708"/>
      <c r="O403" s="708"/>
    </row>
    <row r="404" spans="1:15" x14ac:dyDescent="0.25">
      <c r="A404" s="708"/>
      <c r="B404" s="708"/>
      <c r="C404" s="708"/>
      <c r="D404" s="708"/>
      <c r="E404" s="708"/>
      <c r="F404" s="708"/>
      <c r="G404" s="708"/>
      <c r="H404" s="708"/>
      <c r="I404" s="708"/>
      <c r="J404" s="708"/>
      <c r="K404" s="708"/>
      <c r="L404" s="708"/>
      <c r="M404" s="708"/>
      <c r="N404" s="708"/>
      <c r="O404" s="708"/>
    </row>
    <row r="405" spans="1:15" x14ac:dyDescent="0.25">
      <c r="A405" s="708"/>
      <c r="B405" s="708"/>
      <c r="C405" s="708"/>
      <c r="D405" s="708"/>
      <c r="E405" s="708"/>
      <c r="F405" s="708"/>
      <c r="G405" s="708"/>
      <c r="H405" s="708"/>
      <c r="I405" s="708"/>
      <c r="J405" s="708"/>
      <c r="K405" s="708"/>
      <c r="L405" s="708"/>
      <c r="M405" s="708"/>
      <c r="N405" s="708"/>
      <c r="O405" s="708"/>
    </row>
    <row r="406" spans="1:15" x14ac:dyDescent="0.25">
      <c r="A406" s="708"/>
      <c r="B406" s="708"/>
      <c r="C406" s="708"/>
      <c r="D406" s="708"/>
      <c r="E406" s="708"/>
      <c r="F406" s="708"/>
      <c r="G406" s="708"/>
      <c r="H406" s="708"/>
      <c r="I406" s="708"/>
      <c r="J406" s="708"/>
      <c r="K406" s="708"/>
      <c r="L406" s="708"/>
      <c r="M406" s="708"/>
      <c r="N406" s="708"/>
      <c r="O406" s="708"/>
    </row>
    <row r="407" spans="1:15" x14ac:dyDescent="0.25">
      <c r="A407" s="708"/>
      <c r="B407" s="708"/>
      <c r="C407" s="708"/>
      <c r="D407" s="708"/>
      <c r="E407" s="708"/>
      <c r="F407" s="708"/>
      <c r="G407" s="708"/>
      <c r="H407" s="708"/>
      <c r="I407" s="708"/>
      <c r="J407" s="708"/>
      <c r="K407" s="708"/>
      <c r="L407" s="708"/>
      <c r="M407" s="708"/>
      <c r="N407" s="708"/>
      <c r="O407" s="708"/>
    </row>
    <row r="408" spans="1:15" x14ac:dyDescent="0.25">
      <c r="A408" s="708"/>
      <c r="B408" s="708"/>
      <c r="C408" s="708"/>
      <c r="D408" s="708"/>
      <c r="E408" s="708"/>
      <c r="F408" s="708"/>
      <c r="G408" s="708"/>
      <c r="H408" s="708"/>
      <c r="I408" s="708"/>
      <c r="J408" s="708"/>
      <c r="K408" s="708"/>
      <c r="L408" s="708"/>
      <c r="M408" s="708"/>
      <c r="N408" s="708"/>
      <c r="O408" s="708"/>
    </row>
    <row r="409" spans="1:15" x14ac:dyDescent="0.25">
      <c r="A409" s="708"/>
      <c r="B409" s="708"/>
      <c r="C409" s="708"/>
      <c r="D409" s="708"/>
      <c r="E409" s="708"/>
      <c r="F409" s="708"/>
      <c r="G409" s="708"/>
      <c r="H409" s="708"/>
      <c r="I409" s="708"/>
      <c r="J409" s="708"/>
      <c r="K409" s="708"/>
      <c r="L409" s="708"/>
      <c r="M409" s="708"/>
      <c r="N409" s="708"/>
      <c r="O409" s="708"/>
    </row>
    <row r="410" spans="1:15" x14ac:dyDescent="0.25">
      <c r="A410" s="708"/>
      <c r="B410" s="708"/>
      <c r="C410" s="708"/>
      <c r="D410" s="708"/>
      <c r="E410" s="708"/>
      <c r="F410" s="708"/>
      <c r="G410" s="708"/>
      <c r="H410" s="708"/>
      <c r="I410" s="708"/>
      <c r="J410" s="708"/>
      <c r="K410" s="708"/>
      <c r="L410" s="708"/>
      <c r="M410" s="708"/>
      <c r="N410" s="708"/>
      <c r="O410" s="708"/>
    </row>
    <row r="411" spans="1:15" x14ac:dyDescent="0.25">
      <c r="A411" s="708"/>
      <c r="B411" s="708"/>
      <c r="C411" s="708"/>
      <c r="D411" s="708"/>
      <c r="E411" s="708"/>
      <c r="F411" s="708"/>
      <c r="G411" s="708"/>
      <c r="H411" s="708"/>
      <c r="I411" s="708"/>
      <c r="J411" s="708"/>
      <c r="K411" s="708"/>
      <c r="L411" s="708"/>
      <c r="M411" s="708"/>
      <c r="N411" s="708"/>
      <c r="O411" s="708"/>
    </row>
    <row r="412" spans="1:15" x14ac:dyDescent="0.25">
      <c r="A412" s="708"/>
      <c r="B412" s="708"/>
      <c r="C412" s="708"/>
      <c r="D412" s="708"/>
      <c r="E412" s="708"/>
      <c r="F412" s="708"/>
      <c r="G412" s="708"/>
      <c r="H412" s="708"/>
      <c r="I412" s="708"/>
      <c r="J412" s="708"/>
      <c r="K412" s="708"/>
      <c r="L412" s="708"/>
      <c r="M412" s="708"/>
      <c r="N412" s="708"/>
      <c r="O412" s="708"/>
    </row>
    <row r="413" spans="1:15" x14ac:dyDescent="0.25">
      <c r="A413" s="708"/>
      <c r="B413" s="708"/>
      <c r="C413" s="708"/>
      <c r="D413" s="708"/>
      <c r="E413" s="708"/>
      <c r="F413" s="708"/>
      <c r="G413" s="708"/>
      <c r="H413" s="708"/>
      <c r="I413" s="708"/>
      <c r="J413" s="708"/>
      <c r="K413" s="708"/>
      <c r="L413" s="708"/>
      <c r="M413" s="708"/>
      <c r="N413" s="708"/>
      <c r="O413" s="708"/>
    </row>
    <row r="414" spans="1:15" x14ac:dyDescent="0.25">
      <c r="A414" s="708"/>
      <c r="B414" s="708"/>
      <c r="C414" s="708"/>
      <c r="D414" s="708"/>
      <c r="E414" s="708"/>
      <c r="F414" s="708"/>
      <c r="G414" s="708"/>
      <c r="H414" s="708"/>
      <c r="I414" s="708"/>
      <c r="J414" s="708"/>
      <c r="K414" s="708"/>
      <c r="L414" s="708"/>
      <c r="M414" s="708"/>
      <c r="N414" s="708"/>
      <c r="O414" s="708"/>
    </row>
    <row r="415" spans="1:15" x14ac:dyDescent="0.25">
      <c r="A415" s="708"/>
      <c r="B415" s="708"/>
      <c r="C415" s="708"/>
      <c r="D415" s="708"/>
      <c r="E415" s="708"/>
      <c r="F415" s="708"/>
      <c r="G415" s="708"/>
      <c r="H415" s="708"/>
      <c r="I415" s="708"/>
      <c r="J415" s="708"/>
      <c r="K415" s="708"/>
      <c r="L415" s="708"/>
      <c r="M415" s="708"/>
      <c r="N415" s="708"/>
      <c r="O415" s="708"/>
    </row>
    <row r="416" spans="1:15" x14ac:dyDescent="0.25">
      <c r="A416" s="708"/>
      <c r="B416" s="708"/>
      <c r="C416" s="708"/>
      <c r="D416" s="708"/>
      <c r="E416" s="708"/>
      <c r="F416" s="708"/>
      <c r="G416" s="708"/>
      <c r="H416" s="708"/>
      <c r="I416" s="708"/>
      <c r="J416" s="708"/>
      <c r="K416" s="708"/>
      <c r="L416" s="708"/>
      <c r="M416" s="708"/>
      <c r="N416" s="708"/>
      <c r="O416" s="708"/>
    </row>
    <row r="417" spans="1:15" x14ac:dyDescent="0.25">
      <c r="A417" s="708"/>
      <c r="B417" s="708"/>
      <c r="C417" s="708"/>
      <c r="D417" s="708"/>
      <c r="E417" s="708"/>
      <c r="F417" s="708"/>
      <c r="G417" s="708"/>
      <c r="H417" s="708"/>
      <c r="I417" s="708"/>
      <c r="J417" s="708"/>
      <c r="K417" s="708"/>
      <c r="L417" s="708"/>
      <c r="M417" s="708"/>
      <c r="N417" s="708"/>
      <c r="O417" s="708"/>
    </row>
    <row r="418" spans="1:15" x14ac:dyDescent="0.25">
      <c r="A418" s="708"/>
      <c r="B418" s="708"/>
      <c r="C418" s="708"/>
      <c r="D418" s="708"/>
      <c r="E418" s="708"/>
      <c r="F418" s="708"/>
      <c r="G418" s="708"/>
      <c r="H418" s="708"/>
      <c r="I418" s="708"/>
      <c r="J418" s="708"/>
      <c r="K418" s="708"/>
      <c r="L418" s="708"/>
      <c r="M418" s="708"/>
      <c r="N418" s="708"/>
      <c r="O418" s="708"/>
    </row>
    <row r="419" spans="1:15" x14ac:dyDescent="0.25">
      <c r="A419" s="708"/>
      <c r="B419" s="708"/>
      <c r="C419" s="708"/>
      <c r="D419" s="708"/>
      <c r="E419" s="708"/>
      <c r="F419" s="708"/>
      <c r="G419" s="708"/>
      <c r="H419" s="708"/>
      <c r="I419" s="708"/>
      <c r="J419" s="708"/>
      <c r="K419" s="708"/>
      <c r="L419" s="708"/>
      <c r="M419" s="708"/>
      <c r="N419" s="708"/>
      <c r="O419" s="708"/>
    </row>
    <row r="420" spans="1:15" x14ac:dyDescent="0.25">
      <c r="A420" s="708"/>
      <c r="B420" s="708"/>
      <c r="C420" s="708"/>
      <c r="D420" s="708"/>
      <c r="E420" s="708"/>
      <c r="F420" s="708"/>
      <c r="G420" s="708"/>
      <c r="H420" s="708"/>
      <c r="I420" s="708"/>
      <c r="J420" s="708"/>
      <c r="K420" s="708"/>
      <c r="L420" s="708"/>
      <c r="M420" s="708"/>
      <c r="N420" s="708"/>
      <c r="O420" s="708"/>
    </row>
    <row r="421" spans="1:15" x14ac:dyDescent="0.25">
      <c r="A421" s="708"/>
      <c r="B421" s="708"/>
      <c r="C421" s="708"/>
      <c r="D421" s="708"/>
      <c r="E421" s="708"/>
      <c r="F421" s="708"/>
      <c r="G421" s="708"/>
      <c r="H421" s="708"/>
      <c r="I421" s="708"/>
      <c r="J421" s="708"/>
      <c r="K421" s="708"/>
      <c r="L421" s="708"/>
      <c r="M421" s="708"/>
      <c r="N421" s="708"/>
      <c r="O421" s="708"/>
    </row>
    <row r="422" spans="1:15" x14ac:dyDescent="0.25">
      <c r="A422" s="708"/>
      <c r="B422" s="708"/>
      <c r="C422" s="708"/>
      <c r="D422" s="708"/>
      <c r="E422" s="708"/>
      <c r="F422" s="708"/>
      <c r="G422" s="708"/>
      <c r="H422" s="708"/>
      <c r="I422" s="708"/>
      <c r="J422" s="708"/>
      <c r="K422" s="708"/>
      <c r="L422" s="708"/>
      <c r="M422" s="708"/>
      <c r="N422" s="708"/>
      <c r="O422" s="708"/>
    </row>
    <row r="423" spans="1:15" x14ac:dyDescent="0.25">
      <c r="A423" s="708"/>
      <c r="B423" s="708"/>
      <c r="C423" s="708"/>
      <c r="D423" s="708"/>
      <c r="E423" s="708"/>
      <c r="F423" s="708"/>
      <c r="G423" s="708"/>
      <c r="H423" s="708"/>
      <c r="I423" s="708"/>
      <c r="J423" s="708"/>
      <c r="K423" s="708"/>
      <c r="L423" s="708"/>
      <c r="M423" s="708"/>
      <c r="N423" s="708"/>
      <c r="O423" s="708"/>
    </row>
    <row r="424" spans="1:15" x14ac:dyDescent="0.25">
      <c r="A424" s="708"/>
      <c r="B424" s="708"/>
      <c r="C424" s="708"/>
      <c r="D424" s="708"/>
      <c r="E424" s="708"/>
      <c r="F424" s="708"/>
      <c r="G424" s="708"/>
      <c r="H424" s="708"/>
      <c r="I424" s="708"/>
      <c r="J424" s="708"/>
      <c r="K424" s="708"/>
      <c r="L424" s="708"/>
      <c r="M424" s="708"/>
      <c r="N424" s="708"/>
      <c r="O424" s="708"/>
    </row>
    <row r="425" spans="1:15" x14ac:dyDescent="0.25">
      <c r="A425" s="708"/>
      <c r="B425" s="708"/>
      <c r="C425" s="708"/>
      <c r="D425" s="708"/>
      <c r="E425" s="708"/>
      <c r="F425" s="708"/>
      <c r="G425" s="708"/>
      <c r="H425" s="708"/>
      <c r="I425" s="708"/>
      <c r="J425" s="708"/>
      <c r="K425" s="708"/>
      <c r="L425" s="708"/>
      <c r="M425" s="708"/>
      <c r="N425" s="708"/>
      <c r="O425" s="708"/>
    </row>
    <row r="426" spans="1:15" x14ac:dyDescent="0.25">
      <c r="A426" s="708"/>
      <c r="B426" s="708"/>
      <c r="C426" s="708"/>
      <c r="D426" s="708"/>
      <c r="E426" s="708"/>
      <c r="F426" s="708"/>
      <c r="G426" s="708"/>
      <c r="H426" s="708"/>
      <c r="I426" s="708"/>
      <c r="J426" s="708"/>
      <c r="K426" s="708"/>
      <c r="L426" s="708"/>
      <c r="M426" s="708"/>
      <c r="N426" s="708"/>
      <c r="O426" s="708"/>
    </row>
    <row r="427" spans="1:15" x14ac:dyDescent="0.25">
      <c r="A427" s="708"/>
      <c r="B427" s="708"/>
      <c r="C427" s="708"/>
      <c r="D427" s="708"/>
      <c r="E427" s="708"/>
      <c r="F427" s="708"/>
      <c r="G427" s="708"/>
      <c r="H427" s="708"/>
      <c r="I427" s="708"/>
      <c r="J427" s="708"/>
      <c r="K427" s="708"/>
      <c r="L427" s="708"/>
      <c r="M427" s="708"/>
      <c r="N427" s="708"/>
      <c r="O427" s="708"/>
    </row>
    <row r="428" spans="1:15" x14ac:dyDescent="0.25">
      <c r="A428" s="708"/>
      <c r="B428" s="708"/>
      <c r="C428" s="708"/>
      <c r="D428" s="708"/>
      <c r="E428" s="708"/>
      <c r="F428" s="708"/>
      <c r="G428" s="708"/>
      <c r="H428" s="708"/>
      <c r="I428" s="708"/>
      <c r="J428" s="708"/>
      <c r="K428" s="708"/>
      <c r="L428" s="708"/>
      <c r="M428" s="708"/>
      <c r="N428" s="708"/>
      <c r="O428" s="708"/>
    </row>
    <row r="429" spans="1:15" x14ac:dyDescent="0.25">
      <c r="A429" s="708"/>
      <c r="B429" s="708"/>
      <c r="C429" s="708"/>
      <c r="D429" s="708"/>
      <c r="E429" s="708"/>
      <c r="F429" s="708"/>
      <c r="G429" s="708"/>
      <c r="H429" s="708"/>
      <c r="I429" s="708"/>
      <c r="J429" s="708"/>
      <c r="K429" s="708"/>
      <c r="L429" s="708"/>
      <c r="M429" s="708"/>
      <c r="N429" s="708"/>
      <c r="O429" s="708"/>
    </row>
    <row r="430" spans="1:15" x14ac:dyDescent="0.25">
      <c r="A430" s="708"/>
      <c r="B430" s="708"/>
      <c r="C430" s="708"/>
      <c r="D430" s="708"/>
      <c r="E430" s="708"/>
      <c r="F430" s="708"/>
      <c r="G430" s="708"/>
      <c r="H430" s="708"/>
      <c r="I430" s="708"/>
      <c r="J430" s="708"/>
      <c r="K430" s="708"/>
      <c r="L430" s="708"/>
      <c r="M430" s="708"/>
      <c r="N430" s="708"/>
      <c r="O430" s="708"/>
    </row>
    <row r="431" spans="1:15" x14ac:dyDescent="0.25">
      <c r="A431" s="708"/>
      <c r="B431" s="708"/>
      <c r="C431" s="708"/>
      <c r="D431" s="708"/>
      <c r="E431" s="708"/>
      <c r="F431" s="708"/>
      <c r="G431" s="708"/>
      <c r="H431" s="708"/>
      <c r="I431" s="708"/>
      <c r="J431" s="708"/>
      <c r="K431" s="708"/>
      <c r="L431" s="708"/>
      <c r="M431" s="708"/>
      <c r="N431" s="708"/>
      <c r="O431" s="708"/>
    </row>
    <row r="432" spans="1:15" x14ac:dyDescent="0.25">
      <c r="A432" s="708"/>
      <c r="B432" s="708"/>
      <c r="C432" s="708"/>
      <c r="D432" s="708"/>
      <c r="E432" s="708"/>
      <c r="F432" s="708"/>
      <c r="G432" s="708"/>
      <c r="H432" s="708"/>
      <c r="I432" s="708"/>
      <c r="J432" s="708"/>
      <c r="K432" s="708"/>
      <c r="L432" s="708"/>
      <c r="M432" s="708"/>
      <c r="N432" s="708"/>
      <c r="O432" s="708"/>
    </row>
    <row r="433" spans="1:15" x14ac:dyDescent="0.25">
      <c r="A433" s="708"/>
      <c r="B433" s="708"/>
      <c r="C433" s="708"/>
      <c r="D433" s="708"/>
      <c r="E433" s="708"/>
      <c r="F433" s="708"/>
      <c r="G433" s="708"/>
      <c r="H433" s="708"/>
      <c r="I433" s="708"/>
      <c r="J433" s="708"/>
      <c r="K433" s="708"/>
      <c r="L433" s="708"/>
      <c r="M433" s="708"/>
      <c r="N433" s="708"/>
      <c r="O433" s="708"/>
    </row>
    <row r="434" spans="1:15" x14ac:dyDescent="0.25">
      <c r="A434" s="708"/>
      <c r="B434" s="708"/>
      <c r="C434" s="708"/>
      <c r="D434" s="708"/>
      <c r="E434" s="708"/>
      <c r="F434" s="708"/>
      <c r="G434" s="708"/>
      <c r="H434" s="708"/>
      <c r="I434" s="708"/>
      <c r="J434" s="708"/>
      <c r="K434" s="708"/>
      <c r="L434" s="708"/>
      <c r="M434" s="708"/>
      <c r="N434" s="708"/>
      <c r="O434" s="708"/>
    </row>
    <row r="435" spans="1:15" x14ac:dyDescent="0.25">
      <c r="A435" s="708"/>
      <c r="B435" s="708"/>
      <c r="C435" s="708"/>
      <c r="D435" s="708"/>
      <c r="E435" s="708"/>
      <c r="F435" s="708"/>
      <c r="G435" s="708"/>
      <c r="H435" s="708"/>
      <c r="I435" s="708"/>
      <c r="J435" s="708"/>
      <c r="K435" s="708"/>
      <c r="L435" s="708"/>
      <c r="M435" s="708"/>
      <c r="N435" s="708"/>
      <c r="O435" s="708"/>
    </row>
    <row r="436" spans="1:15" x14ac:dyDescent="0.25">
      <c r="A436" s="708"/>
      <c r="B436" s="708"/>
      <c r="C436" s="708"/>
      <c r="D436" s="708"/>
      <c r="E436" s="708"/>
      <c r="F436" s="708"/>
      <c r="G436" s="708"/>
      <c r="H436" s="708"/>
      <c r="I436" s="708"/>
      <c r="J436" s="708"/>
      <c r="K436" s="708"/>
      <c r="L436" s="708"/>
      <c r="M436" s="708"/>
      <c r="N436" s="708"/>
      <c r="O436" s="708"/>
    </row>
    <row r="437" spans="1:15" x14ac:dyDescent="0.25">
      <c r="A437" s="708"/>
      <c r="B437" s="708"/>
      <c r="C437" s="708"/>
      <c r="D437" s="708"/>
      <c r="E437" s="708"/>
      <c r="F437" s="708"/>
      <c r="G437" s="708"/>
      <c r="H437" s="708"/>
      <c r="I437" s="708"/>
      <c r="J437" s="708"/>
      <c r="K437" s="708"/>
      <c r="L437" s="708"/>
      <c r="M437" s="708"/>
      <c r="N437" s="708"/>
      <c r="O437" s="708"/>
    </row>
    <row r="438" spans="1:15" x14ac:dyDescent="0.25">
      <c r="A438" s="708"/>
      <c r="B438" s="708"/>
      <c r="C438" s="708"/>
      <c r="D438" s="708"/>
      <c r="E438" s="708"/>
      <c r="F438" s="708"/>
      <c r="G438" s="708"/>
      <c r="H438" s="708"/>
      <c r="I438" s="708"/>
      <c r="J438" s="708"/>
      <c r="K438" s="708"/>
      <c r="L438" s="708"/>
      <c r="M438" s="708"/>
      <c r="N438" s="708"/>
      <c r="O438" s="708"/>
    </row>
    <row r="439" spans="1:15" x14ac:dyDescent="0.25">
      <c r="A439" s="708"/>
      <c r="B439" s="708"/>
      <c r="C439" s="708"/>
      <c r="D439" s="708"/>
      <c r="E439" s="708"/>
      <c r="F439" s="708"/>
      <c r="G439" s="708"/>
      <c r="H439" s="708"/>
      <c r="I439" s="708"/>
      <c r="J439" s="708"/>
      <c r="K439" s="708"/>
      <c r="L439" s="708"/>
      <c r="M439" s="708"/>
      <c r="N439" s="708"/>
      <c r="O439" s="708"/>
    </row>
    <row r="440" spans="1:15" x14ac:dyDescent="0.25">
      <c r="A440" s="708"/>
      <c r="B440" s="708"/>
      <c r="C440" s="708"/>
      <c r="D440" s="708"/>
      <c r="E440" s="708"/>
      <c r="F440" s="708"/>
      <c r="G440" s="708"/>
      <c r="H440" s="708"/>
      <c r="I440" s="708"/>
      <c r="J440" s="708"/>
      <c r="K440" s="708"/>
      <c r="L440" s="708"/>
      <c r="M440" s="708"/>
      <c r="N440" s="708"/>
      <c r="O440" s="708"/>
    </row>
    <row r="441" spans="1:15" x14ac:dyDescent="0.25">
      <c r="A441" s="708"/>
      <c r="B441" s="708"/>
      <c r="C441" s="708"/>
      <c r="D441" s="708"/>
      <c r="E441" s="708"/>
      <c r="F441" s="708"/>
      <c r="G441" s="708"/>
      <c r="H441" s="708"/>
      <c r="I441" s="708"/>
      <c r="J441" s="708"/>
      <c r="K441" s="708"/>
      <c r="L441" s="708"/>
      <c r="M441" s="708"/>
      <c r="N441" s="708"/>
      <c r="O441" s="708"/>
    </row>
    <row r="442" spans="1:15" x14ac:dyDescent="0.25">
      <c r="A442" s="708"/>
      <c r="B442" s="708"/>
      <c r="C442" s="708"/>
      <c r="D442" s="708"/>
      <c r="E442" s="708"/>
      <c r="F442" s="708"/>
      <c r="G442" s="708"/>
      <c r="H442" s="708"/>
      <c r="I442" s="708"/>
      <c r="J442" s="708"/>
      <c r="K442" s="708"/>
      <c r="L442" s="708"/>
      <c r="M442" s="708"/>
      <c r="N442" s="708"/>
      <c r="O442" s="708"/>
    </row>
    <row r="443" spans="1:15" x14ac:dyDescent="0.25">
      <c r="A443" s="708"/>
      <c r="B443" s="708"/>
      <c r="C443" s="708"/>
      <c r="D443" s="708"/>
      <c r="E443" s="708"/>
      <c r="F443" s="708"/>
      <c r="G443" s="708"/>
      <c r="H443" s="708"/>
      <c r="I443" s="708"/>
      <c r="J443" s="708"/>
      <c r="K443" s="708"/>
      <c r="L443" s="708"/>
      <c r="M443" s="708"/>
      <c r="N443" s="708"/>
      <c r="O443" s="708"/>
    </row>
    <row r="444" spans="1:15" x14ac:dyDescent="0.25">
      <c r="A444" s="708"/>
      <c r="B444" s="708"/>
      <c r="C444" s="708"/>
      <c r="D444" s="708"/>
      <c r="E444" s="708"/>
      <c r="F444" s="708"/>
      <c r="G444" s="708"/>
      <c r="H444" s="708"/>
      <c r="I444" s="708"/>
      <c r="J444" s="708"/>
      <c r="K444" s="708"/>
      <c r="L444" s="708"/>
      <c r="M444" s="708"/>
      <c r="N444" s="708"/>
      <c r="O444" s="708"/>
    </row>
    <row r="445" spans="1:15" x14ac:dyDescent="0.25">
      <c r="A445" s="708"/>
      <c r="B445" s="708"/>
      <c r="C445" s="708"/>
      <c r="D445" s="708"/>
      <c r="E445" s="708"/>
      <c r="F445" s="708"/>
      <c r="G445" s="708"/>
      <c r="H445" s="708"/>
      <c r="I445" s="708"/>
      <c r="J445" s="708"/>
      <c r="K445" s="708"/>
      <c r="L445" s="708"/>
      <c r="M445" s="708"/>
      <c r="N445" s="708"/>
      <c r="O445" s="708"/>
    </row>
    <row r="446" spans="1:15" x14ac:dyDescent="0.25">
      <c r="A446" s="708"/>
      <c r="B446" s="708"/>
      <c r="C446" s="708"/>
      <c r="D446" s="708"/>
      <c r="E446" s="708"/>
      <c r="F446" s="708"/>
      <c r="G446" s="708"/>
      <c r="H446" s="708"/>
      <c r="I446" s="708"/>
      <c r="J446" s="708"/>
      <c r="K446" s="708"/>
      <c r="L446" s="708"/>
      <c r="M446" s="708"/>
      <c r="N446" s="708"/>
      <c r="O446" s="708"/>
    </row>
    <row r="447" spans="1:15" x14ac:dyDescent="0.25">
      <c r="A447" s="708"/>
      <c r="B447" s="708"/>
      <c r="C447" s="708"/>
      <c r="D447" s="708"/>
      <c r="E447" s="708"/>
      <c r="F447" s="708"/>
      <c r="G447" s="708"/>
      <c r="H447" s="708"/>
      <c r="I447" s="708"/>
      <c r="J447" s="708"/>
      <c r="K447" s="708"/>
      <c r="L447" s="708"/>
      <c r="M447" s="708"/>
      <c r="N447" s="708"/>
      <c r="O447" s="708"/>
    </row>
    <row r="448" spans="1:15" x14ac:dyDescent="0.25">
      <c r="A448" s="708"/>
      <c r="B448" s="708"/>
      <c r="C448" s="708"/>
      <c r="D448" s="708"/>
      <c r="E448" s="708"/>
      <c r="F448" s="708"/>
      <c r="G448" s="708"/>
      <c r="H448" s="708"/>
      <c r="I448" s="708"/>
      <c r="J448" s="708"/>
      <c r="K448" s="708"/>
      <c r="L448" s="708"/>
      <c r="M448" s="708"/>
      <c r="N448" s="708"/>
      <c r="O448" s="708"/>
    </row>
    <row r="449" spans="1:15" x14ac:dyDescent="0.25">
      <c r="A449" s="708"/>
      <c r="B449" s="708"/>
      <c r="C449" s="708"/>
      <c r="D449" s="708"/>
      <c r="E449" s="708"/>
      <c r="F449" s="708"/>
      <c r="G449" s="708"/>
      <c r="H449" s="708"/>
      <c r="I449" s="708"/>
      <c r="J449" s="708"/>
      <c r="K449" s="708"/>
      <c r="L449" s="708"/>
      <c r="M449" s="708"/>
      <c r="N449" s="708"/>
      <c r="O449" s="708"/>
    </row>
    <row r="450" spans="1:15" x14ac:dyDescent="0.25">
      <c r="A450" s="708"/>
      <c r="B450" s="708"/>
      <c r="C450" s="708"/>
      <c r="D450" s="708"/>
      <c r="E450" s="708"/>
      <c r="F450" s="708"/>
      <c r="G450" s="708"/>
      <c r="H450" s="708"/>
      <c r="I450" s="708"/>
      <c r="J450" s="708"/>
      <c r="K450" s="708"/>
      <c r="L450" s="708"/>
      <c r="M450" s="708"/>
      <c r="N450" s="708"/>
      <c r="O450" s="708"/>
    </row>
    <row r="451" spans="1:15" x14ac:dyDescent="0.25">
      <c r="A451" s="708"/>
      <c r="B451" s="708"/>
      <c r="C451" s="708"/>
      <c r="D451" s="708"/>
      <c r="E451" s="708"/>
      <c r="F451" s="708"/>
      <c r="G451" s="708"/>
      <c r="H451" s="708"/>
      <c r="I451" s="708"/>
      <c r="J451" s="708"/>
      <c r="K451" s="708"/>
      <c r="L451" s="708"/>
      <c r="M451" s="708"/>
      <c r="N451" s="708"/>
      <c r="O451" s="708"/>
    </row>
    <row r="452" spans="1:15" x14ac:dyDescent="0.25">
      <c r="A452" s="708"/>
      <c r="B452" s="708"/>
      <c r="C452" s="708"/>
      <c r="D452" s="708"/>
      <c r="E452" s="708"/>
      <c r="F452" s="708"/>
      <c r="G452" s="708"/>
      <c r="H452" s="708"/>
      <c r="I452" s="708"/>
      <c r="J452" s="708"/>
      <c r="K452" s="708"/>
      <c r="L452" s="708"/>
      <c r="M452" s="708"/>
      <c r="N452" s="708"/>
      <c r="O452" s="708"/>
    </row>
    <row r="453" spans="1:15" x14ac:dyDescent="0.25">
      <c r="A453" s="708"/>
      <c r="B453" s="708"/>
      <c r="C453" s="708"/>
      <c r="D453" s="708"/>
      <c r="E453" s="708"/>
      <c r="F453" s="708"/>
      <c r="G453" s="708"/>
      <c r="H453" s="708"/>
      <c r="I453" s="708"/>
      <c r="J453" s="708"/>
      <c r="K453" s="708"/>
      <c r="L453" s="708"/>
      <c r="M453" s="708"/>
      <c r="N453" s="708"/>
      <c r="O453" s="708"/>
    </row>
    <row r="454" spans="1:15" x14ac:dyDescent="0.25">
      <c r="A454" s="708"/>
      <c r="B454" s="708"/>
      <c r="C454" s="708"/>
      <c r="D454" s="708"/>
      <c r="E454" s="708"/>
      <c r="F454" s="708"/>
      <c r="G454" s="708"/>
      <c r="H454" s="708"/>
      <c r="I454" s="708"/>
      <c r="J454" s="708"/>
      <c r="K454" s="708"/>
      <c r="L454" s="708"/>
      <c r="M454" s="708"/>
      <c r="N454" s="708"/>
      <c r="O454" s="708"/>
    </row>
    <row r="455" spans="1:15" x14ac:dyDescent="0.25">
      <c r="A455" s="708"/>
      <c r="B455" s="708"/>
      <c r="C455" s="708"/>
      <c r="D455" s="708"/>
      <c r="E455" s="708"/>
      <c r="F455" s="708"/>
      <c r="G455" s="708"/>
      <c r="H455" s="708"/>
      <c r="I455" s="708"/>
      <c r="J455" s="708"/>
      <c r="K455" s="708"/>
      <c r="L455" s="708"/>
      <c r="M455" s="708"/>
      <c r="N455" s="708"/>
      <c r="O455" s="708"/>
    </row>
    <row r="456" spans="1:15" x14ac:dyDescent="0.25">
      <c r="A456" s="708"/>
      <c r="B456" s="708"/>
      <c r="C456" s="708"/>
      <c r="D456" s="708"/>
      <c r="E456" s="708"/>
      <c r="F456" s="708"/>
      <c r="G456" s="708"/>
      <c r="H456" s="708"/>
      <c r="I456" s="708"/>
      <c r="J456" s="708"/>
      <c r="K456" s="708"/>
      <c r="L456" s="708"/>
      <c r="M456" s="708"/>
      <c r="N456" s="708"/>
      <c r="O456" s="708"/>
    </row>
    <row r="457" spans="1:15" x14ac:dyDescent="0.25">
      <c r="A457" s="708"/>
      <c r="B457" s="708"/>
      <c r="C457" s="708"/>
      <c r="D457" s="708"/>
      <c r="E457" s="708"/>
      <c r="F457" s="708"/>
      <c r="G457" s="708"/>
      <c r="H457" s="708"/>
      <c r="I457" s="708"/>
      <c r="J457" s="708"/>
      <c r="K457" s="708"/>
      <c r="L457" s="708"/>
      <c r="M457" s="708"/>
      <c r="N457" s="708"/>
      <c r="O457" s="708"/>
    </row>
    <row r="458" spans="1:15" x14ac:dyDescent="0.25">
      <c r="A458" s="708"/>
      <c r="B458" s="708"/>
      <c r="C458" s="708"/>
      <c r="D458" s="708"/>
      <c r="E458" s="708"/>
      <c r="F458" s="708"/>
      <c r="G458" s="708"/>
      <c r="H458" s="708"/>
      <c r="I458" s="708"/>
      <c r="J458" s="708"/>
      <c r="K458" s="708"/>
      <c r="L458" s="708"/>
      <c r="M458" s="708"/>
      <c r="N458" s="708"/>
      <c r="O458" s="708"/>
    </row>
    <row r="459" spans="1:15" x14ac:dyDescent="0.25">
      <c r="A459" s="708"/>
      <c r="B459" s="708"/>
      <c r="C459" s="708"/>
      <c r="D459" s="708"/>
      <c r="E459" s="708"/>
      <c r="F459" s="708"/>
      <c r="G459" s="708"/>
      <c r="H459" s="708"/>
      <c r="I459" s="708"/>
      <c r="J459" s="708"/>
      <c r="K459" s="708"/>
      <c r="L459" s="708"/>
      <c r="M459" s="708"/>
      <c r="N459" s="708"/>
      <c r="O459" s="708"/>
    </row>
    <row r="460" spans="1:15" x14ac:dyDescent="0.25">
      <c r="A460" s="708"/>
      <c r="B460" s="708"/>
      <c r="C460" s="708"/>
      <c r="D460" s="708"/>
      <c r="E460" s="708"/>
      <c r="F460" s="708"/>
      <c r="G460" s="708"/>
      <c r="H460" s="708"/>
      <c r="I460" s="708"/>
      <c r="J460" s="708"/>
      <c r="K460" s="708"/>
      <c r="L460" s="708"/>
      <c r="M460" s="708"/>
      <c r="N460" s="708"/>
      <c r="O460" s="708"/>
    </row>
    <row r="461" spans="1:15" x14ac:dyDescent="0.25">
      <c r="A461" s="708"/>
      <c r="B461" s="708"/>
      <c r="C461" s="708"/>
      <c r="D461" s="708"/>
      <c r="E461" s="708"/>
      <c r="F461" s="708"/>
      <c r="G461" s="708"/>
      <c r="H461" s="708"/>
      <c r="I461" s="708"/>
      <c r="J461" s="708"/>
      <c r="K461" s="708"/>
      <c r="L461" s="708"/>
      <c r="M461" s="708"/>
      <c r="N461" s="708"/>
      <c r="O461" s="708"/>
    </row>
    <row r="462" spans="1:15" x14ac:dyDescent="0.25">
      <c r="A462" s="708"/>
      <c r="B462" s="708"/>
      <c r="C462" s="708"/>
      <c r="D462" s="708"/>
      <c r="E462" s="708"/>
      <c r="F462" s="708"/>
      <c r="G462" s="708"/>
      <c r="H462" s="708"/>
      <c r="I462" s="708"/>
      <c r="J462" s="708"/>
      <c r="K462" s="708"/>
      <c r="L462" s="708"/>
      <c r="M462" s="708"/>
      <c r="N462" s="708"/>
      <c r="O462" s="708"/>
    </row>
    <row r="463" spans="1:15" x14ac:dyDescent="0.25">
      <c r="A463" s="708"/>
      <c r="B463" s="708"/>
      <c r="C463" s="708"/>
      <c r="D463" s="708"/>
      <c r="E463" s="708"/>
      <c r="F463" s="708"/>
      <c r="G463" s="708"/>
      <c r="H463" s="708"/>
      <c r="I463" s="708"/>
      <c r="J463" s="708"/>
      <c r="K463" s="708"/>
      <c r="L463" s="708"/>
      <c r="M463" s="708"/>
      <c r="N463" s="708"/>
      <c r="O463" s="708"/>
    </row>
    <row r="464" spans="1:15" x14ac:dyDescent="0.25">
      <c r="A464" s="708"/>
      <c r="B464" s="708"/>
      <c r="C464" s="708"/>
      <c r="D464" s="708"/>
      <c r="E464" s="708"/>
      <c r="F464" s="708"/>
      <c r="G464" s="708"/>
      <c r="H464" s="708"/>
      <c r="I464" s="708"/>
      <c r="J464" s="708"/>
      <c r="K464" s="708"/>
      <c r="L464" s="708"/>
      <c r="M464" s="708"/>
      <c r="N464" s="708"/>
      <c r="O464" s="708"/>
    </row>
    <row r="465" spans="1:15" x14ac:dyDescent="0.25">
      <c r="A465" s="708"/>
      <c r="B465" s="708"/>
      <c r="C465" s="708"/>
      <c r="D465" s="708"/>
      <c r="E465" s="708"/>
      <c r="F465" s="708"/>
      <c r="G465" s="708"/>
      <c r="H465" s="708"/>
      <c r="I465" s="708"/>
      <c r="J465" s="708"/>
      <c r="K465" s="708"/>
      <c r="L465" s="708"/>
      <c r="M465" s="708"/>
      <c r="N465" s="708"/>
      <c r="O465" s="708"/>
    </row>
    <row r="466" spans="1:15" x14ac:dyDescent="0.25">
      <c r="A466" s="708"/>
      <c r="B466" s="708"/>
      <c r="C466" s="708"/>
      <c r="D466" s="708"/>
      <c r="E466" s="708"/>
      <c r="F466" s="708"/>
      <c r="G466" s="708"/>
      <c r="H466" s="708"/>
      <c r="I466" s="708"/>
      <c r="J466" s="708"/>
      <c r="K466" s="708"/>
      <c r="L466" s="708"/>
      <c r="M466" s="708"/>
      <c r="N466" s="708"/>
      <c r="O466" s="708"/>
    </row>
    <row r="467" spans="1:15" x14ac:dyDescent="0.25">
      <c r="A467" s="708"/>
      <c r="B467" s="708"/>
      <c r="C467" s="708"/>
      <c r="D467" s="708"/>
      <c r="E467" s="708"/>
      <c r="F467" s="708"/>
      <c r="G467" s="708"/>
      <c r="H467" s="708"/>
      <c r="I467" s="708"/>
      <c r="J467" s="708"/>
      <c r="K467" s="708"/>
      <c r="L467" s="708"/>
      <c r="M467" s="708"/>
      <c r="N467" s="708"/>
      <c r="O467" s="708"/>
    </row>
    <row r="468" spans="1:15" x14ac:dyDescent="0.25">
      <c r="A468" s="708"/>
      <c r="B468" s="708"/>
      <c r="C468" s="708"/>
      <c r="D468" s="708"/>
      <c r="E468" s="708"/>
      <c r="F468" s="708"/>
      <c r="G468" s="708"/>
      <c r="H468" s="708"/>
      <c r="I468" s="708"/>
      <c r="J468" s="708"/>
      <c r="K468" s="708"/>
      <c r="L468" s="708"/>
      <c r="M468" s="708"/>
      <c r="N468" s="708"/>
      <c r="O468" s="708"/>
    </row>
    <row r="469" spans="1:15" x14ac:dyDescent="0.25">
      <c r="A469" s="708"/>
      <c r="B469" s="708"/>
      <c r="C469" s="708"/>
      <c r="D469" s="708"/>
      <c r="E469" s="708"/>
      <c r="F469" s="708"/>
      <c r="G469" s="708"/>
      <c r="H469" s="708"/>
      <c r="I469" s="708"/>
      <c r="J469" s="708"/>
      <c r="K469" s="708"/>
      <c r="L469" s="708"/>
      <c r="M469" s="708"/>
      <c r="N469" s="708"/>
      <c r="O469" s="708"/>
    </row>
    <row r="470" spans="1:15" x14ac:dyDescent="0.25">
      <c r="A470" s="708"/>
      <c r="B470" s="708"/>
      <c r="C470" s="708"/>
      <c r="D470" s="708"/>
      <c r="E470" s="708"/>
      <c r="F470" s="708"/>
      <c r="G470" s="708"/>
      <c r="H470" s="708"/>
      <c r="I470" s="708"/>
      <c r="J470" s="708"/>
      <c r="K470" s="708"/>
      <c r="L470" s="708"/>
      <c r="M470" s="708"/>
      <c r="N470" s="708"/>
      <c r="O470" s="708"/>
    </row>
    <row r="471" spans="1:15" x14ac:dyDescent="0.25">
      <c r="A471" s="708"/>
      <c r="B471" s="708"/>
      <c r="C471" s="708"/>
      <c r="D471" s="708"/>
      <c r="E471" s="708"/>
      <c r="F471" s="708"/>
      <c r="G471" s="708"/>
      <c r="H471" s="708"/>
      <c r="I471" s="708"/>
      <c r="J471" s="708"/>
      <c r="K471" s="708"/>
      <c r="L471" s="708"/>
      <c r="M471" s="708"/>
      <c r="N471" s="708"/>
      <c r="O471" s="708"/>
    </row>
    <row r="472" spans="1:15" x14ac:dyDescent="0.25">
      <c r="A472" s="708"/>
      <c r="B472" s="708"/>
      <c r="C472" s="708"/>
      <c r="D472" s="708"/>
      <c r="E472" s="708"/>
      <c r="F472" s="708"/>
      <c r="G472" s="708"/>
      <c r="H472" s="708"/>
      <c r="I472" s="708"/>
      <c r="J472" s="708"/>
      <c r="K472" s="708"/>
      <c r="L472" s="708"/>
      <c r="M472" s="708"/>
      <c r="N472" s="708"/>
      <c r="O472" s="708"/>
    </row>
    <row r="473" spans="1:15" x14ac:dyDescent="0.25">
      <c r="A473" s="708"/>
      <c r="B473" s="708"/>
      <c r="C473" s="708"/>
      <c r="D473" s="708"/>
      <c r="E473" s="708"/>
      <c r="F473" s="708"/>
      <c r="G473" s="708"/>
      <c r="H473" s="708"/>
      <c r="I473" s="708"/>
      <c r="J473" s="708"/>
      <c r="K473" s="708"/>
      <c r="L473" s="708"/>
      <c r="M473" s="708"/>
      <c r="N473" s="708"/>
      <c r="O473" s="708"/>
    </row>
    <row r="474" spans="1:15" x14ac:dyDescent="0.25">
      <c r="A474" s="708"/>
      <c r="B474" s="708"/>
      <c r="C474" s="708"/>
      <c r="D474" s="708"/>
      <c r="E474" s="708"/>
      <c r="F474" s="708"/>
      <c r="G474" s="708"/>
      <c r="H474" s="708"/>
      <c r="I474" s="708"/>
      <c r="J474" s="708"/>
      <c r="K474" s="708"/>
      <c r="L474" s="708"/>
      <c r="M474" s="708"/>
      <c r="N474" s="708"/>
      <c r="O474" s="708"/>
    </row>
    <row r="475" spans="1:15" x14ac:dyDescent="0.25">
      <c r="A475" s="708"/>
      <c r="B475" s="708"/>
      <c r="C475" s="708"/>
      <c r="D475" s="708"/>
      <c r="E475" s="708"/>
      <c r="F475" s="708"/>
      <c r="G475" s="708"/>
      <c r="H475" s="708"/>
      <c r="I475" s="708"/>
      <c r="J475" s="708"/>
      <c r="K475" s="708"/>
      <c r="L475" s="708"/>
      <c r="M475" s="708"/>
      <c r="N475" s="708"/>
      <c r="O475" s="708"/>
    </row>
    <row r="476" spans="1:15" x14ac:dyDescent="0.25">
      <c r="A476" s="708"/>
      <c r="B476" s="708"/>
      <c r="C476" s="708"/>
      <c r="D476" s="708"/>
      <c r="E476" s="708"/>
      <c r="F476" s="708"/>
      <c r="G476" s="708"/>
      <c r="H476" s="708"/>
      <c r="I476" s="708"/>
      <c r="J476" s="708"/>
      <c r="K476" s="708"/>
      <c r="L476" s="708"/>
      <c r="M476" s="708"/>
      <c r="N476" s="708"/>
      <c r="O476" s="708"/>
    </row>
    <row r="477" spans="1:15" x14ac:dyDescent="0.25">
      <c r="A477" s="708"/>
      <c r="B477" s="708"/>
      <c r="C477" s="708"/>
      <c r="D477" s="708"/>
      <c r="E477" s="708"/>
      <c r="F477" s="708"/>
      <c r="G477" s="708"/>
      <c r="H477" s="708"/>
      <c r="I477" s="708"/>
      <c r="J477" s="708"/>
      <c r="K477" s="708"/>
      <c r="L477" s="708"/>
      <c r="M477" s="708"/>
      <c r="N477" s="708"/>
      <c r="O477" s="708"/>
    </row>
    <row r="478" spans="1:15" x14ac:dyDescent="0.25">
      <c r="A478" s="708"/>
      <c r="B478" s="708"/>
      <c r="C478" s="708"/>
      <c r="D478" s="708"/>
      <c r="E478" s="708"/>
      <c r="F478" s="708"/>
      <c r="G478" s="708"/>
      <c r="H478" s="708"/>
      <c r="I478" s="708"/>
      <c r="J478" s="708"/>
      <c r="K478" s="708"/>
      <c r="L478" s="708"/>
      <c r="M478" s="708"/>
      <c r="N478" s="708"/>
      <c r="O478" s="708"/>
    </row>
    <row r="479" spans="1:15" x14ac:dyDescent="0.25">
      <c r="A479" s="708"/>
      <c r="B479" s="708"/>
      <c r="C479" s="708"/>
      <c r="D479" s="708"/>
      <c r="E479" s="708"/>
      <c r="F479" s="708"/>
      <c r="G479" s="708"/>
      <c r="H479" s="708"/>
      <c r="I479" s="708"/>
      <c r="J479" s="708"/>
      <c r="K479" s="708"/>
      <c r="L479" s="708"/>
      <c r="M479" s="708"/>
      <c r="N479" s="708"/>
      <c r="O479" s="708"/>
    </row>
    <row r="480" spans="1:15" x14ac:dyDescent="0.25">
      <c r="A480" s="708"/>
      <c r="B480" s="708"/>
      <c r="C480" s="708"/>
      <c r="D480" s="708"/>
      <c r="E480" s="708"/>
      <c r="F480" s="708"/>
      <c r="G480" s="708"/>
      <c r="H480" s="708"/>
      <c r="I480" s="708"/>
      <c r="J480" s="708"/>
      <c r="K480" s="708"/>
      <c r="L480" s="708"/>
      <c r="M480" s="708"/>
      <c r="N480" s="708"/>
      <c r="O480" s="708"/>
    </row>
    <row r="481" spans="1:15" x14ac:dyDescent="0.25">
      <c r="A481" s="708"/>
      <c r="B481" s="708"/>
      <c r="C481" s="708"/>
      <c r="D481" s="708"/>
      <c r="E481" s="708"/>
      <c r="F481" s="708"/>
      <c r="G481" s="708"/>
      <c r="H481" s="708"/>
      <c r="I481" s="708"/>
      <c r="J481" s="708"/>
      <c r="K481" s="708"/>
      <c r="L481" s="708"/>
      <c r="M481" s="708"/>
      <c r="N481" s="708"/>
      <c r="O481" s="708"/>
    </row>
    <row r="482" spans="1:15" x14ac:dyDescent="0.25">
      <c r="A482" s="708"/>
      <c r="B482" s="708"/>
      <c r="C482" s="708"/>
      <c r="D482" s="708"/>
      <c r="E482" s="708"/>
      <c r="F482" s="708"/>
      <c r="G482" s="708"/>
      <c r="H482" s="708"/>
      <c r="I482" s="708"/>
      <c r="J482" s="708"/>
      <c r="K482" s="708"/>
      <c r="L482" s="708"/>
      <c r="M482" s="708"/>
      <c r="N482" s="708"/>
      <c r="O482" s="708"/>
    </row>
    <row r="483" spans="1:15" x14ac:dyDescent="0.25">
      <c r="A483" s="708"/>
      <c r="B483" s="708"/>
      <c r="C483" s="708"/>
      <c r="D483" s="708"/>
      <c r="E483" s="708"/>
      <c r="F483" s="708"/>
      <c r="G483" s="708"/>
      <c r="H483" s="708"/>
      <c r="I483" s="708"/>
      <c r="J483" s="708"/>
      <c r="K483" s="708"/>
      <c r="L483" s="708"/>
      <c r="M483" s="708"/>
      <c r="N483" s="708"/>
      <c r="O483" s="708"/>
    </row>
    <row r="484" spans="1:15" x14ac:dyDescent="0.25">
      <c r="A484" s="708"/>
      <c r="B484" s="708"/>
      <c r="C484" s="708"/>
      <c r="D484" s="708"/>
      <c r="E484" s="708"/>
      <c r="F484" s="708"/>
      <c r="G484" s="708"/>
      <c r="H484" s="708"/>
      <c r="I484" s="708"/>
      <c r="J484" s="708"/>
      <c r="K484" s="708"/>
      <c r="L484" s="708"/>
      <c r="M484" s="708"/>
      <c r="N484" s="708"/>
      <c r="O484" s="708"/>
    </row>
    <row r="485" spans="1:15" x14ac:dyDescent="0.25">
      <c r="A485" s="708"/>
      <c r="B485" s="708"/>
      <c r="C485" s="708"/>
      <c r="D485" s="708"/>
      <c r="E485" s="708"/>
      <c r="F485" s="708"/>
      <c r="G485" s="708"/>
      <c r="H485" s="708"/>
      <c r="I485" s="708"/>
      <c r="J485" s="708"/>
      <c r="K485" s="708"/>
      <c r="L485" s="708"/>
      <c r="M485" s="708"/>
      <c r="N485" s="708"/>
      <c r="O485" s="708"/>
    </row>
    <row r="486" spans="1:15" x14ac:dyDescent="0.25">
      <c r="A486" s="708"/>
      <c r="B486" s="708"/>
      <c r="C486" s="708"/>
      <c r="D486" s="708"/>
      <c r="E486" s="708"/>
      <c r="F486" s="708"/>
      <c r="G486" s="708"/>
      <c r="H486" s="708"/>
      <c r="I486" s="708"/>
      <c r="J486" s="708"/>
      <c r="K486" s="708"/>
      <c r="L486" s="708"/>
      <c r="M486" s="708"/>
      <c r="N486" s="708"/>
      <c r="O486" s="708"/>
    </row>
    <row r="487" spans="1:15" x14ac:dyDescent="0.25">
      <c r="A487" s="708"/>
      <c r="B487" s="708"/>
      <c r="C487" s="708"/>
      <c r="D487" s="708"/>
      <c r="E487" s="708"/>
      <c r="F487" s="708"/>
      <c r="G487" s="708"/>
      <c r="H487" s="708"/>
      <c r="I487" s="708"/>
      <c r="J487" s="708"/>
      <c r="K487" s="708"/>
      <c r="L487" s="708"/>
      <c r="M487" s="708"/>
      <c r="N487" s="708"/>
      <c r="O487" s="708"/>
    </row>
    <row r="488" spans="1:15" x14ac:dyDescent="0.25">
      <c r="A488" s="708"/>
      <c r="B488" s="708"/>
      <c r="C488" s="708"/>
      <c r="D488" s="708"/>
      <c r="E488" s="708"/>
      <c r="F488" s="708"/>
      <c r="G488" s="708"/>
      <c r="H488" s="708"/>
      <c r="I488" s="708"/>
      <c r="J488" s="708"/>
      <c r="K488" s="708"/>
      <c r="L488" s="708"/>
      <c r="M488" s="708"/>
      <c r="N488" s="708"/>
      <c r="O488" s="708"/>
    </row>
    <row r="489" spans="1:15" x14ac:dyDescent="0.25">
      <c r="A489" s="708"/>
      <c r="B489" s="708"/>
      <c r="C489" s="708"/>
      <c r="D489" s="708"/>
      <c r="E489" s="708"/>
      <c r="F489" s="708"/>
      <c r="G489" s="708"/>
      <c r="H489" s="708"/>
      <c r="I489" s="708"/>
      <c r="J489" s="708"/>
      <c r="K489" s="708"/>
      <c r="L489" s="708"/>
      <c r="M489" s="708"/>
      <c r="N489" s="708"/>
      <c r="O489" s="708"/>
    </row>
    <row r="490" spans="1:15" x14ac:dyDescent="0.25">
      <c r="A490" s="708"/>
      <c r="B490" s="708"/>
      <c r="C490" s="708"/>
      <c r="D490" s="708"/>
      <c r="E490" s="708"/>
      <c r="F490" s="708"/>
      <c r="G490" s="708"/>
      <c r="H490" s="708"/>
      <c r="I490" s="708"/>
      <c r="J490" s="708"/>
      <c r="K490" s="708"/>
      <c r="L490" s="708"/>
      <c r="M490" s="708"/>
      <c r="N490" s="708"/>
      <c r="O490" s="708"/>
    </row>
    <row r="491" spans="1:15" x14ac:dyDescent="0.25">
      <c r="A491" s="708"/>
      <c r="B491" s="708"/>
      <c r="C491" s="708"/>
      <c r="D491" s="708"/>
      <c r="E491" s="708"/>
      <c r="F491" s="708"/>
      <c r="G491" s="708"/>
      <c r="H491" s="708"/>
      <c r="I491" s="708"/>
      <c r="J491" s="708"/>
      <c r="K491" s="708"/>
      <c r="L491" s="708"/>
      <c r="M491" s="708"/>
      <c r="N491" s="708"/>
      <c r="O491" s="708"/>
    </row>
    <row r="492" spans="1:15" x14ac:dyDescent="0.25">
      <c r="A492" s="708"/>
      <c r="B492" s="708"/>
      <c r="C492" s="708"/>
      <c r="D492" s="708"/>
      <c r="E492" s="708"/>
      <c r="F492" s="708"/>
      <c r="G492" s="708"/>
      <c r="H492" s="708"/>
      <c r="I492" s="708"/>
      <c r="J492" s="708"/>
      <c r="K492" s="708"/>
      <c r="L492" s="708"/>
      <c r="M492" s="708"/>
      <c r="N492" s="708"/>
      <c r="O492" s="708"/>
    </row>
    <row r="493" spans="1:15" x14ac:dyDescent="0.25">
      <c r="A493" s="708"/>
      <c r="B493" s="708"/>
      <c r="C493" s="708"/>
      <c r="D493" s="708"/>
      <c r="E493" s="708"/>
      <c r="F493" s="708"/>
      <c r="G493" s="708"/>
      <c r="H493" s="708"/>
      <c r="I493" s="708"/>
      <c r="J493" s="708"/>
      <c r="K493" s="708"/>
      <c r="L493" s="708"/>
      <c r="M493" s="708"/>
      <c r="N493" s="708"/>
      <c r="O493" s="708"/>
    </row>
    <row r="494" spans="1:15" x14ac:dyDescent="0.25">
      <c r="A494" s="708"/>
      <c r="B494" s="708"/>
      <c r="C494" s="708"/>
      <c r="D494" s="708"/>
      <c r="E494" s="708"/>
      <c r="F494" s="708"/>
      <c r="G494" s="708"/>
      <c r="H494" s="708"/>
      <c r="I494" s="708"/>
      <c r="J494" s="708"/>
      <c r="K494" s="708"/>
      <c r="L494" s="708"/>
      <c r="M494" s="708"/>
      <c r="N494" s="708"/>
      <c r="O494" s="708"/>
    </row>
    <row r="495" spans="1:15" x14ac:dyDescent="0.25">
      <c r="A495" s="708"/>
      <c r="B495" s="708"/>
      <c r="C495" s="708"/>
      <c r="D495" s="708"/>
      <c r="E495" s="708"/>
      <c r="F495" s="708"/>
      <c r="G495" s="708"/>
      <c r="H495" s="708"/>
      <c r="I495" s="708"/>
      <c r="J495" s="708"/>
      <c r="K495" s="708"/>
      <c r="L495" s="708"/>
      <c r="M495" s="708"/>
      <c r="N495" s="708"/>
      <c r="O495" s="708"/>
    </row>
    <row r="496" spans="1:15" x14ac:dyDescent="0.25">
      <c r="A496" s="708"/>
      <c r="B496" s="708"/>
      <c r="C496" s="708"/>
      <c r="D496" s="708"/>
      <c r="E496" s="708"/>
      <c r="F496" s="708"/>
      <c r="G496" s="708"/>
      <c r="H496" s="708"/>
      <c r="I496" s="708"/>
      <c r="J496" s="708"/>
      <c r="K496" s="708"/>
      <c r="L496" s="708"/>
      <c r="M496" s="708"/>
      <c r="N496" s="708"/>
      <c r="O496" s="708"/>
    </row>
    <row r="497" spans="1:15" x14ac:dyDescent="0.25">
      <c r="A497" s="708"/>
      <c r="B497" s="708"/>
      <c r="C497" s="708"/>
      <c r="D497" s="708"/>
      <c r="E497" s="708"/>
      <c r="F497" s="708"/>
      <c r="G497" s="708"/>
      <c r="H497" s="708"/>
      <c r="I497" s="708"/>
      <c r="J497" s="708"/>
      <c r="K497" s="708"/>
      <c r="L497" s="708"/>
      <c r="M497" s="708"/>
      <c r="N497" s="708"/>
      <c r="O497" s="708"/>
    </row>
    <row r="498" spans="1:15" x14ac:dyDescent="0.25">
      <c r="A498" s="708"/>
      <c r="B498" s="708"/>
      <c r="C498" s="708"/>
      <c r="D498" s="708"/>
      <c r="E498" s="708"/>
      <c r="F498" s="708"/>
      <c r="G498" s="708"/>
      <c r="H498" s="708"/>
      <c r="I498" s="708"/>
      <c r="J498" s="708"/>
      <c r="K498" s="708"/>
      <c r="L498" s="708"/>
      <c r="M498" s="708"/>
      <c r="N498" s="708"/>
      <c r="O498" s="708"/>
    </row>
    <row r="499" spans="1:15" x14ac:dyDescent="0.25">
      <c r="A499" s="708"/>
      <c r="B499" s="708"/>
      <c r="C499" s="708"/>
      <c r="D499" s="708"/>
      <c r="E499" s="708"/>
      <c r="F499" s="708"/>
      <c r="G499" s="708"/>
      <c r="H499" s="708"/>
      <c r="I499" s="708"/>
      <c r="J499" s="708"/>
      <c r="K499" s="708"/>
      <c r="L499" s="708"/>
      <c r="M499" s="708"/>
      <c r="N499" s="708"/>
      <c r="O499" s="708"/>
    </row>
    <row r="500" spans="1:15" x14ac:dyDescent="0.25">
      <c r="A500" s="708"/>
      <c r="B500" s="708"/>
      <c r="C500" s="708"/>
      <c r="D500" s="708"/>
      <c r="E500" s="708"/>
      <c r="F500" s="708"/>
      <c r="G500" s="708"/>
      <c r="H500" s="708"/>
      <c r="I500" s="708"/>
      <c r="J500" s="708"/>
      <c r="K500" s="708"/>
      <c r="L500" s="708"/>
      <c r="M500" s="708"/>
      <c r="N500" s="708"/>
      <c r="O500" s="708"/>
    </row>
    <row r="501" spans="1:15" x14ac:dyDescent="0.25">
      <c r="A501" s="708"/>
      <c r="B501" s="708"/>
      <c r="C501" s="708"/>
      <c r="D501" s="708"/>
      <c r="E501" s="708"/>
      <c r="F501" s="708"/>
      <c r="G501" s="708"/>
      <c r="H501" s="708"/>
      <c r="I501" s="708"/>
      <c r="J501" s="708"/>
      <c r="K501" s="708"/>
      <c r="L501" s="708"/>
      <c r="M501" s="708"/>
      <c r="N501" s="708"/>
      <c r="O501" s="708"/>
    </row>
    <row r="502" spans="1:15" x14ac:dyDescent="0.25">
      <c r="A502" s="708"/>
      <c r="B502" s="708"/>
      <c r="C502" s="708"/>
      <c r="D502" s="708"/>
      <c r="E502" s="708"/>
      <c r="F502" s="708"/>
      <c r="G502" s="708"/>
      <c r="H502" s="708"/>
      <c r="I502" s="708"/>
      <c r="J502" s="708"/>
      <c r="K502" s="708"/>
      <c r="L502" s="708"/>
      <c r="M502" s="708"/>
      <c r="N502" s="708"/>
      <c r="O502" s="708"/>
    </row>
    <row r="503" spans="1:15" x14ac:dyDescent="0.25">
      <c r="A503" s="708"/>
      <c r="B503" s="708"/>
      <c r="C503" s="708"/>
      <c r="D503" s="708"/>
      <c r="E503" s="708"/>
      <c r="F503" s="708"/>
      <c r="G503" s="708"/>
      <c r="H503" s="708"/>
      <c r="I503" s="708"/>
      <c r="J503" s="708"/>
      <c r="K503" s="708"/>
      <c r="L503" s="708"/>
      <c r="M503" s="708"/>
      <c r="N503" s="708"/>
      <c r="O503" s="708"/>
    </row>
    <row r="504" spans="1:15" x14ac:dyDescent="0.25">
      <c r="A504" s="708"/>
      <c r="B504" s="708"/>
      <c r="C504" s="708"/>
      <c r="D504" s="708"/>
      <c r="E504" s="708"/>
      <c r="F504" s="708"/>
      <c r="G504" s="708"/>
      <c r="H504" s="708"/>
      <c r="I504" s="708"/>
      <c r="J504" s="708"/>
      <c r="K504" s="708"/>
      <c r="L504" s="708"/>
      <c r="M504" s="708"/>
      <c r="N504" s="708"/>
      <c r="O504" s="708"/>
    </row>
    <row r="505" spans="1:15" x14ac:dyDescent="0.25">
      <c r="A505" s="708"/>
      <c r="B505" s="708"/>
      <c r="C505" s="708"/>
      <c r="D505" s="708"/>
      <c r="E505" s="708"/>
      <c r="F505" s="708"/>
      <c r="G505" s="708"/>
      <c r="H505" s="708"/>
      <c r="I505" s="708"/>
      <c r="J505" s="708"/>
      <c r="K505" s="708"/>
      <c r="L505" s="708"/>
      <c r="M505" s="708"/>
      <c r="N505" s="708"/>
      <c r="O505" s="708"/>
    </row>
    <row r="506" spans="1:15" x14ac:dyDescent="0.25">
      <c r="A506" s="708"/>
      <c r="B506" s="708"/>
      <c r="C506" s="708"/>
      <c r="D506" s="708"/>
      <c r="E506" s="708"/>
      <c r="F506" s="708"/>
      <c r="G506" s="708"/>
      <c r="H506" s="708"/>
      <c r="I506" s="708"/>
      <c r="J506" s="708"/>
      <c r="K506" s="708"/>
      <c r="L506" s="708"/>
      <c r="M506" s="708"/>
      <c r="N506" s="708"/>
      <c r="O506" s="708"/>
    </row>
    <row r="507" spans="1:15" x14ac:dyDescent="0.25">
      <c r="A507" s="708"/>
      <c r="B507" s="708"/>
      <c r="C507" s="708"/>
      <c r="D507" s="708"/>
      <c r="E507" s="708"/>
      <c r="F507" s="708"/>
      <c r="G507" s="708"/>
      <c r="H507" s="708"/>
      <c r="I507" s="708"/>
      <c r="J507" s="708"/>
      <c r="K507" s="708"/>
      <c r="L507" s="708"/>
      <c r="M507" s="708"/>
      <c r="N507" s="708"/>
      <c r="O507" s="708"/>
    </row>
    <row r="508" spans="1:15" x14ac:dyDescent="0.25">
      <c r="A508" s="708"/>
      <c r="B508" s="708"/>
      <c r="C508" s="708"/>
      <c r="D508" s="708"/>
      <c r="E508" s="708"/>
      <c r="F508" s="708"/>
      <c r="G508" s="708"/>
      <c r="H508" s="708"/>
      <c r="I508" s="708"/>
      <c r="J508" s="708"/>
      <c r="K508" s="708"/>
      <c r="L508" s="708"/>
      <c r="M508" s="708"/>
      <c r="N508" s="708"/>
      <c r="O508" s="708"/>
    </row>
    <row r="509" spans="1:15" x14ac:dyDescent="0.25">
      <c r="A509" s="708"/>
      <c r="B509" s="708"/>
      <c r="C509" s="708"/>
      <c r="D509" s="708"/>
      <c r="E509" s="708"/>
      <c r="F509" s="708"/>
      <c r="G509" s="708"/>
      <c r="H509" s="708"/>
      <c r="I509" s="708"/>
      <c r="J509" s="708"/>
      <c r="K509" s="708"/>
      <c r="L509" s="708"/>
      <c r="M509" s="708"/>
      <c r="N509" s="708"/>
      <c r="O509" s="708"/>
    </row>
    <row r="510" spans="1:15" x14ac:dyDescent="0.25">
      <c r="A510" s="708"/>
      <c r="B510" s="708"/>
      <c r="C510" s="708"/>
      <c r="D510" s="708"/>
      <c r="E510" s="708"/>
      <c r="F510" s="708"/>
      <c r="G510" s="708"/>
      <c r="H510" s="708"/>
      <c r="I510" s="708"/>
      <c r="J510" s="708"/>
      <c r="K510" s="708"/>
      <c r="L510" s="708"/>
      <c r="M510" s="708"/>
      <c r="N510" s="708"/>
      <c r="O510" s="708"/>
    </row>
    <row r="511" spans="1:15" x14ac:dyDescent="0.25">
      <c r="A511" s="708"/>
      <c r="B511" s="708"/>
      <c r="C511" s="708"/>
      <c r="D511" s="708"/>
      <c r="E511" s="708"/>
      <c r="F511" s="708"/>
      <c r="G511" s="708"/>
      <c r="H511" s="708"/>
      <c r="I511" s="708"/>
      <c r="J511" s="708"/>
      <c r="K511" s="708"/>
      <c r="L511" s="708"/>
      <c r="M511" s="708"/>
      <c r="N511" s="708"/>
      <c r="O511" s="708"/>
    </row>
    <row r="512" spans="1:15" x14ac:dyDescent="0.25">
      <c r="A512" s="708"/>
      <c r="B512" s="708"/>
      <c r="C512" s="708"/>
      <c r="D512" s="708"/>
      <c r="E512" s="708"/>
      <c r="F512" s="708"/>
      <c r="G512" s="708"/>
      <c r="H512" s="708"/>
      <c r="I512" s="708"/>
      <c r="J512" s="708"/>
      <c r="K512" s="708"/>
      <c r="L512" s="708"/>
      <c r="M512" s="708"/>
      <c r="N512" s="708"/>
      <c r="O512" s="708"/>
    </row>
    <row r="513" spans="1:15" x14ac:dyDescent="0.25">
      <c r="A513" s="708"/>
      <c r="B513" s="708"/>
      <c r="C513" s="708"/>
      <c r="D513" s="708"/>
      <c r="E513" s="708"/>
      <c r="F513" s="708"/>
      <c r="G513" s="708"/>
      <c r="H513" s="708"/>
      <c r="I513" s="708"/>
      <c r="J513" s="708"/>
      <c r="K513" s="708"/>
      <c r="L513" s="708"/>
      <c r="M513" s="708"/>
      <c r="N513" s="708"/>
      <c r="O513" s="708"/>
    </row>
    <row r="514" spans="1:15" x14ac:dyDescent="0.25">
      <c r="A514" s="708"/>
      <c r="B514" s="708"/>
      <c r="C514" s="708"/>
      <c r="D514" s="708"/>
      <c r="E514" s="708"/>
      <c r="F514" s="708"/>
      <c r="G514" s="708"/>
      <c r="H514" s="708"/>
      <c r="I514" s="708"/>
      <c r="J514" s="708"/>
      <c r="K514" s="708"/>
      <c r="L514" s="708"/>
      <c r="M514" s="708"/>
      <c r="N514" s="708"/>
      <c r="O514" s="708"/>
    </row>
    <row r="515" spans="1:15" x14ac:dyDescent="0.25">
      <c r="A515" s="708"/>
      <c r="B515" s="708"/>
      <c r="C515" s="708"/>
      <c r="D515" s="708"/>
      <c r="E515" s="708"/>
      <c r="F515" s="708"/>
      <c r="G515" s="708"/>
      <c r="H515" s="708"/>
      <c r="I515" s="708"/>
      <c r="J515" s="708"/>
      <c r="K515" s="708"/>
      <c r="L515" s="708"/>
      <c r="M515" s="708"/>
      <c r="N515" s="708"/>
      <c r="O515" s="708"/>
    </row>
    <row r="516" spans="1:15" x14ac:dyDescent="0.25">
      <c r="A516" s="708"/>
      <c r="B516" s="708"/>
      <c r="C516" s="708"/>
      <c r="D516" s="708"/>
      <c r="E516" s="708"/>
      <c r="F516" s="708"/>
      <c r="G516" s="708"/>
      <c r="H516" s="708"/>
      <c r="I516" s="708"/>
      <c r="J516" s="708"/>
      <c r="K516" s="708"/>
      <c r="L516" s="708"/>
      <c r="M516" s="708"/>
      <c r="N516" s="708"/>
      <c r="O516" s="708"/>
    </row>
    <row r="517" spans="1:15" x14ac:dyDescent="0.25">
      <c r="A517" s="708"/>
      <c r="B517" s="708"/>
      <c r="C517" s="708"/>
      <c r="D517" s="708"/>
      <c r="E517" s="708"/>
      <c r="F517" s="708"/>
      <c r="G517" s="708"/>
      <c r="H517" s="708"/>
      <c r="I517" s="708"/>
      <c r="J517" s="708"/>
      <c r="K517" s="708"/>
      <c r="L517" s="708"/>
      <c r="M517" s="708"/>
      <c r="N517" s="708"/>
      <c r="O517" s="708"/>
    </row>
    <row r="518" spans="1:15" x14ac:dyDescent="0.25">
      <c r="A518" s="708"/>
      <c r="B518" s="708"/>
      <c r="C518" s="708"/>
      <c r="D518" s="708"/>
      <c r="E518" s="708"/>
      <c r="F518" s="708"/>
      <c r="G518" s="708"/>
      <c r="H518" s="708"/>
      <c r="I518" s="708"/>
      <c r="J518" s="708"/>
      <c r="K518" s="708"/>
      <c r="L518" s="708"/>
      <c r="M518" s="708"/>
      <c r="N518" s="708"/>
      <c r="O518" s="708"/>
    </row>
    <row r="519" spans="1:15" x14ac:dyDescent="0.25">
      <c r="A519" s="708"/>
      <c r="B519" s="708"/>
      <c r="C519" s="708"/>
      <c r="D519" s="708"/>
      <c r="E519" s="708"/>
      <c r="F519" s="708"/>
      <c r="G519" s="708"/>
      <c r="H519" s="708"/>
      <c r="I519" s="708"/>
      <c r="J519" s="708"/>
      <c r="K519" s="708"/>
      <c r="L519" s="708"/>
      <c r="M519" s="708"/>
      <c r="N519" s="708"/>
      <c r="O519" s="708"/>
    </row>
    <row r="520" spans="1:15" x14ac:dyDescent="0.25">
      <c r="A520" s="708"/>
      <c r="B520" s="708"/>
      <c r="C520" s="708"/>
      <c r="D520" s="708"/>
      <c r="E520" s="708"/>
      <c r="F520" s="708"/>
      <c r="G520" s="708"/>
      <c r="H520" s="708"/>
      <c r="I520" s="708"/>
      <c r="J520" s="708"/>
      <c r="K520" s="708"/>
      <c r="L520" s="708"/>
      <c r="M520" s="708"/>
      <c r="N520" s="708"/>
      <c r="O520" s="708"/>
    </row>
    <row r="521" spans="1:15" x14ac:dyDescent="0.25">
      <c r="A521" s="708"/>
      <c r="B521" s="708"/>
      <c r="C521" s="708"/>
      <c r="D521" s="708"/>
      <c r="E521" s="708"/>
      <c r="F521" s="708"/>
      <c r="G521" s="708"/>
      <c r="H521" s="708"/>
      <c r="I521" s="708"/>
      <c r="J521" s="708"/>
      <c r="K521" s="708"/>
      <c r="L521" s="708"/>
      <c r="M521" s="708"/>
      <c r="N521" s="708"/>
      <c r="O521" s="708"/>
    </row>
    <row r="522" spans="1:15" x14ac:dyDescent="0.25">
      <c r="A522" s="708"/>
      <c r="B522" s="708"/>
      <c r="C522" s="708"/>
      <c r="D522" s="708"/>
      <c r="E522" s="708"/>
      <c r="F522" s="708"/>
      <c r="G522" s="708"/>
      <c r="H522" s="708"/>
      <c r="I522" s="708"/>
      <c r="J522" s="708"/>
      <c r="K522" s="708"/>
      <c r="L522" s="708"/>
      <c r="M522" s="708"/>
      <c r="N522" s="708"/>
      <c r="O522" s="708"/>
    </row>
    <row r="523" spans="1:15" x14ac:dyDescent="0.25">
      <c r="A523" s="708"/>
      <c r="B523" s="708"/>
      <c r="C523" s="708"/>
      <c r="D523" s="708"/>
      <c r="E523" s="708"/>
      <c r="F523" s="708"/>
      <c r="G523" s="708"/>
      <c r="H523" s="708"/>
      <c r="I523" s="708"/>
      <c r="J523" s="708"/>
      <c r="K523" s="708"/>
      <c r="L523" s="708"/>
      <c r="M523" s="708"/>
      <c r="N523" s="708"/>
      <c r="O523" s="708"/>
    </row>
    <row r="524" spans="1:15" x14ac:dyDescent="0.25">
      <c r="A524" s="708"/>
      <c r="B524" s="708"/>
      <c r="C524" s="708"/>
      <c r="D524" s="708"/>
      <c r="E524" s="708"/>
      <c r="F524" s="708"/>
      <c r="G524" s="708"/>
      <c r="H524" s="708"/>
      <c r="I524" s="708"/>
      <c r="J524" s="708"/>
      <c r="K524" s="708"/>
      <c r="L524" s="708"/>
      <c r="M524" s="708"/>
      <c r="N524" s="708"/>
      <c r="O524" s="708"/>
    </row>
    <row r="525" spans="1:15" x14ac:dyDescent="0.25">
      <c r="A525" s="708"/>
      <c r="B525" s="708"/>
      <c r="C525" s="708"/>
      <c r="D525" s="708"/>
      <c r="E525" s="708"/>
      <c r="F525" s="708"/>
      <c r="G525" s="708"/>
      <c r="H525" s="708"/>
      <c r="I525" s="708"/>
      <c r="J525" s="708"/>
      <c r="K525" s="708"/>
      <c r="L525" s="708"/>
      <c r="M525" s="708"/>
      <c r="N525" s="708"/>
      <c r="O525" s="708"/>
    </row>
    <row r="526" spans="1:15" x14ac:dyDescent="0.25">
      <c r="A526" s="708"/>
      <c r="B526" s="708"/>
      <c r="C526" s="708"/>
      <c r="D526" s="708"/>
      <c r="E526" s="708"/>
      <c r="F526" s="708"/>
      <c r="G526" s="708"/>
      <c r="H526" s="708"/>
      <c r="I526" s="708"/>
      <c r="J526" s="708"/>
      <c r="K526" s="708"/>
      <c r="L526" s="708"/>
      <c r="M526" s="708"/>
      <c r="N526" s="708"/>
      <c r="O526" s="708"/>
    </row>
    <row r="527" spans="1:15" x14ac:dyDescent="0.25">
      <c r="A527" s="708"/>
      <c r="B527" s="708"/>
      <c r="C527" s="708"/>
      <c r="D527" s="708"/>
      <c r="E527" s="708"/>
      <c r="F527" s="708"/>
      <c r="G527" s="708"/>
      <c r="H527" s="708"/>
      <c r="I527" s="708"/>
      <c r="J527" s="708"/>
      <c r="K527" s="708"/>
      <c r="L527" s="708"/>
      <c r="M527" s="708"/>
      <c r="N527" s="708"/>
      <c r="O527" s="708"/>
    </row>
    <row r="528" spans="1:15" x14ac:dyDescent="0.25">
      <c r="A528" s="708"/>
      <c r="B528" s="708"/>
      <c r="C528" s="708"/>
      <c r="D528" s="708"/>
      <c r="E528" s="708"/>
      <c r="F528" s="708"/>
      <c r="G528" s="708"/>
      <c r="H528" s="708"/>
      <c r="I528" s="708"/>
      <c r="J528" s="708"/>
      <c r="K528" s="708"/>
      <c r="L528" s="708"/>
      <c r="M528" s="708"/>
      <c r="N528" s="708"/>
      <c r="O528" s="708"/>
    </row>
    <row r="529" spans="1:15" x14ac:dyDescent="0.25">
      <c r="A529" s="708"/>
      <c r="B529" s="708"/>
      <c r="C529" s="708"/>
      <c r="D529" s="708"/>
      <c r="E529" s="708"/>
      <c r="F529" s="708"/>
      <c r="G529" s="708"/>
      <c r="H529" s="708"/>
      <c r="I529" s="708"/>
      <c r="J529" s="708"/>
      <c r="K529" s="708"/>
      <c r="L529" s="708"/>
      <c r="M529" s="708"/>
      <c r="N529" s="708"/>
      <c r="O529" s="708"/>
    </row>
    <row r="530" spans="1:15" x14ac:dyDescent="0.25">
      <c r="A530" s="708"/>
      <c r="B530" s="708"/>
      <c r="C530" s="708"/>
      <c r="D530" s="708"/>
      <c r="E530" s="708"/>
      <c r="F530" s="708"/>
      <c r="G530" s="708"/>
      <c r="H530" s="708"/>
      <c r="I530" s="708"/>
      <c r="J530" s="708"/>
      <c r="K530" s="708"/>
      <c r="L530" s="708"/>
      <c r="M530" s="708"/>
      <c r="N530" s="708"/>
      <c r="O530" s="708"/>
    </row>
    <row r="531" spans="1:15" x14ac:dyDescent="0.25">
      <c r="A531" s="708"/>
      <c r="B531" s="708"/>
      <c r="C531" s="708"/>
      <c r="D531" s="708"/>
      <c r="E531" s="708"/>
      <c r="F531" s="708"/>
      <c r="G531" s="708"/>
      <c r="H531" s="708"/>
      <c r="I531" s="708"/>
      <c r="J531" s="708"/>
      <c r="K531" s="708"/>
      <c r="L531" s="708"/>
      <c r="M531" s="708"/>
      <c r="N531" s="708"/>
      <c r="O531" s="708"/>
    </row>
    <row r="532" spans="1:15" x14ac:dyDescent="0.25">
      <c r="A532" s="708"/>
      <c r="B532" s="708"/>
      <c r="C532" s="708"/>
      <c r="D532" s="708"/>
      <c r="E532" s="708"/>
      <c r="F532" s="708"/>
      <c r="G532" s="708"/>
      <c r="H532" s="708"/>
      <c r="I532" s="708"/>
      <c r="J532" s="708"/>
      <c r="K532" s="708"/>
      <c r="L532" s="708"/>
      <c r="M532" s="708"/>
      <c r="N532" s="708"/>
      <c r="O532" s="708"/>
    </row>
    <row r="533" spans="1:15" x14ac:dyDescent="0.25">
      <c r="A533" s="708"/>
      <c r="B533" s="708"/>
      <c r="C533" s="708"/>
      <c r="D533" s="708"/>
      <c r="E533" s="708"/>
      <c r="F533" s="708"/>
      <c r="G533" s="708"/>
      <c r="H533" s="708"/>
      <c r="I533" s="708"/>
      <c r="J533" s="708"/>
      <c r="K533" s="708"/>
      <c r="L533" s="708"/>
      <c r="M533" s="708"/>
      <c r="N533" s="708"/>
      <c r="O533" s="708"/>
    </row>
    <row r="534" spans="1:15" x14ac:dyDescent="0.25">
      <c r="A534" s="708"/>
      <c r="B534" s="708"/>
      <c r="C534" s="708"/>
      <c r="D534" s="708"/>
      <c r="E534" s="708"/>
      <c r="F534" s="708"/>
      <c r="G534" s="708"/>
      <c r="H534" s="708"/>
      <c r="I534" s="708"/>
      <c r="J534" s="708"/>
      <c r="K534" s="708"/>
      <c r="L534" s="708"/>
      <c r="M534" s="708"/>
      <c r="N534" s="708"/>
      <c r="O534" s="708"/>
    </row>
    <row r="535" spans="1:15" x14ac:dyDescent="0.25">
      <c r="A535" s="708"/>
      <c r="B535" s="708"/>
      <c r="C535" s="708"/>
      <c r="D535" s="708"/>
      <c r="E535" s="708"/>
      <c r="F535" s="708"/>
      <c r="G535" s="708"/>
      <c r="H535" s="708"/>
      <c r="I535" s="708"/>
      <c r="J535" s="708"/>
      <c r="K535" s="708"/>
      <c r="L535" s="708"/>
      <c r="M535" s="708"/>
      <c r="N535" s="708"/>
      <c r="O535" s="708"/>
    </row>
    <row r="536" spans="1:15" x14ac:dyDescent="0.25">
      <c r="A536" s="708"/>
      <c r="B536" s="708"/>
      <c r="C536" s="708"/>
      <c r="D536" s="708"/>
      <c r="E536" s="708"/>
      <c r="F536" s="708"/>
      <c r="G536" s="708"/>
      <c r="H536" s="708"/>
      <c r="I536" s="708"/>
      <c r="J536" s="708"/>
      <c r="K536" s="708"/>
      <c r="L536" s="708"/>
      <c r="M536" s="708"/>
      <c r="N536" s="708"/>
      <c r="O536" s="708"/>
    </row>
    <row r="537" spans="1:15" x14ac:dyDescent="0.25">
      <c r="A537" s="708"/>
      <c r="B537" s="708"/>
      <c r="C537" s="708"/>
      <c r="D537" s="708"/>
      <c r="E537" s="708"/>
      <c r="F537" s="708"/>
      <c r="G537" s="708"/>
      <c r="H537" s="708"/>
      <c r="I537" s="708"/>
      <c r="J537" s="708"/>
      <c r="K537" s="708"/>
      <c r="L537" s="708"/>
      <c r="M537" s="708"/>
      <c r="N537" s="708"/>
      <c r="O537" s="708"/>
    </row>
    <row r="538" spans="1:15" x14ac:dyDescent="0.25">
      <c r="A538" s="708"/>
      <c r="B538" s="708"/>
      <c r="C538" s="708"/>
      <c r="D538" s="708"/>
      <c r="E538" s="708"/>
      <c r="F538" s="708"/>
      <c r="G538" s="708"/>
      <c r="H538" s="708"/>
      <c r="I538" s="708"/>
      <c r="J538" s="708"/>
      <c r="K538" s="708"/>
      <c r="L538" s="708"/>
      <c r="M538" s="708"/>
      <c r="N538" s="708"/>
      <c r="O538" s="708"/>
    </row>
    <row r="539" spans="1:15" x14ac:dyDescent="0.25">
      <c r="A539" s="708"/>
      <c r="B539" s="708"/>
      <c r="C539" s="708"/>
      <c r="D539" s="708"/>
      <c r="E539" s="708"/>
      <c r="F539" s="708"/>
      <c r="G539" s="708"/>
      <c r="H539" s="708"/>
      <c r="I539" s="708"/>
      <c r="J539" s="708"/>
      <c r="K539" s="708"/>
      <c r="L539" s="708"/>
      <c r="M539" s="708"/>
      <c r="N539" s="708"/>
      <c r="O539" s="708"/>
    </row>
    <row r="540" spans="1:15" x14ac:dyDescent="0.25">
      <c r="A540" s="708"/>
      <c r="B540" s="708"/>
      <c r="C540" s="708"/>
      <c r="D540" s="708"/>
      <c r="E540" s="708"/>
      <c r="F540" s="708"/>
      <c r="G540" s="708"/>
      <c r="H540" s="708"/>
      <c r="I540" s="708"/>
      <c r="J540" s="708"/>
      <c r="K540" s="708"/>
      <c r="L540" s="708"/>
      <c r="M540" s="708"/>
      <c r="N540" s="708"/>
      <c r="O540" s="708"/>
    </row>
    <row r="541" spans="1:15" x14ac:dyDescent="0.25">
      <c r="A541" s="708"/>
      <c r="B541" s="708"/>
      <c r="C541" s="708"/>
      <c r="D541" s="708"/>
      <c r="E541" s="708"/>
      <c r="F541" s="708"/>
      <c r="G541" s="708"/>
      <c r="H541" s="708"/>
      <c r="I541" s="708"/>
      <c r="J541" s="708"/>
      <c r="K541" s="708"/>
      <c r="L541" s="708"/>
      <c r="M541" s="708"/>
      <c r="N541" s="708"/>
      <c r="O541" s="708"/>
    </row>
    <row r="542" spans="1:15" x14ac:dyDescent="0.25">
      <c r="A542" s="708"/>
      <c r="B542" s="708"/>
      <c r="C542" s="708"/>
      <c r="D542" s="708"/>
      <c r="E542" s="708"/>
      <c r="F542" s="708"/>
      <c r="G542" s="708"/>
      <c r="H542" s="708"/>
      <c r="I542" s="708"/>
      <c r="J542" s="708"/>
      <c r="K542" s="708"/>
      <c r="L542" s="708"/>
      <c r="M542" s="708"/>
      <c r="N542" s="708"/>
      <c r="O542" s="708"/>
    </row>
    <row r="543" spans="1:15" x14ac:dyDescent="0.25">
      <c r="A543" s="708"/>
      <c r="B543" s="708"/>
      <c r="C543" s="708"/>
      <c r="D543" s="708"/>
      <c r="E543" s="708"/>
      <c r="F543" s="708"/>
      <c r="G543" s="708"/>
      <c r="H543" s="708"/>
      <c r="I543" s="708"/>
      <c r="J543" s="708"/>
      <c r="K543" s="708"/>
      <c r="L543" s="708"/>
      <c r="M543" s="708"/>
      <c r="N543" s="708"/>
      <c r="O543" s="708"/>
    </row>
    <row r="544" spans="1:15" x14ac:dyDescent="0.25">
      <c r="A544" s="708"/>
      <c r="B544" s="708"/>
      <c r="C544" s="708"/>
      <c r="D544" s="708"/>
      <c r="E544" s="708"/>
      <c r="F544" s="708"/>
      <c r="G544" s="708"/>
      <c r="H544" s="708"/>
      <c r="I544" s="708"/>
      <c r="J544" s="708"/>
      <c r="K544" s="708"/>
      <c r="L544" s="708"/>
      <c r="M544" s="708"/>
      <c r="N544" s="708"/>
      <c r="O544" s="708"/>
    </row>
    <row r="545" spans="1:15" x14ac:dyDescent="0.25">
      <c r="A545" s="708"/>
      <c r="B545" s="708"/>
      <c r="C545" s="708"/>
      <c r="D545" s="708"/>
      <c r="E545" s="708"/>
      <c r="F545" s="708"/>
      <c r="G545" s="708"/>
      <c r="H545" s="708"/>
      <c r="I545" s="708"/>
      <c r="J545" s="708"/>
      <c r="K545" s="708"/>
      <c r="L545" s="708"/>
      <c r="M545" s="708"/>
      <c r="N545" s="708"/>
      <c r="O545" s="708"/>
    </row>
    <row r="546" spans="1:15" x14ac:dyDescent="0.25">
      <c r="A546" s="708"/>
      <c r="B546" s="708"/>
      <c r="C546" s="708"/>
      <c r="D546" s="708"/>
      <c r="E546" s="708"/>
      <c r="F546" s="708"/>
      <c r="G546" s="708"/>
      <c r="H546" s="708"/>
      <c r="I546" s="708"/>
      <c r="J546" s="708"/>
      <c r="K546" s="708"/>
      <c r="L546" s="708"/>
      <c r="M546" s="708"/>
      <c r="N546" s="708"/>
      <c r="O546" s="708"/>
    </row>
    <row r="547" spans="1:15" x14ac:dyDescent="0.25">
      <c r="A547" s="708"/>
      <c r="B547" s="708"/>
      <c r="C547" s="708"/>
      <c r="D547" s="708"/>
      <c r="E547" s="708"/>
      <c r="F547" s="708"/>
      <c r="G547" s="708"/>
      <c r="H547" s="708"/>
      <c r="I547" s="708"/>
      <c r="J547" s="708"/>
      <c r="K547" s="708"/>
      <c r="L547" s="708"/>
      <c r="M547" s="708"/>
      <c r="N547" s="708"/>
      <c r="O547" s="708"/>
    </row>
    <row r="548" spans="1:15" x14ac:dyDescent="0.25">
      <c r="A548" s="708"/>
      <c r="B548" s="708"/>
      <c r="C548" s="708"/>
      <c r="D548" s="708"/>
      <c r="E548" s="708"/>
      <c r="F548" s="708"/>
      <c r="G548" s="708"/>
      <c r="H548" s="708"/>
      <c r="I548" s="708"/>
      <c r="J548" s="708"/>
      <c r="K548" s="708"/>
      <c r="L548" s="708"/>
      <c r="M548" s="708"/>
      <c r="N548" s="708"/>
      <c r="O548" s="708"/>
    </row>
    <row r="549" spans="1:15" x14ac:dyDescent="0.25">
      <c r="A549" s="708"/>
      <c r="B549" s="708"/>
      <c r="C549" s="708"/>
      <c r="D549" s="708"/>
      <c r="E549" s="708"/>
      <c r="F549" s="708"/>
      <c r="G549" s="708"/>
      <c r="H549" s="708"/>
      <c r="I549" s="708"/>
      <c r="J549" s="708"/>
      <c r="K549" s="708"/>
      <c r="L549" s="708"/>
      <c r="M549" s="708"/>
      <c r="N549" s="708"/>
      <c r="O549" s="708"/>
    </row>
    <row r="550" spans="1:15" x14ac:dyDescent="0.25">
      <c r="A550" s="708"/>
      <c r="B550" s="708"/>
      <c r="C550" s="708"/>
      <c r="D550" s="708"/>
      <c r="E550" s="708"/>
      <c r="F550" s="708"/>
      <c r="G550" s="708"/>
      <c r="H550" s="708"/>
      <c r="I550" s="708"/>
      <c r="J550" s="708"/>
      <c r="K550" s="708"/>
      <c r="L550" s="708"/>
      <c r="M550" s="708"/>
      <c r="N550" s="708"/>
      <c r="O550" s="708"/>
    </row>
    <row r="551" spans="1:15" x14ac:dyDescent="0.25">
      <c r="A551" s="708"/>
      <c r="B551" s="708"/>
      <c r="C551" s="708"/>
      <c r="D551" s="708"/>
      <c r="E551" s="708"/>
      <c r="F551" s="708"/>
      <c r="G551" s="708"/>
      <c r="H551" s="708"/>
      <c r="I551" s="708"/>
      <c r="J551" s="708"/>
      <c r="K551" s="708"/>
      <c r="L551" s="708"/>
      <c r="M551" s="708"/>
      <c r="N551" s="708"/>
      <c r="O551" s="708"/>
    </row>
    <row r="552" spans="1:15" x14ac:dyDescent="0.25">
      <c r="A552" s="708"/>
      <c r="B552" s="708"/>
      <c r="C552" s="708"/>
      <c r="D552" s="708"/>
      <c r="E552" s="708"/>
      <c r="F552" s="708"/>
      <c r="G552" s="708"/>
      <c r="H552" s="708"/>
      <c r="I552" s="708"/>
      <c r="J552" s="708"/>
      <c r="K552" s="708"/>
      <c r="L552" s="708"/>
      <c r="M552" s="708"/>
      <c r="N552" s="708"/>
      <c r="O552" s="708"/>
    </row>
    <row r="553" spans="1:15" x14ac:dyDescent="0.25">
      <c r="A553" s="708"/>
      <c r="B553" s="708"/>
      <c r="C553" s="708"/>
      <c r="D553" s="708"/>
      <c r="E553" s="708"/>
      <c r="F553" s="708"/>
      <c r="G553" s="708"/>
      <c r="H553" s="708"/>
      <c r="I553" s="708"/>
      <c r="J553" s="708"/>
      <c r="K553" s="708"/>
      <c r="L553" s="708"/>
      <c r="M553" s="708"/>
      <c r="N553" s="708"/>
      <c r="O553" s="708"/>
    </row>
    <row r="554" spans="1:15" x14ac:dyDescent="0.25">
      <c r="A554" s="708"/>
      <c r="B554" s="708"/>
      <c r="C554" s="708"/>
      <c r="D554" s="708"/>
      <c r="E554" s="708"/>
      <c r="F554" s="708"/>
      <c r="G554" s="708"/>
      <c r="H554" s="708"/>
      <c r="I554" s="708"/>
      <c r="J554" s="708"/>
      <c r="K554" s="708"/>
      <c r="L554" s="708"/>
      <c r="M554" s="708"/>
      <c r="N554" s="708"/>
      <c r="O554" s="708"/>
    </row>
    <row r="555" spans="1:15" x14ac:dyDescent="0.25">
      <c r="A555" s="708"/>
      <c r="B555" s="708"/>
      <c r="C555" s="708"/>
      <c r="D555" s="708"/>
      <c r="E555" s="708"/>
      <c r="F555" s="708"/>
      <c r="G555" s="708"/>
      <c r="H555" s="708"/>
      <c r="I555" s="708"/>
      <c r="J555" s="708"/>
      <c r="K555" s="708"/>
      <c r="L555" s="708"/>
      <c r="M555" s="708"/>
      <c r="N555" s="708"/>
      <c r="O555" s="708"/>
    </row>
    <row r="556" spans="1:15" x14ac:dyDescent="0.25">
      <c r="A556" s="708"/>
      <c r="B556" s="708"/>
      <c r="C556" s="708"/>
      <c r="D556" s="708"/>
      <c r="E556" s="708"/>
      <c r="F556" s="708"/>
      <c r="G556" s="708"/>
      <c r="H556" s="708"/>
      <c r="I556" s="708"/>
      <c r="J556" s="708"/>
      <c r="K556" s="708"/>
      <c r="L556" s="708"/>
      <c r="M556" s="708"/>
      <c r="N556" s="708"/>
      <c r="O556" s="708"/>
    </row>
    <row r="557" spans="1:15" x14ac:dyDescent="0.25">
      <c r="A557" s="708"/>
      <c r="B557" s="708"/>
      <c r="C557" s="708"/>
      <c r="D557" s="708"/>
      <c r="E557" s="708"/>
      <c r="F557" s="708"/>
      <c r="G557" s="708"/>
      <c r="H557" s="708"/>
      <c r="I557" s="708"/>
      <c r="J557" s="708"/>
      <c r="K557" s="708"/>
      <c r="L557" s="708"/>
      <c r="M557" s="708"/>
      <c r="N557" s="708"/>
      <c r="O557" s="708"/>
    </row>
    <row r="558" spans="1:15" x14ac:dyDescent="0.25">
      <c r="A558" s="708"/>
      <c r="B558" s="708"/>
      <c r="C558" s="708"/>
      <c r="D558" s="708"/>
      <c r="E558" s="708"/>
      <c r="F558" s="708"/>
      <c r="G558" s="708"/>
      <c r="H558" s="708"/>
      <c r="I558" s="708"/>
      <c r="J558" s="708"/>
      <c r="K558" s="708"/>
      <c r="L558" s="708"/>
      <c r="M558" s="708"/>
      <c r="N558" s="708"/>
      <c r="O558" s="708"/>
    </row>
    <row r="559" spans="1:15" x14ac:dyDescent="0.25">
      <c r="A559" s="708"/>
      <c r="B559" s="708"/>
      <c r="C559" s="708"/>
      <c r="D559" s="708"/>
      <c r="E559" s="708"/>
      <c r="F559" s="708"/>
      <c r="G559" s="708"/>
      <c r="H559" s="708"/>
      <c r="I559" s="708"/>
      <c r="J559" s="708"/>
      <c r="K559" s="708"/>
      <c r="L559" s="708"/>
      <c r="M559" s="708"/>
      <c r="N559" s="708"/>
      <c r="O559" s="708"/>
    </row>
    <row r="560" spans="1:15" x14ac:dyDescent="0.25">
      <c r="A560" s="708"/>
      <c r="B560" s="708"/>
      <c r="C560" s="708"/>
      <c r="D560" s="708"/>
      <c r="E560" s="708"/>
      <c r="F560" s="708"/>
      <c r="G560" s="708"/>
      <c r="H560" s="708"/>
      <c r="I560" s="708"/>
      <c r="J560" s="708"/>
      <c r="K560" s="708"/>
      <c r="L560" s="708"/>
      <c r="M560" s="708"/>
      <c r="N560" s="708"/>
      <c r="O560" s="708"/>
    </row>
    <row r="561" spans="1:15" x14ac:dyDescent="0.25">
      <c r="A561" s="708"/>
      <c r="B561" s="708"/>
      <c r="C561" s="708"/>
      <c r="D561" s="708"/>
      <c r="E561" s="708"/>
      <c r="F561" s="708"/>
      <c r="G561" s="708"/>
      <c r="H561" s="708"/>
      <c r="I561" s="708"/>
      <c r="J561" s="708"/>
      <c r="K561" s="708"/>
      <c r="L561" s="708"/>
      <c r="M561" s="708"/>
      <c r="N561" s="708"/>
      <c r="O561" s="708"/>
    </row>
    <row r="562" spans="1:15" x14ac:dyDescent="0.25">
      <c r="A562" s="708"/>
      <c r="B562" s="708"/>
      <c r="C562" s="708"/>
      <c r="D562" s="708"/>
      <c r="E562" s="708"/>
      <c r="F562" s="708"/>
      <c r="G562" s="708"/>
      <c r="H562" s="708"/>
      <c r="I562" s="708"/>
      <c r="J562" s="708"/>
      <c r="K562" s="708"/>
      <c r="L562" s="708"/>
      <c r="M562" s="708"/>
      <c r="N562" s="708"/>
      <c r="O562" s="708"/>
    </row>
    <row r="563" spans="1:15" x14ac:dyDescent="0.25">
      <c r="A563" s="708"/>
      <c r="B563" s="708"/>
      <c r="C563" s="708"/>
      <c r="D563" s="708"/>
      <c r="E563" s="708"/>
      <c r="F563" s="708"/>
      <c r="G563" s="708"/>
      <c r="H563" s="708"/>
      <c r="I563" s="708"/>
      <c r="J563" s="708"/>
      <c r="K563" s="708"/>
      <c r="L563" s="708"/>
      <c r="M563" s="708"/>
      <c r="N563" s="708"/>
      <c r="O563" s="708"/>
    </row>
    <row r="564" spans="1:15" x14ac:dyDescent="0.25">
      <c r="A564" s="708"/>
      <c r="B564" s="708"/>
      <c r="C564" s="708"/>
      <c r="D564" s="708"/>
      <c r="E564" s="708"/>
      <c r="F564" s="708"/>
      <c r="G564" s="708"/>
      <c r="H564" s="708"/>
      <c r="I564" s="708"/>
      <c r="J564" s="708"/>
      <c r="K564" s="708"/>
      <c r="L564" s="708"/>
      <c r="M564" s="708"/>
      <c r="N564" s="708"/>
      <c r="O564" s="708"/>
    </row>
    <row r="565" spans="1:15" x14ac:dyDescent="0.25">
      <c r="A565" s="708"/>
      <c r="B565" s="708"/>
      <c r="C565" s="708"/>
      <c r="D565" s="708"/>
      <c r="E565" s="708"/>
      <c r="F565" s="708"/>
      <c r="G565" s="708"/>
      <c r="H565" s="708"/>
      <c r="I565" s="708"/>
      <c r="J565" s="708"/>
      <c r="K565" s="708"/>
      <c r="L565" s="708"/>
      <c r="M565" s="708"/>
      <c r="N565" s="708"/>
      <c r="O565" s="708"/>
    </row>
    <row r="566" spans="1:15" x14ac:dyDescent="0.25">
      <c r="A566" s="708"/>
      <c r="B566" s="708"/>
      <c r="C566" s="708"/>
      <c r="D566" s="708"/>
      <c r="E566" s="708"/>
      <c r="F566" s="708"/>
      <c r="G566" s="708"/>
      <c r="H566" s="708"/>
      <c r="I566" s="708"/>
      <c r="J566" s="708"/>
      <c r="K566" s="708"/>
      <c r="L566" s="708"/>
      <c r="M566" s="708"/>
      <c r="N566" s="708"/>
      <c r="O566" s="708"/>
    </row>
    <row r="567" spans="1:15" x14ac:dyDescent="0.25">
      <c r="A567" s="708"/>
      <c r="B567" s="708"/>
      <c r="C567" s="708"/>
      <c r="D567" s="708"/>
      <c r="E567" s="708"/>
      <c r="F567" s="708"/>
      <c r="G567" s="708"/>
      <c r="H567" s="708"/>
      <c r="I567" s="708"/>
      <c r="J567" s="708"/>
      <c r="K567" s="708"/>
      <c r="L567" s="708"/>
      <c r="M567" s="708"/>
      <c r="N567" s="708"/>
      <c r="O567" s="708"/>
    </row>
    <row r="568" spans="1:15" x14ac:dyDescent="0.25">
      <c r="A568" s="708"/>
      <c r="B568" s="708"/>
      <c r="C568" s="708"/>
      <c r="D568" s="708"/>
      <c r="E568" s="708"/>
      <c r="F568" s="708"/>
      <c r="G568" s="708"/>
      <c r="H568" s="708"/>
      <c r="I568" s="708"/>
      <c r="J568" s="708"/>
      <c r="K568" s="708"/>
      <c r="L568" s="708"/>
      <c r="M568" s="708"/>
      <c r="N568" s="708"/>
      <c r="O568" s="708"/>
    </row>
    <row r="569" spans="1:15" x14ac:dyDescent="0.25">
      <c r="A569" s="708"/>
      <c r="B569" s="708"/>
      <c r="C569" s="708"/>
      <c r="D569" s="708"/>
      <c r="E569" s="708"/>
      <c r="F569" s="708"/>
      <c r="G569" s="708"/>
      <c r="H569" s="708"/>
      <c r="I569" s="708"/>
      <c r="J569" s="708"/>
      <c r="K569" s="708"/>
      <c r="L569" s="708"/>
      <c r="M569" s="708"/>
      <c r="N569" s="708"/>
      <c r="O569" s="708"/>
    </row>
    <row r="570" spans="1:15" x14ac:dyDescent="0.25">
      <c r="A570" s="708"/>
      <c r="B570" s="708"/>
      <c r="C570" s="708"/>
      <c r="D570" s="708"/>
      <c r="E570" s="708"/>
      <c r="F570" s="708"/>
      <c r="G570" s="708"/>
      <c r="H570" s="708"/>
      <c r="I570" s="708"/>
      <c r="J570" s="708"/>
      <c r="K570" s="708"/>
      <c r="L570" s="708"/>
      <c r="M570" s="708"/>
      <c r="N570" s="708"/>
      <c r="O570" s="708"/>
    </row>
    <row r="571" spans="1:15" x14ac:dyDescent="0.25">
      <c r="A571" s="708"/>
      <c r="B571" s="708"/>
      <c r="C571" s="708"/>
      <c r="D571" s="708"/>
      <c r="E571" s="708"/>
      <c r="F571" s="708"/>
      <c r="G571" s="708"/>
      <c r="H571" s="708"/>
      <c r="I571" s="708"/>
      <c r="J571" s="708"/>
      <c r="K571" s="708"/>
      <c r="L571" s="708"/>
      <c r="M571" s="708"/>
      <c r="N571" s="708"/>
      <c r="O571" s="708"/>
    </row>
    <row r="572" spans="1:15" x14ac:dyDescent="0.25">
      <c r="A572" s="708"/>
      <c r="B572" s="708"/>
      <c r="C572" s="708"/>
      <c r="D572" s="708"/>
      <c r="E572" s="708"/>
      <c r="F572" s="708"/>
      <c r="G572" s="708"/>
      <c r="H572" s="708"/>
      <c r="I572" s="708"/>
      <c r="J572" s="708"/>
      <c r="K572" s="708"/>
      <c r="L572" s="708"/>
      <c r="M572" s="708"/>
      <c r="N572" s="708"/>
      <c r="O572" s="708"/>
    </row>
    <row r="573" spans="1:15" x14ac:dyDescent="0.25">
      <c r="A573" s="708"/>
      <c r="B573" s="708"/>
      <c r="C573" s="708"/>
      <c r="D573" s="708"/>
      <c r="E573" s="708"/>
      <c r="F573" s="708"/>
      <c r="G573" s="708"/>
      <c r="H573" s="708"/>
      <c r="I573" s="708"/>
      <c r="J573" s="708"/>
      <c r="K573" s="708"/>
      <c r="L573" s="708"/>
      <c r="M573" s="708"/>
      <c r="N573" s="708"/>
      <c r="O573" s="708"/>
    </row>
    <row r="574" spans="1:15" x14ac:dyDescent="0.25">
      <c r="A574" s="708"/>
      <c r="B574" s="708"/>
      <c r="C574" s="708"/>
      <c r="D574" s="708"/>
      <c r="E574" s="708"/>
      <c r="F574" s="708"/>
      <c r="G574" s="708"/>
      <c r="H574" s="708"/>
      <c r="I574" s="708"/>
      <c r="J574" s="708"/>
      <c r="K574" s="708"/>
      <c r="L574" s="708"/>
      <c r="M574" s="708"/>
      <c r="N574" s="708"/>
      <c r="O574" s="708"/>
    </row>
    <row r="575" spans="1:15" x14ac:dyDescent="0.25">
      <c r="A575" s="708"/>
      <c r="B575" s="708"/>
      <c r="C575" s="708"/>
      <c r="D575" s="708"/>
      <c r="E575" s="708"/>
      <c r="F575" s="708"/>
      <c r="G575" s="708"/>
      <c r="H575" s="708"/>
      <c r="I575" s="708"/>
      <c r="J575" s="708"/>
      <c r="K575" s="708"/>
      <c r="L575" s="708"/>
      <c r="M575" s="708"/>
      <c r="N575" s="708"/>
      <c r="O575" s="708"/>
    </row>
    <row r="576" spans="1:15" x14ac:dyDescent="0.25">
      <c r="A576" s="708"/>
      <c r="B576" s="708"/>
      <c r="C576" s="708"/>
      <c r="D576" s="708"/>
      <c r="E576" s="708"/>
      <c r="F576" s="708"/>
      <c r="G576" s="708"/>
      <c r="H576" s="708"/>
      <c r="I576" s="708"/>
      <c r="J576" s="708"/>
      <c r="K576" s="708"/>
      <c r="L576" s="708"/>
      <c r="M576" s="708"/>
      <c r="N576" s="708"/>
      <c r="O576" s="708"/>
    </row>
    <row r="577" spans="1:15" x14ac:dyDescent="0.25">
      <c r="A577" s="708"/>
      <c r="B577" s="708"/>
      <c r="C577" s="708"/>
      <c r="D577" s="708"/>
      <c r="E577" s="708"/>
      <c r="F577" s="708"/>
      <c r="G577" s="708"/>
      <c r="H577" s="708"/>
      <c r="I577" s="708"/>
      <c r="J577" s="708"/>
      <c r="K577" s="708"/>
      <c r="L577" s="708"/>
      <c r="M577" s="708"/>
      <c r="N577" s="708"/>
      <c r="O577" s="708"/>
    </row>
    <row r="578" spans="1:15" x14ac:dyDescent="0.25">
      <c r="A578" s="708"/>
      <c r="B578" s="708"/>
      <c r="C578" s="708"/>
      <c r="D578" s="708"/>
      <c r="E578" s="708"/>
      <c r="F578" s="708"/>
      <c r="G578" s="708"/>
      <c r="H578" s="708"/>
      <c r="I578" s="708"/>
      <c r="J578" s="708"/>
      <c r="K578" s="708"/>
      <c r="L578" s="708"/>
      <c r="M578" s="708"/>
      <c r="N578" s="708"/>
      <c r="O578" s="708"/>
    </row>
    <row r="579" spans="1:15" x14ac:dyDescent="0.25">
      <c r="A579" s="708"/>
      <c r="B579" s="708"/>
      <c r="C579" s="708"/>
      <c r="D579" s="708"/>
      <c r="E579" s="708"/>
      <c r="F579" s="708"/>
      <c r="G579" s="708"/>
      <c r="H579" s="708"/>
      <c r="I579" s="708"/>
      <c r="J579" s="708"/>
      <c r="K579" s="708"/>
      <c r="L579" s="708"/>
      <c r="M579" s="708"/>
      <c r="N579" s="708"/>
      <c r="O579" s="708"/>
    </row>
    <row r="580" spans="1:15" x14ac:dyDescent="0.25">
      <c r="A580" s="708"/>
      <c r="B580" s="708"/>
      <c r="C580" s="708"/>
      <c r="D580" s="708"/>
      <c r="E580" s="708"/>
      <c r="F580" s="708"/>
      <c r="G580" s="708"/>
      <c r="H580" s="708"/>
      <c r="I580" s="708"/>
      <c r="J580" s="708"/>
      <c r="K580" s="708"/>
      <c r="L580" s="708"/>
      <c r="M580" s="708"/>
      <c r="N580" s="708"/>
      <c r="O580" s="708"/>
    </row>
    <row r="581" spans="1:15" x14ac:dyDescent="0.25">
      <c r="A581" s="708"/>
      <c r="B581" s="708"/>
      <c r="C581" s="708"/>
      <c r="D581" s="708"/>
      <c r="E581" s="708"/>
      <c r="F581" s="708"/>
      <c r="G581" s="708"/>
      <c r="H581" s="708"/>
      <c r="I581" s="708"/>
      <c r="J581" s="708"/>
      <c r="K581" s="708"/>
      <c r="L581" s="708"/>
      <c r="M581" s="708"/>
      <c r="N581" s="708"/>
      <c r="O581" s="708"/>
    </row>
    <row r="582" spans="1:15" x14ac:dyDescent="0.25">
      <c r="A582" s="708"/>
      <c r="B582" s="708"/>
      <c r="C582" s="708"/>
      <c r="D582" s="708"/>
      <c r="E582" s="708"/>
      <c r="F582" s="708"/>
      <c r="G582" s="708"/>
      <c r="H582" s="708"/>
      <c r="I582" s="708"/>
      <c r="J582" s="708"/>
      <c r="K582" s="708"/>
      <c r="L582" s="708"/>
      <c r="M582" s="708"/>
      <c r="N582" s="708"/>
      <c r="O582" s="708"/>
    </row>
    <row r="583" spans="1:15" x14ac:dyDescent="0.25">
      <c r="A583" s="708"/>
      <c r="B583" s="708"/>
      <c r="C583" s="708"/>
      <c r="D583" s="708"/>
      <c r="E583" s="708"/>
      <c r="F583" s="708"/>
      <c r="G583" s="708"/>
      <c r="H583" s="708"/>
      <c r="I583" s="708"/>
      <c r="J583" s="708"/>
      <c r="K583" s="708"/>
      <c r="L583" s="708"/>
      <c r="M583" s="708"/>
      <c r="N583" s="708"/>
      <c r="O583" s="708"/>
    </row>
    <row r="584" spans="1:15" x14ac:dyDescent="0.25">
      <c r="A584" s="708"/>
      <c r="B584" s="708"/>
      <c r="C584" s="708"/>
      <c r="D584" s="708"/>
      <c r="E584" s="708"/>
      <c r="F584" s="708"/>
      <c r="G584" s="708"/>
      <c r="H584" s="708"/>
      <c r="I584" s="708"/>
      <c r="J584" s="708"/>
      <c r="K584" s="708"/>
      <c r="L584" s="708"/>
      <c r="M584" s="708"/>
      <c r="N584" s="708"/>
      <c r="O584" s="708"/>
    </row>
    <row r="585" spans="1:15" x14ac:dyDescent="0.25">
      <c r="A585" s="708"/>
      <c r="B585" s="708"/>
      <c r="C585" s="708"/>
      <c r="D585" s="708"/>
      <c r="E585" s="708"/>
      <c r="F585" s="708"/>
      <c r="G585" s="708"/>
      <c r="H585" s="708"/>
      <c r="I585" s="708"/>
      <c r="J585" s="708"/>
      <c r="K585" s="708"/>
      <c r="L585" s="708"/>
      <c r="M585" s="708"/>
      <c r="N585" s="708"/>
      <c r="O585" s="708"/>
    </row>
    <row r="586" spans="1:15" x14ac:dyDescent="0.25">
      <c r="A586" s="708"/>
      <c r="B586" s="708"/>
      <c r="C586" s="708"/>
      <c r="D586" s="708"/>
      <c r="E586" s="708"/>
      <c r="F586" s="708"/>
      <c r="G586" s="708"/>
      <c r="H586" s="708"/>
      <c r="I586" s="708"/>
      <c r="J586" s="708"/>
      <c r="K586" s="708"/>
      <c r="L586" s="708"/>
      <c r="M586" s="708"/>
      <c r="N586" s="708"/>
      <c r="O586" s="708"/>
    </row>
    <row r="587" spans="1:15" x14ac:dyDescent="0.25">
      <c r="A587" s="708"/>
      <c r="B587" s="708"/>
      <c r="C587" s="708"/>
      <c r="D587" s="708"/>
      <c r="E587" s="708"/>
      <c r="F587" s="708"/>
      <c r="G587" s="708"/>
      <c r="H587" s="708"/>
      <c r="I587" s="708"/>
      <c r="J587" s="708"/>
      <c r="K587" s="708"/>
      <c r="L587" s="708"/>
      <c r="M587" s="708"/>
      <c r="N587" s="708"/>
      <c r="O587" s="708"/>
    </row>
    <row r="588" spans="1:15" x14ac:dyDescent="0.25">
      <c r="A588" s="708"/>
      <c r="B588" s="708"/>
      <c r="C588" s="708"/>
      <c r="D588" s="708"/>
      <c r="E588" s="708"/>
      <c r="F588" s="708"/>
      <c r="G588" s="708"/>
      <c r="H588" s="708"/>
      <c r="I588" s="708"/>
      <c r="J588" s="708"/>
      <c r="K588" s="708"/>
      <c r="L588" s="708"/>
      <c r="M588" s="708"/>
      <c r="N588" s="708"/>
      <c r="O588" s="708"/>
    </row>
    <row r="589" spans="1:15" x14ac:dyDescent="0.25">
      <c r="A589" s="708"/>
      <c r="B589" s="708"/>
      <c r="C589" s="708"/>
      <c r="D589" s="708"/>
      <c r="E589" s="708"/>
      <c r="F589" s="708"/>
      <c r="G589" s="708"/>
      <c r="H589" s="708"/>
      <c r="I589" s="708"/>
      <c r="J589" s="708"/>
      <c r="K589" s="708"/>
      <c r="L589" s="708"/>
      <c r="M589" s="708"/>
      <c r="N589" s="708"/>
      <c r="O589" s="708"/>
    </row>
    <row r="590" spans="1:15" x14ac:dyDescent="0.25">
      <c r="A590" s="708"/>
      <c r="B590" s="708"/>
      <c r="C590" s="708"/>
      <c r="D590" s="708"/>
      <c r="E590" s="708"/>
      <c r="F590" s="708"/>
      <c r="G590" s="708"/>
      <c r="H590" s="708"/>
      <c r="I590" s="708"/>
      <c r="J590" s="708"/>
      <c r="K590" s="708"/>
      <c r="L590" s="708"/>
      <c r="M590" s="708"/>
      <c r="N590" s="708"/>
      <c r="O590" s="708"/>
    </row>
    <row r="591" spans="1:15" x14ac:dyDescent="0.25">
      <c r="A591" s="708"/>
      <c r="B591" s="708"/>
      <c r="C591" s="708"/>
      <c r="D591" s="708"/>
      <c r="E591" s="708"/>
      <c r="F591" s="708"/>
      <c r="G591" s="708"/>
      <c r="H591" s="708"/>
      <c r="I591" s="708"/>
      <c r="J591" s="708"/>
      <c r="K591" s="708"/>
      <c r="L591" s="708"/>
      <c r="M591" s="708"/>
      <c r="N591" s="708"/>
      <c r="O591" s="708"/>
    </row>
    <row r="592" spans="1:15" x14ac:dyDescent="0.25">
      <c r="A592" s="708"/>
      <c r="B592" s="708"/>
      <c r="C592" s="708"/>
      <c r="D592" s="708"/>
      <c r="E592" s="708"/>
      <c r="F592" s="708"/>
      <c r="G592" s="708"/>
      <c r="H592" s="708"/>
      <c r="I592" s="708"/>
      <c r="J592" s="708"/>
      <c r="K592" s="708"/>
      <c r="L592" s="708"/>
      <c r="M592" s="708"/>
      <c r="N592" s="708"/>
      <c r="O592" s="708"/>
    </row>
    <row r="593" spans="1:15" x14ac:dyDescent="0.25">
      <c r="A593" s="708"/>
      <c r="B593" s="708"/>
      <c r="C593" s="708"/>
      <c r="D593" s="708"/>
      <c r="E593" s="708"/>
      <c r="F593" s="708"/>
      <c r="G593" s="708"/>
      <c r="H593" s="708"/>
      <c r="I593" s="708"/>
      <c r="J593" s="708"/>
      <c r="K593" s="708"/>
      <c r="L593" s="708"/>
      <c r="M593" s="708"/>
      <c r="N593" s="708"/>
      <c r="O593" s="708"/>
    </row>
    <row r="594" spans="1:15" x14ac:dyDescent="0.25">
      <c r="A594" s="708"/>
      <c r="B594" s="708"/>
      <c r="C594" s="708"/>
      <c r="D594" s="708"/>
      <c r="E594" s="708"/>
      <c r="F594" s="708"/>
      <c r="G594" s="708"/>
      <c r="H594" s="708"/>
      <c r="I594" s="708"/>
      <c r="J594" s="708"/>
      <c r="K594" s="708"/>
      <c r="L594" s="708"/>
      <c r="M594" s="708"/>
      <c r="N594" s="708"/>
      <c r="O594" s="708"/>
    </row>
    <row r="595" spans="1:15" x14ac:dyDescent="0.25">
      <c r="A595" s="708"/>
      <c r="B595" s="708"/>
      <c r="C595" s="708"/>
      <c r="D595" s="708"/>
      <c r="E595" s="708"/>
      <c r="F595" s="708"/>
      <c r="G595" s="708"/>
      <c r="H595" s="708"/>
      <c r="I595" s="708"/>
      <c r="J595" s="708"/>
      <c r="K595" s="708"/>
      <c r="L595" s="708"/>
      <c r="M595" s="708"/>
      <c r="N595" s="708"/>
      <c r="O595" s="708"/>
    </row>
    <row r="596" spans="1:15" x14ac:dyDescent="0.25">
      <c r="A596" s="708"/>
      <c r="B596" s="708"/>
      <c r="C596" s="708"/>
      <c r="D596" s="708"/>
      <c r="E596" s="708"/>
      <c r="F596" s="708"/>
      <c r="G596" s="708"/>
      <c r="H596" s="708"/>
      <c r="I596" s="708"/>
      <c r="J596" s="708"/>
      <c r="K596" s="708"/>
      <c r="L596" s="708"/>
      <c r="M596" s="708"/>
      <c r="N596" s="708"/>
      <c r="O596" s="708"/>
    </row>
    <row r="597" spans="1:15" x14ac:dyDescent="0.25">
      <c r="A597" s="708"/>
      <c r="B597" s="708"/>
      <c r="C597" s="708"/>
      <c r="D597" s="708"/>
      <c r="E597" s="708"/>
      <c r="F597" s="708"/>
      <c r="G597" s="708"/>
      <c r="H597" s="708"/>
      <c r="I597" s="708"/>
      <c r="J597" s="708"/>
      <c r="K597" s="708"/>
      <c r="L597" s="708"/>
      <c r="M597" s="708"/>
      <c r="N597" s="708"/>
      <c r="O597" s="708"/>
    </row>
    <row r="598" spans="1:15" x14ac:dyDescent="0.25">
      <c r="A598" s="708"/>
      <c r="B598" s="708"/>
      <c r="C598" s="708"/>
      <c r="D598" s="708"/>
      <c r="E598" s="708"/>
      <c r="F598" s="708"/>
      <c r="G598" s="708"/>
      <c r="H598" s="708"/>
      <c r="I598" s="708"/>
      <c r="J598" s="708"/>
      <c r="K598" s="708"/>
      <c r="L598" s="708"/>
      <c r="M598" s="708"/>
      <c r="N598" s="708"/>
      <c r="O598" s="708"/>
    </row>
    <row r="599" spans="1:15" x14ac:dyDescent="0.25">
      <c r="A599" s="708"/>
      <c r="B599" s="708"/>
      <c r="C599" s="708"/>
      <c r="D599" s="708"/>
      <c r="E599" s="708"/>
      <c r="F599" s="708"/>
      <c r="G599" s="708"/>
      <c r="H599" s="708"/>
      <c r="I599" s="708"/>
      <c r="J599" s="708"/>
      <c r="K599" s="708"/>
      <c r="L599" s="708"/>
      <c r="M599" s="708"/>
      <c r="N599" s="708"/>
      <c r="O599" s="708"/>
    </row>
    <row r="600" spans="1:15" x14ac:dyDescent="0.25">
      <c r="A600" s="708"/>
      <c r="B600" s="708"/>
      <c r="C600" s="708"/>
      <c r="D600" s="708"/>
      <c r="E600" s="708"/>
      <c r="F600" s="708"/>
      <c r="G600" s="708"/>
      <c r="H600" s="708"/>
      <c r="I600" s="708"/>
      <c r="J600" s="708"/>
      <c r="K600" s="708"/>
      <c r="L600" s="708"/>
      <c r="M600" s="708"/>
      <c r="N600" s="708"/>
      <c r="O600" s="708"/>
    </row>
    <row r="601" spans="1:15" x14ac:dyDescent="0.25">
      <c r="A601" s="708"/>
      <c r="B601" s="708"/>
      <c r="C601" s="708"/>
      <c r="D601" s="708"/>
      <c r="E601" s="708"/>
      <c r="F601" s="708"/>
      <c r="G601" s="708"/>
      <c r="H601" s="708"/>
      <c r="I601" s="708"/>
      <c r="J601" s="708"/>
      <c r="K601" s="708"/>
      <c r="L601" s="708"/>
      <c r="M601" s="708"/>
      <c r="N601" s="708"/>
      <c r="O601" s="708"/>
    </row>
    <row r="602" spans="1:15" x14ac:dyDescent="0.25">
      <c r="A602" s="708"/>
      <c r="B602" s="708"/>
      <c r="C602" s="708"/>
      <c r="D602" s="708"/>
      <c r="E602" s="708"/>
      <c r="F602" s="708"/>
      <c r="G602" s="708"/>
      <c r="H602" s="708"/>
      <c r="I602" s="708"/>
      <c r="J602" s="708"/>
      <c r="K602" s="708"/>
      <c r="L602" s="708"/>
      <c r="M602" s="708"/>
      <c r="N602" s="708"/>
      <c r="O602" s="708"/>
    </row>
    <row r="603" spans="1:15" x14ac:dyDescent="0.25">
      <c r="A603" s="708"/>
      <c r="B603" s="708"/>
      <c r="C603" s="708"/>
      <c r="D603" s="708"/>
      <c r="E603" s="708"/>
      <c r="F603" s="708"/>
      <c r="G603" s="708"/>
      <c r="H603" s="708"/>
      <c r="I603" s="708"/>
      <c r="J603" s="708"/>
      <c r="K603" s="708"/>
      <c r="L603" s="708"/>
      <c r="M603" s="708"/>
      <c r="N603" s="708"/>
      <c r="O603" s="708"/>
    </row>
    <row r="604" spans="1:15" x14ac:dyDescent="0.25">
      <c r="A604" s="708"/>
      <c r="B604" s="708"/>
      <c r="C604" s="708"/>
      <c r="D604" s="708"/>
      <c r="E604" s="708"/>
      <c r="F604" s="708"/>
      <c r="G604" s="708"/>
      <c r="H604" s="708"/>
      <c r="I604" s="708"/>
      <c r="J604" s="708"/>
      <c r="K604" s="708"/>
      <c r="L604" s="708"/>
      <c r="M604" s="708"/>
      <c r="N604" s="708"/>
      <c r="O604" s="708"/>
    </row>
    <row r="605" spans="1:15" x14ac:dyDescent="0.25">
      <c r="A605" s="708"/>
      <c r="B605" s="708"/>
      <c r="C605" s="708"/>
      <c r="D605" s="708"/>
      <c r="E605" s="708"/>
      <c r="F605" s="708"/>
      <c r="G605" s="708"/>
      <c r="H605" s="708"/>
      <c r="I605" s="708"/>
      <c r="J605" s="708"/>
      <c r="K605" s="708"/>
      <c r="L605" s="708"/>
      <c r="M605" s="708"/>
      <c r="N605" s="708"/>
      <c r="O605" s="708"/>
    </row>
    <row r="606" spans="1:15" x14ac:dyDescent="0.25">
      <c r="A606" s="708"/>
      <c r="B606" s="708"/>
      <c r="C606" s="708"/>
      <c r="D606" s="708"/>
      <c r="E606" s="708"/>
      <c r="F606" s="708"/>
      <c r="G606" s="708"/>
      <c r="H606" s="708"/>
      <c r="I606" s="708"/>
      <c r="J606" s="708"/>
      <c r="K606" s="708"/>
      <c r="L606" s="708"/>
      <c r="M606" s="708"/>
      <c r="N606" s="708"/>
      <c r="O606" s="708"/>
    </row>
    <row r="607" spans="1:15" x14ac:dyDescent="0.25">
      <c r="A607" s="708"/>
      <c r="B607" s="708"/>
      <c r="C607" s="708"/>
      <c r="D607" s="708"/>
      <c r="E607" s="708"/>
      <c r="F607" s="708"/>
      <c r="G607" s="708"/>
      <c r="H607" s="708"/>
      <c r="I607" s="708"/>
      <c r="J607" s="708"/>
      <c r="K607" s="708"/>
      <c r="L607" s="708"/>
      <c r="M607" s="708"/>
      <c r="N607" s="708"/>
      <c r="O607" s="708"/>
    </row>
    <row r="608" spans="1:15" x14ac:dyDescent="0.25">
      <c r="A608" s="708"/>
      <c r="B608" s="708"/>
      <c r="C608" s="708"/>
      <c r="D608" s="708"/>
      <c r="E608" s="708"/>
      <c r="F608" s="708"/>
      <c r="G608" s="708"/>
      <c r="H608" s="708"/>
      <c r="I608" s="708"/>
      <c r="J608" s="708"/>
      <c r="K608" s="708"/>
      <c r="L608" s="708"/>
      <c r="M608" s="708"/>
      <c r="N608" s="708"/>
      <c r="O608" s="708"/>
    </row>
    <row r="609" spans="1:15" x14ac:dyDescent="0.25">
      <c r="A609" s="708"/>
      <c r="B609" s="708"/>
      <c r="C609" s="708"/>
      <c r="D609" s="708"/>
      <c r="E609" s="708"/>
      <c r="F609" s="708"/>
      <c r="G609" s="708"/>
      <c r="H609" s="708"/>
      <c r="I609" s="708"/>
      <c r="J609" s="708"/>
      <c r="K609" s="708"/>
      <c r="L609" s="708"/>
      <c r="M609" s="708"/>
      <c r="N609" s="708"/>
      <c r="O609" s="708"/>
    </row>
    <row r="610" spans="1:15" x14ac:dyDescent="0.25">
      <c r="A610" s="708"/>
      <c r="B610" s="708"/>
      <c r="C610" s="708"/>
      <c r="D610" s="708"/>
      <c r="E610" s="708"/>
      <c r="F610" s="708"/>
      <c r="G610" s="708"/>
      <c r="H610" s="708"/>
      <c r="I610" s="708"/>
      <c r="J610" s="708"/>
      <c r="K610" s="708"/>
      <c r="L610" s="708"/>
      <c r="M610" s="708"/>
      <c r="N610" s="708"/>
      <c r="O610" s="708"/>
    </row>
    <row r="611" spans="1:15" x14ac:dyDescent="0.25">
      <c r="A611" s="708"/>
      <c r="B611" s="708"/>
      <c r="C611" s="708"/>
      <c r="D611" s="708"/>
      <c r="E611" s="708"/>
      <c r="F611" s="708"/>
      <c r="G611" s="708"/>
      <c r="H611" s="708"/>
      <c r="I611" s="708"/>
      <c r="J611" s="708"/>
      <c r="K611" s="708"/>
      <c r="L611" s="708"/>
      <c r="M611" s="708"/>
      <c r="N611" s="708"/>
      <c r="O611" s="708"/>
    </row>
    <row r="612" spans="1:15" x14ac:dyDescent="0.25">
      <c r="A612" s="708"/>
      <c r="B612" s="708"/>
      <c r="C612" s="708"/>
      <c r="D612" s="708"/>
      <c r="E612" s="708"/>
      <c r="F612" s="708"/>
      <c r="G612" s="708"/>
      <c r="H612" s="708"/>
      <c r="I612" s="708"/>
      <c r="J612" s="708"/>
      <c r="K612" s="708"/>
      <c r="L612" s="708"/>
      <c r="M612" s="708"/>
      <c r="N612" s="708"/>
      <c r="O612" s="708"/>
    </row>
    <row r="613" spans="1:15" x14ac:dyDescent="0.25">
      <c r="A613" s="708"/>
      <c r="B613" s="708"/>
      <c r="C613" s="708"/>
      <c r="D613" s="708"/>
      <c r="E613" s="708"/>
      <c r="F613" s="708"/>
      <c r="G613" s="708"/>
      <c r="H613" s="708"/>
      <c r="I613" s="708"/>
      <c r="J613" s="708"/>
      <c r="K613" s="708"/>
      <c r="L613" s="708"/>
      <c r="M613" s="708"/>
      <c r="N613" s="708"/>
      <c r="O613" s="708"/>
    </row>
    <row r="614" spans="1:15" x14ac:dyDescent="0.25">
      <c r="A614" s="708"/>
      <c r="B614" s="708"/>
      <c r="C614" s="708"/>
      <c r="D614" s="708"/>
      <c r="E614" s="708"/>
      <c r="F614" s="708"/>
      <c r="G614" s="708"/>
      <c r="H614" s="708"/>
      <c r="I614" s="708"/>
      <c r="J614" s="708"/>
      <c r="K614" s="708"/>
      <c r="L614" s="708"/>
      <c r="M614" s="708"/>
      <c r="N614" s="708"/>
      <c r="O614" s="708"/>
    </row>
    <row r="615" spans="1:15" x14ac:dyDescent="0.25">
      <c r="A615" s="708"/>
      <c r="B615" s="708"/>
      <c r="C615" s="708"/>
      <c r="D615" s="708"/>
      <c r="E615" s="708"/>
      <c r="F615" s="708"/>
      <c r="G615" s="708"/>
      <c r="H615" s="708"/>
      <c r="I615" s="708"/>
      <c r="J615" s="708"/>
      <c r="K615" s="708"/>
      <c r="L615" s="708"/>
      <c r="M615" s="708"/>
      <c r="N615" s="708"/>
      <c r="O615" s="708"/>
    </row>
    <row r="616" spans="1:15" x14ac:dyDescent="0.25">
      <c r="A616" s="708"/>
      <c r="B616" s="708"/>
      <c r="C616" s="708"/>
      <c r="D616" s="708"/>
      <c r="E616" s="708"/>
      <c r="F616" s="708"/>
      <c r="G616" s="708"/>
      <c r="H616" s="708"/>
      <c r="I616" s="708"/>
      <c r="J616" s="708"/>
      <c r="K616" s="708"/>
      <c r="L616" s="708"/>
      <c r="M616" s="708"/>
      <c r="N616" s="708"/>
      <c r="O616" s="708"/>
    </row>
    <row r="617" spans="1:15" x14ac:dyDescent="0.25">
      <c r="A617" s="708"/>
      <c r="B617" s="708"/>
      <c r="C617" s="708"/>
      <c r="D617" s="708"/>
      <c r="E617" s="708"/>
      <c r="F617" s="708"/>
      <c r="G617" s="708"/>
      <c r="H617" s="708"/>
      <c r="I617" s="708"/>
      <c r="J617" s="708"/>
      <c r="K617" s="708"/>
      <c r="L617" s="708"/>
      <c r="M617" s="708"/>
      <c r="N617" s="708"/>
      <c r="O617" s="708"/>
    </row>
    <row r="618" spans="1:15" x14ac:dyDescent="0.25">
      <c r="A618" s="708"/>
      <c r="B618" s="708"/>
      <c r="C618" s="708"/>
      <c r="D618" s="708"/>
      <c r="E618" s="708"/>
      <c r="F618" s="708"/>
      <c r="G618" s="708"/>
      <c r="H618" s="708"/>
      <c r="I618" s="708"/>
      <c r="J618" s="708"/>
      <c r="K618" s="708"/>
      <c r="L618" s="708"/>
      <c r="M618" s="708"/>
      <c r="N618" s="708"/>
      <c r="O618" s="708"/>
    </row>
    <row r="619" spans="1:15" x14ac:dyDescent="0.25">
      <c r="A619" s="708"/>
      <c r="B619" s="708"/>
      <c r="C619" s="708"/>
      <c r="D619" s="708"/>
      <c r="E619" s="708"/>
      <c r="F619" s="708"/>
      <c r="G619" s="708"/>
      <c r="H619" s="708"/>
      <c r="I619" s="708"/>
      <c r="J619" s="708"/>
      <c r="K619" s="708"/>
      <c r="L619" s="708"/>
      <c r="M619" s="708"/>
      <c r="N619" s="708"/>
      <c r="O619" s="708"/>
    </row>
    <row r="620" spans="1:15" x14ac:dyDescent="0.25">
      <c r="A620" s="708"/>
      <c r="B620" s="708"/>
      <c r="C620" s="708"/>
      <c r="D620" s="708"/>
      <c r="E620" s="708"/>
      <c r="F620" s="708"/>
      <c r="G620" s="708"/>
      <c r="H620" s="708"/>
      <c r="I620" s="708"/>
      <c r="J620" s="708"/>
      <c r="K620" s="708"/>
      <c r="L620" s="708"/>
      <c r="M620" s="708"/>
      <c r="N620" s="708"/>
      <c r="O620" s="708"/>
    </row>
    <row r="621" spans="1:15" x14ac:dyDescent="0.25">
      <c r="A621" s="708"/>
      <c r="B621" s="708"/>
      <c r="C621" s="708"/>
      <c r="D621" s="708"/>
      <c r="E621" s="708"/>
      <c r="F621" s="708"/>
      <c r="G621" s="708"/>
      <c r="H621" s="708"/>
      <c r="I621" s="708"/>
      <c r="J621" s="708"/>
      <c r="K621" s="708"/>
      <c r="L621" s="708"/>
      <c r="M621" s="708"/>
      <c r="N621" s="708"/>
      <c r="O621" s="708"/>
    </row>
    <row r="622" spans="1:15" x14ac:dyDescent="0.25">
      <c r="A622" s="708"/>
      <c r="B622" s="708"/>
      <c r="C622" s="708"/>
      <c r="D622" s="708"/>
      <c r="E622" s="708"/>
      <c r="F622" s="708"/>
      <c r="G622" s="708"/>
      <c r="H622" s="708"/>
      <c r="I622" s="708"/>
      <c r="J622" s="708"/>
      <c r="K622" s="708"/>
      <c r="L622" s="708"/>
      <c r="M622" s="708"/>
      <c r="N622" s="708"/>
      <c r="O622" s="708"/>
    </row>
    <row r="623" spans="1:15" x14ac:dyDescent="0.25">
      <c r="A623" s="708"/>
      <c r="B623" s="708"/>
      <c r="C623" s="708"/>
      <c r="D623" s="708"/>
      <c r="E623" s="708"/>
      <c r="F623" s="708"/>
      <c r="G623" s="708"/>
      <c r="H623" s="708"/>
      <c r="I623" s="708"/>
      <c r="J623" s="708"/>
      <c r="K623" s="708"/>
      <c r="L623" s="708"/>
      <c r="M623" s="708"/>
      <c r="N623" s="708"/>
      <c r="O623" s="708"/>
    </row>
    <row r="624" spans="1:15" x14ac:dyDescent="0.25">
      <c r="A624" s="708"/>
      <c r="B624" s="708"/>
      <c r="C624" s="708"/>
      <c r="D624" s="708"/>
      <c r="E624" s="708"/>
      <c r="F624" s="708"/>
      <c r="G624" s="708"/>
      <c r="H624" s="708"/>
      <c r="I624" s="708"/>
      <c r="J624" s="708"/>
      <c r="K624" s="708"/>
      <c r="L624" s="708"/>
      <c r="M624" s="708"/>
      <c r="N624" s="708"/>
      <c r="O624" s="708"/>
    </row>
    <row r="625" spans="1:15" x14ac:dyDescent="0.25">
      <c r="A625" s="708"/>
      <c r="B625" s="708"/>
      <c r="C625" s="708"/>
      <c r="D625" s="708"/>
      <c r="E625" s="708"/>
      <c r="F625" s="708"/>
      <c r="G625" s="708"/>
      <c r="H625" s="708"/>
      <c r="I625" s="708"/>
      <c r="J625" s="708"/>
      <c r="K625" s="708"/>
      <c r="L625" s="708"/>
      <c r="M625" s="708"/>
      <c r="N625" s="708"/>
      <c r="O625" s="708"/>
    </row>
    <row r="626" spans="1:15" x14ac:dyDescent="0.25">
      <c r="A626" s="708"/>
      <c r="B626" s="708"/>
      <c r="C626" s="708"/>
      <c r="D626" s="708"/>
      <c r="E626" s="708"/>
      <c r="F626" s="708"/>
      <c r="G626" s="708"/>
      <c r="H626" s="708"/>
      <c r="I626" s="708"/>
      <c r="J626" s="708"/>
      <c r="K626" s="708"/>
      <c r="L626" s="708"/>
      <c r="M626" s="708"/>
      <c r="N626" s="708"/>
      <c r="O626" s="708"/>
    </row>
    <row r="627" spans="1:15" x14ac:dyDescent="0.25">
      <c r="A627" s="708"/>
      <c r="B627" s="708"/>
      <c r="C627" s="708"/>
      <c r="D627" s="708"/>
      <c r="E627" s="708"/>
      <c r="F627" s="708"/>
      <c r="G627" s="708"/>
      <c r="H627" s="708"/>
      <c r="I627" s="708"/>
      <c r="J627" s="708"/>
      <c r="K627" s="708"/>
      <c r="L627" s="708"/>
      <c r="M627" s="708"/>
      <c r="N627" s="708"/>
      <c r="O627" s="708"/>
    </row>
    <row r="628" spans="1:15" x14ac:dyDescent="0.25">
      <c r="A628" s="708"/>
      <c r="B628" s="708"/>
      <c r="C628" s="708"/>
      <c r="D628" s="708"/>
      <c r="E628" s="708"/>
      <c r="F628" s="708"/>
      <c r="G628" s="708"/>
      <c r="H628" s="708"/>
      <c r="I628" s="708"/>
      <c r="J628" s="708"/>
      <c r="K628" s="708"/>
      <c r="L628" s="708"/>
      <c r="M628" s="708"/>
      <c r="N628" s="708"/>
      <c r="O628" s="708"/>
    </row>
    <row r="629" spans="1:15" x14ac:dyDescent="0.25">
      <c r="A629" s="708"/>
      <c r="B629" s="708"/>
      <c r="C629" s="708"/>
      <c r="D629" s="708"/>
      <c r="E629" s="708"/>
      <c r="F629" s="708"/>
      <c r="G629" s="708"/>
      <c r="H629" s="708"/>
      <c r="I629" s="708"/>
      <c r="J629" s="708"/>
      <c r="K629" s="708"/>
      <c r="L629" s="708"/>
      <c r="M629" s="708"/>
      <c r="N629" s="708"/>
      <c r="O629" s="708"/>
    </row>
    <row r="630" spans="1:15" x14ac:dyDescent="0.25">
      <c r="A630" s="708"/>
      <c r="B630" s="708"/>
      <c r="C630" s="708"/>
      <c r="D630" s="708"/>
      <c r="E630" s="708"/>
      <c r="F630" s="708"/>
      <c r="G630" s="708"/>
      <c r="H630" s="708"/>
      <c r="I630" s="708"/>
      <c r="J630" s="708"/>
      <c r="K630" s="708"/>
      <c r="L630" s="708"/>
      <c r="M630" s="708"/>
      <c r="N630" s="708"/>
      <c r="O630" s="708"/>
    </row>
    <row r="631" spans="1:15" x14ac:dyDescent="0.25">
      <c r="A631" s="708"/>
      <c r="B631" s="708"/>
      <c r="C631" s="708"/>
      <c r="D631" s="708"/>
      <c r="E631" s="708"/>
      <c r="F631" s="708"/>
      <c r="G631" s="708"/>
      <c r="H631" s="708"/>
      <c r="I631" s="708"/>
      <c r="J631" s="708"/>
      <c r="K631" s="708"/>
      <c r="L631" s="708"/>
      <c r="M631" s="708"/>
      <c r="N631" s="708"/>
      <c r="O631" s="708"/>
    </row>
    <row r="632" spans="1:15" x14ac:dyDescent="0.25">
      <c r="A632" s="708"/>
      <c r="B632" s="708"/>
      <c r="C632" s="708"/>
      <c r="D632" s="708"/>
      <c r="E632" s="708"/>
      <c r="F632" s="708"/>
      <c r="G632" s="708"/>
      <c r="H632" s="708"/>
      <c r="I632" s="708"/>
      <c r="J632" s="708"/>
      <c r="K632" s="708"/>
      <c r="L632" s="708"/>
      <c r="M632" s="708"/>
      <c r="N632" s="708"/>
      <c r="O632" s="708"/>
    </row>
    <row r="633" spans="1:15" x14ac:dyDescent="0.25">
      <c r="A633" s="708"/>
      <c r="B633" s="708"/>
      <c r="C633" s="708"/>
      <c r="D633" s="708"/>
      <c r="E633" s="708"/>
      <c r="F633" s="708"/>
      <c r="G633" s="708"/>
      <c r="H633" s="708"/>
      <c r="I633" s="708"/>
      <c r="J633" s="708"/>
      <c r="K633" s="708"/>
      <c r="L633" s="708"/>
      <c r="M633" s="708"/>
      <c r="N633" s="708"/>
      <c r="O633" s="708"/>
    </row>
    <row r="634" spans="1:15" x14ac:dyDescent="0.25">
      <c r="A634" s="708"/>
      <c r="B634" s="708"/>
      <c r="C634" s="708"/>
      <c r="D634" s="708"/>
      <c r="E634" s="708"/>
      <c r="F634" s="708"/>
      <c r="G634" s="708"/>
      <c r="H634" s="708"/>
      <c r="I634" s="708"/>
      <c r="J634" s="708"/>
      <c r="K634" s="708"/>
      <c r="L634" s="708"/>
      <c r="M634" s="708"/>
      <c r="N634" s="708"/>
      <c r="O634" s="708"/>
    </row>
    <row r="635" spans="1:15" x14ac:dyDescent="0.25">
      <c r="A635" s="708"/>
      <c r="B635" s="708"/>
      <c r="C635" s="708"/>
      <c r="D635" s="708"/>
      <c r="E635" s="708"/>
      <c r="F635" s="708"/>
      <c r="G635" s="708"/>
      <c r="H635" s="708"/>
      <c r="I635" s="708"/>
      <c r="J635" s="708"/>
      <c r="K635" s="708"/>
      <c r="L635" s="708"/>
      <c r="M635" s="708"/>
      <c r="N635" s="708"/>
      <c r="O635" s="708"/>
    </row>
    <row r="636" spans="1:15" x14ac:dyDescent="0.25">
      <c r="A636" s="708"/>
      <c r="B636" s="708"/>
      <c r="C636" s="708"/>
      <c r="D636" s="708"/>
      <c r="E636" s="708"/>
      <c r="F636" s="708"/>
      <c r="G636" s="708"/>
      <c r="H636" s="708"/>
      <c r="I636" s="708"/>
      <c r="J636" s="708"/>
      <c r="K636" s="708"/>
      <c r="L636" s="708"/>
      <c r="M636" s="708"/>
      <c r="N636" s="708"/>
      <c r="O636" s="708"/>
    </row>
    <row r="637" spans="1:15" x14ac:dyDescent="0.25">
      <c r="A637" s="708"/>
      <c r="B637" s="708"/>
      <c r="C637" s="708"/>
      <c r="D637" s="708"/>
      <c r="E637" s="708"/>
      <c r="F637" s="708"/>
      <c r="G637" s="708"/>
      <c r="H637" s="708"/>
      <c r="I637" s="708"/>
      <c r="J637" s="708"/>
      <c r="K637" s="708"/>
      <c r="L637" s="708"/>
      <c r="M637" s="708"/>
      <c r="N637" s="708"/>
      <c r="O637" s="708"/>
    </row>
    <row r="638" spans="1:15" x14ac:dyDescent="0.25">
      <c r="A638" s="708"/>
      <c r="B638" s="708"/>
      <c r="C638" s="708"/>
      <c r="D638" s="708"/>
      <c r="E638" s="708"/>
      <c r="F638" s="708"/>
      <c r="G638" s="708"/>
      <c r="H638" s="708"/>
      <c r="I638" s="708"/>
      <c r="J638" s="708"/>
      <c r="K638" s="708"/>
      <c r="L638" s="708"/>
      <c r="M638" s="708"/>
      <c r="N638" s="708"/>
      <c r="O638" s="708"/>
    </row>
    <row r="639" spans="1:15" x14ac:dyDescent="0.25">
      <c r="A639" s="708"/>
      <c r="B639" s="708"/>
      <c r="C639" s="708"/>
      <c r="D639" s="708"/>
      <c r="E639" s="708"/>
      <c r="F639" s="708"/>
      <c r="G639" s="708"/>
      <c r="H639" s="708"/>
      <c r="I639" s="708"/>
      <c r="J639" s="708"/>
      <c r="K639" s="708"/>
      <c r="L639" s="708"/>
      <c r="M639" s="708"/>
      <c r="N639" s="708"/>
      <c r="O639" s="708"/>
    </row>
    <row r="640" spans="1:15" x14ac:dyDescent="0.25">
      <c r="A640" s="708"/>
      <c r="B640" s="708"/>
      <c r="C640" s="708"/>
      <c r="D640" s="708"/>
      <c r="E640" s="708"/>
      <c r="F640" s="708"/>
      <c r="G640" s="708"/>
      <c r="H640" s="708"/>
      <c r="I640" s="708"/>
      <c r="J640" s="708"/>
      <c r="K640" s="708"/>
      <c r="L640" s="708"/>
      <c r="M640" s="708"/>
      <c r="N640" s="708"/>
      <c r="O640" s="708"/>
    </row>
    <row r="641" spans="1:15" x14ac:dyDescent="0.25">
      <c r="A641" s="708"/>
      <c r="B641" s="708"/>
      <c r="C641" s="708"/>
      <c r="D641" s="708"/>
      <c r="E641" s="708"/>
      <c r="F641" s="708"/>
      <c r="G641" s="708"/>
      <c r="H641" s="708"/>
      <c r="I641" s="708"/>
      <c r="J641" s="708"/>
      <c r="K641" s="708"/>
      <c r="L641" s="708"/>
      <c r="M641" s="708"/>
      <c r="N641" s="708"/>
      <c r="O641" s="708"/>
    </row>
    <row r="642" spans="1:15" x14ac:dyDescent="0.25">
      <c r="A642" s="708"/>
      <c r="B642" s="708"/>
      <c r="C642" s="708"/>
      <c r="D642" s="708"/>
      <c r="E642" s="708"/>
      <c r="F642" s="708"/>
      <c r="G642" s="708"/>
      <c r="H642" s="708"/>
      <c r="I642" s="708"/>
      <c r="J642" s="708"/>
      <c r="K642" s="708"/>
      <c r="L642" s="708"/>
      <c r="M642" s="708"/>
      <c r="N642" s="708"/>
      <c r="O642" s="708"/>
    </row>
    <row r="643" spans="1:15" x14ac:dyDescent="0.25">
      <c r="A643" s="708"/>
      <c r="B643" s="708"/>
      <c r="C643" s="708"/>
      <c r="D643" s="708"/>
      <c r="E643" s="708"/>
      <c r="F643" s="708"/>
      <c r="G643" s="708"/>
      <c r="H643" s="708"/>
      <c r="I643" s="708"/>
      <c r="J643" s="708"/>
      <c r="K643" s="708"/>
      <c r="L643" s="708"/>
      <c r="M643" s="708"/>
      <c r="N643" s="708"/>
      <c r="O643" s="708"/>
    </row>
    <row r="644" spans="1:15" x14ac:dyDescent="0.25">
      <c r="A644" s="708"/>
      <c r="B644" s="708"/>
      <c r="C644" s="708"/>
      <c r="D644" s="708"/>
      <c r="E644" s="708"/>
      <c r="F644" s="708"/>
      <c r="G644" s="708"/>
      <c r="H644" s="708"/>
      <c r="I644" s="708"/>
      <c r="J644" s="708"/>
      <c r="K644" s="708"/>
      <c r="L644" s="708"/>
      <c r="M644" s="708"/>
      <c r="N644" s="708"/>
      <c r="O644" s="708"/>
    </row>
    <row r="645" spans="1:15" x14ac:dyDescent="0.25">
      <c r="A645" s="708"/>
      <c r="B645" s="708"/>
      <c r="C645" s="708"/>
      <c r="D645" s="708"/>
      <c r="E645" s="708"/>
      <c r="F645" s="708"/>
      <c r="G645" s="708"/>
      <c r="H645" s="708"/>
      <c r="I645" s="708"/>
      <c r="J645" s="708"/>
      <c r="K645" s="708"/>
      <c r="L645" s="708"/>
      <c r="M645" s="708"/>
      <c r="N645" s="708"/>
      <c r="O645" s="708"/>
    </row>
  </sheetData>
  <mergeCells count="47">
    <mergeCell ref="A112:D112"/>
    <mergeCell ref="G112:J112"/>
    <mergeCell ref="A145:M145"/>
    <mergeCell ref="A162:M162"/>
    <mergeCell ref="A109:C109"/>
    <mergeCell ref="G109:I109"/>
    <mergeCell ref="A110:C110"/>
    <mergeCell ref="G110:I110"/>
    <mergeCell ref="A111:C111"/>
    <mergeCell ref="G111:I111"/>
    <mergeCell ref="A106:C106"/>
    <mergeCell ref="G106:I106"/>
    <mergeCell ref="A107:C107"/>
    <mergeCell ref="G107:I107"/>
    <mergeCell ref="A108:C108"/>
    <mergeCell ref="G108:I108"/>
    <mergeCell ref="A103:C103"/>
    <mergeCell ref="G103:I103"/>
    <mergeCell ref="A104:C104"/>
    <mergeCell ref="G104:I104"/>
    <mergeCell ref="A105:C105"/>
    <mergeCell ref="G105:I105"/>
    <mergeCell ref="A102:C102"/>
    <mergeCell ref="G102:I102"/>
    <mergeCell ref="A48:M48"/>
    <mergeCell ref="C50:G50"/>
    <mergeCell ref="D54:I54"/>
    <mergeCell ref="A73:M73"/>
    <mergeCell ref="C75:G75"/>
    <mergeCell ref="D77:I77"/>
    <mergeCell ref="A94:M94"/>
    <mergeCell ref="A100:C100"/>
    <mergeCell ref="G100:I100"/>
    <mergeCell ref="A101:C101"/>
    <mergeCell ref="G101:I101"/>
    <mergeCell ref="E19:K46"/>
    <mergeCell ref="A2:M2"/>
    <mergeCell ref="C4:K4"/>
    <mergeCell ref="D6:K6"/>
    <mergeCell ref="A8:M8"/>
    <mergeCell ref="B12:E12"/>
    <mergeCell ref="H12:K12"/>
    <mergeCell ref="B13:E13"/>
    <mergeCell ref="H13:K13"/>
    <mergeCell ref="F15:G15"/>
    <mergeCell ref="J15:K15"/>
    <mergeCell ref="A17:M17"/>
  </mergeCells>
  <conditionalFormatting sqref="C117:M117">
    <cfRule type="cellIs" dxfId="263" priority="24" operator="greaterThanOrEqual">
      <formula>1</formula>
    </cfRule>
  </conditionalFormatting>
  <conditionalFormatting sqref="B121:M121">
    <cfRule type="cellIs" dxfId="262" priority="23" operator="greaterThanOrEqual">
      <formula>1</formula>
    </cfRule>
  </conditionalFormatting>
  <conditionalFormatting sqref="B125:M125">
    <cfRule type="cellIs" dxfId="261" priority="22" operator="greaterThanOrEqual">
      <formula>1</formula>
    </cfRule>
  </conditionalFormatting>
  <conditionalFormatting sqref="B126:M126">
    <cfRule type="cellIs" dxfId="260" priority="21" operator="greaterThanOrEqual">
      <formula>1</formula>
    </cfRule>
  </conditionalFormatting>
  <conditionalFormatting sqref="B127:M127">
    <cfRule type="cellIs" dxfId="259" priority="20" operator="greaterThanOrEqual">
      <formula>1</formula>
    </cfRule>
  </conditionalFormatting>
  <conditionalFormatting sqref="B117">
    <cfRule type="cellIs" dxfId="258" priority="19" operator="greaterThanOrEqual">
      <formula>1</formula>
    </cfRule>
  </conditionalFormatting>
  <conditionalFormatting sqref="B118:M118">
    <cfRule type="cellIs" dxfId="257" priority="18" operator="greaterThanOrEqual">
      <formula>1</formula>
    </cfRule>
  </conditionalFormatting>
  <conditionalFormatting sqref="B119:M119">
    <cfRule type="cellIs" dxfId="256" priority="17" operator="greaterThanOrEqual">
      <formula>1</formula>
    </cfRule>
  </conditionalFormatting>
  <conditionalFormatting sqref="B120:M120">
    <cfRule type="cellIs" dxfId="255" priority="16" operator="greaterThanOrEqual">
      <formula>1</formula>
    </cfRule>
  </conditionalFormatting>
  <conditionalFormatting sqref="B122:M122">
    <cfRule type="cellIs" dxfId="254" priority="15" operator="greaterThanOrEqual">
      <formula>1</formula>
    </cfRule>
  </conditionalFormatting>
  <conditionalFormatting sqref="B124:M124">
    <cfRule type="cellIs" dxfId="253" priority="14" operator="greaterThanOrEqual">
      <formula>1</formula>
    </cfRule>
  </conditionalFormatting>
  <conditionalFormatting sqref="B123:M123">
    <cfRule type="cellIs" dxfId="252" priority="13" operator="greaterThanOrEqual">
      <formula>1</formula>
    </cfRule>
  </conditionalFormatting>
  <conditionalFormatting sqref="C132:M132">
    <cfRule type="cellIs" dxfId="251" priority="12" operator="greaterThanOrEqual">
      <formula>1</formula>
    </cfRule>
  </conditionalFormatting>
  <conditionalFormatting sqref="B136:M136">
    <cfRule type="cellIs" dxfId="250" priority="11" operator="greaterThanOrEqual">
      <formula>1</formula>
    </cfRule>
  </conditionalFormatting>
  <conditionalFormatting sqref="B140:M140">
    <cfRule type="cellIs" dxfId="249" priority="10" operator="greaterThanOrEqual">
      <formula>1</formula>
    </cfRule>
  </conditionalFormatting>
  <conditionalFormatting sqref="B141:M141">
    <cfRule type="cellIs" dxfId="248" priority="9" operator="greaterThanOrEqual">
      <formula>1</formula>
    </cfRule>
  </conditionalFormatting>
  <conditionalFormatting sqref="B142:M142">
    <cfRule type="cellIs" dxfId="247" priority="8" operator="greaterThanOrEqual">
      <formula>1</formula>
    </cfRule>
  </conditionalFormatting>
  <conditionalFormatting sqref="B132">
    <cfRule type="cellIs" dxfId="246" priority="7" operator="greaterThanOrEqual">
      <formula>1</formula>
    </cfRule>
  </conditionalFormatting>
  <conditionalFormatting sqref="B133:M133">
    <cfRule type="cellIs" dxfId="245" priority="6" operator="greaterThanOrEqual">
      <formula>1</formula>
    </cfRule>
  </conditionalFormatting>
  <conditionalFormatting sqref="B134:M134">
    <cfRule type="cellIs" dxfId="244" priority="5" operator="greaterThanOrEqual">
      <formula>1</formula>
    </cfRule>
  </conditionalFormatting>
  <conditionalFormatting sqref="B135:M135">
    <cfRule type="cellIs" dxfId="243" priority="4" operator="greaterThanOrEqual">
      <formula>1</formula>
    </cfRule>
  </conditionalFormatting>
  <conditionalFormatting sqref="B137:M137">
    <cfRule type="cellIs" dxfId="242" priority="3" operator="greaterThanOrEqual">
      <formula>1</formula>
    </cfRule>
  </conditionalFormatting>
  <conditionalFormatting sqref="B139:M139">
    <cfRule type="cellIs" dxfId="241" priority="2" operator="greaterThanOrEqual">
      <formula>1</formula>
    </cfRule>
  </conditionalFormatting>
  <conditionalFormatting sqref="B138:M138">
    <cfRule type="cellIs" dxfId="240" priority="1" operator="greaterThanOrEqual">
      <formula>1</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dimension ref="A7:AF339"/>
  <sheetViews>
    <sheetView workbookViewId="0">
      <selection sqref="A1:XFD1048576"/>
    </sheetView>
  </sheetViews>
  <sheetFormatPr baseColWidth="10" defaultRowHeight="15" x14ac:dyDescent="0.25"/>
  <cols>
    <col min="1" max="1" width="30.42578125" style="50" bestFit="1" customWidth="1"/>
    <col min="2" max="2" width="9.140625" style="50" customWidth="1"/>
    <col min="3" max="3" width="8.42578125" style="50" customWidth="1"/>
    <col min="4" max="4" width="9.140625" style="50" customWidth="1"/>
    <col min="5" max="5" width="8.85546875" style="50" customWidth="1"/>
    <col min="6" max="6" width="8.42578125" style="50" customWidth="1"/>
    <col min="7" max="7" width="9.140625" style="50" customWidth="1"/>
    <col min="8" max="9" width="8.5703125" style="50" customWidth="1"/>
    <col min="10" max="10" width="7.7109375" style="50" customWidth="1"/>
    <col min="11" max="11" width="7.5703125" style="50" customWidth="1"/>
    <col min="12" max="12" width="8" style="50" customWidth="1"/>
    <col min="13" max="13" width="8.140625" style="50" customWidth="1"/>
    <col min="14" max="14" width="8.85546875" style="50" customWidth="1"/>
    <col min="15" max="17" width="11.42578125" style="50"/>
    <col min="18" max="18" width="13.140625" style="50" customWidth="1"/>
    <col min="19" max="19" width="14.140625" style="50" customWidth="1"/>
    <col min="20" max="20" width="14" style="50" customWidth="1"/>
    <col min="21" max="256" width="11.42578125" style="50"/>
    <col min="257" max="257" width="20.5703125" style="50" customWidth="1"/>
    <col min="258" max="258" width="0" style="50" hidden="1" customWidth="1"/>
    <col min="259" max="259" width="8.42578125" style="50" customWidth="1"/>
    <col min="260" max="260" width="9.140625" style="50" customWidth="1"/>
    <col min="261" max="261" width="8.85546875" style="50" customWidth="1"/>
    <col min="262" max="262" width="8.42578125" style="50" customWidth="1"/>
    <col min="263" max="263" width="9.140625" style="50" customWidth="1"/>
    <col min="264" max="265" width="8.5703125" style="50" customWidth="1"/>
    <col min="266" max="266" width="7.7109375" style="50" customWidth="1"/>
    <col min="267" max="267" width="7.5703125" style="50" customWidth="1"/>
    <col min="268" max="268" width="8" style="50" customWidth="1"/>
    <col min="269" max="269" width="8.140625" style="50" customWidth="1"/>
    <col min="270" max="270" width="8.85546875" style="50" customWidth="1"/>
    <col min="271" max="273" width="11.42578125" style="50"/>
    <col min="274" max="274" width="13.140625" style="50" customWidth="1"/>
    <col min="275" max="275" width="14.140625" style="50" customWidth="1"/>
    <col min="276" max="276" width="14" style="50" customWidth="1"/>
    <col min="277" max="512" width="11.42578125" style="50"/>
    <col min="513" max="513" width="20.5703125" style="50" customWidth="1"/>
    <col min="514" max="514" width="0" style="50" hidden="1" customWidth="1"/>
    <col min="515" max="515" width="8.42578125" style="50" customWidth="1"/>
    <col min="516" max="516" width="9.140625" style="50" customWidth="1"/>
    <col min="517" max="517" width="8.85546875" style="50" customWidth="1"/>
    <col min="518" max="518" width="8.42578125" style="50" customWidth="1"/>
    <col min="519" max="519" width="9.140625" style="50" customWidth="1"/>
    <col min="520" max="521" width="8.5703125" style="50" customWidth="1"/>
    <col min="522" max="522" width="7.7109375" style="50" customWidth="1"/>
    <col min="523" max="523" width="7.5703125" style="50" customWidth="1"/>
    <col min="524" max="524" width="8" style="50" customWidth="1"/>
    <col min="525" max="525" width="8.140625" style="50" customWidth="1"/>
    <col min="526" max="526" width="8.85546875" style="50" customWidth="1"/>
    <col min="527" max="529" width="11.42578125" style="50"/>
    <col min="530" max="530" width="13.140625" style="50" customWidth="1"/>
    <col min="531" max="531" width="14.140625" style="50" customWidth="1"/>
    <col min="532" max="532" width="14" style="50" customWidth="1"/>
    <col min="533" max="768" width="11.42578125" style="50"/>
    <col min="769" max="769" width="20.5703125" style="50" customWidth="1"/>
    <col min="770" max="770" width="0" style="50" hidden="1" customWidth="1"/>
    <col min="771" max="771" width="8.42578125" style="50" customWidth="1"/>
    <col min="772" max="772" width="9.140625" style="50" customWidth="1"/>
    <col min="773" max="773" width="8.85546875" style="50" customWidth="1"/>
    <col min="774" max="774" width="8.42578125" style="50" customWidth="1"/>
    <col min="775" max="775" width="9.140625" style="50" customWidth="1"/>
    <col min="776" max="777" width="8.5703125" style="50" customWidth="1"/>
    <col min="778" max="778" width="7.7109375" style="50" customWidth="1"/>
    <col min="779" max="779" width="7.5703125" style="50" customWidth="1"/>
    <col min="780" max="780" width="8" style="50" customWidth="1"/>
    <col min="781" max="781" width="8.140625" style="50" customWidth="1"/>
    <col min="782" max="782" width="8.85546875" style="50" customWidth="1"/>
    <col min="783" max="785" width="11.42578125" style="50"/>
    <col min="786" max="786" width="13.140625" style="50" customWidth="1"/>
    <col min="787" max="787" width="14.140625" style="50" customWidth="1"/>
    <col min="788" max="788" width="14" style="50" customWidth="1"/>
    <col min="789" max="1024" width="11.42578125" style="50"/>
    <col min="1025" max="1025" width="20.5703125" style="50" customWidth="1"/>
    <col min="1026" max="1026" width="0" style="50" hidden="1" customWidth="1"/>
    <col min="1027" max="1027" width="8.42578125" style="50" customWidth="1"/>
    <col min="1028" max="1028" width="9.140625" style="50" customWidth="1"/>
    <col min="1029" max="1029" width="8.85546875" style="50" customWidth="1"/>
    <col min="1030" max="1030" width="8.42578125" style="50" customWidth="1"/>
    <col min="1031" max="1031" width="9.140625" style="50" customWidth="1"/>
    <col min="1032" max="1033" width="8.5703125" style="50" customWidth="1"/>
    <col min="1034" max="1034" width="7.7109375" style="50" customWidth="1"/>
    <col min="1035" max="1035" width="7.5703125" style="50" customWidth="1"/>
    <col min="1036" max="1036" width="8" style="50" customWidth="1"/>
    <col min="1037" max="1037" width="8.140625" style="50" customWidth="1"/>
    <col min="1038" max="1038" width="8.85546875" style="50" customWidth="1"/>
    <col min="1039" max="1041" width="11.42578125" style="50"/>
    <col min="1042" max="1042" width="13.140625" style="50" customWidth="1"/>
    <col min="1043" max="1043" width="14.140625" style="50" customWidth="1"/>
    <col min="1044" max="1044" width="14" style="50" customWidth="1"/>
    <col min="1045" max="1280" width="11.42578125" style="50"/>
    <col min="1281" max="1281" width="20.5703125" style="50" customWidth="1"/>
    <col min="1282" max="1282" width="0" style="50" hidden="1" customWidth="1"/>
    <col min="1283" max="1283" width="8.42578125" style="50" customWidth="1"/>
    <col min="1284" max="1284" width="9.140625" style="50" customWidth="1"/>
    <col min="1285" max="1285" width="8.85546875" style="50" customWidth="1"/>
    <col min="1286" max="1286" width="8.42578125" style="50" customWidth="1"/>
    <col min="1287" max="1287" width="9.140625" style="50" customWidth="1"/>
    <col min="1288" max="1289" width="8.5703125" style="50" customWidth="1"/>
    <col min="1290" max="1290" width="7.7109375" style="50" customWidth="1"/>
    <col min="1291" max="1291" width="7.5703125" style="50" customWidth="1"/>
    <col min="1292" max="1292" width="8" style="50" customWidth="1"/>
    <col min="1293" max="1293" width="8.140625" style="50" customWidth="1"/>
    <col min="1294" max="1294" width="8.85546875" style="50" customWidth="1"/>
    <col min="1295" max="1297" width="11.42578125" style="50"/>
    <col min="1298" max="1298" width="13.140625" style="50" customWidth="1"/>
    <col min="1299" max="1299" width="14.140625" style="50" customWidth="1"/>
    <col min="1300" max="1300" width="14" style="50" customWidth="1"/>
    <col min="1301" max="1536" width="11.42578125" style="50"/>
    <col min="1537" max="1537" width="20.5703125" style="50" customWidth="1"/>
    <col min="1538" max="1538" width="0" style="50" hidden="1" customWidth="1"/>
    <col min="1539" max="1539" width="8.42578125" style="50" customWidth="1"/>
    <col min="1540" max="1540" width="9.140625" style="50" customWidth="1"/>
    <col min="1541" max="1541" width="8.85546875" style="50" customWidth="1"/>
    <col min="1542" max="1542" width="8.42578125" style="50" customWidth="1"/>
    <col min="1543" max="1543" width="9.140625" style="50" customWidth="1"/>
    <col min="1544" max="1545" width="8.5703125" style="50" customWidth="1"/>
    <col min="1546" max="1546" width="7.7109375" style="50" customWidth="1"/>
    <col min="1547" max="1547" width="7.5703125" style="50" customWidth="1"/>
    <col min="1548" max="1548" width="8" style="50" customWidth="1"/>
    <col min="1549" max="1549" width="8.140625" style="50" customWidth="1"/>
    <col min="1550" max="1550" width="8.85546875" style="50" customWidth="1"/>
    <col min="1551" max="1553" width="11.42578125" style="50"/>
    <col min="1554" max="1554" width="13.140625" style="50" customWidth="1"/>
    <col min="1555" max="1555" width="14.140625" style="50" customWidth="1"/>
    <col min="1556" max="1556" width="14" style="50" customWidth="1"/>
    <col min="1557" max="1792" width="11.42578125" style="50"/>
    <col min="1793" max="1793" width="20.5703125" style="50" customWidth="1"/>
    <col min="1794" max="1794" width="0" style="50" hidden="1" customWidth="1"/>
    <col min="1795" max="1795" width="8.42578125" style="50" customWidth="1"/>
    <col min="1796" max="1796" width="9.140625" style="50" customWidth="1"/>
    <col min="1797" max="1797" width="8.85546875" style="50" customWidth="1"/>
    <col min="1798" max="1798" width="8.42578125" style="50" customWidth="1"/>
    <col min="1799" max="1799" width="9.140625" style="50" customWidth="1"/>
    <col min="1800" max="1801" width="8.5703125" style="50" customWidth="1"/>
    <col min="1802" max="1802" width="7.7109375" style="50" customWidth="1"/>
    <col min="1803" max="1803" width="7.5703125" style="50" customWidth="1"/>
    <col min="1804" max="1804" width="8" style="50" customWidth="1"/>
    <col min="1805" max="1805" width="8.140625" style="50" customWidth="1"/>
    <col min="1806" max="1806" width="8.85546875" style="50" customWidth="1"/>
    <col min="1807" max="1809" width="11.42578125" style="50"/>
    <col min="1810" max="1810" width="13.140625" style="50" customWidth="1"/>
    <col min="1811" max="1811" width="14.140625" style="50" customWidth="1"/>
    <col min="1812" max="1812" width="14" style="50" customWidth="1"/>
    <col min="1813" max="2048" width="11.42578125" style="50"/>
    <col min="2049" max="2049" width="20.5703125" style="50" customWidth="1"/>
    <col min="2050" max="2050" width="0" style="50" hidden="1" customWidth="1"/>
    <col min="2051" max="2051" width="8.42578125" style="50" customWidth="1"/>
    <col min="2052" max="2052" width="9.140625" style="50" customWidth="1"/>
    <col min="2053" max="2053" width="8.85546875" style="50" customWidth="1"/>
    <col min="2054" max="2054" width="8.42578125" style="50" customWidth="1"/>
    <col min="2055" max="2055" width="9.140625" style="50" customWidth="1"/>
    <col min="2056" max="2057" width="8.5703125" style="50" customWidth="1"/>
    <col min="2058" max="2058" width="7.7109375" style="50" customWidth="1"/>
    <col min="2059" max="2059" width="7.5703125" style="50" customWidth="1"/>
    <col min="2060" max="2060" width="8" style="50" customWidth="1"/>
    <col min="2061" max="2061" width="8.140625" style="50" customWidth="1"/>
    <col min="2062" max="2062" width="8.85546875" style="50" customWidth="1"/>
    <col min="2063" max="2065" width="11.42578125" style="50"/>
    <col min="2066" max="2066" width="13.140625" style="50" customWidth="1"/>
    <col min="2067" max="2067" width="14.140625" style="50" customWidth="1"/>
    <col min="2068" max="2068" width="14" style="50" customWidth="1"/>
    <col min="2069" max="2304" width="11.42578125" style="50"/>
    <col min="2305" max="2305" width="20.5703125" style="50" customWidth="1"/>
    <col min="2306" max="2306" width="0" style="50" hidden="1" customWidth="1"/>
    <col min="2307" max="2307" width="8.42578125" style="50" customWidth="1"/>
    <col min="2308" max="2308" width="9.140625" style="50" customWidth="1"/>
    <col min="2309" max="2309" width="8.85546875" style="50" customWidth="1"/>
    <col min="2310" max="2310" width="8.42578125" style="50" customWidth="1"/>
    <col min="2311" max="2311" width="9.140625" style="50" customWidth="1"/>
    <col min="2312" max="2313" width="8.5703125" style="50" customWidth="1"/>
    <col min="2314" max="2314" width="7.7109375" style="50" customWidth="1"/>
    <col min="2315" max="2315" width="7.5703125" style="50" customWidth="1"/>
    <col min="2316" max="2316" width="8" style="50" customWidth="1"/>
    <col min="2317" max="2317" width="8.140625" style="50" customWidth="1"/>
    <col min="2318" max="2318" width="8.85546875" style="50" customWidth="1"/>
    <col min="2319" max="2321" width="11.42578125" style="50"/>
    <col min="2322" max="2322" width="13.140625" style="50" customWidth="1"/>
    <col min="2323" max="2323" width="14.140625" style="50" customWidth="1"/>
    <col min="2324" max="2324" width="14" style="50" customWidth="1"/>
    <col min="2325" max="2560" width="11.42578125" style="50"/>
    <col min="2561" max="2561" width="20.5703125" style="50" customWidth="1"/>
    <col min="2562" max="2562" width="0" style="50" hidden="1" customWidth="1"/>
    <col min="2563" max="2563" width="8.42578125" style="50" customWidth="1"/>
    <col min="2564" max="2564" width="9.140625" style="50" customWidth="1"/>
    <col min="2565" max="2565" width="8.85546875" style="50" customWidth="1"/>
    <col min="2566" max="2566" width="8.42578125" style="50" customWidth="1"/>
    <col min="2567" max="2567" width="9.140625" style="50" customWidth="1"/>
    <col min="2568" max="2569" width="8.5703125" style="50" customWidth="1"/>
    <col min="2570" max="2570" width="7.7109375" style="50" customWidth="1"/>
    <col min="2571" max="2571" width="7.5703125" style="50" customWidth="1"/>
    <col min="2572" max="2572" width="8" style="50" customWidth="1"/>
    <col min="2573" max="2573" width="8.140625" style="50" customWidth="1"/>
    <col min="2574" max="2574" width="8.85546875" style="50" customWidth="1"/>
    <col min="2575" max="2577" width="11.42578125" style="50"/>
    <col min="2578" max="2578" width="13.140625" style="50" customWidth="1"/>
    <col min="2579" max="2579" width="14.140625" style="50" customWidth="1"/>
    <col min="2580" max="2580" width="14" style="50" customWidth="1"/>
    <col min="2581" max="2816" width="11.42578125" style="50"/>
    <col min="2817" max="2817" width="20.5703125" style="50" customWidth="1"/>
    <col min="2818" max="2818" width="0" style="50" hidden="1" customWidth="1"/>
    <col min="2819" max="2819" width="8.42578125" style="50" customWidth="1"/>
    <col min="2820" max="2820" width="9.140625" style="50" customWidth="1"/>
    <col min="2821" max="2821" width="8.85546875" style="50" customWidth="1"/>
    <col min="2822" max="2822" width="8.42578125" style="50" customWidth="1"/>
    <col min="2823" max="2823" width="9.140625" style="50" customWidth="1"/>
    <col min="2824" max="2825" width="8.5703125" style="50" customWidth="1"/>
    <col min="2826" max="2826" width="7.7109375" style="50" customWidth="1"/>
    <col min="2827" max="2827" width="7.5703125" style="50" customWidth="1"/>
    <col min="2828" max="2828" width="8" style="50" customWidth="1"/>
    <col min="2829" max="2829" width="8.140625" style="50" customWidth="1"/>
    <col min="2830" max="2830" width="8.85546875" style="50" customWidth="1"/>
    <col min="2831" max="2833" width="11.42578125" style="50"/>
    <col min="2834" max="2834" width="13.140625" style="50" customWidth="1"/>
    <col min="2835" max="2835" width="14.140625" style="50" customWidth="1"/>
    <col min="2836" max="2836" width="14" style="50" customWidth="1"/>
    <col min="2837" max="3072" width="11.42578125" style="50"/>
    <col min="3073" max="3073" width="20.5703125" style="50" customWidth="1"/>
    <col min="3074" max="3074" width="0" style="50" hidden="1" customWidth="1"/>
    <col min="3075" max="3075" width="8.42578125" style="50" customWidth="1"/>
    <col min="3076" max="3076" width="9.140625" style="50" customWidth="1"/>
    <col min="3077" max="3077" width="8.85546875" style="50" customWidth="1"/>
    <col min="3078" max="3078" width="8.42578125" style="50" customWidth="1"/>
    <col min="3079" max="3079" width="9.140625" style="50" customWidth="1"/>
    <col min="3080" max="3081" width="8.5703125" style="50" customWidth="1"/>
    <col min="3082" max="3082" width="7.7109375" style="50" customWidth="1"/>
    <col min="3083" max="3083" width="7.5703125" style="50" customWidth="1"/>
    <col min="3084" max="3084" width="8" style="50" customWidth="1"/>
    <col min="3085" max="3085" width="8.140625" style="50" customWidth="1"/>
    <col min="3086" max="3086" width="8.85546875" style="50" customWidth="1"/>
    <col min="3087" max="3089" width="11.42578125" style="50"/>
    <col min="3090" max="3090" width="13.140625" style="50" customWidth="1"/>
    <col min="3091" max="3091" width="14.140625" style="50" customWidth="1"/>
    <col min="3092" max="3092" width="14" style="50" customWidth="1"/>
    <col min="3093" max="3328" width="11.42578125" style="50"/>
    <col min="3329" max="3329" width="20.5703125" style="50" customWidth="1"/>
    <col min="3330" max="3330" width="0" style="50" hidden="1" customWidth="1"/>
    <col min="3331" max="3331" width="8.42578125" style="50" customWidth="1"/>
    <col min="3332" max="3332" width="9.140625" style="50" customWidth="1"/>
    <col min="3333" max="3333" width="8.85546875" style="50" customWidth="1"/>
    <col min="3334" max="3334" width="8.42578125" style="50" customWidth="1"/>
    <col min="3335" max="3335" width="9.140625" style="50" customWidth="1"/>
    <col min="3336" max="3337" width="8.5703125" style="50" customWidth="1"/>
    <col min="3338" max="3338" width="7.7109375" style="50" customWidth="1"/>
    <col min="3339" max="3339" width="7.5703125" style="50" customWidth="1"/>
    <col min="3340" max="3340" width="8" style="50" customWidth="1"/>
    <col min="3341" max="3341" width="8.140625" style="50" customWidth="1"/>
    <col min="3342" max="3342" width="8.85546875" style="50" customWidth="1"/>
    <col min="3343" max="3345" width="11.42578125" style="50"/>
    <col min="3346" max="3346" width="13.140625" style="50" customWidth="1"/>
    <col min="3347" max="3347" width="14.140625" style="50" customWidth="1"/>
    <col min="3348" max="3348" width="14" style="50" customWidth="1"/>
    <col min="3349" max="3584" width="11.42578125" style="50"/>
    <col min="3585" max="3585" width="20.5703125" style="50" customWidth="1"/>
    <col min="3586" max="3586" width="0" style="50" hidden="1" customWidth="1"/>
    <col min="3587" max="3587" width="8.42578125" style="50" customWidth="1"/>
    <col min="3588" max="3588" width="9.140625" style="50" customWidth="1"/>
    <col min="3589" max="3589" width="8.85546875" style="50" customWidth="1"/>
    <col min="3590" max="3590" width="8.42578125" style="50" customWidth="1"/>
    <col min="3591" max="3591" width="9.140625" style="50" customWidth="1"/>
    <col min="3592" max="3593" width="8.5703125" style="50" customWidth="1"/>
    <col min="3594" max="3594" width="7.7109375" style="50" customWidth="1"/>
    <col min="3595" max="3595" width="7.5703125" style="50" customWidth="1"/>
    <col min="3596" max="3596" width="8" style="50" customWidth="1"/>
    <col min="3597" max="3597" width="8.140625" style="50" customWidth="1"/>
    <col min="3598" max="3598" width="8.85546875" style="50" customWidth="1"/>
    <col min="3599" max="3601" width="11.42578125" style="50"/>
    <col min="3602" max="3602" width="13.140625" style="50" customWidth="1"/>
    <col min="3603" max="3603" width="14.140625" style="50" customWidth="1"/>
    <col min="3604" max="3604" width="14" style="50" customWidth="1"/>
    <col min="3605" max="3840" width="11.42578125" style="50"/>
    <col min="3841" max="3841" width="20.5703125" style="50" customWidth="1"/>
    <col min="3842" max="3842" width="0" style="50" hidden="1" customWidth="1"/>
    <col min="3843" max="3843" width="8.42578125" style="50" customWidth="1"/>
    <col min="3844" max="3844" width="9.140625" style="50" customWidth="1"/>
    <col min="3845" max="3845" width="8.85546875" style="50" customWidth="1"/>
    <col min="3846" max="3846" width="8.42578125" style="50" customWidth="1"/>
    <col min="3847" max="3847" width="9.140625" style="50" customWidth="1"/>
    <col min="3848" max="3849" width="8.5703125" style="50" customWidth="1"/>
    <col min="3850" max="3850" width="7.7109375" style="50" customWidth="1"/>
    <col min="3851" max="3851" width="7.5703125" style="50" customWidth="1"/>
    <col min="3852" max="3852" width="8" style="50" customWidth="1"/>
    <col min="3853" max="3853" width="8.140625" style="50" customWidth="1"/>
    <col min="3854" max="3854" width="8.85546875" style="50" customWidth="1"/>
    <col min="3855" max="3857" width="11.42578125" style="50"/>
    <col min="3858" max="3858" width="13.140625" style="50" customWidth="1"/>
    <col min="3859" max="3859" width="14.140625" style="50" customWidth="1"/>
    <col min="3860" max="3860" width="14" style="50" customWidth="1"/>
    <col min="3861" max="4096" width="11.42578125" style="50"/>
    <col min="4097" max="4097" width="20.5703125" style="50" customWidth="1"/>
    <col min="4098" max="4098" width="0" style="50" hidden="1" customWidth="1"/>
    <col min="4099" max="4099" width="8.42578125" style="50" customWidth="1"/>
    <col min="4100" max="4100" width="9.140625" style="50" customWidth="1"/>
    <col min="4101" max="4101" width="8.85546875" style="50" customWidth="1"/>
    <col min="4102" max="4102" width="8.42578125" style="50" customWidth="1"/>
    <col min="4103" max="4103" width="9.140625" style="50" customWidth="1"/>
    <col min="4104" max="4105" width="8.5703125" style="50" customWidth="1"/>
    <col min="4106" max="4106" width="7.7109375" style="50" customWidth="1"/>
    <col min="4107" max="4107" width="7.5703125" style="50" customWidth="1"/>
    <col min="4108" max="4108" width="8" style="50" customWidth="1"/>
    <col min="4109" max="4109" width="8.140625" style="50" customWidth="1"/>
    <col min="4110" max="4110" width="8.85546875" style="50" customWidth="1"/>
    <col min="4111" max="4113" width="11.42578125" style="50"/>
    <col min="4114" max="4114" width="13.140625" style="50" customWidth="1"/>
    <col min="4115" max="4115" width="14.140625" style="50" customWidth="1"/>
    <col min="4116" max="4116" width="14" style="50" customWidth="1"/>
    <col min="4117" max="4352" width="11.42578125" style="50"/>
    <col min="4353" max="4353" width="20.5703125" style="50" customWidth="1"/>
    <col min="4354" max="4354" width="0" style="50" hidden="1" customWidth="1"/>
    <col min="4355" max="4355" width="8.42578125" style="50" customWidth="1"/>
    <col min="4356" max="4356" width="9.140625" style="50" customWidth="1"/>
    <col min="4357" max="4357" width="8.85546875" style="50" customWidth="1"/>
    <col min="4358" max="4358" width="8.42578125" style="50" customWidth="1"/>
    <col min="4359" max="4359" width="9.140625" style="50" customWidth="1"/>
    <col min="4360" max="4361" width="8.5703125" style="50" customWidth="1"/>
    <col min="4362" max="4362" width="7.7109375" style="50" customWidth="1"/>
    <col min="4363" max="4363" width="7.5703125" style="50" customWidth="1"/>
    <col min="4364" max="4364" width="8" style="50" customWidth="1"/>
    <col min="4365" max="4365" width="8.140625" style="50" customWidth="1"/>
    <col min="4366" max="4366" width="8.85546875" style="50" customWidth="1"/>
    <col min="4367" max="4369" width="11.42578125" style="50"/>
    <col min="4370" max="4370" width="13.140625" style="50" customWidth="1"/>
    <col min="4371" max="4371" width="14.140625" style="50" customWidth="1"/>
    <col min="4372" max="4372" width="14" style="50" customWidth="1"/>
    <col min="4373" max="4608" width="11.42578125" style="50"/>
    <col min="4609" max="4609" width="20.5703125" style="50" customWidth="1"/>
    <col min="4610" max="4610" width="0" style="50" hidden="1" customWidth="1"/>
    <col min="4611" max="4611" width="8.42578125" style="50" customWidth="1"/>
    <col min="4612" max="4612" width="9.140625" style="50" customWidth="1"/>
    <col min="4613" max="4613" width="8.85546875" style="50" customWidth="1"/>
    <col min="4614" max="4614" width="8.42578125" style="50" customWidth="1"/>
    <col min="4615" max="4615" width="9.140625" style="50" customWidth="1"/>
    <col min="4616" max="4617" width="8.5703125" style="50" customWidth="1"/>
    <col min="4618" max="4618" width="7.7109375" style="50" customWidth="1"/>
    <col min="4619" max="4619" width="7.5703125" style="50" customWidth="1"/>
    <col min="4620" max="4620" width="8" style="50" customWidth="1"/>
    <col min="4621" max="4621" width="8.140625" style="50" customWidth="1"/>
    <col min="4622" max="4622" width="8.85546875" style="50" customWidth="1"/>
    <col min="4623" max="4625" width="11.42578125" style="50"/>
    <col min="4626" max="4626" width="13.140625" style="50" customWidth="1"/>
    <col min="4627" max="4627" width="14.140625" style="50" customWidth="1"/>
    <col min="4628" max="4628" width="14" style="50" customWidth="1"/>
    <col min="4629" max="4864" width="11.42578125" style="50"/>
    <col min="4865" max="4865" width="20.5703125" style="50" customWidth="1"/>
    <col min="4866" max="4866" width="0" style="50" hidden="1" customWidth="1"/>
    <col min="4867" max="4867" width="8.42578125" style="50" customWidth="1"/>
    <col min="4868" max="4868" width="9.140625" style="50" customWidth="1"/>
    <col min="4869" max="4869" width="8.85546875" style="50" customWidth="1"/>
    <col min="4870" max="4870" width="8.42578125" style="50" customWidth="1"/>
    <col min="4871" max="4871" width="9.140625" style="50" customWidth="1"/>
    <col min="4872" max="4873" width="8.5703125" style="50" customWidth="1"/>
    <col min="4874" max="4874" width="7.7109375" style="50" customWidth="1"/>
    <col min="4875" max="4875" width="7.5703125" style="50" customWidth="1"/>
    <col min="4876" max="4876" width="8" style="50" customWidth="1"/>
    <col min="4877" max="4877" width="8.140625" style="50" customWidth="1"/>
    <col min="4878" max="4878" width="8.85546875" style="50" customWidth="1"/>
    <col min="4879" max="4881" width="11.42578125" style="50"/>
    <col min="4882" max="4882" width="13.140625" style="50" customWidth="1"/>
    <col min="4883" max="4883" width="14.140625" style="50" customWidth="1"/>
    <col min="4884" max="4884" width="14" style="50" customWidth="1"/>
    <col min="4885" max="5120" width="11.42578125" style="50"/>
    <col min="5121" max="5121" width="20.5703125" style="50" customWidth="1"/>
    <col min="5122" max="5122" width="0" style="50" hidden="1" customWidth="1"/>
    <col min="5123" max="5123" width="8.42578125" style="50" customWidth="1"/>
    <col min="5124" max="5124" width="9.140625" style="50" customWidth="1"/>
    <col min="5125" max="5125" width="8.85546875" style="50" customWidth="1"/>
    <col min="5126" max="5126" width="8.42578125" style="50" customWidth="1"/>
    <col min="5127" max="5127" width="9.140625" style="50" customWidth="1"/>
    <col min="5128" max="5129" width="8.5703125" style="50" customWidth="1"/>
    <col min="5130" max="5130" width="7.7109375" style="50" customWidth="1"/>
    <col min="5131" max="5131" width="7.5703125" style="50" customWidth="1"/>
    <col min="5132" max="5132" width="8" style="50" customWidth="1"/>
    <col min="5133" max="5133" width="8.140625" style="50" customWidth="1"/>
    <col min="5134" max="5134" width="8.85546875" style="50" customWidth="1"/>
    <col min="5135" max="5137" width="11.42578125" style="50"/>
    <col min="5138" max="5138" width="13.140625" style="50" customWidth="1"/>
    <col min="5139" max="5139" width="14.140625" style="50" customWidth="1"/>
    <col min="5140" max="5140" width="14" style="50" customWidth="1"/>
    <col min="5141" max="5376" width="11.42578125" style="50"/>
    <col min="5377" max="5377" width="20.5703125" style="50" customWidth="1"/>
    <col min="5378" max="5378" width="0" style="50" hidden="1" customWidth="1"/>
    <col min="5379" max="5379" width="8.42578125" style="50" customWidth="1"/>
    <col min="5380" max="5380" width="9.140625" style="50" customWidth="1"/>
    <col min="5381" max="5381" width="8.85546875" style="50" customWidth="1"/>
    <col min="5382" max="5382" width="8.42578125" style="50" customWidth="1"/>
    <col min="5383" max="5383" width="9.140625" style="50" customWidth="1"/>
    <col min="5384" max="5385" width="8.5703125" style="50" customWidth="1"/>
    <col min="5386" max="5386" width="7.7109375" style="50" customWidth="1"/>
    <col min="5387" max="5387" width="7.5703125" style="50" customWidth="1"/>
    <col min="5388" max="5388" width="8" style="50" customWidth="1"/>
    <col min="5389" max="5389" width="8.140625" style="50" customWidth="1"/>
    <col min="5390" max="5390" width="8.85546875" style="50" customWidth="1"/>
    <col min="5391" max="5393" width="11.42578125" style="50"/>
    <col min="5394" max="5394" width="13.140625" style="50" customWidth="1"/>
    <col min="5395" max="5395" width="14.140625" style="50" customWidth="1"/>
    <col min="5396" max="5396" width="14" style="50" customWidth="1"/>
    <col min="5397" max="5632" width="11.42578125" style="50"/>
    <col min="5633" max="5633" width="20.5703125" style="50" customWidth="1"/>
    <col min="5634" max="5634" width="0" style="50" hidden="1" customWidth="1"/>
    <col min="5635" max="5635" width="8.42578125" style="50" customWidth="1"/>
    <col min="5636" max="5636" width="9.140625" style="50" customWidth="1"/>
    <col min="5637" max="5637" width="8.85546875" style="50" customWidth="1"/>
    <col min="5638" max="5638" width="8.42578125" style="50" customWidth="1"/>
    <col min="5639" max="5639" width="9.140625" style="50" customWidth="1"/>
    <col min="5640" max="5641" width="8.5703125" style="50" customWidth="1"/>
    <col min="5642" max="5642" width="7.7109375" style="50" customWidth="1"/>
    <col min="5643" max="5643" width="7.5703125" style="50" customWidth="1"/>
    <col min="5644" max="5644" width="8" style="50" customWidth="1"/>
    <col min="5645" max="5645" width="8.140625" style="50" customWidth="1"/>
    <col min="5646" max="5646" width="8.85546875" style="50" customWidth="1"/>
    <col min="5647" max="5649" width="11.42578125" style="50"/>
    <col min="5650" max="5650" width="13.140625" style="50" customWidth="1"/>
    <col min="5651" max="5651" width="14.140625" style="50" customWidth="1"/>
    <col min="5652" max="5652" width="14" style="50" customWidth="1"/>
    <col min="5653" max="5888" width="11.42578125" style="50"/>
    <col min="5889" max="5889" width="20.5703125" style="50" customWidth="1"/>
    <col min="5890" max="5890" width="0" style="50" hidden="1" customWidth="1"/>
    <col min="5891" max="5891" width="8.42578125" style="50" customWidth="1"/>
    <col min="5892" max="5892" width="9.140625" style="50" customWidth="1"/>
    <col min="5893" max="5893" width="8.85546875" style="50" customWidth="1"/>
    <col min="5894" max="5894" width="8.42578125" style="50" customWidth="1"/>
    <col min="5895" max="5895" width="9.140625" style="50" customWidth="1"/>
    <col min="5896" max="5897" width="8.5703125" style="50" customWidth="1"/>
    <col min="5898" max="5898" width="7.7109375" style="50" customWidth="1"/>
    <col min="5899" max="5899" width="7.5703125" style="50" customWidth="1"/>
    <col min="5900" max="5900" width="8" style="50" customWidth="1"/>
    <col min="5901" max="5901" width="8.140625" style="50" customWidth="1"/>
    <col min="5902" max="5902" width="8.85546875" style="50" customWidth="1"/>
    <col min="5903" max="5905" width="11.42578125" style="50"/>
    <col min="5906" max="5906" width="13.140625" style="50" customWidth="1"/>
    <col min="5907" max="5907" width="14.140625" style="50" customWidth="1"/>
    <col min="5908" max="5908" width="14" style="50" customWidth="1"/>
    <col min="5909" max="6144" width="11.42578125" style="50"/>
    <col min="6145" max="6145" width="20.5703125" style="50" customWidth="1"/>
    <col min="6146" max="6146" width="0" style="50" hidden="1" customWidth="1"/>
    <col min="6147" max="6147" width="8.42578125" style="50" customWidth="1"/>
    <col min="6148" max="6148" width="9.140625" style="50" customWidth="1"/>
    <col min="6149" max="6149" width="8.85546875" style="50" customWidth="1"/>
    <col min="6150" max="6150" width="8.42578125" style="50" customWidth="1"/>
    <col min="6151" max="6151" width="9.140625" style="50" customWidth="1"/>
    <col min="6152" max="6153" width="8.5703125" style="50" customWidth="1"/>
    <col min="6154" max="6154" width="7.7109375" style="50" customWidth="1"/>
    <col min="6155" max="6155" width="7.5703125" style="50" customWidth="1"/>
    <col min="6156" max="6156" width="8" style="50" customWidth="1"/>
    <col min="6157" max="6157" width="8.140625" style="50" customWidth="1"/>
    <col min="6158" max="6158" width="8.85546875" style="50" customWidth="1"/>
    <col min="6159" max="6161" width="11.42578125" style="50"/>
    <col min="6162" max="6162" width="13.140625" style="50" customWidth="1"/>
    <col min="6163" max="6163" width="14.140625" style="50" customWidth="1"/>
    <col min="6164" max="6164" width="14" style="50" customWidth="1"/>
    <col min="6165" max="6400" width="11.42578125" style="50"/>
    <col min="6401" max="6401" width="20.5703125" style="50" customWidth="1"/>
    <col min="6402" max="6402" width="0" style="50" hidden="1" customWidth="1"/>
    <col min="6403" max="6403" width="8.42578125" style="50" customWidth="1"/>
    <col min="6404" max="6404" width="9.140625" style="50" customWidth="1"/>
    <col min="6405" max="6405" width="8.85546875" style="50" customWidth="1"/>
    <col min="6406" max="6406" width="8.42578125" style="50" customWidth="1"/>
    <col min="6407" max="6407" width="9.140625" style="50" customWidth="1"/>
    <col min="6408" max="6409" width="8.5703125" style="50" customWidth="1"/>
    <col min="6410" max="6410" width="7.7109375" style="50" customWidth="1"/>
    <col min="6411" max="6411" width="7.5703125" style="50" customWidth="1"/>
    <col min="6412" max="6412" width="8" style="50" customWidth="1"/>
    <col min="6413" max="6413" width="8.140625" style="50" customWidth="1"/>
    <col min="6414" max="6414" width="8.85546875" style="50" customWidth="1"/>
    <col min="6415" max="6417" width="11.42578125" style="50"/>
    <col min="6418" max="6418" width="13.140625" style="50" customWidth="1"/>
    <col min="6419" max="6419" width="14.140625" style="50" customWidth="1"/>
    <col min="6420" max="6420" width="14" style="50" customWidth="1"/>
    <col min="6421" max="6656" width="11.42578125" style="50"/>
    <col min="6657" max="6657" width="20.5703125" style="50" customWidth="1"/>
    <col min="6658" max="6658" width="0" style="50" hidden="1" customWidth="1"/>
    <col min="6659" max="6659" width="8.42578125" style="50" customWidth="1"/>
    <col min="6660" max="6660" width="9.140625" style="50" customWidth="1"/>
    <col min="6661" max="6661" width="8.85546875" style="50" customWidth="1"/>
    <col min="6662" max="6662" width="8.42578125" style="50" customWidth="1"/>
    <col min="6663" max="6663" width="9.140625" style="50" customWidth="1"/>
    <col min="6664" max="6665" width="8.5703125" style="50" customWidth="1"/>
    <col min="6666" max="6666" width="7.7109375" style="50" customWidth="1"/>
    <col min="6667" max="6667" width="7.5703125" style="50" customWidth="1"/>
    <col min="6668" max="6668" width="8" style="50" customWidth="1"/>
    <col min="6669" max="6669" width="8.140625" style="50" customWidth="1"/>
    <col min="6670" max="6670" width="8.85546875" style="50" customWidth="1"/>
    <col min="6671" max="6673" width="11.42578125" style="50"/>
    <col min="6674" max="6674" width="13.140625" style="50" customWidth="1"/>
    <col min="6675" max="6675" width="14.140625" style="50" customWidth="1"/>
    <col min="6676" max="6676" width="14" style="50" customWidth="1"/>
    <col min="6677" max="6912" width="11.42578125" style="50"/>
    <col min="6913" max="6913" width="20.5703125" style="50" customWidth="1"/>
    <col min="6914" max="6914" width="0" style="50" hidden="1" customWidth="1"/>
    <col min="6915" max="6915" width="8.42578125" style="50" customWidth="1"/>
    <col min="6916" max="6916" width="9.140625" style="50" customWidth="1"/>
    <col min="6917" max="6917" width="8.85546875" style="50" customWidth="1"/>
    <col min="6918" max="6918" width="8.42578125" style="50" customWidth="1"/>
    <col min="6919" max="6919" width="9.140625" style="50" customWidth="1"/>
    <col min="6920" max="6921" width="8.5703125" style="50" customWidth="1"/>
    <col min="6922" max="6922" width="7.7109375" style="50" customWidth="1"/>
    <col min="6923" max="6923" width="7.5703125" style="50" customWidth="1"/>
    <col min="6924" max="6924" width="8" style="50" customWidth="1"/>
    <col min="6925" max="6925" width="8.140625" style="50" customWidth="1"/>
    <col min="6926" max="6926" width="8.85546875" style="50" customWidth="1"/>
    <col min="6927" max="6929" width="11.42578125" style="50"/>
    <col min="6930" max="6930" width="13.140625" style="50" customWidth="1"/>
    <col min="6931" max="6931" width="14.140625" style="50" customWidth="1"/>
    <col min="6932" max="6932" width="14" style="50" customWidth="1"/>
    <col min="6933" max="7168" width="11.42578125" style="50"/>
    <col min="7169" max="7169" width="20.5703125" style="50" customWidth="1"/>
    <col min="7170" max="7170" width="0" style="50" hidden="1" customWidth="1"/>
    <col min="7171" max="7171" width="8.42578125" style="50" customWidth="1"/>
    <col min="7172" max="7172" width="9.140625" style="50" customWidth="1"/>
    <col min="7173" max="7173" width="8.85546875" style="50" customWidth="1"/>
    <col min="7174" max="7174" width="8.42578125" style="50" customWidth="1"/>
    <col min="7175" max="7175" width="9.140625" style="50" customWidth="1"/>
    <col min="7176" max="7177" width="8.5703125" style="50" customWidth="1"/>
    <col min="7178" max="7178" width="7.7109375" style="50" customWidth="1"/>
    <col min="7179" max="7179" width="7.5703125" style="50" customWidth="1"/>
    <col min="7180" max="7180" width="8" style="50" customWidth="1"/>
    <col min="7181" max="7181" width="8.140625" style="50" customWidth="1"/>
    <col min="7182" max="7182" width="8.85546875" style="50" customWidth="1"/>
    <col min="7183" max="7185" width="11.42578125" style="50"/>
    <col min="7186" max="7186" width="13.140625" style="50" customWidth="1"/>
    <col min="7187" max="7187" width="14.140625" style="50" customWidth="1"/>
    <col min="7188" max="7188" width="14" style="50" customWidth="1"/>
    <col min="7189" max="7424" width="11.42578125" style="50"/>
    <col min="7425" max="7425" width="20.5703125" style="50" customWidth="1"/>
    <col min="7426" max="7426" width="0" style="50" hidden="1" customWidth="1"/>
    <col min="7427" max="7427" width="8.42578125" style="50" customWidth="1"/>
    <col min="7428" max="7428" width="9.140625" style="50" customWidth="1"/>
    <col min="7429" max="7429" width="8.85546875" style="50" customWidth="1"/>
    <col min="7430" max="7430" width="8.42578125" style="50" customWidth="1"/>
    <col min="7431" max="7431" width="9.140625" style="50" customWidth="1"/>
    <col min="7432" max="7433" width="8.5703125" style="50" customWidth="1"/>
    <col min="7434" max="7434" width="7.7109375" style="50" customWidth="1"/>
    <col min="7435" max="7435" width="7.5703125" style="50" customWidth="1"/>
    <col min="7436" max="7436" width="8" style="50" customWidth="1"/>
    <col min="7437" max="7437" width="8.140625" style="50" customWidth="1"/>
    <col min="7438" max="7438" width="8.85546875" style="50" customWidth="1"/>
    <col min="7439" max="7441" width="11.42578125" style="50"/>
    <col min="7442" max="7442" width="13.140625" style="50" customWidth="1"/>
    <col min="7443" max="7443" width="14.140625" style="50" customWidth="1"/>
    <col min="7444" max="7444" width="14" style="50" customWidth="1"/>
    <col min="7445" max="7680" width="11.42578125" style="50"/>
    <col min="7681" max="7681" width="20.5703125" style="50" customWidth="1"/>
    <col min="7682" max="7682" width="0" style="50" hidden="1" customWidth="1"/>
    <col min="7683" max="7683" width="8.42578125" style="50" customWidth="1"/>
    <col min="7684" max="7684" width="9.140625" style="50" customWidth="1"/>
    <col min="7685" max="7685" width="8.85546875" style="50" customWidth="1"/>
    <col min="7686" max="7686" width="8.42578125" style="50" customWidth="1"/>
    <col min="7687" max="7687" width="9.140625" style="50" customWidth="1"/>
    <col min="7688" max="7689" width="8.5703125" style="50" customWidth="1"/>
    <col min="7690" max="7690" width="7.7109375" style="50" customWidth="1"/>
    <col min="7691" max="7691" width="7.5703125" style="50" customWidth="1"/>
    <col min="7692" max="7692" width="8" style="50" customWidth="1"/>
    <col min="7693" max="7693" width="8.140625" style="50" customWidth="1"/>
    <col min="7694" max="7694" width="8.85546875" style="50" customWidth="1"/>
    <col min="7695" max="7697" width="11.42578125" style="50"/>
    <col min="7698" max="7698" width="13.140625" style="50" customWidth="1"/>
    <col min="7699" max="7699" width="14.140625" style="50" customWidth="1"/>
    <col min="7700" max="7700" width="14" style="50" customWidth="1"/>
    <col min="7701" max="7936" width="11.42578125" style="50"/>
    <col min="7937" max="7937" width="20.5703125" style="50" customWidth="1"/>
    <col min="7938" max="7938" width="0" style="50" hidden="1" customWidth="1"/>
    <col min="7939" max="7939" width="8.42578125" style="50" customWidth="1"/>
    <col min="7940" max="7940" width="9.140625" style="50" customWidth="1"/>
    <col min="7941" max="7941" width="8.85546875" style="50" customWidth="1"/>
    <col min="7942" max="7942" width="8.42578125" style="50" customWidth="1"/>
    <col min="7943" max="7943" width="9.140625" style="50" customWidth="1"/>
    <col min="7944" max="7945" width="8.5703125" style="50" customWidth="1"/>
    <col min="7946" max="7946" width="7.7109375" style="50" customWidth="1"/>
    <col min="7947" max="7947" width="7.5703125" style="50" customWidth="1"/>
    <col min="7948" max="7948" width="8" style="50" customWidth="1"/>
    <col min="7949" max="7949" width="8.140625" style="50" customWidth="1"/>
    <col min="7950" max="7950" width="8.85546875" style="50" customWidth="1"/>
    <col min="7951" max="7953" width="11.42578125" style="50"/>
    <col min="7954" max="7954" width="13.140625" style="50" customWidth="1"/>
    <col min="7955" max="7955" width="14.140625" style="50" customWidth="1"/>
    <col min="7956" max="7956" width="14" style="50" customWidth="1"/>
    <col min="7957" max="8192" width="11.42578125" style="50"/>
    <col min="8193" max="8193" width="20.5703125" style="50" customWidth="1"/>
    <col min="8194" max="8194" width="0" style="50" hidden="1" customWidth="1"/>
    <col min="8195" max="8195" width="8.42578125" style="50" customWidth="1"/>
    <col min="8196" max="8196" width="9.140625" style="50" customWidth="1"/>
    <col min="8197" max="8197" width="8.85546875" style="50" customWidth="1"/>
    <col min="8198" max="8198" width="8.42578125" style="50" customWidth="1"/>
    <col min="8199" max="8199" width="9.140625" style="50" customWidth="1"/>
    <col min="8200" max="8201" width="8.5703125" style="50" customWidth="1"/>
    <col min="8202" max="8202" width="7.7109375" style="50" customWidth="1"/>
    <col min="8203" max="8203" width="7.5703125" style="50" customWidth="1"/>
    <col min="8204" max="8204" width="8" style="50" customWidth="1"/>
    <col min="8205" max="8205" width="8.140625" style="50" customWidth="1"/>
    <col min="8206" max="8206" width="8.85546875" style="50" customWidth="1"/>
    <col min="8207" max="8209" width="11.42578125" style="50"/>
    <col min="8210" max="8210" width="13.140625" style="50" customWidth="1"/>
    <col min="8211" max="8211" width="14.140625" style="50" customWidth="1"/>
    <col min="8212" max="8212" width="14" style="50" customWidth="1"/>
    <col min="8213" max="8448" width="11.42578125" style="50"/>
    <col min="8449" max="8449" width="20.5703125" style="50" customWidth="1"/>
    <col min="8450" max="8450" width="0" style="50" hidden="1" customWidth="1"/>
    <col min="8451" max="8451" width="8.42578125" style="50" customWidth="1"/>
    <col min="8452" max="8452" width="9.140625" style="50" customWidth="1"/>
    <col min="8453" max="8453" width="8.85546875" style="50" customWidth="1"/>
    <col min="8454" max="8454" width="8.42578125" style="50" customWidth="1"/>
    <col min="8455" max="8455" width="9.140625" style="50" customWidth="1"/>
    <col min="8456" max="8457" width="8.5703125" style="50" customWidth="1"/>
    <col min="8458" max="8458" width="7.7109375" style="50" customWidth="1"/>
    <col min="8459" max="8459" width="7.5703125" style="50" customWidth="1"/>
    <col min="8460" max="8460" width="8" style="50" customWidth="1"/>
    <col min="8461" max="8461" width="8.140625" style="50" customWidth="1"/>
    <col min="8462" max="8462" width="8.85546875" style="50" customWidth="1"/>
    <col min="8463" max="8465" width="11.42578125" style="50"/>
    <col min="8466" max="8466" width="13.140625" style="50" customWidth="1"/>
    <col min="8467" max="8467" width="14.140625" style="50" customWidth="1"/>
    <col min="8468" max="8468" width="14" style="50" customWidth="1"/>
    <col min="8469" max="8704" width="11.42578125" style="50"/>
    <col min="8705" max="8705" width="20.5703125" style="50" customWidth="1"/>
    <col min="8706" max="8706" width="0" style="50" hidden="1" customWidth="1"/>
    <col min="8707" max="8707" width="8.42578125" style="50" customWidth="1"/>
    <col min="8708" max="8708" width="9.140625" style="50" customWidth="1"/>
    <col min="8709" max="8709" width="8.85546875" style="50" customWidth="1"/>
    <col min="8710" max="8710" width="8.42578125" style="50" customWidth="1"/>
    <col min="8711" max="8711" width="9.140625" style="50" customWidth="1"/>
    <col min="8712" max="8713" width="8.5703125" style="50" customWidth="1"/>
    <col min="8714" max="8714" width="7.7109375" style="50" customWidth="1"/>
    <col min="8715" max="8715" width="7.5703125" style="50" customWidth="1"/>
    <col min="8716" max="8716" width="8" style="50" customWidth="1"/>
    <col min="8717" max="8717" width="8.140625" style="50" customWidth="1"/>
    <col min="8718" max="8718" width="8.85546875" style="50" customWidth="1"/>
    <col min="8719" max="8721" width="11.42578125" style="50"/>
    <col min="8722" max="8722" width="13.140625" style="50" customWidth="1"/>
    <col min="8723" max="8723" width="14.140625" style="50" customWidth="1"/>
    <col min="8724" max="8724" width="14" style="50" customWidth="1"/>
    <col min="8725" max="8960" width="11.42578125" style="50"/>
    <col min="8961" max="8961" width="20.5703125" style="50" customWidth="1"/>
    <col min="8962" max="8962" width="0" style="50" hidden="1" customWidth="1"/>
    <col min="8963" max="8963" width="8.42578125" style="50" customWidth="1"/>
    <col min="8964" max="8964" width="9.140625" style="50" customWidth="1"/>
    <col min="8965" max="8965" width="8.85546875" style="50" customWidth="1"/>
    <col min="8966" max="8966" width="8.42578125" style="50" customWidth="1"/>
    <col min="8967" max="8967" width="9.140625" style="50" customWidth="1"/>
    <col min="8968" max="8969" width="8.5703125" style="50" customWidth="1"/>
    <col min="8970" max="8970" width="7.7109375" style="50" customWidth="1"/>
    <col min="8971" max="8971" width="7.5703125" style="50" customWidth="1"/>
    <col min="8972" max="8972" width="8" style="50" customWidth="1"/>
    <col min="8973" max="8973" width="8.140625" style="50" customWidth="1"/>
    <col min="8974" max="8974" width="8.85546875" style="50" customWidth="1"/>
    <col min="8975" max="8977" width="11.42578125" style="50"/>
    <col min="8978" max="8978" width="13.140625" style="50" customWidth="1"/>
    <col min="8979" max="8979" width="14.140625" style="50" customWidth="1"/>
    <col min="8980" max="8980" width="14" style="50" customWidth="1"/>
    <col min="8981" max="9216" width="11.42578125" style="50"/>
    <col min="9217" max="9217" width="20.5703125" style="50" customWidth="1"/>
    <col min="9218" max="9218" width="0" style="50" hidden="1" customWidth="1"/>
    <col min="9219" max="9219" width="8.42578125" style="50" customWidth="1"/>
    <col min="9220" max="9220" width="9.140625" style="50" customWidth="1"/>
    <col min="9221" max="9221" width="8.85546875" style="50" customWidth="1"/>
    <col min="9222" max="9222" width="8.42578125" style="50" customWidth="1"/>
    <col min="9223" max="9223" width="9.140625" style="50" customWidth="1"/>
    <col min="9224" max="9225" width="8.5703125" style="50" customWidth="1"/>
    <col min="9226" max="9226" width="7.7109375" style="50" customWidth="1"/>
    <col min="9227" max="9227" width="7.5703125" style="50" customWidth="1"/>
    <col min="9228" max="9228" width="8" style="50" customWidth="1"/>
    <col min="9229" max="9229" width="8.140625" style="50" customWidth="1"/>
    <col min="9230" max="9230" width="8.85546875" style="50" customWidth="1"/>
    <col min="9231" max="9233" width="11.42578125" style="50"/>
    <col min="9234" max="9234" width="13.140625" style="50" customWidth="1"/>
    <col min="9235" max="9235" width="14.140625" style="50" customWidth="1"/>
    <col min="9236" max="9236" width="14" style="50" customWidth="1"/>
    <col min="9237" max="9472" width="11.42578125" style="50"/>
    <col min="9473" max="9473" width="20.5703125" style="50" customWidth="1"/>
    <col min="9474" max="9474" width="0" style="50" hidden="1" customWidth="1"/>
    <col min="9475" max="9475" width="8.42578125" style="50" customWidth="1"/>
    <col min="9476" max="9476" width="9.140625" style="50" customWidth="1"/>
    <col min="9477" max="9477" width="8.85546875" style="50" customWidth="1"/>
    <col min="9478" max="9478" width="8.42578125" style="50" customWidth="1"/>
    <col min="9479" max="9479" width="9.140625" style="50" customWidth="1"/>
    <col min="9480" max="9481" width="8.5703125" style="50" customWidth="1"/>
    <col min="9482" max="9482" width="7.7109375" style="50" customWidth="1"/>
    <col min="9483" max="9483" width="7.5703125" style="50" customWidth="1"/>
    <col min="9484" max="9484" width="8" style="50" customWidth="1"/>
    <col min="9485" max="9485" width="8.140625" style="50" customWidth="1"/>
    <col min="9486" max="9486" width="8.85546875" style="50" customWidth="1"/>
    <col min="9487" max="9489" width="11.42578125" style="50"/>
    <col min="9490" max="9490" width="13.140625" style="50" customWidth="1"/>
    <col min="9491" max="9491" width="14.140625" style="50" customWidth="1"/>
    <col min="9492" max="9492" width="14" style="50" customWidth="1"/>
    <col min="9493" max="9728" width="11.42578125" style="50"/>
    <col min="9729" max="9729" width="20.5703125" style="50" customWidth="1"/>
    <col min="9730" max="9730" width="0" style="50" hidden="1" customWidth="1"/>
    <col min="9731" max="9731" width="8.42578125" style="50" customWidth="1"/>
    <col min="9732" max="9732" width="9.140625" style="50" customWidth="1"/>
    <col min="9733" max="9733" width="8.85546875" style="50" customWidth="1"/>
    <col min="9734" max="9734" width="8.42578125" style="50" customWidth="1"/>
    <col min="9735" max="9735" width="9.140625" style="50" customWidth="1"/>
    <col min="9736" max="9737" width="8.5703125" style="50" customWidth="1"/>
    <col min="9738" max="9738" width="7.7109375" style="50" customWidth="1"/>
    <col min="9739" max="9739" width="7.5703125" style="50" customWidth="1"/>
    <col min="9740" max="9740" width="8" style="50" customWidth="1"/>
    <col min="9741" max="9741" width="8.140625" style="50" customWidth="1"/>
    <col min="9742" max="9742" width="8.85546875" style="50" customWidth="1"/>
    <col min="9743" max="9745" width="11.42578125" style="50"/>
    <col min="9746" max="9746" width="13.140625" style="50" customWidth="1"/>
    <col min="9747" max="9747" width="14.140625" style="50" customWidth="1"/>
    <col min="9748" max="9748" width="14" style="50" customWidth="1"/>
    <col min="9749" max="9984" width="11.42578125" style="50"/>
    <col min="9985" max="9985" width="20.5703125" style="50" customWidth="1"/>
    <col min="9986" max="9986" width="0" style="50" hidden="1" customWidth="1"/>
    <col min="9987" max="9987" width="8.42578125" style="50" customWidth="1"/>
    <col min="9988" max="9988" width="9.140625" style="50" customWidth="1"/>
    <col min="9989" max="9989" width="8.85546875" style="50" customWidth="1"/>
    <col min="9990" max="9990" width="8.42578125" style="50" customWidth="1"/>
    <col min="9991" max="9991" width="9.140625" style="50" customWidth="1"/>
    <col min="9992" max="9993" width="8.5703125" style="50" customWidth="1"/>
    <col min="9994" max="9994" width="7.7109375" style="50" customWidth="1"/>
    <col min="9995" max="9995" width="7.5703125" style="50" customWidth="1"/>
    <col min="9996" max="9996" width="8" style="50" customWidth="1"/>
    <col min="9997" max="9997" width="8.140625" style="50" customWidth="1"/>
    <col min="9998" max="9998" width="8.85546875" style="50" customWidth="1"/>
    <col min="9999" max="10001" width="11.42578125" style="50"/>
    <col min="10002" max="10002" width="13.140625" style="50" customWidth="1"/>
    <col min="10003" max="10003" width="14.140625" style="50" customWidth="1"/>
    <col min="10004" max="10004" width="14" style="50" customWidth="1"/>
    <col min="10005" max="10240" width="11.42578125" style="50"/>
    <col min="10241" max="10241" width="20.5703125" style="50" customWidth="1"/>
    <col min="10242" max="10242" width="0" style="50" hidden="1" customWidth="1"/>
    <col min="10243" max="10243" width="8.42578125" style="50" customWidth="1"/>
    <col min="10244" max="10244" width="9.140625" style="50" customWidth="1"/>
    <col min="10245" max="10245" width="8.85546875" style="50" customWidth="1"/>
    <col min="10246" max="10246" width="8.42578125" style="50" customWidth="1"/>
    <col min="10247" max="10247" width="9.140625" style="50" customWidth="1"/>
    <col min="10248" max="10249" width="8.5703125" style="50" customWidth="1"/>
    <col min="10250" max="10250" width="7.7109375" style="50" customWidth="1"/>
    <col min="10251" max="10251" width="7.5703125" style="50" customWidth="1"/>
    <col min="10252" max="10252" width="8" style="50" customWidth="1"/>
    <col min="10253" max="10253" width="8.140625" style="50" customWidth="1"/>
    <col min="10254" max="10254" width="8.85546875" style="50" customWidth="1"/>
    <col min="10255" max="10257" width="11.42578125" style="50"/>
    <col min="10258" max="10258" width="13.140625" style="50" customWidth="1"/>
    <col min="10259" max="10259" width="14.140625" style="50" customWidth="1"/>
    <col min="10260" max="10260" width="14" style="50" customWidth="1"/>
    <col min="10261" max="10496" width="11.42578125" style="50"/>
    <col min="10497" max="10497" width="20.5703125" style="50" customWidth="1"/>
    <col min="10498" max="10498" width="0" style="50" hidden="1" customWidth="1"/>
    <col min="10499" max="10499" width="8.42578125" style="50" customWidth="1"/>
    <col min="10500" max="10500" width="9.140625" style="50" customWidth="1"/>
    <col min="10501" max="10501" width="8.85546875" style="50" customWidth="1"/>
    <col min="10502" max="10502" width="8.42578125" style="50" customWidth="1"/>
    <col min="10503" max="10503" width="9.140625" style="50" customWidth="1"/>
    <col min="10504" max="10505" width="8.5703125" style="50" customWidth="1"/>
    <col min="10506" max="10506" width="7.7109375" style="50" customWidth="1"/>
    <col min="10507" max="10507" width="7.5703125" style="50" customWidth="1"/>
    <col min="10508" max="10508" width="8" style="50" customWidth="1"/>
    <col min="10509" max="10509" width="8.140625" style="50" customWidth="1"/>
    <col min="10510" max="10510" width="8.85546875" style="50" customWidth="1"/>
    <col min="10511" max="10513" width="11.42578125" style="50"/>
    <col min="10514" max="10514" width="13.140625" style="50" customWidth="1"/>
    <col min="10515" max="10515" width="14.140625" style="50" customWidth="1"/>
    <col min="10516" max="10516" width="14" style="50" customWidth="1"/>
    <col min="10517" max="10752" width="11.42578125" style="50"/>
    <col min="10753" max="10753" width="20.5703125" style="50" customWidth="1"/>
    <col min="10754" max="10754" width="0" style="50" hidden="1" customWidth="1"/>
    <col min="10755" max="10755" width="8.42578125" style="50" customWidth="1"/>
    <col min="10756" max="10756" width="9.140625" style="50" customWidth="1"/>
    <col min="10757" max="10757" width="8.85546875" style="50" customWidth="1"/>
    <col min="10758" max="10758" width="8.42578125" style="50" customWidth="1"/>
    <col min="10759" max="10759" width="9.140625" style="50" customWidth="1"/>
    <col min="10760" max="10761" width="8.5703125" style="50" customWidth="1"/>
    <col min="10762" max="10762" width="7.7109375" style="50" customWidth="1"/>
    <col min="10763" max="10763" width="7.5703125" style="50" customWidth="1"/>
    <col min="10764" max="10764" width="8" style="50" customWidth="1"/>
    <col min="10765" max="10765" width="8.140625" style="50" customWidth="1"/>
    <col min="10766" max="10766" width="8.85546875" style="50" customWidth="1"/>
    <col min="10767" max="10769" width="11.42578125" style="50"/>
    <col min="10770" max="10770" width="13.140625" style="50" customWidth="1"/>
    <col min="10771" max="10771" width="14.140625" style="50" customWidth="1"/>
    <col min="10772" max="10772" width="14" style="50" customWidth="1"/>
    <col min="10773" max="11008" width="11.42578125" style="50"/>
    <col min="11009" max="11009" width="20.5703125" style="50" customWidth="1"/>
    <col min="11010" max="11010" width="0" style="50" hidden="1" customWidth="1"/>
    <col min="11011" max="11011" width="8.42578125" style="50" customWidth="1"/>
    <col min="11012" max="11012" width="9.140625" style="50" customWidth="1"/>
    <col min="11013" max="11013" width="8.85546875" style="50" customWidth="1"/>
    <col min="11014" max="11014" width="8.42578125" style="50" customWidth="1"/>
    <col min="11015" max="11015" width="9.140625" style="50" customWidth="1"/>
    <col min="11016" max="11017" width="8.5703125" style="50" customWidth="1"/>
    <col min="11018" max="11018" width="7.7109375" style="50" customWidth="1"/>
    <col min="11019" max="11019" width="7.5703125" style="50" customWidth="1"/>
    <col min="11020" max="11020" width="8" style="50" customWidth="1"/>
    <col min="11021" max="11021" width="8.140625" style="50" customWidth="1"/>
    <col min="11022" max="11022" width="8.85546875" style="50" customWidth="1"/>
    <col min="11023" max="11025" width="11.42578125" style="50"/>
    <col min="11026" max="11026" width="13.140625" style="50" customWidth="1"/>
    <col min="11027" max="11027" width="14.140625" style="50" customWidth="1"/>
    <col min="11028" max="11028" width="14" style="50" customWidth="1"/>
    <col min="11029" max="11264" width="11.42578125" style="50"/>
    <col min="11265" max="11265" width="20.5703125" style="50" customWidth="1"/>
    <col min="11266" max="11266" width="0" style="50" hidden="1" customWidth="1"/>
    <col min="11267" max="11267" width="8.42578125" style="50" customWidth="1"/>
    <col min="11268" max="11268" width="9.140625" style="50" customWidth="1"/>
    <col min="11269" max="11269" width="8.85546875" style="50" customWidth="1"/>
    <col min="11270" max="11270" width="8.42578125" style="50" customWidth="1"/>
    <col min="11271" max="11271" width="9.140625" style="50" customWidth="1"/>
    <col min="11272" max="11273" width="8.5703125" style="50" customWidth="1"/>
    <col min="11274" max="11274" width="7.7109375" style="50" customWidth="1"/>
    <col min="11275" max="11275" width="7.5703125" style="50" customWidth="1"/>
    <col min="11276" max="11276" width="8" style="50" customWidth="1"/>
    <col min="11277" max="11277" width="8.140625" style="50" customWidth="1"/>
    <col min="11278" max="11278" width="8.85546875" style="50" customWidth="1"/>
    <col min="11279" max="11281" width="11.42578125" style="50"/>
    <col min="11282" max="11282" width="13.140625" style="50" customWidth="1"/>
    <col min="11283" max="11283" width="14.140625" style="50" customWidth="1"/>
    <col min="11284" max="11284" width="14" style="50" customWidth="1"/>
    <col min="11285" max="11520" width="11.42578125" style="50"/>
    <col min="11521" max="11521" width="20.5703125" style="50" customWidth="1"/>
    <col min="11522" max="11522" width="0" style="50" hidden="1" customWidth="1"/>
    <col min="11523" max="11523" width="8.42578125" style="50" customWidth="1"/>
    <col min="11524" max="11524" width="9.140625" style="50" customWidth="1"/>
    <col min="11525" max="11525" width="8.85546875" style="50" customWidth="1"/>
    <col min="11526" max="11526" width="8.42578125" style="50" customWidth="1"/>
    <col min="11527" max="11527" width="9.140625" style="50" customWidth="1"/>
    <col min="11528" max="11529" width="8.5703125" style="50" customWidth="1"/>
    <col min="11530" max="11530" width="7.7109375" style="50" customWidth="1"/>
    <col min="11531" max="11531" width="7.5703125" style="50" customWidth="1"/>
    <col min="11532" max="11532" width="8" style="50" customWidth="1"/>
    <col min="11533" max="11533" width="8.140625" style="50" customWidth="1"/>
    <col min="11534" max="11534" width="8.85546875" style="50" customWidth="1"/>
    <col min="11535" max="11537" width="11.42578125" style="50"/>
    <col min="11538" max="11538" width="13.140625" style="50" customWidth="1"/>
    <col min="11539" max="11539" width="14.140625" style="50" customWidth="1"/>
    <col min="11540" max="11540" width="14" style="50" customWidth="1"/>
    <col min="11541" max="11776" width="11.42578125" style="50"/>
    <col min="11777" max="11777" width="20.5703125" style="50" customWidth="1"/>
    <col min="11778" max="11778" width="0" style="50" hidden="1" customWidth="1"/>
    <col min="11779" max="11779" width="8.42578125" style="50" customWidth="1"/>
    <col min="11780" max="11780" width="9.140625" style="50" customWidth="1"/>
    <col min="11781" max="11781" width="8.85546875" style="50" customWidth="1"/>
    <col min="11782" max="11782" width="8.42578125" style="50" customWidth="1"/>
    <col min="11783" max="11783" width="9.140625" style="50" customWidth="1"/>
    <col min="11784" max="11785" width="8.5703125" style="50" customWidth="1"/>
    <col min="11786" max="11786" width="7.7109375" style="50" customWidth="1"/>
    <col min="11787" max="11787" width="7.5703125" style="50" customWidth="1"/>
    <col min="11788" max="11788" width="8" style="50" customWidth="1"/>
    <col min="11789" max="11789" width="8.140625" style="50" customWidth="1"/>
    <col min="11790" max="11790" width="8.85546875" style="50" customWidth="1"/>
    <col min="11791" max="11793" width="11.42578125" style="50"/>
    <col min="11794" max="11794" width="13.140625" style="50" customWidth="1"/>
    <col min="11795" max="11795" width="14.140625" style="50" customWidth="1"/>
    <col min="11796" max="11796" width="14" style="50" customWidth="1"/>
    <col min="11797" max="12032" width="11.42578125" style="50"/>
    <col min="12033" max="12033" width="20.5703125" style="50" customWidth="1"/>
    <col min="12034" max="12034" width="0" style="50" hidden="1" customWidth="1"/>
    <col min="12035" max="12035" width="8.42578125" style="50" customWidth="1"/>
    <col min="12036" max="12036" width="9.140625" style="50" customWidth="1"/>
    <col min="12037" max="12037" width="8.85546875" style="50" customWidth="1"/>
    <col min="12038" max="12038" width="8.42578125" style="50" customWidth="1"/>
    <col min="12039" max="12039" width="9.140625" style="50" customWidth="1"/>
    <col min="12040" max="12041" width="8.5703125" style="50" customWidth="1"/>
    <col min="12042" max="12042" width="7.7109375" style="50" customWidth="1"/>
    <col min="12043" max="12043" width="7.5703125" style="50" customWidth="1"/>
    <col min="12044" max="12044" width="8" style="50" customWidth="1"/>
    <col min="12045" max="12045" width="8.140625" style="50" customWidth="1"/>
    <col min="12046" max="12046" width="8.85546875" style="50" customWidth="1"/>
    <col min="12047" max="12049" width="11.42578125" style="50"/>
    <col min="12050" max="12050" width="13.140625" style="50" customWidth="1"/>
    <col min="12051" max="12051" width="14.140625" style="50" customWidth="1"/>
    <col min="12052" max="12052" width="14" style="50" customWidth="1"/>
    <col min="12053" max="12288" width="11.42578125" style="50"/>
    <col min="12289" max="12289" width="20.5703125" style="50" customWidth="1"/>
    <col min="12290" max="12290" width="0" style="50" hidden="1" customWidth="1"/>
    <col min="12291" max="12291" width="8.42578125" style="50" customWidth="1"/>
    <col min="12292" max="12292" width="9.140625" style="50" customWidth="1"/>
    <col min="12293" max="12293" width="8.85546875" style="50" customWidth="1"/>
    <col min="12294" max="12294" width="8.42578125" style="50" customWidth="1"/>
    <col min="12295" max="12295" width="9.140625" style="50" customWidth="1"/>
    <col min="12296" max="12297" width="8.5703125" style="50" customWidth="1"/>
    <col min="12298" max="12298" width="7.7109375" style="50" customWidth="1"/>
    <col min="12299" max="12299" width="7.5703125" style="50" customWidth="1"/>
    <col min="12300" max="12300" width="8" style="50" customWidth="1"/>
    <col min="12301" max="12301" width="8.140625" style="50" customWidth="1"/>
    <col min="12302" max="12302" width="8.85546875" style="50" customWidth="1"/>
    <col min="12303" max="12305" width="11.42578125" style="50"/>
    <col min="12306" max="12306" width="13.140625" style="50" customWidth="1"/>
    <col min="12307" max="12307" width="14.140625" style="50" customWidth="1"/>
    <col min="12308" max="12308" width="14" style="50" customWidth="1"/>
    <col min="12309" max="12544" width="11.42578125" style="50"/>
    <col min="12545" max="12545" width="20.5703125" style="50" customWidth="1"/>
    <col min="12546" max="12546" width="0" style="50" hidden="1" customWidth="1"/>
    <col min="12547" max="12547" width="8.42578125" style="50" customWidth="1"/>
    <col min="12548" max="12548" width="9.140625" style="50" customWidth="1"/>
    <col min="12549" max="12549" width="8.85546875" style="50" customWidth="1"/>
    <col min="12550" max="12550" width="8.42578125" style="50" customWidth="1"/>
    <col min="12551" max="12551" width="9.140625" style="50" customWidth="1"/>
    <col min="12552" max="12553" width="8.5703125" style="50" customWidth="1"/>
    <col min="12554" max="12554" width="7.7109375" style="50" customWidth="1"/>
    <col min="12555" max="12555" width="7.5703125" style="50" customWidth="1"/>
    <col min="12556" max="12556" width="8" style="50" customWidth="1"/>
    <col min="12557" max="12557" width="8.140625" style="50" customWidth="1"/>
    <col min="12558" max="12558" width="8.85546875" style="50" customWidth="1"/>
    <col min="12559" max="12561" width="11.42578125" style="50"/>
    <col min="12562" max="12562" width="13.140625" style="50" customWidth="1"/>
    <col min="12563" max="12563" width="14.140625" style="50" customWidth="1"/>
    <col min="12564" max="12564" width="14" style="50" customWidth="1"/>
    <col min="12565" max="12800" width="11.42578125" style="50"/>
    <col min="12801" max="12801" width="20.5703125" style="50" customWidth="1"/>
    <col min="12802" max="12802" width="0" style="50" hidden="1" customWidth="1"/>
    <col min="12803" max="12803" width="8.42578125" style="50" customWidth="1"/>
    <col min="12804" max="12804" width="9.140625" style="50" customWidth="1"/>
    <col min="12805" max="12805" width="8.85546875" style="50" customWidth="1"/>
    <col min="12806" max="12806" width="8.42578125" style="50" customWidth="1"/>
    <col min="12807" max="12807" width="9.140625" style="50" customWidth="1"/>
    <col min="12808" max="12809" width="8.5703125" style="50" customWidth="1"/>
    <col min="12810" max="12810" width="7.7109375" style="50" customWidth="1"/>
    <col min="12811" max="12811" width="7.5703125" style="50" customWidth="1"/>
    <col min="12812" max="12812" width="8" style="50" customWidth="1"/>
    <col min="12813" max="12813" width="8.140625" style="50" customWidth="1"/>
    <col min="12814" max="12814" width="8.85546875" style="50" customWidth="1"/>
    <col min="12815" max="12817" width="11.42578125" style="50"/>
    <col min="12818" max="12818" width="13.140625" style="50" customWidth="1"/>
    <col min="12819" max="12819" width="14.140625" style="50" customWidth="1"/>
    <col min="12820" max="12820" width="14" style="50" customWidth="1"/>
    <col min="12821" max="13056" width="11.42578125" style="50"/>
    <col min="13057" max="13057" width="20.5703125" style="50" customWidth="1"/>
    <col min="13058" max="13058" width="0" style="50" hidden="1" customWidth="1"/>
    <col min="13059" max="13059" width="8.42578125" style="50" customWidth="1"/>
    <col min="13060" max="13060" width="9.140625" style="50" customWidth="1"/>
    <col min="13061" max="13061" width="8.85546875" style="50" customWidth="1"/>
    <col min="13062" max="13062" width="8.42578125" style="50" customWidth="1"/>
    <col min="13063" max="13063" width="9.140625" style="50" customWidth="1"/>
    <col min="13064" max="13065" width="8.5703125" style="50" customWidth="1"/>
    <col min="13066" max="13066" width="7.7109375" style="50" customWidth="1"/>
    <col min="13067" max="13067" width="7.5703125" style="50" customWidth="1"/>
    <col min="13068" max="13068" width="8" style="50" customWidth="1"/>
    <col min="13069" max="13069" width="8.140625" style="50" customWidth="1"/>
    <col min="13070" max="13070" width="8.85546875" style="50" customWidth="1"/>
    <col min="13071" max="13073" width="11.42578125" style="50"/>
    <col min="13074" max="13074" width="13.140625" style="50" customWidth="1"/>
    <col min="13075" max="13075" width="14.140625" style="50" customWidth="1"/>
    <col min="13076" max="13076" width="14" style="50" customWidth="1"/>
    <col min="13077" max="13312" width="11.42578125" style="50"/>
    <col min="13313" max="13313" width="20.5703125" style="50" customWidth="1"/>
    <col min="13314" max="13314" width="0" style="50" hidden="1" customWidth="1"/>
    <col min="13315" max="13315" width="8.42578125" style="50" customWidth="1"/>
    <col min="13316" max="13316" width="9.140625" style="50" customWidth="1"/>
    <col min="13317" max="13317" width="8.85546875" style="50" customWidth="1"/>
    <col min="13318" max="13318" width="8.42578125" style="50" customWidth="1"/>
    <col min="13319" max="13319" width="9.140625" style="50" customWidth="1"/>
    <col min="13320" max="13321" width="8.5703125" style="50" customWidth="1"/>
    <col min="13322" max="13322" width="7.7109375" style="50" customWidth="1"/>
    <col min="13323" max="13323" width="7.5703125" style="50" customWidth="1"/>
    <col min="13324" max="13324" width="8" style="50" customWidth="1"/>
    <col min="13325" max="13325" width="8.140625" style="50" customWidth="1"/>
    <col min="13326" max="13326" width="8.85546875" style="50" customWidth="1"/>
    <col min="13327" max="13329" width="11.42578125" style="50"/>
    <col min="13330" max="13330" width="13.140625" style="50" customWidth="1"/>
    <col min="13331" max="13331" width="14.140625" style="50" customWidth="1"/>
    <col min="13332" max="13332" width="14" style="50" customWidth="1"/>
    <col min="13333" max="13568" width="11.42578125" style="50"/>
    <col min="13569" max="13569" width="20.5703125" style="50" customWidth="1"/>
    <col min="13570" max="13570" width="0" style="50" hidden="1" customWidth="1"/>
    <col min="13571" max="13571" width="8.42578125" style="50" customWidth="1"/>
    <col min="13572" max="13572" width="9.140625" style="50" customWidth="1"/>
    <col min="13573" max="13573" width="8.85546875" style="50" customWidth="1"/>
    <col min="13574" max="13574" width="8.42578125" style="50" customWidth="1"/>
    <col min="13575" max="13575" width="9.140625" style="50" customWidth="1"/>
    <col min="13576" max="13577" width="8.5703125" style="50" customWidth="1"/>
    <col min="13578" max="13578" width="7.7109375" style="50" customWidth="1"/>
    <col min="13579" max="13579" width="7.5703125" style="50" customWidth="1"/>
    <col min="13580" max="13580" width="8" style="50" customWidth="1"/>
    <col min="13581" max="13581" width="8.140625" style="50" customWidth="1"/>
    <col min="13582" max="13582" width="8.85546875" style="50" customWidth="1"/>
    <col min="13583" max="13585" width="11.42578125" style="50"/>
    <col min="13586" max="13586" width="13.140625" style="50" customWidth="1"/>
    <col min="13587" max="13587" width="14.140625" style="50" customWidth="1"/>
    <col min="13588" max="13588" width="14" style="50" customWidth="1"/>
    <col min="13589" max="13824" width="11.42578125" style="50"/>
    <col min="13825" max="13825" width="20.5703125" style="50" customWidth="1"/>
    <col min="13826" max="13826" width="0" style="50" hidden="1" customWidth="1"/>
    <col min="13827" max="13827" width="8.42578125" style="50" customWidth="1"/>
    <col min="13828" max="13828" width="9.140625" style="50" customWidth="1"/>
    <col min="13829" max="13829" width="8.85546875" style="50" customWidth="1"/>
    <col min="13830" max="13830" width="8.42578125" style="50" customWidth="1"/>
    <col min="13831" max="13831" width="9.140625" style="50" customWidth="1"/>
    <col min="13832" max="13833" width="8.5703125" style="50" customWidth="1"/>
    <col min="13834" max="13834" width="7.7109375" style="50" customWidth="1"/>
    <col min="13835" max="13835" width="7.5703125" style="50" customWidth="1"/>
    <col min="13836" max="13836" width="8" style="50" customWidth="1"/>
    <col min="13837" max="13837" width="8.140625" style="50" customWidth="1"/>
    <col min="13838" max="13838" width="8.85546875" style="50" customWidth="1"/>
    <col min="13839" max="13841" width="11.42578125" style="50"/>
    <col min="13842" max="13842" width="13.140625" style="50" customWidth="1"/>
    <col min="13843" max="13843" width="14.140625" style="50" customWidth="1"/>
    <col min="13844" max="13844" width="14" style="50" customWidth="1"/>
    <col min="13845" max="14080" width="11.42578125" style="50"/>
    <col min="14081" max="14081" width="20.5703125" style="50" customWidth="1"/>
    <col min="14082" max="14082" width="0" style="50" hidden="1" customWidth="1"/>
    <col min="14083" max="14083" width="8.42578125" style="50" customWidth="1"/>
    <col min="14084" max="14084" width="9.140625" style="50" customWidth="1"/>
    <col min="14085" max="14085" width="8.85546875" style="50" customWidth="1"/>
    <col min="14086" max="14086" width="8.42578125" style="50" customWidth="1"/>
    <col min="14087" max="14087" width="9.140625" style="50" customWidth="1"/>
    <col min="14088" max="14089" width="8.5703125" style="50" customWidth="1"/>
    <col min="14090" max="14090" width="7.7109375" style="50" customWidth="1"/>
    <col min="14091" max="14091" width="7.5703125" style="50" customWidth="1"/>
    <col min="14092" max="14092" width="8" style="50" customWidth="1"/>
    <col min="14093" max="14093" width="8.140625" style="50" customWidth="1"/>
    <col min="14094" max="14094" width="8.85546875" style="50" customWidth="1"/>
    <col min="14095" max="14097" width="11.42578125" style="50"/>
    <col min="14098" max="14098" width="13.140625" style="50" customWidth="1"/>
    <col min="14099" max="14099" width="14.140625" style="50" customWidth="1"/>
    <col min="14100" max="14100" width="14" style="50" customWidth="1"/>
    <col min="14101" max="14336" width="11.42578125" style="50"/>
    <col min="14337" max="14337" width="20.5703125" style="50" customWidth="1"/>
    <col min="14338" max="14338" width="0" style="50" hidden="1" customWidth="1"/>
    <col min="14339" max="14339" width="8.42578125" style="50" customWidth="1"/>
    <col min="14340" max="14340" width="9.140625" style="50" customWidth="1"/>
    <col min="14341" max="14341" width="8.85546875" style="50" customWidth="1"/>
    <col min="14342" max="14342" width="8.42578125" style="50" customWidth="1"/>
    <col min="14343" max="14343" width="9.140625" style="50" customWidth="1"/>
    <col min="14344" max="14345" width="8.5703125" style="50" customWidth="1"/>
    <col min="14346" max="14346" width="7.7109375" style="50" customWidth="1"/>
    <col min="14347" max="14347" width="7.5703125" style="50" customWidth="1"/>
    <col min="14348" max="14348" width="8" style="50" customWidth="1"/>
    <col min="14349" max="14349" width="8.140625" style="50" customWidth="1"/>
    <col min="14350" max="14350" width="8.85546875" style="50" customWidth="1"/>
    <col min="14351" max="14353" width="11.42578125" style="50"/>
    <col min="14354" max="14354" width="13.140625" style="50" customWidth="1"/>
    <col min="14355" max="14355" width="14.140625" style="50" customWidth="1"/>
    <col min="14356" max="14356" width="14" style="50" customWidth="1"/>
    <col min="14357" max="14592" width="11.42578125" style="50"/>
    <col min="14593" max="14593" width="20.5703125" style="50" customWidth="1"/>
    <col min="14594" max="14594" width="0" style="50" hidden="1" customWidth="1"/>
    <col min="14595" max="14595" width="8.42578125" style="50" customWidth="1"/>
    <col min="14596" max="14596" width="9.140625" style="50" customWidth="1"/>
    <col min="14597" max="14597" width="8.85546875" style="50" customWidth="1"/>
    <col min="14598" max="14598" width="8.42578125" style="50" customWidth="1"/>
    <col min="14599" max="14599" width="9.140625" style="50" customWidth="1"/>
    <col min="14600" max="14601" width="8.5703125" style="50" customWidth="1"/>
    <col min="14602" max="14602" width="7.7109375" style="50" customWidth="1"/>
    <col min="14603" max="14603" width="7.5703125" style="50" customWidth="1"/>
    <col min="14604" max="14604" width="8" style="50" customWidth="1"/>
    <col min="14605" max="14605" width="8.140625" style="50" customWidth="1"/>
    <col min="14606" max="14606" width="8.85546875" style="50" customWidth="1"/>
    <col min="14607" max="14609" width="11.42578125" style="50"/>
    <col min="14610" max="14610" width="13.140625" style="50" customWidth="1"/>
    <col min="14611" max="14611" width="14.140625" style="50" customWidth="1"/>
    <col min="14612" max="14612" width="14" style="50" customWidth="1"/>
    <col min="14613" max="14848" width="11.42578125" style="50"/>
    <col min="14849" max="14849" width="20.5703125" style="50" customWidth="1"/>
    <col min="14850" max="14850" width="0" style="50" hidden="1" customWidth="1"/>
    <col min="14851" max="14851" width="8.42578125" style="50" customWidth="1"/>
    <col min="14852" max="14852" width="9.140625" style="50" customWidth="1"/>
    <col min="14853" max="14853" width="8.85546875" style="50" customWidth="1"/>
    <col min="14854" max="14854" width="8.42578125" style="50" customWidth="1"/>
    <col min="14855" max="14855" width="9.140625" style="50" customWidth="1"/>
    <col min="14856" max="14857" width="8.5703125" style="50" customWidth="1"/>
    <col min="14858" max="14858" width="7.7109375" style="50" customWidth="1"/>
    <col min="14859" max="14859" width="7.5703125" style="50" customWidth="1"/>
    <col min="14860" max="14860" width="8" style="50" customWidth="1"/>
    <col min="14861" max="14861" width="8.140625" style="50" customWidth="1"/>
    <col min="14862" max="14862" width="8.85546875" style="50" customWidth="1"/>
    <col min="14863" max="14865" width="11.42578125" style="50"/>
    <col min="14866" max="14866" width="13.140625" style="50" customWidth="1"/>
    <col min="14867" max="14867" width="14.140625" style="50" customWidth="1"/>
    <col min="14868" max="14868" width="14" style="50" customWidth="1"/>
    <col min="14869" max="15104" width="11.42578125" style="50"/>
    <col min="15105" max="15105" width="20.5703125" style="50" customWidth="1"/>
    <col min="15106" max="15106" width="0" style="50" hidden="1" customWidth="1"/>
    <col min="15107" max="15107" width="8.42578125" style="50" customWidth="1"/>
    <col min="15108" max="15108" width="9.140625" style="50" customWidth="1"/>
    <col min="15109" max="15109" width="8.85546875" style="50" customWidth="1"/>
    <col min="15110" max="15110" width="8.42578125" style="50" customWidth="1"/>
    <col min="15111" max="15111" width="9.140625" style="50" customWidth="1"/>
    <col min="15112" max="15113" width="8.5703125" style="50" customWidth="1"/>
    <col min="15114" max="15114" width="7.7109375" style="50" customWidth="1"/>
    <col min="15115" max="15115" width="7.5703125" style="50" customWidth="1"/>
    <col min="15116" max="15116" width="8" style="50" customWidth="1"/>
    <col min="15117" max="15117" width="8.140625" style="50" customWidth="1"/>
    <col min="15118" max="15118" width="8.85546875" style="50" customWidth="1"/>
    <col min="15119" max="15121" width="11.42578125" style="50"/>
    <col min="15122" max="15122" width="13.140625" style="50" customWidth="1"/>
    <col min="15123" max="15123" width="14.140625" style="50" customWidth="1"/>
    <col min="15124" max="15124" width="14" style="50" customWidth="1"/>
    <col min="15125" max="15360" width="11.42578125" style="50"/>
    <col min="15361" max="15361" width="20.5703125" style="50" customWidth="1"/>
    <col min="15362" max="15362" width="0" style="50" hidden="1" customWidth="1"/>
    <col min="15363" max="15363" width="8.42578125" style="50" customWidth="1"/>
    <col min="15364" max="15364" width="9.140625" style="50" customWidth="1"/>
    <col min="15365" max="15365" width="8.85546875" style="50" customWidth="1"/>
    <col min="15366" max="15366" width="8.42578125" style="50" customWidth="1"/>
    <col min="15367" max="15367" width="9.140625" style="50" customWidth="1"/>
    <col min="15368" max="15369" width="8.5703125" style="50" customWidth="1"/>
    <col min="15370" max="15370" width="7.7109375" style="50" customWidth="1"/>
    <col min="15371" max="15371" width="7.5703125" style="50" customWidth="1"/>
    <col min="15372" max="15372" width="8" style="50" customWidth="1"/>
    <col min="15373" max="15373" width="8.140625" style="50" customWidth="1"/>
    <col min="15374" max="15374" width="8.85546875" style="50" customWidth="1"/>
    <col min="15375" max="15377" width="11.42578125" style="50"/>
    <col min="15378" max="15378" width="13.140625" style="50" customWidth="1"/>
    <col min="15379" max="15379" width="14.140625" style="50" customWidth="1"/>
    <col min="15380" max="15380" width="14" style="50" customWidth="1"/>
    <col min="15381" max="15616" width="11.42578125" style="50"/>
    <col min="15617" max="15617" width="20.5703125" style="50" customWidth="1"/>
    <col min="15618" max="15618" width="0" style="50" hidden="1" customWidth="1"/>
    <col min="15619" max="15619" width="8.42578125" style="50" customWidth="1"/>
    <col min="15620" max="15620" width="9.140625" style="50" customWidth="1"/>
    <col min="15621" max="15621" width="8.85546875" style="50" customWidth="1"/>
    <col min="15622" max="15622" width="8.42578125" style="50" customWidth="1"/>
    <col min="15623" max="15623" width="9.140625" style="50" customWidth="1"/>
    <col min="15624" max="15625" width="8.5703125" style="50" customWidth="1"/>
    <col min="15626" max="15626" width="7.7109375" style="50" customWidth="1"/>
    <col min="15627" max="15627" width="7.5703125" style="50" customWidth="1"/>
    <col min="15628" max="15628" width="8" style="50" customWidth="1"/>
    <col min="15629" max="15629" width="8.140625" style="50" customWidth="1"/>
    <col min="15630" max="15630" width="8.85546875" style="50" customWidth="1"/>
    <col min="15631" max="15633" width="11.42578125" style="50"/>
    <col min="15634" max="15634" width="13.140625" style="50" customWidth="1"/>
    <col min="15635" max="15635" width="14.140625" style="50" customWidth="1"/>
    <col min="15636" max="15636" width="14" style="50" customWidth="1"/>
    <col min="15637" max="15872" width="11.42578125" style="50"/>
    <col min="15873" max="15873" width="20.5703125" style="50" customWidth="1"/>
    <col min="15874" max="15874" width="0" style="50" hidden="1" customWidth="1"/>
    <col min="15875" max="15875" width="8.42578125" style="50" customWidth="1"/>
    <col min="15876" max="15876" width="9.140625" style="50" customWidth="1"/>
    <col min="15877" max="15877" width="8.85546875" style="50" customWidth="1"/>
    <col min="15878" max="15878" width="8.42578125" style="50" customWidth="1"/>
    <col min="15879" max="15879" width="9.140625" style="50" customWidth="1"/>
    <col min="15880" max="15881" width="8.5703125" style="50" customWidth="1"/>
    <col min="15882" max="15882" width="7.7109375" style="50" customWidth="1"/>
    <col min="15883" max="15883" width="7.5703125" style="50" customWidth="1"/>
    <col min="15884" max="15884" width="8" style="50" customWidth="1"/>
    <col min="15885" max="15885" width="8.140625" style="50" customWidth="1"/>
    <col min="15886" max="15886" width="8.85546875" style="50" customWidth="1"/>
    <col min="15887" max="15889" width="11.42578125" style="50"/>
    <col min="15890" max="15890" width="13.140625" style="50" customWidth="1"/>
    <col min="15891" max="15891" width="14.140625" style="50" customWidth="1"/>
    <col min="15892" max="15892" width="14" style="50" customWidth="1"/>
    <col min="15893" max="16128" width="11.42578125" style="50"/>
    <col min="16129" max="16129" width="20.5703125" style="50" customWidth="1"/>
    <col min="16130" max="16130" width="0" style="50" hidden="1" customWidth="1"/>
    <col min="16131" max="16131" width="8.42578125" style="50" customWidth="1"/>
    <col min="16132" max="16132" width="9.140625" style="50" customWidth="1"/>
    <col min="16133" max="16133" width="8.85546875" style="50" customWidth="1"/>
    <col min="16134" max="16134" width="8.42578125" style="50" customWidth="1"/>
    <col min="16135" max="16135" width="9.140625" style="50" customWidth="1"/>
    <col min="16136" max="16137" width="8.5703125" style="50" customWidth="1"/>
    <col min="16138" max="16138" width="7.7109375" style="50" customWidth="1"/>
    <col min="16139" max="16139" width="7.5703125" style="50" customWidth="1"/>
    <col min="16140" max="16140" width="8" style="50" customWidth="1"/>
    <col min="16141" max="16141" width="8.140625" style="50" customWidth="1"/>
    <col min="16142" max="16142" width="8.85546875" style="50" customWidth="1"/>
    <col min="16143" max="16145" width="11.42578125" style="50"/>
    <col min="16146" max="16146" width="13.140625" style="50" customWidth="1"/>
    <col min="16147" max="16147" width="14.140625" style="50" customWidth="1"/>
    <col min="16148" max="16148" width="14" style="50" customWidth="1"/>
    <col min="16149" max="16384" width="11.42578125" style="50"/>
  </cols>
  <sheetData>
    <row r="7" spans="1:14" ht="15.75" x14ac:dyDescent="0.25">
      <c r="A7" s="1991" t="s">
        <v>5083</v>
      </c>
      <c r="B7" s="1991"/>
      <c r="C7" s="1991"/>
      <c r="D7" s="1991"/>
      <c r="E7" s="1991"/>
      <c r="F7" s="1991"/>
      <c r="G7" s="1991"/>
      <c r="H7" s="1991"/>
      <c r="I7" s="1991"/>
      <c r="J7" s="1991"/>
      <c r="K7" s="1991"/>
      <c r="L7" s="1991"/>
      <c r="M7" s="1991"/>
      <c r="N7" s="1991"/>
    </row>
    <row r="8" spans="1:14" ht="15.75" thickBot="1" x14ac:dyDescent="0.3"/>
    <row r="9" spans="1:14" ht="21" customHeight="1" x14ac:dyDescent="0.25">
      <c r="A9" s="810" t="s">
        <v>5084</v>
      </c>
      <c r="B9" s="848" t="s">
        <v>5085</v>
      </c>
      <c r="C9" s="848" t="s">
        <v>5062</v>
      </c>
      <c r="D9" s="848" t="s">
        <v>5063</v>
      </c>
      <c r="E9" s="848" t="s">
        <v>5064</v>
      </c>
      <c r="F9" s="848" t="s">
        <v>5065</v>
      </c>
      <c r="G9" s="848" t="s">
        <v>5066</v>
      </c>
      <c r="H9" s="848" t="s">
        <v>5067</v>
      </c>
      <c r="I9" s="848" t="s">
        <v>5068</v>
      </c>
      <c r="J9" s="848" t="s">
        <v>5069</v>
      </c>
      <c r="K9" s="848" t="s">
        <v>5070</v>
      </c>
      <c r="L9" s="848" t="s">
        <v>5071</v>
      </c>
      <c r="M9" s="848" t="s">
        <v>5072</v>
      </c>
      <c r="N9" s="849" t="s">
        <v>5073</v>
      </c>
    </row>
    <row r="10" spans="1:14" x14ac:dyDescent="0.25">
      <c r="A10" s="850" t="str">
        <f>IF(ReporteBalance!A101="","",ReporteBalance!A101)</f>
        <v/>
      </c>
      <c r="B10" s="851" t="str">
        <f>IF(ReporteBalance!E101="","",ReporteBalance!E101)</f>
        <v/>
      </c>
      <c r="C10" s="852" t="str">
        <f>IF(C145="","",C149)</f>
        <v/>
      </c>
      <c r="D10" s="852" t="str">
        <f t="shared" ref="D10:N10" si="0">IF(D145="","",D149)</f>
        <v/>
      </c>
      <c r="E10" s="852" t="str">
        <f t="shared" si="0"/>
        <v/>
      </c>
      <c r="F10" s="852" t="str">
        <f t="shared" si="0"/>
        <v/>
      </c>
      <c r="G10" s="852" t="str">
        <f t="shared" si="0"/>
        <v/>
      </c>
      <c r="H10" s="852" t="str">
        <f t="shared" si="0"/>
        <v/>
      </c>
      <c r="I10" s="852" t="str">
        <f t="shared" si="0"/>
        <v/>
      </c>
      <c r="J10" s="852" t="str">
        <f t="shared" si="0"/>
        <v/>
      </c>
      <c r="K10" s="852" t="str">
        <f t="shared" si="0"/>
        <v/>
      </c>
      <c r="L10" s="852" t="str">
        <f t="shared" si="0"/>
        <v/>
      </c>
      <c r="M10" s="852" t="str">
        <f t="shared" si="0"/>
        <v/>
      </c>
      <c r="N10" s="853" t="str">
        <f t="shared" si="0"/>
        <v/>
      </c>
    </row>
    <row r="11" spans="1:14" x14ac:dyDescent="0.25">
      <c r="A11" s="850" t="str">
        <f>IF(ReporteBalance!A102="","",ReporteBalance!A102)</f>
        <v/>
      </c>
      <c r="B11" s="851" t="str">
        <f>IF(ReporteBalance!E102="","",ReporteBalance!E102)</f>
        <v/>
      </c>
      <c r="C11" s="852" t="str">
        <f>IF(C160="","",C164)</f>
        <v/>
      </c>
      <c r="D11" s="852" t="str">
        <f t="shared" ref="D11:N11" si="1">IF(D160="","",D164)</f>
        <v/>
      </c>
      <c r="E11" s="852" t="str">
        <f t="shared" si="1"/>
        <v/>
      </c>
      <c r="F11" s="852" t="str">
        <f t="shared" si="1"/>
        <v/>
      </c>
      <c r="G11" s="852" t="str">
        <f t="shared" si="1"/>
        <v/>
      </c>
      <c r="H11" s="852" t="str">
        <f t="shared" si="1"/>
        <v/>
      </c>
      <c r="I11" s="852" t="str">
        <f t="shared" si="1"/>
        <v/>
      </c>
      <c r="J11" s="852" t="str">
        <f t="shared" si="1"/>
        <v/>
      </c>
      <c r="K11" s="852" t="str">
        <f t="shared" si="1"/>
        <v/>
      </c>
      <c r="L11" s="852" t="str">
        <f t="shared" si="1"/>
        <v/>
      </c>
      <c r="M11" s="852" t="str">
        <f t="shared" si="1"/>
        <v/>
      </c>
      <c r="N11" s="854" t="str">
        <f t="shared" si="1"/>
        <v/>
      </c>
    </row>
    <row r="12" spans="1:14" x14ac:dyDescent="0.25">
      <c r="A12" s="850" t="str">
        <f>IF(ReporteBalance!A103="","",ReporteBalance!A103)</f>
        <v/>
      </c>
      <c r="B12" s="851" t="str">
        <f>IF(ReporteBalance!E103="","",ReporteBalance!E103)</f>
        <v/>
      </c>
      <c r="C12" s="852" t="str">
        <f>IF(C178="","",C179)</f>
        <v/>
      </c>
      <c r="D12" s="852" t="str">
        <f t="shared" ref="D12:N12" si="2">IF(D178="","",D179)</f>
        <v/>
      </c>
      <c r="E12" s="852" t="str">
        <f t="shared" si="2"/>
        <v/>
      </c>
      <c r="F12" s="852" t="str">
        <f t="shared" si="2"/>
        <v/>
      </c>
      <c r="G12" s="852" t="str">
        <f t="shared" si="2"/>
        <v/>
      </c>
      <c r="H12" s="852" t="str">
        <f t="shared" si="2"/>
        <v/>
      </c>
      <c r="I12" s="852" t="str">
        <f t="shared" si="2"/>
        <v/>
      </c>
      <c r="J12" s="852" t="str">
        <f t="shared" si="2"/>
        <v/>
      </c>
      <c r="K12" s="852" t="str">
        <f t="shared" si="2"/>
        <v/>
      </c>
      <c r="L12" s="852" t="str">
        <f t="shared" si="2"/>
        <v/>
      </c>
      <c r="M12" s="852" t="str">
        <f t="shared" si="2"/>
        <v/>
      </c>
      <c r="N12" s="854" t="str">
        <f t="shared" si="2"/>
        <v/>
      </c>
    </row>
    <row r="13" spans="1:14" x14ac:dyDescent="0.25">
      <c r="A13" s="850" t="str">
        <f>IF(ReporteBalance!A104="","",ReporteBalance!A104)</f>
        <v/>
      </c>
      <c r="B13" s="851" t="str">
        <f>IF(ReporteBalance!E104="","",ReporteBalance!E104)</f>
        <v/>
      </c>
      <c r="C13" s="852" t="str">
        <f>IF(C193="","",C194)</f>
        <v/>
      </c>
      <c r="D13" s="852" t="str">
        <f t="shared" ref="D13:N13" si="3">IF(D193="","",D194)</f>
        <v/>
      </c>
      <c r="E13" s="852" t="str">
        <f t="shared" si="3"/>
        <v/>
      </c>
      <c r="F13" s="852" t="str">
        <f t="shared" si="3"/>
        <v/>
      </c>
      <c r="G13" s="852" t="str">
        <f t="shared" si="3"/>
        <v/>
      </c>
      <c r="H13" s="852" t="str">
        <f t="shared" si="3"/>
        <v/>
      </c>
      <c r="I13" s="852" t="str">
        <f t="shared" si="3"/>
        <v/>
      </c>
      <c r="J13" s="852" t="str">
        <f t="shared" si="3"/>
        <v/>
      </c>
      <c r="K13" s="852" t="str">
        <f t="shared" si="3"/>
        <v/>
      </c>
      <c r="L13" s="852" t="str">
        <f t="shared" si="3"/>
        <v/>
      </c>
      <c r="M13" s="852" t="str">
        <f t="shared" si="3"/>
        <v/>
      </c>
      <c r="N13" s="854" t="str">
        <f t="shared" si="3"/>
        <v/>
      </c>
    </row>
    <row r="14" spans="1:14" x14ac:dyDescent="0.25">
      <c r="A14" s="850" t="str">
        <f>IF(ReporteBalance!A105="","",ReporteBalance!A105)</f>
        <v/>
      </c>
      <c r="B14" s="851" t="str">
        <f>IF(ReporteBalance!E105="","",ReporteBalance!E105)</f>
        <v/>
      </c>
      <c r="C14" s="852" t="str">
        <f>IF(C208="","",C209)</f>
        <v/>
      </c>
      <c r="D14" s="852" t="str">
        <f t="shared" ref="D14:N14" si="4">IF(D208="","",D209)</f>
        <v/>
      </c>
      <c r="E14" s="852" t="str">
        <f t="shared" si="4"/>
        <v/>
      </c>
      <c r="F14" s="852" t="str">
        <f t="shared" si="4"/>
        <v/>
      </c>
      <c r="G14" s="852" t="str">
        <f t="shared" si="4"/>
        <v/>
      </c>
      <c r="H14" s="852" t="str">
        <f t="shared" si="4"/>
        <v/>
      </c>
      <c r="I14" s="852" t="str">
        <f t="shared" si="4"/>
        <v/>
      </c>
      <c r="J14" s="852" t="str">
        <f t="shared" si="4"/>
        <v/>
      </c>
      <c r="K14" s="852" t="str">
        <f t="shared" si="4"/>
        <v/>
      </c>
      <c r="L14" s="852" t="str">
        <f t="shared" si="4"/>
        <v/>
      </c>
      <c r="M14" s="852" t="str">
        <f t="shared" si="4"/>
        <v/>
      </c>
      <c r="N14" s="854" t="str">
        <f t="shared" si="4"/>
        <v/>
      </c>
    </row>
    <row r="15" spans="1:14" x14ac:dyDescent="0.25">
      <c r="A15" s="850" t="str">
        <f>IF(ReporteBalance!A106="","",ReporteBalance!A106)</f>
        <v/>
      </c>
      <c r="B15" s="851" t="str">
        <f>IF(ReporteBalance!E106="","",ReporteBalance!E106)</f>
        <v/>
      </c>
      <c r="C15" s="852" t="str">
        <f>IF(C223="","",C224)</f>
        <v/>
      </c>
      <c r="D15" s="852" t="str">
        <f t="shared" ref="D15:N15" si="5">IF(D223="","",D224)</f>
        <v/>
      </c>
      <c r="E15" s="852" t="str">
        <f t="shared" si="5"/>
        <v/>
      </c>
      <c r="F15" s="852" t="str">
        <f t="shared" si="5"/>
        <v/>
      </c>
      <c r="G15" s="852" t="str">
        <f t="shared" si="5"/>
        <v/>
      </c>
      <c r="H15" s="852" t="str">
        <f t="shared" si="5"/>
        <v/>
      </c>
      <c r="I15" s="852" t="str">
        <f t="shared" si="5"/>
        <v/>
      </c>
      <c r="J15" s="852" t="str">
        <f t="shared" si="5"/>
        <v/>
      </c>
      <c r="K15" s="852" t="str">
        <f t="shared" si="5"/>
        <v/>
      </c>
      <c r="L15" s="852" t="str">
        <f t="shared" si="5"/>
        <v/>
      </c>
      <c r="M15" s="852" t="str">
        <f t="shared" si="5"/>
        <v/>
      </c>
      <c r="N15" s="854" t="str">
        <f t="shared" si="5"/>
        <v/>
      </c>
    </row>
    <row r="16" spans="1:14" x14ac:dyDescent="0.25">
      <c r="A16" s="850" t="str">
        <f>IF(ReporteBalance!A107="","",ReporteBalance!A107)</f>
        <v/>
      </c>
      <c r="B16" s="851" t="str">
        <f>IF(ReporteBalance!E107="","",ReporteBalance!E107)</f>
        <v/>
      </c>
      <c r="C16" s="852" t="str">
        <f>IF(C238="","",C239)</f>
        <v/>
      </c>
      <c r="D16" s="852" t="str">
        <f t="shared" ref="D16:N16" si="6">IF(D238="","",D239)</f>
        <v/>
      </c>
      <c r="E16" s="852" t="str">
        <f t="shared" si="6"/>
        <v/>
      </c>
      <c r="F16" s="852" t="str">
        <f t="shared" si="6"/>
        <v/>
      </c>
      <c r="G16" s="852" t="str">
        <f t="shared" si="6"/>
        <v/>
      </c>
      <c r="H16" s="852" t="str">
        <f t="shared" si="6"/>
        <v/>
      </c>
      <c r="I16" s="852" t="str">
        <f t="shared" si="6"/>
        <v/>
      </c>
      <c r="J16" s="852" t="str">
        <f t="shared" si="6"/>
        <v/>
      </c>
      <c r="K16" s="852" t="str">
        <f t="shared" si="6"/>
        <v/>
      </c>
      <c r="L16" s="852" t="str">
        <f t="shared" si="6"/>
        <v/>
      </c>
      <c r="M16" s="852" t="str">
        <f t="shared" si="6"/>
        <v/>
      </c>
      <c r="N16" s="854" t="str">
        <f t="shared" si="6"/>
        <v/>
      </c>
    </row>
    <row r="17" spans="1:15" x14ac:dyDescent="0.25">
      <c r="A17" s="850" t="str">
        <f>IF(ReporteBalance!A108="","",ReporteBalance!A108)</f>
        <v/>
      </c>
      <c r="B17" s="851" t="str">
        <f>IF(ReporteBalance!E108="","",ReporteBalance!E108)</f>
        <v/>
      </c>
      <c r="C17" s="852" t="str">
        <f>IF(C253="","",C254)</f>
        <v/>
      </c>
      <c r="D17" s="852" t="str">
        <f t="shared" ref="D17:N17" si="7">IF(D253="","",D254)</f>
        <v/>
      </c>
      <c r="E17" s="852" t="str">
        <f t="shared" si="7"/>
        <v/>
      </c>
      <c r="F17" s="852" t="str">
        <f t="shared" si="7"/>
        <v/>
      </c>
      <c r="G17" s="852" t="str">
        <f t="shared" si="7"/>
        <v/>
      </c>
      <c r="H17" s="852" t="str">
        <f t="shared" si="7"/>
        <v/>
      </c>
      <c r="I17" s="852" t="str">
        <f t="shared" si="7"/>
        <v/>
      </c>
      <c r="J17" s="852" t="str">
        <f t="shared" si="7"/>
        <v/>
      </c>
      <c r="K17" s="852" t="str">
        <f t="shared" si="7"/>
        <v/>
      </c>
      <c r="L17" s="852" t="str">
        <f t="shared" si="7"/>
        <v/>
      </c>
      <c r="M17" s="852" t="str">
        <f t="shared" si="7"/>
        <v/>
      </c>
      <c r="N17" s="854" t="str">
        <f t="shared" si="7"/>
        <v/>
      </c>
    </row>
    <row r="18" spans="1:15" x14ac:dyDescent="0.25">
      <c r="A18" s="850" t="str">
        <f>IF(ReporteBalance!A109="","",ReporteBalance!A109)</f>
        <v/>
      </c>
      <c r="B18" s="851" t="str">
        <f>IF(ReporteBalance!E109="","",ReporteBalance!E109)</f>
        <v/>
      </c>
      <c r="C18" s="852" t="str">
        <f>IF(C268="","",C269)</f>
        <v/>
      </c>
      <c r="D18" s="852" t="str">
        <f t="shared" ref="D18:N18" si="8">IF(D268="","",D269)</f>
        <v/>
      </c>
      <c r="E18" s="852" t="str">
        <f t="shared" si="8"/>
        <v/>
      </c>
      <c r="F18" s="852" t="str">
        <f t="shared" si="8"/>
        <v/>
      </c>
      <c r="G18" s="852" t="str">
        <f t="shared" si="8"/>
        <v/>
      </c>
      <c r="H18" s="852" t="str">
        <f t="shared" si="8"/>
        <v/>
      </c>
      <c r="I18" s="852" t="str">
        <f t="shared" si="8"/>
        <v/>
      </c>
      <c r="J18" s="852" t="str">
        <f t="shared" si="8"/>
        <v/>
      </c>
      <c r="K18" s="852" t="str">
        <f t="shared" si="8"/>
        <v/>
      </c>
      <c r="L18" s="852" t="str">
        <f t="shared" si="8"/>
        <v/>
      </c>
      <c r="M18" s="852" t="str">
        <f t="shared" si="8"/>
        <v/>
      </c>
      <c r="N18" s="854" t="str">
        <f t="shared" si="8"/>
        <v/>
      </c>
    </row>
    <row r="19" spans="1:15" x14ac:dyDescent="0.25">
      <c r="A19" s="850" t="str">
        <f>IF(ReporteBalance!A110="","",ReporteBalance!A110)</f>
        <v/>
      </c>
      <c r="B19" s="851" t="str">
        <f>IF(ReporteBalance!E110="","",ReporteBalance!E110)</f>
        <v/>
      </c>
      <c r="C19" s="852" t="str">
        <f>IF(C283="","",C284)</f>
        <v/>
      </c>
      <c r="D19" s="852" t="str">
        <f t="shared" ref="D19:N19" si="9">IF(D283="","",D284)</f>
        <v/>
      </c>
      <c r="E19" s="852" t="str">
        <f t="shared" si="9"/>
        <v/>
      </c>
      <c r="F19" s="852" t="str">
        <f t="shared" si="9"/>
        <v/>
      </c>
      <c r="G19" s="852" t="str">
        <f t="shared" si="9"/>
        <v/>
      </c>
      <c r="H19" s="852" t="str">
        <f t="shared" si="9"/>
        <v/>
      </c>
      <c r="I19" s="852" t="str">
        <f t="shared" si="9"/>
        <v/>
      </c>
      <c r="J19" s="852" t="str">
        <f t="shared" si="9"/>
        <v/>
      </c>
      <c r="K19" s="852" t="str">
        <f t="shared" si="9"/>
        <v/>
      </c>
      <c r="L19" s="852" t="str">
        <f t="shared" si="9"/>
        <v/>
      </c>
      <c r="M19" s="852" t="str">
        <f t="shared" si="9"/>
        <v/>
      </c>
      <c r="N19" s="854" t="str">
        <f t="shared" si="9"/>
        <v/>
      </c>
    </row>
    <row r="20" spans="1:15" x14ac:dyDescent="0.25">
      <c r="A20" s="850" t="str">
        <f>IF(ReporteBalance!A111="","",ReporteBalance!A111)</f>
        <v/>
      </c>
      <c r="B20" s="851" t="str">
        <f>IF(ReporteBalance!E111="","",ReporteBalance!E111)</f>
        <v/>
      </c>
      <c r="C20" s="852" t="str">
        <f>IF(C298="","",C299)</f>
        <v/>
      </c>
      <c r="D20" s="852" t="str">
        <f t="shared" ref="D20:N20" si="10">IF(D298="","",D299)</f>
        <v/>
      </c>
      <c r="E20" s="852" t="str">
        <f t="shared" si="10"/>
        <v/>
      </c>
      <c r="F20" s="852" t="str">
        <f t="shared" si="10"/>
        <v/>
      </c>
      <c r="G20" s="852" t="str">
        <f t="shared" si="10"/>
        <v/>
      </c>
      <c r="H20" s="852" t="str">
        <f t="shared" si="10"/>
        <v/>
      </c>
      <c r="I20" s="852" t="str">
        <f t="shared" si="10"/>
        <v/>
      </c>
      <c r="J20" s="852" t="str">
        <f t="shared" si="10"/>
        <v/>
      </c>
      <c r="K20" s="852" t="str">
        <f t="shared" si="10"/>
        <v/>
      </c>
      <c r="L20" s="852" t="str">
        <f t="shared" si="10"/>
        <v/>
      </c>
      <c r="M20" s="852" t="str">
        <f t="shared" si="10"/>
        <v/>
      </c>
      <c r="N20" s="854" t="str">
        <f t="shared" si="10"/>
        <v/>
      </c>
    </row>
    <row r="21" spans="1:15" ht="15.75" customHeight="1" thickBot="1" x14ac:dyDescent="0.3">
      <c r="A21" s="855" t="s">
        <v>5086</v>
      </c>
      <c r="B21" s="856">
        <f t="shared" ref="B21:N21" si="11">SUM(B10:B20)</f>
        <v>0</v>
      </c>
      <c r="C21" s="856">
        <f t="shared" si="11"/>
        <v>0</v>
      </c>
      <c r="D21" s="856">
        <f t="shared" si="11"/>
        <v>0</v>
      </c>
      <c r="E21" s="856">
        <f t="shared" si="11"/>
        <v>0</v>
      </c>
      <c r="F21" s="856">
        <f t="shared" si="11"/>
        <v>0</v>
      </c>
      <c r="G21" s="856">
        <f t="shared" si="11"/>
        <v>0</v>
      </c>
      <c r="H21" s="856">
        <f t="shared" si="11"/>
        <v>0</v>
      </c>
      <c r="I21" s="856">
        <f t="shared" si="11"/>
        <v>0</v>
      </c>
      <c r="J21" s="856">
        <f t="shared" si="11"/>
        <v>0</v>
      </c>
      <c r="K21" s="856">
        <f t="shared" si="11"/>
        <v>0</v>
      </c>
      <c r="L21" s="856">
        <f t="shared" si="11"/>
        <v>0</v>
      </c>
      <c r="M21" s="856">
        <f t="shared" si="11"/>
        <v>0</v>
      </c>
      <c r="N21" s="857">
        <f t="shared" si="11"/>
        <v>0</v>
      </c>
    </row>
    <row r="22" spans="1:15" ht="15.75" thickBot="1" x14ac:dyDescent="0.3">
      <c r="A22" s="858" t="s">
        <v>5087</v>
      </c>
      <c r="B22" s="859"/>
      <c r="C22" s="860">
        <f>C21*31*3600*24/1000000000</f>
        <v>0</v>
      </c>
      <c r="D22" s="860">
        <f>D21*28*3600*24/1000000000</f>
        <v>0</v>
      </c>
      <c r="E22" s="860">
        <f>E21*31*3600*24/1000000000</f>
        <v>0</v>
      </c>
      <c r="F22" s="860">
        <f>F21*30*3600*24/1000000000</f>
        <v>0</v>
      </c>
      <c r="G22" s="860">
        <f>G21*31*3600*24/1000000000</f>
        <v>0</v>
      </c>
      <c r="H22" s="860">
        <f>H21*30*3600*24/1000000000</f>
        <v>0</v>
      </c>
      <c r="I22" s="860">
        <f>I21*31*3600*24/1000000000</f>
        <v>0</v>
      </c>
      <c r="J22" s="860">
        <f>J21*31*3600*24/1000000000</f>
        <v>0</v>
      </c>
      <c r="K22" s="860">
        <f>K21*30*3600*24/1000000000</f>
        <v>0</v>
      </c>
      <c r="L22" s="860">
        <f>L21*31*3600*24/1000000000</f>
        <v>0</v>
      </c>
      <c r="M22" s="860">
        <f>M21*30*3600*24/1000000000</f>
        <v>0</v>
      </c>
      <c r="N22" s="861">
        <f>N21*31*3600*24/1000000000</f>
        <v>0</v>
      </c>
      <c r="O22" s="862">
        <f>SUM(C22:N22)</f>
        <v>0</v>
      </c>
    </row>
    <row r="23" spans="1:15" x14ac:dyDescent="0.25">
      <c r="C23" s="863">
        <f>C21/1000</f>
        <v>0</v>
      </c>
      <c r="D23" s="863">
        <f t="shared" ref="D23:N23" si="12">D21/1000</f>
        <v>0</v>
      </c>
      <c r="E23" s="863">
        <f t="shared" si="12"/>
        <v>0</v>
      </c>
      <c r="F23" s="863">
        <f t="shared" si="12"/>
        <v>0</v>
      </c>
      <c r="G23" s="863">
        <f t="shared" si="12"/>
        <v>0</v>
      </c>
      <c r="H23" s="863">
        <f t="shared" si="12"/>
        <v>0</v>
      </c>
      <c r="I23" s="863">
        <f t="shared" si="12"/>
        <v>0</v>
      </c>
      <c r="J23" s="863">
        <f t="shared" si="12"/>
        <v>0</v>
      </c>
      <c r="K23" s="863">
        <f t="shared" si="12"/>
        <v>0</v>
      </c>
      <c r="L23" s="863">
        <f t="shared" si="12"/>
        <v>0</v>
      </c>
      <c r="M23" s="863">
        <f t="shared" si="12"/>
        <v>0</v>
      </c>
      <c r="N23" s="863">
        <f t="shared" si="12"/>
        <v>0</v>
      </c>
    </row>
    <row r="26" spans="1:15" x14ac:dyDescent="0.25">
      <c r="I26" s="864"/>
      <c r="J26" s="864"/>
      <c r="K26" s="864"/>
      <c r="L26" s="864"/>
      <c r="M26" s="864"/>
      <c r="N26" s="864"/>
    </row>
    <row r="49" spans="1:32" x14ac:dyDescent="0.25">
      <c r="C49" s="864"/>
      <c r="D49" s="864"/>
      <c r="E49" s="864"/>
      <c r="F49" s="864"/>
      <c r="G49" s="864"/>
      <c r="H49" s="864"/>
      <c r="I49" s="864"/>
      <c r="J49" s="864"/>
      <c r="K49" s="864"/>
      <c r="L49" s="864"/>
      <c r="M49" s="864"/>
      <c r="N49" s="864"/>
      <c r="O49" s="864"/>
    </row>
    <row r="50" spans="1:32" ht="18.75" x14ac:dyDescent="0.25">
      <c r="A50" s="1991" t="s">
        <v>5088</v>
      </c>
      <c r="B50" s="1991"/>
      <c r="C50" s="1991"/>
      <c r="D50" s="1991"/>
      <c r="E50" s="1991"/>
      <c r="F50" s="1991"/>
      <c r="G50" s="1991"/>
      <c r="H50" s="1991"/>
      <c r="I50" s="1991"/>
      <c r="J50" s="1991"/>
      <c r="K50" s="1991"/>
      <c r="L50" s="1991"/>
      <c r="M50" s="1991"/>
      <c r="N50" s="1991"/>
    </row>
    <row r="51" spans="1:32" ht="15.75" thickBot="1" x14ac:dyDescent="0.3"/>
    <row r="52" spans="1:32" ht="19.5" customHeight="1" x14ac:dyDescent="0.25">
      <c r="A52" s="810" t="s">
        <v>5089</v>
      </c>
      <c r="B52" s="848" t="s">
        <v>5085</v>
      </c>
      <c r="C52" s="848" t="s">
        <v>5062</v>
      </c>
      <c r="D52" s="848" t="s">
        <v>5063</v>
      </c>
      <c r="E52" s="848" t="s">
        <v>5064</v>
      </c>
      <c r="F52" s="848" t="s">
        <v>5065</v>
      </c>
      <c r="G52" s="848" t="s">
        <v>5066</v>
      </c>
      <c r="H52" s="848" t="s">
        <v>5067</v>
      </c>
      <c r="I52" s="848" t="s">
        <v>5068</v>
      </c>
      <c r="J52" s="848" t="s">
        <v>5069</v>
      </c>
      <c r="K52" s="848" t="s">
        <v>5070</v>
      </c>
      <c r="L52" s="848" t="s">
        <v>5071</v>
      </c>
      <c r="M52" s="848" t="s">
        <v>5072</v>
      </c>
      <c r="N52" s="849" t="s">
        <v>5073</v>
      </c>
    </row>
    <row r="53" spans="1:32" x14ac:dyDescent="0.25">
      <c r="A53" s="850"/>
      <c r="B53" s="865"/>
      <c r="C53" s="865"/>
      <c r="D53" s="865"/>
      <c r="E53" s="865"/>
      <c r="F53" s="865"/>
      <c r="G53" s="865"/>
      <c r="H53" s="865"/>
      <c r="I53" s="865"/>
      <c r="J53" s="865"/>
      <c r="K53" s="865"/>
      <c r="L53" s="865"/>
      <c r="M53" s="865"/>
      <c r="N53" s="866"/>
    </row>
    <row r="54" spans="1:32" x14ac:dyDescent="0.25">
      <c r="A54" s="850" t="str">
        <f>IF(ReporteBalance!C4="","",ReporteBalance!C4)</f>
        <v/>
      </c>
      <c r="B54" s="865"/>
      <c r="C54" s="867">
        <f t="array" ref="C54:N54">TRANSPOSE(ReporteBalance!B20:B31)</f>
        <v>0</v>
      </c>
      <c r="D54" s="867">
        <v>0</v>
      </c>
      <c r="E54" s="867">
        <v>0</v>
      </c>
      <c r="F54" s="867">
        <v>0</v>
      </c>
      <c r="G54" s="867">
        <v>0</v>
      </c>
      <c r="H54" s="867">
        <v>0</v>
      </c>
      <c r="I54" s="867">
        <v>0</v>
      </c>
      <c r="J54" s="867">
        <v>0</v>
      </c>
      <c r="K54" s="867">
        <v>0</v>
      </c>
      <c r="L54" s="867">
        <v>0</v>
      </c>
      <c r="M54" s="867">
        <v>0</v>
      </c>
      <c r="N54" s="868">
        <v>0</v>
      </c>
      <c r="O54" s="869"/>
    </row>
    <row r="55" spans="1:32" x14ac:dyDescent="0.25">
      <c r="A55" s="870" t="s">
        <v>5090</v>
      </c>
      <c r="B55" s="865"/>
      <c r="C55" s="867">
        <v>0</v>
      </c>
      <c r="D55" s="867">
        <v>0</v>
      </c>
      <c r="E55" s="867">
        <v>0</v>
      </c>
      <c r="F55" s="867">
        <v>0</v>
      </c>
      <c r="G55" s="867">
        <v>0</v>
      </c>
      <c r="H55" s="867">
        <v>0</v>
      </c>
      <c r="I55" s="867">
        <v>0</v>
      </c>
      <c r="J55" s="867">
        <v>0</v>
      </c>
      <c r="K55" s="867">
        <v>0</v>
      </c>
      <c r="L55" s="867">
        <v>0</v>
      </c>
      <c r="M55" s="867">
        <v>0</v>
      </c>
      <c r="N55" s="868">
        <v>0</v>
      </c>
    </row>
    <row r="56" spans="1:32" x14ac:dyDescent="0.25">
      <c r="A56" s="850"/>
      <c r="B56" s="865"/>
      <c r="C56" s="865"/>
      <c r="D56" s="865"/>
      <c r="E56" s="865"/>
      <c r="F56" s="865"/>
      <c r="G56" s="865"/>
      <c r="H56" s="865"/>
      <c r="I56" s="865"/>
      <c r="J56" s="865"/>
      <c r="K56" s="865"/>
      <c r="L56" s="865"/>
      <c r="M56" s="865"/>
      <c r="N56" s="866"/>
    </row>
    <row r="57" spans="1:32" ht="18.75" customHeight="1" thickBot="1" x14ac:dyDescent="0.3">
      <c r="A57" s="871" t="s">
        <v>5091</v>
      </c>
      <c r="B57" s="872">
        <f t="shared" ref="B57:N57" si="13">SUM(B53:B56)</f>
        <v>0</v>
      </c>
      <c r="C57" s="873">
        <f t="shared" si="13"/>
        <v>0</v>
      </c>
      <c r="D57" s="873">
        <f t="shared" si="13"/>
        <v>0</v>
      </c>
      <c r="E57" s="873">
        <f t="shared" si="13"/>
        <v>0</v>
      </c>
      <c r="F57" s="873">
        <f t="shared" si="13"/>
        <v>0</v>
      </c>
      <c r="G57" s="873">
        <f t="shared" si="13"/>
        <v>0</v>
      </c>
      <c r="H57" s="873">
        <f t="shared" si="13"/>
        <v>0</v>
      </c>
      <c r="I57" s="873">
        <f t="shared" si="13"/>
        <v>0</v>
      </c>
      <c r="J57" s="873">
        <f t="shared" si="13"/>
        <v>0</v>
      </c>
      <c r="K57" s="873">
        <f t="shared" si="13"/>
        <v>0</v>
      </c>
      <c r="L57" s="873">
        <f t="shared" si="13"/>
        <v>0</v>
      </c>
      <c r="M57" s="873">
        <f t="shared" si="13"/>
        <v>0</v>
      </c>
      <c r="N57" s="874">
        <f t="shared" si="13"/>
        <v>0</v>
      </c>
      <c r="P57" s="875"/>
    </row>
    <row r="58" spans="1:32" ht="18" customHeight="1" thickBot="1" x14ac:dyDescent="0.3">
      <c r="A58" s="806" t="s">
        <v>5092</v>
      </c>
      <c r="B58" s="807"/>
      <c r="C58" s="876">
        <f>C57*31*86400/1000000</f>
        <v>0</v>
      </c>
      <c r="D58" s="876">
        <f>D57*28*86400/1000000</f>
        <v>0</v>
      </c>
      <c r="E58" s="876">
        <f>E57*31*86400/1000000</f>
        <v>0</v>
      </c>
      <c r="F58" s="876">
        <f>F57*30*86400/1000000</f>
        <v>0</v>
      </c>
      <c r="G58" s="876">
        <f>G57*31*86400/1000000</f>
        <v>0</v>
      </c>
      <c r="H58" s="876">
        <f>H57*30*86400/1000000</f>
        <v>0</v>
      </c>
      <c r="I58" s="876">
        <f>I57*31*86400/1000000</f>
        <v>0</v>
      </c>
      <c r="J58" s="876">
        <f>J57*31*86400/1000000</f>
        <v>0</v>
      </c>
      <c r="K58" s="876">
        <f>K57*30*86400/1000000</f>
        <v>0</v>
      </c>
      <c r="L58" s="876">
        <f>L57*31*86400/1000000</f>
        <v>0</v>
      </c>
      <c r="M58" s="876">
        <f>M57*30*86400/1000000</f>
        <v>0</v>
      </c>
      <c r="N58" s="877">
        <f>N57*31*86400/1000000</f>
        <v>0</v>
      </c>
      <c r="O58" s="878">
        <f>SUM(C58:N58)</f>
        <v>0</v>
      </c>
      <c r="U58" s="879"/>
      <c r="V58" s="879"/>
      <c r="W58" s="879"/>
      <c r="X58" s="879"/>
      <c r="Y58" s="879"/>
      <c r="Z58" s="879"/>
      <c r="AA58" s="879"/>
      <c r="AB58" s="879"/>
      <c r="AC58" s="879"/>
      <c r="AD58" s="879"/>
      <c r="AE58" s="879"/>
      <c r="AF58" s="879"/>
    </row>
    <row r="80" spans="4:5" x14ac:dyDescent="0.25">
      <c r="D80" s="708"/>
      <c r="E80" s="708"/>
    </row>
    <row r="85" spans="1:14" ht="15.75" x14ac:dyDescent="0.25">
      <c r="A85" s="1992" t="s">
        <v>5093</v>
      </c>
      <c r="B85" s="1992"/>
      <c r="C85" s="1992"/>
      <c r="D85" s="1992"/>
      <c r="E85" s="1992"/>
      <c r="F85" s="1992"/>
      <c r="G85" s="1992"/>
      <c r="H85" s="1992"/>
      <c r="I85" s="1992"/>
      <c r="J85" s="1992"/>
      <c r="K85" s="1992"/>
      <c r="L85" s="1992"/>
      <c r="M85" s="1992"/>
      <c r="N85" s="1992"/>
    </row>
    <row r="86" spans="1:14" ht="15.75" thickBot="1" x14ac:dyDescent="0.3"/>
    <row r="87" spans="1:14" x14ac:dyDescent="0.25">
      <c r="A87" s="810" t="s">
        <v>5089</v>
      </c>
      <c r="B87" s="848" t="s">
        <v>5085</v>
      </c>
      <c r="C87" s="848" t="s">
        <v>5062</v>
      </c>
      <c r="D87" s="848" t="s">
        <v>5063</v>
      </c>
      <c r="E87" s="848" t="s">
        <v>5064</v>
      </c>
      <c r="F87" s="848" t="s">
        <v>5065</v>
      </c>
      <c r="G87" s="848" t="s">
        <v>5066</v>
      </c>
      <c r="H87" s="848" t="s">
        <v>5067</v>
      </c>
      <c r="I87" s="848" t="s">
        <v>5068</v>
      </c>
      <c r="J87" s="848" t="s">
        <v>5069</v>
      </c>
      <c r="K87" s="848" t="s">
        <v>5070</v>
      </c>
      <c r="L87" s="848" t="s">
        <v>5071</v>
      </c>
      <c r="M87" s="848" t="s">
        <v>5072</v>
      </c>
      <c r="N87" s="849" t="s">
        <v>5073</v>
      </c>
    </row>
    <row r="88" spans="1:14" x14ac:dyDescent="0.25">
      <c r="A88" s="805" t="s">
        <v>5094</v>
      </c>
      <c r="B88" s="880"/>
      <c r="C88" s="881">
        <f>C57</f>
        <v>0</v>
      </c>
      <c r="D88" s="881">
        <f t="shared" ref="D88:N88" si="14">D57</f>
        <v>0</v>
      </c>
      <c r="E88" s="881">
        <f t="shared" si="14"/>
        <v>0</v>
      </c>
      <c r="F88" s="881">
        <f t="shared" si="14"/>
        <v>0</v>
      </c>
      <c r="G88" s="881">
        <f t="shared" si="14"/>
        <v>0</v>
      </c>
      <c r="H88" s="881">
        <f t="shared" si="14"/>
        <v>0</v>
      </c>
      <c r="I88" s="881">
        <f t="shared" si="14"/>
        <v>0</v>
      </c>
      <c r="J88" s="881">
        <f t="shared" si="14"/>
        <v>0</v>
      </c>
      <c r="K88" s="881">
        <f t="shared" si="14"/>
        <v>0</v>
      </c>
      <c r="L88" s="881">
        <f t="shared" si="14"/>
        <v>0</v>
      </c>
      <c r="M88" s="881">
        <f t="shared" si="14"/>
        <v>0</v>
      </c>
      <c r="N88" s="882">
        <f t="shared" si="14"/>
        <v>0</v>
      </c>
    </row>
    <row r="89" spans="1:14" x14ac:dyDescent="0.25">
      <c r="A89" s="805" t="s">
        <v>5095</v>
      </c>
      <c r="B89" s="880"/>
      <c r="C89" s="881">
        <f>C23</f>
        <v>0</v>
      </c>
      <c r="D89" s="881">
        <f t="shared" ref="D89:M89" si="15">D23</f>
        <v>0</v>
      </c>
      <c r="E89" s="881">
        <f t="shared" si="15"/>
        <v>0</v>
      </c>
      <c r="F89" s="881">
        <f t="shared" si="15"/>
        <v>0</v>
      </c>
      <c r="G89" s="881">
        <f t="shared" si="15"/>
        <v>0</v>
      </c>
      <c r="H89" s="881">
        <f t="shared" si="15"/>
        <v>0</v>
      </c>
      <c r="I89" s="881">
        <f t="shared" si="15"/>
        <v>0</v>
      </c>
      <c r="J89" s="881">
        <f t="shared" si="15"/>
        <v>0</v>
      </c>
      <c r="K89" s="881">
        <f t="shared" si="15"/>
        <v>0</v>
      </c>
      <c r="L89" s="881">
        <f t="shared" si="15"/>
        <v>0</v>
      </c>
      <c r="M89" s="881">
        <f t="shared" si="15"/>
        <v>0</v>
      </c>
      <c r="N89" s="882">
        <f>N23</f>
        <v>0</v>
      </c>
    </row>
    <row r="90" spans="1:14" x14ac:dyDescent="0.25">
      <c r="A90" s="883" t="s">
        <v>5096</v>
      </c>
      <c r="B90" s="884"/>
      <c r="C90" s="885">
        <f>C88-C89</f>
        <v>0</v>
      </c>
      <c r="D90" s="885">
        <f t="shared" ref="D90:N90" si="16">D88-D89</f>
        <v>0</v>
      </c>
      <c r="E90" s="885">
        <f t="shared" si="16"/>
        <v>0</v>
      </c>
      <c r="F90" s="885">
        <f t="shared" si="16"/>
        <v>0</v>
      </c>
      <c r="G90" s="885">
        <f t="shared" si="16"/>
        <v>0</v>
      </c>
      <c r="H90" s="885">
        <f t="shared" si="16"/>
        <v>0</v>
      </c>
      <c r="I90" s="885">
        <f t="shared" si="16"/>
        <v>0</v>
      </c>
      <c r="J90" s="885">
        <f t="shared" si="16"/>
        <v>0</v>
      </c>
      <c r="K90" s="885">
        <f t="shared" si="16"/>
        <v>0</v>
      </c>
      <c r="L90" s="885">
        <f t="shared" si="16"/>
        <v>0</v>
      </c>
      <c r="M90" s="885">
        <f t="shared" si="16"/>
        <v>0</v>
      </c>
      <c r="N90" s="886">
        <f t="shared" si="16"/>
        <v>0</v>
      </c>
    </row>
    <row r="91" spans="1:14" x14ac:dyDescent="0.25">
      <c r="A91" s="805" t="s">
        <v>5097</v>
      </c>
      <c r="B91" s="880"/>
      <c r="C91" s="887">
        <f>C58</f>
        <v>0</v>
      </c>
      <c r="D91" s="887">
        <f t="shared" ref="D91:N91" si="17">D58</f>
        <v>0</v>
      </c>
      <c r="E91" s="887">
        <f t="shared" si="17"/>
        <v>0</v>
      </c>
      <c r="F91" s="887">
        <f t="shared" si="17"/>
        <v>0</v>
      </c>
      <c r="G91" s="887">
        <f t="shared" si="17"/>
        <v>0</v>
      </c>
      <c r="H91" s="887">
        <f t="shared" si="17"/>
        <v>0</v>
      </c>
      <c r="I91" s="887">
        <f t="shared" si="17"/>
        <v>0</v>
      </c>
      <c r="J91" s="887">
        <f t="shared" si="17"/>
        <v>0</v>
      </c>
      <c r="K91" s="887">
        <f t="shared" si="17"/>
        <v>0</v>
      </c>
      <c r="L91" s="887">
        <f t="shared" si="17"/>
        <v>0</v>
      </c>
      <c r="M91" s="887">
        <f t="shared" si="17"/>
        <v>0</v>
      </c>
      <c r="N91" s="888">
        <f t="shared" si="17"/>
        <v>0</v>
      </c>
    </row>
    <row r="92" spans="1:14" x14ac:dyDescent="0.25">
      <c r="A92" s="805" t="s">
        <v>5098</v>
      </c>
      <c r="B92" s="880"/>
      <c r="C92" s="887">
        <f>C22</f>
        <v>0</v>
      </c>
      <c r="D92" s="887">
        <f t="shared" ref="D92:M92" si="18">D22</f>
        <v>0</v>
      </c>
      <c r="E92" s="887">
        <f t="shared" si="18"/>
        <v>0</v>
      </c>
      <c r="F92" s="887">
        <f t="shared" si="18"/>
        <v>0</v>
      </c>
      <c r="G92" s="887">
        <f t="shared" si="18"/>
        <v>0</v>
      </c>
      <c r="H92" s="887">
        <f t="shared" si="18"/>
        <v>0</v>
      </c>
      <c r="I92" s="887">
        <f t="shared" si="18"/>
        <v>0</v>
      </c>
      <c r="J92" s="887">
        <f t="shared" si="18"/>
        <v>0</v>
      </c>
      <c r="K92" s="887">
        <f t="shared" si="18"/>
        <v>0</v>
      </c>
      <c r="L92" s="887">
        <f t="shared" si="18"/>
        <v>0</v>
      </c>
      <c r="M92" s="887">
        <f t="shared" si="18"/>
        <v>0</v>
      </c>
      <c r="N92" s="888">
        <f>N22</f>
        <v>0</v>
      </c>
    </row>
    <row r="93" spans="1:14" ht="15.75" thickBot="1" x14ac:dyDescent="0.3">
      <c r="A93" s="889" t="s">
        <v>5099</v>
      </c>
      <c r="B93" s="890"/>
      <c r="C93" s="891">
        <f>C91-C92</f>
        <v>0</v>
      </c>
      <c r="D93" s="891">
        <f t="shared" ref="D93:N93" si="19">D91-D92</f>
        <v>0</v>
      </c>
      <c r="E93" s="891">
        <f t="shared" si="19"/>
        <v>0</v>
      </c>
      <c r="F93" s="891">
        <f t="shared" si="19"/>
        <v>0</v>
      </c>
      <c r="G93" s="891">
        <f t="shared" si="19"/>
        <v>0</v>
      </c>
      <c r="H93" s="891">
        <f t="shared" si="19"/>
        <v>0</v>
      </c>
      <c r="I93" s="891">
        <f t="shared" si="19"/>
        <v>0</v>
      </c>
      <c r="J93" s="891">
        <f t="shared" si="19"/>
        <v>0</v>
      </c>
      <c r="K93" s="891">
        <f t="shared" si="19"/>
        <v>0</v>
      </c>
      <c r="L93" s="891">
        <f t="shared" si="19"/>
        <v>0</v>
      </c>
      <c r="M93" s="891">
        <f t="shared" si="19"/>
        <v>0</v>
      </c>
      <c r="N93" s="892">
        <f t="shared" si="19"/>
        <v>0</v>
      </c>
    </row>
    <row r="100" spans="10:25" x14ac:dyDescent="0.25">
      <c r="J100" s="494"/>
      <c r="K100" s="321"/>
      <c r="L100" s="321"/>
      <c r="M100" s="321"/>
      <c r="N100" s="321"/>
      <c r="O100" s="321"/>
      <c r="P100" s="321"/>
      <c r="Q100" s="321"/>
      <c r="R100" s="321"/>
      <c r="S100" s="321"/>
      <c r="T100" s="321"/>
      <c r="U100" s="321"/>
      <c r="V100" s="321"/>
      <c r="W100" s="321"/>
      <c r="X100" s="321"/>
      <c r="Y100" s="321"/>
    </row>
    <row r="101" spans="10:25" x14ac:dyDescent="0.25">
      <c r="J101" s="321"/>
      <c r="K101" s="321"/>
      <c r="L101" s="321"/>
      <c r="M101" s="321"/>
      <c r="N101" s="321"/>
      <c r="O101" s="321"/>
      <c r="P101" s="321"/>
      <c r="Q101" s="321"/>
      <c r="R101" s="321"/>
      <c r="S101" s="321"/>
      <c r="T101" s="321"/>
      <c r="U101" s="321"/>
      <c r="V101" s="321"/>
      <c r="W101" s="321"/>
      <c r="X101" s="321"/>
      <c r="Y101" s="321"/>
    </row>
    <row r="102" spans="10:25" x14ac:dyDescent="0.25">
      <c r="J102" s="597"/>
      <c r="K102" s="597"/>
      <c r="L102" s="597"/>
      <c r="M102" s="597"/>
      <c r="N102" s="597"/>
      <c r="O102" s="597"/>
      <c r="P102" s="893"/>
      <c r="Q102" s="894"/>
      <c r="R102" s="894"/>
      <c r="S102" s="894"/>
      <c r="T102" s="894"/>
      <c r="U102" s="894"/>
      <c r="V102" s="894"/>
      <c r="W102" s="894"/>
      <c r="X102" s="321"/>
      <c r="Y102" s="321"/>
    </row>
    <row r="103" spans="10:25" x14ac:dyDescent="0.25">
      <c r="J103" s="597"/>
      <c r="K103" s="597"/>
      <c r="L103" s="597"/>
      <c r="M103" s="597"/>
      <c r="N103" s="597"/>
      <c r="O103" s="597"/>
      <c r="P103" s="597"/>
      <c r="Q103" s="321"/>
      <c r="R103" s="321"/>
      <c r="S103" s="321"/>
      <c r="T103" s="321"/>
      <c r="U103" s="321"/>
      <c r="V103" s="321"/>
      <c r="W103" s="321"/>
      <c r="X103" s="321"/>
      <c r="Y103" s="321"/>
    </row>
    <row r="104" spans="10:25" x14ac:dyDescent="0.25">
      <c r="J104" s="597"/>
      <c r="K104" s="895"/>
      <c r="L104" s="895"/>
      <c r="M104" s="895"/>
      <c r="N104" s="895"/>
      <c r="O104" s="597"/>
      <c r="P104" s="597"/>
      <c r="Q104" s="896"/>
      <c r="R104" s="896"/>
      <c r="S104" s="896"/>
      <c r="T104" s="896"/>
      <c r="U104" s="896"/>
      <c r="V104" s="896"/>
      <c r="W104" s="896"/>
      <c r="X104" s="321"/>
      <c r="Y104" s="321"/>
    </row>
    <row r="105" spans="10:25" x14ac:dyDescent="0.25">
      <c r="J105" s="597"/>
      <c r="K105" s="897"/>
      <c r="L105" s="893"/>
      <c r="M105" s="893"/>
      <c r="N105" s="893"/>
      <c r="O105" s="898"/>
      <c r="P105" s="597"/>
      <c r="Q105" s="899"/>
      <c r="R105" s="899"/>
      <c r="S105" s="899"/>
      <c r="T105" s="899"/>
      <c r="U105" s="899"/>
      <c r="V105" s="899"/>
      <c r="W105" s="899"/>
      <c r="X105" s="321"/>
      <c r="Y105" s="321"/>
    </row>
    <row r="106" spans="10:25" x14ac:dyDescent="0.25">
      <c r="J106" s="597"/>
      <c r="K106" s="897"/>
      <c r="L106" s="893"/>
      <c r="M106" s="893"/>
      <c r="N106" s="893"/>
      <c r="O106" s="898"/>
      <c r="P106" s="597"/>
      <c r="Q106" s="321"/>
      <c r="R106" s="321"/>
      <c r="S106" s="321"/>
      <c r="T106" s="321"/>
      <c r="U106" s="321"/>
      <c r="V106" s="321"/>
      <c r="W106" s="321"/>
      <c r="X106" s="321"/>
      <c r="Y106" s="321"/>
    </row>
    <row r="107" spans="10:25" x14ac:dyDescent="0.25">
      <c r="J107" s="900"/>
      <c r="K107" s="897"/>
      <c r="L107" s="893"/>
      <c r="M107" s="893"/>
      <c r="N107" s="893"/>
      <c r="O107" s="898"/>
      <c r="P107" s="597"/>
      <c r="Q107" s="901"/>
      <c r="R107" s="901"/>
      <c r="S107" s="901"/>
      <c r="T107" s="901"/>
      <c r="U107" s="901"/>
      <c r="V107" s="901"/>
      <c r="W107" s="901"/>
      <c r="X107" s="902"/>
      <c r="Y107" s="321"/>
    </row>
    <row r="108" spans="10:25" x14ac:dyDescent="0.25">
      <c r="J108" s="597"/>
      <c r="K108" s="897"/>
      <c r="L108" s="893"/>
      <c r="M108" s="893"/>
      <c r="N108" s="893"/>
      <c r="O108" s="898"/>
      <c r="P108" s="597"/>
      <c r="Q108" s="903"/>
      <c r="R108" s="903"/>
      <c r="S108" s="903"/>
      <c r="T108" s="903"/>
      <c r="U108" s="903"/>
      <c r="V108" s="903"/>
      <c r="W108" s="903"/>
      <c r="X108" s="902"/>
      <c r="Y108" s="903"/>
    </row>
    <row r="109" spans="10:25" x14ac:dyDescent="0.25">
      <c r="J109" s="597"/>
      <c r="K109" s="897"/>
      <c r="L109" s="893"/>
      <c r="M109" s="893"/>
      <c r="N109" s="893"/>
      <c r="O109" s="898"/>
      <c r="P109" s="597"/>
      <c r="Q109" s="903"/>
      <c r="R109" s="903"/>
      <c r="S109" s="903"/>
      <c r="T109" s="903"/>
      <c r="U109" s="903"/>
      <c r="V109" s="903"/>
      <c r="W109" s="903"/>
      <c r="X109" s="903"/>
      <c r="Y109" s="321"/>
    </row>
    <row r="110" spans="10:25" x14ac:dyDescent="0.25">
      <c r="J110" s="597"/>
      <c r="K110" s="897"/>
      <c r="L110" s="893"/>
      <c r="M110" s="893"/>
      <c r="N110" s="893"/>
      <c r="O110" s="898"/>
      <c r="P110" s="597"/>
      <c r="Q110" s="904"/>
      <c r="R110" s="904"/>
      <c r="S110" s="904"/>
      <c r="T110" s="904"/>
      <c r="U110" s="904"/>
      <c r="V110" s="904"/>
      <c r="W110" s="904"/>
      <c r="X110" s="904"/>
      <c r="Y110" s="321"/>
    </row>
    <row r="111" spans="10:25" x14ac:dyDescent="0.25">
      <c r="J111" s="597"/>
      <c r="K111" s="897"/>
      <c r="L111" s="893"/>
      <c r="M111" s="893"/>
      <c r="N111" s="893"/>
      <c r="O111" s="898"/>
      <c r="P111" s="597"/>
      <c r="Q111" s="904"/>
      <c r="R111" s="904"/>
      <c r="S111" s="904"/>
      <c r="T111" s="904"/>
      <c r="U111" s="904"/>
      <c r="V111" s="904"/>
      <c r="W111" s="904"/>
      <c r="X111" s="904"/>
      <c r="Y111" s="321"/>
    </row>
    <row r="112" spans="10:25" x14ac:dyDescent="0.25">
      <c r="J112" s="597"/>
      <c r="K112" s="897"/>
      <c r="L112" s="893"/>
      <c r="M112" s="893"/>
      <c r="N112" s="893"/>
      <c r="O112" s="898"/>
      <c r="P112" s="597"/>
      <c r="Q112" s="904"/>
      <c r="R112" s="904"/>
      <c r="S112" s="904"/>
      <c r="T112" s="904"/>
      <c r="U112" s="904"/>
      <c r="V112" s="904"/>
      <c r="W112" s="904"/>
      <c r="X112" s="904"/>
      <c r="Y112" s="321"/>
    </row>
    <row r="113" spans="1:23" x14ac:dyDescent="0.25">
      <c r="J113" s="597"/>
      <c r="K113" s="897"/>
      <c r="L113" s="893"/>
      <c r="M113" s="893"/>
      <c r="N113" s="893"/>
      <c r="O113" s="898"/>
      <c r="P113" s="597"/>
    </row>
    <row r="114" spans="1:23" x14ac:dyDescent="0.25">
      <c r="J114" s="597"/>
      <c r="K114" s="897"/>
      <c r="L114" s="893"/>
      <c r="M114" s="893"/>
      <c r="N114" s="893"/>
      <c r="O114" s="898"/>
      <c r="P114" s="597"/>
      <c r="W114" s="879"/>
    </row>
    <row r="115" spans="1:23" x14ac:dyDescent="0.25">
      <c r="J115" s="597"/>
      <c r="K115" s="897"/>
      <c r="L115" s="893"/>
      <c r="M115" s="893"/>
      <c r="N115" s="893"/>
      <c r="O115" s="898"/>
      <c r="P115" s="597"/>
    </row>
    <row r="116" spans="1:23" ht="23.25" customHeight="1" x14ac:dyDescent="0.25">
      <c r="J116" s="597"/>
      <c r="K116" s="897"/>
      <c r="L116" s="893"/>
      <c r="M116" s="893"/>
      <c r="N116" s="893"/>
      <c r="O116" s="898"/>
      <c r="P116" s="597"/>
    </row>
    <row r="120" spans="1:23" ht="15.75" x14ac:dyDescent="0.25">
      <c r="A120" s="1991" t="s">
        <v>5100</v>
      </c>
      <c r="B120" s="1991"/>
      <c r="C120" s="1991"/>
      <c r="D120" s="1991"/>
      <c r="E120" s="1991"/>
      <c r="F120" s="1991"/>
      <c r="G120" s="1991"/>
      <c r="H120" s="1991"/>
      <c r="I120" s="1991"/>
      <c r="J120" s="1991"/>
      <c r="K120" s="1991"/>
      <c r="L120" s="1991"/>
      <c r="M120" s="1991"/>
      <c r="N120" s="1991"/>
      <c r="O120" s="708"/>
    </row>
    <row r="121" spans="1:23" ht="15.75" thickBot="1" x14ac:dyDescent="0.3">
      <c r="A121" s="708"/>
      <c r="B121" s="708"/>
      <c r="C121" s="708"/>
      <c r="D121" s="708"/>
      <c r="E121" s="708"/>
      <c r="F121" s="708"/>
      <c r="G121" s="708"/>
      <c r="H121" s="708"/>
      <c r="I121" s="708"/>
      <c r="J121" s="708"/>
      <c r="K121" s="708"/>
      <c r="L121" s="708"/>
      <c r="M121" s="708"/>
      <c r="N121" s="708"/>
      <c r="O121" s="708"/>
    </row>
    <row r="122" spans="1:23" x14ac:dyDescent="0.25">
      <c r="A122" s="905" t="s">
        <v>5084</v>
      </c>
      <c r="B122" s="906" t="s">
        <v>5085</v>
      </c>
      <c r="C122" s="906" t="s">
        <v>5062</v>
      </c>
      <c r="D122" s="906" t="s">
        <v>5063</v>
      </c>
      <c r="E122" s="906" t="s">
        <v>5064</v>
      </c>
      <c r="F122" s="906" t="s">
        <v>5065</v>
      </c>
      <c r="G122" s="906" t="s">
        <v>5066</v>
      </c>
      <c r="H122" s="906" t="s">
        <v>5067</v>
      </c>
      <c r="I122" s="906" t="s">
        <v>5068</v>
      </c>
      <c r="J122" s="906" t="s">
        <v>5069</v>
      </c>
      <c r="K122" s="906" t="s">
        <v>5070</v>
      </c>
      <c r="L122" s="906" t="s">
        <v>5071</v>
      </c>
      <c r="M122" s="907" t="s">
        <v>5072</v>
      </c>
      <c r="N122" s="908" t="s">
        <v>5073</v>
      </c>
      <c r="O122" s="708"/>
    </row>
    <row r="123" spans="1:23" x14ac:dyDescent="0.25">
      <c r="A123" s="850" t="str">
        <f>IF(A10="","",A10)</f>
        <v/>
      </c>
      <c r="B123" s="851" t="str">
        <f>IF(B10="","",B10)</f>
        <v/>
      </c>
      <c r="C123" s="909" t="str">
        <f>IF(ReporteBalance!B167="","",ReporteBalance!B167)</f>
        <v/>
      </c>
      <c r="D123" s="909" t="str">
        <f>IF(ReporteBalance!C167="","",ReporteBalance!C167)</f>
        <v/>
      </c>
      <c r="E123" s="909" t="str">
        <f>IF(ReporteBalance!D167="","",ReporteBalance!D167)</f>
        <v/>
      </c>
      <c r="F123" s="909" t="str">
        <f>IF(ReporteBalance!E167="","",ReporteBalance!E167)</f>
        <v/>
      </c>
      <c r="G123" s="909" t="str">
        <f>IF(ReporteBalance!F167="","",ReporteBalance!F167)</f>
        <v/>
      </c>
      <c r="H123" s="909" t="str">
        <f>IF(ReporteBalance!G167="","",ReporteBalance!G167)</f>
        <v/>
      </c>
      <c r="I123" s="909" t="str">
        <f>IF(ReporteBalance!H167="","",ReporteBalance!H167)</f>
        <v/>
      </c>
      <c r="J123" s="909" t="str">
        <f>IF(ReporteBalance!I167="","",ReporteBalance!I167)</f>
        <v/>
      </c>
      <c r="K123" s="909" t="str">
        <f>IF(ReporteBalance!J167="","",ReporteBalance!J167)</f>
        <v/>
      </c>
      <c r="L123" s="909" t="str">
        <f>IF(ReporteBalance!K167="","",ReporteBalance!K167)</f>
        <v/>
      </c>
      <c r="M123" s="909" t="str">
        <f>IF(ReporteBalance!L167="","",ReporteBalance!L167)</f>
        <v/>
      </c>
      <c r="N123" s="910" t="str">
        <f>IF(ReporteBalance!M167="","",ReporteBalance!M167)</f>
        <v/>
      </c>
      <c r="O123" s="911"/>
      <c r="P123" s="912"/>
    </row>
    <row r="124" spans="1:23" x14ac:dyDescent="0.25">
      <c r="A124" s="913" t="str">
        <f t="shared" ref="A124:B132" si="20">IF(A11="","",A11)</f>
        <v/>
      </c>
      <c r="B124" s="914" t="str">
        <f t="shared" si="20"/>
        <v/>
      </c>
      <c r="C124" s="909" t="str">
        <f>IF(ReporteBalance!B168="","",ReporteBalance!B168)</f>
        <v/>
      </c>
      <c r="D124" s="909" t="str">
        <f>IF(ReporteBalance!C168="","",ReporteBalance!C168)</f>
        <v/>
      </c>
      <c r="E124" s="909" t="str">
        <f>IF(ReporteBalance!D168="","",ReporteBalance!D168)</f>
        <v/>
      </c>
      <c r="F124" s="909" t="str">
        <f>IF(ReporteBalance!E168="","",ReporteBalance!E168)</f>
        <v/>
      </c>
      <c r="G124" s="909" t="str">
        <f>IF(ReporteBalance!F168="","",ReporteBalance!F168)</f>
        <v/>
      </c>
      <c r="H124" s="909" t="str">
        <f>IF(ReporteBalance!G168="","",ReporteBalance!G168)</f>
        <v/>
      </c>
      <c r="I124" s="909" t="str">
        <f>IF(ReporteBalance!H168="","",ReporteBalance!H168)</f>
        <v/>
      </c>
      <c r="J124" s="909" t="str">
        <f>IF(ReporteBalance!I168="","",ReporteBalance!I168)</f>
        <v/>
      </c>
      <c r="K124" s="909" t="str">
        <f>IF(ReporteBalance!J168="","",ReporteBalance!J168)</f>
        <v/>
      </c>
      <c r="L124" s="909" t="str">
        <f>IF(ReporteBalance!K168="","",ReporteBalance!K168)</f>
        <v/>
      </c>
      <c r="M124" s="909" t="str">
        <f>IF(ReporteBalance!L168="","",ReporteBalance!L168)</f>
        <v/>
      </c>
      <c r="N124" s="915" t="str">
        <f>IF(ReporteBalance!M168="","",ReporteBalance!M168)</f>
        <v/>
      </c>
      <c r="O124" s="911"/>
      <c r="P124" s="916"/>
    </row>
    <row r="125" spans="1:23" x14ac:dyDescent="0.25">
      <c r="A125" s="913" t="str">
        <f t="shared" si="20"/>
        <v/>
      </c>
      <c r="B125" s="914" t="str">
        <f t="shared" si="20"/>
        <v/>
      </c>
      <c r="C125" s="909" t="str">
        <f>IF(ReporteBalance!B169="","",ReporteBalance!B169)</f>
        <v/>
      </c>
      <c r="D125" s="909" t="str">
        <f>IF(ReporteBalance!C169="","",ReporteBalance!C169)</f>
        <v/>
      </c>
      <c r="E125" s="909" t="str">
        <f>IF(ReporteBalance!D169="","",ReporteBalance!D169)</f>
        <v/>
      </c>
      <c r="F125" s="909" t="str">
        <f>IF(ReporteBalance!E169="","",ReporteBalance!E169)</f>
        <v/>
      </c>
      <c r="G125" s="909" t="str">
        <f>IF(ReporteBalance!F169="","",ReporteBalance!F169)</f>
        <v/>
      </c>
      <c r="H125" s="909" t="str">
        <f>IF(ReporteBalance!G169="","",ReporteBalance!G169)</f>
        <v/>
      </c>
      <c r="I125" s="909" t="str">
        <f>IF(ReporteBalance!H169="","",ReporteBalance!H169)</f>
        <v/>
      </c>
      <c r="J125" s="909" t="str">
        <f>IF(ReporteBalance!I169="","",ReporteBalance!I169)</f>
        <v/>
      </c>
      <c r="K125" s="909" t="str">
        <f>IF(ReporteBalance!J169="","",ReporteBalance!J169)</f>
        <v/>
      </c>
      <c r="L125" s="909" t="str">
        <f>IF(ReporteBalance!K169="","",ReporteBalance!K169)</f>
        <v/>
      </c>
      <c r="M125" s="909" t="str">
        <f>IF(ReporteBalance!L169="","",ReporteBalance!L169)</f>
        <v/>
      </c>
      <c r="N125" s="915" t="str">
        <f>IF(ReporteBalance!M169="","",ReporteBalance!M169)</f>
        <v/>
      </c>
      <c r="O125" s="911"/>
      <c r="P125" s="916"/>
    </row>
    <row r="126" spans="1:23" x14ac:dyDescent="0.25">
      <c r="A126" s="913" t="str">
        <f t="shared" si="20"/>
        <v/>
      </c>
      <c r="B126" s="914" t="str">
        <f t="shared" si="20"/>
        <v/>
      </c>
      <c r="C126" s="909" t="str">
        <f>IF(ReporteBalance!B170="","",ReporteBalance!B170)</f>
        <v/>
      </c>
      <c r="D126" s="909" t="str">
        <f>IF(ReporteBalance!C170="","",ReporteBalance!C170)</f>
        <v/>
      </c>
      <c r="E126" s="909" t="str">
        <f>IF(ReporteBalance!D170="","",ReporteBalance!D170)</f>
        <v/>
      </c>
      <c r="F126" s="909" t="str">
        <f>IF(ReporteBalance!E170="","",ReporteBalance!E170)</f>
        <v/>
      </c>
      <c r="G126" s="909" t="str">
        <f>IF(ReporteBalance!F170="","",ReporteBalance!F170)</f>
        <v/>
      </c>
      <c r="H126" s="909" t="str">
        <f>IF(ReporteBalance!G170="","",ReporteBalance!G170)</f>
        <v/>
      </c>
      <c r="I126" s="909" t="str">
        <f>IF(ReporteBalance!H170="","",ReporteBalance!H170)</f>
        <v/>
      </c>
      <c r="J126" s="909" t="str">
        <f>IF(ReporteBalance!I170="","",ReporteBalance!I170)</f>
        <v/>
      </c>
      <c r="K126" s="909" t="str">
        <f>IF(ReporteBalance!J170="","",ReporteBalance!J170)</f>
        <v/>
      </c>
      <c r="L126" s="909" t="str">
        <f>IF(ReporteBalance!K170="","",ReporteBalance!K170)</f>
        <v/>
      </c>
      <c r="M126" s="909" t="str">
        <f>IF(ReporteBalance!L170="","",ReporteBalance!L170)</f>
        <v/>
      </c>
      <c r="N126" s="915" t="str">
        <f>IF(ReporteBalance!M170="","",ReporteBalance!M170)</f>
        <v/>
      </c>
      <c r="O126" s="911"/>
    </row>
    <row r="127" spans="1:23" x14ac:dyDescent="0.25">
      <c r="A127" s="913" t="str">
        <f t="shared" si="20"/>
        <v/>
      </c>
      <c r="B127" s="914" t="str">
        <f t="shared" si="20"/>
        <v/>
      </c>
      <c r="C127" s="909" t="str">
        <f>IF(ReporteBalance!B171="","",ReporteBalance!B171)</f>
        <v/>
      </c>
      <c r="D127" s="909" t="str">
        <f>IF(ReporteBalance!C171="","",ReporteBalance!C171)</f>
        <v/>
      </c>
      <c r="E127" s="909" t="str">
        <f>IF(ReporteBalance!D171="","",ReporteBalance!D171)</f>
        <v/>
      </c>
      <c r="F127" s="909" t="str">
        <f>IF(ReporteBalance!E171="","",ReporteBalance!E171)</f>
        <v/>
      </c>
      <c r="G127" s="909" t="str">
        <f>IF(ReporteBalance!F171="","",ReporteBalance!F171)</f>
        <v/>
      </c>
      <c r="H127" s="909" t="str">
        <f>IF(ReporteBalance!G171="","",ReporteBalance!G171)</f>
        <v/>
      </c>
      <c r="I127" s="909" t="str">
        <f>IF(ReporteBalance!H171="","",ReporteBalance!H171)</f>
        <v/>
      </c>
      <c r="J127" s="909" t="str">
        <f>IF(ReporteBalance!I171="","",ReporteBalance!I171)</f>
        <v/>
      </c>
      <c r="K127" s="909" t="str">
        <f>IF(ReporteBalance!J171="","",ReporteBalance!J171)</f>
        <v/>
      </c>
      <c r="L127" s="909" t="str">
        <f>IF(ReporteBalance!K171="","",ReporteBalance!K171)</f>
        <v/>
      </c>
      <c r="M127" s="909" t="str">
        <f>IF(ReporteBalance!L171="","",ReporteBalance!L171)</f>
        <v/>
      </c>
      <c r="N127" s="915" t="str">
        <f>IF(ReporteBalance!M171="","",ReporteBalance!M171)</f>
        <v/>
      </c>
      <c r="O127" s="911"/>
      <c r="P127" s="917"/>
      <c r="Q127" s="917"/>
      <c r="R127" s="917"/>
    </row>
    <row r="128" spans="1:23" x14ac:dyDescent="0.25">
      <c r="A128" s="913" t="str">
        <f t="shared" si="20"/>
        <v/>
      </c>
      <c r="B128" s="914" t="str">
        <f t="shared" si="20"/>
        <v/>
      </c>
      <c r="C128" s="909" t="str">
        <f>IF(ReporteBalance!B172="","",ReporteBalance!B172)</f>
        <v/>
      </c>
      <c r="D128" s="909" t="str">
        <f>IF(ReporteBalance!C172="","",ReporteBalance!C172)</f>
        <v/>
      </c>
      <c r="E128" s="909" t="str">
        <f>IF(ReporteBalance!D172="","",ReporteBalance!D172)</f>
        <v/>
      </c>
      <c r="F128" s="909" t="str">
        <f>IF(ReporteBalance!E172="","",ReporteBalance!E172)</f>
        <v/>
      </c>
      <c r="G128" s="909" t="str">
        <f>IF(ReporteBalance!F172="","",ReporteBalance!F172)</f>
        <v/>
      </c>
      <c r="H128" s="909" t="str">
        <f>IF(ReporteBalance!G172="","",ReporteBalance!G172)</f>
        <v/>
      </c>
      <c r="I128" s="909" t="str">
        <f>IF(ReporteBalance!H172="","",ReporteBalance!H172)</f>
        <v/>
      </c>
      <c r="J128" s="909" t="str">
        <f>IF(ReporteBalance!I172="","",ReporteBalance!I172)</f>
        <v/>
      </c>
      <c r="K128" s="909" t="str">
        <f>IF(ReporteBalance!J172="","",ReporteBalance!J172)</f>
        <v/>
      </c>
      <c r="L128" s="909" t="str">
        <f>IF(ReporteBalance!K172="","",ReporteBalance!K172)</f>
        <v/>
      </c>
      <c r="M128" s="909" t="str">
        <f>IF(ReporteBalance!L172="","",ReporteBalance!L172)</f>
        <v/>
      </c>
      <c r="N128" s="915" t="str">
        <f>IF(ReporteBalance!M172="","",ReporteBalance!M172)</f>
        <v/>
      </c>
      <c r="O128" s="911"/>
    </row>
    <row r="129" spans="1:16" x14ac:dyDescent="0.25">
      <c r="A129" s="913" t="str">
        <f t="shared" si="20"/>
        <v/>
      </c>
      <c r="B129" s="914" t="str">
        <f t="shared" si="20"/>
        <v/>
      </c>
      <c r="C129" s="909" t="str">
        <f>IF(ReporteBalance!B173="","",ReporteBalance!B173)</f>
        <v/>
      </c>
      <c r="D129" s="909" t="str">
        <f>IF(ReporteBalance!C173="","",ReporteBalance!C173)</f>
        <v/>
      </c>
      <c r="E129" s="909" t="str">
        <f>IF(ReporteBalance!D173="","",ReporteBalance!D173)</f>
        <v/>
      </c>
      <c r="F129" s="909" t="str">
        <f>IF(ReporteBalance!E173="","",ReporteBalance!E173)</f>
        <v/>
      </c>
      <c r="G129" s="909" t="str">
        <f>IF(ReporteBalance!F173="","",ReporteBalance!F173)</f>
        <v/>
      </c>
      <c r="H129" s="909" t="str">
        <f>IF(ReporteBalance!G173="","",ReporteBalance!G173)</f>
        <v/>
      </c>
      <c r="I129" s="909" t="str">
        <f>IF(ReporteBalance!H173="","",ReporteBalance!H173)</f>
        <v/>
      </c>
      <c r="J129" s="909" t="str">
        <f>IF(ReporteBalance!I173="","",ReporteBalance!I173)</f>
        <v/>
      </c>
      <c r="K129" s="909" t="str">
        <f>IF(ReporteBalance!J173="","",ReporteBalance!J173)</f>
        <v/>
      </c>
      <c r="L129" s="909" t="str">
        <f>IF(ReporteBalance!K173="","",ReporteBalance!K173)</f>
        <v/>
      </c>
      <c r="M129" s="909" t="str">
        <f>IF(ReporteBalance!L173="","",ReporteBalance!L173)</f>
        <v/>
      </c>
      <c r="N129" s="915" t="str">
        <f>IF(ReporteBalance!M173="","",ReporteBalance!M173)</f>
        <v/>
      </c>
      <c r="O129" s="911"/>
    </row>
    <row r="130" spans="1:16" x14ac:dyDescent="0.25">
      <c r="A130" s="913" t="str">
        <f t="shared" si="20"/>
        <v/>
      </c>
      <c r="B130" s="914" t="str">
        <f t="shared" si="20"/>
        <v/>
      </c>
      <c r="C130" s="909" t="str">
        <f>IF(ReporteBalance!B174="","",ReporteBalance!B174)</f>
        <v/>
      </c>
      <c r="D130" s="909" t="str">
        <f>IF(ReporteBalance!C174="","",ReporteBalance!C174)</f>
        <v/>
      </c>
      <c r="E130" s="909" t="str">
        <f>IF(ReporteBalance!D174="","",ReporteBalance!D174)</f>
        <v/>
      </c>
      <c r="F130" s="909" t="str">
        <f>IF(ReporteBalance!E174="","",ReporteBalance!E174)</f>
        <v/>
      </c>
      <c r="G130" s="909" t="str">
        <f>IF(ReporteBalance!F174="","",ReporteBalance!F174)</f>
        <v/>
      </c>
      <c r="H130" s="909" t="str">
        <f>IF(ReporteBalance!G174="","",ReporteBalance!G174)</f>
        <v/>
      </c>
      <c r="I130" s="909" t="str">
        <f>IF(ReporteBalance!H174="","",ReporteBalance!H174)</f>
        <v/>
      </c>
      <c r="J130" s="909" t="str">
        <f>IF(ReporteBalance!I174="","",ReporteBalance!I174)</f>
        <v/>
      </c>
      <c r="K130" s="909" t="str">
        <f>IF(ReporteBalance!J174="","",ReporteBalance!J174)</f>
        <v/>
      </c>
      <c r="L130" s="909" t="str">
        <f>IF(ReporteBalance!K174="","",ReporteBalance!K174)</f>
        <v/>
      </c>
      <c r="M130" s="909" t="str">
        <f>IF(ReporteBalance!L174="","",ReporteBalance!L174)</f>
        <v/>
      </c>
      <c r="N130" s="915" t="str">
        <f>IF(ReporteBalance!M174="","",ReporteBalance!M174)</f>
        <v/>
      </c>
      <c r="O130" s="911"/>
    </row>
    <row r="131" spans="1:16" x14ac:dyDescent="0.25">
      <c r="A131" s="913" t="str">
        <f t="shared" si="20"/>
        <v/>
      </c>
      <c r="B131" s="914" t="str">
        <f t="shared" si="20"/>
        <v/>
      </c>
      <c r="C131" s="909" t="str">
        <f>IF(ReporteBalance!B175="","",ReporteBalance!B175)</f>
        <v/>
      </c>
      <c r="D131" s="909" t="str">
        <f>IF(ReporteBalance!C175="","",ReporteBalance!C175)</f>
        <v/>
      </c>
      <c r="E131" s="909" t="str">
        <f>IF(ReporteBalance!D175="","",ReporteBalance!D175)</f>
        <v/>
      </c>
      <c r="F131" s="909" t="str">
        <f>IF(ReporteBalance!E175="","",ReporteBalance!E175)</f>
        <v/>
      </c>
      <c r="G131" s="909" t="str">
        <f>IF(ReporteBalance!F175="","",ReporteBalance!F175)</f>
        <v/>
      </c>
      <c r="H131" s="909" t="str">
        <f>IF(ReporteBalance!G175="","",ReporteBalance!G175)</f>
        <v/>
      </c>
      <c r="I131" s="909" t="str">
        <f>IF(ReporteBalance!H175="","",ReporteBalance!H175)</f>
        <v/>
      </c>
      <c r="J131" s="909" t="str">
        <f>IF(ReporteBalance!I175="","",ReporteBalance!I175)</f>
        <v/>
      </c>
      <c r="K131" s="909" t="str">
        <f>IF(ReporteBalance!J175="","",ReporteBalance!J175)</f>
        <v/>
      </c>
      <c r="L131" s="909" t="str">
        <f>IF(ReporteBalance!K175="","",ReporteBalance!K175)</f>
        <v/>
      </c>
      <c r="M131" s="909" t="str">
        <f>IF(ReporteBalance!L175="","",ReporteBalance!L175)</f>
        <v/>
      </c>
      <c r="N131" s="915" t="str">
        <f>IF(ReporteBalance!M175="","",ReporteBalance!M175)</f>
        <v/>
      </c>
      <c r="O131" s="708"/>
    </row>
    <row r="132" spans="1:16" x14ac:dyDescent="0.25">
      <c r="A132" s="913" t="str">
        <f t="shared" si="20"/>
        <v/>
      </c>
      <c r="B132" s="914" t="str">
        <f t="shared" si="20"/>
        <v/>
      </c>
      <c r="C132" s="909" t="str">
        <f>IF(ReporteBalance!B176="","",ReporteBalance!B176)</f>
        <v/>
      </c>
      <c r="D132" s="909" t="str">
        <f>IF(ReporteBalance!C176="","",ReporteBalance!C176)</f>
        <v/>
      </c>
      <c r="E132" s="909" t="str">
        <f>IF(ReporteBalance!D176="","",ReporteBalance!D176)</f>
        <v/>
      </c>
      <c r="F132" s="909" t="str">
        <f>IF(ReporteBalance!E176="","",ReporteBalance!E176)</f>
        <v/>
      </c>
      <c r="G132" s="909" t="str">
        <f>IF(ReporteBalance!F176="","",ReporteBalance!F176)</f>
        <v/>
      </c>
      <c r="H132" s="909" t="str">
        <f>IF(ReporteBalance!G176="","",ReporteBalance!G176)</f>
        <v/>
      </c>
      <c r="I132" s="909" t="str">
        <f>IF(ReporteBalance!H176="","",ReporteBalance!H176)</f>
        <v/>
      </c>
      <c r="J132" s="909" t="str">
        <f>IF(ReporteBalance!I176="","",ReporteBalance!I176)</f>
        <v/>
      </c>
      <c r="K132" s="909" t="str">
        <f>IF(ReporteBalance!J176="","",ReporteBalance!J176)</f>
        <v/>
      </c>
      <c r="L132" s="909" t="str">
        <f>IF(ReporteBalance!K176="","",ReporteBalance!K176)</f>
        <v/>
      </c>
      <c r="M132" s="909" t="str">
        <f>IF(ReporteBalance!L176="","",ReporteBalance!L176)</f>
        <v/>
      </c>
      <c r="N132" s="915" t="str">
        <f>IF(ReporteBalance!M176="","",ReporteBalance!M176)</f>
        <v/>
      </c>
      <c r="O132" s="708"/>
    </row>
    <row r="133" spans="1:16" ht="15.75" thickBot="1" x14ac:dyDescent="0.3">
      <c r="A133" s="918" t="str">
        <f>IF(A20="","",A20)</f>
        <v/>
      </c>
      <c r="B133" s="919" t="str">
        <f>IF(B20="","",B20)</f>
        <v/>
      </c>
      <c r="C133" s="920" t="str">
        <f>IF(ReporteBalance!B177="","",ReporteBalance!B177)</f>
        <v/>
      </c>
      <c r="D133" s="920" t="str">
        <f>IF(ReporteBalance!C177="","",ReporteBalance!C177)</f>
        <v/>
      </c>
      <c r="E133" s="920" t="str">
        <f>IF(ReporteBalance!D177="","",ReporteBalance!D177)</f>
        <v/>
      </c>
      <c r="F133" s="920" t="str">
        <f>IF(ReporteBalance!E177="","",ReporteBalance!E177)</f>
        <v/>
      </c>
      <c r="G133" s="920" t="str">
        <f>IF(ReporteBalance!F177="","",ReporteBalance!F177)</f>
        <v/>
      </c>
      <c r="H133" s="920" t="str">
        <f>IF(ReporteBalance!G177="","",ReporteBalance!G177)</f>
        <v/>
      </c>
      <c r="I133" s="920" t="str">
        <f>IF(ReporteBalance!H177="","",ReporteBalance!H177)</f>
        <v/>
      </c>
      <c r="J133" s="920" t="str">
        <f>IF(ReporteBalance!I177="","",ReporteBalance!I177)</f>
        <v/>
      </c>
      <c r="K133" s="920" t="str">
        <f>IF(ReporteBalance!J177="","",ReporteBalance!J177)</f>
        <v/>
      </c>
      <c r="L133" s="920" t="str">
        <f>IF(ReporteBalance!K177="","",ReporteBalance!K177)</f>
        <v/>
      </c>
      <c r="M133" s="920" t="str">
        <f>IF(ReporteBalance!L177="","",ReporteBalance!L177)</f>
        <v/>
      </c>
      <c r="N133" s="921" t="str">
        <f>IF(ReporteBalance!M177="","",ReporteBalance!M177)</f>
        <v/>
      </c>
      <c r="O133" s="708"/>
    </row>
    <row r="134" spans="1:16" x14ac:dyDescent="0.25">
      <c r="A134" s="816"/>
      <c r="B134" s="922">
        <f>SUM(B123:B133)</f>
        <v>0</v>
      </c>
      <c r="C134" s="816"/>
      <c r="D134" s="816"/>
      <c r="E134" s="816"/>
      <c r="F134" s="816"/>
      <c r="G134" s="816"/>
      <c r="H134" s="816"/>
      <c r="I134" s="816"/>
      <c r="J134" s="816"/>
      <c r="K134" s="816"/>
      <c r="L134" s="816"/>
      <c r="M134" s="816"/>
      <c r="N134" s="816"/>
      <c r="O134" s="708"/>
      <c r="P134" s="923"/>
    </row>
    <row r="135" spans="1:16" x14ac:dyDescent="0.25">
      <c r="A135" s="708"/>
      <c r="B135" s="708"/>
      <c r="C135" s="708"/>
      <c r="D135" s="708"/>
      <c r="E135" s="708"/>
      <c r="F135" s="708"/>
      <c r="G135" s="708"/>
      <c r="H135" s="708"/>
      <c r="I135" s="708"/>
      <c r="J135" s="708"/>
      <c r="K135" s="708"/>
      <c r="L135" s="708"/>
      <c r="M135" s="708"/>
      <c r="N135" s="708"/>
      <c r="O135" s="708"/>
    </row>
    <row r="136" spans="1:16" ht="15.75" x14ac:dyDescent="0.25">
      <c r="A136" s="1991" t="s">
        <v>5101</v>
      </c>
      <c r="B136" s="1991"/>
      <c r="C136" s="1991"/>
      <c r="D136" s="1991"/>
      <c r="E136" s="1991"/>
      <c r="F136" s="1991"/>
      <c r="G136" s="1991"/>
      <c r="H136" s="1991"/>
      <c r="I136" s="1991"/>
      <c r="J136" s="1991"/>
      <c r="K136" s="1991"/>
      <c r="L136" s="1991"/>
      <c r="M136" s="1991"/>
      <c r="N136" s="1991"/>
      <c r="O136" s="708"/>
    </row>
    <row r="137" spans="1:16" ht="15.75" thickBot="1" x14ac:dyDescent="0.3">
      <c r="A137" s="924" t="s">
        <v>5102</v>
      </c>
      <c r="B137" s="925" t="str">
        <f>IF(A123="","",A123)</f>
        <v/>
      </c>
      <c r="C137" s="708"/>
      <c r="D137" s="708"/>
      <c r="E137" s="708"/>
      <c r="F137" s="708"/>
      <c r="G137" s="708"/>
      <c r="H137" s="708"/>
      <c r="I137" s="708"/>
      <c r="J137" s="708"/>
      <c r="K137" s="708"/>
      <c r="L137" s="708"/>
      <c r="M137" s="708"/>
      <c r="N137" s="708"/>
      <c r="O137" s="708"/>
    </row>
    <row r="138" spans="1:16" x14ac:dyDescent="0.25">
      <c r="A138" s="926"/>
      <c r="B138" s="906" t="s">
        <v>4646</v>
      </c>
      <c r="C138" s="906" t="s">
        <v>5062</v>
      </c>
      <c r="D138" s="906" t="s">
        <v>5063</v>
      </c>
      <c r="E138" s="906" t="s">
        <v>5064</v>
      </c>
      <c r="F138" s="906" t="s">
        <v>5065</v>
      </c>
      <c r="G138" s="906" t="s">
        <v>5066</v>
      </c>
      <c r="H138" s="906" t="s">
        <v>5067</v>
      </c>
      <c r="I138" s="906" t="s">
        <v>5068</v>
      </c>
      <c r="J138" s="906" t="s">
        <v>5069</v>
      </c>
      <c r="K138" s="906" t="s">
        <v>5070</v>
      </c>
      <c r="L138" s="906" t="s">
        <v>5071</v>
      </c>
      <c r="M138" s="906" t="s">
        <v>5072</v>
      </c>
      <c r="N138" s="908" t="s">
        <v>5073</v>
      </c>
      <c r="O138" s="708"/>
    </row>
    <row r="139" spans="1:16" x14ac:dyDescent="0.25">
      <c r="A139" s="927" t="s">
        <v>5103</v>
      </c>
      <c r="B139" s="928" t="s">
        <v>5104</v>
      </c>
      <c r="C139" s="929" t="str">
        <f>IF(ReporteBalance!J59="","",ReporteBalance!J59*31)</f>
        <v/>
      </c>
      <c r="D139" s="929" t="str">
        <f>IF(ReporteBalance!J60="","",ReporteBalance!J60*28)</f>
        <v/>
      </c>
      <c r="E139" s="929" t="str">
        <f>IF(ReporteBalance!J61="","",ReporteBalance!J61*31)</f>
        <v/>
      </c>
      <c r="F139" s="929" t="str">
        <f>IF(ReporteBalance!J62="","",ReporteBalance!J62*30)</f>
        <v/>
      </c>
      <c r="G139" s="929" t="str">
        <f>IF(ReporteBalance!J63="","",ReporteBalance!J63*31)</f>
        <v/>
      </c>
      <c r="H139" s="929" t="str">
        <f>IF(ReporteBalance!J64="","",ReporteBalance!J64*30)</f>
        <v/>
      </c>
      <c r="I139" s="929" t="str">
        <f>IF(ReporteBalance!J65="","",ReporteBalance!J65*31)</f>
        <v/>
      </c>
      <c r="J139" s="929" t="str">
        <f>IF(ReporteBalance!J66="","",ReporteBalance!J66*31)</f>
        <v/>
      </c>
      <c r="K139" s="929" t="str">
        <f>IF(ReporteBalance!J67="","",ReporteBalance!J67*30)</f>
        <v/>
      </c>
      <c r="L139" s="929" t="str">
        <f>IF(ReporteBalance!J68="","",ReporteBalance!J68*31)</f>
        <v/>
      </c>
      <c r="M139" s="929" t="str">
        <f>IF(ReporteBalance!J69="","",ReporteBalance!J69*30)</f>
        <v/>
      </c>
      <c r="N139" s="930" t="str">
        <f>IF(ReporteBalance!J70="","",ReporteBalance!J70*31)</f>
        <v/>
      </c>
      <c r="O139" s="708"/>
    </row>
    <row r="140" spans="1:16" x14ac:dyDescent="0.25">
      <c r="A140" s="850" t="s">
        <v>5105</v>
      </c>
      <c r="B140" s="928"/>
      <c r="C140" s="929" t="str">
        <f>IF(INDEX($A$123:$N$133,MATCH($B137,$A$123:$A$133,0),3)=0,"",INDEX($A$123:$N$133,MATCH($B137,$A$123:$A$133,0),3))</f>
        <v/>
      </c>
      <c r="D140" s="929" t="str">
        <f>IF(INDEX($A$123:$N$133,MATCH($B137,$A$123:$A$133,0),4)=0,"",INDEX($A$123:$N$133,MATCH($B137,$A$123:$A$133,0),4))</f>
        <v/>
      </c>
      <c r="E140" s="929" t="str">
        <f>IF(INDEX($A$123:$N$133,MATCH($B137,$A$123:$A$133,0),5)=0,"",INDEX($A$123:$N$133,MATCH($B137,$A$123:$A$133,0),5))</f>
        <v/>
      </c>
      <c r="F140" s="929" t="str">
        <f>IF(INDEX($A$123:$N$133,MATCH($B137,$A$123:$A$133,0),6)=0,"",INDEX($A$123:$N$133,MATCH($B137,$A$123:$A$133,0),6))</f>
        <v/>
      </c>
      <c r="G140" s="929" t="str">
        <f>IF(INDEX($A$123:$N$133,MATCH($B137,$A$123:$A$133,0),7)=0,"",INDEX($A$123:$N$133,MATCH($B137,$A$123:$A$133,0),7))</f>
        <v/>
      </c>
      <c r="H140" s="929" t="str">
        <f>IF(INDEX($A$123:$N$133,MATCH($B137,$A$123:$A$133,0),8)=0,"",INDEX($A$123:$N$133,MATCH($B137,$A$123:$A$133,0),8))</f>
        <v/>
      </c>
      <c r="I140" s="929" t="str">
        <f>IF(INDEX($A$123:$N$133,MATCH($B137,$A$123:$A$133,0),9)=0,"",INDEX($A$123:$N$133,MATCH($B137,$A$123:$A$133,0),9))</f>
        <v/>
      </c>
      <c r="J140" s="929" t="str">
        <f>IF(INDEX($A$123:$N$133,MATCH($B137,$A$123:$A$133,0),10)=0,"",INDEX($A$123:$N$133,MATCH($B137,$A$123:$A$133,0),10))</f>
        <v/>
      </c>
      <c r="K140" s="929" t="str">
        <f>IF(INDEX($A$123:$N$133,MATCH($B137,$A$123:$A$133,0),11)=0,"",INDEX($A$123:$N$133,MATCH($B137,$A$123:$A$133,0),11))</f>
        <v/>
      </c>
      <c r="L140" s="929" t="str">
        <f>IF(INDEX($A$123:$N$133,MATCH($B137,$A$123:$A$133,0),12)=0,"",INDEX($A$123:$N$133,MATCH($B137,$A$123:$A$133,0),12))</f>
        <v/>
      </c>
      <c r="M140" s="929" t="str">
        <f>IF(INDEX($A$123:$N$133,MATCH($B137,$A$123:$A$133,0),13)=0,"",INDEX($A$123:$N$133,MATCH($B137,$A$123:$A$133,0),13))</f>
        <v/>
      </c>
      <c r="N140" s="930" t="str">
        <f>IF(INDEX($A$123:$N$133,MATCH($B137,$A$123:$A$133,0),14)=0,"",INDEX($A$123:$N$133,MATCH($B137,$A$123:$A$133,0),14))</f>
        <v/>
      </c>
      <c r="O140" s="708"/>
    </row>
    <row r="141" spans="1:16" x14ac:dyDescent="0.25">
      <c r="A141" s="850" t="s">
        <v>5106</v>
      </c>
      <c r="B141" s="928" t="s">
        <v>5104</v>
      </c>
      <c r="C141" s="929" t="str">
        <f>IF(C139="","",IF(C140="","",C139*C140))</f>
        <v/>
      </c>
      <c r="D141" s="929" t="str">
        <f t="shared" ref="D141:N141" si="21">IF(D139="","",IF(D140="","",D139*D140))</f>
        <v/>
      </c>
      <c r="E141" s="929" t="str">
        <f t="shared" si="21"/>
        <v/>
      </c>
      <c r="F141" s="929" t="str">
        <f t="shared" si="21"/>
        <v/>
      </c>
      <c r="G141" s="929" t="str">
        <f t="shared" si="21"/>
        <v/>
      </c>
      <c r="H141" s="929" t="str">
        <f t="shared" si="21"/>
        <v/>
      </c>
      <c r="I141" s="929" t="str">
        <f t="shared" si="21"/>
        <v/>
      </c>
      <c r="J141" s="929" t="str">
        <f t="shared" si="21"/>
        <v/>
      </c>
      <c r="K141" s="929" t="str">
        <f t="shared" si="21"/>
        <v/>
      </c>
      <c r="L141" s="929" t="str">
        <f t="shared" si="21"/>
        <v/>
      </c>
      <c r="M141" s="929" t="str">
        <f t="shared" si="21"/>
        <v/>
      </c>
      <c r="N141" s="930" t="str">
        <f t="shared" si="21"/>
        <v/>
      </c>
      <c r="O141" s="708"/>
    </row>
    <row r="142" spans="1:16" x14ac:dyDescent="0.25">
      <c r="A142" s="927" t="s">
        <v>5035</v>
      </c>
      <c r="B142" s="928" t="s">
        <v>5104</v>
      </c>
      <c r="C142" s="929">
        <f t="array" ref="C142:N142">TRANSPOSE(ReporteBalance!E80:E91)</f>
        <v>0</v>
      </c>
      <c r="D142" s="929">
        <v>0</v>
      </c>
      <c r="E142" s="929">
        <v>0</v>
      </c>
      <c r="F142" s="929">
        <v>0</v>
      </c>
      <c r="G142" s="929">
        <v>0</v>
      </c>
      <c r="H142" s="929">
        <v>0</v>
      </c>
      <c r="I142" s="929">
        <v>0</v>
      </c>
      <c r="J142" s="929">
        <v>0</v>
      </c>
      <c r="K142" s="929">
        <v>0</v>
      </c>
      <c r="L142" s="929">
        <v>0</v>
      </c>
      <c r="M142" s="929">
        <v>0</v>
      </c>
      <c r="N142" s="930">
        <v>0</v>
      </c>
      <c r="O142" s="708"/>
    </row>
    <row r="143" spans="1:16" x14ac:dyDescent="0.25">
      <c r="A143" s="850" t="s">
        <v>5107</v>
      </c>
      <c r="B143" s="928" t="s">
        <v>5104</v>
      </c>
      <c r="C143" s="929" t="str">
        <f>IF(C141="","",C141-C142)</f>
        <v/>
      </c>
      <c r="D143" s="929" t="str">
        <f t="shared" ref="D143:N143" si="22">IF(D141="","",D141-D142)</f>
        <v/>
      </c>
      <c r="E143" s="929" t="str">
        <f t="shared" si="22"/>
        <v/>
      </c>
      <c r="F143" s="929" t="str">
        <f t="shared" si="22"/>
        <v/>
      </c>
      <c r="G143" s="929" t="str">
        <f t="shared" si="22"/>
        <v/>
      </c>
      <c r="H143" s="929" t="str">
        <f t="shared" si="22"/>
        <v/>
      </c>
      <c r="I143" s="929" t="str">
        <f t="shared" si="22"/>
        <v/>
      </c>
      <c r="J143" s="929" t="str">
        <f t="shared" si="22"/>
        <v/>
      </c>
      <c r="K143" s="929" t="str">
        <f t="shared" si="22"/>
        <v/>
      </c>
      <c r="L143" s="929" t="str">
        <f t="shared" si="22"/>
        <v/>
      </c>
      <c r="M143" s="929" t="str">
        <f t="shared" si="22"/>
        <v/>
      </c>
      <c r="N143" s="930" t="str">
        <f t="shared" si="22"/>
        <v/>
      </c>
      <c r="O143" s="708"/>
    </row>
    <row r="144" spans="1:16" x14ac:dyDescent="0.25">
      <c r="A144" s="850" t="s">
        <v>5108</v>
      </c>
      <c r="B144" s="928" t="s">
        <v>5109</v>
      </c>
      <c r="C144" s="929" t="str">
        <f t="shared" ref="C144:N144" si="23">IF(C143="","",IF(C143&lt;0,0,C143*10))</f>
        <v/>
      </c>
      <c r="D144" s="929" t="str">
        <f t="shared" si="23"/>
        <v/>
      </c>
      <c r="E144" s="929" t="str">
        <f t="shared" si="23"/>
        <v/>
      </c>
      <c r="F144" s="929" t="str">
        <f t="shared" si="23"/>
        <v/>
      </c>
      <c r="G144" s="929" t="str">
        <f t="shared" si="23"/>
        <v/>
      </c>
      <c r="H144" s="929" t="str">
        <f t="shared" si="23"/>
        <v/>
      </c>
      <c r="I144" s="929" t="str">
        <f t="shared" si="23"/>
        <v/>
      </c>
      <c r="J144" s="929" t="str">
        <f t="shared" si="23"/>
        <v/>
      </c>
      <c r="K144" s="929" t="str">
        <f t="shared" si="23"/>
        <v/>
      </c>
      <c r="L144" s="929" t="str">
        <f t="shared" si="23"/>
        <v/>
      </c>
      <c r="M144" s="929" t="str">
        <f t="shared" si="23"/>
        <v/>
      </c>
      <c r="N144" s="930" t="str">
        <f t="shared" si="23"/>
        <v/>
      </c>
      <c r="O144" s="931"/>
    </row>
    <row r="145" spans="1:15" x14ac:dyDescent="0.25">
      <c r="A145" s="927" t="s">
        <v>5081</v>
      </c>
      <c r="B145" s="928"/>
      <c r="C145" s="929" t="str">
        <f>IF(ReporteBalance!C159="","",ReporteBalance!C159)</f>
        <v/>
      </c>
      <c r="D145" s="929" t="str">
        <f>C145</f>
        <v/>
      </c>
      <c r="E145" s="929" t="str">
        <f t="shared" ref="E145:M146" si="24">D145</f>
        <v/>
      </c>
      <c r="F145" s="929" t="str">
        <f t="shared" si="24"/>
        <v/>
      </c>
      <c r="G145" s="929" t="str">
        <f t="shared" si="24"/>
        <v/>
      </c>
      <c r="H145" s="929" t="str">
        <f t="shared" si="24"/>
        <v/>
      </c>
      <c r="I145" s="929" t="str">
        <f t="shared" si="24"/>
        <v/>
      </c>
      <c r="J145" s="929" t="str">
        <f t="shared" si="24"/>
        <v/>
      </c>
      <c r="K145" s="929" t="str">
        <f t="shared" si="24"/>
        <v/>
      </c>
      <c r="L145" s="929" t="str">
        <f t="shared" si="24"/>
        <v/>
      </c>
      <c r="M145" s="929" t="str">
        <f t="shared" si="24"/>
        <v/>
      </c>
      <c r="N145" s="930" t="str">
        <f>M145</f>
        <v/>
      </c>
      <c r="O145" s="708"/>
    </row>
    <row r="146" spans="1:15" x14ac:dyDescent="0.25">
      <c r="A146" s="927" t="s">
        <v>5110</v>
      </c>
      <c r="B146" s="928" t="s">
        <v>5111</v>
      </c>
      <c r="C146" s="929" t="str">
        <f>IF(ReporteBalance!C155="","",ReporteBalance!C155)</f>
        <v/>
      </c>
      <c r="D146" s="929" t="str">
        <f>C146</f>
        <v/>
      </c>
      <c r="E146" s="929" t="str">
        <f t="shared" si="24"/>
        <v/>
      </c>
      <c r="F146" s="929" t="str">
        <f t="shared" si="24"/>
        <v/>
      </c>
      <c r="G146" s="929" t="str">
        <f t="shared" si="24"/>
        <v/>
      </c>
      <c r="H146" s="929" t="str">
        <f t="shared" si="24"/>
        <v/>
      </c>
      <c r="I146" s="929" t="str">
        <f t="shared" si="24"/>
        <v/>
      </c>
      <c r="J146" s="929" t="str">
        <f t="shared" si="24"/>
        <v/>
      </c>
      <c r="K146" s="929" t="str">
        <f t="shared" si="24"/>
        <v/>
      </c>
      <c r="L146" s="929" t="str">
        <f t="shared" si="24"/>
        <v/>
      </c>
      <c r="M146" s="929" t="str">
        <f t="shared" si="24"/>
        <v/>
      </c>
      <c r="N146" s="930" t="str">
        <f>M146</f>
        <v/>
      </c>
      <c r="O146" s="708"/>
    </row>
    <row r="147" spans="1:15" x14ac:dyDescent="0.25">
      <c r="A147" s="850" t="s">
        <v>5112</v>
      </c>
      <c r="B147" s="928" t="s">
        <v>5113</v>
      </c>
      <c r="C147" s="929" t="str">
        <f>IF(C145="","",IF(C144="","",IF(C146="","",C144*(1000/(3600*31*C146))/C145)))</f>
        <v/>
      </c>
      <c r="D147" s="929" t="str">
        <f t="shared" ref="D147:N147" si="25">IF(D145="","",IF(D144="","",IF(D146="","",D144*(1000/(3600*31*D146))/D145)))</f>
        <v/>
      </c>
      <c r="E147" s="929" t="str">
        <f t="shared" si="25"/>
        <v/>
      </c>
      <c r="F147" s="929" t="str">
        <f t="shared" si="25"/>
        <v/>
      </c>
      <c r="G147" s="929" t="str">
        <f t="shared" si="25"/>
        <v/>
      </c>
      <c r="H147" s="929" t="str">
        <f t="shared" si="25"/>
        <v/>
      </c>
      <c r="I147" s="929" t="str">
        <f t="shared" si="25"/>
        <v/>
      </c>
      <c r="J147" s="929" t="str">
        <f t="shared" si="25"/>
        <v/>
      </c>
      <c r="K147" s="929" t="str">
        <f t="shared" si="25"/>
        <v/>
      </c>
      <c r="L147" s="929" t="str">
        <f t="shared" si="25"/>
        <v/>
      </c>
      <c r="M147" s="929" t="str">
        <f t="shared" si="25"/>
        <v/>
      </c>
      <c r="N147" s="930" t="str">
        <f t="shared" si="25"/>
        <v/>
      </c>
      <c r="O147" s="708"/>
    </row>
    <row r="148" spans="1:15" ht="15.75" thickBot="1" x14ac:dyDescent="0.3">
      <c r="A148" s="850" t="s">
        <v>5114</v>
      </c>
      <c r="B148" s="928" t="s">
        <v>5115</v>
      </c>
      <c r="C148" s="929" t="str">
        <f t="shared" ref="C148:N148" si="26">IF(C140="","",INDEX($A$123:$B$133,MATCH($B137,$A$123:$A$133,0),2))</f>
        <v/>
      </c>
      <c r="D148" s="929" t="str">
        <f t="shared" si="26"/>
        <v/>
      </c>
      <c r="E148" s="929" t="str">
        <f t="shared" si="26"/>
        <v/>
      </c>
      <c r="F148" s="929" t="str">
        <f t="shared" si="26"/>
        <v/>
      </c>
      <c r="G148" s="929" t="str">
        <f t="shared" si="26"/>
        <v/>
      </c>
      <c r="H148" s="929" t="str">
        <f t="shared" si="26"/>
        <v/>
      </c>
      <c r="I148" s="929" t="str">
        <f t="shared" si="26"/>
        <v/>
      </c>
      <c r="J148" s="929" t="str">
        <f t="shared" si="26"/>
        <v/>
      </c>
      <c r="K148" s="929" t="str">
        <f t="shared" si="26"/>
        <v/>
      </c>
      <c r="L148" s="929" t="str">
        <f t="shared" si="26"/>
        <v/>
      </c>
      <c r="M148" s="929" t="str">
        <f t="shared" si="26"/>
        <v/>
      </c>
      <c r="N148" s="932" t="str">
        <f t="shared" si="26"/>
        <v/>
      </c>
      <c r="O148" s="708"/>
    </row>
    <row r="149" spans="1:15" ht="15.75" thickBot="1" x14ac:dyDescent="0.3">
      <c r="A149" s="933" t="s">
        <v>5116</v>
      </c>
      <c r="B149" s="934" t="s">
        <v>5113</v>
      </c>
      <c r="C149" s="935" t="str">
        <f>IF(C147="","",C147*C148)</f>
        <v/>
      </c>
      <c r="D149" s="935" t="str">
        <f>IF(D147="","",D147*D148)</f>
        <v/>
      </c>
      <c r="E149" s="935" t="str">
        <f t="shared" ref="E149:N149" si="27">IF(E147="","",E147*E148)</f>
        <v/>
      </c>
      <c r="F149" s="935" t="str">
        <f t="shared" si="27"/>
        <v/>
      </c>
      <c r="G149" s="935" t="str">
        <f t="shared" si="27"/>
        <v/>
      </c>
      <c r="H149" s="935" t="str">
        <f t="shared" si="27"/>
        <v/>
      </c>
      <c r="I149" s="935" t="str">
        <f t="shared" si="27"/>
        <v/>
      </c>
      <c r="J149" s="935" t="str">
        <f t="shared" si="27"/>
        <v/>
      </c>
      <c r="K149" s="935" t="str">
        <f t="shared" si="27"/>
        <v/>
      </c>
      <c r="L149" s="935" t="str">
        <f t="shared" si="27"/>
        <v/>
      </c>
      <c r="M149" s="935" t="str">
        <f t="shared" si="27"/>
        <v/>
      </c>
      <c r="N149" s="936" t="str">
        <f t="shared" si="27"/>
        <v/>
      </c>
      <c r="O149" s="931"/>
    </row>
    <row r="150" spans="1:15" x14ac:dyDescent="0.25">
      <c r="A150" s="708"/>
      <c r="B150" s="708"/>
      <c r="C150" s="708"/>
      <c r="D150" s="708"/>
      <c r="E150" s="708"/>
      <c r="F150" s="708"/>
      <c r="G150" s="708"/>
      <c r="H150" s="708"/>
      <c r="I150" s="708"/>
      <c r="J150" s="708"/>
      <c r="K150" s="708"/>
      <c r="L150" s="708"/>
      <c r="M150" s="708"/>
      <c r="N150" s="708"/>
      <c r="O150" s="708"/>
    </row>
    <row r="151" spans="1:15" ht="15.75" x14ac:dyDescent="0.25">
      <c r="A151" s="1991" t="s">
        <v>5101</v>
      </c>
      <c r="B151" s="1991"/>
      <c r="C151" s="1991"/>
      <c r="D151" s="1991"/>
      <c r="E151" s="1991"/>
      <c r="F151" s="1991"/>
      <c r="G151" s="1991"/>
      <c r="H151" s="1991"/>
      <c r="I151" s="1991"/>
      <c r="J151" s="1991"/>
      <c r="K151" s="1991"/>
      <c r="L151" s="1991"/>
      <c r="M151" s="1991"/>
      <c r="N151" s="1991"/>
      <c r="O151" s="708"/>
    </row>
    <row r="152" spans="1:15" ht="15.75" thickBot="1" x14ac:dyDescent="0.3">
      <c r="A152" s="924" t="s">
        <v>5102</v>
      </c>
      <c r="B152" s="925" t="str">
        <f>IF(A124="","",A124)</f>
        <v/>
      </c>
      <c r="C152" s="708"/>
      <c r="D152" s="708"/>
      <c r="E152" s="708"/>
      <c r="F152" s="708"/>
      <c r="G152" s="708"/>
      <c r="H152" s="708"/>
      <c r="I152" s="708"/>
      <c r="J152" s="708"/>
      <c r="K152" s="708"/>
      <c r="L152" s="708"/>
      <c r="M152" s="708"/>
      <c r="N152" s="708"/>
      <c r="O152" s="708"/>
    </row>
    <row r="153" spans="1:15" x14ac:dyDescent="0.25">
      <c r="A153" s="926"/>
      <c r="B153" s="906" t="s">
        <v>4646</v>
      </c>
      <c r="C153" s="906" t="s">
        <v>5062</v>
      </c>
      <c r="D153" s="906" t="s">
        <v>5063</v>
      </c>
      <c r="E153" s="906" t="s">
        <v>5064</v>
      </c>
      <c r="F153" s="906" t="s">
        <v>5065</v>
      </c>
      <c r="G153" s="906" t="s">
        <v>5066</v>
      </c>
      <c r="H153" s="906" t="s">
        <v>5067</v>
      </c>
      <c r="I153" s="906" t="s">
        <v>5068</v>
      </c>
      <c r="J153" s="906" t="s">
        <v>5069</v>
      </c>
      <c r="K153" s="906" t="s">
        <v>5070</v>
      </c>
      <c r="L153" s="906" t="s">
        <v>5071</v>
      </c>
      <c r="M153" s="906" t="s">
        <v>5072</v>
      </c>
      <c r="N153" s="908" t="s">
        <v>5073</v>
      </c>
      <c r="O153" s="708"/>
    </row>
    <row r="154" spans="1:15" x14ac:dyDescent="0.25">
      <c r="A154" s="927" t="s">
        <v>5103</v>
      </c>
      <c r="B154" s="928" t="s">
        <v>5104</v>
      </c>
      <c r="C154" s="929" t="str">
        <f>C139</f>
        <v/>
      </c>
      <c r="D154" s="929" t="str">
        <f t="shared" ref="D154:N154" si="28">D139</f>
        <v/>
      </c>
      <c r="E154" s="929" t="str">
        <f t="shared" si="28"/>
        <v/>
      </c>
      <c r="F154" s="929" t="str">
        <f t="shared" si="28"/>
        <v/>
      </c>
      <c r="G154" s="929" t="str">
        <f t="shared" si="28"/>
        <v/>
      </c>
      <c r="H154" s="929" t="str">
        <f t="shared" si="28"/>
        <v/>
      </c>
      <c r="I154" s="929" t="str">
        <f t="shared" si="28"/>
        <v/>
      </c>
      <c r="J154" s="929" t="str">
        <f t="shared" si="28"/>
        <v/>
      </c>
      <c r="K154" s="929" t="str">
        <f t="shared" si="28"/>
        <v/>
      </c>
      <c r="L154" s="929" t="str">
        <f t="shared" si="28"/>
        <v/>
      </c>
      <c r="M154" s="929" t="str">
        <f t="shared" si="28"/>
        <v/>
      </c>
      <c r="N154" s="937" t="str">
        <f t="shared" si="28"/>
        <v/>
      </c>
      <c r="O154" s="708"/>
    </row>
    <row r="155" spans="1:15" x14ac:dyDescent="0.25">
      <c r="A155" s="850" t="s">
        <v>5105</v>
      </c>
      <c r="B155" s="928"/>
      <c r="C155" s="929" t="str">
        <f>IF(INDEX($A$123:$N$133,MATCH($B152,$A$123:$A$133,0),3)=0,"",INDEX($A$123:$N$133,MATCH($B152,$A$123:$A$133,0),3))</f>
        <v/>
      </c>
      <c r="D155" s="929" t="str">
        <f>IF(INDEX($A$123:$N$133,MATCH($B152,$A$123:$A$133,0),4)=0,"",INDEX($A$123:$N$133,MATCH($B152,$A$123:$A$133,0),4))</f>
        <v/>
      </c>
      <c r="E155" s="929" t="str">
        <f>IF(INDEX($A$123:$N$133,MATCH($B152,$A$123:$A$133,0),5)=0,"",INDEX($A$123:$N$133,MATCH($B152,$A$123:$A$133,0),5))</f>
        <v/>
      </c>
      <c r="F155" s="929" t="str">
        <f>IF(INDEX($A$123:$N$133,MATCH($B152,$A$123:$A$133,0),6)=0,"",INDEX($A$123:$N$133,MATCH($B152,$A$123:$A$133,0),6))</f>
        <v/>
      </c>
      <c r="G155" s="929" t="str">
        <f>IF(INDEX($A$123:$N$133,MATCH($B152,$A$123:$A$133,0),7)=0,"",INDEX($A$123:$N$133,MATCH($B152,$A$123:$A$133,0),7))</f>
        <v/>
      </c>
      <c r="H155" s="929" t="str">
        <f>IF(INDEX($A$123:$N$133,MATCH($B152,$A$123:$A$133,0),8)=0,"",INDEX($A$123:$N$133,MATCH($B152,$A$123:$A$133,0),8))</f>
        <v/>
      </c>
      <c r="I155" s="929" t="str">
        <f>IF(INDEX($A$123:$N$133,MATCH($B152,$A$123:$A$133,0),9)=0,"",INDEX($A$123:$N$133,MATCH($B152,$A$123:$A$133,0),9))</f>
        <v/>
      </c>
      <c r="J155" s="929" t="str">
        <f>IF(INDEX($A$123:$N$133,MATCH($B152,$A$123:$A$133,0),10)=0,"",INDEX($A$123:$N$133,MATCH($B152,$A$123:$A$133,0),10))</f>
        <v/>
      </c>
      <c r="K155" s="929" t="str">
        <f>IF(INDEX($A$123:$N$133,MATCH($B152,$A$123:$A$133,0),11)=0,"",INDEX($A$123:$N$133,MATCH($B152,$A$123:$A$133,0),11))</f>
        <v/>
      </c>
      <c r="L155" s="929" t="str">
        <f>IF(INDEX($A$123:$N$133,MATCH($B152,$A$123:$A$133,0),12)=0,"",INDEX($A$123:$N$133,MATCH($B152,$A$123:$A$133,0),12))</f>
        <v/>
      </c>
      <c r="M155" s="929" t="str">
        <f>IF(INDEX($A$123:$N$133,MATCH($B152,$A$123:$A$133,0),13)=0,"",INDEX($A$123:$N$133,MATCH($B152,$A$123:$A$133,0),13))</f>
        <v/>
      </c>
      <c r="N155" s="930" t="str">
        <f>IF(INDEX($A$123:$N$133,MATCH($B152,$A$123:$A$133,0),14)=0,"",INDEX($A$123:$N$133,MATCH($B152,$A$123:$A$133,0),14))</f>
        <v/>
      </c>
      <c r="O155" s="708"/>
    </row>
    <row r="156" spans="1:15" x14ac:dyDescent="0.25">
      <c r="A156" s="850" t="s">
        <v>5106</v>
      </c>
      <c r="B156" s="928" t="s">
        <v>5104</v>
      </c>
      <c r="C156" s="929" t="str">
        <f t="shared" ref="C156:N156" si="29">IF(C154="","",IF(C155="","",C154*C155))</f>
        <v/>
      </c>
      <c r="D156" s="929" t="str">
        <f t="shared" si="29"/>
        <v/>
      </c>
      <c r="E156" s="929" t="str">
        <f t="shared" si="29"/>
        <v/>
      </c>
      <c r="F156" s="929" t="str">
        <f t="shared" si="29"/>
        <v/>
      </c>
      <c r="G156" s="929" t="str">
        <f t="shared" si="29"/>
        <v/>
      </c>
      <c r="H156" s="929" t="str">
        <f t="shared" si="29"/>
        <v/>
      </c>
      <c r="I156" s="929" t="str">
        <f t="shared" si="29"/>
        <v/>
      </c>
      <c r="J156" s="929" t="str">
        <f t="shared" si="29"/>
        <v/>
      </c>
      <c r="K156" s="929" t="str">
        <f t="shared" si="29"/>
        <v/>
      </c>
      <c r="L156" s="929" t="str">
        <f t="shared" si="29"/>
        <v/>
      </c>
      <c r="M156" s="929" t="str">
        <f t="shared" si="29"/>
        <v/>
      </c>
      <c r="N156" s="930" t="str">
        <f t="shared" si="29"/>
        <v/>
      </c>
      <c r="O156" s="708"/>
    </row>
    <row r="157" spans="1:15" x14ac:dyDescent="0.25">
      <c r="A157" s="927" t="s">
        <v>5035</v>
      </c>
      <c r="B157" s="928" t="s">
        <v>5104</v>
      </c>
      <c r="C157" s="929">
        <f>C142</f>
        <v>0</v>
      </c>
      <c r="D157" s="929">
        <f t="shared" ref="D157:M157" si="30">D142</f>
        <v>0</v>
      </c>
      <c r="E157" s="929">
        <f t="shared" si="30"/>
        <v>0</v>
      </c>
      <c r="F157" s="929">
        <f t="shared" si="30"/>
        <v>0</v>
      </c>
      <c r="G157" s="929">
        <f t="shared" si="30"/>
        <v>0</v>
      </c>
      <c r="H157" s="929">
        <f t="shared" si="30"/>
        <v>0</v>
      </c>
      <c r="I157" s="929">
        <f t="shared" si="30"/>
        <v>0</v>
      </c>
      <c r="J157" s="929">
        <f t="shared" si="30"/>
        <v>0</v>
      </c>
      <c r="K157" s="929">
        <f t="shared" si="30"/>
        <v>0</v>
      </c>
      <c r="L157" s="929">
        <f t="shared" si="30"/>
        <v>0</v>
      </c>
      <c r="M157" s="929">
        <f t="shared" si="30"/>
        <v>0</v>
      </c>
      <c r="N157" s="930">
        <f>N142</f>
        <v>0</v>
      </c>
      <c r="O157" s="708"/>
    </row>
    <row r="158" spans="1:15" x14ac:dyDescent="0.25">
      <c r="A158" s="850" t="s">
        <v>5107</v>
      </c>
      <c r="B158" s="928" t="s">
        <v>5104</v>
      </c>
      <c r="C158" s="929" t="str">
        <f t="shared" ref="C158:N158" si="31">IF(C156="","",C156-C157)</f>
        <v/>
      </c>
      <c r="D158" s="929" t="str">
        <f t="shared" si="31"/>
        <v/>
      </c>
      <c r="E158" s="929" t="str">
        <f t="shared" si="31"/>
        <v/>
      </c>
      <c r="F158" s="929" t="str">
        <f t="shared" si="31"/>
        <v/>
      </c>
      <c r="G158" s="929" t="str">
        <f t="shared" si="31"/>
        <v/>
      </c>
      <c r="H158" s="929" t="str">
        <f t="shared" si="31"/>
        <v/>
      </c>
      <c r="I158" s="929" t="str">
        <f t="shared" si="31"/>
        <v/>
      </c>
      <c r="J158" s="929" t="str">
        <f t="shared" si="31"/>
        <v/>
      </c>
      <c r="K158" s="929" t="str">
        <f t="shared" si="31"/>
        <v/>
      </c>
      <c r="L158" s="929" t="str">
        <f t="shared" si="31"/>
        <v/>
      </c>
      <c r="M158" s="929" t="str">
        <f t="shared" si="31"/>
        <v/>
      </c>
      <c r="N158" s="930" t="str">
        <f t="shared" si="31"/>
        <v/>
      </c>
      <c r="O158" s="708"/>
    </row>
    <row r="159" spans="1:15" x14ac:dyDescent="0.25">
      <c r="A159" s="850" t="s">
        <v>5108</v>
      </c>
      <c r="B159" s="928" t="s">
        <v>5109</v>
      </c>
      <c r="C159" s="929" t="str">
        <f t="shared" ref="C159:N159" si="32">IF(C158="","",IF(C158&lt;0,0,C158*10))</f>
        <v/>
      </c>
      <c r="D159" s="929" t="str">
        <f t="shared" si="32"/>
        <v/>
      </c>
      <c r="E159" s="929" t="str">
        <f t="shared" si="32"/>
        <v/>
      </c>
      <c r="F159" s="929" t="str">
        <f t="shared" si="32"/>
        <v/>
      </c>
      <c r="G159" s="929" t="str">
        <f t="shared" si="32"/>
        <v/>
      </c>
      <c r="H159" s="929" t="str">
        <f t="shared" si="32"/>
        <v/>
      </c>
      <c r="I159" s="929" t="str">
        <f t="shared" si="32"/>
        <v/>
      </c>
      <c r="J159" s="929" t="str">
        <f t="shared" si="32"/>
        <v/>
      </c>
      <c r="K159" s="929" t="str">
        <f t="shared" si="32"/>
        <v/>
      </c>
      <c r="L159" s="929" t="str">
        <f t="shared" si="32"/>
        <v/>
      </c>
      <c r="M159" s="929" t="str">
        <f t="shared" si="32"/>
        <v/>
      </c>
      <c r="N159" s="930" t="str">
        <f t="shared" si="32"/>
        <v/>
      </c>
      <c r="O159" s="931"/>
    </row>
    <row r="160" spans="1:15" x14ac:dyDescent="0.25">
      <c r="A160" s="927" t="s">
        <v>5081</v>
      </c>
      <c r="B160" s="928"/>
      <c r="C160" s="929" t="str">
        <f>C145</f>
        <v/>
      </c>
      <c r="D160" s="929" t="str">
        <f>C160</f>
        <v/>
      </c>
      <c r="E160" s="929" t="str">
        <f t="shared" ref="E160:M161" si="33">D160</f>
        <v/>
      </c>
      <c r="F160" s="929" t="str">
        <f t="shared" si="33"/>
        <v/>
      </c>
      <c r="G160" s="929" t="str">
        <f t="shared" si="33"/>
        <v/>
      </c>
      <c r="H160" s="929" t="str">
        <f t="shared" si="33"/>
        <v/>
      </c>
      <c r="I160" s="929" t="str">
        <f t="shared" si="33"/>
        <v/>
      </c>
      <c r="J160" s="929" t="str">
        <f t="shared" si="33"/>
        <v/>
      </c>
      <c r="K160" s="929" t="str">
        <f t="shared" si="33"/>
        <v/>
      </c>
      <c r="L160" s="929" t="str">
        <f t="shared" si="33"/>
        <v/>
      </c>
      <c r="M160" s="929" t="str">
        <f t="shared" si="33"/>
        <v/>
      </c>
      <c r="N160" s="930" t="str">
        <f>M160</f>
        <v/>
      </c>
      <c r="O160" s="708"/>
    </row>
    <row r="161" spans="1:15" x14ac:dyDescent="0.25">
      <c r="A161" s="927" t="s">
        <v>5110</v>
      </c>
      <c r="B161" s="928" t="s">
        <v>5111</v>
      </c>
      <c r="C161" s="929" t="str">
        <f>C146</f>
        <v/>
      </c>
      <c r="D161" s="929" t="str">
        <f>C161</f>
        <v/>
      </c>
      <c r="E161" s="929" t="str">
        <f t="shared" si="33"/>
        <v/>
      </c>
      <c r="F161" s="929" t="str">
        <f t="shared" si="33"/>
        <v/>
      </c>
      <c r="G161" s="929" t="str">
        <f t="shared" si="33"/>
        <v/>
      </c>
      <c r="H161" s="929" t="str">
        <f t="shared" si="33"/>
        <v/>
      </c>
      <c r="I161" s="929" t="str">
        <f t="shared" si="33"/>
        <v/>
      </c>
      <c r="J161" s="929" t="str">
        <f t="shared" si="33"/>
        <v/>
      </c>
      <c r="K161" s="929" t="str">
        <f t="shared" si="33"/>
        <v/>
      </c>
      <c r="L161" s="929" t="str">
        <f t="shared" si="33"/>
        <v/>
      </c>
      <c r="M161" s="929" t="str">
        <f t="shared" si="33"/>
        <v/>
      </c>
      <c r="N161" s="930" t="str">
        <f>M161</f>
        <v/>
      </c>
      <c r="O161" s="708"/>
    </row>
    <row r="162" spans="1:15" x14ac:dyDescent="0.25">
      <c r="A162" s="850" t="s">
        <v>5112</v>
      </c>
      <c r="B162" s="928" t="s">
        <v>5113</v>
      </c>
      <c r="C162" s="929" t="str">
        <f t="shared" ref="C162:N162" si="34">IF(C160="","",IF(C159="","",IF(C161="","",C159*(1000/(3600*31*C161))/C160)))</f>
        <v/>
      </c>
      <c r="D162" s="929" t="str">
        <f t="shared" si="34"/>
        <v/>
      </c>
      <c r="E162" s="929" t="str">
        <f t="shared" si="34"/>
        <v/>
      </c>
      <c r="F162" s="929" t="str">
        <f t="shared" si="34"/>
        <v/>
      </c>
      <c r="G162" s="929" t="str">
        <f t="shared" si="34"/>
        <v/>
      </c>
      <c r="H162" s="929" t="str">
        <f t="shared" si="34"/>
        <v/>
      </c>
      <c r="I162" s="929" t="str">
        <f t="shared" si="34"/>
        <v/>
      </c>
      <c r="J162" s="929" t="str">
        <f t="shared" si="34"/>
        <v/>
      </c>
      <c r="K162" s="929" t="str">
        <f t="shared" si="34"/>
        <v/>
      </c>
      <c r="L162" s="929" t="str">
        <f t="shared" si="34"/>
        <v/>
      </c>
      <c r="M162" s="929" t="str">
        <f t="shared" si="34"/>
        <v/>
      </c>
      <c r="N162" s="930" t="str">
        <f t="shared" si="34"/>
        <v/>
      </c>
      <c r="O162" s="708"/>
    </row>
    <row r="163" spans="1:15" ht="15.75" thickBot="1" x14ac:dyDescent="0.3">
      <c r="A163" s="850" t="s">
        <v>5114</v>
      </c>
      <c r="B163" s="928" t="s">
        <v>5115</v>
      </c>
      <c r="C163" s="929" t="str">
        <f t="shared" ref="C163:N163" si="35">IF(C155="","",INDEX($A$123:$B$133,MATCH($B152,$A$123:$A$133,0),2))</f>
        <v/>
      </c>
      <c r="D163" s="929" t="str">
        <f t="shared" si="35"/>
        <v/>
      </c>
      <c r="E163" s="929" t="str">
        <f t="shared" si="35"/>
        <v/>
      </c>
      <c r="F163" s="929" t="str">
        <f t="shared" si="35"/>
        <v/>
      </c>
      <c r="G163" s="929" t="str">
        <f t="shared" si="35"/>
        <v/>
      </c>
      <c r="H163" s="929" t="str">
        <f t="shared" si="35"/>
        <v/>
      </c>
      <c r="I163" s="929" t="str">
        <f t="shared" si="35"/>
        <v/>
      </c>
      <c r="J163" s="929" t="str">
        <f t="shared" si="35"/>
        <v/>
      </c>
      <c r="K163" s="929" t="str">
        <f t="shared" si="35"/>
        <v/>
      </c>
      <c r="L163" s="929" t="str">
        <f t="shared" si="35"/>
        <v/>
      </c>
      <c r="M163" s="929" t="str">
        <f t="shared" si="35"/>
        <v/>
      </c>
      <c r="N163" s="932" t="str">
        <f t="shared" si="35"/>
        <v/>
      </c>
      <c r="O163" s="708"/>
    </row>
    <row r="164" spans="1:15" ht="15.75" thickBot="1" x14ac:dyDescent="0.3">
      <c r="A164" s="933" t="s">
        <v>5116</v>
      </c>
      <c r="B164" s="934" t="s">
        <v>5113</v>
      </c>
      <c r="C164" s="935" t="str">
        <f t="shared" ref="C164:N164" si="36">IF(C162="","",C162*C163)</f>
        <v/>
      </c>
      <c r="D164" s="935" t="str">
        <f t="shared" si="36"/>
        <v/>
      </c>
      <c r="E164" s="935" t="str">
        <f t="shared" si="36"/>
        <v/>
      </c>
      <c r="F164" s="935" t="str">
        <f t="shared" si="36"/>
        <v/>
      </c>
      <c r="G164" s="935" t="str">
        <f t="shared" si="36"/>
        <v/>
      </c>
      <c r="H164" s="935" t="str">
        <f t="shared" si="36"/>
        <v/>
      </c>
      <c r="I164" s="935" t="str">
        <f t="shared" si="36"/>
        <v/>
      </c>
      <c r="J164" s="935" t="str">
        <f t="shared" si="36"/>
        <v/>
      </c>
      <c r="K164" s="935" t="str">
        <f t="shared" si="36"/>
        <v/>
      </c>
      <c r="L164" s="935" t="str">
        <f t="shared" si="36"/>
        <v/>
      </c>
      <c r="M164" s="935" t="str">
        <f t="shared" si="36"/>
        <v/>
      </c>
      <c r="N164" s="936" t="str">
        <f t="shared" si="36"/>
        <v/>
      </c>
      <c r="O164" s="708"/>
    </row>
    <row r="165" spans="1:15" x14ac:dyDescent="0.25">
      <c r="A165" s="708"/>
      <c r="B165" s="708"/>
      <c r="C165" s="708"/>
      <c r="D165" s="708"/>
      <c r="E165" s="708"/>
      <c r="F165" s="708"/>
      <c r="G165" s="708"/>
      <c r="H165" s="708"/>
      <c r="I165" s="708"/>
      <c r="J165" s="708"/>
      <c r="K165" s="708"/>
      <c r="L165" s="708"/>
      <c r="M165" s="708"/>
      <c r="N165" s="708"/>
      <c r="O165" s="708"/>
    </row>
    <row r="166" spans="1:15" ht="15.75" x14ac:dyDescent="0.25">
      <c r="A166" s="1991" t="s">
        <v>5101</v>
      </c>
      <c r="B166" s="1991"/>
      <c r="C166" s="1991"/>
      <c r="D166" s="1991"/>
      <c r="E166" s="1991"/>
      <c r="F166" s="1991"/>
      <c r="G166" s="1991"/>
      <c r="H166" s="1991"/>
      <c r="I166" s="1991"/>
      <c r="J166" s="1991"/>
      <c r="K166" s="1991"/>
      <c r="L166" s="1991"/>
      <c r="M166" s="1991"/>
      <c r="N166" s="1991"/>
      <c r="O166" s="708"/>
    </row>
    <row r="167" spans="1:15" ht="15.75" thickBot="1" x14ac:dyDescent="0.3">
      <c r="A167" s="924" t="s">
        <v>5102</v>
      </c>
      <c r="B167" s="925" t="str">
        <f>IF(A125="","",A125)</f>
        <v/>
      </c>
      <c r="C167" s="708"/>
      <c r="D167" s="708"/>
      <c r="E167" s="708"/>
      <c r="F167" s="708"/>
      <c r="G167" s="708"/>
      <c r="H167" s="708"/>
      <c r="I167" s="708"/>
      <c r="J167" s="708"/>
      <c r="K167" s="708"/>
      <c r="L167" s="708"/>
      <c r="M167" s="708"/>
      <c r="N167" s="708"/>
      <c r="O167" s="708"/>
    </row>
    <row r="168" spans="1:15" x14ac:dyDescent="0.25">
      <c r="A168" s="926"/>
      <c r="B168" s="906" t="s">
        <v>4646</v>
      </c>
      <c r="C168" s="906" t="s">
        <v>5062</v>
      </c>
      <c r="D168" s="906" t="s">
        <v>5063</v>
      </c>
      <c r="E168" s="906" t="s">
        <v>5064</v>
      </c>
      <c r="F168" s="906" t="s">
        <v>5065</v>
      </c>
      <c r="G168" s="906" t="s">
        <v>5066</v>
      </c>
      <c r="H168" s="906" t="s">
        <v>5067</v>
      </c>
      <c r="I168" s="906" t="s">
        <v>5068</v>
      </c>
      <c r="J168" s="906" t="s">
        <v>5069</v>
      </c>
      <c r="K168" s="906" t="s">
        <v>5070</v>
      </c>
      <c r="L168" s="906" t="s">
        <v>5071</v>
      </c>
      <c r="M168" s="906" t="s">
        <v>5072</v>
      </c>
      <c r="N168" s="908" t="s">
        <v>5073</v>
      </c>
      <c r="O168" s="708"/>
    </row>
    <row r="169" spans="1:15" x14ac:dyDescent="0.25">
      <c r="A169" s="927" t="s">
        <v>5103</v>
      </c>
      <c r="B169" s="928" t="s">
        <v>5104</v>
      </c>
      <c r="C169" s="929" t="str">
        <f>C154</f>
        <v/>
      </c>
      <c r="D169" s="929" t="str">
        <f t="shared" ref="D169:N169" si="37">D154</f>
        <v/>
      </c>
      <c r="E169" s="929" t="str">
        <f t="shared" si="37"/>
        <v/>
      </c>
      <c r="F169" s="929" t="str">
        <f t="shared" si="37"/>
        <v/>
      </c>
      <c r="G169" s="929" t="str">
        <f t="shared" si="37"/>
        <v/>
      </c>
      <c r="H169" s="929" t="str">
        <f t="shared" si="37"/>
        <v/>
      </c>
      <c r="I169" s="929" t="str">
        <f t="shared" si="37"/>
        <v/>
      </c>
      <c r="J169" s="929" t="str">
        <f t="shared" si="37"/>
        <v/>
      </c>
      <c r="K169" s="929" t="str">
        <f t="shared" si="37"/>
        <v/>
      </c>
      <c r="L169" s="929" t="str">
        <f t="shared" si="37"/>
        <v/>
      </c>
      <c r="M169" s="929" t="str">
        <f t="shared" si="37"/>
        <v/>
      </c>
      <c r="N169" s="937" t="str">
        <f t="shared" si="37"/>
        <v/>
      </c>
      <c r="O169" s="708"/>
    </row>
    <row r="170" spans="1:15" x14ac:dyDescent="0.25">
      <c r="A170" s="850" t="s">
        <v>5105</v>
      </c>
      <c r="B170" s="928"/>
      <c r="C170" s="929" t="str">
        <f>IF(INDEX($A$123:$N$133,MATCH($B167,$A$123:$A$133,0),3)=0,"",INDEX($A$123:$N$133,MATCH($B167,$A$123:$A$133,0),3))</f>
        <v/>
      </c>
      <c r="D170" s="929" t="str">
        <f>IF(INDEX($A$123:$N$133,MATCH($B167,$A$123:$A$133,0),4)=0,"",INDEX($A$123:$N$133,MATCH($B167,$A$123:$A$133,0),4))</f>
        <v/>
      </c>
      <c r="E170" s="929" t="str">
        <f>IF(INDEX($A$123:$N$133,MATCH($B167,$A$123:$A$133,0),5)=0,"",INDEX($A$123:$N$133,MATCH($B167,$A$123:$A$133,0),5))</f>
        <v/>
      </c>
      <c r="F170" s="929" t="str">
        <f>IF(INDEX($A$123:$N$133,MATCH($B167,$A$123:$A$133,0),6)=0,"",INDEX($A$123:$N$133,MATCH($B167,$A$123:$A$133,0),6))</f>
        <v/>
      </c>
      <c r="G170" s="929" t="str">
        <f>IF(INDEX($A$123:$N$133,MATCH($B167,$A$123:$A$133,0),7)=0,"",INDEX($A$123:$N$133,MATCH($B167,$A$123:$A$133,0),7))</f>
        <v/>
      </c>
      <c r="H170" s="929" t="str">
        <f>IF(INDEX($A$123:$N$133,MATCH($B167,$A$123:$A$133,0),8)=0,"",INDEX($A$123:$N$133,MATCH($B167,$A$123:$A$133,0),8))</f>
        <v/>
      </c>
      <c r="I170" s="929" t="str">
        <f>IF(INDEX($A$123:$N$133,MATCH($B167,$A$123:$A$133,0),9)=0,"",INDEX($A$123:$N$133,MATCH($B167,$A$123:$A$133,0),9))</f>
        <v/>
      </c>
      <c r="J170" s="929" t="str">
        <f>IF(INDEX($A$123:$N$133,MATCH($B167,$A$123:$A$133,0),10)=0,"",INDEX($A$123:$N$133,MATCH($B167,$A$123:$A$133,0),10))</f>
        <v/>
      </c>
      <c r="K170" s="929" t="str">
        <f>IF(INDEX($A$123:$N$133,MATCH($B167,$A$123:$A$133,0),11)=0,"",INDEX($A$123:$N$133,MATCH($B167,$A$123:$A$133,0),11))</f>
        <v/>
      </c>
      <c r="L170" s="929" t="str">
        <f>IF(INDEX($A$123:$N$133,MATCH($B167,$A$123:$A$133,0),12)=0,"",INDEX($A$123:$N$133,MATCH($B167,$A$123:$A$133,0),12))</f>
        <v/>
      </c>
      <c r="M170" s="929" t="str">
        <f>IF(INDEX($A$123:$N$133,MATCH($B167,$A$123:$A$133,0),13)=0,"",INDEX($A$123:$N$133,MATCH($B167,$A$123:$A$133,0),13))</f>
        <v/>
      </c>
      <c r="N170" s="930" t="str">
        <f>IF(INDEX($A$123:$N$133,MATCH($B167,$A$123:$A$133,0),14)=0,"",INDEX($A$123:$N$133,MATCH($B167,$A$123:$A$133,0),14))</f>
        <v/>
      </c>
      <c r="O170" s="708"/>
    </row>
    <row r="171" spans="1:15" x14ac:dyDescent="0.25">
      <c r="A171" s="850" t="s">
        <v>5106</v>
      </c>
      <c r="B171" s="928" t="s">
        <v>5104</v>
      </c>
      <c r="C171" s="929" t="str">
        <f t="shared" ref="C171:N171" si="38">IF(C169="","",IF(C170="","",C169*C170))</f>
        <v/>
      </c>
      <c r="D171" s="929" t="str">
        <f t="shared" si="38"/>
        <v/>
      </c>
      <c r="E171" s="929" t="str">
        <f t="shared" si="38"/>
        <v/>
      </c>
      <c r="F171" s="929" t="str">
        <f t="shared" si="38"/>
        <v/>
      </c>
      <c r="G171" s="929" t="str">
        <f t="shared" si="38"/>
        <v/>
      </c>
      <c r="H171" s="929" t="str">
        <f t="shared" si="38"/>
        <v/>
      </c>
      <c r="I171" s="929" t="str">
        <f t="shared" si="38"/>
        <v/>
      </c>
      <c r="J171" s="929" t="str">
        <f t="shared" si="38"/>
        <v/>
      </c>
      <c r="K171" s="929" t="str">
        <f t="shared" si="38"/>
        <v/>
      </c>
      <c r="L171" s="929" t="str">
        <f t="shared" si="38"/>
        <v/>
      </c>
      <c r="M171" s="929" t="str">
        <f t="shared" si="38"/>
        <v/>
      </c>
      <c r="N171" s="930" t="str">
        <f t="shared" si="38"/>
        <v/>
      </c>
      <c r="O171" s="708"/>
    </row>
    <row r="172" spans="1:15" x14ac:dyDescent="0.25">
      <c r="A172" s="927" t="s">
        <v>5035</v>
      </c>
      <c r="B172" s="928" t="s">
        <v>5104</v>
      </c>
      <c r="C172" s="929">
        <f>C157</f>
        <v>0</v>
      </c>
      <c r="D172" s="929">
        <f t="shared" ref="D172:M172" si="39">D157</f>
        <v>0</v>
      </c>
      <c r="E172" s="929">
        <f t="shared" si="39"/>
        <v>0</v>
      </c>
      <c r="F172" s="929">
        <f t="shared" si="39"/>
        <v>0</v>
      </c>
      <c r="G172" s="929">
        <f t="shared" si="39"/>
        <v>0</v>
      </c>
      <c r="H172" s="929">
        <f t="shared" si="39"/>
        <v>0</v>
      </c>
      <c r="I172" s="929">
        <f t="shared" si="39"/>
        <v>0</v>
      </c>
      <c r="J172" s="929">
        <f t="shared" si="39"/>
        <v>0</v>
      </c>
      <c r="K172" s="929">
        <f t="shared" si="39"/>
        <v>0</v>
      </c>
      <c r="L172" s="929">
        <f t="shared" si="39"/>
        <v>0</v>
      </c>
      <c r="M172" s="929">
        <f t="shared" si="39"/>
        <v>0</v>
      </c>
      <c r="N172" s="930">
        <f>N157</f>
        <v>0</v>
      </c>
      <c r="O172" s="708"/>
    </row>
    <row r="173" spans="1:15" x14ac:dyDescent="0.25">
      <c r="A173" s="850" t="s">
        <v>5107</v>
      </c>
      <c r="B173" s="928" t="s">
        <v>5104</v>
      </c>
      <c r="C173" s="929" t="str">
        <f t="shared" ref="C173:N173" si="40">IF(C171="","",C171-C172)</f>
        <v/>
      </c>
      <c r="D173" s="929" t="str">
        <f t="shared" si="40"/>
        <v/>
      </c>
      <c r="E173" s="929" t="str">
        <f t="shared" si="40"/>
        <v/>
      </c>
      <c r="F173" s="929" t="str">
        <f t="shared" si="40"/>
        <v/>
      </c>
      <c r="G173" s="929" t="str">
        <f t="shared" si="40"/>
        <v/>
      </c>
      <c r="H173" s="929" t="str">
        <f t="shared" si="40"/>
        <v/>
      </c>
      <c r="I173" s="929" t="str">
        <f t="shared" si="40"/>
        <v/>
      </c>
      <c r="J173" s="929" t="str">
        <f t="shared" si="40"/>
        <v/>
      </c>
      <c r="K173" s="929" t="str">
        <f t="shared" si="40"/>
        <v/>
      </c>
      <c r="L173" s="929" t="str">
        <f t="shared" si="40"/>
        <v/>
      </c>
      <c r="M173" s="929" t="str">
        <f t="shared" si="40"/>
        <v/>
      </c>
      <c r="N173" s="930" t="str">
        <f t="shared" si="40"/>
        <v/>
      </c>
      <c r="O173" s="708"/>
    </row>
    <row r="174" spans="1:15" x14ac:dyDescent="0.25">
      <c r="A174" s="850" t="s">
        <v>5108</v>
      </c>
      <c r="B174" s="928" t="s">
        <v>5109</v>
      </c>
      <c r="C174" s="929" t="str">
        <f t="shared" ref="C174:N174" si="41">IF(C173="","",IF(C173&lt;0,0,C173*10))</f>
        <v/>
      </c>
      <c r="D174" s="929" t="str">
        <f t="shared" si="41"/>
        <v/>
      </c>
      <c r="E174" s="929" t="str">
        <f t="shared" si="41"/>
        <v/>
      </c>
      <c r="F174" s="929" t="str">
        <f t="shared" si="41"/>
        <v/>
      </c>
      <c r="G174" s="929" t="str">
        <f t="shared" si="41"/>
        <v/>
      </c>
      <c r="H174" s="929" t="str">
        <f t="shared" si="41"/>
        <v/>
      </c>
      <c r="I174" s="929" t="str">
        <f t="shared" si="41"/>
        <v/>
      </c>
      <c r="J174" s="929" t="str">
        <f t="shared" si="41"/>
        <v/>
      </c>
      <c r="K174" s="929" t="str">
        <f t="shared" si="41"/>
        <v/>
      </c>
      <c r="L174" s="929" t="str">
        <f t="shared" si="41"/>
        <v/>
      </c>
      <c r="M174" s="929" t="str">
        <f t="shared" si="41"/>
        <v/>
      </c>
      <c r="N174" s="930" t="str">
        <f t="shared" si="41"/>
        <v/>
      </c>
      <c r="O174" s="931"/>
    </row>
    <row r="175" spans="1:15" x14ac:dyDescent="0.25">
      <c r="A175" s="927" t="s">
        <v>5081</v>
      </c>
      <c r="B175" s="928"/>
      <c r="C175" s="929" t="str">
        <f>C160</f>
        <v/>
      </c>
      <c r="D175" s="929" t="str">
        <f>C175</f>
        <v/>
      </c>
      <c r="E175" s="929" t="str">
        <f t="shared" ref="E175:M176" si="42">D175</f>
        <v/>
      </c>
      <c r="F175" s="929" t="str">
        <f t="shared" si="42"/>
        <v/>
      </c>
      <c r="G175" s="929" t="str">
        <f t="shared" si="42"/>
        <v/>
      </c>
      <c r="H175" s="929" t="str">
        <f t="shared" si="42"/>
        <v/>
      </c>
      <c r="I175" s="929" t="str">
        <f t="shared" si="42"/>
        <v/>
      </c>
      <c r="J175" s="929" t="str">
        <f t="shared" si="42"/>
        <v/>
      </c>
      <c r="K175" s="929" t="str">
        <f t="shared" si="42"/>
        <v/>
      </c>
      <c r="L175" s="929" t="str">
        <f t="shared" si="42"/>
        <v/>
      </c>
      <c r="M175" s="929" t="str">
        <f t="shared" si="42"/>
        <v/>
      </c>
      <c r="N175" s="930" t="str">
        <f>M175</f>
        <v/>
      </c>
      <c r="O175" s="708"/>
    </row>
    <row r="176" spans="1:15" x14ac:dyDescent="0.25">
      <c r="A176" s="927" t="s">
        <v>5110</v>
      </c>
      <c r="B176" s="928" t="s">
        <v>5111</v>
      </c>
      <c r="C176" s="929" t="str">
        <f>C161</f>
        <v/>
      </c>
      <c r="D176" s="929" t="str">
        <f>C176</f>
        <v/>
      </c>
      <c r="E176" s="929" t="str">
        <f t="shared" si="42"/>
        <v/>
      </c>
      <c r="F176" s="929" t="str">
        <f t="shared" si="42"/>
        <v/>
      </c>
      <c r="G176" s="929" t="str">
        <f t="shared" si="42"/>
        <v/>
      </c>
      <c r="H176" s="929" t="str">
        <f t="shared" si="42"/>
        <v/>
      </c>
      <c r="I176" s="929" t="str">
        <f t="shared" si="42"/>
        <v/>
      </c>
      <c r="J176" s="929" t="str">
        <f t="shared" si="42"/>
        <v/>
      </c>
      <c r="K176" s="929" t="str">
        <f t="shared" si="42"/>
        <v/>
      </c>
      <c r="L176" s="929" t="str">
        <f t="shared" si="42"/>
        <v/>
      </c>
      <c r="M176" s="929" t="str">
        <f t="shared" si="42"/>
        <v/>
      </c>
      <c r="N176" s="930" t="str">
        <f>M176</f>
        <v/>
      </c>
      <c r="O176" s="708"/>
    </row>
    <row r="177" spans="1:15" x14ac:dyDescent="0.25">
      <c r="A177" s="850" t="s">
        <v>5112</v>
      </c>
      <c r="B177" s="928" t="s">
        <v>5113</v>
      </c>
      <c r="C177" s="929" t="str">
        <f t="shared" ref="C177:N177" si="43">IF(C175="","",IF(C174="","",IF(C176="","",C174*(1000/(3600*31*C176))/C175)))</f>
        <v/>
      </c>
      <c r="D177" s="929" t="str">
        <f t="shared" si="43"/>
        <v/>
      </c>
      <c r="E177" s="929" t="str">
        <f t="shared" si="43"/>
        <v/>
      </c>
      <c r="F177" s="929" t="str">
        <f t="shared" si="43"/>
        <v/>
      </c>
      <c r="G177" s="929" t="str">
        <f t="shared" si="43"/>
        <v/>
      </c>
      <c r="H177" s="929" t="str">
        <f t="shared" si="43"/>
        <v/>
      </c>
      <c r="I177" s="929" t="str">
        <f t="shared" si="43"/>
        <v/>
      </c>
      <c r="J177" s="929" t="str">
        <f t="shared" si="43"/>
        <v/>
      </c>
      <c r="K177" s="929" t="str">
        <f t="shared" si="43"/>
        <v/>
      </c>
      <c r="L177" s="929" t="str">
        <f t="shared" si="43"/>
        <v/>
      </c>
      <c r="M177" s="929" t="str">
        <f t="shared" si="43"/>
        <v/>
      </c>
      <c r="N177" s="930" t="str">
        <f t="shared" si="43"/>
        <v/>
      </c>
      <c r="O177" s="708"/>
    </row>
    <row r="178" spans="1:15" ht="15.75" thickBot="1" x14ac:dyDescent="0.3">
      <c r="A178" s="850" t="s">
        <v>5114</v>
      </c>
      <c r="B178" s="928" t="s">
        <v>5115</v>
      </c>
      <c r="C178" s="929" t="str">
        <f t="shared" ref="C178:N178" si="44">IF(C170="","",INDEX($A$123:$B$133,MATCH($B167,$A$123:$A$133,0),2))</f>
        <v/>
      </c>
      <c r="D178" s="929" t="str">
        <f t="shared" si="44"/>
        <v/>
      </c>
      <c r="E178" s="929" t="str">
        <f t="shared" si="44"/>
        <v/>
      </c>
      <c r="F178" s="929" t="str">
        <f t="shared" si="44"/>
        <v/>
      </c>
      <c r="G178" s="929" t="str">
        <f t="shared" si="44"/>
        <v/>
      </c>
      <c r="H178" s="929" t="str">
        <f t="shared" si="44"/>
        <v/>
      </c>
      <c r="I178" s="929" t="str">
        <f t="shared" si="44"/>
        <v/>
      </c>
      <c r="J178" s="929" t="str">
        <f t="shared" si="44"/>
        <v/>
      </c>
      <c r="K178" s="929" t="str">
        <f t="shared" si="44"/>
        <v/>
      </c>
      <c r="L178" s="929" t="str">
        <f t="shared" si="44"/>
        <v/>
      </c>
      <c r="M178" s="929" t="str">
        <f t="shared" si="44"/>
        <v/>
      </c>
      <c r="N178" s="932" t="str">
        <f t="shared" si="44"/>
        <v/>
      </c>
      <c r="O178" s="708"/>
    </row>
    <row r="179" spans="1:15" ht="15.75" thickBot="1" x14ac:dyDescent="0.3">
      <c r="A179" s="933" t="s">
        <v>5116</v>
      </c>
      <c r="B179" s="934" t="s">
        <v>5113</v>
      </c>
      <c r="C179" s="935" t="str">
        <f t="shared" ref="C179:N179" si="45">IF(C177="","",C177*C178)</f>
        <v/>
      </c>
      <c r="D179" s="935" t="str">
        <f t="shared" si="45"/>
        <v/>
      </c>
      <c r="E179" s="935" t="str">
        <f t="shared" si="45"/>
        <v/>
      </c>
      <c r="F179" s="935" t="str">
        <f t="shared" si="45"/>
        <v/>
      </c>
      <c r="G179" s="935" t="str">
        <f t="shared" si="45"/>
        <v/>
      </c>
      <c r="H179" s="935" t="str">
        <f t="shared" si="45"/>
        <v/>
      </c>
      <c r="I179" s="935" t="str">
        <f t="shared" si="45"/>
        <v/>
      </c>
      <c r="J179" s="935" t="str">
        <f t="shared" si="45"/>
        <v/>
      </c>
      <c r="K179" s="935" t="str">
        <f t="shared" si="45"/>
        <v/>
      </c>
      <c r="L179" s="935" t="str">
        <f t="shared" si="45"/>
        <v/>
      </c>
      <c r="M179" s="935" t="str">
        <f t="shared" si="45"/>
        <v/>
      </c>
      <c r="N179" s="938" t="str">
        <f t="shared" si="45"/>
        <v/>
      </c>
      <c r="O179" s="708"/>
    </row>
    <row r="180" spans="1:15" x14ac:dyDescent="0.25">
      <c r="A180" s="708"/>
      <c r="B180" s="708"/>
      <c r="C180" s="708"/>
      <c r="D180" s="708"/>
      <c r="E180" s="708"/>
      <c r="F180" s="708"/>
      <c r="G180" s="708"/>
      <c r="H180" s="708"/>
      <c r="I180" s="708"/>
      <c r="J180" s="708"/>
      <c r="K180" s="708"/>
      <c r="L180" s="708"/>
      <c r="M180" s="708"/>
      <c r="N180" s="708"/>
      <c r="O180" s="708"/>
    </row>
    <row r="181" spans="1:15" ht="15.75" x14ac:dyDescent="0.25">
      <c r="A181" s="1991" t="s">
        <v>5101</v>
      </c>
      <c r="B181" s="1991"/>
      <c r="C181" s="1991"/>
      <c r="D181" s="1991"/>
      <c r="E181" s="1991"/>
      <c r="F181" s="1991"/>
      <c r="G181" s="1991"/>
      <c r="H181" s="1991"/>
      <c r="I181" s="1991"/>
      <c r="J181" s="1991"/>
      <c r="K181" s="1991"/>
      <c r="L181" s="1991"/>
      <c r="M181" s="1991"/>
      <c r="N181" s="1991"/>
      <c r="O181" s="708"/>
    </row>
    <row r="182" spans="1:15" ht="15.75" thickBot="1" x14ac:dyDescent="0.3">
      <c r="A182" s="924" t="s">
        <v>5102</v>
      </c>
      <c r="B182" s="925" t="str">
        <f>IF(A126="","",A126)</f>
        <v/>
      </c>
      <c r="C182" s="708"/>
      <c r="D182" s="708"/>
      <c r="E182" s="708"/>
      <c r="F182" s="708"/>
      <c r="G182" s="708"/>
      <c r="H182" s="708"/>
      <c r="I182" s="708"/>
      <c r="J182" s="708"/>
      <c r="K182" s="708"/>
      <c r="L182" s="708"/>
      <c r="M182" s="708"/>
      <c r="N182" s="708"/>
      <c r="O182" s="708"/>
    </row>
    <row r="183" spans="1:15" x14ac:dyDescent="0.25">
      <c r="A183" s="926"/>
      <c r="B183" s="906" t="s">
        <v>4646</v>
      </c>
      <c r="C183" s="906" t="s">
        <v>5062</v>
      </c>
      <c r="D183" s="906" t="s">
        <v>5063</v>
      </c>
      <c r="E183" s="906" t="s">
        <v>5064</v>
      </c>
      <c r="F183" s="906" t="s">
        <v>5065</v>
      </c>
      <c r="G183" s="906" t="s">
        <v>5066</v>
      </c>
      <c r="H183" s="906" t="s">
        <v>5067</v>
      </c>
      <c r="I183" s="906" t="s">
        <v>5068</v>
      </c>
      <c r="J183" s="906" t="s">
        <v>5069</v>
      </c>
      <c r="K183" s="906" t="s">
        <v>5070</v>
      </c>
      <c r="L183" s="906" t="s">
        <v>5071</v>
      </c>
      <c r="M183" s="906" t="s">
        <v>5072</v>
      </c>
      <c r="N183" s="908" t="s">
        <v>5073</v>
      </c>
      <c r="O183" s="708"/>
    </row>
    <row r="184" spans="1:15" x14ac:dyDescent="0.25">
      <c r="A184" s="927" t="s">
        <v>5103</v>
      </c>
      <c r="B184" s="928" t="s">
        <v>5104</v>
      </c>
      <c r="C184" s="929" t="str">
        <f>C169</f>
        <v/>
      </c>
      <c r="D184" s="929" t="str">
        <f t="shared" ref="D184:N184" si="46">D169</f>
        <v/>
      </c>
      <c r="E184" s="929" t="str">
        <f t="shared" si="46"/>
        <v/>
      </c>
      <c r="F184" s="929" t="str">
        <f t="shared" si="46"/>
        <v/>
      </c>
      <c r="G184" s="929" t="str">
        <f t="shared" si="46"/>
        <v/>
      </c>
      <c r="H184" s="929" t="str">
        <f t="shared" si="46"/>
        <v/>
      </c>
      <c r="I184" s="929" t="str">
        <f t="shared" si="46"/>
        <v/>
      </c>
      <c r="J184" s="929" t="str">
        <f t="shared" si="46"/>
        <v/>
      </c>
      <c r="K184" s="929" t="str">
        <f t="shared" si="46"/>
        <v/>
      </c>
      <c r="L184" s="929" t="str">
        <f t="shared" si="46"/>
        <v/>
      </c>
      <c r="M184" s="929" t="str">
        <f t="shared" si="46"/>
        <v/>
      </c>
      <c r="N184" s="937" t="str">
        <f t="shared" si="46"/>
        <v/>
      </c>
      <c r="O184" s="708"/>
    </row>
    <row r="185" spans="1:15" x14ac:dyDescent="0.25">
      <c r="A185" s="850" t="s">
        <v>5105</v>
      </c>
      <c r="B185" s="928"/>
      <c r="C185" s="929" t="str">
        <f>IF(INDEX($A$123:$N$133,MATCH($B182,$A$123:$A$133,0),3)=0,"",INDEX($A$123:$N$133,MATCH($B182,$A$123:$A$133,0),3))</f>
        <v/>
      </c>
      <c r="D185" s="929" t="str">
        <f>IF(INDEX($A$123:$N$133,MATCH($B182,$A$123:$A$133,0),4)=0,"",INDEX($A$123:$N$133,MATCH($B182,$A$123:$A$133,0),4))</f>
        <v/>
      </c>
      <c r="E185" s="929" t="str">
        <f>IF(INDEX($A$123:$N$133,MATCH($B182,$A$123:$A$133,0),5)=0,"",INDEX($A$123:$N$133,MATCH($B182,$A$123:$A$133,0),5))</f>
        <v/>
      </c>
      <c r="F185" s="929" t="str">
        <f>IF(INDEX($A$123:$N$133,MATCH($B182,$A$123:$A$133,0),6)=0,"",INDEX($A$123:$N$133,MATCH($B182,$A$123:$A$133,0),6))</f>
        <v/>
      </c>
      <c r="G185" s="929" t="str">
        <f>IF(INDEX($A$123:$N$133,MATCH($B182,$A$123:$A$133,0),7)=0,"",INDEX($A$123:$N$133,MATCH($B182,$A$123:$A$133,0),7))</f>
        <v/>
      </c>
      <c r="H185" s="929" t="str">
        <f>IF(INDEX($A$123:$N$133,MATCH($B182,$A$123:$A$133,0),8)=0,"",INDEX($A$123:$N$133,MATCH($B182,$A$123:$A$133,0),8))</f>
        <v/>
      </c>
      <c r="I185" s="929" t="str">
        <f>IF(INDEX($A$123:$N$133,MATCH($B182,$A$123:$A$133,0),9)=0,"",INDEX($A$123:$N$133,MATCH($B182,$A$123:$A$133,0),9))</f>
        <v/>
      </c>
      <c r="J185" s="929" t="str">
        <f>IF(INDEX($A$123:$N$133,MATCH($B182,$A$123:$A$133,0),10)=0,"",INDEX($A$123:$N$133,MATCH($B182,$A$123:$A$133,0),10))</f>
        <v/>
      </c>
      <c r="K185" s="929" t="str">
        <f>IF(INDEX($A$123:$N$133,MATCH($B182,$A$123:$A$133,0),11)=0,"",INDEX($A$123:$N$133,MATCH($B182,$A$123:$A$133,0),11))</f>
        <v/>
      </c>
      <c r="L185" s="929" t="str">
        <f>IF(INDEX($A$123:$N$133,MATCH($B182,$A$123:$A$133,0),12)=0,"",INDEX($A$123:$N$133,MATCH($B182,$A$123:$A$133,0),12))</f>
        <v/>
      </c>
      <c r="M185" s="929" t="str">
        <f>IF(INDEX($A$123:$N$133,MATCH($B182,$A$123:$A$133,0),13)=0,"",INDEX($A$123:$N$133,MATCH($B182,$A$123:$A$133,0),13))</f>
        <v/>
      </c>
      <c r="N185" s="930" t="str">
        <f>IF(INDEX($A$123:$N$133,MATCH($B182,$A$123:$A$133,0),14)=0,"",INDEX($A$123:$N$133,MATCH($B182,$A$123:$A$133,0),14))</f>
        <v/>
      </c>
      <c r="O185" s="708"/>
    </row>
    <row r="186" spans="1:15" x14ac:dyDescent="0.25">
      <c r="A186" s="850" t="s">
        <v>5106</v>
      </c>
      <c r="B186" s="928" t="s">
        <v>5104</v>
      </c>
      <c r="C186" s="929" t="str">
        <f t="shared" ref="C186:N186" si="47">IF(C184="","",IF(C185="","",C184*C185))</f>
        <v/>
      </c>
      <c r="D186" s="929" t="str">
        <f t="shared" si="47"/>
        <v/>
      </c>
      <c r="E186" s="929" t="str">
        <f t="shared" si="47"/>
        <v/>
      </c>
      <c r="F186" s="929" t="str">
        <f t="shared" si="47"/>
        <v/>
      </c>
      <c r="G186" s="929" t="str">
        <f t="shared" si="47"/>
        <v/>
      </c>
      <c r="H186" s="929" t="str">
        <f t="shared" si="47"/>
        <v/>
      </c>
      <c r="I186" s="929" t="str">
        <f t="shared" si="47"/>
        <v/>
      </c>
      <c r="J186" s="929" t="str">
        <f t="shared" si="47"/>
        <v/>
      </c>
      <c r="K186" s="929" t="str">
        <f t="shared" si="47"/>
        <v/>
      </c>
      <c r="L186" s="929" t="str">
        <f t="shared" si="47"/>
        <v/>
      </c>
      <c r="M186" s="929" t="str">
        <f t="shared" si="47"/>
        <v/>
      </c>
      <c r="N186" s="930" t="str">
        <f t="shared" si="47"/>
        <v/>
      </c>
      <c r="O186" s="708"/>
    </row>
    <row r="187" spans="1:15" x14ac:dyDescent="0.25">
      <c r="A187" s="927" t="s">
        <v>5035</v>
      </c>
      <c r="B187" s="928" t="s">
        <v>5104</v>
      </c>
      <c r="C187" s="929">
        <f>C172</f>
        <v>0</v>
      </c>
      <c r="D187" s="929">
        <f t="shared" ref="D187:M187" si="48">D172</f>
        <v>0</v>
      </c>
      <c r="E187" s="929">
        <f t="shared" si="48"/>
        <v>0</v>
      </c>
      <c r="F187" s="929">
        <f t="shared" si="48"/>
        <v>0</v>
      </c>
      <c r="G187" s="929">
        <f t="shared" si="48"/>
        <v>0</v>
      </c>
      <c r="H187" s="929">
        <f t="shared" si="48"/>
        <v>0</v>
      </c>
      <c r="I187" s="929">
        <f t="shared" si="48"/>
        <v>0</v>
      </c>
      <c r="J187" s="929">
        <f t="shared" si="48"/>
        <v>0</v>
      </c>
      <c r="K187" s="929">
        <f t="shared" si="48"/>
        <v>0</v>
      </c>
      <c r="L187" s="929">
        <f t="shared" si="48"/>
        <v>0</v>
      </c>
      <c r="M187" s="929">
        <f t="shared" si="48"/>
        <v>0</v>
      </c>
      <c r="N187" s="930">
        <f>N172</f>
        <v>0</v>
      </c>
      <c r="O187" s="708"/>
    </row>
    <row r="188" spans="1:15" x14ac:dyDescent="0.25">
      <c r="A188" s="850" t="s">
        <v>5107</v>
      </c>
      <c r="B188" s="928" t="s">
        <v>5104</v>
      </c>
      <c r="C188" s="929" t="str">
        <f t="shared" ref="C188:N188" si="49">IF(C186="","",C186-C187)</f>
        <v/>
      </c>
      <c r="D188" s="929" t="str">
        <f t="shared" si="49"/>
        <v/>
      </c>
      <c r="E188" s="929" t="str">
        <f t="shared" si="49"/>
        <v/>
      </c>
      <c r="F188" s="929" t="str">
        <f t="shared" si="49"/>
        <v/>
      </c>
      <c r="G188" s="929" t="str">
        <f t="shared" si="49"/>
        <v/>
      </c>
      <c r="H188" s="929" t="str">
        <f t="shared" si="49"/>
        <v/>
      </c>
      <c r="I188" s="929" t="str">
        <f t="shared" si="49"/>
        <v/>
      </c>
      <c r="J188" s="929" t="str">
        <f t="shared" si="49"/>
        <v/>
      </c>
      <c r="K188" s="929" t="str">
        <f t="shared" si="49"/>
        <v/>
      </c>
      <c r="L188" s="929" t="str">
        <f t="shared" si="49"/>
        <v/>
      </c>
      <c r="M188" s="929" t="str">
        <f t="shared" si="49"/>
        <v/>
      </c>
      <c r="N188" s="930" t="str">
        <f t="shared" si="49"/>
        <v/>
      </c>
      <c r="O188" s="708"/>
    </row>
    <row r="189" spans="1:15" x14ac:dyDescent="0.25">
      <c r="A189" s="850" t="s">
        <v>5108</v>
      </c>
      <c r="B189" s="928" t="s">
        <v>5109</v>
      </c>
      <c r="C189" s="929" t="str">
        <f t="shared" ref="C189:N189" si="50">IF(C188="","",IF(C188&lt;0,0,C188*10))</f>
        <v/>
      </c>
      <c r="D189" s="929" t="str">
        <f t="shared" si="50"/>
        <v/>
      </c>
      <c r="E189" s="929" t="str">
        <f t="shared" si="50"/>
        <v/>
      </c>
      <c r="F189" s="929" t="str">
        <f t="shared" si="50"/>
        <v/>
      </c>
      <c r="G189" s="929" t="str">
        <f t="shared" si="50"/>
        <v/>
      </c>
      <c r="H189" s="929" t="str">
        <f t="shared" si="50"/>
        <v/>
      </c>
      <c r="I189" s="929" t="str">
        <f t="shared" si="50"/>
        <v/>
      </c>
      <c r="J189" s="929" t="str">
        <f t="shared" si="50"/>
        <v/>
      </c>
      <c r="K189" s="929" t="str">
        <f t="shared" si="50"/>
        <v/>
      </c>
      <c r="L189" s="929" t="str">
        <f t="shared" si="50"/>
        <v/>
      </c>
      <c r="M189" s="929" t="str">
        <f t="shared" si="50"/>
        <v/>
      </c>
      <c r="N189" s="930" t="str">
        <f t="shared" si="50"/>
        <v/>
      </c>
      <c r="O189" s="931"/>
    </row>
    <row r="190" spans="1:15" x14ac:dyDescent="0.25">
      <c r="A190" s="927" t="s">
        <v>5081</v>
      </c>
      <c r="B190" s="928"/>
      <c r="C190" s="929" t="str">
        <f>C175</f>
        <v/>
      </c>
      <c r="D190" s="929" t="str">
        <f>C190</f>
        <v/>
      </c>
      <c r="E190" s="929" t="str">
        <f t="shared" ref="E190:M191" si="51">D190</f>
        <v/>
      </c>
      <c r="F190" s="929" t="str">
        <f t="shared" si="51"/>
        <v/>
      </c>
      <c r="G190" s="929" t="str">
        <f t="shared" si="51"/>
        <v/>
      </c>
      <c r="H190" s="929" t="str">
        <f t="shared" si="51"/>
        <v/>
      </c>
      <c r="I190" s="929" t="str">
        <f t="shared" si="51"/>
        <v/>
      </c>
      <c r="J190" s="929" t="str">
        <f t="shared" si="51"/>
        <v/>
      </c>
      <c r="K190" s="929" t="str">
        <f t="shared" si="51"/>
        <v/>
      </c>
      <c r="L190" s="929" t="str">
        <f t="shared" si="51"/>
        <v/>
      </c>
      <c r="M190" s="929" t="str">
        <f t="shared" si="51"/>
        <v/>
      </c>
      <c r="N190" s="930" t="str">
        <f>M190</f>
        <v/>
      </c>
      <c r="O190" s="708"/>
    </row>
    <row r="191" spans="1:15" x14ac:dyDescent="0.25">
      <c r="A191" s="927" t="s">
        <v>5110</v>
      </c>
      <c r="B191" s="928" t="s">
        <v>5111</v>
      </c>
      <c r="C191" s="929" t="str">
        <f>C176</f>
        <v/>
      </c>
      <c r="D191" s="929" t="str">
        <f>C191</f>
        <v/>
      </c>
      <c r="E191" s="929" t="str">
        <f t="shared" si="51"/>
        <v/>
      </c>
      <c r="F191" s="929" t="str">
        <f t="shared" si="51"/>
        <v/>
      </c>
      <c r="G191" s="929" t="str">
        <f t="shared" si="51"/>
        <v/>
      </c>
      <c r="H191" s="929" t="str">
        <f t="shared" si="51"/>
        <v/>
      </c>
      <c r="I191" s="929" t="str">
        <f t="shared" si="51"/>
        <v/>
      </c>
      <c r="J191" s="929" t="str">
        <f t="shared" si="51"/>
        <v/>
      </c>
      <c r="K191" s="929" t="str">
        <f t="shared" si="51"/>
        <v/>
      </c>
      <c r="L191" s="929" t="str">
        <f t="shared" si="51"/>
        <v/>
      </c>
      <c r="M191" s="929" t="str">
        <f t="shared" si="51"/>
        <v/>
      </c>
      <c r="N191" s="930" t="str">
        <f>M191</f>
        <v/>
      </c>
      <c r="O191" s="708"/>
    </row>
    <row r="192" spans="1:15" x14ac:dyDescent="0.25">
      <c r="A192" s="850" t="s">
        <v>5112</v>
      </c>
      <c r="B192" s="928" t="s">
        <v>5113</v>
      </c>
      <c r="C192" s="929" t="str">
        <f t="shared" ref="C192:N192" si="52">IF(C190="","",IF(C189="","",IF(C191="","",C189*(1000/(3600*31*C191))/C190)))</f>
        <v/>
      </c>
      <c r="D192" s="929" t="str">
        <f t="shared" si="52"/>
        <v/>
      </c>
      <c r="E192" s="929" t="str">
        <f t="shared" si="52"/>
        <v/>
      </c>
      <c r="F192" s="929" t="str">
        <f t="shared" si="52"/>
        <v/>
      </c>
      <c r="G192" s="929" t="str">
        <f t="shared" si="52"/>
        <v/>
      </c>
      <c r="H192" s="929" t="str">
        <f t="shared" si="52"/>
        <v/>
      </c>
      <c r="I192" s="929" t="str">
        <f t="shared" si="52"/>
        <v/>
      </c>
      <c r="J192" s="929" t="str">
        <f t="shared" si="52"/>
        <v/>
      </c>
      <c r="K192" s="929" t="str">
        <f t="shared" si="52"/>
        <v/>
      </c>
      <c r="L192" s="929" t="str">
        <f t="shared" si="52"/>
        <v/>
      </c>
      <c r="M192" s="929" t="str">
        <f t="shared" si="52"/>
        <v/>
      </c>
      <c r="N192" s="930" t="str">
        <f t="shared" si="52"/>
        <v/>
      </c>
      <c r="O192" s="708"/>
    </row>
    <row r="193" spans="1:15" ht="15.75" thickBot="1" x14ac:dyDescent="0.3">
      <c r="A193" s="850" t="s">
        <v>5114</v>
      </c>
      <c r="B193" s="928" t="s">
        <v>5115</v>
      </c>
      <c r="C193" s="929" t="str">
        <f t="shared" ref="C193:N193" si="53">IF(C185="","",INDEX($A$123:$B$133,MATCH($B182,$A$123:$A$133,0),2))</f>
        <v/>
      </c>
      <c r="D193" s="929" t="str">
        <f t="shared" si="53"/>
        <v/>
      </c>
      <c r="E193" s="929" t="str">
        <f t="shared" si="53"/>
        <v/>
      </c>
      <c r="F193" s="929" t="str">
        <f t="shared" si="53"/>
        <v/>
      </c>
      <c r="G193" s="929" t="str">
        <f t="shared" si="53"/>
        <v/>
      </c>
      <c r="H193" s="929" t="str">
        <f t="shared" si="53"/>
        <v/>
      </c>
      <c r="I193" s="929" t="str">
        <f t="shared" si="53"/>
        <v/>
      </c>
      <c r="J193" s="929" t="str">
        <f t="shared" si="53"/>
        <v/>
      </c>
      <c r="K193" s="929" t="str">
        <f t="shared" si="53"/>
        <v/>
      </c>
      <c r="L193" s="929" t="str">
        <f t="shared" si="53"/>
        <v/>
      </c>
      <c r="M193" s="929" t="str">
        <f t="shared" si="53"/>
        <v/>
      </c>
      <c r="N193" s="932" t="str">
        <f t="shared" si="53"/>
        <v/>
      </c>
      <c r="O193" s="708"/>
    </row>
    <row r="194" spans="1:15" ht="15.75" thickBot="1" x14ac:dyDescent="0.3">
      <c r="A194" s="933" t="s">
        <v>5116</v>
      </c>
      <c r="B194" s="934" t="s">
        <v>5113</v>
      </c>
      <c r="C194" s="935" t="str">
        <f t="shared" ref="C194:N194" si="54">IF(C192="","",C192*C193)</f>
        <v/>
      </c>
      <c r="D194" s="935" t="str">
        <f t="shared" si="54"/>
        <v/>
      </c>
      <c r="E194" s="935" t="str">
        <f t="shared" si="54"/>
        <v/>
      </c>
      <c r="F194" s="935" t="str">
        <f t="shared" si="54"/>
        <v/>
      </c>
      <c r="G194" s="935" t="str">
        <f t="shared" si="54"/>
        <v/>
      </c>
      <c r="H194" s="935" t="str">
        <f t="shared" si="54"/>
        <v/>
      </c>
      <c r="I194" s="935" t="str">
        <f t="shared" si="54"/>
        <v/>
      </c>
      <c r="J194" s="935" t="str">
        <f t="shared" si="54"/>
        <v/>
      </c>
      <c r="K194" s="935" t="str">
        <f t="shared" si="54"/>
        <v/>
      </c>
      <c r="L194" s="935" t="str">
        <f t="shared" si="54"/>
        <v/>
      </c>
      <c r="M194" s="935" t="str">
        <f t="shared" si="54"/>
        <v/>
      </c>
      <c r="N194" s="936" t="str">
        <f t="shared" si="54"/>
        <v/>
      </c>
      <c r="O194" s="708"/>
    </row>
    <row r="195" spans="1:15" x14ac:dyDescent="0.25">
      <c r="A195" s="708"/>
      <c r="B195" s="708"/>
      <c r="C195" s="708"/>
      <c r="D195" s="708"/>
      <c r="E195" s="708"/>
      <c r="F195" s="708"/>
      <c r="G195" s="708"/>
      <c r="H195" s="708"/>
      <c r="I195" s="708"/>
      <c r="J195" s="708"/>
      <c r="K195" s="708"/>
      <c r="L195" s="708"/>
      <c r="M195" s="708"/>
      <c r="N195" s="708"/>
      <c r="O195" s="708"/>
    </row>
    <row r="196" spans="1:15" ht="15.75" x14ac:dyDescent="0.25">
      <c r="A196" s="1991" t="s">
        <v>5101</v>
      </c>
      <c r="B196" s="1991"/>
      <c r="C196" s="1991"/>
      <c r="D196" s="1991"/>
      <c r="E196" s="1991"/>
      <c r="F196" s="1991"/>
      <c r="G196" s="1991"/>
      <c r="H196" s="1991"/>
      <c r="I196" s="1991"/>
      <c r="J196" s="1991"/>
      <c r="K196" s="1991"/>
      <c r="L196" s="1991"/>
      <c r="M196" s="1991"/>
      <c r="N196" s="1991"/>
      <c r="O196" s="708"/>
    </row>
    <row r="197" spans="1:15" ht="15.75" thickBot="1" x14ac:dyDescent="0.3">
      <c r="A197" s="924" t="s">
        <v>5102</v>
      </c>
      <c r="B197" s="925" t="str">
        <f>IF(A127="","",A127)</f>
        <v/>
      </c>
      <c r="C197" s="708"/>
      <c r="D197" s="708"/>
      <c r="E197" s="708"/>
      <c r="F197" s="708"/>
      <c r="G197" s="708"/>
      <c r="H197" s="708"/>
      <c r="I197" s="708"/>
      <c r="J197" s="708"/>
      <c r="K197" s="708"/>
      <c r="L197" s="708"/>
      <c r="M197" s="708"/>
      <c r="N197" s="708"/>
      <c r="O197" s="708"/>
    </row>
    <row r="198" spans="1:15" x14ac:dyDescent="0.25">
      <c r="A198" s="926"/>
      <c r="B198" s="906" t="s">
        <v>4646</v>
      </c>
      <c r="C198" s="906" t="s">
        <v>5062</v>
      </c>
      <c r="D198" s="906" t="s">
        <v>5063</v>
      </c>
      <c r="E198" s="906" t="s">
        <v>5064</v>
      </c>
      <c r="F198" s="906" t="s">
        <v>5065</v>
      </c>
      <c r="G198" s="906" t="s">
        <v>5066</v>
      </c>
      <c r="H198" s="906" t="s">
        <v>5067</v>
      </c>
      <c r="I198" s="906" t="s">
        <v>5068</v>
      </c>
      <c r="J198" s="906" t="s">
        <v>5069</v>
      </c>
      <c r="K198" s="906" t="s">
        <v>5070</v>
      </c>
      <c r="L198" s="906" t="s">
        <v>5071</v>
      </c>
      <c r="M198" s="906" t="s">
        <v>5072</v>
      </c>
      <c r="N198" s="908" t="s">
        <v>5073</v>
      </c>
      <c r="O198" s="708"/>
    </row>
    <row r="199" spans="1:15" x14ac:dyDescent="0.25">
      <c r="A199" s="927" t="s">
        <v>5103</v>
      </c>
      <c r="B199" s="928" t="s">
        <v>5104</v>
      </c>
      <c r="C199" s="929" t="str">
        <f>C184</f>
        <v/>
      </c>
      <c r="D199" s="929" t="str">
        <f t="shared" ref="D199:N199" si="55">D184</f>
        <v/>
      </c>
      <c r="E199" s="929" t="str">
        <f t="shared" si="55"/>
        <v/>
      </c>
      <c r="F199" s="929" t="str">
        <f t="shared" si="55"/>
        <v/>
      </c>
      <c r="G199" s="929" t="str">
        <f t="shared" si="55"/>
        <v/>
      </c>
      <c r="H199" s="929" t="str">
        <f t="shared" si="55"/>
        <v/>
      </c>
      <c r="I199" s="929" t="str">
        <f t="shared" si="55"/>
        <v/>
      </c>
      <c r="J199" s="929" t="str">
        <f t="shared" si="55"/>
        <v/>
      </c>
      <c r="K199" s="929" t="str">
        <f t="shared" si="55"/>
        <v/>
      </c>
      <c r="L199" s="929" t="str">
        <f t="shared" si="55"/>
        <v/>
      </c>
      <c r="M199" s="929" t="str">
        <f t="shared" si="55"/>
        <v/>
      </c>
      <c r="N199" s="937" t="str">
        <f t="shared" si="55"/>
        <v/>
      </c>
      <c r="O199" s="708"/>
    </row>
    <row r="200" spans="1:15" x14ac:dyDescent="0.25">
      <c r="A200" s="850" t="s">
        <v>5105</v>
      </c>
      <c r="B200" s="928"/>
      <c r="C200" s="929" t="str">
        <f>IF(INDEX($A$123:$N$133,MATCH($B197,$A$123:$A$133,0),3)=0,"",INDEX($A$123:$N$133,MATCH($B197,$A$123:$A$133,0),3))</f>
        <v/>
      </c>
      <c r="D200" s="929" t="str">
        <f>IF(INDEX($A$123:$N$133,MATCH($B197,$A$123:$A$133,0),4)=0,"",INDEX($A$123:$N$133,MATCH($B197,$A$123:$A$133,0),4))</f>
        <v/>
      </c>
      <c r="E200" s="929" t="str">
        <f>IF(INDEX($A$123:$N$133,MATCH($B197,$A$123:$A$133,0),5)=0,"",INDEX($A$123:$N$133,MATCH($B197,$A$123:$A$133,0),5))</f>
        <v/>
      </c>
      <c r="F200" s="929" t="str">
        <f>IF(INDEX($A$123:$N$133,MATCH($B197,$A$123:$A$133,0),6)=0,"",INDEX($A$123:$N$133,MATCH($B197,$A$123:$A$133,0),6))</f>
        <v/>
      </c>
      <c r="G200" s="929" t="str">
        <f>IF(INDEX($A$123:$N$133,MATCH($B197,$A$123:$A$133,0),7)=0,"",INDEX($A$123:$N$133,MATCH($B197,$A$123:$A$133,0),7))</f>
        <v/>
      </c>
      <c r="H200" s="929" t="str">
        <f>IF(INDEX($A$123:$N$133,MATCH($B197,$A$123:$A$133,0),8)=0,"",INDEX($A$123:$N$133,MATCH($B197,$A$123:$A$133,0),8))</f>
        <v/>
      </c>
      <c r="I200" s="929" t="str">
        <f>IF(INDEX($A$123:$N$133,MATCH($B197,$A$123:$A$133,0),9)=0,"",INDEX($A$123:$N$133,MATCH($B197,$A$123:$A$133,0),9))</f>
        <v/>
      </c>
      <c r="J200" s="929" t="str">
        <f>IF(INDEX($A$123:$N$133,MATCH($B197,$A$123:$A$133,0),10)=0,"",INDEX($A$123:$N$133,MATCH($B197,$A$123:$A$133,0),10))</f>
        <v/>
      </c>
      <c r="K200" s="929" t="str">
        <f>IF(INDEX($A$123:$N$133,MATCH($B197,$A$123:$A$133,0),11)=0,"",INDEX($A$123:$N$133,MATCH($B197,$A$123:$A$133,0),11))</f>
        <v/>
      </c>
      <c r="L200" s="929" t="str">
        <f>IF(INDEX($A$123:$N$133,MATCH($B197,$A$123:$A$133,0),12)=0,"",INDEX($A$123:$N$133,MATCH($B197,$A$123:$A$133,0),12))</f>
        <v/>
      </c>
      <c r="M200" s="929" t="str">
        <f>IF(INDEX($A$123:$N$133,MATCH($B197,$A$123:$A$133,0),13)=0,"",INDEX($A$123:$N$133,MATCH($B197,$A$123:$A$133,0),13))</f>
        <v/>
      </c>
      <c r="N200" s="930" t="str">
        <f>IF(INDEX($A$123:$N$133,MATCH($B197,$A$123:$A$133,0),14)=0,"",INDEX($A$123:$N$133,MATCH($B197,$A$123:$A$133,0),14))</f>
        <v/>
      </c>
      <c r="O200" s="708"/>
    </row>
    <row r="201" spans="1:15" x14ac:dyDescent="0.25">
      <c r="A201" s="850" t="s">
        <v>5106</v>
      </c>
      <c r="B201" s="928" t="s">
        <v>5104</v>
      </c>
      <c r="C201" s="929" t="str">
        <f t="shared" ref="C201:N201" si="56">IF(C199="","",IF(C200="","",C199*C200))</f>
        <v/>
      </c>
      <c r="D201" s="929" t="str">
        <f t="shared" si="56"/>
        <v/>
      </c>
      <c r="E201" s="929" t="str">
        <f t="shared" si="56"/>
        <v/>
      </c>
      <c r="F201" s="929" t="str">
        <f t="shared" si="56"/>
        <v/>
      </c>
      <c r="G201" s="929" t="str">
        <f t="shared" si="56"/>
        <v/>
      </c>
      <c r="H201" s="929" t="str">
        <f t="shared" si="56"/>
        <v/>
      </c>
      <c r="I201" s="929" t="str">
        <f t="shared" si="56"/>
        <v/>
      </c>
      <c r="J201" s="929" t="str">
        <f t="shared" si="56"/>
        <v/>
      </c>
      <c r="K201" s="929" t="str">
        <f t="shared" si="56"/>
        <v/>
      </c>
      <c r="L201" s="929" t="str">
        <f t="shared" si="56"/>
        <v/>
      </c>
      <c r="M201" s="929" t="str">
        <f t="shared" si="56"/>
        <v/>
      </c>
      <c r="N201" s="930" t="str">
        <f t="shared" si="56"/>
        <v/>
      </c>
      <c r="O201" s="708"/>
    </row>
    <row r="202" spans="1:15" x14ac:dyDescent="0.25">
      <c r="A202" s="927" t="s">
        <v>5035</v>
      </c>
      <c r="B202" s="928" t="s">
        <v>5104</v>
      </c>
      <c r="C202" s="929">
        <f>C187</f>
        <v>0</v>
      </c>
      <c r="D202" s="929">
        <f t="shared" ref="D202:M202" si="57">D187</f>
        <v>0</v>
      </c>
      <c r="E202" s="929">
        <f t="shared" si="57"/>
        <v>0</v>
      </c>
      <c r="F202" s="929">
        <f t="shared" si="57"/>
        <v>0</v>
      </c>
      <c r="G202" s="929">
        <f t="shared" si="57"/>
        <v>0</v>
      </c>
      <c r="H202" s="929">
        <f t="shared" si="57"/>
        <v>0</v>
      </c>
      <c r="I202" s="929">
        <f t="shared" si="57"/>
        <v>0</v>
      </c>
      <c r="J202" s="929">
        <f t="shared" si="57"/>
        <v>0</v>
      </c>
      <c r="K202" s="929">
        <f t="shared" si="57"/>
        <v>0</v>
      </c>
      <c r="L202" s="929">
        <f t="shared" si="57"/>
        <v>0</v>
      </c>
      <c r="M202" s="929">
        <f t="shared" si="57"/>
        <v>0</v>
      </c>
      <c r="N202" s="930">
        <f>N187</f>
        <v>0</v>
      </c>
      <c r="O202" s="708"/>
    </row>
    <row r="203" spans="1:15" x14ac:dyDescent="0.25">
      <c r="A203" s="850" t="s">
        <v>5107</v>
      </c>
      <c r="B203" s="928" t="s">
        <v>5104</v>
      </c>
      <c r="C203" s="929" t="str">
        <f t="shared" ref="C203:N203" si="58">IF(C201="","",C201-C202)</f>
        <v/>
      </c>
      <c r="D203" s="929" t="str">
        <f t="shared" si="58"/>
        <v/>
      </c>
      <c r="E203" s="929" t="str">
        <f t="shared" si="58"/>
        <v/>
      </c>
      <c r="F203" s="929" t="str">
        <f t="shared" si="58"/>
        <v/>
      </c>
      <c r="G203" s="929" t="str">
        <f t="shared" si="58"/>
        <v/>
      </c>
      <c r="H203" s="929" t="str">
        <f t="shared" si="58"/>
        <v/>
      </c>
      <c r="I203" s="929" t="str">
        <f t="shared" si="58"/>
        <v/>
      </c>
      <c r="J203" s="929" t="str">
        <f t="shared" si="58"/>
        <v/>
      </c>
      <c r="K203" s="929" t="str">
        <f t="shared" si="58"/>
        <v/>
      </c>
      <c r="L203" s="929" t="str">
        <f t="shared" si="58"/>
        <v/>
      </c>
      <c r="M203" s="929" t="str">
        <f t="shared" si="58"/>
        <v/>
      </c>
      <c r="N203" s="930" t="str">
        <f t="shared" si="58"/>
        <v/>
      </c>
      <c r="O203" s="708"/>
    </row>
    <row r="204" spans="1:15" x14ac:dyDescent="0.25">
      <c r="A204" s="850" t="s">
        <v>5108</v>
      </c>
      <c r="B204" s="928" t="s">
        <v>5109</v>
      </c>
      <c r="C204" s="929" t="str">
        <f t="shared" ref="C204:N204" si="59">IF(C203="","",IF(C203&lt;0,0,C203*10))</f>
        <v/>
      </c>
      <c r="D204" s="929" t="str">
        <f t="shared" si="59"/>
        <v/>
      </c>
      <c r="E204" s="929" t="str">
        <f t="shared" si="59"/>
        <v/>
      </c>
      <c r="F204" s="929" t="str">
        <f t="shared" si="59"/>
        <v/>
      </c>
      <c r="G204" s="929" t="str">
        <f t="shared" si="59"/>
        <v/>
      </c>
      <c r="H204" s="929" t="str">
        <f t="shared" si="59"/>
        <v/>
      </c>
      <c r="I204" s="929" t="str">
        <f t="shared" si="59"/>
        <v/>
      </c>
      <c r="J204" s="929" t="str">
        <f t="shared" si="59"/>
        <v/>
      </c>
      <c r="K204" s="929" t="str">
        <f t="shared" si="59"/>
        <v/>
      </c>
      <c r="L204" s="929" t="str">
        <f t="shared" si="59"/>
        <v/>
      </c>
      <c r="M204" s="929" t="str">
        <f t="shared" si="59"/>
        <v/>
      </c>
      <c r="N204" s="930" t="str">
        <f t="shared" si="59"/>
        <v/>
      </c>
      <c r="O204" s="931"/>
    </row>
    <row r="205" spans="1:15" x14ac:dyDescent="0.25">
      <c r="A205" s="927" t="s">
        <v>5081</v>
      </c>
      <c r="B205" s="928"/>
      <c r="C205" s="929" t="str">
        <f>C190</f>
        <v/>
      </c>
      <c r="D205" s="929" t="str">
        <f>C205</f>
        <v/>
      </c>
      <c r="E205" s="929" t="str">
        <f t="shared" ref="E205:M206" si="60">D205</f>
        <v/>
      </c>
      <c r="F205" s="929" t="str">
        <f t="shared" si="60"/>
        <v/>
      </c>
      <c r="G205" s="929" t="str">
        <f t="shared" si="60"/>
        <v/>
      </c>
      <c r="H205" s="929" t="str">
        <f t="shared" si="60"/>
        <v/>
      </c>
      <c r="I205" s="929" t="str">
        <f t="shared" si="60"/>
        <v/>
      </c>
      <c r="J205" s="929" t="str">
        <f t="shared" si="60"/>
        <v/>
      </c>
      <c r="K205" s="929" t="str">
        <f t="shared" si="60"/>
        <v/>
      </c>
      <c r="L205" s="929" t="str">
        <f t="shared" si="60"/>
        <v/>
      </c>
      <c r="M205" s="929" t="str">
        <f t="shared" si="60"/>
        <v/>
      </c>
      <c r="N205" s="930" t="str">
        <f>M205</f>
        <v/>
      </c>
      <c r="O205" s="708"/>
    </row>
    <row r="206" spans="1:15" x14ac:dyDescent="0.25">
      <c r="A206" s="927" t="s">
        <v>5110</v>
      </c>
      <c r="B206" s="928" t="s">
        <v>5111</v>
      </c>
      <c r="C206" s="929" t="str">
        <f>C191</f>
        <v/>
      </c>
      <c r="D206" s="929" t="str">
        <f>C206</f>
        <v/>
      </c>
      <c r="E206" s="929" t="str">
        <f t="shared" si="60"/>
        <v/>
      </c>
      <c r="F206" s="929" t="str">
        <f t="shared" si="60"/>
        <v/>
      </c>
      <c r="G206" s="929" t="str">
        <f t="shared" si="60"/>
        <v/>
      </c>
      <c r="H206" s="929" t="str">
        <f t="shared" si="60"/>
        <v/>
      </c>
      <c r="I206" s="929" t="str">
        <f t="shared" si="60"/>
        <v/>
      </c>
      <c r="J206" s="929" t="str">
        <f t="shared" si="60"/>
        <v/>
      </c>
      <c r="K206" s="929" t="str">
        <f t="shared" si="60"/>
        <v/>
      </c>
      <c r="L206" s="929" t="str">
        <f t="shared" si="60"/>
        <v/>
      </c>
      <c r="M206" s="929" t="str">
        <f t="shared" si="60"/>
        <v/>
      </c>
      <c r="N206" s="930" t="str">
        <f>M206</f>
        <v/>
      </c>
      <c r="O206" s="708"/>
    </row>
    <row r="207" spans="1:15" x14ac:dyDescent="0.25">
      <c r="A207" s="850" t="s">
        <v>5112</v>
      </c>
      <c r="B207" s="928" t="s">
        <v>5113</v>
      </c>
      <c r="C207" s="929" t="str">
        <f t="shared" ref="C207:N207" si="61">IF(C205="","",IF(C204="","",IF(C206="","",C204*(1000/(3600*31*C206))/C205)))</f>
        <v/>
      </c>
      <c r="D207" s="929" t="str">
        <f t="shared" si="61"/>
        <v/>
      </c>
      <c r="E207" s="929" t="str">
        <f t="shared" si="61"/>
        <v/>
      </c>
      <c r="F207" s="929" t="str">
        <f t="shared" si="61"/>
        <v/>
      </c>
      <c r="G207" s="929" t="str">
        <f t="shared" si="61"/>
        <v/>
      </c>
      <c r="H207" s="929" t="str">
        <f t="shared" si="61"/>
        <v/>
      </c>
      <c r="I207" s="929" t="str">
        <f t="shared" si="61"/>
        <v/>
      </c>
      <c r="J207" s="929" t="str">
        <f t="shared" si="61"/>
        <v/>
      </c>
      <c r="K207" s="929" t="str">
        <f t="shared" si="61"/>
        <v/>
      </c>
      <c r="L207" s="929" t="str">
        <f t="shared" si="61"/>
        <v/>
      </c>
      <c r="M207" s="929" t="str">
        <f t="shared" si="61"/>
        <v/>
      </c>
      <c r="N207" s="930" t="str">
        <f t="shared" si="61"/>
        <v/>
      </c>
      <c r="O207" s="708"/>
    </row>
    <row r="208" spans="1:15" ht="15.75" thickBot="1" x14ac:dyDescent="0.3">
      <c r="A208" s="850" t="s">
        <v>5114</v>
      </c>
      <c r="B208" s="928" t="s">
        <v>5115</v>
      </c>
      <c r="C208" s="929" t="str">
        <f t="shared" ref="C208:N208" si="62">IF(C200="","",INDEX($A$123:$B$133,MATCH($B197,$A$123:$A$133,0),2))</f>
        <v/>
      </c>
      <c r="D208" s="929" t="str">
        <f t="shared" si="62"/>
        <v/>
      </c>
      <c r="E208" s="929" t="str">
        <f t="shared" si="62"/>
        <v/>
      </c>
      <c r="F208" s="929" t="str">
        <f t="shared" si="62"/>
        <v/>
      </c>
      <c r="G208" s="929" t="str">
        <f t="shared" si="62"/>
        <v/>
      </c>
      <c r="H208" s="929" t="str">
        <f t="shared" si="62"/>
        <v/>
      </c>
      <c r="I208" s="929" t="str">
        <f t="shared" si="62"/>
        <v/>
      </c>
      <c r="J208" s="929" t="str">
        <f t="shared" si="62"/>
        <v/>
      </c>
      <c r="K208" s="929" t="str">
        <f t="shared" si="62"/>
        <v/>
      </c>
      <c r="L208" s="929" t="str">
        <f t="shared" si="62"/>
        <v/>
      </c>
      <c r="M208" s="929" t="str">
        <f t="shared" si="62"/>
        <v/>
      </c>
      <c r="N208" s="932" t="str">
        <f t="shared" si="62"/>
        <v/>
      </c>
      <c r="O208" s="708"/>
    </row>
    <row r="209" spans="1:15" ht="15.75" thickBot="1" x14ac:dyDescent="0.3">
      <c r="A209" s="933" t="s">
        <v>5116</v>
      </c>
      <c r="B209" s="934" t="s">
        <v>5113</v>
      </c>
      <c r="C209" s="935" t="str">
        <f t="shared" ref="C209:N209" si="63">IF(C207="","",C207*C208)</f>
        <v/>
      </c>
      <c r="D209" s="935" t="str">
        <f t="shared" si="63"/>
        <v/>
      </c>
      <c r="E209" s="935" t="str">
        <f t="shared" si="63"/>
        <v/>
      </c>
      <c r="F209" s="935" t="str">
        <f t="shared" si="63"/>
        <v/>
      </c>
      <c r="G209" s="935" t="str">
        <f t="shared" si="63"/>
        <v/>
      </c>
      <c r="H209" s="935" t="str">
        <f t="shared" si="63"/>
        <v/>
      </c>
      <c r="I209" s="935" t="str">
        <f t="shared" si="63"/>
        <v/>
      </c>
      <c r="J209" s="935" t="str">
        <f t="shared" si="63"/>
        <v/>
      </c>
      <c r="K209" s="935" t="str">
        <f t="shared" si="63"/>
        <v/>
      </c>
      <c r="L209" s="935" t="str">
        <f t="shared" si="63"/>
        <v/>
      </c>
      <c r="M209" s="935" t="str">
        <f t="shared" si="63"/>
        <v/>
      </c>
      <c r="N209" s="936" t="str">
        <f t="shared" si="63"/>
        <v/>
      </c>
      <c r="O209" s="931"/>
    </row>
    <row r="210" spans="1:15" x14ac:dyDescent="0.25">
      <c r="A210" s="708"/>
      <c r="B210" s="708"/>
      <c r="C210" s="708"/>
      <c r="D210" s="708"/>
      <c r="E210" s="708"/>
      <c r="F210" s="708"/>
      <c r="G210" s="708"/>
      <c r="H210" s="708"/>
      <c r="I210" s="708"/>
      <c r="J210" s="708"/>
      <c r="K210" s="708"/>
      <c r="L210" s="708"/>
      <c r="M210" s="708"/>
      <c r="N210" s="708"/>
      <c r="O210" s="708"/>
    </row>
    <row r="211" spans="1:15" ht="15.75" x14ac:dyDescent="0.25">
      <c r="A211" s="1991" t="s">
        <v>5101</v>
      </c>
      <c r="B211" s="1991"/>
      <c r="C211" s="1991"/>
      <c r="D211" s="1991"/>
      <c r="E211" s="1991"/>
      <c r="F211" s="1991"/>
      <c r="G211" s="1991"/>
      <c r="H211" s="1991"/>
      <c r="I211" s="1991"/>
      <c r="J211" s="1991"/>
      <c r="K211" s="1991"/>
      <c r="L211" s="1991"/>
      <c r="M211" s="1991"/>
      <c r="N211" s="1991"/>
      <c r="O211" s="708"/>
    </row>
    <row r="212" spans="1:15" ht="15.75" thickBot="1" x14ac:dyDescent="0.3">
      <c r="A212" s="924" t="s">
        <v>5102</v>
      </c>
      <c r="B212" s="925" t="str">
        <f>IF(A128="","",A128)</f>
        <v/>
      </c>
      <c r="C212" s="708"/>
      <c r="D212" s="708"/>
      <c r="E212" s="708"/>
      <c r="F212" s="708"/>
      <c r="G212" s="708"/>
      <c r="H212" s="708"/>
      <c r="I212" s="708"/>
      <c r="J212" s="708"/>
      <c r="K212" s="708"/>
      <c r="L212" s="708"/>
      <c r="M212" s="708"/>
      <c r="N212" s="708"/>
      <c r="O212" s="708"/>
    </row>
    <row r="213" spans="1:15" x14ac:dyDescent="0.25">
      <c r="A213" s="926"/>
      <c r="B213" s="906" t="s">
        <v>4646</v>
      </c>
      <c r="C213" s="906" t="s">
        <v>5062</v>
      </c>
      <c r="D213" s="906" t="s">
        <v>5063</v>
      </c>
      <c r="E213" s="906" t="s">
        <v>5064</v>
      </c>
      <c r="F213" s="906" t="s">
        <v>5065</v>
      </c>
      <c r="G213" s="906" t="s">
        <v>5066</v>
      </c>
      <c r="H213" s="906" t="s">
        <v>5067</v>
      </c>
      <c r="I213" s="906" t="s">
        <v>5068</v>
      </c>
      <c r="J213" s="906" t="s">
        <v>5069</v>
      </c>
      <c r="K213" s="906" t="s">
        <v>5070</v>
      </c>
      <c r="L213" s="906" t="s">
        <v>5071</v>
      </c>
      <c r="M213" s="906" t="s">
        <v>5072</v>
      </c>
      <c r="N213" s="908" t="s">
        <v>5073</v>
      </c>
      <c r="O213" s="708"/>
    </row>
    <row r="214" spans="1:15" x14ac:dyDescent="0.25">
      <c r="A214" s="927" t="s">
        <v>5103</v>
      </c>
      <c r="B214" s="928" t="s">
        <v>5104</v>
      </c>
      <c r="C214" s="929" t="str">
        <f>C199</f>
        <v/>
      </c>
      <c r="D214" s="929" t="str">
        <f t="shared" ref="D214:N214" si="64">D199</f>
        <v/>
      </c>
      <c r="E214" s="929" t="str">
        <f t="shared" si="64"/>
        <v/>
      </c>
      <c r="F214" s="929" t="str">
        <f t="shared" si="64"/>
        <v/>
      </c>
      <c r="G214" s="929" t="str">
        <f t="shared" si="64"/>
        <v/>
      </c>
      <c r="H214" s="929" t="str">
        <f t="shared" si="64"/>
        <v/>
      </c>
      <c r="I214" s="929" t="str">
        <f t="shared" si="64"/>
        <v/>
      </c>
      <c r="J214" s="929" t="str">
        <f t="shared" si="64"/>
        <v/>
      </c>
      <c r="K214" s="929" t="str">
        <f t="shared" si="64"/>
        <v/>
      </c>
      <c r="L214" s="929" t="str">
        <f t="shared" si="64"/>
        <v/>
      </c>
      <c r="M214" s="929" t="str">
        <f t="shared" si="64"/>
        <v/>
      </c>
      <c r="N214" s="937" t="str">
        <f t="shared" si="64"/>
        <v/>
      </c>
      <c r="O214" s="708"/>
    </row>
    <row r="215" spans="1:15" x14ac:dyDescent="0.25">
      <c r="A215" s="850" t="s">
        <v>5105</v>
      </c>
      <c r="B215" s="928"/>
      <c r="C215" s="929" t="str">
        <f>IF(INDEX($A$123:$N$133,MATCH($B212,$A$123:$A$133,0),3)=0,"",INDEX($A$123:$N$133,MATCH($B212,$A$123:$A$133,0),3))</f>
        <v/>
      </c>
      <c r="D215" s="929" t="str">
        <f>IF(INDEX($A$123:$N$133,MATCH($B212,$A$123:$A$133,0),4)=0,"",INDEX($A$123:$N$133,MATCH($B212,$A$123:$A$133,0),4))</f>
        <v/>
      </c>
      <c r="E215" s="929" t="str">
        <f>IF(INDEX($A$123:$N$133,MATCH($B212,$A$123:$A$133,0),5)=0,"",INDEX($A$123:$N$133,MATCH($B212,$A$123:$A$133,0),5))</f>
        <v/>
      </c>
      <c r="F215" s="929" t="str">
        <f>IF(INDEX($A$123:$N$133,MATCH($B212,$A$123:$A$133,0),6)=0,"",INDEX($A$123:$N$133,MATCH($B212,$A$123:$A$133,0),6))</f>
        <v/>
      </c>
      <c r="G215" s="929" t="str">
        <f>IF(INDEX($A$123:$N$133,MATCH($B212,$A$123:$A$133,0),7)=0,"",INDEX($A$123:$N$133,MATCH($B212,$A$123:$A$133,0),7))</f>
        <v/>
      </c>
      <c r="H215" s="929" t="str">
        <f>IF(INDEX($A$123:$N$133,MATCH($B212,$A$123:$A$133,0),8)=0,"",INDEX($A$123:$N$133,MATCH($B212,$A$123:$A$133,0),8))</f>
        <v/>
      </c>
      <c r="I215" s="929" t="str">
        <f>IF(INDEX($A$123:$N$133,MATCH($B212,$A$123:$A$133,0),9)=0,"",INDEX($A$123:$N$133,MATCH($B212,$A$123:$A$133,0),9))</f>
        <v/>
      </c>
      <c r="J215" s="929" t="str">
        <f>IF(INDEX($A$123:$N$133,MATCH($B212,$A$123:$A$133,0),10)=0,"",INDEX($A$123:$N$133,MATCH($B212,$A$123:$A$133,0),10))</f>
        <v/>
      </c>
      <c r="K215" s="929" t="str">
        <f>IF(INDEX($A$123:$N$133,MATCH($B212,$A$123:$A$133,0),11)=0,"",INDEX($A$123:$N$133,MATCH($B212,$A$123:$A$133,0),11))</f>
        <v/>
      </c>
      <c r="L215" s="929" t="str">
        <f>IF(INDEX($A$123:$N$133,MATCH($B212,$A$123:$A$133,0),12)=0,"",INDEX($A$123:$N$133,MATCH($B212,$A$123:$A$133,0),12))</f>
        <v/>
      </c>
      <c r="M215" s="929" t="str">
        <f>IF(INDEX($A$123:$N$133,MATCH($B212,$A$123:$A$133,0),13)=0,"",INDEX($A$123:$N$133,MATCH($B212,$A$123:$A$133,0),13))</f>
        <v/>
      </c>
      <c r="N215" s="930" t="str">
        <f>IF(INDEX($A$123:$N$133,MATCH($B212,$A$123:$A$133,0),14)=0,"",INDEX($A$123:$N$133,MATCH($B212,$A$123:$A$133,0),14))</f>
        <v/>
      </c>
      <c r="O215" s="708"/>
    </row>
    <row r="216" spans="1:15" x14ac:dyDescent="0.25">
      <c r="A216" s="850" t="s">
        <v>5106</v>
      </c>
      <c r="B216" s="928" t="s">
        <v>5104</v>
      </c>
      <c r="C216" s="929" t="str">
        <f t="shared" ref="C216:N216" si="65">IF(C214="","",IF(C215="","",C214*C215))</f>
        <v/>
      </c>
      <c r="D216" s="929" t="str">
        <f t="shared" si="65"/>
        <v/>
      </c>
      <c r="E216" s="929" t="str">
        <f t="shared" si="65"/>
        <v/>
      </c>
      <c r="F216" s="929" t="str">
        <f t="shared" si="65"/>
        <v/>
      </c>
      <c r="G216" s="929" t="str">
        <f t="shared" si="65"/>
        <v/>
      </c>
      <c r="H216" s="929" t="str">
        <f t="shared" si="65"/>
        <v/>
      </c>
      <c r="I216" s="929" t="str">
        <f t="shared" si="65"/>
        <v/>
      </c>
      <c r="J216" s="929" t="str">
        <f t="shared" si="65"/>
        <v/>
      </c>
      <c r="K216" s="929" t="str">
        <f t="shared" si="65"/>
        <v/>
      </c>
      <c r="L216" s="929" t="str">
        <f t="shared" si="65"/>
        <v/>
      </c>
      <c r="M216" s="929" t="str">
        <f t="shared" si="65"/>
        <v/>
      </c>
      <c r="N216" s="930" t="str">
        <f t="shared" si="65"/>
        <v/>
      </c>
      <c r="O216" s="708"/>
    </row>
    <row r="217" spans="1:15" x14ac:dyDescent="0.25">
      <c r="A217" s="927" t="s">
        <v>5035</v>
      </c>
      <c r="B217" s="928" t="s">
        <v>5104</v>
      </c>
      <c r="C217" s="929">
        <f>C202</f>
        <v>0</v>
      </c>
      <c r="D217" s="929">
        <f t="shared" ref="D217:M217" si="66">D202</f>
        <v>0</v>
      </c>
      <c r="E217" s="929">
        <f t="shared" si="66"/>
        <v>0</v>
      </c>
      <c r="F217" s="929">
        <f t="shared" si="66"/>
        <v>0</v>
      </c>
      <c r="G217" s="929">
        <f t="shared" si="66"/>
        <v>0</v>
      </c>
      <c r="H217" s="929">
        <f t="shared" si="66"/>
        <v>0</v>
      </c>
      <c r="I217" s="929">
        <f t="shared" si="66"/>
        <v>0</v>
      </c>
      <c r="J217" s="929">
        <f t="shared" si="66"/>
        <v>0</v>
      </c>
      <c r="K217" s="929">
        <f t="shared" si="66"/>
        <v>0</v>
      </c>
      <c r="L217" s="929">
        <f t="shared" si="66"/>
        <v>0</v>
      </c>
      <c r="M217" s="929">
        <f t="shared" si="66"/>
        <v>0</v>
      </c>
      <c r="N217" s="930">
        <f>N202</f>
        <v>0</v>
      </c>
      <c r="O217" s="708"/>
    </row>
    <row r="218" spans="1:15" x14ac:dyDescent="0.25">
      <c r="A218" s="850" t="s">
        <v>5107</v>
      </c>
      <c r="B218" s="928" t="s">
        <v>5104</v>
      </c>
      <c r="C218" s="929" t="str">
        <f t="shared" ref="C218:N218" si="67">IF(C216="","",C216-C217)</f>
        <v/>
      </c>
      <c r="D218" s="929" t="str">
        <f t="shared" si="67"/>
        <v/>
      </c>
      <c r="E218" s="929" t="str">
        <f t="shared" si="67"/>
        <v/>
      </c>
      <c r="F218" s="929" t="str">
        <f t="shared" si="67"/>
        <v/>
      </c>
      <c r="G218" s="929" t="str">
        <f t="shared" si="67"/>
        <v/>
      </c>
      <c r="H218" s="929" t="str">
        <f t="shared" si="67"/>
        <v/>
      </c>
      <c r="I218" s="929" t="str">
        <f t="shared" si="67"/>
        <v/>
      </c>
      <c r="J218" s="929" t="str">
        <f t="shared" si="67"/>
        <v/>
      </c>
      <c r="K218" s="929" t="str">
        <f t="shared" si="67"/>
        <v/>
      </c>
      <c r="L218" s="929" t="str">
        <f t="shared" si="67"/>
        <v/>
      </c>
      <c r="M218" s="929" t="str">
        <f t="shared" si="67"/>
        <v/>
      </c>
      <c r="N218" s="930" t="str">
        <f t="shared" si="67"/>
        <v/>
      </c>
      <c r="O218" s="708"/>
    </row>
    <row r="219" spans="1:15" x14ac:dyDescent="0.25">
      <c r="A219" s="850" t="s">
        <v>5108</v>
      </c>
      <c r="B219" s="928" t="s">
        <v>5109</v>
      </c>
      <c r="C219" s="929" t="str">
        <f t="shared" ref="C219:N219" si="68">IF(C218="","",IF(C218&lt;0,0,C218*10))</f>
        <v/>
      </c>
      <c r="D219" s="929" t="str">
        <f t="shared" si="68"/>
        <v/>
      </c>
      <c r="E219" s="929" t="str">
        <f t="shared" si="68"/>
        <v/>
      </c>
      <c r="F219" s="929" t="str">
        <f t="shared" si="68"/>
        <v/>
      </c>
      <c r="G219" s="929" t="str">
        <f t="shared" si="68"/>
        <v/>
      </c>
      <c r="H219" s="929" t="str">
        <f t="shared" si="68"/>
        <v/>
      </c>
      <c r="I219" s="929" t="str">
        <f t="shared" si="68"/>
        <v/>
      </c>
      <c r="J219" s="929" t="str">
        <f t="shared" si="68"/>
        <v/>
      </c>
      <c r="K219" s="929" t="str">
        <f t="shared" si="68"/>
        <v/>
      </c>
      <c r="L219" s="929" t="str">
        <f t="shared" si="68"/>
        <v/>
      </c>
      <c r="M219" s="929" t="str">
        <f t="shared" si="68"/>
        <v/>
      </c>
      <c r="N219" s="930" t="str">
        <f t="shared" si="68"/>
        <v/>
      </c>
      <c r="O219" s="931"/>
    </row>
    <row r="220" spans="1:15" x14ac:dyDescent="0.25">
      <c r="A220" s="927" t="s">
        <v>5081</v>
      </c>
      <c r="B220" s="928"/>
      <c r="C220" s="929" t="str">
        <f>C205</f>
        <v/>
      </c>
      <c r="D220" s="929" t="str">
        <f>C220</f>
        <v/>
      </c>
      <c r="E220" s="929" t="str">
        <f t="shared" ref="E220:M221" si="69">D220</f>
        <v/>
      </c>
      <c r="F220" s="929" t="str">
        <f t="shared" si="69"/>
        <v/>
      </c>
      <c r="G220" s="929" t="str">
        <f t="shared" si="69"/>
        <v/>
      </c>
      <c r="H220" s="929" t="str">
        <f t="shared" si="69"/>
        <v/>
      </c>
      <c r="I220" s="929" t="str">
        <f t="shared" si="69"/>
        <v/>
      </c>
      <c r="J220" s="929" t="str">
        <f t="shared" si="69"/>
        <v/>
      </c>
      <c r="K220" s="929" t="str">
        <f t="shared" si="69"/>
        <v/>
      </c>
      <c r="L220" s="929" t="str">
        <f t="shared" si="69"/>
        <v/>
      </c>
      <c r="M220" s="929" t="str">
        <f t="shared" si="69"/>
        <v/>
      </c>
      <c r="N220" s="930" t="str">
        <f>M220</f>
        <v/>
      </c>
      <c r="O220" s="708"/>
    </row>
    <row r="221" spans="1:15" x14ac:dyDescent="0.25">
      <c r="A221" s="927" t="s">
        <v>5110</v>
      </c>
      <c r="B221" s="928" t="s">
        <v>5111</v>
      </c>
      <c r="C221" s="929" t="str">
        <f>C206</f>
        <v/>
      </c>
      <c r="D221" s="929" t="str">
        <f>C221</f>
        <v/>
      </c>
      <c r="E221" s="929" t="str">
        <f t="shared" si="69"/>
        <v/>
      </c>
      <c r="F221" s="929" t="str">
        <f t="shared" si="69"/>
        <v/>
      </c>
      <c r="G221" s="929" t="str">
        <f t="shared" si="69"/>
        <v/>
      </c>
      <c r="H221" s="929" t="str">
        <f t="shared" si="69"/>
        <v/>
      </c>
      <c r="I221" s="929" t="str">
        <f t="shared" si="69"/>
        <v/>
      </c>
      <c r="J221" s="929" t="str">
        <f t="shared" si="69"/>
        <v/>
      </c>
      <c r="K221" s="929" t="str">
        <f t="shared" si="69"/>
        <v/>
      </c>
      <c r="L221" s="929" t="str">
        <f t="shared" si="69"/>
        <v/>
      </c>
      <c r="M221" s="929" t="str">
        <f t="shared" si="69"/>
        <v/>
      </c>
      <c r="N221" s="930" t="str">
        <f>M221</f>
        <v/>
      </c>
      <c r="O221" s="708"/>
    </row>
    <row r="222" spans="1:15" x14ac:dyDescent="0.25">
      <c r="A222" s="850" t="s">
        <v>5112</v>
      </c>
      <c r="B222" s="928" t="s">
        <v>5113</v>
      </c>
      <c r="C222" s="929" t="str">
        <f t="shared" ref="C222:N222" si="70">IF(C220="","",IF(C219="","",IF(C221="","",C219*(1000/(3600*31*C221))/C220)))</f>
        <v/>
      </c>
      <c r="D222" s="929" t="str">
        <f t="shared" si="70"/>
        <v/>
      </c>
      <c r="E222" s="929" t="str">
        <f t="shared" si="70"/>
        <v/>
      </c>
      <c r="F222" s="929" t="str">
        <f t="shared" si="70"/>
        <v/>
      </c>
      <c r="G222" s="929" t="str">
        <f t="shared" si="70"/>
        <v/>
      </c>
      <c r="H222" s="929" t="str">
        <f t="shared" si="70"/>
        <v/>
      </c>
      <c r="I222" s="929" t="str">
        <f t="shared" si="70"/>
        <v/>
      </c>
      <c r="J222" s="929" t="str">
        <f t="shared" si="70"/>
        <v/>
      </c>
      <c r="K222" s="929" t="str">
        <f t="shared" si="70"/>
        <v/>
      </c>
      <c r="L222" s="929" t="str">
        <f t="shared" si="70"/>
        <v/>
      </c>
      <c r="M222" s="929" t="str">
        <f t="shared" si="70"/>
        <v/>
      </c>
      <c r="N222" s="930" t="str">
        <f t="shared" si="70"/>
        <v/>
      </c>
      <c r="O222" s="708"/>
    </row>
    <row r="223" spans="1:15" ht="15.75" thickBot="1" x14ac:dyDescent="0.3">
      <c r="A223" s="850" t="s">
        <v>5114</v>
      </c>
      <c r="B223" s="928" t="s">
        <v>5115</v>
      </c>
      <c r="C223" s="929" t="str">
        <f t="shared" ref="C223:N223" si="71">IF(C215="","",INDEX($A$123:$B$133,MATCH($B212,$A$123:$A$133,0),2))</f>
        <v/>
      </c>
      <c r="D223" s="929" t="str">
        <f t="shared" si="71"/>
        <v/>
      </c>
      <c r="E223" s="929" t="str">
        <f t="shared" si="71"/>
        <v/>
      </c>
      <c r="F223" s="929" t="str">
        <f t="shared" si="71"/>
        <v/>
      </c>
      <c r="G223" s="929" t="str">
        <f t="shared" si="71"/>
        <v/>
      </c>
      <c r="H223" s="929" t="str">
        <f t="shared" si="71"/>
        <v/>
      </c>
      <c r="I223" s="929" t="str">
        <f t="shared" si="71"/>
        <v/>
      </c>
      <c r="J223" s="929" t="str">
        <f t="shared" si="71"/>
        <v/>
      </c>
      <c r="K223" s="929" t="str">
        <f t="shared" si="71"/>
        <v/>
      </c>
      <c r="L223" s="929" t="str">
        <f t="shared" si="71"/>
        <v/>
      </c>
      <c r="M223" s="929" t="str">
        <f t="shared" si="71"/>
        <v/>
      </c>
      <c r="N223" s="932" t="str">
        <f t="shared" si="71"/>
        <v/>
      </c>
      <c r="O223" s="708"/>
    </row>
    <row r="224" spans="1:15" ht="15.75" thickBot="1" x14ac:dyDescent="0.3">
      <c r="A224" s="933" t="s">
        <v>5116</v>
      </c>
      <c r="B224" s="934" t="s">
        <v>5113</v>
      </c>
      <c r="C224" s="935" t="str">
        <f t="shared" ref="C224:N224" si="72">IF(C222="","",C222*C223)</f>
        <v/>
      </c>
      <c r="D224" s="935" t="str">
        <f t="shared" si="72"/>
        <v/>
      </c>
      <c r="E224" s="935" t="str">
        <f t="shared" si="72"/>
        <v/>
      </c>
      <c r="F224" s="935" t="str">
        <f t="shared" si="72"/>
        <v/>
      </c>
      <c r="G224" s="935" t="str">
        <f t="shared" si="72"/>
        <v/>
      </c>
      <c r="H224" s="935" t="str">
        <f t="shared" si="72"/>
        <v/>
      </c>
      <c r="I224" s="935" t="str">
        <f t="shared" si="72"/>
        <v/>
      </c>
      <c r="J224" s="935" t="str">
        <f t="shared" si="72"/>
        <v/>
      </c>
      <c r="K224" s="935" t="str">
        <f t="shared" si="72"/>
        <v/>
      </c>
      <c r="L224" s="935" t="str">
        <f t="shared" si="72"/>
        <v/>
      </c>
      <c r="M224" s="935" t="str">
        <f t="shared" si="72"/>
        <v/>
      </c>
      <c r="N224" s="936" t="str">
        <f t="shared" si="72"/>
        <v/>
      </c>
      <c r="O224" s="708"/>
    </row>
    <row r="225" spans="1:15" x14ac:dyDescent="0.25">
      <c r="A225" s="708"/>
      <c r="B225" s="708"/>
      <c r="C225" s="708"/>
      <c r="D225" s="708"/>
      <c r="E225" s="708"/>
      <c r="F225" s="708"/>
      <c r="G225" s="708"/>
      <c r="H225" s="708"/>
      <c r="I225" s="708"/>
      <c r="J225" s="708"/>
      <c r="K225" s="708"/>
      <c r="L225" s="708"/>
      <c r="M225" s="708"/>
      <c r="N225" s="708"/>
      <c r="O225" s="708"/>
    </row>
    <row r="226" spans="1:15" ht="15.75" x14ac:dyDescent="0.25">
      <c r="A226" s="1991" t="s">
        <v>5101</v>
      </c>
      <c r="B226" s="1991"/>
      <c r="C226" s="1991"/>
      <c r="D226" s="1991"/>
      <c r="E226" s="1991"/>
      <c r="F226" s="1991"/>
      <c r="G226" s="1991"/>
      <c r="H226" s="1991"/>
      <c r="I226" s="1991"/>
      <c r="J226" s="1991"/>
      <c r="K226" s="1991"/>
      <c r="L226" s="1991"/>
      <c r="M226" s="1991"/>
      <c r="N226" s="1991"/>
      <c r="O226" s="708"/>
    </row>
    <row r="227" spans="1:15" ht="15.75" thickBot="1" x14ac:dyDescent="0.3">
      <c r="A227" s="924" t="s">
        <v>5102</v>
      </c>
      <c r="B227" s="925" t="str">
        <f>IF(A129="","",A129)</f>
        <v/>
      </c>
      <c r="C227" s="708"/>
      <c r="D227" s="708"/>
      <c r="E227" s="708"/>
      <c r="F227" s="708"/>
      <c r="G227" s="708"/>
      <c r="H227" s="708"/>
      <c r="I227" s="708"/>
      <c r="J227" s="708"/>
      <c r="K227" s="708"/>
      <c r="L227" s="708"/>
      <c r="M227" s="708"/>
      <c r="N227" s="708"/>
      <c r="O227" s="708"/>
    </row>
    <row r="228" spans="1:15" x14ac:dyDescent="0.25">
      <c r="A228" s="926"/>
      <c r="B228" s="906" t="s">
        <v>4646</v>
      </c>
      <c r="C228" s="906" t="s">
        <v>5062</v>
      </c>
      <c r="D228" s="906" t="s">
        <v>5063</v>
      </c>
      <c r="E228" s="906" t="s">
        <v>5064</v>
      </c>
      <c r="F228" s="906" t="s">
        <v>5065</v>
      </c>
      <c r="G228" s="906" t="s">
        <v>5066</v>
      </c>
      <c r="H228" s="906" t="s">
        <v>5067</v>
      </c>
      <c r="I228" s="906" t="s">
        <v>5068</v>
      </c>
      <c r="J228" s="906" t="s">
        <v>5069</v>
      </c>
      <c r="K228" s="906" t="s">
        <v>5070</v>
      </c>
      <c r="L228" s="906" t="s">
        <v>5071</v>
      </c>
      <c r="M228" s="906" t="s">
        <v>5072</v>
      </c>
      <c r="N228" s="908" t="s">
        <v>5073</v>
      </c>
      <c r="O228" s="708"/>
    </row>
    <row r="229" spans="1:15" x14ac:dyDescent="0.25">
      <c r="A229" s="927" t="s">
        <v>5103</v>
      </c>
      <c r="B229" s="928" t="s">
        <v>5104</v>
      </c>
      <c r="C229" s="929" t="str">
        <f>C214</f>
        <v/>
      </c>
      <c r="D229" s="929" t="str">
        <f t="shared" ref="D229:N229" si="73">D214</f>
        <v/>
      </c>
      <c r="E229" s="929" t="str">
        <f t="shared" si="73"/>
        <v/>
      </c>
      <c r="F229" s="929" t="str">
        <f t="shared" si="73"/>
        <v/>
      </c>
      <c r="G229" s="929" t="str">
        <f t="shared" si="73"/>
        <v/>
      </c>
      <c r="H229" s="929" t="str">
        <f t="shared" si="73"/>
        <v/>
      </c>
      <c r="I229" s="929" t="str">
        <f t="shared" si="73"/>
        <v/>
      </c>
      <c r="J229" s="929" t="str">
        <f t="shared" si="73"/>
        <v/>
      </c>
      <c r="K229" s="929" t="str">
        <f t="shared" si="73"/>
        <v/>
      </c>
      <c r="L229" s="929" t="str">
        <f t="shared" si="73"/>
        <v/>
      </c>
      <c r="M229" s="929" t="str">
        <f t="shared" si="73"/>
        <v/>
      </c>
      <c r="N229" s="937" t="str">
        <f t="shared" si="73"/>
        <v/>
      </c>
      <c r="O229" s="708"/>
    </row>
    <row r="230" spans="1:15" x14ac:dyDescent="0.25">
      <c r="A230" s="850" t="s">
        <v>5105</v>
      </c>
      <c r="B230" s="928"/>
      <c r="C230" s="929" t="str">
        <f>IF(INDEX($A$123:$N$133,MATCH($B227,$A$123:$A$133,0),3)=0,"",INDEX($A$123:$N$133,MATCH($B227,$A$123:$A$133,0),3))</f>
        <v/>
      </c>
      <c r="D230" s="929" t="str">
        <f>IF(INDEX($A$123:$N$133,MATCH($B227,$A$123:$A$133,0),4)=0,"",INDEX($A$123:$N$133,MATCH($B227,$A$123:$A$133,0),4))</f>
        <v/>
      </c>
      <c r="E230" s="929" t="str">
        <f>IF(INDEX($A$123:$N$133,MATCH($B227,$A$123:$A$133,0),5)=0,"",INDEX($A$123:$N$133,MATCH($B227,$A$123:$A$133,0),5))</f>
        <v/>
      </c>
      <c r="F230" s="929" t="str">
        <f>IF(INDEX($A$123:$N$133,MATCH($B227,$A$123:$A$133,0),6)=0,"",INDEX($A$123:$N$133,MATCH($B227,$A$123:$A$133,0),6))</f>
        <v/>
      </c>
      <c r="G230" s="929" t="str">
        <f>IF(INDEX($A$123:$N$133,MATCH($B227,$A$123:$A$133,0),7)=0,"",INDEX($A$123:$N$133,MATCH($B227,$A$123:$A$133,0),7))</f>
        <v/>
      </c>
      <c r="H230" s="929" t="str">
        <f>IF(INDEX($A$123:$N$133,MATCH($B227,$A$123:$A$133,0),8)=0,"",INDEX($A$123:$N$133,MATCH($B227,$A$123:$A$133,0),8))</f>
        <v/>
      </c>
      <c r="I230" s="929" t="str">
        <f>IF(INDEX($A$123:$N$133,MATCH($B227,$A$123:$A$133,0),9)=0,"",INDEX($A$123:$N$133,MATCH($B227,$A$123:$A$133,0),9))</f>
        <v/>
      </c>
      <c r="J230" s="929" t="str">
        <f>IF(INDEX($A$123:$N$133,MATCH($B227,$A$123:$A$133,0),10)=0,"",INDEX($A$123:$N$133,MATCH($B227,$A$123:$A$133,0),10))</f>
        <v/>
      </c>
      <c r="K230" s="929" t="str">
        <f>IF(INDEX($A$123:$N$133,MATCH($B227,$A$123:$A$133,0),11)=0,"",INDEX($A$123:$N$133,MATCH($B227,$A$123:$A$133,0),11))</f>
        <v/>
      </c>
      <c r="L230" s="929" t="str">
        <f>IF(INDEX($A$123:$N$133,MATCH($B227,$A$123:$A$133,0),12)=0,"",INDEX($A$123:$N$133,MATCH($B227,$A$123:$A$133,0),12))</f>
        <v/>
      </c>
      <c r="M230" s="929" t="str">
        <f>IF(INDEX($A$123:$N$133,MATCH($B227,$A$123:$A$133,0),13)=0,"",INDEX($A$123:$N$133,MATCH($B227,$A$123:$A$133,0),13))</f>
        <v/>
      </c>
      <c r="N230" s="930" t="str">
        <f>IF(INDEX($A$123:$N$133,MATCH($B227,$A$123:$A$133,0),14)=0,"",INDEX($A$123:$N$133,MATCH($B227,$A$123:$A$133,0),14))</f>
        <v/>
      </c>
      <c r="O230" s="708"/>
    </row>
    <row r="231" spans="1:15" x14ac:dyDescent="0.25">
      <c r="A231" s="850" t="s">
        <v>5106</v>
      </c>
      <c r="B231" s="928" t="s">
        <v>5104</v>
      </c>
      <c r="C231" s="929" t="str">
        <f t="shared" ref="C231:N231" si="74">IF(C229="","",IF(C230="","",C229*C230))</f>
        <v/>
      </c>
      <c r="D231" s="929" t="str">
        <f t="shared" si="74"/>
        <v/>
      </c>
      <c r="E231" s="929" t="str">
        <f t="shared" si="74"/>
        <v/>
      </c>
      <c r="F231" s="929" t="str">
        <f t="shared" si="74"/>
        <v/>
      </c>
      <c r="G231" s="929" t="str">
        <f t="shared" si="74"/>
        <v/>
      </c>
      <c r="H231" s="929" t="str">
        <f t="shared" si="74"/>
        <v/>
      </c>
      <c r="I231" s="929" t="str">
        <f t="shared" si="74"/>
        <v/>
      </c>
      <c r="J231" s="929" t="str">
        <f t="shared" si="74"/>
        <v/>
      </c>
      <c r="K231" s="929" t="str">
        <f t="shared" si="74"/>
        <v/>
      </c>
      <c r="L231" s="929" t="str">
        <f t="shared" si="74"/>
        <v/>
      </c>
      <c r="M231" s="929" t="str">
        <f t="shared" si="74"/>
        <v/>
      </c>
      <c r="N231" s="930" t="str">
        <f t="shared" si="74"/>
        <v/>
      </c>
      <c r="O231" s="708"/>
    </row>
    <row r="232" spans="1:15" x14ac:dyDescent="0.25">
      <c r="A232" s="927" t="s">
        <v>5035</v>
      </c>
      <c r="B232" s="928" t="s">
        <v>5104</v>
      </c>
      <c r="C232" s="929">
        <f>C217</f>
        <v>0</v>
      </c>
      <c r="D232" s="929">
        <f t="shared" ref="D232:M232" si="75">D217</f>
        <v>0</v>
      </c>
      <c r="E232" s="929">
        <f t="shared" si="75"/>
        <v>0</v>
      </c>
      <c r="F232" s="929">
        <f t="shared" si="75"/>
        <v>0</v>
      </c>
      <c r="G232" s="929">
        <f t="shared" si="75"/>
        <v>0</v>
      </c>
      <c r="H232" s="929">
        <f t="shared" si="75"/>
        <v>0</v>
      </c>
      <c r="I232" s="929">
        <f t="shared" si="75"/>
        <v>0</v>
      </c>
      <c r="J232" s="929">
        <f t="shared" si="75"/>
        <v>0</v>
      </c>
      <c r="K232" s="929">
        <f t="shared" si="75"/>
        <v>0</v>
      </c>
      <c r="L232" s="929">
        <f t="shared" si="75"/>
        <v>0</v>
      </c>
      <c r="M232" s="929">
        <f t="shared" si="75"/>
        <v>0</v>
      </c>
      <c r="N232" s="930">
        <f>N217</f>
        <v>0</v>
      </c>
      <c r="O232" s="708"/>
    </row>
    <row r="233" spans="1:15" x14ac:dyDescent="0.25">
      <c r="A233" s="850" t="s">
        <v>5107</v>
      </c>
      <c r="B233" s="928" t="s">
        <v>5104</v>
      </c>
      <c r="C233" s="929" t="str">
        <f t="shared" ref="C233:N233" si="76">IF(C231="","",C231-C232)</f>
        <v/>
      </c>
      <c r="D233" s="929" t="str">
        <f t="shared" si="76"/>
        <v/>
      </c>
      <c r="E233" s="929" t="str">
        <f t="shared" si="76"/>
        <v/>
      </c>
      <c r="F233" s="929" t="str">
        <f t="shared" si="76"/>
        <v/>
      </c>
      <c r="G233" s="929" t="str">
        <f t="shared" si="76"/>
        <v/>
      </c>
      <c r="H233" s="929" t="str">
        <f t="shared" si="76"/>
        <v/>
      </c>
      <c r="I233" s="929" t="str">
        <f t="shared" si="76"/>
        <v/>
      </c>
      <c r="J233" s="929" t="str">
        <f t="shared" si="76"/>
        <v/>
      </c>
      <c r="K233" s="929" t="str">
        <f t="shared" si="76"/>
        <v/>
      </c>
      <c r="L233" s="929" t="str">
        <f t="shared" si="76"/>
        <v/>
      </c>
      <c r="M233" s="929" t="str">
        <f t="shared" si="76"/>
        <v/>
      </c>
      <c r="N233" s="930" t="str">
        <f t="shared" si="76"/>
        <v/>
      </c>
      <c r="O233" s="708"/>
    </row>
    <row r="234" spans="1:15" x14ac:dyDescent="0.25">
      <c r="A234" s="850" t="s">
        <v>5108</v>
      </c>
      <c r="B234" s="928" t="s">
        <v>5109</v>
      </c>
      <c r="C234" s="929" t="str">
        <f t="shared" ref="C234:N234" si="77">IF(C233="","",IF(C233&lt;0,0,C233*10))</f>
        <v/>
      </c>
      <c r="D234" s="929" t="str">
        <f t="shared" si="77"/>
        <v/>
      </c>
      <c r="E234" s="929" t="str">
        <f t="shared" si="77"/>
        <v/>
      </c>
      <c r="F234" s="929" t="str">
        <f t="shared" si="77"/>
        <v/>
      </c>
      <c r="G234" s="929" t="str">
        <f t="shared" si="77"/>
        <v/>
      </c>
      <c r="H234" s="929" t="str">
        <f t="shared" si="77"/>
        <v/>
      </c>
      <c r="I234" s="929" t="str">
        <f t="shared" si="77"/>
        <v/>
      </c>
      <c r="J234" s="929" t="str">
        <f t="shared" si="77"/>
        <v/>
      </c>
      <c r="K234" s="929" t="str">
        <f t="shared" si="77"/>
        <v/>
      </c>
      <c r="L234" s="929" t="str">
        <f t="shared" si="77"/>
        <v/>
      </c>
      <c r="M234" s="929" t="str">
        <f t="shared" si="77"/>
        <v/>
      </c>
      <c r="N234" s="930" t="str">
        <f t="shared" si="77"/>
        <v/>
      </c>
      <c r="O234" s="931"/>
    </row>
    <row r="235" spans="1:15" x14ac:dyDescent="0.25">
      <c r="A235" s="927" t="s">
        <v>5081</v>
      </c>
      <c r="B235" s="928"/>
      <c r="C235" s="929" t="str">
        <f>C220</f>
        <v/>
      </c>
      <c r="D235" s="929" t="str">
        <f>C235</f>
        <v/>
      </c>
      <c r="E235" s="929" t="str">
        <f t="shared" ref="E235:M236" si="78">D235</f>
        <v/>
      </c>
      <c r="F235" s="929" t="str">
        <f t="shared" si="78"/>
        <v/>
      </c>
      <c r="G235" s="929" t="str">
        <f t="shared" si="78"/>
        <v/>
      </c>
      <c r="H235" s="929" t="str">
        <f t="shared" si="78"/>
        <v/>
      </c>
      <c r="I235" s="929" t="str">
        <f t="shared" si="78"/>
        <v/>
      </c>
      <c r="J235" s="929" t="str">
        <f t="shared" si="78"/>
        <v/>
      </c>
      <c r="K235" s="929" t="str">
        <f t="shared" si="78"/>
        <v/>
      </c>
      <c r="L235" s="929" t="str">
        <f t="shared" si="78"/>
        <v/>
      </c>
      <c r="M235" s="929" t="str">
        <f t="shared" si="78"/>
        <v/>
      </c>
      <c r="N235" s="930" t="str">
        <f>M235</f>
        <v/>
      </c>
      <c r="O235" s="708"/>
    </row>
    <row r="236" spans="1:15" x14ac:dyDescent="0.25">
      <c r="A236" s="927" t="s">
        <v>5110</v>
      </c>
      <c r="B236" s="928" t="s">
        <v>5111</v>
      </c>
      <c r="C236" s="929" t="str">
        <f>C221</f>
        <v/>
      </c>
      <c r="D236" s="929" t="str">
        <f>C236</f>
        <v/>
      </c>
      <c r="E236" s="929" t="str">
        <f t="shared" si="78"/>
        <v/>
      </c>
      <c r="F236" s="929" t="str">
        <f t="shared" si="78"/>
        <v/>
      </c>
      <c r="G236" s="929" t="str">
        <f t="shared" si="78"/>
        <v/>
      </c>
      <c r="H236" s="929" t="str">
        <f t="shared" si="78"/>
        <v/>
      </c>
      <c r="I236" s="929" t="str">
        <f t="shared" si="78"/>
        <v/>
      </c>
      <c r="J236" s="929" t="str">
        <f t="shared" si="78"/>
        <v/>
      </c>
      <c r="K236" s="929" t="str">
        <f t="shared" si="78"/>
        <v/>
      </c>
      <c r="L236" s="929" t="str">
        <f t="shared" si="78"/>
        <v/>
      </c>
      <c r="M236" s="929" t="str">
        <f t="shared" si="78"/>
        <v/>
      </c>
      <c r="N236" s="930" t="str">
        <f>M236</f>
        <v/>
      </c>
      <c r="O236" s="708"/>
    </row>
    <row r="237" spans="1:15" x14ac:dyDescent="0.25">
      <c r="A237" s="850" t="s">
        <v>5112</v>
      </c>
      <c r="B237" s="928" t="s">
        <v>5113</v>
      </c>
      <c r="C237" s="929" t="str">
        <f t="shared" ref="C237:N237" si="79">IF(C235="","",IF(C234="","",IF(C236="","",C234*(1000/(3600*31*C236))/C235)))</f>
        <v/>
      </c>
      <c r="D237" s="929" t="str">
        <f t="shared" si="79"/>
        <v/>
      </c>
      <c r="E237" s="929" t="str">
        <f t="shared" si="79"/>
        <v/>
      </c>
      <c r="F237" s="929" t="str">
        <f t="shared" si="79"/>
        <v/>
      </c>
      <c r="G237" s="929" t="str">
        <f t="shared" si="79"/>
        <v/>
      </c>
      <c r="H237" s="929" t="str">
        <f t="shared" si="79"/>
        <v/>
      </c>
      <c r="I237" s="929" t="str">
        <f t="shared" si="79"/>
        <v/>
      </c>
      <c r="J237" s="929" t="str">
        <f t="shared" si="79"/>
        <v/>
      </c>
      <c r="K237" s="929" t="str">
        <f t="shared" si="79"/>
        <v/>
      </c>
      <c r="L237" s="929" t="str">
        <f t="shared" si="79"/>
        <v/>
      </c>
      <c r="M237" s="929" t="str">
        <f t="shared" si="79"/>
        <v/>
      </c>
      <c r="N237" s="930" t="str">
        <f t="shared" si="79"/>
        <v/>
      </c>
      <c r="O237" s="708"/>
    </row>
    <row r="238" spans="1:15" ht="15.75" thickBot="1" x14ac:dyDescent="0.3">
      <c r="A238" s="850" t="s">
        <v>5114</v>
      </c>
      <c r="B238" s="928" t="s">
        <v>5115</v>
      </c>
      <c r="C238" s="929" t="str">
        <f t="shared" ref="C238:N238" si="80">IF(C230="","",INDEX($A$123:$B$133,MATCH($B227,$A$123:$A$133,0),2))</f>
        <v/>
      </c>
      <c r="D238" s="929" t="str">
        <f t="shared" si="80"/>
        <v/>
      </c>
      <c r="E238" s="929" t="str">
        <f t="shared" si="80"/>
        <v/>
      </c>
      <c r="F238" s="929" t="str">
        <f t="shared" si="80"/>
        <v/>
      </c>
      <c r="G238" s="929" t="str">
        <f t="shared" si="80"/>
        <v/>
      </c>
      <c r="H238" s="929" t="str">
        <f t="shared" si="80"/>
        <v/>
      </c>
      <c r="I238" s="929" t="str">
        <f t="shared" si="80"/>
        <v/>
      </c>
      <c r="J238" s="929" t="str">
        <f t="shared" si="80"/>
        <v/>
      </c>
      <c r="K238" s="929" t="str">
        <f t="shared" si="80"/>
        <v/>
      </c>
      <c r="L238" s="929" t="str">
        <f t="shared" si="80"/>
        <v/>
      </c>
      <c r="M238" s="929" t="str">
        <f t="shared" si="80"/>
        <v/>
      </c>
      <c r="N238" s="932" t="str">
        <f t="shared" si="80"/>
        <v/>
      </c>
      <c r="O238" s="708"/>
    </row>
    <row r="239" spans="1:15" ht="15.75" thickBot="1" x14ac:dyDescent="0.3">
      <c r="A239" s="933" t="s">
        <v>5116</v>
      </c>
      <c r="B239" s="934" t="s">
        <v>5113</v>
      </c>
      <c r="C239" s="935" t="str">
        <f t="shared" ref="C239:N239" si="81">IF(C237="","",C237*C238)</f>
        <v/>
      </c>
      <c r="D239" s="935" t="str">
        <f t="shared" si="81"/>
        <v/>
      </c>
      <c r="E239" s="935" t="str">
        <f t="shared" si="81"/>
        <v/>
      </c>
      <c r="F239" s="935" t="str">
        <f t="shared" si="81"/>
        <v/>
      </c>
      <c r="G239" s="935" t="str">
        <f t="shared" si="81"/>
        <v/>
      </c>
      <c r="H239" s="935" t="str">
        <f t="shared" si="81"/>
        <v/>
      </c>
      <c r="I239" s="935" t="str">
        <f t="shared" si="81"/>
        <v/>
      </c>
      <c r="J239" s="935" t="str">
        <f t="shared" si="81"/>
        <v/>
      </c>
      <c r="K239" s="935" t="str">
        <f t="shared" si="81"/>
        <v/>
      </c>
      <c r="L239" s="935" t="str">
        <f t="shared" si="81"/>
        <v/>
      </c>
      <c r="M239" s="935" t="str">
        <f t="shared" si="81"/>
        <v/>
      </c>
      <c r="N239" s="936" t="str">
        <f t="shared" si="81"/>
        <v/>
      </c>
      <c r="O239" s="708"/>
    </row>
    <row r="240" spans="1:15" x14ac:dyDescent="0.25">
      <c r="A240" s="708"/>
      <c r="B240" s="708"/>
      <c r="C240" s="708"/>
      <c r="D240" s="708"/>
      <c r="E240" s="708"/>
      <c r="F240" s="708"/>
      <c r="G240" s="708"/>
      <c r="H240" s="708"/>
      <c r="I240" s="708"/>
      <c r="J240" s="708"/>
      <c r="K240" s="708"/>
      <c r="L240" s="708"/>
      <c r="M240" s="708"/>
      <c r="N240" s="708"/>
      <c r="O240" s="708"/>
    </row>
    <row r="241" spans="1:15" ht="15.75" x14ac:dyDescent="0.25">
      <c r="A241" s="1991" t="s">
        <v>5101</v>
      </c>
      <c r="B241" s="1991"/>
      <c r="C241" s="1991"/>
      <c r="D241" s="1991"/>
      <c r="E241" s="1991"/>
      <c r="F241" s="1991"/>
      <c r="G241" s="1991"/>
      <c r="H241" s="1991"/>
      <c r="I241" s="1991"/>
      <c r="J241" s="1991"/>
      <c r="K241" s="1991"/>
      <c r="L241" s="1991"/>
      <c r="M241" s="1991"/>
      <c r="N241" s="1991"/>
      <c r="O241" s="708"/>
    </row>
    <row r="242" spans="1:15" ht="15.75" thickBot="1" x14ac:dyDescent="0.3">
      <c r="A242" s="924" t="s">
        <v>5102</v>
      </c>
      <c r="B242" s="925" t="str">
        <f>IF(A130="","",A130)</f>
        <v/>
      </c>
      <c r="C242" s="708"/>
      <c r="D242" s="708"/>
      <c r="E242" s="708"/>
      <c r="F242" s="708"/>
      <c r="G242" s="708"/>
      <c r="H242" s="708"/>
      <c r="I242" s="708"/>
      <c r="J242" s="708"/>
      <c r="K242" s="708"/>
      <c r="L242" s="708"/>
      <c r="M242" s="708"/>
      <c r="N242" s="708"/>
      <c r="O242" s="708"/>
    </row>
    <row r="243" spans="1:15" x14ac:dyDescent="0.25">
      <c r="A243" s="926"/>
      <c r="B243" s="906" t="s">
        <v>4646</v>
      </c>
      <c r="C243" s="906" t="s">
        <v>5062</v>
      </c>
      <c r="D243" s="906" t="s">
        <v>5063</v>
      </c>
      <c r="E243" s="906" t="s">
        <v>5064</v>
      </c>
      <c r="F243" s="906" t="s">
        <v>5065</v>
      </c>
      <c r="G243" s="906" t="s">
        <v>5066</v>
      </c>
      <c r="H243" s="906" t="s">
        <v>5067</v>
      </c>
      <c r="I243" s="906" t="s">
        <v>5068</v>
      </c>
      <c r="J243" s="906" t="s">
        <v>5069</v>
      </c>
      <c r="K243" s="906" t="s">
        <v>5070</v>
      </c>
      <c r="L243" s="906" t="s">
        <v>5071</v>
      </c>
      <c r="M243" s="906" t="s">
        <v>5072</v>
      </c>
      <c r="N243" s="908" t="s">
        <v>5073</v>
      </c>
      <c r="O243" s="708"/>
    </row>
    <row r="244" spans="1:15" x14ac:dyDescent="0.25">
      <c r="A244" s="927" t="s">
        <v>5103</v>
      </c>
      <c r="B244" s="928" t="s">
        <v>5104</v>
      </c>
      <c r="C244" s="929" t="str">
        <f>C229</f>
        <v/>
      </c>
      <c r="D244" s="929" t="str">
        <f t="shared" ref="D244:N244" si="82">D229</f>
        <v/>
      </c>
      <c r="E244" s="929" t="str">
        <f t="shared" si="82"/>
        <v/>
      </c>
      <c r="F244" s="929" t="str">
        <f t="shared" si="82"/>
        <v/>
      </c>
      <c r="G244" s="929" t="str">
        <f t="shared" si="82"/>
        <v/>
      </c>
      <c r="H244" s="929" t="str">
        <f t="shared" si="82"/>
        <v/>
      </c>
      <c r="I244" s="929" t="str">
        <f t="shared" si="82"/>
        <v/>
      </c>
      <c r="J244" s="929" t="str">
        <f t="shared" si="82"/>
        <v/>
      </c>
      <c r="K244" s="929" t="str">
        <f t="shared" si="82"/>
        <v/>
      </c>
      <c r="L244" s="929" t="str">
        <f t="shared" si="82"/>
        <v/>
      </c>
      <c r="M244" s="929" t="str">
        <f t="shared" si="82"/>
        <v/>
      </c>
      <c r="N244" s="937" t="str">
        <f t="shared" si="82"/>
        <v/>
      </c>
      <c r="O244" s="708"/>
    </row>
    <row r="245" spans="1:15" x14ac:dyDescent="0.25">
      <c r="A245" s="850" t="s">
        <v>5105</v>
      </c>
      <c r="B245" s="928"/>
      <c r="C245" s="929" t="str">
        <f>IF(INDEX($A$123:$N$133,MATCH($B242,$A$123:$A$133,0),3)=0,"",INDEX($A$123:$N$133,MATCH($B242,$A$123:$A$133,0),3))</f>
        <v/>
      </c>
      <c r="D245" s="929" t="str">
        <f>IF(INDEX($A$123:$N$133,MATCH($B242,$A$123:$A$133,0),4)=0,"",INDEX($A$123:$N$133,MATCH($B242,$A$123:$A$133,0),4))</f>
        <v/>
      </c>
      <c r="E245" s="929" t="str">
        <f>IF(INDEX($A$123:$N$133,MATCH($B242,$A$123:$A$133,0),5)=0,"",INDEX($A$123:$N$133,MATCH($B242,$A$123:$A$133,0),5))</f>
        <v/>
      </c>
      <c r="F245" s="929" t="str">
        <f>IF(INDEX($A$123:$N$133,MATCH($B242,$A$123:$A$133,0),6)=0,"",INDEX($A$123:$N$133,MATCH($B242,$A$123:$A$133,0),6))</f>
        <v/>
      </c>
      <c r="G245" s="929" t="str">
        <f>IF(INDEX($A$123:$N$133,MATCH($B242,$A$123:$A$133,0),7)=0,"",INDEX($A$123:$N$133,MATCH($B242,$A$123:$A$133,0),7))</f>
        <v/>
      </c>
      <c r="H245" s="929" t="str">
        <f>IF(INDEX($A$123:$N$133,MATCH($B242,$A$123:$A$133,0),8)=0,"",INDEX($A$123:$N$133,MATCH($B242,$A$123:$A$133,0),8))</f>
        <v/>
      </c>
      <c r="I245" s="929" t="str">
        <f>IF(INDEX($A$123:$N$133,MATCH($B242,$A$123:$A$133,0),9)=0,"",INDEX($A$123:$N$133,MATCH($B242,$A$123:$A$133,0),9))</f>
        <v/>
      </c>
      <c r="J245" s="929" t="str">
        <f>IF(INDEX($A$123:$N$133,MATCH($B242,$A$123:$A$133,0),10)=0,"",INDEX($A$123:$N$133,MATCH($B242,$A$123:$A$133,0),10))</f>
        <v/>
      </c>
      <c r="K245" s="929" t="str">
        <f>IF(INDEX($A$123:$N$133,MATCH($B242,$A$123:$A$133,0),11)=0,"",INDEX($A$123:$N$133,MATCH($B242,$A$123:$A$133,0),11))</f>
        <v/>
      </c>
      <c r="L245" s="929" t="str">
        <f>IF(INDEX($A$123:$N$133,MATCH($B242,$A$123:$A$133,0),12)=0,"",INDEX($A$123:$N$133,MATCH($B242,$A$123:$A$133,0),12))</f>
        <v/>
      </c>
      <c r="M245" s="929" t="str">
        <f>IF(INDEX($A$123:$N$133,MATCH($B242,$A$123:$A$133,0),13)=0,"",INDEX($A$123:$N$133,MATCH($B242,$A$123:$A$133,0),13))</f>
        <v/>
      </c>
      <c r="N245" s="930" t="str">
        <f>IF(INDEX($A$123:$N$133,MATCH($B242,$A$123:$A$133,0),14)=0,"",INDEX($A$123:$N$133,MATCH($B242,$A$123:$A$133,0),14))</f>
        <v/>
      </c>
      <c r="O245" s="708"/>
    </row>
    <row r="246" spans="1:15" x14ac:dyDescent="0.25">
      <c r="A246" s="850" t="s">
        <v>5106</v>
      </c>
      <c r="B246" s="928" t="s">
        <v>5104</v>
      </c>
      <c r="C246" s="929" t="str">
        <f t="shared" ref="C246:N246" si="83">IF(C244="","",IF(C245="","",C244*C245))</f>
        <v/>
      </c>
      <c r="D246" s="929" t="str">
        <f t="shared" si="83"/>
        <v/>
      </c>
      <c r="E246" s="929" t="str">
        <f t="shared" si="83"/>
        <v/>
      </c>
      <c r="F246" s="929" t="str">
        <f t="shared" si="83"/>
        <v/>
      </c>
      <c r="G246" s="929" t="str">
        <f t="shared" si="83"/>
        <v/>
      </c>
      <c r="H246" s="929" t="str">
        <f t="shared" si="83"/>
        <v/>
      </c>
      <c r="I246" s="929" t="str">
        <f t="shared" si="83"/>
        <v/>
      </c>
      <c r="J246" s="929" t="str">
        <f t="shared" si="83"/>
        <v/>
      </c>
      <c r="K246" s="929" t="str">
        <f t="shared" si="83"/>
        <v/>
      </c>
      <c r="L246" s="929" t="str">
        <f t="shared" si="83"/>
        <v/>
      </c>
      <c r="M246" s="929" t="str">
        <f t="shared" si="83"/>
        <v/>
      </c>
      <c r="N246" s="930" t="str">
        <f t="shared" si="83"/>
        <v/>
      </c>
      <c r="O246" s="708"/>
    </row>
    <row r="247" spans="1:15" x14ac:dyDescent="0.25">
      <c r="A247" s="927" t="s">
        <v>5035</v>
      </c>
      <c r="B247" s="928" t="s">
        <v>5104</v>
      </c>
      <c r="C247" s="929">
        <f>C232</f>
        <v>0</v>
      </c>
      <c r="D247" s="929">
        <f t="shared" ref="D247:M247" si="84">D232</f>
        <v>0</v>
      </c>
      <c r="E247" s="929">
        <f t="shared" si="84"/>
        <v>0</v>
      </c>
      <c r="F247" s="929">
        <f t="shared" si="84"/>
        <v>0</v>
      </c>
      <c r="G247" s="929">
        <f t="shared" si="84"/>
        <v>0</v>
      </c>
      <c r="H247" s="929">
        <f t="shared" si="84"/>
        <v>0</v>
      </c>
      <c r="I247" s="929">
        <f t="shared" si="84"/>
        <v>0</v>
      </c>
      <c r="J247" s="929">
        <f t="shared" si="84"/>
        <v>0</v>
      </c>
      <c r="K247" s="929">
        <f t="shared" si="84"/>
        <v>0</v>
      </c>
      <c r="L247" s="929">
        <f t="shared" si="84"/>
        <v>0</v>
      </c>
      <c r="M247" s="929">
        <f t="shared" si="84"/>
        <v>0</v>
      </c>
      <c r="N247" s="930">
        <f>N232</f>
        <v>0</v>
      </c>
      <c r="O247" s="708"/>
    </row>
    <row r="248" spans="1:15" x14ac:dyDescent="0.25">
      <c r="A248" s="850" t="s">
        <v>5107</v>
      </c>
      <c r="B248" s="928" t="s">
        <v>5104</v>
      </c>
      <c r="C248" s="929" t="str">
        <f t="shared" ref="C248:N248" si="85">IF(C246="","",C246-C247)</f>
        <v/>
      </c>
      <c r="D248" s="929" t="str">
        <f t="shared" si="85"/>
        <v/>
      </c>
      <c r="E248" s="929" t="str">
        <f t="shared" si="85"/>
        <v/>
      </c>
      <c r="F248" s="929" t="str">
        <f t="shared" si="85"/>
        <v/>
      </c>
      <c r="G248" s="929" t="str">
        <f t="shared" si="85"/>
        <v/>
      </c>
      <c r="H248" s="929" t="str">
        <f t="shared" si="85"/>
        <v/>
      </c>
      <c r="I248" s="929" t="str">
        <f t="shared" si="85"/>
        <v/>
      </c>
      <c r="J248" s="929" t="str">
        <f t="shared" si="85"/>
        <v/>
      </c>
      <c r="K248" s="929" t="str">
        <f t="shared" si="85"/>
        <v/>
      </c>
      <c r="L248" s="929" t="str">
        <f t="shared" si="85"/>
        <v/>
      </c>
      <c r="M248" s="929" t="str">
        <f t="shared" si="85"/>
        <v/>
      </c>
      <c r="N248" s="930" t="str">
        <f t="shared" si="85"/>
        <v/>
      </c>
      <c r="O248" s="708"/>
    </row>
    <row r="249" spans="1:15" x14ac:dyDescent="0.25">
      <c r="A249" s="850" t="s">
        <v>5108</v>
      </c>
      <c r="B249" s="928" t="s">
        <v>5109</v>
      </c>
      <c r="C249" s="929" t="str">
        <f t="shared" ref="C249:N249" si="86">IF(C248="","",IF(C248&lt;0,0,C248*10))</f>
        <v/>
      </c>
      <c r="D249" s="929" t="str">
        <f t="shared" si="86"/>
        <v/>
      </c>
      <c r="E249" s="929" t="str">
        <f t="shared" si="86"/>
        <v/>
      </c>
      <c r="F249" s="929" t="str">
        <f t="shared" si="86"/>
        <v/>
      </c>
      <c r="G249" s="929" t="str">
        <f t="shared" si="86"/>
        <v/>
      </c>
      <c r="H249" s="929" t="str">
        <f t="shared" si="86"/>
        <v/>
      </c>
      <c r="I249" s="929" t="str">
        <f t="shared" si="86"/>
        <v/>
      </c>
      <c r="J249" s="929" t="str">
        <f t="shared" si="86"/>
        <v/>
      </c>
      <c r="K249" s="929" t="str">
        <f t="shared" si="86"/>
        <v/>
      </c>
      <c r="L249" s="929" t="str">
        <f t="shared" si="86"/>
        <v/>
      </c>
      <c r="M249" s="929" t="str">
        <f t="shared" si="86"/>
        <v/>
      </c>
      <c r="N249" s="930" t="str">
        <f t="shared" si="86"/>
        <v/>
      </c>
      <c r="O249" s="708"/>
    </row>
    <row r="250" spans="1:15" x14ac:dyDescent="0.25">
      <c r="A250" s="927" t="s">
        <v>5081</v>
      </c>
      <c r="B250" s="928"/>
      <c r="C250" s="929" t="str">
        <f>C235</f>
        <v/>
      </c>
      <c r="D250" s="929" t="str">
        <f>C250</f>
        <v/>
      </c>
      <c r="E250" s="929" t="str">
        <f t="shared" ref="E250:M251" si="87">D250</f>
        <v/>
      </c>
      <c r="F250" s="929" t="str">
        <f t="shared" si="87"/>
        <v/>
      </c>
      <c r="G250" s="929" t="str">
        <f t="shared" si="87"/>
        <v/>
      </c>
      <c r="H250" s="929" t="str">
        <f t="shared" si="87"/>
        <v/>
      </c>
      <c r="I250" s="929" t="str">
        <f t="shared" si="87"/>
        <v/>
      </c>
      <c r="J250" s="929" t="str">
        <f t="shared" si="87"/>
        <v/>
      </c>
      <c r="K250" s="929" t="str">
        <f t="shared" si="87"/>
        <v/>
      </c>
      <c r="L250" s="929" t="str">
        <f t="shared" si="87"/>
        <v/>
      </c>
      <c r="M250" s="929" t="str">
        <f t="shared" si="87"/>
        <v/>
      </c>
      <c r="N250" s="930" t="str">
        <f>M250</f>
        <v/>
      </c>
      <c r="O250" s="708"/>
    </row>
    <row r="251" spans="1:15" x14ac:dyDescent="0.25">
      <c r="A251" s="927" t="s">
        <v>5110</v>
      </c>
      <c r="B251" s="928" t="s">
        <v>5111</v>
      </c>
      <c r="C251" s="929" t="str">
        <f>C236</f>
        <v/>
      </c>
      <c r="D251" s="929" t="str">
        <f>C251</f>
        <v/>
      </c>
      <c r="E251" s="929" t="str">
        <f t="shared" si="87"/>
        <v/>
      </c>
      <c r="F251" s="929" t="str">
        <f t="shared" si="87"/>
        <v/>
      </c>
      <c r="G251" s="929" t="str">
        <f t="shared" si="87"/>
        <v/>
      </c>
      <c r="H251" s="929" t="str">
        <f t="shared" si="87"/>
        <v/>
      </c>
      <c r="I251" s="929" t="str">
        <f t="shared" si="87"/>
        <v/>
      </c>
      <c r="J251" s="929" t="str">
        <f t="shared" si="87"/>
        <v/>
      </c>
      <c r="K251" s="929" t="str">
        <f t="shared" si="87"/>
        <v/>
      </c>
      <c r="L251" s="929" t="str">
        <f t="shared" si="87"/>
        <v/>
      </c>
      <c r="M251" s="929" t="str">
        <f t="shared" si="87"/>
        <v/>
      </c>
      <c r="N251" s="930" t="str">
        <f>M251</f>
        <v/>
      </c>
      <c r="O251" s="708"/>
    </row>
    <row r="252" spans="1:15" x14ac:dyDescent="0.25">
      <c r="A252" s="850" t="s">
        <v>5112</v>
      </c>
      <c r="B252" s="928" t="s">
        <v>5113</v>
      </c>
      <c r="C252" s="929" t="str">
        <f t="shared" ref="C252:N252" si="88">IF(C250="","",IF(C249="","",IF(C251="","",C249*(1000/(3600*31*C251))/C250)))</f>
        <v/>
      </c>
      <c r="D252" s="929" t="str">
        <f t="shared" si="88"/>
        <v/>
      </c>
      <c r="E252" s="929" t="str">
        <f t="shared" si="88"/>
        <v/>
      </c>
      <c r="F252" s="929" t="str">
        <f t="shared" si="88"/>
        <v/>
      </c>
      <c r="G252" s="929" t="str">
        <f t="shared" si="88"/>
        <v/>
      </c>
      <c r="H252" s="929" t="str">
        <f t="shared" si="88"/>
        <v/>
      </c>
      <c r="I252" s="929" t="str">
        <f t="shared" si="88"/>
        <v/>
      </c>
      <c r="J252" s="929" t="str">
        <f t="shared" si="88"/>
        <v/>
      </c>
      <c r="K252" s="929" t="str">
        <f t="shared" si="88"/>
        <v/>
      </c>
      <c r="L252" s="929" t="str">
        <f t="shared" si="88"/>
        <v/>
      </c>
      <c r="M252" s="929" t="str">
        <f t="shared" si="88"/>
        <v/>
      </c>
      <c r="N252" s="930" t="str">
        <f t="shared" si="88"/>
        <v/>
      </c>
      <c r="O252" s="708"/>
    </row>
    <row r="253" spans="1:15" ht="15.75" thickBot="1" x14ac:dyDescent="0.3">
      <c r="A253" s="850" t="s">
        <v>5114</v>
      </c>
      <c r="B253" s="928" t="s">
        <v>5115</v>
      </c>
      <c r="C253" s="929" t="str">
        <f t="shared" ref="C253:N253" si="89">IF(C245="","",INDEX($A$123:$B$133,MATCH($B242,$A$123:$A$133,0),2))</f>
        <v/>
      </c>
      <c r="D253" s="929" t="str">
        <f t="shared" si="89"/>
        <v/>
      </c>
      <c r="E253" s="929" t="str">
        <f t="shared" si="89"/>
        <v/>
      </c>
      <c r="F253" s="929" t="str">
        <f t="shared" si="89"/>
        <v/>
      </c>
      <c r="G253" s="929" t="str">
        <f t="shared" si="89"/>
        <v/>
      </c>
      <c r="H253" s="929" t="str">
        <f t="shared" si="89"/>
        <v/>
      </c>
      <c r="I253" s="929" t="str">
        <f t="shared" si="89"/>
        <v/>
      </c>
      <c r="J253" s="929" t="str">
        <f t="shared" si="89"/>
        <v/>
      </c>
      <c r="K253" s="929" t="str">
        <f t="shared" si="89"/>
        <v/>
      </c>
      <c r="L253" s="929" t="str">
        <f t="shared" si="89"/>
        <v/>
      </c>
      <c r="M253" s="929" t="str">
        <f t="shared" si="89"/>
        <v/>
      </c>
      <c r="N253" s="932" t="str">
        <f t="shared" si="89"/>
        <v/>
      </c>
      <c r="O253" s="708"/>
    </row>
    <row r="254" spans="1:15" ht="15.75" thickBot="1" x14ac:dyDescent="0.3">
      <c r="A254" s="933" t="s">
        <v>5116</v>
      </c>
      <c r="B254" s="934" t="s">
        <v>5113</v>
      </c>
      <c r="C254" s="935" t="str">
        <f t="shared" ref="C254:N254" si="90">IF(C252="","",C252*C253)</f>
        <v/>
      </c>
      <c r="D254" s="935" t="str">
        <f t="shared" si="90"/>
        <v/>
      </c>
      <c r="E254" s="935" t="str">
        <f t="shared" si="90"/>
        <v/>
      </c>
      <c r="F254" s="935" t="str">
        <f t="shared" si="90"/>
        <v/>
      </c>
      <c r="G254" s="935" t="str">
        <f t="shared" si="90"/>
        <v/>
      </c>
      <c r="H254" s="935" t="str">
        <f t="shared" si="90"/>
        <v/>
      </c>
      <c r="I254" s="935" t="str">
        <f t="shared" si="90"/>
        <v/>
      </c>
      <c r="J254" s="935" t="str">
        <f t="shared" si="90"/>
        <v/>
      </c>
      <c r="K254" s="935" t="str">
        <f t="shared" si="90"/>
        <v/>
      </c>
      <c r="L254" s="935" t="str">
        <f t="shared" si="90"/>
        <v/>
      </c>
      <c r="M254" s="935" t="str">
        <f t="shared" si="90"/>
        <v/>
      </c>
      <c r="N254" s="936" t="str">
        <f t="shared" si="90"/>
        <v/>
      </c>
      <c r="O254" s="708"/>
    </row>
    <row r="255" spans="1:15" x14ac:dyDescent="0.25">
      <c r="A255" s="708"/>
      <c r="B255" s="708"/>
      <c r="C255" s="708"/>
      <c r="D255" s="708"/>
      <c r="E255" s="708"/>
      <c r="F255" s="708"/>
      <c r="G255" s="708"/>
      <c r="H255" s="708"/>
      <c r="I255" s="708"/>
      <c r="J255" s="708"/>
      <c r="K255" s="708"/>
      <c r="L255" s="708"/>
      <c r="M255" s="708"/>
      <c r="N255" s="708"/>
      <c r="O255" s="708"/>
    </row>
    <row r="256" spans="1:15" ht="15.75" x14ac:dyDescent="0.25">
      <c r="A256" s="1991" t="s">
        <v>5101</v>
      </c>
      <c r="B256" s="1991"/>
      <c r="C256" s="1991"/>
      <c r="D256" s="1991"/>
      <c r="E256" s="1991"/>
      <c r="F256" s="1991"/>
      <c r="G256" s="1991"/>
      <c r="H256" s="1991"/>
      <c r="I256" s="1991"/>
      <c r="J256" s="1991"/>
      <c r="K256" s="1991"/>
      <c r="L256" s="1991"/>
      <c r="M256" s="1991"/>
      <c r="N256" s="1991"/>
      <c r="O256" s="708"/>
    </row>
    <row r="257" spans="1:15" ht="15.75" thickBot="1" x14ac:dyDescent="0.3">
      <c r="A257" s="924" t="s">
        <v>5102</v>
      </c>
      <c r="B257" s="925" t="str">
        <f>IF(A131="","",A131)</f>
        <v/>
      </c>
      <c r="C257" s="708"/>
      <c r="D257" s="708"/>
      <c r="E257" s="708"/>
      <c r="F257" s="708"/>
      <c r="G257" s="708"/>
      <c r="H257" s="708"/>
      <c r="I257" s="708"/>
      <c r="J257" s="708"/>
      <c r="K257" s="708"/>
      <c r="L257" s="708"/>
      <c r="M257" s="708"/>
      <c r="N257" s="708"/>
      <c r="O257" s="708"/>
    </row>
    <row r="258" spans="1:15" x14ac:dyDescent="0.25">
      <c r="A258" s="939"/>
      <c r="B258" s="940" t="s">
        <v>4646</v>
      </c>
      <c r="C258" s="940" t="s">
        <v>5062</v>
      </c>
      <c r="D258" s="940" t="s">
        <v>5063</v>
      </c>
      <c r="E258" s="940" t="s">
        <v>5064</v>
      </c>
      <c r="F258" s="940" t="s">
        <v>5065</v>
      </c>
      <c r="G258" s="940" t="s">
        <v>5066</v>
      </c>
      <c r="H258" s="940" t="s">
        <v>5067</v>
      </c>
      <c r="I258" s="940" t="s">
        <v>5068</v>
      </c>
      <c r="J258" s="940" t="s">
        <v>5069</v>
      </c>
      <c r="K258" s="940" t="s">
        <v>5070</v>
      </c>
      <c r="L258" s="940" t="s">
        <v>5071</v>
      </c>
      <c r="M258" s="940" t="s">
        <v>5072</v>
      </c>
      <c r="N258" s="941" t="s">
        <v>5073</v>
      </c>
      <c r="O258" s="708"/>
    </row>
    <row r="259" spans="1:15" x14ac:dyDescent="0.25">
      <c r="A259" s="927" t="s">
        <v>5103</v>
      </c>
      <c r="B259" s="928" t="s">
        <v>5104</v>
      </c>
      <c r="C259" s="929" t="str">
        <f>C244</f>
        <v/>
      </c>
      <c r="D259" s="929" t="str">
        <f t="shared" ref="D259:N259" si="91">D244</f>
        <v/>
      </c>
      <c r="E259" s="929" t="str">
        <f t="shared" si="91"/>
        <v/>
      </c>
      <c r="F259" s="929" t="str">
        <f t="shared" si="91"/>
        <v/>
      </c>
      <c r="G259" s="929" t="str">
        <f t="shared" si="91"/>
        <v/>
      </c>
      <c r="H259" s="929" t="str">
        <f t="shared" si="91"/>
        <v/>
      </c>
      <c r="I259" s="929" t="str">
        <f t="shared" si="91"/>
        <v/>
      </c>
      <c r="J259" s="929" t="str">
        <f t="shared" si="91"/>
        <v/>
      </c>
      <c r="K259" s="929" t="str">
        <f t="shared" si="91"/>
        <v/>
      </c>
      <c r="L259" s="929" t="str">
        <f t="shared" si="91"/>
        <v/>
      </c>
      <c r="M259" s="929" t="str">
        <f t="shared" si="91"/>
        <v/>
      </c>
      <c r="N259" s="937" t="str">
        <f t="shared" si="91"/>
        <v/>
      </c>
      <c r="O259" s="708"/>
    </row>
    <row r="260" spans="1:15" x14ac:dyDescent="0.25">
      <c r="A260" s="850" t="s">
        <v>5105</v>
      </c>
      <c r="B260" s="928"/>
      <c r="C260" s="929" t="str">
        <f>IF(INDEX($A$123:$N$133,MATCH($B257,$A$123:$A$133,0),3)=0,"",INDEX($A$123:$N$133,MATCH($B257,$A$123:$A$133,0),3))</f>
        <v/>
      </c>
      <c r="D260" s="929" t="str">
        <f>IF(INDEX($A$123:$N$133,MATCH($B257,$A$123:$A$133,0),4)=0,"",INDEX($A$123:$N$133,MATCH($B257,$A$123:$A$133,0),4))</f>
        <v/>
      </c>
      <c r="E260" s="929" t="str">
        <f>IF(INDEX($A$123:$N$133,MATCH($B257,$A$123:$A$133,0),5)=0,"",INDEX($A$123:$N$133,MATCH($B257,$A$123:$A$133,0),5))</f>
        <v/>
      </c>
      <c r="F260" s="929" t="str">
        <f>IF(INDEX($A$123:$N$133,MATCH($B257,$A$123:$A$133,0),6)=0,"",INDEX($A$123:$N$133,MATCH($B257,$A$123:$A$133,0),6))</f>
        <v/>
      </c>
      <c r="G260" s="929" t="str">
        <f>IF(INDEX($A$123:$N$133,MATCH($B257,$A$123:$A$133,0),7)=0,"",INDEX($A$123:$N$133,MATCH($B257,$A$123:$A$133,0),7))</f>
        <v/>
      </c>
      <c r="H260" s="929" t="str">
        <f>IF(INDEX($A$123:$N$133,MATCH($B257,$A$123:$A$133,0),8)=0,"",INDEX($A$123:$N$133,MATCH($B257,$A$123:$A$133,0),8))</f>
        <v/>
      </c>
      <c r="I260" s="929" t="str">
        <f>IF(INDEX($A$123:$N$133,MATCH($B257,$A$123:$A$133,0),9)=0,"",INDEX($A$123:$N$133,MATCH($B257,$A$123:$A$133,0),9))</f>
        <v/>
      </c>
      <c r="J260" s="929" t="str">
        <f>IF(INDEX($A$123:$N$133,MATCH($B257,$A$123:$A$133,0),10)=0,"",INDEX($A$123:$N$133,MATCH($B257,$A$123:$A$133,0),10))</f>
        <v/>
      </c>
      <c r="K260" s="929" t="str">
        <f>IF(INDEX($A$123:$N$133,MATCH($B257,$A$123:$A$133,0),11)=0,"",INDEX($A$123:$N$133,MATCH($B257,$A$123:$A$133,0),11))</f>
        <v/>
      </c>
      <c r="L260" s="929" t="str">
        <f>IF(INDEX($A$123:$N$133,MATCH($B257,$A$123:$A$133,0),12)=0,"",INDEX($A$123:$N$133,MATCH($B257,$A$123:$A$133,0),12))</f>
        <v/>
      </c>
      <c r="M260" s="929" t="str">
        <f>IF(INDEX($A$123:$N$133,MATCH($B257,$A$123:$A$133,0),13)=0,"",INDEX($A$123:$N$133,MATCH($B257,$A$123:$A$133,0),13))</f>
        <v/>
      </c>
      <c r="N260" s="930" t="str">
        <f>IF(INDEX($A$123:$N$133,MATCH($B257,$A$123:$A$133,0),14)=0,"",INDEX($A$123:$N$133,MATCH($B257,$A$123:$A$133,0),14))</f>
        <v/>
      </c>
      <c r="O260" s="708"/>
    </row>
    <row r="261" spans="1:15" x14ac:dyDescent="0.25">
      <c r="A261" s="850" t="s">
        <v>5106</v>
      </c>
      <c r="B261" s="928" t="s">
        <v>5104</v>
      </c>
      <c r="C261" s="929" t="str">
        <f t="shared" ref="C261:N261" si="92">IF(C259="","",IF(C260="","",C259*C260))</f>
        <v/>
      </c>
      <c r="D261" s="929" t="str">
        <f t="shared" si="92"/>
        <v/>
      </c>
      <c r="E261" s="929" t="str">
        <f t="shared" si="92"/>
        <v/>
      </c>
      <c r="F261" s="929" t="str">
        <f t="shared" si="92"/>
        <v/>
      </c>
      <c r="G261" s="929" t="str">
        <f t="shared" si="92"/>
        <v/>
      </c>
      <c r="H261" s="929" t="str">
        <f t="shared" si="92"/>
        <v/>
      </c>
      <c r="I261" s="929" t="str">
        <f t="shared" si="92"/>
        <v/>
      </c>
      <c r="J261" s="929" t="str">
        <f t="shared" si="92"/>
        <v/>
      </c>
      <c r="K261" s="929" t="str">
        <f t="shared" si="92"/>
        <v/>
      </c>
      <c r="L261" s="929" t="str">
        <f t="shared" si="92"/>
        <v/>
      </c>
      <c r="M261" s="929" t="str">
        <f t="shared" si="92"/>
        <v/>
      </c>
      <c r="N261" s="930" t="str">
        <f t="shared" si="92"/>
        <v/>
      </c>
      <c r="O261" s="708"/>
    </row>
    <row r="262" spans="1:15" x14ac:dyDescent="0.25">
      <c r="A262" s="927" t="s">
        <v>5035</v>
      </c>
      <c r="B262" s="928" t="s">
        <v>5104</v>
      </c>
      <c r="C262" s="929">
        <f>C247</f>
        <v>0</v>
      </c>
      <c r="D262" s="929">
        <f t="shared" ref="D262:M262" si="93">D247</f>
        <v>0</v>
      </c>
      <c r="E262" s="929">
        <f t="shared" si="93"/>
        <v>0</v>
      </c>
      <c r="F262" s="929">
        <f t="shared" si="93"/>
        <v>0</v>
      </c>
      <c r="G262" s="929">
        <f t="shared" si="93"/>
        <v>0</v>
      </c>
      <c r="H262" s="929">
        <f t="shared" si="93"/>
        <v>0</v>
      </c>
      <c r="I262" s="929">
        <f t="shared" si="93"/>
        <v>0</v>
      </c>
      <c r="J262" s="929">
        <f t="shared" si="93"/>
        <v>0</v>
      </c>
      <c r="K262" s="929">
        <f t="shared" si="93"/>
        <v>0</v>
      </c>
      <c r="L262" s="929">
        <f t="shared" si="93"/>
        <v>0</v>
      </c>
      <c r="M262" s="929">
        <f t="shared" si="93"/>
        <v>0</v>
      </c>
      <c r="N262" s="930">
        <f>N247</f>
        <v>0</v>
      </c>
      <c r="O262" s="708"/>
    </row>
    <row r="263" spans="1:15" x14ac:dyDescent="0.25">
      <c r="A263" s="850" t="s">
        <v>5107</v>
      </c>
      <c r="B263" s="928" t="s">
        <v>5104</v>
      </c>
      <c r="C263" s="929" t="str">
        <f t="shared" ref="C263:N263" si="94">IF(C261="","",C261-C262)</f>
        <v/>
      </c>
      <c r="D263" s="929" t="str">
        <f t="shared" si="94"/>
        <v/>
      </c>
      <c r="E263" s="929" t="str">
        <f t="shared" si="94"/>
        <v/>
      </c>
      <c r="F263" s="929" t="str">
        <f t="shared" si="94"/>
        <v/>
      </c>
      <c r="G263" s="929" t="str">
        <f t="shared" si="94"/>
        <v/>
      </c>
      <c r="H263" s="929" t="str">
        <f t="shared" si="94"/>
        <v/>
      </c>
      <c r="I263" s="929" t="str">
        <f t="shared" si="94"/>
        <v/>
      </c>
      <c r="J263" s="929" t="str">
        <f t="shared" si="94"/>
        <v/>
      </c>
      <c r="K263" s="929" t="str">
        <f t="shared" si="94"/>
        <v/>
      </c>
      <c r="L263" s="929" t="str">
        <f t="shared" si="94"/>
        <v/>
      </c>
      <c r="M263" s="929" t="str">
        <f t="shared" si="94"/>
        <v/>
      </c>
      <c r="N263" s="930" t="str">
        <f t="shared" si="94"/>
        <v/>
      </c>
      <c r="O263" s="708"/>
    </row>
    <row r="264" spans="1:15" x14ac:dyDescent="0.25">
      <c r="A264" s="850" t="s">
        <v>5108</v>
      </c>
      <c r="B264" s="928" t="s">
        <v>5109</v>
      </c>
      <c r="C264" s="929" t="str">
        <f t="shared" ref="C264:N264" si="95">IF(C263="","",IF(C263&lt;0,0,C263*10))</f>
        <v/>
      </c>
      <c r="D264" s="929" t="str">
        <f t="shared" si="95"/>
        <v/>
      </c>
      <c r="E264" s="929" t="str">
        <f t="shared" si="95"/>
        <v/>
      </c>
      <c r="F264" s="929" t="str">
        <f t="shared" si="95"/>
        <v/>
      </c>
      <c r="G264" s="929" t="str">
        <f t="shared" si="95"/>
        <v/>
      </c>
      <c r="H264" s="929" t="str">
        <f t="shared" si="95"/>
        <v/>
      </c>
      <c r="I264" s="929" t="str">
        <f t="shared" si="95"/>
        <v/>
      </c>
      <c r="J264" s="929" t="str">
        <f t="shared" si="95"/>
        <v/>
      </c>
      <c r="K264" s="929" t="str">
        <f t="shared" si="95"/>
        <v/>
      </c>
      <c r="L264" s="929" t="str">
        <f t="shared" si="95"/>
        <v/>
      </c>
      <c r="M264" s="929" t="str">
        <f t="shared" si="95"/>
        <v/>
      </c>
      <c r="N264" s="930" t="str">
        <f t="shared" si="95"/>
        <v/>
      </c>
      <c r="O264" s="708"/>
    </row>
    <row r="265" spans="1:15" x14ac:dyDescent="0.25">
      <c r="A265" s="927" t="s">
        <v>5081</v>
      </c>
      <c r="B265" s="928"/>
      <c r="C265" s="929" t="str">
        <f>C250</f>
        <v/>
      </c>
      <c r="D265" s="929" t="str">
        <f>C265</f>
        <v/>
      </c>
      <c r="E265" s="929" t="str">
        <f t="shared" ref="E265:M266" si="96">D265</f>
        <v/>
      </c>
      <c r="F265" s="929" t="str">
        <f t="shared" si="96"/>
        <v/>
      </c>
      <c r="G265" s="929" t="str">
        <f t="shared" si="96"/>
        <v/>
      </c>
      <c r="H265" s="929" t="str">
        <f t="shared" si="96"/>
        <v/>
      </c>
      <c r="I265" s="929" t="str">
        <f t="shared" si="96"/>
        <v/>
      </c>
      <c r="J265" s="929" t="str">
        <f t="shared" si="96"/>
        <v/>
      </c>
      <c r="K265" s="929" t="str">
        <f t="shared" si="96"/>
        <v/>
      </c>
      <c r="L265" s="929" t="str">
        <f t="shared" si="96"/>
        <v/>
      </c>
      <c r="M265" s="929" t="str">
        <f t="shared" si="96"/>
        <v/>
      </c>
      <c r="N265" s="930" t="str">
        <f>M265</f>
        <v/>
      </c>
      <c r="O265" s="708"/>
    </row>
    <row r="266" spans="1:15" x14ac:dyDescent="0.25">
      <c r="A266" s="927" t="s">
        <v>5110</v>
      </c>
      <c r="B266" s="928" t="s">
        <v>5111</v>
      </c>
      <c r="C266" s="929" t="str">
        <f>C251</f>
        <v/>
      </c>
      <c r="D266" s="929" t="str">
        <f>C266</f>
        <v/>
      </c>
      <c r="E266" s="929" t="str">
        <f t="shared" si="96"/>
        <v/>
      </c>
      <c r="F266" s="929" t="str">
        <f t="shared" si="96"/>
        <v/>
      </c>
      <c r="G266" s="929" t="str">
        <f t="shared" si="96"/>
        <v/>
      </c>
      <c r="H266" s="929" t="str">
        <f t="shared" si="96"/>
        <v/>
      </c>
      <c r="I266" s="929" t="str">
        <f t="shared" si="96"/>
        <v/>
      </c>
      <c r="J266" s="929" t="str">
        <f t="shared" si="96"/>
        <v/>
      </c>
      <c r="K266" s="929" t="str">
        <f t="shared" si="96"/>
        <v/>
      </c>
      <c r="L266" s="929" t="str">
        <f t="shared" si="96"/>
        <v/>
      </c>
      <c r="M266" s="929" t="str">
        <f t="shared" si="96"/>
        <v/>
      </c>
      <c r="N266" s="930" t="str">
        <f>M266</f>
        <v/>
      </c>
      <c r="O266" s="708"/>
    </row>
    <row r="267" spans="1:15" x14ac:dyDescent="0.25">
      <c r="A267" s="850" t="s">
        <v>5112</v>
      </c>
      <c r="B267" s="928" t="s">
        <v>5113</v>
      </c>
      <c r="C267" s="929" t="str">
        <f t="shared" ref="C267:N267" si="97">IF(C265="","",IF(C264="","",IF(C266="","",C264*(1000/(3600*31*C266))/C265)))</f>
        <v/>
      </c>
      <c r="D267" s="929" t="str">
        <f t="shared" si="97"/>
        <v/>
      </c>
      <c r="E267" s="929" t="str">
        <f t="shared" si="97"/>
        <v/>
      </c>
      <c r="F267" s="929" t="str">
        <f t="shared" si="97"/>
        <v/>
      </c>
      <c r="G267" s="929" t="str">
        <f t="shared" si="97"/>
        <v/>
      </c>
      <c r="H267" s="929" t="str">
        <f t="shared" si="97"/>
        <v/>
      </c>
      <c r="I267" s="929" t="str">
        <f t="shared" si="97"/>
        <v/>
      </c>
      <c r="J267" s="929" t="str">
        <f t="shared" si="97"/>
        <v/>
      </c>
      <c r="K267" s="929" t="str">
        <f t="shared" si="97"/>
        <v/>
      </c>
      <c r="L267" s="929" t="str">
        <f t="shared" si="97"/>
        <v/>
      </c>
      <c r="M267" s="929" t="str">
        <f t="shared" si="97"/>
        <v/>
      </c>
      <c r="N267" s="930" t="str">
        <f t="shared" si="97"/>
        <v/>
      </c>
      <c r="O267" s="708"/>
    </row>
    <row r="268" spans="1:15" ht="15.75" thickBot="1" x14ac:dyDescent="0.3">
      <c r="A268" s="850" t="s">
        <v>5114</v>
      </c>
      <c r="B268" s="928" t="s">
        <v>5115</v>
      </c>
      <c r="C268" s="929" t="str">
        <f t="shared" ref="C268:N268" si="98">IF(C260="","",INDEX($A$123:$B$133,MATCH($B257,$A$123:$A$133,0),2))</f>
        <v/>
      </c>
      <c r="D268" s="929" t="str">
        <f t="shared" si="98"/>
        <v/>
      </c>
      <c r="E268" s="929" t="str">
        <f t="shared" si="98"/>
        <v/>
      </c>
      <c r="F268" s="929" t="str">
        <f t="shared" si="98"/>
        <v/>
      </c>
      <c r="G268" s="929" t="str">
        <f t="shared" si="98"/>
        <v/>
      </c>
      <c r="H268" s="929" t="str">
        <f t="shared" si="98"/>
        <v/>
      </c>
      <c r="I268" s="929" t="str">
        <f t="shared" si="98"/>
        <v/>
      </c>
      <c r="J268" s="929" t="str">
        <f t="shared" si="98"/>
        <v/>
      </c>
      <c r="K268" s="929" t="str">
        <f t="shared" si="98"/>
        <v/>
      </c>
      <c r="L268" s="929" t="str">
        <f t="shared" si="98"/>
        <v/>
      </c>
      <c r="M268" s="929" t="str">
        <f t="shared" si="98"/>
        <v/>
      </c>
      <c r="N268" s="932" t="str">
        <f t="shared" si="98"/>
        <v/>
      </c>
      <c r="O268" s="708"/>
    </row>
    <row r="269" spans="1:15" ht="15.75" thickBot="1" x14ac:dyDescent="0.3">
      <c r="A269" s="933" t="s">
        <v>5116</v>
      </c>
      <c r="B269" s="934" t="s">
        <v>5113</v>
      </c>
      <c r="C269" s="935" t="str">
        <f t="shared" ref="C269:N269" si="99">IF(C267="","",C267*C268)</f>
        <v/>
      </c>
      <c r="D269" s="935" t="str">
        <f t="shared" si="99"/>
        <v/>
      </c>
      <c r="E269" s="935" t="str">
        <f t="shared" si="99"/>
        <v/>
      </c>
      <c r="F269" s="935" t="str">
        <f t="shared" si="99"/>
        <v/>
      </c>
      <c r="G269" s="935" t="str">
        <f t="shared" si="99"/>
        <v/>
      </c>
      <c r="H269" s="935" t="str">
        <f t="shared" si="99"/>
        <v/>
      </c>
      <c r="I269" s="935" t="str">
        <f t="shared" si="99"/>
        <v/>
      </c>
      <c r="J269" s="935" t="str">
        <f t="shared" si="99"/>
        <v/>
      </c>
      <c r="K269" s="935" t="str">
        <f t="shared" si="99"/>
        <v/>
      </c>
      <c r="L269" s="935" t="str">
        <f t="shared" si="99"/>
        <v/>
      </c>
      <c r="M269" s="935" t="str">
        <f t="shared" si="99"/>
        <v/>
      </c>
      <c r="N269" s="936" t="str">
        <f t="shared" si="99"/>
        <v/>
      </c>
      <c r="O269" s="708"/>
    </row>
    <row r="270" spans="1:15" x14ac:dyDescent="0.25">
      <c r="A270" s="708"/>
      <c r="B270" s="708"/>
      <c r="C270" s="708"/>
      <c r="D270" s="708"/>
      <c r="E270" s="708"/>
      <c r="F270" s="708"/>
      <c r="G270" s="708"/>
      <c r="H270" s="708"/>
      <c r="I270" s="708"/>
      <c r="J270" s="708"/>
      <c r="K270" s="708"/>
      <c r="L270" s="708"/>
      <c r="M270" s="708"/>
      <c r="N270" s="708"/>
      <c r="O270" s="708"/>
    </row>
    <row r="271" spans="1:15" ht="15.75" x14ac:dyDescent="0.25">
      <c r="A271" s="1991" t="s">
        <v>5101</v>
      </c>
      <c r="B271" s="1991"/>
      <c r="C271" s="1991"/>
      <c r="D271" s="1991"/>
      <c r="E271" s="1991"/>
      <c r="F271" s="1991"/>
      <c r="G271" s="1991"/>
      <c r="H271" s="1991"/>
      <c r="I271" s="1991"/>
      <c r="J271" s="1991"/>
      <c r="K271" s="1991"/>
      <c r="L271" s="1991"/>
      <c r="M271" s="1991"/>
      <c r="N271" s="1991"/>
      <c r="O271" s="708"/>
    </row>
    <row r="272" spans="1:15" ht="15.75" thickBot="1" x14ac:dyDescent="0.3">
      <c r="A272" s="924" t="s">
        <v>5102</v>
      </c>
      <c r="B272" s="925" t="str">
        <f>IF(A132="","",A132)</f>
        <v/>
      </c>
      <c r="C272" s="708"/>
      <c r="D272" s="708"/>
      <c r="E272" s="708"/>
      <c r="F272" s="708"/>
      <c r="G272" s="708"/>
      <c r="H272" s="708"/>
      <c r="I272" s="708"/>
      <c r="J272" s="708"/>
      <c r="K272" s="708"/>
      <c r="L272" s="708"/>
      <c r="M272" s="708"/>
      <c r="N272" s="708"/>
      <c r="O272" s="708"/>
    </row>
    <row r="273" spans="1:15" x14ac:dyDescent="0.25">
      <c r="A273" s="939"/>
      <c r="B273" s="940" t="s">
        <v>4646</v>
      </c>
      <c r="C273" s="940" t="s">
        <v>5062</v>
      </c>
      <c r="D273" s="940" t="s">
        <v>5063</v>
      </c>
      <c r="E273" s="940" t="s">
        <v>5064</v>
      </c>
      <c r="F273" s="940" t="s">
        <v>5065</v>
      </c>
      <c r="G273" s="940" t="s">
        <v>5066</v>
      </c>
      <c r="H273" s="940" t="s">
        <v>5067</v>
      </c>
      <c r="I273" s="940" t="s">
        <v>5068</v>
      </c>
      <c r="J273" s="940" t="s">
        <v>5069</v>
      </c>
      <c r="K273" s="940" t="s">
        <v>5070</v>
      </c>
      <c r="L273" s="940" t="s">
        <v>5071</v>
      </c>
      <c r="M273" s="940" t="s">
        <v>5072</v>
      </c>
      <c r="N273" s="941" t="s">
        <v>5073</v>
      </c>
      <c r="O273" s="708"/>
    </row>
    <row r="274" spans="1:15" x14ac:dyDescent="0.25">
      <c r="A274" s="927" t="s">
        <v>5103</v>
      </c>
      <c r="B274" s="928" t="s">
        <v>5104</v>
      </c>
      <c r="C274" s="929" t="str">
        <f>C259</f>
        <v/>
      </c>
      <c r="D274" s="929" t="str">
        <f t="shared" ref="D274:N274" si="100">D259</f>
        <v/>
      </c>
      <c r="E274" s="929" t="str">
        <f t="shared" si="100"/>
        <v/>
      </c>
      <c r="F274" s="929" t="str">
        <f t="shared" si="100"/>
        <v/>
      </c>
      <c r="G274" s="929" t="str">
        <f t="shared" si="100"/>
        <v/>
      </c>
      <c r="H274" s="929" t="str">
        <f t="shared" si="100"/>
        <v/>
      </c>
      <c r="I274" s="929" t="str">
        <f t="shared" si="100"/>
        <v/>
      </c>
      <c r="J274" s="929" t="str">
        <f t="shared" si="100"/>
        <v/>
      </c>
      <c r="K274" s="929" t="str">
        <f t="shared" si="100"/>
        <v/>
      </c>
      <c r="L274" s="929" t="str">
        <f t="shared" si="100"/>
        <v/>
      </c>
      <c r="M274" s="929" t="str">
        <f t="shared" si="100"/>
        <v/>
      </c>
      <c r="N274" s="937" t="str">
        <f t="shared" si="100"/>
        <v/>
      </c>
      <c r="O274" s="708"/>
    </row>
    <row r="275" spans="1:15" x14ac:dyDescent="0.25">
      <c r="A275" s="850" t="s">
        <v>5105</v>
      </c>
      <c r="B275" s="928"/>
      <c r="C275" s="929" t="str">
        <f>IF(INDEX($A$123:$N$133,MATCH($B272,$A$123:$A$133,0),3)=0,"",INDEX($A$123:$N$133,MATCH($B272,$A$123:$A$133,0),3))</f>
        <v/>
      </c>
      <c r="D275" s="929" t="str">
        <f>IF(INDEX($A$123:$N$133,MATCH($B272,$A$123:$A$133,0),4)=0,"",INDEX($A$123:$N$133,MATCH($B272,$A$123:$A$133,0),4))</f>
        <v/>
      </c>
      <c r="E275" s="929" t="str">
        <f>IF(INDEX($A$123:$N$133,MATCH($B272,$A$123:$A$133,0),5)=0,"",INDEX($A$123:$N$133,MATCH($B272,$A$123:$A$133,0),5))</f>
        <v/>
      </c>
      <c r="F275" s="929" t="str">
        <f>IF(INDEX($A$123:$N$133,MATCH($B272,$A$123:$A$133,0),6)=0,"",INDEX($A$123:$N$133,MATCH($B272,$A$123:$A$133,0),6))</f>
        <v/>
      </c>
      <c r="G275" s="929" t="str">
        <f>IF(INDEX($A$123:$N$133,MATCH($B272,$A$123:$A$133,0),7)=0,"",INDEX($A$123:$N$133,MATCH($B272,$A$123:$A$133,0),7))</f>
        <v/>
      </c>
      <c r="H275" s="929" t="str">
        <f>IF(INDEX($A$123:$N$133,MATCH($B272,$A$123:$A$133,0),8)=0,"",INDEX($A$123:$N$133,MATCH($B272,$A$123:$A$133,0),8))</f>
        <v/>
      </c>
      <c r="I275" s="929" t="str">
        <f>IF(INDEX($A$123:$N$133,MATCH($B272,$A$123:$A$133,0),9)=0,"",INDEX($A$123:$N$133,MATCH($B272,$A$123:$A$133,0),9))</f>
        <v/>
      </c>
      <c r="J275" s="929" t="str">
        <f>IF(INDEX($A$123:$N$133,MATCH($B272,$A$123:$A$133,0),10)=0,"",INDEX($A$123:$N$133,MATCH($B272,$A$123:$A$133,0),10))</f>
        <v/>
      </c>
      <c r="K275" s="929" t="str">
        <f>IF(INDEX($A$123:$N$133,MATCH($B272,$A$123:$A$133,0),11)=0,"",INDEX($A$123:$N$133,MATCH($B272,$A$123:$A$133,0),11))</f>
        <v/>
      </c>
      <c r="L275" s="929" t="str">
        <f>IF(INDEX($A$123:$N$133,MATCH($B272,$A$123:$A$133,0),12)=0,"",INDEX($A$123:$N$133,MATCH($B272,$A$123:$A$133,0),12))</f>
        <v/>
      </c>
      <c r="M275" s="929" t="str">
        <f>IF(INDEX($A$123:$N$133,MATCH($B272,$A$123:$A$133,0),13)=0,"",INDEX($A$123:$N$133,MATCH($B272,$A$123:$A$133,0),13))</f>
        <v/>
      </c>
      <c r="N275" s="930" t="str">
        <f>IF(INDEX($A$123:$N$133,MATCH($B272,$A$123:$A$133,0),14)=0,"",INDEX($A$123:$N$133,MATCH($B272,$A$123:$A$133,0),14))</f>
        <v/>
      </c>
      <c r="O275" s="708"/>
    </row>
    <row r="276" spans="1:15" x14ac:dyDescent="0.25">
      <c r="A276" s="850" t="s">
        <v>5106</v>
      </c>
      <c r="B276" s="928" t="s">
        <v>5104</v>
      </c>
      <c r="C276" s="929" t="str">
        <f t="shared" ref="C276:N276" si="101">IF(C274="","",IF(C275="","",C274*C275))</f>
        <v/>
      </c>
      <c r="D276" s="929" t="str">
        <f t="shared" si="101"/>
        <v/>
      </c>
      <c r="E276" s="929" t="str">
        <f t="shared" si="101"/>
        <v/>
      </c>
      <c r="F276" s="929" t="str">
        <f t="shared" si="101"/>
        <v/>
      </c>
      <c r="G276" s="929" t="str">
        <f t="shared" si="101"/>
        <v/>
      </c>
      <c r="H276" s="929" t="str">
        <f t="shared" si="101"/>
        <v/>
      </c>
      <c r="I276" s="929" t="str">
        <f t="shared" si="101"/>
        <v/>
      </c>
      <c r="J276" s="929" t="str">
        <f t="shared" si="101"/>
        <v/>
      </c>
      <c r="K276" s="929" t="str">
        <f t="shared" si="101"/>
        <v/>
      </c>
      <c r="L276" s="929" t="str">
        <f t="shared" si="101"/>
        <v/>
      </c>
      <c r="M276" s="929" t="str">
        <f t="shared" si="101"/>
        <v/>
      </c>
      <c r="N276" s="930" t="str">
        <f t="shared" si="101"/>
        <v/>
      </c>
      <c r="O276" s="708"/>
    </row>
    <row r="277" spans="1:15" x14ac:dyDescent="0.25">
      <c r="A277" s="927" t="s">
        <v>5035</v>
      </c>
      <c r="B277" s="928" t="s">
        <v>5104</v>
      </c>
      <c r="C277" s="929">
        <f>C262</f>
        <v>0</v>
      </c>
      <c r="D277" s="929">
        <f t="shared" ref="D277:M277" si="102">D262</f>
        <v>0</v>
      </c>
      <c r="E277" s="929">
        <f t="shared" si="102"/>
        <v>0</v>
      </c>
      <c r="F277" s="929">
        <f t="shared" si="102"/>
        <v>0</v>
      </c>
      <c r="G277" s="929">
        <f t="shared" si="102"/>
        <v>0</v>
      </c>
      <c r="H277" s="929">
        <f t="shared" si="102"/>
        <v>0</v>
      </c>
      <c r="I277" s="929">
        <f t="shared" si="102"/>
        <v>0</v>
      </c>
      <c r="J277" s="929">
        <f t="shared" si="102"/>
        <v>0</v>
      </c>
      <c r="K277" s="929">
        <f t="shared" si="102"/>
        <v>0</v>
      </c>
      <c r="L277" s="929">
        <f t="shared" si="102"/>
        <v>0</v>
      </c>
      <c r="M277" s="929">
        <f t="shared" si="102"/>
        <v>0</v>
      </c>
      <c r="N277" s="930">
        <f>N262</f>
        <v>0</v>
      </c>
      <c r="O277" s="708"/>
    </row>
    <row r="278" spans="1:15" x14ac:dyDescent="0.25">
      <c r="A278" s="850" t="s">
        <v>5107</v>
      </c>
      <c r="B278" s="928" t="s">
        <v>5104</v>
      </c>
      <c r="C278" s="929" t="str">
        <f t="shared" ref="C278:N278" si="103">IF(C276="","",C276-C277)</f>
        <v/>
      </c>
      <c r="D278" s="929" t="str">
        <f t="shared" si="103"/>
        <v/>
      </c>
      <c r="E278" s="929" t="str">
        <f t="shared" si="103"/>
        <v/>
      </c>
      <c r="F278" s="929" t="str">
        <f t="shared" si="103"/>
        <v/>
      </c>
      <c r="G278" s="929" t="str">
        <f t="shared" si="103"/>
        <v/>
      </c>
      <c r="H278" s="929" t="str">
        <f t="shared" si="103"/>
        <v/>
      </c>
      <c r="I278" s="929" t="str">
        <f t="shared" si="103"/>
        <v/>
      </c>
      <c r="J278" s="929" t="str">
        <f t="shared" si="103"/>
        <v/>
      </c>
      <c r="K278" s="929" t="str">
        <f t="shared" si="103"/>
        <v/>
      </c>
      <c r="L278" s="929" t="str">
        <f t="shared" si="103"/>
        <v/>
      </c>
      <c r="M278" s="929" t="str">
        <f t="shared" si="103"/>
        <v/>
      </c>
      <c r="N278" s="930" t="str">
        <f t="shared" si="103"/>
        <v/>
      </c>
      <c r="O278" s="708"/>
    </row>
    <row r="279" spans="1:15" x14ac:dyDescent="0.25">
      <c r="A279" s="850" t="s">
        <v>5108</v>
      </c>
      <c r="B279" s="928" t="s">
        <v>5109</v>
      </c>
      <c r="C279" s="929" t="str">
        <f t="shared" ref="C279:N279" si="104">IF(C278="","",IF(C278&lt;0,0,C278*10))</f>
        <v/>
      </c>
      <c r="D279" s="929" t="str">
        <f t="shared" si="104"/>
        <v/>
      </c>
      <c r="E279" s="929" t="str">
        <f t="shared" si="104"/>
        <v/>
      </c>
      <c r="F279" s="929" t="str">
        <f t="shared" si="104"/>
        <v/>
      </c>
      <c r="G279" s="929" t="str">
        <f t="shared" si="104"/>
        <v/>
      </c>
      <c r="H279" s="929" t="str">
        <f t="shared" si="104"/>
        <v/>
      </c>
      <c r="I279" s="929" t="str">
        <f t="shared" si="104"/>
        <v/>
      </c>
      <c r="J279" s="929" t="str">
        <f t="shared" si="104"/>
        <v/>
      </c>
      <c r="K279" s="929" t="str">
        <f t="shared" si="104"/>
        <v/>
      </c>
      <c r="L279" s="929" t="str">
        <f t="shared" si="104"/>
        <v/>
      </c>
      <c r="M279" s="929" t="str">
        <f t="shared" si="104"/>
        <v/>
      </c>
      <c r="N279" s="930" t="str">
        <f t="shared" si="104"/>
        <v/>
      </c>
      <c r="O279" s="708"/>
    </row>
    <row r="280" spans="1:15" x14ac:dyDescent="0.25">
      <c r="A280" s="927" t="s">
        <v>5081</v>
      </c>
      <c r="B280" s="928"/>
      <c r="C280" s="929" t="str">
        <f>C265</f>
        <v/>
      </c>
      <c r="D280" s="929" t="str">
        <f>C280</f>
        <v/>
      </c>
      <c r="E280" s="929" t="str">
        <f t="shared" ref="E280:M281" si="105">D280</f>
        <v/>
      </c>
      <c r="F280" s="929" t="str">
        <f t="shared" si="105"/>
        <v/>
      </c>
      <c r="G280" s="929" t="str">
        <f t="shared" si="105"/>
        <v/>
      </c>
      <c r="H280" s="929" t="str">
        <f t="shared" si="105"/>
        <v/>
      </c>
      <c r="I280" s="929" t="str">
        <f t="shared" si="105"/>
        <v/>
      </c>
      <c r="J280" s="929" t="str">
        <f t="shared" si="105"/>
        <v/>
      </c>
      <c r="K280" s="929" t="str">
        <f t="shared" si="105"/>
        <v/>
      </c>
      <c r="L280" s="929" t="str">
        <f t="shared" si="105"/>
        <v/>
      </c>
      <c r="M280" s="929" t="str">
        <f t="shared" si="105"/>
        <v/>
      </c>
      <c r="N280" s="930" t="str">
        <f>M280</f>
        <v/>
      </c>
      <c r="O280" s="708"/>
    </row>
    <row r="281" spans="1:15" x14ac:dyDescent="0.25">
      <c r="A281" s="927" t="s">
        <v>5110</v>
      </c>
      <c r="B281" s="928" t="s">
        <v>5111</v>
      </c>
      <c r="C281" s="929" t="str">
        <f>C266</f>
        <v/>
      </c>
      <c r="D281" s="929" t="str">
        <f>C281</f>
        <v/>
      </c>
      <c r="E281" s="929" t="str">
        <f t="shared" si="105"/>
        <v/>
      </c>
      <c r="F281" s="929" t="str">
        <f t="shared" si="105"/>
        <v/>
      </c>
      <c r="G281" s="929" t="str">
        <f t="shared" si="105"/>
        <v/>
      </c>
      <c r="H281" s="929" t="str">
        <f t="shared" si="105"/>
        <v/>
      </c>
      <c r="I281" s="929" t="str">
        <f t="shared" si="105"/>
        <v/>
      </c>
      <c r="J281" s="929" t="str">
        <f t="shared" si="105"/>
        <v/>
      </c>
      <c r="K281" s="929" t="str">
        <f t="shared" si="105"/>
        <v/>
      </c>
      <c r="L281" s="929" t="str">
        <f t="shared" si="105"/>
        <v/>
      </c>
      <c r="M281" s="929" t="str">
        <f t="shared" si="105"/>
        <v/>
      </c>
      <c r="N281" s="930" t="str">
        <f>M281</f>
        <v/>
      </c>
      <c r="O281" s="708"/>
    </row>
    <row r="282" spans="1:15" x14ac:dyDescent="0.25">
      <c r="A282" s="850" t="s">
        <v>5112</v>
      </c>
      <c r="B282" s="928" t="s">
        <v>5113</v>
      </c>
      <c r="C282" s="929" t="str">
        <f t="shared" ref="C282:N282" si="106">IF(C280="","",IF(C279="","",IF(C281="","",C279*(1000/(3600*31*C281))/C280)))</f>
        <v/>
      </c>
      <c r="D282" s="929" t="str">
        <f t="shared" si="106"/>
        <v/>
      </c>
      <c r="E282" s="929" t="str">
        <f t="shared" si="106"/>
        <v/>
      </c>
      <c r="F282" s="929" t="str">
        <f t="shared" si="106"/>
        <v/>
      </c>
      <c r="G282" s="929" t="str">
        <f t="shared" si="106"/>
        <v/>
      </c>
      <c r="H282" s="929" t="str">
        <f t="shared" si="106"/>
        <v/>
      </c>
      <c r="I282" s="929" t="str">
        <f t="shared" si="106"/>
        <v/>
      </c>
      <c r="J282" s="929" t="str">
        <f t="shared" si="106"/>
        <v/>
      </c>
      <c r="K282" s="929" t="str">
        <f t="shared" si="106"/>
        <v/>
      </c>
      <c r="L282" s="929" t="str">
        <f t="shared" si="106"/>
        <v/>
      </c>
      <c r="M282" s="929" t="str">
        <f t="shared" si="106"/>
        <v/>
      </c>
      <c r="N282" s="930" t="str">
        <f t="shared" si="106"/>
        <v/>
      </c>
      <c r="O282" s="708"/>
    </row>
    <row r="283" spans="1:15" ht="15.75" thickBot="1" x14ac:dyDescent="0.3">
      <c r="A283" s="850" t="s">
        <v>5114</v>
      </c>
      <c r="B283" s="928" t="s">
        <v>5115</v>
      </c>
      <c r="C283" s="929" t="str">
        <f t="shared" ref="C283:N283" si="107">IF(C275="","",INDEX($A$123:$B$133,MATCH($B272,$A$123:$A$133,0),2))</f>
        <v/>
      </c>
      <c r="D283" s="929" t="str">
        <f t="shared" si="107"/>
        <v/>
      </c>
      <c r="E283" s="929" t="str">
        <f t="shared" si="107"/>
        <v/>
      </c>
      <c r="F283" s="929" t="str">
        <f t="shared" si="107"/>
        <v/>
      </c>
      <c r="G283" s="929" t="str">
        <f t="shared" si="107"/>
        <v/>
      </c>
      <c r="H283" s="929" t="str">
        <f t="shared" si="107"/>
        <v/>
      </c>
      <c r="I283" s="929" t="str">
        <f t="shared" si="107"/>
        <v/>
      </c>
      <c r="J283" s="929" t="str">
        <f t="shared" si="107"/>
        <v/>
      </c>
      <c r="K283" s="929" t="str">
        <f t="shared" si="107"/>
        <v/>
      </c>
      <c r="L283" s="929" t="str">
        <f t="shared" si="107"/>
        <v/>
      </c>
      <c r="M283" s="929" t="str">
        <f t="shared" si="107"/>
        <v/>
      </c>
      <c r="N283" s="932" t="str">
        <f t="shared" si="107"/>
        <v/>
      </c>
      <c r="O283" s="708"/>
    </row>
    <row r="284" spans="1:15" ht="15.75" thickBot="1" x14ac:dyDescent="0.3">
      <c r="A284" s="933" t="s">
        <v>5116</v>
      </c>
      <c r="B284" s="934" t="s">
        <v>5113</v>
      </c>
      <c r="C284" s="935" t="str">
        <f t="shared" ref="C284:N284" si="108">IF(C282="","",C282*C283)</f>
        <v/>
      </c>
      <c r="D284" s="935" t="str">
        <f t="shared" si="108"/>
        <v/>
      </c>
      <c r="E284" s="935" t="str">
        <f t="shared" si="108"/>
        <v/>
      </c>
      <c r="F284" s="935" t="str">
        <f t="shared" si="108"/>
        <v/>
      </c>
      <c r="G284" s="935" t="str">
        <f t="shared" si="108"/>
        <v/>
      </c>
      <c r="H284" s="935" t="str">
        <f t="shared" si="108"/>
        <v/>
      </c>
      <c r="I284" s="935" t="str">
        <f t="shared" si="108"/>
        <v/>
      </c>
      <c r="J284" s="935" t="str">
        <f t="shared" si="108"/>
        <v/>
      </c>
      <c r="K284" s="935" t="str">
        <f t="shared" si="108"/>
        <v/>
      </c>
      <c r="L284" s="935" t="str">
        <f t="shared" si="108"/>
        <v/>
      </c>
      <c r="M284" s="935" t="str">
        <f t="shared" si="108"/>
        <v/>
      </c>
      <c r="N284" s="936" t="str">
        <f t="shared" si="108"/>
        <v/>
      </c>
      <c r="O284" s="708"/>
    </row>
    <row r="285" spans="1:15" x14ac:dyDescent="0.25">
      <c r="A285" s="708"/>
      <c r="B285" s="708"/>
      <c r="C285" s="708"/>
      <c r="D285" s="708"/>
      <c r="E285" s="708"/>
      <c r="F285" s="708"/>
      <c r="G285" s="708"/>
      <c r="H285" s="708"/>
      <c r="I285" s="708"/>
      <c r="J285" s="708"/>
      <c r="K285" s="708"/>
      <c r="L285" s="708"/>
      <c r="M285" s="708"/>
      <c r="N285" s="708"/>
      <c r="O285" s="708"/>
    </row>
    <row r="286" spans="1:15" ht="15.75" x14ac:dyDescent="0.25">
      <c r="A286" s="1991" t="s">
        <v>5101</v>
      </c>
      <c r="B286" s="1991"/>
      <c r="C286" s="1991"/>
      <c r="D286" s="1991"/>
      <c r="E286" s="1991"/>
      <c r="F286" s="1991"/>
      <c r="G286" s="1991"/>
      <c r="H286" s="1991"/>
      <c r="I286" s="1991"/>
      <c r="J286" s="1991"/>
      <c r="K286" s="1991"/>
      <c r="L286" s="1991"/>
      <c r="M286" s="1991"/>
      <c r="N286" s="1991"/>
      <c r="O286" s="708"/>
    </row>
    <row r="287" spans="1:15" ht="15.75" thickBot="1" x14ac:dyDescent="0.3">
      <c r="A287" s="924" t="s">
        <v>5102</v>
      </c>
      <c r="B287" s="925" t="str">
        <f>IF(A133="","",A133)</f>
        <v/>
      </c>
      <c r="C287" s="708"/>
      <c r="D287" s="708"/>
      <c r="E287" s="708"/>
      <c r="F287" s="708"/>
      <c r="G287" s="708"/>
      <c r="H287" s="708"/>
      <c r="I287" s="708"/>
      <c r="J287" s="708"/>
      <c r="K287" s="708"/>
      <c r="L287" s="708"/>
      <c r="M287" s="708"/>
      <c r="N287" s="708"/>
      <c r="O287" s="708"/>
    </row>
    <row r="288" spans="1:15" x14ac:dyDescent="0.25">
      <c r="A288" s="939"/>
      <c r="B288" s="940" t="s">
        <v>4646</v>
      </c>
      <c r="C288" s="940" t="s">
        <v>5062</v>
      </c>
      <c r="D288" s="940" t="s">
        <v>5063</v>
      </c>
      <c r="E288" s="940" t="s">
        <v>5064</v>
      </c>
      <c r="F288" s="940" t="s">
        <v>5065</v>
      </c>
      <c r="G288" s="940" t="s">
        <v>5066</v>
      </c>
      <c r="H288" s="940" t="s">
        <v>5067</v>
      </c>
      <c r="I288" s="940" t="s">
        <v>5068</v>
      </c>
      <c r="J288" s="940" t="s">
        <v>5069</v>
      </c>
      <c r="K288" s="940" t="s">
        <v>5070</v>
      </c>
      <c r="L288" s="940" t="s">
        <v>5071</v>
      </c>
      <c r="M288" s="940" t="s">
        <v>5072</v>
      </c>
      <c r="N288" s="941" t="s">
        <v>5073</v>
      </c>
      <c r="O288" s="708"/>
    </row>
    <row r="289" spans="1:15" x14ac:dyDescent="0.25">
      <c r="A289" s="927" t="s">
        <v>5103</v>
      </c>
      <c r="B289" s="928" t="s">
        <v>5104</v>
      </c>
      <c r="C289" s="929" t="str">
        <f>C274</f>
        <v/>
      </c>
      <c r="D289" s="929" t="str">
        <f t="shared" ref="D289:N289" si="109">D274</f>
        <v/>
      </c>
      <c r="E289" s="929" t="str">
        <f t="shared" si="109"/>
        <v/>
      </c>
      <c r="F289" s="929" t="str">
        <f t="shared" si="109"/>
        <v/>
      </c>
      <c r="G289" s="929" t="str">
        <f t="shared" si="109"/>
        <v/>
      </c>
      <c r="H289" s="929" t="str">
        <f t="shared" si="109"/>
        <v/>
      </c>
      <c r="I289" s="929" t="str">
        <f t="shared" si="109"/>
        <v/>
      </c>
      <c r="J289" s="929" t="str">
        <f t="shared" si="109"/>
        <v/>
      </c>
      <c r="K289" s="929" t="str">
        <f t="shared" si="109"/>
        <v/>
      </c>
      <c r="L289" s="929" t="str">
        <f t="shared" si="109"/>
        <v/>
      </c>
      <c r="M289" s="929" t="str">
        <f t="shared" si="109"/>
        <v/>
      </c>
      <c r="N289" s="937" t="str">
        <f t="shared" si="109"/>
        <v/>
      </c>
      <c r="O289" s="708"/>
    </row>
    <row r="290" spans="1:15" x14ac:dyDescent="0.25">
      <c r="A290" s="850" t="s">
        <v>5105</v>
      </c>
      <c r="B290" s="928"/>
      <c r="C290" s="929" t="str">
        <f>IF(INDEX($A$123:$N$133,MATCH($B287,$A$123:$A$133,0),3)=0,"",INDEX($A$123:$N$133,MATCH($B287,$A$123:$A$133,0),3))</f>
        <v/>
      </c>
      <c r="D290" s="929" t="str">
        <f>IF(INDEX($A$123:$N$133,MATCH($B287,$A$123:$A$133,0),4)=0,"",INDEX($A$123:$N$133,MATCH($B287,$A$123:$A$133,0),4))</f>
        <v/>
      </c>
      <c r="E290" s="929" t="str">
        <f>IF(INDEX($A$123:$N$133,MATCH($B287,$A$123:$A$133,0),5)=0,"",INDEX($A$123:$N$133,MATCH($B287,$A$123:$A$133,0),5))</f>
        <v/>
      </c>
      <c r="F290" s="929" t="str">
        <f>IF(INDEX($A$123:$N$133,MATCH($B287,$A$123:$A$133,0),6)=0,"",INDEX($A$123:$N$133,MATCH($B287,$A$123:$A$133,0),6))</f>
        <v/>
      </c>
      <c r="G290" s="929" t="str">
        <f>IF(INDEX($A$123:$N$133,MATCH($B287,$A$123:$A$133,0),7)=0,"",INDEX($A$123:$N$133,MATCH($B287,$A$123:$A$133,0),7))</f>
        <v/>
      </c>
      <c r="H290" s="929" t="str">
        <f>IF(INDEX($A$123:$N$133,MATCH($B287,$A$123:$A$133,0),8)=0,"",INDEX($A$123:$N$133,MATCH($B287,$A$123:$A$133,0),8))</f>
        <v/>
      </c>
      <c r="I290" s="929" t="str">
        <f>IF(INDEX($A$123:$N$133,MATCH($B287,$A$123:$A$133,0),9)=0,"",INDEX($A$123:$N$133,MATCH($B287,$A$123:$A$133,0),9))</f>
        <v/>
      </c>
      <c r="J290" s="929" t="str">
        <f>IF(INDEX($A$123:$N$133,MATCH($B287,$A$123:$A$133,0),10)=0,"",INDEX($A$123:$N$133,MATCH($B287,$A$123:$A$133,0),10))</f>
        <v/>
      </c>
      <c r="K290" s="929" t="str">
        <f>IF(INDEX($A$123:$N$133,MATCH($B287,$A$123:$A$133,0),11)=0,"",INDEX($A$123:$N$133,MATCH($B287,$A$123:$A$133,0),11))</f>
        <v/>
      </c>
      <c r="L290" s="929" t="str">
        <f>IF(INDEX($A$123:$N$133,MATCH($B287,$A$123:$A$133,0),12)=0,"",INDEX($A$123:$N$133,MATCH($B287,$A$123:$A$133,0),12))</f>
        <v/>
      </c>
      <c r="M290" s="929" t="str">
        <f>IF(INDEX($A$123:$N$133,MATCH($B287,$A$123:$A$133,0),13)=0,"",INDEX($A$123:$N$133,MATCH($B287,$A$123:$A$133,0),13))</f>
        <v/>
      </c>
      <c r="N290" s="930" t="str">
        <f>IF(INDEX($A$123:$N$133,MATCH($B287,$A$123:$A$133,0),14)=0,"",INDEX($A$123:$N$133,MATCH($B287,$A$123:$A$133,0),14))</f>
        <v/>
      </c>
      <c r="O290" s="708"/>
    </row>
    <row r="291" spans="1:15" x14ac:dyDescent="0.25">
      <c r="A291" s="850" t="s">
        <v>5106</v>
      </c>
      <c r="B291" s="928" t="s">
        <v>5104</v>
      </c>
      <c r="C291" s="929" t="str">
        <f t="shared" ref="C291:N291" si="110">IF(C289="","",IF(C290="","",C289*C290))</f>
        <v/>
      </c>
      <c r="D291" s="929" t="str">
        <f t="shared" si="110"/>
        <v/>
      </c>
      <c r="E291" s="929" t="str">
        <f t="shared" si="110"/>
        <v/>
      </c>
      <c r="F291" s="929" t="str">
        <f t="shared" si="110"/>
        <v/>
      </c>
      <c r="G291" s="929" t="str">
        <f t="shared" si="110"/>
        <v/>
      </c>
      <c r="H291" s="929" t="str">
        <f t="shared" si="110"/>
        <v/>
      </c>
      <c r="I291" s="929" t="str">
        <f t="shared" si="110"/>
        <v/>
      </c>
      <c r="J291" s="929" t="str">
        <f t="shared" si="110"/>
        <v/>
      </c>
      <c r="K291" s="929" t="str">
        <f t="shared" si="110"/>
        <v/>
      </c>
      <c r="L291" s="929" t="str">
        <f t="shared" si="110"/>
        <v/>
      </c>
      <c r="M291" s="929" t="str">
        <f t="shared" si="110"/>
        <v/>
      </c>
      <c r="N291" s="930" t="str">
        <f t="shared" si="110"/>
        <v/>
      </c>
      <c r="O291" s="708"/>
    </row>
    <row r="292" spans="1:15" x14ac:dyDescent="0.25">
      <c r="A292" s="927" t="s">
        <v>5035</v>
      </c>
      <c r="B292" s="928" t="s">
        <v>5104</v>
      </c>
      <c r="C292" s="929">
        <f>C277</f>
        <v>0</v>
      </c>
      <c r="D292" s="929">
        <f t="shared" ref="D292:M292" si="111">D277</f>
        <v>0</v>
      </c>
      <c r="E292" s="929">
        <f t="shared" si="111"/>
        <v>0</v>
      </c>
      <c r="F292" s="929">
        <f t="shared" si="111"/>
        <v>0</v>
      </c>
      <c r="G292" s="929">
        <f t="shared" si="111"/>
        <v>0</v>
      </c>
      <c r="H292" s="929">
        <f t="shared" si="111"/>
        <v>0</v>
      </c>
      <c r="I292" s="929">
        <f t="shared" si="111"/>
        <v>0</v>
      </c>
      <c r="J292" s="929">
        <f t="shared" si="111"/>
        <v>0</v>
      </c>
      <c r="K292" s="929">
        <f t="shared" si="111"/>
        <v>0</v>
      </c>
      <c r="L292" s="929">
        <f t="shared" si="111"/>
        <v>0</v>
      </c>
      <c r="M292" s="929">
        <f t="shared" si="111"/>
        <v>0</v>
      </c>
      <c r="N292" s="930">
        <f>N277</f>
        <v>0</v>
      </c>
      <c r="O292" s="708"/>
    </row>
    <row r="293" spans="1:15" x14ac:dyDescent="0.25">
      <c r="A293" s="850" t="s">
        <v>5107</v>
      </c>
      <c r="B293" s="928" t="s">
        <v>5104</v>
      </c>
      <c r="C293" s="929" t="str">
        <f t="shared" ref="C293:N293" si="112">IF(C291="","",C291-C292)</f>
        <v/>
      </c>
      <c r="D293" s="929" t="str">
        <f t="shared" si="112"/>
        <v/>
      </c>
      <c r="E293" s="929" t="str">
        <f t="shared" si="112"/>
        <v/>
      </c>
      <c r="F293" s="929" t="str">
        <f t="shared" si="112"/>
        <v/>
      </c>
      <c r="G293" s="929" t="str">
        <f t="shared" si="112"/>
        <v/>
      </c>
      <c r="H293" s="929" t="str">
        <f t="shared" si="112"/>
        <v/>
      </c>
      <c r="I293" s="929" t="str">
        <f t="shared" si="112"/>
        <v/>
      </c>
      <c r="J293" s="929" t="str">
        <f t="shared" si="112"/>
        <v/>
      </c>
      <c r="K293" s="929" t="str">
        <f t="shared" si="112"/>
        <v/>
      </c>
      <c r="L293" s="929" t="str">
        <f t="shared" si="112"/>
        <v/>
      </c>
      <c r="M293" s="929" t="str">
        <f t="shared" si="112"/>
        <v/>
      </c>
      <c r="N293" s="930" t="str">
        <f t="shared" si="112"/>
        <v/>
      </c>
      <c r="O293" s="708"/>
    </row>
    <row r="294" spans="1:15" x14ac:dyDescent="0.25">
      <c r="A294" s="850" t="s">
        <v>5108</v>
      </c>
      <c r="B294" s="928" t="s">
        <v>5109</v>
      </c>
      <c r="C294" s="929" t="str">
        <f t="shared" ref="C294:N294" si="113">IF(C293="","",IF(C293&lt;0,0,C293*10))</f>
        <v/>
      </c>
      <c r="D294" s="929" t="str">
        <f t="shared" si="113"/>
        <v/>
      </c>
      <c r="E294" s="929" t="str">
        <f t="shared" si="113"/>
        <v/>
      </c>
      <c r="F294" s="929" t="str">
        <f t="shared" si="113"/>
        <v/>
      </c>
      <c r="G294" s="929" t="str">
        <f t="shared" si="113"/>
        <v/>
      </c>
      <c r="H294" s="929" t="str">
        <f t="shared" si="113"/>
        <v/>
      </c>
      <c r="I294" s="929" t="str">
        <f t="shared" si="113"/>
        <v/>
      </c>
      <c r="J294" s="929" t="str">
        <f t="shared" si="113"/>
        <v/>
      </c>
      <c r="K294" s="929" t="str">
        <f t="shared" si="113"/>
        <v/>
      </c>
      <c r="L294" s="929" t="str">
        <f t="shared" si="113"/>
        <v/>
      </c>
      <c r="M294" s="929" t="str">
        <f t="shared" si="113"/>
        <v/>
      </c>
      <c r="N294" s="930" t="str">
        <f t="shared" si="113"/>
        <v/>
      </c>
      <c r="O294" s="708"/>
    </row>
    <row r="295" spans="1:15" x14ac:dyDescent="0.25">
      <c r="A295" s="927" t="s">
        <v>5081</v>
      </c>
      <c r="B295" s="928"/>
      <c r="C295" s="929" t="str">
        <f>C280</f>
        <v/>
      </c>
      <c r="D295" s="929" t="str">
        <f>C295</f>
        <v/>
      </c>
      <c r="E295" s="929" t="str">
        <f t="shared" ref="E295:M296" si="114">D295</f>
        <v/>
      </c>
      <c r="F295" s="929" t="str">
        <f t="shared" si="114"/>
        <v/>
      </c>
      <c r="G295" s="929" t="str">
        <f t="shared" si="114"/>
        <v/>
      </c>
      <c r="H295" s="929" t="str">
        <f t="shared" si="114"/>
        <v/>
      </c>
      <c r="I295" s="929" t="str">
        <f t="shared" si="114"/>
        <v/>
      </c>
      <c r="J295" s="929" t="str">
        <f t="shared" si="114"/>
        <v/>
      </c>
      <c r="K295" s="929" t="str">
        <f t="shared" si="114"/>
        <v/>
      </c>
      <c r="L295" s="929" t="str">
        <f t="shared" si="114"/>
        <v/>
      </c>
      <c r="M295" s="929" t="str">
        <f t="shared" si="114"/>
        <v/>
      </c>
      <c r="N295" s="930" t="str">
        <f>M295</f>
        <v/>
      </c>
      <c r="O295" s="708"/>
    </row>
    <row r="296" spans="1:15" x14ac:dyDescent="0.25">
      <c r="A296" s="927" t="s">
        <v>5110</v>
      </c>
      <c r="B296" s="928" t="s">
        <v>5111</v>
      </c>
      <c r="C296" s="929" t="str">
        <f>C281</f>
        <v/>
      </c>
      <c r="D296" s="929" t="str">
        <f>C296</f>
        <v/>
      </c>
      <c r="E296" s="929" t="str">
        <f t="shared" si="114"/>
        <v/>
      </c>
      <c r="F296" s="929" t="str">
        <f t="shared" si="114"/>
        <v/>
      </c>
      <c r="G296" s="929" t="str">
        <f t="shared" si="114"/>
        <v/>
      </c>
      <c r="H296" s="929" t="str">
        <f t="shared" si="114"/>
        <v/>
      </c>
      <c r="I296" s="929" t="str">
        <f t="shared" si="114"/>
        <v/>
      </c>
      <c r="J296" s="929" t="str">
        <f t="shared" si="114"/>
        <v/>
      </c>
      <c r="K296" s="929" t="str">
        <f t="shared" si="114"/>
        <v/>
      </c>
      <c r="L296" s="929" t="str">
        <f t="shared" si="114"/>
        <v/>
      </c>
      <c r="M296" s="929" t="str">
        <f t="shared" si="114"/>
        <v/>
      </c>
      <c r="N296" s="930" t="str">
        <f>M296</f>
        <v/>
      </c>
      <c r="O296" s="708"/>
    </row>
    <row r="297" spans="1:15" x14ac:dyDescent="0.25">
      <c r="A297" s="850" t="s">
        <v>5112</v>
      </c>
      <c r="B297" s="928" t="s">
        <v>5113</v>
      </c>
      <c r="C297" s="929" t="str">
        <f t="shared" ref="C297:N297" si="115">IF(C295="","",IF(C294="","",IF(C296="","",C294*(1000/(3600*31*C296))/C295)))</f>
        <v/>
      </c>
      <c r="D297" s="929" t="str">
        <f t="shared" si="115"/>
        <v/>
      </c>
      <c r="E297" s="929" t="str">
        <f t="shared" si="115"/>
        <v/>
      </c>
      <c r="F297" s="929" t="str">
        <f t="shared" si="115"/>
        <v/>
      </c>
      <c r="G297" s="929" t="str">
        <f t="shared" si="115"/>
        <v/>
      </c>
      <c r="H297" s="929" t="str">
        <f t="shared" si="115"/>
        <v/>
      </c>
      <c r="I297" s="929" t="str">
        <f t="shared" si="115"/>
        <v/>
      </c>
      <c r="J297" s="929" t="str">
        <f t="shared" si="115"/>
        <v/>
      </c>
      <c r="K297" s="929" t="str">
        <f t="shared" si="115"/>
        <v/>
      </c>
      <c r="L297" s="929" t="str">
        <f t="shared" si="115"/>
        <v/>
      </c>
      <c r="M297" s="929" t="str">
        <f t="shared" si="115"/>
        <v/>
      </c>
      <c r="N297" s="930" t="str">
        <f t="shared" si="115"/>
        <v/>
      </c>
      <c r="O297" s="708"/>
    </row>
    <row r="298" spans="1:15" ht="15.75" thickBot="1" x14ac:dyDescent="0.3">
      <c r="A298" s="850" t="s">
        <v>5114</v>
      </c>
      <c r="B298" s="928" t="s">
        <v>5115</v>
      </c>
      <c r="C298" s="929" t="str">
        <f t="shared" ref="C298:N298" si="116">IF(C290="","",INDEX($A$123:$B$133,MATCH($B287,$A$123:$A$133,0),2))</f>
        <v/>
      </c>
      <c r="D298" s="929" t="str">
        <f t="shared" si="116"/>
        <v/>
      </c>
      <c r="E298" s="929" t="str">
        <f t="shared" si="116"/>
        <v/>
      </c>
      <c r="F298" s="929" t="str">
        <f t="shared" si="116"/>
        <v/>
      </c>
      <c r="G298" s="929" t="str">
        <f t="shared" si="116"/>
        <v/>
      </c>
      <c r="H298" s="929" t="str">
        <f t="shared" si="116"/>
        <v/>
      </c>
      <c r="I298" s="929" t="str">
        <f t="shared" si="116"/>
        <v/>
      </c>
      <c r="J298" s="929" t="str">
        <f t="shared" si="116"/>
        <v/>
      </c>
      <c r="K298" s="929" t="str">
        <f t="shared" si="116"/>
        <v/>
      </c>
      <c r="L298" s="929" t="str">
        <f t="shared" si="116"/>
        <v/>
      </c>
      <c r="M298" s="929" t="str">
        <f t="shared" si="116"/>
        <v/>
      </c>
      <c r="N298" s="932" t="str">
        <f t="shared" si="116"/>
        <v/>
      </c>
      <c r="O298" s="708"/>
    </row>
    <row r="299" spans="1:15" ht="15.75" thickBot="1" x14ac:dyDescent="0.3">
      <c r="A299" s="933" t="s">
        <v>5116</v>
      </c>
      <c r="B299" s="934" t="s">
        <v>5113</v>
      </c>
      <c r="C299" s="935" t="str">
        <f t="shared" ref="C299:N299" si="117">IF(C297="","",C297*C298)</f>
        <v/>
      </c>
      <c r="D299" s="935" t="str">
        <f t="shared" si="117"/>
        <v/>
      </c>
      <c r="E299" s="935" t="str">
        <f t="shared" si="117"/>
        <v/>
      </c>
      <c r="F299" s="935" t="str">
        <f t="shared" si="117"/>
        <v/>
      </c>
      <c r="G299" s="935" t="str">
        <f t="shared" si="117"/>
        <v/>
      </c>
      <c r="H299" s="935" t="str">
        <f t="shared" si="117"/>
        <v/>
      </c>
      <c r="I299" s="935" t="str">
        <f t="shared" si="117"/>
        <v/>
      </c>
      <c r="J299" s="935" t="str">
        <f t="shared" si="117"/>
        <v/>
      </c>
      <c r="K299" s="935" t="str">
        <f t="shared" si="117"/>
        <v/>
      </c>
      <c r="L299" s="935" t="str">
        <f t="shared" si="117"/>
        <v/>
      </c>
      <c r="M299" s="935" t="str">
        <f t="shared" si="117"/>
        <v/>
      </c>
      <c r="N299" s="936" t="str">
        <f t="shared" si="117"/>
        <v/>
      </c>
      <c r="O299" s="708"/>
    </row>
    <row r="300" spans="1:15" x14ac:dyDescent="0.25">
      <c r="A300" s="708"/>
      <c r="B300" s="708"/>
      <c r="C300" s="708"/>
      <c r="D300" s="708"/>
      <c r="E300" s="708"/>
      <c r="F300" s="708"/>
      <c r="G300" s="708"/>
      <c r="H300" s="708"/>
      <c r="I300" s="708"/>
      <c r="J300" s="708"/>
      <c r="K300" s="708"/>
      <c r="L300" s="708"/>
      <c r="M300" s="708"/>
      <c r="N300" s="708"/>
      <c r="O300" s="708"/>
    </row>
    <row r="301" spans="1:15" x14ac:dyDescent="0.25">
      <c r="A301" s="708"/>
      <c r="B301" s="708"/>
      <c r="C301" s="708"/>
      <c r="D301" s="708"/>
      <c r="E301" s="708"/>
      <c r="F301" s="708"/>
      <c r="G301" s="708"/>
      <c r="H301" s="708"/>
      <c r="I301" s="708"/>
      <c r="J301" s="708"/>
      <c r="K301" s="708"/>
      <c r="L301" s="708"/>
      <c r="M301" s="708"/>
      <c r="N301" s="708"/>
      <c r="O301" s="708"/>
    </row>
    <row r="302" spans="1:15" x14ac:dyDescent="0.25">
      <c r="A302" s="708"/>
      <c r="B302" s="708"/>
      <c r="C302" s="708"/>
      <c r="D302" s="708"/>
      <c r="E302" s="708"/>
      <c r="F302" s="708"/>
      <c r="G302" s="708"/>
      <c r="H302" s="708"/>
      <c r="I302" s="708"/>
      <c r="J302" s="708"/>
      <c r="K302" s="708"/>
      <c r="L302" s="708"/>
      <c r="M302" s="708"/>
      <c r="N302" s="708"/>
      <c r="O302" s="708"/>
    </row>
    <row r="303" spans="1:15" x14ac:dyDescent="0.25">
      <c r="A303" s="708"/>
      <c r="B303" s="708"/>
      <c r="C303" s="708"/>
      <c r="D303" s="708"/>
      <c r="E303" s="708"/>
      <c r="F303" s="708"/>
      <c r="G303" s="708"/>
      <c r="H303" s="708"/>
      <c r="I303" s="708"/>
      <c r="J303" s="708"/>
      <c r="K303" s="708"/>
      <c r="L303" s="708"/>
      <c r="M303" s="708"/>
      <c r="N303" s="708"/>
      <c r="O303" s="708"/>
    </row>
    <row r="304" spans="1:15" x14ac:dyDescent="0.25">
      <c r="A304" s="708"/>
      <c r="B304" s="708"/>
      <c r="C304" s="942"/>
      <c r="D304" s="942"/>
      <c r="E304" s="942"/>
      <c r="F304" s="942"/>
      <c r="G304" s="942"/>
      <c r="H304" s="942"/>
      <c r="I304" s="942"/>
      <c r="J304" s="942"/>
      <c r="K304" s="942"/>
      <c r="L304" s="942"/>
      <c r="M304" s="942"/>
      <c r="N304" s="942"/>
      <c r="O304" s="708"/>
    </row>
    <row r="305" spans="1:16" x14ac:dyDescent="0.25">
      <c r="A305" s="708"/>
      <c r="B305" s="708"/>
      <c r="C305" s="708"/>
      <c r="D305" s="708"/>
      <c r="E305" s="708"/>
      <c r="F305" s="708"/>
      <c r="G305" s="708"/>
      <c r="H305" s="708"/>
      <c r="I305" s="708"/>
      <c r="J305" s="708"/>
      <c r="K305" s="708"/>
      <c r="L305" s="708"/>
      <c r="M305" s="708"/>
      <c r="N305" s="708"/>
      <c r="O305" s="708"/>
    </row>
    <row r="306" spans="1:16" x14ac:dyDescent="0.25">
      <c r="A306" s="708"/>
      <c r="B306" s="708"/>
      <c r="C306" s="708"/>
      <c r="D306" s="708"/>
      <c r="E306" s="708"/>
      <c r="F306" s="708"/>
      <c r="G306" s="708"/>
      <c r="H306" s="708"/>
      <c r="I306" s="708"/>
      <c r="J306" s="708"/>
      <c r="K306" s="708"/>
      <c r="L306" s="708"/>
      <c r="M306" s="708"/>
      <c r="N306" s="708"/>
      <c r="O306" s="708"/>
      <c r="P306" s="864"/>
    </row>
    <row r="307" spans="1:16" x14ac:dyDescent="0.25">
      <c r="A307" s="708"/>
      <c r="B307" s="708"/>
      <c r="C307" s="708"/>
      <c r="D307" s="708"/>
      <c r="E307" s="708"/>
      <c r="F307" s="708"/>
      <c r="G307" s="708"/>
      <c r="H307" s="708"/>
      <c r="I307" s="708"/>
      <c r="J307" s="708"/>
      <c r="K307" s="708"/>
      <c r="L307" s="708"/>
      <c r="M307" s="708"/>
      <c r="N307" s="708"/>
      <c r="O307" s="708"/>
    </row>
    <row r="308" spans="1:16" x14ac:dyDescent="0.25">
      <c r="A308" s="943"/>
      <c r="B308" s="943"/>
      <c r="C308" s="943"/>
      <c r="D308" s="943"/>
      <c r="E308" s="943"/>
      <c r="F308" s="943"/>
      <c r="G308" s="943"/>
      <c r="H308" s="943"/>
      <c r="I308" s="943"/>
      <c r="J308" s="943"/>
      <c r="K308" s="943"/>
      <c r="L308" s="943"/>
      <c r="M308" s="943"/>
      <c r="N308" s="708"/>
      <c r="O308" s="708"/>
    </row>
    <row r="309" spans="1:16" x14ac:dyDescent="0.25">
      <c r="A309" s="708"/>
      <c r="B309" s="708"/>
      <c r="C309" s="708"/>
      <c r="D309" s="708"/>
      <c r="E309" s="708"/>
      <c r="F309" s="708"/>
      <c r="G309" s="708"/>
      <c r="H309" s="708"/>
      <c r="I309" s="708"/>
      <c r="J309" s="708"/>
      <c r="K309" s="708"/>
      <c r="L309" s="708"/>
      <c r="M309" s="708"/>
      <c r="N309" s="708"/>
      <c r="O309" s="708"/>
    </row>
    <row r="310" spans="1:16" x14ac:dyDescent="0.25">
      <c r="A310" s="708"/>
      <c r="B310" s="708"/>
      <c r="C310" s="708"/>
      <c r="D310" s="708"/>
      <c r="E310" s="708"/>
      <c r="F310" s="708"/>
      <c r="G310" s="708"/>
      <c r="H310" s="708"/>
      <c r="I310" s="708"/>
      <c r="J310" s="708"/>
      <c r="K310" s="708"/>
      <c r="L310" s="708"/>
      <c r="M310" s="708"/>
      <c r="N310" s="708"/>
      <c r="O310" s="708"/>
    </row>
    <row r="311" spans="1:16" x14ac:dyDescent="0.25">
      <c r="A311" s="708"/>
      <c r="B311" s="708"/>
      <c r="C311" s="708"/>
      <c r="D311" s="708"/>
      <c r="E311" s="708"/>
      <c r="F311" s="708"/>
      <c r="G311" s="708"/>
      <c r="H311" s="708"/>
      <c r="I311" s="708"/>
      <c r="J311" s="708"/>
      <c r="K311" s="708"/>
      <c r="L311" s="708"/>
      <c r="M311" s="708"/>
      <c r="N311" s="708"/>
      <c r="O311" s="708"/>
    </row>
    <row r="312" spans="1:16" x14ac:dyDescent="0.25">
      <c r="A312" s="708"/>
      <c r="B312" s="708"/>
      <c r="C312" s="708"/>
      <c r="D312" s="708"/>
      <c r="E312" s="708"/>
      <c r="F312" s="708"/>
      <c r="G312" s="708"/>
      <c r="H312" s="708"/>
      <c r="I312" s="708"/>
      <c r="J312" s="708"/>
      <c r="K312" s="708"/>
      <c r="L312" s="708"/>
      <c r="M312" s="708"/>
      <c r="N312" s="708"/>
      <c r="O312" s="708"/>
    </row>
    <row r="313" spans="1:16" x14ac:dyDescent="0.25">
      <c r="A313" s="708"/>
      <c r="B313" s="708"/>
      <c r="C313" s="708"/>
      <c r="D313" s="708"/>
      <c r="E313" s="708"/>
      <c r="F313" s="708"/>
      <c r="G313" s="708"/>
      <c r="H313" s="708"/>
      <c r="I313" s="708"/>
      <c r="J313" s="708"/>
      <c r="K313" s="708"/>
      <c r="L313" s="708"/>
      <c r="M313" s="708"/>
      <c r="N313" s="708"/>
      <c r="O313" s="708"/>
    </row>
    <row r="314" spans="1:16" x14ac:dyDescent="0.25">
      <c r="A314" s="708"/>
      <c r="B314" s="708"/>
      <c r="C314" s="708"/>
      <c r="D314" s="708"/>
      <c r="E314" s="708"/>
      <c r="F314" s="708"/>
      <c r="G314" s="708"/>
      <c r="H314" s="708"/>
      <c r="I314" s="708"/>
      <c r="J314" s="708"/>
      <c r="K314" s="708"/>
      <c r="L314" s="708"/>
      <c r="M314" s="708"/>
      <c r="N314" s="708"/>
      <c r="O314" s="708"/>
    </row>
    <row r="315" spans="1:16" x14ac:dyDescent="0.25">
      <c r="A315" s="708"/>
      <c r="B315" s="708"/>
      <c r="C315" s="708"/>
      <c r="D315" s="708"/>
      <c r="E315" s="708"/>
      <c r="F315" s="708"/>
      <c r="G315" s="708"/>
      <c r="H315" s="708"/>
      <c r="I315" s="708"/>
      <c r="J315" s="708"/>
      <c r="K315" s="708"/>
      <c r="L315" s="708"/>
      <c r="M315" s="708"/>
      <c r="N315" s="708"/>
      <c r="O315" s="708"/>
    </row>
    <row r="316" spans="1:16" x14ac:dyDescent="0.25">
      <c r="A316" s="708"/>
      <c r="B316" s="708"/>
      <c r="C316" s="708"/>
      <c r="D316" s="708"/>
      <c r="E316" s="708"/>
      <c r="F316" s="708"/>
      <c r="G316" s="708"/>
      <c r="H316" s="708"/>
      <c r="I316" s="708"/>
      <c r="J316" s="708"/>
      <c r="K316" s="708"/>
      <c r="L316" s="708"/>
      <c r="M316" s="708"/>
      <c r="N316" s="708"/>
      <c r="O316" s="708"/>
    </row>
    <row r="317" spans="1:16" x14ac:dyDescent="0.25">
      <c r="A317" s="708"/>
      <c r="B317" s="708"/>
      <c r="C317" s="708"/>
      <c r="D317" s="708"/>
      <c r="E317" s="708"/>
      <c r="F317" s="708"/>
      <c r="G317" s="708"/>
      <c r="H317" s="708"/>
      <c r="I317" s="708"/>
      <c r="J317" s="708"/>
      <c r="K317" s="708"/>
      <c r="L317" s="708"/>
      <c r="M317" s="708"/>
      <c r="N317" s="708"/>
      <c r="O317" s="708"/>
    </row>
    <row r="318" spans="1:16" x14ac:dyDescent="0.25">
      <c r="A318" s="708"/>
      <c r="B318" s="708"/>
      <c r="C318" s="708"/>
      <c r="D318" s="708"/>
      <c r="E318" s="708"/>
      <c r="F318" s="708"/>
      <c r="G318" s="708"/>
      <c r="H318" s="708"/>
      <c r="I318" s="708"/>
      <c r="J318" s="708"/>
      <c r="K318" s="708"/>
      <c r="L318" s="708"/>
      <c r="M318" s="708"/>
      <c r="N318" s="708"/>
      <c r="O318" s="708"/>
    </row>
    <row r="319" spans="1:16" x14ac:dyDescent="0.25">
      <c r="A319" s="708"/>
      <c r="B319" s="708"/>
      <c r="C319" s="708"/>
      <c r="D319" s="708"/>
      <c r="E319" s="708"/>
      <c r="F319" s="708"/>
      <c r="G319" s="708"/>
      <c r="H319" s="708"/>
      <c r="I319" s="708"/>
      <c r="J319" s="708"/>
      <c r="K319" s="708"/>
      <c r="L319" s="708"/>
      <c r="M319" s="708"/>
      <c r="N319" s="708"/>
      <c r="O319" s="708"/>
    </row>
    <row r="320" spans="1:16" x14ac:dyDescent="0.25">
      <c r="A320" s="708"/>
      <c r="B320" s="708"/>
      <c r="C320" s="708"/>
      <c r="D320" s="708"/>
      <c r="E320" s="708"/>
      <c r="F320" s="708"/>
      <c r="G320" s="708"/>
      <c r="H320" s="708"/>
      <c r="I320" s="708"/>
      <c r="J320" s="708"/>
      <c r="K320" s="708"/>
      <c r="L320" s="708"/>
      <c r="M320" s="708"/>
      <c r="N320" s="708"/>
      <c r="O320" s="708"/>
    </row>
    <row r="321" spans="1:15" x14ac:dyDescent="0.25">
      <c r="A321" s="708"/>
      <c r="B321" s="708"/>
      <c r="C321" s="708"/>
      <c r="D321" s="708"/>
      <c r="E321" s="708"/>
      <c r="F321" s="708"/>
      <c r="G321" s="708"/>
      <c r="H321" s="708"/>
      <c r="I321" s="708"/>
      <c r="J321" s="708"/>
      <c r="K321" s="708"/>
      <c r="L321" s="708"/>
      <c r="M321" s="708"/>
      <c r="N321" s="708"/>
      <c r="O321" s="708"/>
    </row>
    <row r="322" spans="1:15" x14ac:dyDescent="0.25">
      <c r="A322" s="708"/>
      <c r="B322" s="708"/>
      <c r="C322" s="708"/>
      <c r="D322" s="708"/>
      <c r="E322" s="708"/>
      <c r="F322" s="708"/>
      <c r="G322" s="708"/>
      <c r="H322" s="708"/>
      <c r="I322" s="708"/>
      <c r="J322" s="708"/>
      <c r="K322" s="708"/>
      <c r="L322" s="708"/>
      <c r="M322" s="708"/>
      <c r="N322" s="708"/>
      <c r="O322" s="708"/>
    </row>
    <row r="323" spans="1:15" x14ac:dyDescent="0.25">
      <c r="A323" s="708"/>
      <c r="B323" s="708"/>
      <c r="C323" s="708"/>
      <c r="D323" s="708"/>
      <c r="E323" s="708"/>
      <c r="F323" s="708"/>
      <c r="G323" s="708"/>
      <c r="H323" s="708"/>
      <c r="I323" s="708"/>
      <c r="J323" s="708"/>
      <c r="K323" s="708"/>
      <c r="L323" s="708"/>
      <c r="M323" s="708"/>
      <c r="N323" s="708"/>
      <c r="O323" s="708"/>
    </row>
    <row r="324" spans="1:15" x14ac:dyDescent="0.25">
      <c r="A324" s="708"/>
      <c r="B324" s="708"/>
      <c r="C324" s="708"/>
      <c r="D324" s="708"/>
      <c r="E324" s="708"/>
      <c r="F324" s="708"/>
      <c r="G324" s="708"/>
      <c r="H324" s="708"/>
      <c r="I324" s="708"/>
      <c r="J324" s="708"/>
      <c r="K324" s="708"/>
      <c r="L324" s="708"/>
      <c r="M324" s="708"/>
      <c r="N324" s="708"/>
      <c r="O324" s="708"/>
    </row>
    <row r="325" spans="1:15" x14ac:dyDescent="0.25">
      <c r="A325" s="708"/>
      <c r="B325" s="708"/>
      <c r="C325" s="708"/>
      <c r="D325" s="708"/>
      <c r="E325" s="708"/>
      <c r="F325" s="708"/>
      <c r="G325" s="708"/>
      <c r="H325" s="708"/>
      <c r="I325" s="708"/>
      <c r="J325" s="708"/>
      <c r="K325" s="708"/>
      <c r="L325" s="708"/>
      <c r="M325" s="708"/>
      <c r="N325" s="708"/>
      <c r="O325" s="708"/>
    </row>
    <row r="326" spans="1:15" x14ac:dyDescent="0.25">
      <c r="A326" s="708"/>
      <c r="B326" s="708"/>
      <c r="C326" s="708"/>
      <c r="D326" s="708"/>
      <c r="E326" s="708"/>
      <c r="F326" s="708"/>
      <c r="G326" s="708"/>
      <c r="H326" s="708"/>
      <c r="I326" s="708"/>
      <c r="J326" s="708"/>
      <c r="K326" s="708"/>
      <c r="L326" s="708"/>
      <c r="M326" s="708"/>
      <c r="N326" s="708"/>
      <c r="O326" s="708"/>
    </row>
    <row r="327" spans="1:15" x14ac:dyDescent="0.25">
      <c r="A327" s="708"/>
      <c r="B327" s="708"/>
      <c r="C327" s="708"/>
      <c r="D327" s="708"/>
      <c r="E327" s="708"/>
      <c r="F327" s="708"/>
      <c r="G327" s="708"/>
      <c r="H327" s="708"/>
      <c r="I327" s="708"/>
      <c r="J327" s="708"/>
      <c r="K327" s="708"/>
      <c r="L327" s="708"/>
      <c r="M327" s="708"/>
      <c r="N327" s="708"/>
      <c r="O327" s="708"/>
    </row>
    <row r="328" spans="1:15" x14ac:dyDescent="0.25">
      <c r="A328" s="708"/>
      <c r="B328" s="708"/>
      <c r="C328" s="708"/>
      <c r="D328" s="708"/>
      <c r="E328" s="708"/>
      <c r="F328" s="708"/>
      <c r="G328" s="708"/>
      <c r="H328" s="708"/>
      <c r="I328" s="708"/>
      <c r="J328" s="708"/>
      <c r="K328" s="708"/>
      <c r="L328" s="708"/>
      <c r="M328" s="708"/>
      <c r="N328" s="708"/>
      <c r="O328" s="708"/>
    </row>
    <row r="329" spans="1:15" x14ac:dyDescent="0.25">
      <c r="A329" s="708"/>
      <c r="B329" s="708"/>
      <c r="C329" s="708"/>
      <c r="D329" s="708"/>
      <c r="E329" s="708"/>
      <c r="F329" s="708"/>
      <c r="G329" s="708"/>
      <c r="H329" s="708"/>
      <c r="I329" s="708"/>
      <c r="J329" s="708"/>
      <c r="K329" s="708"/>
      <c r="L329" s="708"/>
      <c r="M329" s="708"/>
      <c r="N329" s="708"/>
      <c r="O329" s="708"/>
    </row>
    <row r="330" spans="1:15" x14ac:dyDescent="0.25">
      <c r="A330" s="708"/>
      <c r="B330" s="708"/>
      <c r="C330" s="708"/>
      <c r="D330" s="708"/>
      <c r="E330" s="708"/>
      <c r="F330" s="708"/>
      <c r="G330" s="708"/>
      <c r="H330" s="708"/>
      <c r="I330" s="708"/>
      <c r="J330" s="708"/>
      <c r="K330" s="708"/>
      <c r="L330" s="708"/>
      <c r="M330" s="708"/>
      <c r="N330" s="708"/>
      <c r="O330" s="708"/>
    </row>
    <row r="331" spans="1:15" x14ac:dyDescent="0.25">
      <c r="A331" s="708"/>
      <c r="B331" s="708"/>
      <c r="C331" s="708"/>
      <c r="D331" s="708"/>
      <c r="E331" s="708"/>
      <c r="F331" s="708"/>
      <c r="G331" s="708"/>
      <c r="H331" s="708"/>
      <c r="I331" s="708"/>
      <c r="J331" s="708"/>
      <c r="K331" s="708"/>
      <c r="L331" s="708"/>
      <c r="M331" s="708"/>
      <c r="N331" s="708"/>
      <c r="O331" s="708"/>
    </row>
    <row r="332" spans="1:15" x14ac:dyDescent="0.25">
      <c r="A332" s="708"/>
      <c r="B332" s="708"/>
      <c r="C332" s="708"/>
      <c r="D332" s="708"/>
      <c r="E332" s="708"/>
      <c r="F332" s="708"/>
      <c r="G332" s="708"/>
      <c r="H332" s="708"/>
      <c r="I332" s="708"/>
      <c r="J332" s="708"/>
      <c r="K332" s="708"/>
      <c r="L332" s="708"/>
      <c r="M332" s="708"/>
      <c r="N332" s="708"/>
      <c r="O332" s="708"/>
    </row>
    <row r="333" spans="1:15" x14ac:dyDescent="0.25">
      <c r="A333" s="708"/>
      <c r="B333" s="708"/>
      <c r="C333" s="708"/>
      <c r="D333" s="708"/>
      <c r="E333" s="708"/>
      <c r="F333" s="708"/>
      <c r="G333" s="708"/>
      <c r="H333" s="708"/>
      <c r="I333" s="708"/>
      <c r="J333" s="708"/>
      <c r="K333" s="708"/>
      <c r="L333" s="708"/>
      <c r="M333" s="708"/>
      <c r="N333" s="708"/>
      <c r="O333" s="708"/>
    </row>
    <row r="334" spans="1:15" x14ac:dyDescent="0.25">
      <c r="A334" s="708"/>
      <c r="B334" s="708"/>
      <c r="C334" s="708"/>
      <c r="D334" s="708"/>
      <c r="E334" s="708"/>
      <c r="F334" s="708"/>
      <c r="G334" s="708"/>
      <c r="H334" s="708"/>
      <c r="I334" s="708"/>
      <c r="J334" s="708"/>
      <c r="K334" s="708"/>
      <c r="L334" s="708"/>
      <c r="M334" s="708"/>
      <c r="N334" s="708"/>
      <c r="O334" s="708"/>
    </row>
    <row r="335" spans="1:15" x14ac:dyDescent="0.25">
      <c r="A335" s="708"/>
      <c r="B335" s="708"/>
      <c r="C335" s="708"/>
      <c r="D335" s="708"/>
      <c r="E335" s="708"/>
      <c r="F335" s="708"/>
      <c r="G335" s="708"/>
      <c r="H335" s="708"/>
      <c r="I335" s="708"/>
      <c r="J335" s="708"/>
      <c r="K335" s="708"/>
      <c r="L335" s="708"/>
      <c r="M335" s="708"/>
      <c r="N335" s="708"/>
      <c r="O335" s="708"/>
    </row>
    <row r="336" spans="1:15" x14ac:dyDescent="0.25">
      <c r="A336" s="708"/>
      <c r="B336" s="708"/>
      <c r="C336" s="708"/>
      <c r="D336" s="708"/>
      <c r="E336" s="708"/>
      <c r="F336" s="708"/>
      <c r="G336" s="708"/>
      <c r="H336" s="708"/>
      <c r="I336" s="708"/>
      <c r="J336" s="708"/>
      <c r="K336" s="708"/>
      <c r="L336" s="708"/>
      <c r="M336" s="708"/>
      <c r="N336" s="708"/>
      <c r="O336" s="708"/>
    </row>
    <row r="337" spans="1:15" x14ac:dyDescent="0.25">
      <c r="A337" s="708"/>
      <c r="B337" s="708"/>
      <c r="C337" s="708"/>
      <c r="D337" s="708"/>
      <c r="E337" s="708"/>
      <c r="F337" s="708"/>
      <c r="G337" s="708"/>
      <c r="H337" s="708"/>
      <c r="I337" s="708"/>
      <c r="J337" s="708"/>
      <c r="K337" s="708"/>
      <c r="L337" s="708"/>
      <c r="M337" s="708"/>
      <c r="N337" s="708"/>
      <c r="O337" s="708"/>
    </row>
    <row r="338" spans="1:15" x14ac:dyDescent="0.25">
      <c r="A338" s="708"/>
      <c r="B338" s="708"/>
      <c r="C338" s="708"/>
      <c r="D338" s="708"/>
      <c r="E338" s="708"/>
      <c r="F338" s="708"/>
      <c r="G338" s="708"/>
      <c r="H338" s="708"/>
      <c r="I338" s="708"/>
      <c r="J338" s="708"/>
      <c r="K338" s="708"/>
      <c r="L338" s="708"/>
      <c r="M338" s="708"/>
      <c r="N338" s="708"/>
      <c r="O338" s="708"/>
    </row>
    <row r="339" spans="1:15" x14ac:dyDescent="0.25">
      <c r="A339" s="708"/>
      <c r="B339" s="708"/>
      <c r="C339" s="708"/>
      <c r="D339" s="708"/>
      <c r="E339" s="708"/>
      <c r="F339" s="708"/>
      <c r="G339" s="708"/>
      <c r="H339" s="708"/>
      <c r="I339" s="708"/>
      <c r="J339" s="708"/>
      <c r="K339" s="708"/>
      <c r="L339" s="708"/>
      <c r="M339" s="708"/>
      <c r="N339" s="708"/>
      <c r="O339" s="708"/>
    </row>
  </sheetData>
  <sheetProtection password="9AA6" sheet="1" objects="1" scenarios="1"/>
  <mergeCells count="15">
    <mergeCell ref="A256:N256"/>
    <mergeCell ref="A271:N271"/>
    <mergeCell ref="A286:N286"/>
    <mergeCell ref="A166:N166"/>
    <mergeCell ref="A181:N181"/>
    <mergeCell ref="A196:N196"/>
    <mergeCell ref="A211:N211"/>
    <mergeCell ref="A226:N226"/>
    <mergeCell ref="A241:N241"/>
    <mergeCell ref="A151:N151"/>
    <mergeCell ref="A7:N7"/>
    <mergeCell ref="A50:N50"/>
    <mergeCell ref="A85:N85"/>
    <mergeCell ref="A120:N120"/>
    <mergeCell ref="A136:N136"/>
  </mergeCells>
  <pageMargins left="0.70866141732283472" right="0.70866141732283472" top="0.74803149606299213" bottom="0.74803149606299213" header="0.31496062992125984" footer="0.31496062992125984"/>
  <pageSetup paperSize="9" scale="55" orientation="portrait" r:id="rId1"/>
  <headerFooter>
    <oddHeader>&amp;L&amp;"Arial,Negrita"&amp;9MINISTERIO DE DESARROLLO AGRARIO Y RIEGO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legacyDrawing r:id="rId3"/>
  <controls>
    <mc:AlternateContent xmlns:mc="http://schemas.openxmlformats.org/markup-compatibility/2006">
      <mc:Choice Requires="x14">
        <control shapeId="83970" r:id="rId4" name="Btn_Regresar_BrechaServicio">
          <controlPr defaultSize="0" autoLine="0" r:id="rId5">
            <anchor moveWithCells="1">
              <from>
                <xdr:col>12</xdr:col>
                <xdr:colOff>171450</xdr:colOff>
                <xdr:row>3</xdr:row>
                <xdr:rowOff>95250</xdr:rowOff>
              </from>
              <to>
                <xdr:col>15</xdr:col>
                <xdr:colOff>28575</xdr:colOff>
                <xdr:row>5</xdr:row>
                <xdr:rowOff>38100</xdr:rowOff>
              </to>
            </anchor>
          </controlPr>
        </control>
      </mc:Choice>
      <mc:Fallback>
        <control shapeId="83970" r:id="rId4" name="Btn_Regresar_BrechaServicio"/>
      </mc:Fallback>
    </mc:AlternateContent>
    <mc:AlternateContent xmlns:mc="http://schemas.openxmlformats.org/markup-compatibility/2006">
      <mc:Choice Requires="x14">
        <control shapeId="83971" r:id="rId6" name="Btn_Ir_a_BalanceHCP">
          <controlPr defaultSize="0" autoLine="0" r:id="rId7">
            <anchor moveWithCells="1">
              <from>
                <xdr:col>12</xdr:col>
                <xdr:colOff>161925</xdr:colOff>
                <xdr:row>0</xdr:row>
                <xdr:rowOff>9525</xdr:rowOff>
              </from>
              <to>
                <xdr:col>15</xdr:col>
                <xdr:colOff>19050</xdr:colOff>
                <xdr:row>1</xdr:row>
                <xdr:rowOff>142875</xdr:rowOff>
              </to>
            </anchor>
          </controlPr>
        </control>
      </mc:Choice>
      <mc:Fallback>
        <control shapeId="83971" r:id="rId6" name="Btn_Ir_a_BalanceHCP"/>
      </mc:Fallback>
    </mc:AlternateContent>
    <mc:AlternateContent xmlns:mc="http://schemas.openxmlformats.org/markup-compatibility/2006">
      <mc:Choice Requires="x14">
        <control shapeId="83972" r:id="rId8" name="Btn_Formulario_Balance">
          <controlPr defaultSize="0" autoLine="0" r:id="rId9">
            <anchor moveWithCells="1">
              <from>
                <xdr:col>12</xdr:col>
                <xdr:colOff>171450</xdr:colOff>
                <xdr:row>1</xdr:row>
                <xdr:rowOff>152400</xdr:rowOff>
              </from>
              <to>
                <xdr:col>15</xdr:col>
                <xdr:colOff>28575</xdr:colOff>
                <xdr:row>3</xdr:row>
                <xdr:rowOff>95250</xdr:rowOff>
              </to>
            </anchor>
          </controlPr>
        </control>
      </mc:Choice>
      <mc:Fallback>
        <control shapeId="83972" r:id="rId8" name="Btn_Formulario_Balance"/>
      </mc:Fallback>
    </mc:AlternateContent>
  </control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$A$123:$A$133</xm:f>
          </x14:formula1>
          <xm:sqref>IX137 WVJ983245 WLN983245 WBR983245 VRV983245 VHZ983245 UYD983245 UOH983245 UEL983245 TUP983245 TKT983245 TAX983245 SRB983245 SHF983245 RXJ983245 RNN983245 RDR983245 QTV983245 QJZ983245 QAD983245 PQH983245 PGL983245 OWP983245 OMT983245 OCX983245 NTB983245 NJF983245 MZJ983245 MPN983245 MFR983245 LVV983245 LLZ983245 LCD983245 KSH983245 KIL983245 JYP983245 JOT983245 JEX983245 IVB983245 ILF983245 IBJ983245 HRN983245 HHR983245 GXV983245 GNZ983245 GED983245 FUH983245 FKL983245 FAP983245 EQT983245 EGX983245 DXB983245 DNF983245 DDJ983245 CTN983245 CJR983245 BZV983245 BPZ983245 BGD983245 AWH983245 AML983245 ACP983245 ST983245 IX983245 B983245 WVJ917709 WLN917709 WBR917709 VRV917709 VHZ917709 UYD917709 UOH917709 UEL917709 TUP917709 TKT917709 TAX917709 SRB917709 SHF917709 RXJ917709 RNN917709 RDR917709 QTV917709 QJZ917709 QAD917709 PQH917709 PGL917709 OWP917709 OMT917709 OCX917709 NTB917709 NJF917709 MZJ917709 MPN917709 MFR917709 LVV917709 LLZ917709 LCD917709 KSH917709 KIL917709 JYP917709 JOT917709 JEX917709 IVB917709 ILF917709 IBJ917709 HRN917709 HHR917709 GXV917709 GNZ917709 GED917709 FUH917709 FKL917709 FAP917709 EQT917709 EGX917709 DXB917709 DNF917709 DDJ917709 CTN917709 CJR917709 BZV917709 BPZ917709 BGD917709 AWH917709 AML917709 ACP917709 ST917709 IX917709 B917709 WVJ852173 WLN852173 WBR852173 VRV852173 VHZ852173 UYD852173 UOH852173 UEL852173 TUP852173 TKT852173 TAX852173 SRB852173 SHF852173 RXJ852173 RNN852173 RDR852173 QTV852173 QJZ852173 QAD852173 PQH852173 PGL852173 OWP852173 OMT852173 OCX852173 NTB852173 NJF852173 MZJ852173 MPN852173 MFR852173 LVV852173 LLZ852173 LCD852173 KSH852173 KIL852173 JYP852173 JOT852173 JEX852173 IVB852173 ILF852173 IBJ852173 HRN852173 HHR852173 GXV852173 GNZ852173 GED852173 FUH852173 FKL852173 FAP852173 EQT852173 EGX852173 DXB852173 DNF852173 DDJ852173 CTN852173 CJR852173 BZV852173 BPZ852173 BGD852173 AWH852173 AML852173 ACP852173 ST852173 IX852173 B852173 WVJ786637 WLN786637 WBR786637 VRV786637 VHZ786637 UYD786637 UOH786637 UEL786637 TUP786637 TKT786637 TAX786637 SRB786637 SHF786637 RXJ786637 RNN786637 RDR786637 QTV786637 QJZ786637 QAD786637 PQH786637 PGL786637 OWP786637 OMT786637 OCX786637 NTB786637 NJF786637 MZJ786637 MPN786637 MFR786637 LVV786637 LLZ786637 LCD786637 KSH786637 KIL786637 JYP786637 JOT786637 JEX786637 IVB786637 ILF786637 IBJ786637 HRN786637 HHR786637 GXV786637 GNZ786637 GED786637 FUH786637 FKL786637 FAP786637 EQT786637 EGX786637 DXB786637 DNF786637 DDJ786637 CTN786637 CJR786637 BZV786637 BPZ786637 BGD786637 AWH786637 AML786637 ACP786637 ST786637 IX786637 B786637 WVJ721101 WLN721101 WBR721101 VRV721101 VHZ721101 UYD721101 UOH721101 UEL721101 TUP721101 TKT721101 TAX721101 SRB721101 SHF721101 RXJ721101 RNN721101 RDR721101 QTV721101 QJZ721101 QAD721101 PQH721101 PGL721101 OWP721101 OMT721101 OCX721101 NTB721101 NJF721101 MZJ721101 MPN721101 MFR721101 LVV721101 LLZ721101 LCD721101 KSH721101 KIL721101 JYP721101 JOT721101 JEX721101 IVB721101 ILF721101 IBJ721101 HRN721101 HHR721101 GXV721101 GNZ721101 GED721101 FUH721101 FKL721101 FAP721101 EQT721101 EGX721101 DXB721101 DNF721101 DDJ721101 CTN721101 CJR721101 BZV721101 BPZ721101 BGD721101 AWH721101 AML721101 ACP721101 ST721101 IX721101 B721101 WVJ655565 WLN655565 WBR655565 VRV655565 VHZ655565 UYD655565 UOH655565 UEL655565 TUP655565 TKT655565 TAX655565 SRB655565 SHF655565 RXJ655565 RNN655565 RDR655565 QTV655565 QJZ655565 QAD655565 PQH655565 PGL655565 OWP655565 OMT655565 OCX655565 NTB655565 NJF655565 MZJ655565 MPN655565 MFR655565 LVV655565 LLZ655565 LCD655565 KSH655565 KIL655565 JYP655565 JOT655565 JEX655565 IVB655565 ILF655565 IBJ655565 HRN655565 HHR655565 GXV655565 GNZ655565 GED655565 FUH655565 FKL655565 FAP655565 EQT655565 EGX655565 DXB655565 DNF655565 DDJ655565 CTN655565 CJR655565 BZV655565 BPZ655565 BGD655565 AWH655565 AML655565 ACP655565 ST655565 IX655565 B655565 WVJ590029 WLN590029 WBR590029 VRV590029 VHZ590029 UYD590029 UOH590029 UEL590029 TUP590029 TKT590029 TAX590029 SRB590029 SHF590029 RXJ590029 RNN590029 RDR590029 QTV590029 QJZ590029 QAD590029 PQH590029 PGL590029 OWP590029 OMT590029 OCX590029 NTB590029 NJF590029 MZJ590029 MPN590029 MFR590029 LVV590029 LLZ590029 LCD590029 KSH590029 KIL590029 JYP590029 JOT590029 JEX590029 IVB590029 ILF590029 IBJ590029 HRN590029 HHR590029 GXV590029 GNZ590029 GED590029 FUH590029 FKL590029 FAP590029 EQT590029 EGX590029 DXB590029 DNF590029 DDJ590029 CTN590029 CJR590029 BZV590029 BPZ590029 BGD590029 AWH590029 AML590029 ACP590029 ST590029 IX590029 B590029 WVJ524493 WLN524493 WBR524493 VRV524493 VHZ524493 UYD524493 UOH524493 UEL524493 TUP524493 TKT524493 TAX524493 SRB524493 SHF524493 RXJ524493 RNN524493 RDR524493 QTV524493 QJZ524493 QAD524493 PQH524493 PGL524493 OWP524493 OMT524493 OCX524493 NTB524493 NJF524493 MZJ524493 MPN524493 MFR524493 LVV524493 LLZ524493 LCD524493 KSH524493 KIL524493 JYP524493 JOT524493 JEX524493 IVB524493 ILF524493 IBJ524493 HRN524493 HHR524493 GXV524493 GNZ524493 GED524493 FUH524493 FKL524493 FAP524493 EQT524493 EGX524493 DXB524493 DNF524493 DDJ524493 CTN524493 CJR524493 BZV524493 BPZ524493 BGD524493 AWH524493 AML524493 ACP524493 ST524493 IX524493 B524493 WVJ458957 WLN458957 WBR458957 VRV458957 VHZ458957 UYD458957 UOH458957 UEL458957 TUP458957 TKT458957 TAX458957 SRB458957 SHF458957 RXJ458957 RNN458957 RDR458957 QTV458957 QJZ458957 QAD458957 PQH458957 PGL458957 OWP458957 OMT458957 OCX458957 NTB458957 NJF458957 MZJ458957 MPN458957 MFR458957 LVV458957 LLZ458957 LCD458957 KSH458957 KIL458957 JYP458957 JOT458957 JEX458957 IVB458957 ILF458957 IBJ458957 HRN458957 HHR458957 GXV458957 GNZ458957 GED458957 FUH458957 FKL458957 FAP458957 EQT458957 EGX458957 DXB458957 DNF458957 DDJ458957 CTN458957 CJR458957 BZV458957 BPZ458957 BGD458957 AWH458957 AML458957 ACP458957 ST458957 IX458957 B458957 WVJ393421 WLN393421 WBR393421 VRV393421 VHZ393421 UYD393421 UOH393421 UEL393421 TUP393421 TKT393421 TAX393421 SRB393421 SHF393421 RXJ393421 RNN393421 RDR393421 QTV393421 QJZ393421 QAD393421 PQH393421 PGL393421 OWP393421 OMT393421 OCX393421 NTB393421 NJF393421 MZJ393421 MPN393421 MFR393421 LVV393421 LLZ393421 LCD393421 KSH393421 KIL393421 JYP393421 JOT393421 JEX393421 IVB393421 ILF393421 IBJ393421 HRN393421 HHR393421 GXV393421 GNZ393421 GED393421 FUH393421 FKL393421 FAP393421 EQT393421 EGX393421 DXB393421 DNF393421 DDJ393421 CTN393421 CJR393421 BZV393421 BPZ393421 BGD393421 AWH393421 AML393421 ACP393421 ST393421 IX393421 B393421 WVJ327885 WLN327885 WBR327885 VRV327885 VHZ327885 UYD327885 UOH327885 UEL327885 TUP327885 TKT327885 TAX327885 SRB327885 SHF327885 RXJ327885 RNN327885 RDR327885 QTV327885 QJZ327885 QAD327885 PQH327885 PGL327885 OWP327885 OMT327885 OCX327885 NTB327885 NJF327885 MZJ327885 MPN327885 MFR327885 LVV327885 LLZ327885 LCD327885 KSH327885 KIL327885 JYP327885 JOT327885 JEX327885 IVB327885 ILF327885 IBJ327885 HRN327885 HHR327885 GXV327885 GNZ327885 GED327885 FUH327885 FKL327885 FAP327885 EQT327885 EGX327885 DXB327885 DNF327885 DDJ327885 CTN327885 CJR327885 BZV327885 BPZ327885 BGD327885 AWH327885 AML327885 ACP327885 ST327885 IX327885 B327885 WVJ262349 WLN262349 WBR262349 VRV262349 VHZ262349 UYD262349 UOH262349 UEL262349 TUP262349 TKT262349 TAX262349 SRB262349 SHF262349 RXJ262349 RNN262349 RDR262349 QTV262349 QJZ262349 QAD262349 PQH262349 PGL262349 OWP262349 OMT262349 OCX262349 NTB262349 NJF262349 MZJ262349 MPN262349 MFR262349 LVV262349 LLZ262349 LCD262349 KSH262349 KIL262349 JYP262349 JOT262349 JEX262349 IVB262349 ILF262349 IBJ262349 HRN262349 HHR262349 GXV262349 GNZ262349 GED262349 FUH262349 FKL262349 FAP262349 EQT262349 EGX262349 DXB262349 DNF262349 DDJ262349 CTN262349 CJR262349 BZV262349 BPZ262349 BGD262349 AWH262349 AML262349 ACP262349 ST262349 IX262349 B262349 WVJ196813 WLN196813 WBR196813 VRV196813 VHZ196813 UYD196813 UOH196813 UEL196813 TUP196813 TKT196813 TAX196813 SRB196813 SHF196813 RXJ196813 RNN196813 RDR196813 QTV196813 QJZ196813 QAD196813 PQH196813 PGL196813 OWP196813 OMT196813 OCX196813 NTB196813 NJF196813 MZJ196813 MPN196813 MFR196813 LVV196813 LLZ196813 LCD196813 KSH196813 KIL196813 JYP196813 JOT196813 JEX196813 IVB196813 ILF196813 IBJ196813 HRN196813 HHR196813 GXV196813 GNZ196813 GED196813 FUH196813 FKL196813 FAP196813 EQT196813 EGX196813 DXB196813 DNF196813 DDJ196813 CTN196813 CJR196813 BZV196813 BPZ196813 BGD196813 AWH196813 AML196813 ACP196813 ST196813 IX196813 B196813 WVJ131277 WLN131277 WBR131277 VRV131277 VHZ131277 UYD131277 UOH131277 UEL131277 TUP131277 TKT131277 TAX131277 SRB131277 SHF131277 RXJ131277 RNN131277 RDR131277 QTV131277 QJZ131277 QAD131277 PQH131277 PGL131277 OWP131277 OMT131277 OCX131277 NTB131277 NJF131277 MZJ131277 MPN131277 MFR131277 LVV131277 LLZ131277 LCD131277 KSH131277 KIL131277 JYP131277 JOT131277 JEX131277 IVB131277 ILF131277 IBJ131277 HRN131277 HHR131277 GXV131277 GNZ131277 GED131277 FUH131277 FKL131277 FAP131277 EQT131277 EGX131277 DXB131277 DNF131277 DDJ131277 CTN131277 CJR131277 BZV131277 BPZ131277 BGD131277 AWH131277 AML131277 ACP131277 ST131277 IX131277 B131277 WVJ65741 WLN65741 WBR65741 VRV65741 VHZ65741 UYD65741 UOH65741 UEL65741 TUP65741 TKT65741 TAX65741 SRB65741 SHF65741 RXJ65741 RNN65741 RDR65741 QTV65741 QJZ65741 QAD65741 PQH65741 PGL65741 OWP65741 OMT65741 OCX65741 NTB65741 NJF65741 MZJ65741 MPN65741 MFR65741 LVV65741 LLZ65741 LCD65741 KSH65741 KIL65741 JYP65741 JOT65741 JEX65741 IVB65741 ILF65741 IBJ65741 HRN65741 HHR65741 GXV65741 GNZ65741 GED65741 FUH65741 FKL65741 FAP65741 EQT65741 EGX65741 DXB65741 DNF65741 DDJ65741 CTN65741 CJR65741 BZV65741 BPZ65741 BGD65741 AWH65741 AML65741 ACP65741 ST65741 IX65741 B65741 WVJ287 WLN287 WBR287 VRV287 VHZ287 UYD287 UOH287 UEL287 TUP287 TKT287 TAX287 SRB287 SHF287 RXJ287 RNN287 RDR287 QTV287 QJZ287 QAD287 PQH287 PGL287 OWP287 OMT287 OCX287 NTB287 NJF287 MZJ287 MPN287 MFR287 LVV287 LLZ287 LCD287 KSH287 KIL287 JYP287 JOT287 JEX287 IVB287 ILF287 IBJ287 HRN287 HHR287 GXV287 GNZ287 GED287 FUH287 FKL287 FAP287 EQT287 EGX287 DXB287 DNF287 DDJ287 CTN287 CJR287 BZV287 BPZ287 BGD287 AWH287 AML287 ACP287 ST287 IX287 DDJ137 WVJ983230 WLN983230 WBR983230 VRV983230 VHZ983230 UYD983230 UOH983230 UEL983230 TUP983230 TKT983230 TAX983230 SRB983230 SHF983230 RXJ983230 RNN983230 RDR983230 QTV983230 QJZ983230 QAD983230 PQH983230 PGL983230 OWP983230 OMT983230 OCX983230 NTB983230 NJF983230 MZJ983230 MPN983230 MFR983230 LVV983230 LLZ983230 LCD983230 KSH983230 KIL983230 JYP983230 JOT983230 JEX983230 IVB983230 ILF983230 IBJ983230 HRN983230 HHR983230 GXV983230 GNZ983230 GED983230 FUH983230 FKL983230 FAP983230 EQT983230 EGX983230 DXB983230 DNF983230 DDJ983230 CTN983230 CJR983230 BZV983230 BPZ983230 BGD983230 AWH983230 AML983230 ACP983230 ST983230 IX983230 B983230 WVJ917694 WLN917694 WBR917694 VRV917694 VHZ917694 UYD917694 UOH917694 UEL917694 TUP917694 TKT917694 TAX917694 SRB917694 SHF917694 RXJ917694 RNN917694 RDR917694 QTV917694 QJZ917694 QAD917694 PQH917694 PGL917694 OWP917694 OMT917694 OCX917694 NTB917694 NJF917694 MZJ917694 MPN917694 MFR917694 LVV917694 LLZ917694 LCD917694 KSH917694 KIL917694 JYP917694 JOT917694 JEX917694 IVB917694 ILF917694 IBJ917694 HRN917694 HHR917694 GXV917694 GNZ917694 GED917694 FUH917694 FKL917694 FAP917694 EQT917694 EGX917694 DXB917694 DNF917694 DDJ917694 CTN917694 CJR917694 BZV917694 BPZ917694 BGD917694 AWH917694 AML917694 ACP917694 ST917694 IX917694 B917694 WVJ852158 WLN852158 WBR852158 VRV852158 VHZ852158 UYD852158 UOH852158 UEL852158 TUP852158 TKT852158 TAX852158 SRB852158 SHF852158 RXJ852158 RNN852158 RDR852158 QTV852158 QJZ852158 QAD852158 PQH852158 PGL852158 OWP852158 OMT852158 OCX852158 NTB852158 NJF852158 MZJ852158 MPN852158 MFR852158 LVV852158 LLZ852158 LCD852158 KSH852158 KIL852158 JYP852158 JOT852158 JEX852158 IVB852158 ILF852158 IBJ852158 HRN852158 HHR852158 GXV852158 GNZ852158 GED852158 FUH852158 FKL852158 FAP852158 EQT852158 EGX852158 DXB852158 DNF852158 DDJ852158 CTN852158 CJR852158 BZV852158 BPZ852158 BGD852158 AWH852158 AML852158 ACP852158 ST852158 IX852158 B852158 WVJ786622 WLN786622 WBR786622 VRV786622 VHZ786622 UYD786622 UOH786622 UEL786622 TUP786622 TKT786622 TAX786622 SRB786622 SHF786622 RXJ786622 RNN786622 RDR786622 QTV786622 QJZ786622 QAD786622 PQH786622 PGL786622 OWP786622 OMT786622 OCX786622 NTB786622 NJF786622 MZJ786622 MPN786622 MFR786622 LVV786622 LLZ786622 LCD786622 KSH786622 KIL786622 JYP786622 JOT786622 JEX786622 IVB786622 ILF786622 IBJ786622 HRN786622 HHR786622 GXV786622 GNZ786622 GED786622 FUH786622 FKL786622 FAP786622 EQT786622 EGX786622 DXB786622 DNF786622 DDJ786622 CTN786622 CJR786622 BZV786622 BPZ786622 BGD786622 AWH786622 AML786622 ACP786622 ST786622 IX786622 B786622 WVJ721086 WLN721086 WBR721086 VRV721086 VHZ721086 UYD721086 UOH721086 UEL721086 TUP721086 TKT721086 TAX721086 SRB721086 SHF721086 RXJ721086 RNN721086 RDR721086 QTV721086 QJZ721086 QAD721086 PQH721086 PGL721086 OWP721086 OMT721086 OCX721086 NTB721086 NJF721086 MZJ721086 MPN721086 MFR721086 LVV721086 LLZ721086 LCD721086 KSH721086 KIL721086 JYP721086 JOT721086 JEX721086 IVB721086 ILF721086 IBJ721086 HRN721086 HHR721086 GXV721086 GNZ721086 GED721086 FUH721086 FKL721086 FAP721086 EQT721086 EGX721086 DXB721086 DNF721086 DDJ721086 CTN721086 CJR721086 BZV721086 BPZ721086 BGD721086 AWH721086 AML721086 ACP721086 ST721086 IX721086 B721086 WVJ655550 WLN655550 WBR655550 VRV655550 VHZ655550 UYD655550 UOH655550 UEL655550 TUP655550 TKT655550 TAX655550 SRB655550 SHF655550 RXJ655550 RNN655550 RDR655550 QTV655550 QJZ655550 QAD655550 PQH655550 PGL655550 OWP655550 OMT655550 OCX655550 NTB655550 NJF655550 MZJ655550 MPN655550 MFR655550 LVV655550 LLZ655550 LCD655550 KSH655550 KIL655550 JYP655550 JOT655550 JEX655550 IVB655550 ILF655550 IBJ655550 HRN655550 HHR655550 GXV655550 GNZ655550 GED655550 FUH655550 FKL655550 FAP655550 EQT655550 EGX655550 DXB655550 DNF655550 DDJ655550 CTN655550 CJR655550 BZV655550 BPZ655550 BGD655550 AWH655550 AML655550 ACP655550 ST655550 IX655550 B655550 WVJ590014 WLN590014 WBR590014 VRV590014 VHZ590014 UYD590014 UOH590014 UEL590014 TUP590014 TKT590014 TAX590014 SRB590014 SHF590014 RXJ590014 RNN590014 RDR590014 QTV590014 QJZ590014 QAD590014 PQH590014 PGL590014 OWP590014 OMT590014 OCX590014 NTB590014 NJF590014 MZJ590014 MPN590014 MFR590014 LVV590014 LLZ590014 LCD590014 KSH590014 KIL590014 JYP590014 JOT590014 JEX590014 IVB590014 ILF590014 IBJ590014 HRN590014 HHR590014 GXV590014 GNZ590014 GED590014 FUH590014 FKL590014 FAP590014 EQT590014 EGX590014 DXB590014 DNF590014 DDJ590014 CTN590014 CJR590014 BZV590014 BPZ590014 BGD590014 AWH590014 AML590014 ACP590014 ST590014 IX590014 B590014 WVJ524478 WLN524478 WBR524478 VRV524478 VHZ524478 UYD524478 UOH524478 UEL524478 TUP524478 TKT524478 TAX524478 SRB524478 SHF524478 RXJ524478 RNN524478 RDR524478 QTV524478 QJZ524478 QAD524478 PQH524478 PGL524478 OWP524478 OMT524478 OCX524478 NTB524478 NJF524478 MZJ524478 MPN524478 MFR524478 LVV524478 LLZ524478 LCD524478 KSH524478 KIL524478 JYP524478 JOT524478 JEX524478 IVB524478 ILF524478 IBJ524478 HRN524478 HHR524478 GXV524478 GNZ524478 GED524478 FUH524478 FKL524478 FAP524478 EQT524478 EGX524478 DXB524478 DNF524478 DDJ524478 CTN524478 CJR524478 BZV524478 BPZ524478 BGD524478 AWH524478 AML524478 ACP524478 ST524478 IX524478 B524478 WVJ458942 WLN458942 WBR458942 VRV458942 VHZ458942 UYD458942 UOH458942 UEL458942 TUP458942 TKT458942 TAX458942 SRB458942 SHF458942 RXJ458942 RNN458942 RDR458942 QTV458942 QJZ458942 QAD458942 PQH458942 PGL458942 OWP458942 OMT458942 OCX458942 NTB458942 NJF458942 MZJ458942 MPN458942 MFR458942 LVV458942 LLZ458942 LCD458942 KSH458942 KIL458942 JYP458942 JOT458942 JEX458942 IVB458942 ILF458942 IBJ458942 HRN458942 HHR458942 GXV458942 GNZ458942 GED458942 FUH458942 FKL458942 FAP458942 EQT458942 EGX458942 DXB458942 DNF458942 DDJ458942 CTN458942 CJR458942 BZV458942 BPZ458942 BGD458942 AWH458942 AML458942 ACP458942 ST458942 IX458942 B458942 WVJ393406 WLN393406 WBR393406 VRV393406 VHZ393406 UYD393406 UOH393406 UEL393406 TUP393406 TKT393406 TAX393406 SRB393406 SHF393406 RXJ393406 RNN393406 RDR393406 QTV393406 QJZ393406 QAD393406 PQH393406 PGL393406 OWP393406 OMT393406 OCX393406 NTB393406 NJF393406 MZJ393406 MPN393406 MFR393406 LVV393406 LLZ393406 LCD393406 KSH393406 KIL393406 JYP393406 JOT393406 JEX393406 IVB393406 ILF393406 IBJ393406 HRN393406 HHR393406 GXV393406 GNZ393406 GED393406 FUH393406 FKL393406 FAP393406 EQT393406 EGX393406 DXB393406 DNF393406 DDJ393406 CTN393406 CJR393406 BZV393406 BPZ393406 BGD393406 AWH393406 AML393406 ACP393406 ST393406 IX393406 B393406 WVJ327870 WLN327870 WBR327870 VRV327870 VHZ327870 UYD327870 UOH327870 UEL327870 TUP327870 TKT327870 TAX327870 SRB327870 SHF327870 RXJ327870 RNN327870 RDR327870 QTV327870 QJZ327870 QAD327870 PQH327870 PGL327870 OWP327870 OMT327870 OCX327870 NTB327870 NJF327870 MZJ327870 MPN327870 MFR327870 LVV327870 LLZ327870 LCD327870 KSH327870 KIL327870 JYP327870 JOT327870 JEX327870 IVB327870 ILF327870 IBJ327870 HRN327870 HHR327870 GXV327870 GNZ327870 GED327870 FUH327870 FKL327870 FAP327870 EQT327870 EGX327870 DXB327870 DNF327870 DDJ327870 CTN327870 CJR327870 BZV327870 BPZ327870 BGD327870 AWH327870 AML327870 ACP327870 ST327870 IX327870 B327870 WVJ262334 WLN262334 WBR262334 VRV262334 VHZ262334 UYD262334 UOH262334 UEL262334 TUP262334 TKT262334 TAX262334 SRB262334 SHF262334 RXJ262334 RNN262334 RDR262334 QTV262334 QJZ262334 QAD262334 PQH262334 PGL262334 OWP262334 OMT262334 OCX262334 NTB262334 NJF262334 MZJ262334 MPN262334 MFR262334 LVV262334 LLZ262334 LCD262334 KSH262334 KIL262334 JYP262334 JOT262334 JEX262334 IVB262334 ILF262334 IBJ262334 HRN262334 HHR262334 GXV262334 GNZ262334 GED262334 FUH262334 FKL262334 FAP262334 EQT262334 EGX262334 DXB262334 DNF262334 DDJ262334 CTN262334 CJR262334 BZV262334 BPZ262334 BGD262334 AWH262334 AML262334 ACP262334 ST262334 IX262334 B262334 WVJ196798 WLN196798 WBR196798 VRV196798 VHZ196798 UYD196798 UOH196798 UEL196798 TUP196798 TKT196798 TAX196798 SRB196798 SHF196798 RXJ196798 RNN196798 RDR196798 QTV196798 QJZ196798 QAD196798 PQH196798 PGL196798 OWP196798 OMT196798 OCX196798 NTB196798 NJF196798 MZJ196798 MPN196798 MFR196798 LVV196798 LLZ196798 LCD196798 KSH196798 KIL196798 JYP196798 JOT196798 JEX196798 IVB196798 ILF196798 IBJ196798 HRN196798 HHR196798 GXV196798 GNZ196798 GED196798 FUH196798 FKL196798 FAP196798 EQT196798 EGX196798 DXB196798 DNF196798 DDJ196798 CTN196798 CJR196798 BZV196798 BPZ196798 BGD196798 AWH196798 AML196798 ACP196798 ST196798 IX196798 B196798 WVJ131262 WLN131262 WBR131262 VRV131262 VHZ131262 UYD131262 UOH131262 UEL131262 TUP131262 TKT131262 TAX131262 SRB131262 SHF131262 RXJ131262 RNN131262 RDR131262 QTV131262 QJZ131262 QAD131262 PQH131262 PGL131262 OWP131262 OMT131262 OCX131262 NTB131262 NJF131262 MZJ131262 MPN131262 MFR131262 LVV131262 LLZ131262 LCD131262 KSH131262 KIL131262 JYP131262 JOT131262 JEX131262 IVB131262 ILF131262 IBJ131262 HRN131262 HHR131262 GXV131262 GNZ131262 GED131262 FUH131262 FKL131262 FAP131262 EQT131262 EGX131262 DXB131262 DNF131262 DDJ131262 CTN131262 CJR131262 BZV131262 BPZ131262 BGD131262 AWH131262 AML131262 ACP131262 ST131262 IX131262 B131262 WVJ65726 WLN65726 WBR65726 VRV65726 VHZ65726 UYD65726 UOH65726 UEL65726 TUP65726 TKT65726 TAX65726 SRB65726 SHF65726 RXJ65726 RNN65726 RDR65726 QTV65726 QJZ65726 QAD65726 PQH65726 PGL65726 OWP65726 OMT65726 OCX65726 NTB65726 NJF65726 MZJ65726 MPN65726 MFR65726 LVV65726 LLZ65726 LCD65726 KSH65726 KIL65726 JYP65726 JOT65726 JEX65726 IVB65726 ILF65726 IBJ65726 HRN65726 HHR65726 GXV65726 GNZ65726 GED65726 FUH65726 FKL65726 FAP65726 EQT65726 EGX65726 DXB65726 DNF65726 DDJ65726 CTN65726 CJR65726 BZV65726 BPZ65726 BGD65726 AWH65726 AML65726 ACP65726 ST65726 IX65726 B65726 WVJ272 WLN272 WBR272 VRV272 VHZ272 UYD272 UOH272 UEL272 TUP272 TKT272 TAX272 SRB272 SHF272 RXJ272 RNN272 RDR272 QTV272 QJZ272 QAD272 PQH272 PGL272 OWP272 OMT272 OCX272 NTB272 NJF272 MZJ272 MPN272 MFR272 LVV272 LLZ272 LCD272 KSH272 KIL272 JYP272 JOT272 JEX272 IVB272 ILF272 IBJ272 HRN272 HHR272 GXV272 GNZ272 GED272 FUH272 FKL272 FAP272 EQT272 EGX272 DXB272 DNF272 DDJ272 CTN272 CJR272 BZV272 BPZ272 BGD272 AWH272 AML272 ACP272 ST272 IX272 CTN137 WVJ983215 WLN983215 WBR983215 VRV983215 VHZ983215 UYD983215 UOH983215 UEL983215 TUP983215 TKT983215 TAX983215 SRB983215 SHF983215 RXJ983215 RNN983215 RDR983215 QTV983215 QJZ983215 QAD983215 PQH983215 PGL983215 OWP983215 OMT983215 OCX983215 NTB983215 NJF983215 MZJ983215 MPN983215 MFR983215 LVV983215 LLZ983215 LCD983215 KSH983215 KIL983215 JYP983215 JOT983215 JEX983215 IVB983215 ILF983215 IBJ983215 HRN983215 HHR983215 GXV983215 GNZ983215 GED983215 FUH983215 FKL983215 FAP983215 EQT983215 EGX983215 DXB983215 DNF983215 DDJ983215 CTN983215 CJR983215 BZV983215 BPZ983215 BGD983215 AWH983215 AML983215 ACP983215 ST983215 IX983215 B983215 WVJ917679 WLN917679 WBR917679 VRV917679 VHZ917679 UYD917679 UOH917679 UEL917679 TUP917679 TKT917679 TAX917679 SRB917679 SHF917679 RXJ917679 RNN917679 RDR917679 QTV917679 QJZ917679 QAD917679 PQH917679 PGL917679 OWP917679 OMT917679 OCX917679 NTB917679 NJF917679 MZJ917679 MPN917679 MFR917679 LVV917679 LLZ917679 LCD917679 KSH917679 KIL917679 JYP917679 JOT917679 JEX917679 IVB917679 ILF917679 IBJ917679 HRN917679 HHR917679 GXV917679 GNZ917679 GED917679 FUH917679 FKL917679 FAP917679 EQT917679 EGX917679 DXB917679 DNF917679 DDJ917679 CTN917679 CJR917679 BZV917679 BPZ917679 BGD917679 AWH917679 AML917679 ACP917679 ST917679 IX917679 B917679 WVJ852143 WLN852143 WBR852143 VRV852143 VHZ852143 UYD852143 UOH852143 UEL852143 TUP852143 TKT852143 TAX852143 SRB852143 SHF852143 RXJ852143 RNN852143 RDR852143 QTV852143 QJZ852143 QAD852143 PQH852143 PGL852143 OWP852143 OMT852143 OCX852143 NTB852143 NJF852143 MZJ852143 MPN852143 MFR852143 LVV852143 LLZ852143 LCD852143 KSH852143 KIL852143 JYP852143 JOT852143 JEX852143 IVB852143 ILF852143 IBJ852143 HRN852143 HHR852143 GXV852143 GNZ852143 GED852143 FUH852143 FKL852143 FAP852143 EQT852143 EGX852143 DXB852143 DNF852143 DDJ852143 CTN852143 CJR852143 BZV852143 BPZ852143 BGD852143 AWH852143 AML852143 ACP852143 ST852143 IX852143 B852143 WVJ786607 WLN786607 WBR786607 VRV786607 VHZ786607 UYD786607 UOH786607 UEL786607 TUP786607 TKT786607 TAX786607 SRB786607 SHF786607 RXJ786607 RNN786607 RDR786607 QTV786607 QJZ786607 QAD786607 PQH786607 PGL786607 OWP786607 OMT786607 OCX786607 NTB786607 NJF786607 MZJ786607 MPN786607 MFR786607 LVV786607 LLZ786607 LCD786607 KSH786607 KIL786607 JYP786607 JOT786607 JEX786607 IVB786607 ILF786607 IBJ786607 HRN786607 HHR786607 GXV786607 GNZ786607 GED786607 FUH786607 FKL786607 FAP786607 EQT786607 EGX786607 DXB786607 DNF786607 DDJ786607 CTN786607 CJR786607 BZV786607 BPZ786607 BGD786607 AWH786607 AML786607 ACP786607 ST786607 IX786607 B786607 WVJ721071 WLN721071 WBR721071 VRV721071 VHZ721071 UYD721071 UOH721071 UEL721071 TUP721071 TKT721071 TAX721071 SRB721071 SHF721071 RXJ721071 RNN721071 RDR721071 QTV721071 QJZ721071 QAD721071 PQH721071 PGL721071 OWP721071 OMT721071 OCX721071 NTB721071 NJF721071 MZJ721071 MPN721071 MFR721071 LVV721071 LLZ721071 LCD721071 KSH721071 KIL721071 JYP721071 JOT721071 JEX721071 IVB721071 ILF721071 IBJ721071 HRN721071 HHR721071 GXV721071 GNZ721071 GED721071 FUH721071 FKL721071 FAP721071 EQT721071 EGX721071 DXB721071 DNF721071 DDJ721071 CTN721071 CJR721071 BZV721071 BPZ721071 BGD721071 AWH721071 AML721071 ACP721071 ST721071 IX721071 B721071 WVJ655535 WLN655535 WBR655535 VRV655535 VHZ655535 UYD655535 UOH655535 UEL655535 TUP655535 TKT655535 TAX655535 SRB655535 SHF655535 RXJ655535 RNN655535 RDR655535 QTV655535 QJZ655535 QAD655535 PQH655535 PGL655535 OWP655535 OMT655535 OCX655535 NTB655535 NJF655535 MZJ655535 MPN655535 MFR655535 LVV655535 LLZ655535 LCD655535 KSH655535 KIL655535 JYP655535 JOT655535 JEX655535 IVB655535 ILF655535 IBJ655535 HRN655535 HHR655535 GXV655535 GNZ655535 GED655535 FUH655535 FKL655535 FAP655535 EQT655535 EGX655535 DXB655535 DNF655535 DDJ655535 CTN655535 CJR655535 BZV655535 BPZ655535 BGD655535 AWH655535 AML655535 ACP655535 ST655535 IX655535 B655535 WVJ589999 WLN589999 WBR589999 VRV589999 VHZ589999 UYD589999 UOH589999 UEL589999 TUP589999 TKT589999 TAX589999 SRB589999 SHF589999 RXJ589999 RNN589999 RDR589999 QTV589999 QJZ589999 QAD589999 PQH589999 PGL589999 OWP589999 OMT589999 OCX589999 NTB589999 NJF589999 MZJ589999 MPN589999 MFR589999 LVV589999 LLZ589999 LCD589999 KSH589999 KIL589999 JYP589999 JOT589999 JEX589999 IVB589999 ILF589999 IBJ589999 HRN589999 HHR589999 GXV589999 GNZ589999 GED589999 FUH589999 FKL589999 FAP589999 EQT589999 EGX589999 DXB589999 DNF589999 DDJ589999 CTN589999 CJR589999 BZV589999 BPZ589999 BGD589999 AWH589999 AML589999 ACP589999 ST589999 IX589999 B589999 WVJ524463 WLN524463 WBR524463 VRV524463 VHZ524463 UYD524463 UOH524463 UEL524463 TUP524463 TKT524463 TAX524463 SRB524463 SHF524463 RXJ524463 RNN524463 RDR524463 QTV524463 QJZ524463 QAD524463 PQH524463 PGL524463 OWP524463 OMT524463 OCX524463 NTB524463 NJF524463 MZJ524463 MPN524463 MFR524463 LVV524463 LLZ524463 LCD524463 KSH524463 KIL524463 JYP524463 JOT524463 JEX524463 IVB524463 ILF524463 IBJ524463 HRN524463 HHR524463 GXV524463 GNZ524463 GED524463 FUH524463 FKL524463 FAP524463 EQT524463 EGX524463 DXB524463 DNF524463 DDJ524463 CTN524463 CJR524463 BZV524463 BPZ524463 BGD524463 AWH524463 AML524463 ACP524463 ST524463 IX524463 B524463 WVJ458927 WLN458927 WBR458927 VRV458927 VHZ458927 UYD458927 UOH458927 UEL458927 TUP458927 TKT458927 TAX458927 SRB458927 SHF458927 RXJ458927 RNN458927 RDR458927 QTV458927 QJZ458927 QAD458927 PQH458927 PGL458927 OWP458927 OMT458927 OCX458927 NTB458927 NJF458927 MZJ458927 MPN458927 MFR458927 LVV458927 LLZ458927 LCD458927 KSH458927 KIL458927 JYP458927 JOT458927 JEX458927 IVB458927 ILF458927 IBJ458927 HRN458927 HHR458927 GXV458927 GNZ458927 GED458927 FUH458927 FKL458927 FAP458927 EQT458927 EGX458927 DXB458927 DNF458927 DDJ458927 CTN458927 CJR458927 BZV458927 BPZ458927 BGD458927 AWH458927 AML458927 ACP458927 ST458927 IX458927 B458927 WVJ393391 WLN393391 WBR393391 VRV393391 VHZ393391 UYD393391 UOH393391 UEL393391 TUP393391 TKT393391 TAX393391 SRB393391 SHF393391 RXJ393391 RNN393391 RDR393391 QTV393391 QJZ393391 QAD393391 PQH393391 PGL393391 OWP393391 OMT393391 OCX393391 NTB393391 NJF393391 MZJ393391 MPN393391 MFR393391 LVV393391 LLZ393391 LCD393391 KSH393391 KIL393391 JYP393391 JOT393391 JEX393391 IVB393391 ILF393391 IBJ393391 HRN393391 HHR393391 GXV393391 GNZ393391 GED393391 FUH393391 FKL393391 FAP393391 EQT393391 EGX393391 DXB393391 DNF393391 DDJ393391 CTN393391 CJR393391 BZV393391 BPZ393391 BGD393391 AWH393391 AML393391 ACP393391 ST393391 IX393391 B393391 WVJ327855 WLN327855 WBR327855 VRV327855 VHZ327855 UYD327855 UOH327855 UEL327855 TUP327855 TKT327855 TAX327855 SRB327855 SHF327855 RXJ327855 RNN327855 RDR327855 QTV327855 QJZ327855 QAD327855 PQH327855 PGL327855 OWP327855 OMT327855 OCX327855 NTB327855 NJF327855 MZJ327855 MPN327855 MFR327855 LVV327855 LLZ327855 LCD327855 KSH327855 KIL327855 JYP327855 JOT327855 JEX327855 IVB327855 ILF327855 IBJ327855 HRN327855 HHR327855 GXV327855 GNZ327855 GED327855 FUH327855 FKL327855 FAP327855 EQT327855 EGX327855 DXB327855 DNF327855 DDJ327855 CTN327855 CJR327855 BZV327855 BPZ327855 BGD327855 AWH327855 AML327855 ACP327855 ST327855 IX327855 B327855 WVJ262319 WLN262319 WBR262319 VRV262319 VHZ262319 UYD262319 UOH262319 UEL262319 TUP262319 TKT262319 TAX262319 SRB262319 SHF262319 RXJ262319 RNN262319 RDR262319 QTV262319 QJZ262319 QAD262319 PQH262319 PGL262319 OWP262319 OMT262319 OCX262319 NTB262319 NJF262319 MZJ262319 MPN262319 MFR262319 LVV262319 LLZ262319 LCD262319 KSH262319 KIL262319 JYP262319 JOT262319 JEX262319 IVB262319 ILF262319 IBJ262319 HRN262319 HHR262319 GXV262319 GNZ262319 GED262319 FUH262319 FKL262319 FAP262319 EQT262319 EGX262319 DXB262319 DNF262319 DDJ262319 CTN262319 CJR262319 BZV262319 BPZ262319 BGD262319 AWH262319 AML262319 ACP262319 ST262319 IX262319 B262319 WVJ196783 WLN196783 WBR196783 VRV196783 VHZ196783 UYD196783 UOH196783 UEL196783 TUP196783 TKT196783 TAX196783 SRB196783 SHF196783 RXJ196783 RNN196783 RDR196783 QTV196783 QJZ196783 QAD196783 PQH196783 PGL196783 OWP196783 OMT196783 OCX196783 NTB196783 NJF196783 MZJ196783 MPN196783 MFR196783 LVV196783 LLZ196783 LCD196783 KSH196783 KIL196783 JYP196783 JOT196783 JEX196783 IVB196783 ILF196783 IBJ196783 HRN196783 HHR196783 GXV196783 GNZ196783 GED196783 FUH196783 FKL196783 FAP196783 EQT196783 EGX196783 DXB196783 DNF196783 DDJ196783 CTN196783 CJR196783 BZV196783 BPZ196783 BGD196783 AWH196783 AML196783 ACP196783 ST196783 IX196783 B196783 WVJ131247 WLN131247 WBR131247 VRV131247 VHZ131247 UYD131247 UOH131247 UEL131247 TUP131247 TKT131247 TAX131247 SRB131247 SHF131247 RXJ131247 RNN131247 RDR131247 QTV131247 QJZ131247 QAD131247 PQH131247 PGL131247 OWP131247 OMT131247 OCX131247 NTB131247 NJF131247 MZJ131247 MPN131247 MFR131247 LVV131247 LLZ131247 LCD131247 KSH131247 KIL131247 JYP131247 JOT131247 JEX131247 IVB131247 ILF131247 IBJ131247 HRN131247 HHR131247 GXV131247 GNZ131247 GED131247 FUH131247 FKL131247 FAP131247 EQT131247 EGX131247 DXB131247 DNF131247 DDJ131247 CTN131247 CJR131247 BZV131247 BPZ131247 BGD131247 AWH131247 AML131247 ACP131247 ST131247 IX131247 B131247 WVJ65711 WLN65711 WBR65711 VRV65711 VHZ65711 UYD65711 UOH65711 UEL65711 TUP65711 TKT65711 TAX65711 SRB65711 SHF65711 RXJ65711 RNN65711 RDR65711 QTV65711 QJZ65711 QAD65711 PQH65711 PGL65711 OWP65711 OMT65711 OCX65711 NTB65711 NJF65711 MZJ65711 MPN65711 MFR65711 LVV65711 LLZ65711 LCD65711 KSH65711 KIL65711 JYP65711 JOT65711 JEX65711 IVB65711 ILF65711 IBJ65711 HRN65711 HHR65711 GXV65711 GNZ65711 GED65711 FUH65711 FKL65711 FAP65711 EQT65711 EGX65711 DXB65711 DNF65711 DDJ65711 CTN65711 CJR65711 BZV65711 BPZ65711 BGD65711 AWH65711 AML65711 ACP65711 ST65711 IX65711 B65711 WVJ257 WLN257 WBR257 VRV257 VHZ257 UYD257 UOH257 UEL257 TUP257 TKT257 TAX257 SRB257 SHF257 RXJ257 RNN257 RDR257 QTV257 QJZ257 QAD257 PQH257 PGL257 OWP257 OMT257 OCX257 NTB257 NJF257 MZJ257 MPN257 MFR257 LVV257 LLZ257 LCD257 KSH257 KIL257 JYP257 JOT257 JEX257 IVB257 ILF257 IBJ257 HRN257 HHR257 GXV257 GNZ257 GED257 FUH257 FKL257 FAP257 EQT257 EGX257 DXB257 DNF257 DDJ257 CTN257 CJR257 BZV257 BPZ257 BGD257 AWH257 AML257 ACP257 ST257 IX257 CJR137 WVJ983200 WLN983200 WBR983200 VRV983200 VHZ983200 UYD983200 UOH983200 UEL983200 TUP983200 TKT983200 TAX983200 SRB983200 SHF983200 RXJ983200 RNN983200 RDR983200 QTV983200 QJZ983200 QAD983200 PQH983200 PGL983200 OWP983200 OMT983200 OCX983200 NTB983200 NJF983200 MZJ983200 MPN983200 MFR983200 LVV983200 LLZ983200 LCD983200 KSH983200 KIL983200 JYP983200 JOT983200 JEX983200 IVB983200 ILF983200 IBJ983200 HRN983200 HHR983200 GXV983200 GNZ983200 GED983200 FUH983200 FKL983200 FAP983200 EQT983200 EGX983200 DXB983200 DNF983200 DDJ983200 CTN983200 CJR983200 BZV983200 BPZ983200 BGD983200 AWH983200 AML983200 ACP983200 ST983200 IX983200 B983200 WVJ917664 WLN917664 WBR917664 VRV917664 VHZ917664 UYD917664 UOH917664 UEL917664 TUP917664 TKT917664 TAX917664 SRB917664 SHF917664 RXJ917664 RNN917664 RDR917664 QTV917664 QJZ917664 QAD917664 PQH917664 PGL917664 OWP917664 OMT917664 OCX917664 NTB917664 NJF917664 MZJ917664 MPN917664 MFR917664 LVV917664 LLZ917664 LCD917664 KSH917664 KIL917664 JYP917664 JOT917664 JEX917664 IVB917664 ILF917664 IBJ917664 HRN917664 HHR917664 GXV917664 GNZ917664 GED917664 FUH917664 FKL917664 FAP917664 EQT917664 EGX917664 DXB917664 DNF917664 DDJ917664 CTN917664 CJR917664 BZV917664 BPZ917664 BGD917664 AWH917664 AML917664 ACP917664 ST917664 IX917664 B917664 WVJ852128 WLN852128 WBR852128 VRV852128 VHZ852128 UYD852128 UOH852128 UEL852128 TUP852128 TKT852128 TAX852128 SRB852128 SHF852128 RXJ852128 RNN852128 RDR852128 QTV852128 QJZ852128 QAD852128 PQH852128 PGL852128 OWP852128 OMT852128 OCX852128 NTB852128 NJF852128 MZJ852128 MPN852128 MFR852128 LVV852128 LLZ852128 LCD852128 KSH852128 KIL852128 JYP852128 JOT852128 JEX852128 IVB852128 ILF852128 IBJ852128 HRN852128 HHR852128 GXV852128 GNZ852128 GED852128 FUH852128 FKL852128 FAP852128 EQT852128 EGX852128 DXB852128 DNF852128 DDJ852128 CTN852128 CJR852128 BZV852128 BPZ852128 BGD852128 AWH852128 AML852128 ACP852128 ST852128 IX852128 B852128 WVJ786592 WLN786592 WBR786592 VRV786592 VHZ786592 UYD786592 UOH786592 UEL786592 TUP786592 TKT786592 TAX786592 SRB786592 SHF786592 RXJ786592 RNN786592 RDR786592 QTV786592 QJZ786592 QAD786592 PQH786592 PGL786592 OWP786592 OMT786592 OCX786592 NTB786592 NJF786592 MZJ786592 MPN786592 MFR786592 LVV786592 LLZ786592 LCD786592 KSH786592 KIL786592 JYP786592 JOT786592 JEX786592 IVB786592 ILF786592 IBJ786592 HRN786592 HHR786592 GXV786592 GNZ786592 GED786592 FUH786592 FKL786592 FAP786592 EQT786592 EGX786592 DXB786592 DNF786592 DDJ786592 CTN786592 CJR786592 BZV786592 BPZ786592 BGD786592 AWH786592 AML786592 ACP786592 ST786592 IX786592 B786592 WVJ721056 WLN721056 WBR721056 VRV721056 VHZ721056 UYD721056 UOH721056 UEL721056 TUP721056 TKT721056 TAX721056 SRB721056 SHF721056 RXJ721056 RNN721056 RDR721056 QTV721056 QJZ721056 QAD721056 PQH721056 PGL721056 OWP721056 OMT721056 OCX721056 NTB721056 NJF721056 MZJ721056 MPN721056 MFR721056 LVV721056 LLZ721056 LCD721056 KSH721056 KIL721056 JYP721056 JOT721056 JEX721056 IVB721056 ILF721056 IBJ721056 HRN721056 HHR721056 GXV721056 GNZ721056 GED721056 FUH721056 FKL721056 FAP721056 EQT721056 EGX721056 DXB721056 DNF721056 DDJ721056 CTN721056 CJR721056 BZV721056 BPZ721056 BGD721056 AWH721056 AML721056 ACP721056 ST721056 IX721056 B721056 WVJ655520 WLN655520 WBR655520 VRV655520 VHZ655520 UYD655520 UOH655520 UEL655520 TUP655520 TKT655520 TAX655520 SRB655520 SHF655520 RXJ655520 RNN655520 RDR655520 QTV655520 QJZ655520 QAD655520 PQH655520 PGL655520 OWP655520 OMT655520 OCX655520 NTB655520 NJF655520 MZJ655520 MPN655520 MFR655520 LVV655520 LLZ655520 LCD655520 KSH655520 KIL655520 JYP655520 JOT655520 JEX655520 IVB655520 ILF655520 IBJ655520 HRN655520 HHR655520 GXV655520 GNZ655520 GED655520 FUH655520 FKL655520 FAP655520 EQT655520 EGX655520 DXB655520 DNF655520 DDJ655520 CTN655520 CJR655520 BZV655520 BPZ655520 BGD655520 AWH655520 AML655520 ACP655520 ST655520 IX655520 B655520 WVJ589984 WLN589984 WBR589984 VRV589984 VHZ589984 UYD589984 UOH589984 UEL589984 TUP589984 TKT589984 TAX589984 SRB589984 SHF589984 RXJ589984 RNN589984 RDR589984 QTV589984 QJZ589984 QAD589984 PQH589984 PGL589984 OWP589984 OMT589984 OCX589984 NTB589984 NJF589984 MZJ589984 MPN589984 MFR589984 LVV589984 LLZ589984 LCD589984 KSH589984 KIL589984 JYP589984 JOT589984 JEX589984 IVB589984 ILF589984 IBJ589984 HRN589984 HHR589984 GXV589984 GNZ589984 GED589984 FUH589984 FKL589984 FAP589984 EQT589984 EGX589984 DXB589984 DNF589984 DDJ589984 CTN589984 CJR589984 BZV589984 BPZ589984 BGD589984 AWH589984 AML589984 ACP589984 ST589984 IX589984 B589984 WVJ524448 WLN524448 WBR524448 VRV524448 VHZ524448 UYD524448 UOH524448 UEL524448 TUP524448 TKT524448 TAX524448 SRB524448 SHF524448 RXJ524448 RNN524448 RDR524448 QTV524448 QJZ524448 QAD524448 PQH524448 PGL524448 OWP524448 OMT524448 OCX524448 NTB524448 NJF524448 MZJ524448 MPN524448 MFR524448 LVV524448 LLZ524448 LCD524448 KSH524448 KIL524448 JYP524448 JOT524448 JEX524448 IVB524448 ILF524448 IBJ524448 HRN524448 HHR524448 GXV524448 GNZ524448 GED524448 FUH524448 FKL524448 FAP524448 EQT524448 EGX524448 DXB524448 DNF524448 DDJ524448 CTN524448 CJR524448 BZV524448 BPZ524448 BGD524448 AWH524448 AML524448 ACP524448 ST524448 IX524448 B524448 WVJ458912 WLN458912 WBR458912 VRV458912 VHZ458912 UYD458912 UOH458912 UEL458912 TUP458912 TKT458912 TAX458912 SRB458912 SHF458912 RXJ458912 RNN458912 RDR458912 QTV458912 QJZ458912 QAD458912 PQH458912 PGL458912 OWP458912 OMT458912 OCX458912 NTB458912 NJF458912 MZJ458912 MPN458912 MFR458912 LVV458912 LLZ458912 LCD458912 KSH458912 KIL458912 JYP458912 JOT458912 JEX458912 IVB458912 ILF458912 IBJ458912 HRN458912 HHR458912 GXV458912 GNZ458912 GED458912 FUH458912 FKL458912 FAP458912 EQT458912 EGX458912 DXB458912 DNF458912 DDJ458912 CTN458912 CJR458912 BZV458912 BPZ458912 BGD458912 AWH458912 AML458912 ACP458912 ST458912 IX458912 B458912 WVJ393376 WLN393376 WBR393376 VRV393376 VHZ393376 UYD393376 UOH393376 UEL393376 TUP393376 TKT393376 TAX393376 SRB393376 SHF393376 RXJ393376 RNN393376 RDR393376 QTV393376 QJZ393376 QAD393376 PQH393376 PGL393376 OWP393376 OMT393376 OCX393376 NTB393376 NJF393376 MZJ393376 MPN393376 MFR393376 LVV393376 LLZ393376 LCD393376 KSH393376 KIL393376 JYP393376 JOT393376 JEX393376 IVB393376 ILF393376 IBJ393376 HRN393376 HHR393376 GXV393376 GNZ393376 GED393376 FUH393376 FKL393376 FAP393376 EQT393376 EGX393376 DXB393376 DNF393376 DDJ393376 CTN393376 CJR393376 BZV393376 BPZ393376 BGD393376 AWH393376 AML393376 ACP393376 ST393376 IX393376 B393376 WVJ327840 WLN327840 WBR327840 VRV327840 VHZ327840 UYD327840 UOH327840 UEL327840 TUP327840 TKT327840 TAX327840 SRB327840 SHF327840 RXJ327840 RNN327840 RDR327840 QTV327840 QJZ327840 QAD327840 PQH327840 PGL327840 OWP327840 OMT327840 OCX327840 NTB327840 NJF327840 MZJ327840 MPN327840 MFR327840 LVV327840 LLZ327840 LCD327840 KSH327840 KIL327840 JYP327840 JOT327840 JEX327840 IVB327840 ILF327840 IBJ327840 HRN327840 HHR327840 GXV327840 GNZ327840 GED327840 FUH327840 FKL327840 FAP327840 EQT327840 EGX327840 DXB327840 DNF327840 DDJ327840 CTN327840 CJR327840 BZV327840 BPZ327840 BGD327840 AWH327840 AML327840 ACP327840 ST327840 IX327840 B327840 WVJ262304 WLN262304 WBR262304 VRV262304 VHZ262304 UYD262304 UOH262304 UEL262304 TUP262304 TKT262304 TAX262304 SRB262304 SHF262304 RXJ262304 RNN262304 RDR262304 QTV262304 QJZ262304 QAD262304 PQH262304 PGL262304 OWP262304 OMT262304 OCX262304 NTB262304 NJF262304 MZJ262304 MPN262304 MFR262304 LVV262304 LLZ262304 LCD262304 KSH262304 KIL262304 JYP262304 JOT262304 JEX262304 IVB262304 ILF262304 IBJ262304 HRN262304 HHR262304 GXV262304 GNZ262304 GED262304 FUH262304 FKL262304 FAP262304 EQT262304 EGX262304 DXB262304 DNF262304 DDJ262304 CTN262304 CJR262304 BZV262304 BPZ262304 BGD262304 AWH262304 AML262304 ACP262304 ST262304 IX262304 B262304 WVJ196768 WLN196768 WBR196768 VRV196768 VHZ196768 UYD196768 UOH196768 UEL196768 TUP196768 TKT196768 TAX196768 SRB196768 SHF196768 RXJ196768 RNN196768 RDR196768 QTV196768 QJZ196768 QAD196768 PQH196768 PGL196768 OWP196768 OMT196768 OCX196768 NTB196768 NJF196768 MZJ196768 MPN196768 MFR196768 LVV196768 LLZ196768 LCD196768 KSH196768 KIL196768 JYP196768 JOT196768 JEX196768 IVB196768 ILF196768 IBJ196768 HRN196768 HHR196768 GXV196768 GNZ196768 GED196768 FUH196768 FKL196768 FAP196768 EQT196768 EGX196768 DXB196768 DNF196768 DDJ196768 CTN196768 CJR196768 BZV196768 BPZ196768 BGD196768 AWH196768 AML196768 ACP196768 ST196768 IX196768 B196768 WVJ131232 WLN131232 WBR131232 VRV131232 VHZ131232 UYD131232 UOH131232 UEL131232 TUP131232 TKT131232 TAX131232 SRB131232 SHF131232 RXJ131232 RNN131232 RDR131232 QTV131232 QJZ131232 QAD131232 PQH131232 PGL131232 OWP131232 OMT131232 OCX131232 NTB131232 NJF131232 MZJ131232 MPN131232 MFR131232 LVV131232 LLZ131232 LCD131232 KSH131232 KIL131232 JYP131232 JOT131232 JEX131232 IVB131232 ILF131232 IBJ131232 HRN131232 HHR131232 GXV131232 GNZ131232 GED131232 FUH131232 FKL131232 FAP131232 EQT131232 EGX131232 DXB131232 DNF131232 DDJ131232 CTN131232 CJR131232 BZV131232 BPZ131232 BGD131232 AWH131232 AML131232 ACP131232 ST131232 IX131232 B131232 WVJ65696 WLN65696 WBR65696 VRV65696 VHZ65696 UYD65696 UOH65696 UEL65696 TUP65696 TKT65696 TAX65696 SRB65696 SHF65696 RXJ65696 RNN65696 RDR65696 QTV65696 QJZ65696 QAD65696 PQH65696 PGL65696 OWP65696 OMT65696 OCX65696 NTB65696 NJF65696 MZJ65696 MPN65696 MFR65696 LVV65696 LLZ65696 LCD65696 KSH65696 KIL65696 JYP65696 JOT65696 JEX65696 IVB65696 ILF65696 IBJ65696 HRN65696 HHR65696 GXV65696 GNZ65696 GED65696 FUH65696 FKL65696 FAP65696 EQT65696 EGX65696 DXB65696 DNF65696 DDJ65696 CTN65696 CJR65696 BZV65696 BPZ65696 BGD65696 AWH65696 AML65696 ACP65696 ST65696 IX65696 B65696 WVJ242 WLN242 WBR242 VRV242 VHZ242 UYD242 UOH242 UEL242 TUP242 TKT242 TAX242 SRB242 SHF242 RXJ242 RNN242 RDR242 QTV242 QJZ242 QAD242 PQH242 PGL242 OWP242 OMT242 OCX242 NTB242 NJF242 MZJ242 MPN242 MFR242 LVV242 LLZ242 LCD242 KSH242 KIL242 JYP242 JOT242 JEX242 IVB242 ILF242 IBJ242 HRN242 HHR242 GXV242 GNZ242 GED242 FUH242 FKL242 FAP242 EQT242 EGX242 DXB242 DNF242 DDJ242 CTN242 CJR242 BZV242 BPZ242 BGD242 AWH242 AML242 ACP242 ST242 IX242 BZV137 WVJ983290 WLN983290 WBR983290 VRV983290 VHZ983290 UYD983290 UOH983290 UEL983290 TUP983290 TKT983290 TAX983290 SRB983290 SHF983290 RXJ983290 RNN983290 RDR983290 QTV983290 QJZ983290 QAD983290 PQH983290 PGL983290 OWP983290 OMT983290 OCX983290 NTB983290 NJF983290 MZJ983290 MPN983290 MFR983290 LVV983290 LLZ983290 LCD983290 KSH983290 KIL983290 JYP983290 JOT983290 JEX983290 IVB983290 ILF983290 IBJ983290 HRN983290 HHR983290 GXV983290 GNZ983290 GED983290 FUH983290 FKL983290 FAP983290 EQT983290 EGX983290 DXB983290 DNF983290 DDJ983290 CTN983290 CJR983290 BZV983290 BPZ983290 BGD983290 AWH983290 AML983290 ACP983290 ST983290 IX983290 B983290 WVJ917754 WLN917754 WBR917754 VRV917754 VHZ917754 UYD917754 UOH917754 UEL917754 TUP917754 TKT917754 TAX917754 SRB917754 SHF917754 RXJ917754 RNN917754 RDR917754 QTV917754 QJZ917754 QAD917754 PQH917754 PGL917754 OWP917754 OMT917754 OCX917754 NTB917754 NJF917754 MZJ917754 MPN917754 MFR917754 LVV917754 LLZ917754 LCD917754 KSH917754 KIL917754 JYP917754 JOT917754 JEX917754 IVB917754 ILF917754 IBJ917754 HRN917754 HHR917754 GXV917754 GNZ917754 GED917754 FUH917754 FKL917754 FAP917754 EQT917754 EGX917754 DXB917754 DNF917754 DDJ917754 CTN917754 CJR917754 BZV917754 BPZ917754 BGD917754 AWH917754 AML917754 ACP917754 ST917754 IX917754 B917754 WVJ852218 WLN852218 WBR852218 VRV852218 VHZ852218 UYD852218 UOH852218 UEL852218 TUP852218 TKT852218 TAX852218 SRB852218 SHF852218 RXJ852218 RNN852218 RDR852218 QTV852218 QJZ852218 QAD852218 PQH852218 PGL852218 OWP852218 OMT852218 OCX852218 NTB852218 NJF852218 MZJ852218 MPN852218 MFR852218 LVV852218 LLZ852218 LCD852218 KSH852218 KIL852218 JYP852218 JOT852218 JEX852218 IVB852218 ILF852218 IBJ852218 HRN852218 HHR852218 GXV852218 GNZ852218 GED852218 FUH852218 FKL852218 FAP852218 EQT852218 EGX852218 DXB852218 DNF852218 DDJ852218 CTN852218 CJR852218 BZV852218 BPZ852218 BGD852218 AWH852218 AML852218 ACP852218 ST852218 IX852218 B852218 WVJ786682 WLN786682 WBR786682 VRV786682 VHZ786682 UYD786682 UOH786682 UEL786682 TUP786682 TKT786682 TAX786682 SRB786682 SHF786682 RXJ786682 RNN786682 RDR786682 QTV786682 QJZ786682 QAD786682 PQH786682 PGL786682 OWP786682 OMT786682 OCX786682 NTB786682 NJF786682 MZJ786682 MPN786682 MFR786682 LVV786682 LLZ786682 LCD786682 KSH786682 KIL786682 JYP786682 JOT786682 JEX786682 IVB786682 ILF786682 IBJ786682 HRN786682 HHR786682 GXV786682 GNZ786682 GED786682 FUH786682 FKL786682 FAP786682 EQT786682 EGX786682 DXB786682 DNF786682 DDJ786682 CTN786682 CJR786682 BZV786682 BPZ786682 BGD786682 AWH786682 AML786682 ACP786682 ST786682 IX786682 B786682 WVJ721146 WLN721146 WBR721146 VRV721146 VHZ721146 UYD721146 UOH721146 UEL721146 TUP721146 TKT721146 TAX721146 SRB721146 SHF721146 RXJ721146 RNN721146 RDR721146 QTV721146 QJZ721146 QAD721146 PQH721146 PGL721146 OWP721146 OMT721146 OCX721146 NTB721146 NJF721146 MZJ721146 MPN721146 MFR721146 LVV721146 LLZ721146 LCD721146 KSH721146 KIL721146 JYP721146 JOT721146 JEX721146 IVB721146 ILF721146 IBJ721146 HRN721146 HHR721146 GXV721146 GNZ721146 GED721146 FUH721146 FKL721146 FAP721146 EQT721146 EGX721146 DXB721146 DNF721146 DDJ721146 CTN721146 CJR721146 BZV721146 BPZ721146 BGD721146 AWH721146 AML721146 ACP721146 ST721146 IX721146 B721146 WVJ655610 WLN655610 WBR655610 VRV655610 VHZ655610 UYD655610 UOH655610 UEL655610 TUP655610 TKT655610 TAX655610 SRB655610 SHF655610 RXJ655610 RNN655610 RDR655610 QTV655610 QJZ655610 QAD655610 PQH655610 PGL655610 OWP655610 OMT655610 OCX655610 NTB655610 NJF655610 MZJ655610 MPN655610 MFR655610 LVV655610 LLZ655610 LCD655610 KSH655610 KIL655610 JYP655610 JOT655610 JEX655610 IVB655610 ILF655610 IBJ655610 HRN655610 HHR655610 GXV655610 GNZ655610 GED655610 FUH655610 FKL655610 FAP655610 EQT655610 EGX655610 DXB655610 DNF655610 DDJ655610 CTN655610 CJR655610 BZV655610 BPZ655610 BGD655610 AWH655610 AML655610 ACP655610 ST655610 IX655610 B655610 WVJ590074 WLN590074 WBR590074 VRV590074 VHZ590074 UYD590074 UOH590074 UEL590074 TUP590074 TKT590074 TAX590074 SRB590074 SHF590074 RXJ590074 RNN590074 RDR590074 QTV590074 QJZ590074 QAD590074 PQH590074 PGL590074 OWP590074 OMT590074 OCX590074 NTB590074 NJF590074 MZJ590074 MPN590074 MFR590074 LVV590074 LLZ590074 LCD590074 KSH590074 KIL590074 JYP590074 JOT590074 JEX590074 IVB590074 ILF590074 IBJ590074 HRN590074 HHR590074 GXV590074 GNZ590074 GED590074 FUH590074 FKL590074 FAP590074 EQT590074 EGX590074 DXB590074 DNF590074 DDJ590074 CTN590074 CJR590074 BZV590074 BPZ590074 BGD590074 AWH590074 AML590074 ACP590074 ST590074 IX590074 B590074 WVJ524538 WLN524538 WBR524538 VRV524538 VHZ524538 UYD524538 UOH524538 UEL524538 TUP524538 TKT524538 TAX524538 SRB524538 SHF524538 RXJ524538 RNN524538 RDR524538 QTV524538 QJZ524538 QAD524538 PQH524538 PGL524538 OWP524538 OMT524538 OCX524538 NTB524538 NJF524538 MZJ524538 MPN524538 MFR524538 LVV524538 LLZ524538 LCD524538 KSH524538 KIL524538 JYP524538 JOT524538 JEX524538 IVB524538 ILF524538 IBJ524538 HRN524538 HHR524538 GXV524538 GNZ524538 GED524538 FUH524538 FKL524538 FAP524538 EQT524538 EGX524538 DXB524538 DNF524538 DDJ524538 CTN524538 CJR524538 BZV524538 BPZ524538 BGD524538 AWH524538 AML524538 ACP524538 ST524538 IX524538 B524538 WVJ459002 WLN459002 WBR459002 VRV459002 VHZ459002 UYD459002 UOH459002 UEL459002 TUP459002 TKT459002 TAX459002 SRB459002 SHF459002 RXJ459002 RNN459002 RDR459002 QTV459002 QJZ459002 QAD459002 PQH459002 PGL459002 OWP459002 OMT459002 OCX459002 NTB459002 NJF459002 MZJ459002 MPN459002 MFR459002 LVV459002 LLZ459002 LCD459002 KSH459002 KIL459002 JYP459002 JOT459002 JEX459002 IVB459002 ILF459002 IBJ459002 HRN459002 HHR459002 GXV459002 GNZ459002 GED459002 FUH459002 FKL459002 FAP459002 EQT459002 EGX459002 DXB459002 DNF459002 DDJ459002 CTN459002 CJR459002 BZV459002 BPZ459002 BGD459002 AWH459002 AML459002 ACP459002 ST459002 IX459002 B459002 WVJ393466 WLN393466 WBR393466 VRV393466 VHZ393466 UYD393466 UOH393466 UEL393466 TUP393466 TKT393466 TAX393466 SRB393466 SHF393466 RXJ393466 RNN393466 RDR393466 QTV393466 QJZ393466 QAD393466 PQH393466 PGL393466 OWP393466 OMT393466 OCX393466 NTB393466 NJF393466 MZJ393466 MPN393466 MFR393466 LVV393466 LLZ393466 LCD393466 KSH393466 KIL393466 JYP393466 JOT393466 JEX393466 IVB393466 ILF393466 IBJ393466 HRN393466 HHR393466 GXV393466 GNZ393466 GED393466 FUH393466 FKL393466 FAP393466 EQT393466 EGX393466 DXB393466 DNF393466 DDJ393466 CTN393466 CJR393466 BZV393466 BPZ393466 BGD393466 AWH393466 AML393466 ACP393466 ST393466 IX393466 B393466 WVJ327930 WLN327930 WBR327930 VRV327930 VHZ327930 UYD327930 UOH327930 UEL327930 TUP327930 TKT327930 TAX327930 SRB327930 SHF327930 RXJ327930 RNN327930 RDR327930 QTV327930 QJZ327930 QAD327930 PQH327930 PGL327930 OWP327930 OMT327930 OCX327930 NTB327930 NJF327930 MZJ327930 MPN327930 MFR327930 LVV327930 LLZ327930 LCD327930 KSH327930 KIL327930 JYP327930 JOT327930 JEX327930 IVB327930 ILF327930 IBJ327930 HRN327930 HHR327930 GXV327930 GNZ327930 GED327930 FUH327930 FKL327930 FAP327930 EQT327930 EGX327930 DXB327930 DNF327930 DDJ327930 CTN327930 CJR327930 BZV327930 BPZ327930 BGD327930 AWH327930 AML327930 ACP327930 ST327930 IX327930 B327930 WVJ262394 WLN262394 WBR262394 VRV262394 VHZ262394 UYD262394 UOH262394 UEL262394 TUP262394 TKT262394 TAX262394 SRB262394 SHF262394 RXJ262394 RNN262394 RDR262394 QTV262394 QJZ262394 QAD262394 PQH262394 PGL262394 OWP262394 OMT262394 OCX262394 NTB262394 NJF262394 MZJ262394 MPN262394 MFR262394 LVV262394 LLZ262394 LCD262394 KSH262394 KIL262394 JYP262394 JOT262394 JEX262394 IVB262394 ILF262394 IBJ262394 HRN262394 HHR262394 GXV262394 GNZ262394 GED262394 FUH262394 FKL262394 FAP262394 EQT262394 EGX262394 DXB262394 DNF262394 DDJ262394 CTN262394 CJR262394 BZV262394 BPZ262394 BGD262394 AWH262394 AML262394 ACP262394 ST262394 IX262394 B262394 WVJ196858 WLN196858 WBR196858 VRV196858 VHZ196858 UYD196858 UOH196858 UEL196858 TUP196858 TKT196858 TAX196858 SRB196858 SHF196858 RXJ196858 RNN196858 RDR196858 QTV196858 QJZ196858 QAD196858 PQH196858 PGL196858 OWP196858 OMT196858 OCX196858 NTB196858 NJF196858 MZJ196858 MPN196858 MFR196858 LVV196858 LLZ196858 LCD196858 KSH196858 KIL196858 JYP196858 JOT196858 JEX196858 IVB196858 ILF196858 IBJ196858 HRN196858 HHR196858 GXV196858 GNZ196858 GED196858 FUH196858 FKL196858 FAP196858 EQT196858 EGX196858 DXB196858 DNF196858 DDJ196858 CTN196858 CJR196858 BZV196858 BPZ196858 BGD196858 AWH196858 AML196858 ACP196858 ST196858 IX196858 B196858 WVJ131322 WLN131322 WBR131322 VRV131322 VHZ131322 UYD131322 UOH131322 UEL131322 TUP131322 TKT131322 TAX131322 SRB131322 SHF131322 RXJ131322 RNN131322 RDR131322 QTV131322 QJZ131322 QAD131322 PQH131322 PGL131322 OWP131322 OMT131322 OCX131322 NTB131322 NJF131322 MZJ131322 MPN131322 MFR131322 LVV131322 LLZ131322 LCD131322 KSH131322 KIL131322 JYP131322 JOT131322 JEX131322 IVB131322 ILF131322 IBJ131322 HRN131322 HHR131322 GXV131322 GNZ131322 GED131322 FUH131322 FKL131322 FAP131322 EQT131322 EGX131322 DXB131322 DNF131322 DDJ131322 CTN131322 CJR131322 BZV131322 BPZ131322 BGD131322 AWH131322 AML131322 ACP131322 ST131322 IX131322 B131322 WVJ65786 WLN65786 WBR65786 VRV65786 VHZ65786 UYD65786 UOH65786 UEL65786 TUP65786 TKT65786 TAX65786 SRB65786 SHF65786 RXJ65786 RNN65786 RDR65786 QTV65786 QJZ65786 QAD65786 PQH65786 PGL65786 OWP65786 OMT65786 OCX65786 NTB65786 NJF65786 MZJ65786 MPN65786 MFR65786 LVV65786 LLZ65786 LCD65786 KSH65786 KIL65786 JYP65786 JOT65786 JEX65786 IVB65786 ILF65786 IBJ65786 HRN65786 HHR65786 GXV65786 GNZ65786 GED65786 FUH65786 FKL65786 FAP65786 EQT65786 EGX65786 DXB65786 DNF65786 DDJ65786 CTN65786 CJR65786 BZV65786 BPZ65786 BGD65786 AWH65786 AML65786 ACP65786 ST65786 IX65786 B65786 WVJ983275 WLN983275 WBR983275 VRV983275 VHZ983275 UYD983275 UOH983275 UEL983275 TUP983275 TKT983275 TAX983275 SRB983275 SHF983275 RXJ983275 RNN983275 RDR983275 QTV983275 QJZ983275 QAD983275 PQH983275 PGL983275 OWP983275 OMT983275 OCX983275 NTB983275 NJF983275 MZJ983275 MPN983275 MFR983275 LVV983275 LLZ983275 LCD983275 KSH983275 KIL983275 JYP983275 JOT983275 JEX983275 IVB983275 ILF983275 IBJ983275 HRN983275 HHR983275 GXV983275 GNZ983275 GED983275 FUH983275 FKL983275 FAP983275 EQT983275 EGX983275 DXB983275 DNF983275 DDJ983275 CTN983275 CJR983275 BZV983275 BPZ983275 BGD983275 AWH983275 AML983275 ACP983275 ST983275 IX983275 B983275 WVJ917739 WLN917739 WBR917739 VRV917739 VHZ917739 UYD917739 UOH917739 UEL917739 TUP917739 TKT917739 TAX917739 SRB917739 SHF917739 RXJ917739 RNN917739 RDR917739 QTV917739 QJZ917739 QAD917739 PQH917739 PGL917739 OWP917739 OMT917739 OCX917739 NTB917739 NJF917739 MZJ917739 MPN917739 MFR917739 LVV917739 LLZ917739 LCD917739 KSH917739 KIL917739 JYP917739 JOT917739 JEX917739 IVB917739 ILF917739 IBJ917739 HRN917739 HHR917739 GXV917739 GNZ917739 GED917739 FUH917739 FKL917739 FAP917739 EQT917739 EGX917739 DXB917739 DNF917739 DDJ917739 CTN917739 CJR917739 BZV917739 BPZ917739 BGD917739 AWH917739 AML917739 ACP917739 ST917739 IX917739 B917739 WVJ852203 WLN852203 WBR852203 VRV852203 VHZ852203 UYD852203 UOH852203 UEL852203 TUP852203 TKT852203 TAX852203 SRB852203 SHF852203 RXJ852203 RNN852203 RDR852203 QTV852203 QJZ852203 QAD852203 PQH852203 PGL852203 OWP852203 OMT852203 OCX852203 NTB852203 NJF852203 MZJ852203 MPN852203 MFR852203 LVV852203 LLZ852203 LCD852203 KSH852203 KIL852203 JYP852203 JOT852203 JEX852203 IVB852203 ILF852203 IBJ852203 HRN852203 HHR852203 GXV852203 GNZ852203 GED852203 FUH852203 FKL852203 FAP852203 EQT852203 EGX852203 DXB852203 DNF852203 DDJ852203 CTN852203 CJR852203 BZV852203 BPZ852203 BGD852203 AWH852203 AML852203 ACP852203 ST852203 IX852203 B852203 WVJ786667 WLN786667 WBR786667 VRV786667 VHZ786667 UYD786667 UOH786667 UEL786667 TUP786667 TKT786667 TAX786667 SRB786667 SHF786667 RXJ786667 RNN786667 RDR786667 QTV786667 QJZ786667 QAD786667 PQH786667 PGL786667 OWP786667 OMT786667 OCX786667 NTB786667 NJF786667 MZJ786667 MPN786667 MFR786667 LVV786667 LLZ786667 LCD786667 KSH786667 KIL786667 JYP786667 JOT786667 JEX786667 IVB786667 ILF786667 IBJ786667 HRN786667 HHR786667 GXV786667 GNZ786667 GED786667 FUH786667 FKL786667 FAP786667 EQT786667 EGX786667 DXB786667 DNF786667 DDJ786667 CTN786667 CJR786667 BZV786667 BPZ786667 BGD786667 AWH786667 AML786667 ACP786667 ST786667 IX786667 B786667 WVJ721131 WLN721131 WBR721131 VRV721131 VHZ721131 UYD721131 UOH721131 UEL721131 TUP721131 TKT721131 TAX721131 SRB721131 SHF721131 RXJ721131 RNN721131 RDR721131 QTV721131 QJZ721131 QAD721131 PQH721131 PGL721131 OWP721131 OMT721131 OCX721131 NTB721131 NJF721131 MZJ721131 MPN721131 MFR721131 LVV721131 LLZ721131 LCD721131 KSH721131 KIL721131 JYP721131 JOT721131 JEX721131 IVB721131 ILF721131 IBJ721131 HRN721131 HHR721131 GXV721131 GNZ721131 GED721131 FUH721131 FKL721131 FAP721131 EQT721131 EGX721131 DXB721131 DNF721131 DDJ721131 CTN721131 CJR721131 BZV721131 BPZ721131 BGD721131 AWH721131 AML721131 ACP721131 ST721131 IX721131 B721131 WVJ655595 WLN655595 WBR655595 VRV655595 VHZ655595 UYD655595 UOH655595 UEL655595 TUP655595 TKT655595 TAX655595 SRB655595 SHF655595 RXJ655595 RNN655595 RDR655595 QTV655595 QJZ655595 QAD655595 PQH655595 PGL655595 OWP655595 OMT655595 OCX655595 NTB655595 NJF655595 MZJ655595 MPN655595 MFR655595 LVV655595 LLZ655595 LCD655595 KSH655595 KIL655595 JYP655595 JOT655595 JEX655595 IVB655595 ILF655595 IBJ655595 HRN655595 HHR655595 GXV655595 GNZ655595 GED655595 FUH655595 FKL655595 FAP655595 EQT655595 EGX655595 DXB655595 DNF655595 DDJ655595 CTN655595 CJR655595 BZV655595 BPZ655595 BGD655595 AWH655595 AML655595 ACP655595 ST655595 IX655595 B655595 WVJ590059 WLN590059 WBR590059 VRV590059 VHZ590059 UYD590059 UOH590059 UEL590059 TUP590059 TKT590059 TAX590059 SRB590059 SHF590059 RXJ590059 RNN590059 RDR590059 QTV590059 QJZ590059 QAD590059 PQH590059 PGL590059 OWP590059 OMT590059 OCX590059 NTB590059 NJF590059 MZJ590059 MPN590059 MFR590059 LVV590059 LLZ590059 LCD590059 KSH590059 KIL590059 JYP590059 JOT590059 JEX590059 IVB590059 ILF590059 IBJ590059 HRN590059 HHR590059 GXV590059 GNZ590059 GED590059 FUH590059 FKL590059 FAP590059 EQT590059 EGX590059 DXB590059 DNF590059 DDJ590059 CTN590059 CJR590059 BZV590059 BPZ590059 BGD590059 AWH590059 AML590059 ACP590059 ST590059 IX590059 B590059 WVJ524523 WLN524523 WBR524523 VRV524523 VHZ524523 UYD524523 UOH524523 UEL524523 TUP524523 TKT524523 TAX524523 SRB524523 SHF524523 RXJ524523 RNN524523 RDR524523 QTV524523 QJZ524523 QAD524523 PQH524523 PGL524523 OWP524523 OMT524523 OCX524523 NTB524523 NJF524523 MZJ524523 MPN524523 MFR524523 LVV524523 LLZ524523 LCD524523 KSH524523 KIL524523 JYP524523 JOT524523 JEX524523 IVB524523 ILF524523 IBJ524523 HRN524523 HHR524523 GXV524523 GNZ524523 GED524523 FUH524523 FKL524523 FAP524523 EQT524523 EGX524523 DXB524523 DNF524523 DDJ524523 CTN524523 CJR524523 BZV524523 BPZ524523 BGD524523 AWH524523 AML524523 ACP524523 ST524523 IX524523 B524523 WVJ458987 WLN458987 WBR458987 VRV458987 VHZ458987 UYD458987 UOH458987 UEL458987 TUP458987 TKT458987 TAX458987 SRB458987 SHF458987 RXJ458987 RNN458987 RDR458987 QTV458987 QJZ458987 QAD458987 PQH458987 PGL458987 OWP458987 OMT458987 OCX458987 NTB458987 NJF458987 MZJ458987 MPN458987 MFR458987 LVV458987 LLZ458987 LCD458987 KSH458987 KIL458987 JYP458987 JOT458987 JEX458987 IVB458987 ILF458987 IBJ458987 HRN458987 HHR458987 GXV458987 GNZ458987 GED458987 FUH458987 FKL458987 FAP458987 EQT458987 EGX458987 DXB458987 DNF458987 DDJ458987 CTN458987 CJR458987 BZV458987 BPZ458987 BGD458987 AWH458987 AML458987 ACP458987 ST458987 IX458987 B458987 WVJ393451 WLN393451 WBR393451 VRV393451 VHZ393451 UYD393451 UOH393451 UEL393451 TUP393451 TKT393451 TAX393451 SRB393451 SHF393451 RXJ393451 RNN393451 RDR393451 QTV393451 QJZ393451 QAD393451 PQH393451 PGL393451 OWP393451 OMT393451 OCX393451 NTB393451 NJF393451 MZJ393451 MPN393451 MFR393451 LVV393451 LLZ393451 LCD393451 KSH393451 KIL393451 JYP393451 JOT393451 JEX393451 IVB393451 ILF393451 IBJ393451 HRN393451 HHR393451 GXV393451 GNZ393451 GED393451 FUH393451 FKL393451 FAP393451 EQT393451 EGX393451 DXB393451 DNF393451 DDJ393451 CTN393451 CJR393451 BZV393451 BPZ393451 BGD393451 AWH393451 AML393451 ACP393451 ST393451 IX393451 B393451 WVJ327915 WLN327915 WBR327915 VRV327915 VHZ327915 UYD327915 UOH327915 UEL327915 TUP327915 TKT327915 TAX327915 SRB327915 SHF327915 RXJ327915 RNN327915 RDR327915 QTV327915 QJZ327915 QAD327915 PQH327915 PGL327915 OWP327915 OMT327915 OCX327915 NTB327915 NJF327915 MZJ327915 MPN327915 MFR327915 LVV327915 LLZ327915 LCD327915 KSH327915 KIL327915 JYP327915 JOT327915 JEX327915 IVB327915 ILF327915 IBJ327915 HRN327915 HHR327915 GXV327915 GNZ327915 GED327915 FUH327915 FKL327915 FAP327915 EQT327915 EGX327915 DXB327915 DNF327915 DDJ327915 CTN327915 CJR327915 BZV327915 BPZ327915 BGD327915 AWH327915 AML327915 ACP327915 ST327915 IX327915 B327915 WVJ262379 WLN262379 WBR262379 VRV262379 VHZ262379 UYD262379 UOH262379 UEL262379 TUP262379 TKT262379 TAX262379 SRB262379 SHF262379 RXJ262379 RNN262379 RDR262379 QTV262379 QJZ262379 QAD262379 PQH262379 PGL262379 OWP262379 OMT262379 OCX262379 NTB262379 NJF262379 MZJ262379 MPN262379 MFR262379 LVV262379 LLZ262379 LCD262379 KSH262379 KIL262379 JYP262379 JOT262379 JEX262379 IVB262379 ILF262379 IBJ262379 HRN262379 HHR262379 GXV262379 GNZ262379 GED262379 FUH262379 FKL262379 FAP262379 EQT262379 EGX262379 DXB262379 DNF262379 DDJ262379 CTN262379 CJR262379 BZV262379 BPZ262379 BGD262379 AWH262379 AML262379 ACP262379 ST262379 IX262379 B262379 WVJ196843 WLN196843 WBR196843 VRV196843 VHZ196843 UYD196843 UOH196843 UEL196843 TUP196843 TKT196843 TAX196843 SRB196843 SHF196843 RXJ196843 RNN196843 RDR196843 QTV196843 QJZ196843 QAD196843 PQH196843 PGL196843 OWP196843 OMT196843 OCX196843 NTB196843 NJF196843 MZJ196843 MPN196843 MFR196843 LVV196843 LLZ196843 LCD196843 KSH196843 KIL196843 JYP196843 JOT196843 JEX196843 IVB196843 ILF196843 IBJ196843 HRN196843 HHR196843 GXV196843 GNZ196843 GED196843 FUH196843 FKL196843 FAP196843 EQT196843 EGX196843 DXB196843 DNF196843 DDJ196843 CTN196843 CJR196843 BZV196843 BPZ196843 BGD196843 AWH196843 AML196843 ACP196843 ST196843 IX196843 B196843 WVJ131307 WLN131307 WBR131307 VRV131307 VHZ131307 UYD131307 UOH131307 UEL131307 TUP131307 TKT131307 TAX131307 SRB131307 SHF131307 RXJ131307 RNN131307 RDR131307 QTV131307 QJZ131307 QAD131307 PQH131307 PGL131307 OWP131307 OMT131307 OCX131307 NTB131307 NJF131307 MZJ131307 MPN131307 MFR131307 LVV131307 LLZ131307 LCD131307 KSH131307 KIL131307 JYP131307 JOT131307 JEX131307 IVB131307 ILF131307 IBJ131307 HRN131307 HHR131307 GXV131307 GNZ131307 GED131307 FUH131307 FKL131307 FAP131307 EQT131307 EGX131307 DXB131307 DNF131307 DDJ131307 CTN131307 CJR131307 BZV131307 BPZ131307 BGD131307 AWH131307 AML131307 ACP131307 ST131307 IX131307 B131307 WVJ65771 WLN65771 WBR65771 VRV65771 VHZ65771 UYD65771 UOH65771 UEL65771 TUP65771 TKT65771 TAX65771 SRB65771 SHF65771 RXJ65771 RNN65771 RDR65771 QTV65771 QJZ65771 QAD65771 PQH65771 PGL65771 OWP65771 OMT65771 OCX65771 NTB65771 NJF65771 MZJ65771 MPN65771 MFR65771 LVV65771 LLZ65771 LCD65771 KSH65771 KIL65771 JYP65771 JOT65771 JEX65771 IVB65771 ILF65771 IBJ65771 HRN65771 HHR65771 GXV65771 GNZ65771 GED65771 FUH65771 FKL65771 FAP65771 EQT65771 EGX65771 DXB65771 DNF65771 DDJ65771 CTN65771 CJR65771 BZV65771 BPZ65771 BGD65771 AWH65771 AML65771 ACP65771 ST65771 IX65771 B65771 WVJ983260 WLN983260 WBR983260 VRV983260 VHZ983260 UYD983260 UOH983260 UEL983260 TUP983260 TKT983260 TAX983260 SRB983260 SHF983260 RXJ983260 RNN983260 RDR983260 QTV983260 QJZ983260 QAD983260 PQH983260 PGL983260 OWP983260 OMT983260 OCX983260 NTB983260 NJF983260 MZJ983260 MPN983260 MFR983260 LVV983260 LLZ983260 LCD983260 KSH983260 KIL983260 JYP983260 JOT983260 JEX983260 IVB983260 ILF983260 IBJ983260 HRN983260 HHR983260 GXV983260 GNZ983260 GED983260 FUH983260 FKL983260 FAP983260 EQT983260 EGX983260 DXB983260 DNF983260 DDJ983260 CTN983260 CJR983260 BZV983260 BPZ983260 BGD983260 AWH983260 AML983260 ACP983260 ST983260 IX983260 B983260 WVJ917724 WLN917724 WBR917724 VRV917724 VHZ917724 UYD917724 UOH917724 UEL917724 TUP917724 TKT917724 TAX917724 SRB917724 SHF917724 RXJ917724 RNN917724 RDR917724 QTV917724 QJZ917724 QAD917724 PQH917724 PGL917724 OWP917724 OMT917724 OCX917724 NTB917724 NJF917724 MZJ917724 MPN917724 MFR917724 LVV917724 LLZ917724 LCD917724 KSH917724 KIL917724 JYP917724 JOT917724 JEX917724 IVB917724 ILF917724 IBJ917724 HRN917724 HHR917724 GXV917724 GNZ917724 GED917724 FUH917724 FKL917724 FAP917724 EQT917724 EGX917724 DXB917724 DNF917724 DDJ917724 CTN917724 CJR917724 BZV917724 BPZ917724 BGD917724 AWH917724 AML917724 ACP917724 ST917724 IX917724 B917724 WVJ852188 WLN852188 WBR852188 VRV852188 VHZ852188 UYD852188 UOH852188 UEL852188 TUP852188 TKT852188 TAX852188 SRB852188 SHF852188 RXJ852188 RNN852188 RDR852188 QTV852188 QJZ852188 QAD852188 PQH852188 PGL852188 OWP852188 OMT852188 OCX852188 NTB852188 NJF852188 MZJ852188 MPN852188 MFR852188 LVV852188 LLZ852188 LCD852188 KSH852188 KIL852188 JYP852188 JOT852188 JEX852188 IVB852188 ILF852188 IBJ852188 HRN852188 HHR852188 GXV852188 GNZ852188 GED852188 FUH852188 FKL852188 FAP852188 EQT852188 EGX852188 DXB852188 DNF852188 DDJ852188 CTN852188 CJR852188 BZV852188 BPZ852188 BGD852188 AWH852188 AML852188 ACP852188 ST852188 IX852188 B852188 WVJ786652 WLN786652 WBR786652 VRV786652 VHZ786652 UYD786652 UOH786652 UEL786652 TUP786652 TKT786652 TAX786652 SRB786652 SHF786652 RXJ786652 RNN786652 RDR786652 QTV786652 QJZ786652 QAD786652 PQH786652 PGL786652 OWP786652 OMT786652 OCX786652 NTB786652 NJF786652 MZJ786652 MPN786652 MFR786652 LVV786652 LLZ786652 LCD786652 KSH786652 KIL786652 JYP786652 JOT786652 JEX786652 IVB786652 ILF786652 IBJ786652 HRN786652 HHR786652 GXV786652 GNZ786652 GED786652 FUH786652 FKL786652 FAP786652 EQT786652 EGX786652 DXB786652 DNF786652 DDJ786652 CTN786652 CJR786652 BZV786652 BPZ786652 BGD786652 AWH786652 AML786652 ACP786652 ST786652 IX786652 B786652 WVJ721116 WLN721116 WBR721116 VRV721116 VHZ721116 UYD721116 UOH721116 UEL721116 TUP721116 TKT721116 TAX721116 SRB721116 SHF721116 RXJ721116 RNN721116 RDR721116 QTV721116 QJZ721116 QAD721116 PQH721116 PGL721116 OWP721116 OMT721116 OCX721116 NTB721116 NJF721116 MZJ721116 MPN721116 MFR721116 LVV721116 LLZ721116 LCD721116 KSH721116 KIL721116 JYP721116 JOT721116 JEX721116 IVB721116 ILF721116 IBJ721116 HRN721116 HHR721116 GXV721116 GNZ721116 GED721116 FUH721116 FKL721116 FAP721116 EQT721116 EGX721116 DXB721116 DNF721116 DDJ721116 CTN721116 CJR721116 BZV721116 BPZ721116 BGD721116 AWH721116 AML721116 ACP721116 ST721116 IX721116 B721116 WVJ655580 WLN655580 WBR655580 VRV655580 VHZ655580 UYD655580 UOH655580 UEL655580 TUP655580 TKT655580 TAX655580 SRB655580 SHF655580 RXJ655580 RNN655580 RDR655580 QTV655580 QJZ655580 QAD655580 PQH655580 PGL655580 OWP655580 OMT655580 OCX655580 NTB655580 NJF655580 MZJ655580 MPN655580 MFR655580 LVV655580 LLZ655580 LCD655580 KSH655580 KIL655580 JYP655580 JOT655580 JEX655580 IVB655580 ILF655580 IBJ655580 HRN655580 HHR655580 GXV655580 GNZ655580 GED655580 FUH655580 FKL655580 FAP655580 EQT655580 EGX655580 DXB655580 DNF655580 DDJ655580 CTN655580 CJR655580 BZV655580 BPZ655580 BGD655580 AWH655580 AML655580 ACP655580 ST655580 IX655580 B655580 WVJ590044 WLN590044 WBR590044 VRV590044 VHZ590044 UYD590044 UOH590044 UEL590044 TUP590044 TKT590044 TAX590044 SRB590044 SHF590044 RXJ590044 RNN590044 RDR590044 QTV590044 QJZ590044 QAD590044 PQH590044 PGL590044 OWP590044 OMT590044 OCX590044 NTB590044 NJF590044 MZJ590044 MPN590044 MFR590044 LVV590044 LLZ590044 LCD590044 KSH590044 KIL590044 JYP590044 JOT590044 JEX590044 IVB590044 ILF590044 IBJ590044 HRN590044 HHR590044 GXV590044 GNZ590044 GED590044 FUH590044 FKL590044 FAP590044 EQT590044 EGX590044 DXB590044 DNF590044 DDJ590044 CTN590044 CJR590044 BZV590044 BPZ590044 BGD590044 AWH590044 AML590044 ACP590044 ST590044 IX590044 B590044 WVJ524508 WLN524508 WBR524508 VRV524508 VHZ524508 UYD524508 UOH524508 UEL524508 TUP524508 TKT524508 TAX524508 SRB524508 SHF524508 RXJ524508 RNN524508 RDR524508 QTV524508 QJZ524508 QAD524508 PQH524508 PGL524508 OWP524508 OMT524508 OCX524508 NTB524508 NJF524508 MZJ524508 MPN524508 MFR524508 LVV524508 LLZ524508 LCD524508 KSH524508 KIL524508 JYP524508 JOT524508 JEX524508 IVB524508 ILF524508 IBJ524508 HRN524508 HHR524508 GXV524508 GNZ524508 GED524508 FUH524508 FKL524508 FAP524508 EQT524508 EGX524508 DXB524508 DNF524508 DDJ524508 CTN524508 CJR524508 BZV524508 BPZ524508 BGD524508 AWH524508 AML524508 ACP524508 ST524508 IX524508 B524508 WVJ458972 WLN458972 WBR458972 VRV458972 VHZ458972 UYD458972 UOH458972 UEL458972 TUP458972 TKT458972 TAX458972 SRB458972 SHF458972 RXJ458972 RNN458972 RDR458972 QTV458972 QJZ458972 QAD458972 PQH458972 PGL458972 OWP458972 OMT458972 OCX458972 NTB458972 NJF458972 MZJ458972 MPN458972 MFR458972 LVV458972 LLZ458972 LCD458972 KSH458972 KIL458972 JYP458972 JOT458972 JEX458972 IVB458972 ILF458972 IBJ458972 HRN458972 HHR458972 GXV458972 GNZ458972 GED458972 FUH458972 FKL458972 FAP458972 EQT458972 EGX458972 DXB458972 DNF458972 DDJ458972 CTN458972 CJR458972 BZV458972 BPZ458972 BGD458972 AWH458972 AML458972 ACP458972 ST458972 IX458972 B458972 WVJ393436 WLN393436 WBR393436 VRV393436 VHZ393436 UYD393436 UOH393436 UEL393436 TUP393436 TKT393436 TAX393436 SRB393436 SHF393436 RXJ393436 RNN393436 RDR393436 QTV393436 QJZ393436 QAD393436 PQH393436 PGL393436 OWP393436 OMT393436 OCX393436 NTB393436 NJF393436 MZJ393436 MPN393436 MFR393436 LVV393436 LLZ393436 LCD393436 KSH393436 KIL393436 JYP393436 JOT393436 JEX393436 IVB393436 ILF393436 IBJ393436 HRN393436 HHR393436 GXV393436 GNZ393436 GED393436 FUH393436 FKL393436 FAP393436 EQT393436 EGX393436 DXB393436 DNF393436 DDJ393436 CTN393436 CJR393436 BZV393436 BPZ393436 BGD393436 AWH393436 AML393436 ACP393436 ST393436 IX393436 B393436 WVJ327900 WLN327900 WBR327900 VRV327900 VHZ327900 UYD327900 UOH327900 UEL327900 TUP327900 TKT327900 TAX327900 SRB327900 SHF327900 RXJ327900 RNN327900 RDR327900 QTV327900 QJZ327900 QAD327900 PQH327900 PGL327900 OWP327900 OMT327900 OCX327900 NTB327900 NJF327900 MZJ327900 MPN327900 MFR327900 LVV327900 LLZ327900 LCD327900 KSH327900 KIL327900 JYP327900 JOT327900 JEX327900 IVB327900 ILF327900 IBJ327900 HRN327900 HHR327900 GXV327900 GNZ327900 GED327900 FUH327900 FKL327900 FAP327900 EQT327900 EGX327900 DXB327900 DNF327900 DDJ327900 CTN327900 CJR327900 BZV327900 BPZ327900 BGD327900 AWH327900 AML327900 ACP327900 ST327900 IX327900 B327900 WVJ262364 WLN262364 WBR262364 VRV262364 VHZ262364 UYD262364 UOH262364 UEL262364 TUP262364 TKT262364 TAX262364 SRB262364 SHF262364 RXJ262364 RNN262364 RDR262364 QTV262364 QJZ262364 QAD262364 PQH262364 PGL262364 OWP262364 OMT262364 OCX262364 NTB262364 NJF262364 MZJ262364 MPN262364 MFR262364 LVV262364 LLZ262364 LCD262364 KSH262364 KIL262364 JYP262364 JOT262364 JEX262364 IVB262364 ILF262364 IBJ262364 HRN262364 HHR262364 GXV262364 GNZ262364 GED262364 FUH262364 FKL262364 FAP262364 EQT262364 EGX262364 DXB262364 DNF262364 DDJ262364 CTN262364 CJR262364 BZV262364 BPZ262364 BGD262364 AWH262364 AML262364 ACP262364 ST262364 IX262364 B262364 WVJ196828 WLN196828 WBR196828 VRV196828 VHZ196828 UYD196828 UOH196828 UEL196828 TUP196828 TKT196828 TAX196828 SRB196828 SHF196828 RXJ196828 RNN196828 RDR196828 QTV196828 QJZ196828 QAD196828 PQH196828 PGL196828 OWP196828 OMT196828 OCX196828 NTB196828 NJF196828 MZJ196828 MPN196828 MFR196828 LVV196828 LLZ196828 LCD196828 KSH196828 KIL196828 JYP196828 JOT196828 JEX196828 IVB196828 ILF196828 IBJ196828 HRN196828 HHR196828 GXV196828 GNZ196828 GED196828 FUH196828 FKL196828 FAP196828 EQT196828 EGX196828 DXB196828 DNF196828 DDJ196828 CTN196828 CJR196828 BZV196828 BPZ196828 BGD196828 AWH196828 AML196828 ACP196828 ST196828 IX196828 B196828 WVJ131292 WLN131292 WBR131292 VRV131292 VHZ131292 UYD131292 UOH131292 UEL131292 TUP131292 TKT131292 TAX131292 SRB131292 SHF131292 RXJ131292 RNN131292 RDR131292 QTV131292 QJZ131292 QAD131292 PQH131292 PGL131292 OWP131292 OMT131292 OCX131292 NTB131292 NJF131292 MZJ131292 MPN131292 MFR131292 LVV131292 LLZ131292 LCD131292 KSH131292 KIL131292 JYP131292 JOT131292 JEX131292 IVB131292 ILF131292 IBJ131292 HRN131292 HHR131292 GXV131292 GNZ131292 GED131292 FUH131292 FKL131292 FAP131292 EQT131292 EGX131292 DXB131292 DNF131292 DDJ131292 CTN131292 CJR131292 BZV131292 BPZ131292 BGD131292 AWH131292 AML131292 ACP131292 ST131292 IX131292 B131292 WVJ65756 WLN65756 WBR65756 VRV65756 VHZ65756 UYD65756 UOH65756 UEL65756 TUP65756 TKT65756 TAX65756 SRB65756 SHF65756 RXJ65756 RNN65756 RDR65756 QTV65756 QJZ65756 QAD65756 PQH65756 PGL65756 OWP65756 OMT65756 OCX65756 NTB65756 NJF65756 MZJ65756 MPN65756 MFR65756 LVV65756 LLZ65756 LCD65756 KSH65756 KIL65756 JYP65756 JOT65756 JEX65756 IVB65756 ILF65756 IBJ65756 HRN65756 HHR65756 GXV65756 GNZ65756 GED65756 FUH65756 FKL65756 FAP65756 EQT65756 EGX65756 DXB65756 DNF65756 DDJ65756 CTN65756 CJR65756 BZV65756 BPZ65756 BGD65756 AWH65756 AML65756 ACP65756 ST65756 IX65756 B65756 WVJ983185 WLN983185 WBR983185 VRV983185 VHZ983185 UYD983185 UOH983185 UEL983185 TUP983185 TKT983185 TAX983185 SRB983185 SHF983185 RXJ983185 RNN983185 RDR983185 QTV983185 QJZ983185 QAD983185 PQH983185 PGL983185 OWP983185 OMT983185 OCX983185 NTB983185 NJF983185 MZJ983185 MPN983185 MFR983185 LVV983185 LLZ983185 LCD983185 KSH983185 KIL983185 JYP983185 JOT983185 JEX983185 IVB983185 ILF983185 IBJ983185 HRN983185 HHR983185 GXV983185 GNZ983185 GED983185 FUH983185 FKL983185 FAP983185 EQT983185 EGX983185 DXB983185 DNF983185 DDJ983185 CTN983185 CJR983185 BZV983185 BPZ983185 BGD983185 AWH983185 AML983185 ACP983185 ST983185 IX983185 B983185 WVJ917649 WLN917649 WBR917649 VRV917649 VHZ917649 UYD917649 UOH917649 UEL917649 TUP917649 TKT917649 TAX917649 SRB917649 SHF917649 RXJ917649 RNN917649 RDR917649 QTV917649 QJZ917649 QAD917649 PQH917649 PGL917649 OWP917649 OMT917649 OCX917649 NTB917649 NJF917649 MZJ917649 MPN917649 MFR917649 LVV917649 LLZ917649 LCD917649 KSH917649 KIL917649 JYP917649 JOT917649 JEX917649 IVB917649 ILF917649 IBJ917649 HRN917649 HHR917649 GXV917649 GNZ917649 GED917649 FUH917649 FKL917649 FAP917649 EQT917649 EGX917649 DXB917649 DNF917649 DDJ917649 CTN917649 CJR917649 BZV917649 BPZ917649 BGD917649 AWH917649 AML917649 ACP917649 ST917649 IX917649 B917649 WVJ852113 WLN852113 WBR852113 VRV852113 VHZ852113 UYD852113 UOH852113 UEL852113 TUP852113 TKT852113 TAX852113 SRB852113 SHF852113 RXJ852113 RNN852113 RDR852113 QTV852113 QJZ852113 QAD852113 PQH852113 PGL852113 OWP852113 OMT852113 OCX852113 NTB852113 NJF852113 MZJ852113 MPN852113 MFR852113 LVV852113 LLZ852113 LCD852113 KSH852113 KIL852113 JYP852113 JOT852113 JEX852113 IVB852113 ILF852113 IBJ852113 HRN852113 HHR852113 GXV852113 GNZ852113 GED852113 FUH852113 FKL852113 FAP852113 EQT852113 EGX852113 DXB852113 DNF852113 DDJ852113 CTN852113 CJR852113 BZV852113 BPZ852113 BGD852113 AWH852113 AML852113 ACP852113 ST852113 IX852113 B852113 WVJ786577 WLN786577 WBR786577 VRV786577 VHZ786577 UYD786577 UOH786577 UEL786577 TUP786577 TKT786577 TAX786577 SRB786577 SHF786577 RXJ786577 RNN786577 RDR786577 QTV786577 QJZ786577 QAD786577 PQH786577 PGL786577 OWP786577 OMT786577 OCX786577 NTB786577 NJF786577 MZJ786577 MPN786577 MFR786577 LVV786577 LLZ786577 LCD786577 KSH786577 KIL786577 JYP786577 JOT786577 JEX786577 IVB786577 ILF786577 IBJ786577 HRN786577 HHR786577 GXV786577 GNZ786577 GED786577 FUH786577 FKL786577 FAP786577 EQT786577 EGX786577 DXB786577 DNF786577 DDJ786577 CTN786577 CJR786577 BZV786577 BPZ786577 BGD786577 AWH786577 AML786577 ACP786577 ST786577 IX786577 B786577 WVJ721041 WLN721041 WBR721041 VRV721041 VHZ721041 UYD721041 UOH721041 UEL721041 TUP721041 TKT721041 TAX721041 SRB721041 SHF721041 RXJ721041 RNN721041 RDR721041 QTV721041 QJZ721041 QAD721041 PQH721041 PGL721041 OWP721041 OMT721041 OCX721041 NTB721041 NJF721041 MZJ721041 MPN721041 MFR721041 LVV721041 LLZ721041 LCD721041 KSH721041 KIL721041 JYP721041 JOT721041 JEX721041 IVB721041 ILF721041 IBJ721041 HRN721041 HHR721041 GXV721041 GNZ721041 GED721041 FUH721041 FKL721041 FAP721041 EQT721041 EGX721041 DXB721041 DNF721041 DDJ721041 CTN721041 CJR721041 BZV721041 BPZ721041 BGD721041 AWH721041 AML721041 ACP721041 ST721041 IX721041 B721041 WVJ655505 WLN655505 WBR655505 VRV655505 VHZ655505 UYD655505 UOH655505 UEL655505 TUP655505 TKT655505 TAX655505 SRB655505 SHF655505 RXJ655505 RNN655505 RDR655505 QTV655505 QJZ655505 QAD655505 PQH655505 PGL655505 OWP655505 OMT655505 OCX655505 NTB655505 NJF655505 MZJ655505 MPN655505 MFR655505 LVV655505 LLZ655505 LCD655505 KSH655505 KIL655505 JYP655505 JOT655505 JEX655505 IVB655505 ILF655505 IBJ655505 HRN655505 HHR655505 GXV655505 GNZ655505 GED655505 FUH655505 FKL655505 FAP655505 EQT655505 EGX655505 DXB655505 DNF655505 DDJ655505 CTN655505 CJR655505 BZV655505 BPZ655505 BGD655505 AWH655505 AML655505 ACP655505 ST655505 IX655505 B655505 WVJ589969 WLN589969 WBR589969 VRV589969 VHZ589969 UYD589969 UOH589969 UEL589969 TUP589969 TKT589969 TAX589969 SRB589969 SHF589969 RXJ589969 RNN589969 RDR589969 QTV589969 QJZ589969 QAD589969 PQH589969 PGL589969 OWP589969 OMT589969 OCX589969 NTB589969 NJF589969 MZJ589969 MPN589969 MFR589969 LVV589969 LLZ589969 LCD589969 KSH589969 KIL589969 JYP589969 JOT589969 JEX589969 IVB589969 ILF589969 IBJ589969 HRN589969 HHR589969 GXV589969 GNZ589969 GED589969 FUH589969 FKL589969 FAP589969 EQT589969 EGX589969 DXB589969 DNF589969 DDJ589969 CTN589969 CJR589969 BZV589969 BPZ589969 BGD589969 AWH589969 AML589969 ACP589969 ST589969 IX589969 B589969 WVJ524433 WLN524433 WBR524433 VRV524433 VHZ524433 UYD524433 UOH524433 UEL524433 TUP524433 TKT524433 TAX524433 SRB524433 SHF524433 RXJ524433 RNN524433 RDR524433 QTV524433 QJZ524433 QAD524433 PQH524433 PGL524433 OWP524433 OMT524433 OCX524433 NTB524433 NJF524433 MZJ524433 MPN524433 MFR524433 LVV524433 LLZ524433 LCD524433 KSH524433 KIL524433 JYP524433 JOT524433 JEX524433 IVB524433 ILF524433 IBJ524433 HRN524433 HHR524433 GXV524433 GNZ524433 GED524433 FUH524433 FKL524433 FAP524433 EQT524433 EGX524433 DXB524433 DNF524433 DDJ524433 CTN524433 CJR524433 BZV524433 BPZ524433 BGD524433 AWH524433 AML524433 ACP524433 ST524433 IX524433 B524433 WVJ458897 WLN458897 WBR458897 VRV458897 VHZ458897 UYD458897 UOH458897 UEL458897 TUP458897 TKT458897 TAX458897 SRB458897 SHF458897 RXJ458897 RNN458897 RDR458897 QTV458897 QJZ458897 QAD458897 PQH458897 PGL458897 OWP458897 OMT458897 OCX458897 NTB458897 NJF458897 MZJ458897 MPN458897 MFR458897 LVV458897 LLZ458897 LCD458897 KSH458897 KIL458897 JYP458897 JOT458897 JEX458897 IVB458897 ILF458897 IBJ458897 HRN458897 HHR458897 GXV458897 GNZ458897 GED458897 FUH458897 FKL458897 FAP458897 EQT458897 EGX458897 DXB458897 DNF458897 DDJ458897 CTN458897 CJR458897 BZV458897 BPZ458897 BGD458897 AWH458897 AML458897 ACP458897 ST458897 IX458897 B458897 WVJ393361 WLN393361 WBR393361 VRV393361 VHZ393361 UYD393361 UOH393361 UEL393361 TUP393361 TKT393361 TAX393361 SRB393361 SHF393361 RXJ393361 RNN393361 RDR393361 QTV393361 QJZ393361 QAD393361 PQH393361 PGL393361 OWP393361 OMT393361 OCX393361 NTB393361 NJF393361 MZJ393361 MPN393361 MFR393361 LVV393361 LLZ393361 LCD393361 KSH393361 KIL393361 JYP393361 JOT393361 JEX393361 IVB393361 ILF393361 IBJ393361 HRN393361 HHR393361 GXV393361 GNZ393361 GED393361 FUH393361 FKL393361 FAP393361 EQT393361 EGX393361 DXB393361 DNF393361 DDJ393361 CTN393361 CJR393361 BZV393361 BPZ393361 BGD393361 AWH393361 AML393361 ACP393361 ST393361 IX393361 B393361 WVJ327825 WLN327825 WBR327825 VRV327825 VHZ327825 UYD327825 UOH327825 UEL327825 TUP327825 TKT327825 TAX327825 SRB327825 SHF327825 RXJ327825 RNN327825 RDR327825 QTV327825 QJZ327825 QAD327825 PQH327825 PGL327825 OWP327825 OMT327825 OCX327825 NTB327825 NJF327825 MZJ327825 MPN327825 MFR327825 LVV327825 LLZ327825 LCD327825 KSH327825 KIL327825 JYP327825 JOT327825 JEX327825 IVB327825 ILF327825 IBJ327825 HRN327825 HHR327825 GXV327825 GNZ327825 GED327825 FUH327825 FKL327825 FAP327825 EQT327825 EGX327825 DXB327825 DNF327825 DDJ327825 CTN327825 CJR327825 BZV327825 BPZ327825 BGD327825 AWH327825 AML327825 ACP327825 ST327825 IX327825 B327825 WVJ262289 WLN262289 WBR262289 VRV262289 VHZ262289 UYD262289 UOH262289 UEL262289 TUP262289 TKT262289 TAX262289 SRB262289 SHF262289 RXJ262289 RNN262289 RDR262289 QTV262289 QJZ262289 QAD262289 PQH262289 PGL262289 OWP262289 OMT262289 OCX262289 NTB262289 NJF262289 MZJ262289 MPN262289 MFR262289 LVV262289 LLZ262289 LCD262289 KSH262289 KIL262289 JYP262289 JOT262289 JEX262289 IVB262289 ILF262289 IBJ262289 HRN262289 HHR262289 GXV262289 GNZ262289 GED262289 FUH262289 FKL262289 FAP262289 EQT262289 EGX262289 DXB262289 DNF262289 DDJ262289 CTN262289 CJR262289 BZV262289 BPZ262289 BGD262289 AWH262289 AML262289 ACP262289 ST262289 IX262289 B262289 WVJ196753 WLN196753 WBR196753 VRV196753 VHZ196753 UYD196753 UOH196753 UEL196753 TUP196753 TKT196753 TAX196753 SRB196753 SHF196753 RXJ196753 RNN196753 RDR196753 QTV196753 QJZ196753 QAD196753 PQH196753 PGL196753 OWP196753 OMT196753 OCX196753 NTB196753 NJF196753 MZJ196753 MPN196753 MFR196753 LVV196753 LLZ196753 LCD196753 KSH196753 KIL196753 JYP196753 JOT196753 JEX196753 IVB196753 ILF196753 IBJ196753 HRN196753 HHR196753 GXV196753 GNZ196753 GED196753 FUH196753 FKL196753 FAP196753 EQT196753 EGX196753 DXB196753 DNF196753 DDJ196753 CTN196753 CJR196753 BZV196753 BPZ196753 BGD196753 AWH196753 AML196753 ACP196753 ST196753 IX196753 B196753 WVJ131217 WLN131217 WBR131217 VRV131217 VHZ131217 UYD131217 UOH131217 UEL131217 TUP131217 TKT131217 TAX131217 SRB131217 SHF131217 RXJ131217 RNN131217 RDR131217 QTV131217 QJZ131217 QAD131217 PQH131217 PGL131217 OWP131217 OMT131217 OCX131217 NTB131217 NJF131217 MZJ131217 MPN131217 MFR131217 LVV131217 LLZ131217 LCD131217 KSH131217 KIL131217 JYP131217 JOT131217 JEX131217 IVB131217 ILF131217 IBJ131217 HRN131217 HHR131217 GXV131217 GNZ131217 GED131217 FUH131217 FKL131217 FAP131217 EQT131217 EGX131217 DXB131217 DNF131217 DDJ131217 CTN131217 CJR131217 BZV131217 BPZ131217 BGD131217 AWH131217 AML131217 ACP131217 ST131217 IX131217 B131217 WVJ65681 WLN65681 WBR65681 VRV65681 VHZ65681 UYD65681 UOH65681 UEL65681 TUP65681 TKT65681 TAX65681 SRB65681 SHF65681 RXJ65681 RNN65681 RDR65681 QTV65681 QJZ65681 QAD65681 PQH65681 PGL65681 OWP65681 OMT65681 OCX65681 NTB65681 NJF65681 MZJ65681 MPN65681 MFR65681 LVV65681 LLZ65681 LCD65681 KSH65681 KIL65681 JYP65681 JOT65681 JEX65681 IVB65681 ILF65681 IBJ65681 HRN65681 HHR65681 GXV65681 GNZ65681 GED65681 FUH65681 FKL65681 FAP65681 EQT65681 EGX65681 DXB65681 DNF65681 DDJ65681 CTN65681 CJR65681 BZV65681 BPZ65681 BGD65681 AWH65681 AML65681 ACP65681 ST65681 IX65681 B65681 WVJ227 WLN227 WBR227 VRV227 VHZ227 UYD227 UOH227 UEL227 TUP227 TKT227 TAX227 SRB227 SHF227 RXJ227 RNN227 RDR227 QTV227 QJZ227 QAD227 PQH227 PGL227 OWP227 OMT227 OCX227 NTB227 NJF227 MZJ227 MPN227 MFR227 LVV227 LLZ227 LCD227 KSH227 KIL227 JYP227 JOT227 JEX227 IVB227 ILF227 IBJ227 HRN227 HHR227 GXV227 GNZ227 GED227 FUH227 FKL227 FAP227 EQT227 EGX227 DXB227 DNF227 DDJ227 CTN227 CJR227 BZV227 BPZ227 BGD227 AWH227 AML227 ACP227 ST227 IX227 BPZ137 WVJ983170 WLN983170 WBR983170 VRV983170 VHZ983170 UYD983170 UOH983170 UEL983170 TUP983170 TKT983170 TAX983170 SRB983170 SHF983170 RXJ983170 RNN983170 RDR983170 QTV983170 QJZ983170 QAD983170 PQH983170 PGL983170 OWP983170 OMT983170 OCX983170 NTB983170 NJF983170 MZJ983170 MPN983170 MFR983170 LVV983170 LLZ983170 LCD983170 KSH983170 KIL983170 JYP983170 JOT983170 JEX983170 IVB983170 ILF983170 IBJ983170 HRN983170 HHR983170 GXV983170 GNZ983170 GED983170 FUH983170 FKL983170 FAP983170 EQT983170 EGX983170 DXB983170 DNF983170 DDJ983170 CTN983170 CJR983170 BZV983170 BPZ983170 BGD983170 AWH983170 AML983170 ACP983170 ST983170 IX983170 B983170 WVJ917634 WLN917634 WBR917634 VRV917634 VHZ917634 UYD917634 UOH917634 UEL917634 TUP917634 TKT917634 TAX917634 SRB917634 SHF917634 RXJ917634 RNN917634 RDR917634 QTV917634 QJZ917634 QAD917634 PQH917634 PGL917634 OWP917634 OMT917634 OCX917634 NTB917634 NJF917634 MZJ917634 MPN917634 MFR917634 LVV917634 LLZ917634 LCD917634 KSH917634 KIL917634 JYP917634 JOT917634 JEX917634 IVB917634 ILF917634 IBJ917634 HRN917634 HHR917634 GXV917634 GNZ917634 GED917634 FUH917634 FKL917634 FAP917634 EQT917634 EGX917634 DXB917634 DNF917634 DDJ917634 CTN917634 CJR917634 BZV917634 BPZ917634 BGD917634 AWH917634 AML917634 ACP917634 ST917634 IX917634 B917634 WVJ852098 WLN852098 WBR852098 VRV852098 VHZ852098 UYD852098 UOH852098 UEL852098 TUP852098 TKT852098 TAX852098 SRB852098 SHF852098 RXJ852098 RNN852098 RDR852098 QTV852098 QJZ852098 QAD852098 PQH852098 PGL852098 OWP852098 OMT852098 OCX852098 NTB852098 NJF852098 MZJ852098 MPN852098 MFR852098 LVV852098 LLZ852098 LCD852098 KSH852098 KIL852098 JYP852098 JOT852098 JEX852098 IVB852098 ILF852098 IBJ852098 HRN852098 HHR852098 GXV852098 GNZ852098 GED852098 FUH852098 FKL852098 FAP852098 EQT852098 EGX852098 DXB852098 DNF852098 DDJ852098 CTN852098 CJR852098 BZV852098 BPZ852098 BGD852098 AWH852098 AML852098 ACP852098 ST852098 IX852098 B852098 WVJ786562 WLN786562 WBR786562 VRV786562 VHZ786562 UYD786562 UOH786562 UEL786562 TUP786562 TKT786562 TAX786562 SRB786562 SHF786562 RXJ786562 RNN786562 RDR786562 QTV786562 QJZ786562 QAD786562 PQH786562 PGL786562 OWP786562 OMT786562 OCX786562 NTB786562 NJF786562 MZJ786562 MPN786562 MFR786562 LVV786562 LLZ786562 LCD786562 KSH786562 KIL786562 JYP786562 JOT786562 JEX786562 IVB786562 ILF786562 IBJ786562 HRN786562 HHR786562 GXV786562 GNZ786562 GED786562 FUH786562 FKL786562 FAP786562 EQT786562 EGX786562 DXB786562 DNF786562 DDJ786562 CTN786562 CJR786562 BZV786562 BPZ786562 BGD786562 AWH786562 AML786562 ACP786562 ST786562 IX786562 B786562 WVJ721026 WLN721026 WBR721026 VRV721026 VHZ721026 UYD721026 UOH721026 UEL721026 TUP721026 TKT721026 TAX721026 SRB721026 SHF721026 RXJ721026 RNN721026 RDR721026 QTV721026 QJZ721026 QAD721026 PQH721026 PGL721026 OWP721026 OMT721026 OCX721026 NTB721026 NJF721026 MZJ721026 MPN721026 MFR721026 LVV721026 LLZ721026 LCD721026 KSH721026 KIL721026 JYP721026 JOT721026 JEX721026 IVB721026 ILF721026 IBJ721026 HRN721026 HHR721026 GXV721026 GNZ721026 GED721026 FUH721026 FKL721026 FAP721026 EQT721026 EGX721026 DXB721026 DNF721026 DDJ721026 CTN721026 CJR721026 BZV721026 BPZ721026 BGD721026 AWH721026 AML721026 ACP721026 ST721026 IX721026 B721026 WVJ655490 WLN655490 WBR655490 VRV655490 VHZ655490 UYD655490 UOH655490 UEL655490 TUP655490 TKT655490 TAX655490 SRB655490 SHF655490 RXJ655490 RNN655490 RDR655490 QTV655490 QJZ655490 QAD655490 PQH655490 PGL655490 OWP655490 OMT655490 OCX655490 NTB655490 NJF655490 MZJ655490 MPN655490 MFR655490 LVV655490 LLZ655490 LCD655490 KSH655490 KIL655490 JYP655490 JOT655490 JEX655490 IVB655490 ILF655490 IBJ655490 HRN655490 HHR655490 GXV655490 GNZ655490 GED655490 FUH655490 FKL655490 FAP655490 EQT655490 EGX655490 DXB655490 DNF655490 DDJ655490 CTN655490 CJR655490 BZV655490 BPZ655490 BGD655490 AWH655490 AML655490 ACP655490 ST655490 IX655490 B655490 WVJ589954 WLN589954 WBR589954 VRV589954 VHZ589954 UYD589954 UOH589954 UEL589954 TUP589954 TKT589954 TAX589954 SRB589954 SHF589954 RXJ589954 RNN589954 RDR589954 QTV589954 QJZ589954 QAD589954 PQH589954 PGL589954 OWP589954 OMT589954 OCX589954 NTB589954 NJF589954 MZJ589954 MPN589954 MFR589954 LVV589954 LLZ589954 LCD589954 KSH589954 KIL589954 JYP589954 JOT589954 JEX589954 IVB589954 ILF589954 IBJ589954 HRN589954 HHR589954 GXV589954 GNZ589954 GED589954 FUH589954 FKL589954 FAP589954 EQT589954 EGX589954 DXB589954 DNF589954 DDJ589954 CTN589954 CJR589954 BZV589954 BPZ589954 BGD589954 AWH589954 AML589954 ACP589954 ST589954 IX589954 B589954 WVJ524418 WLN524418 WBR524418 VRV524418 VHZ524418 UYD524418 UOH524418 UEL524418 TUP524418 TKT524418 TAX524418 SRB524418 SHF524418 RXJ524418 RNN524418 RDR524418 QTV524418 QJZ524418 QAD524418 PQH524418 PGL524418 OWP524418 OMT524418 OCX524418 NTB524418 NJF524418 MZJ524418 MPN524418 MFR524418 LVV524418 LLZ524418 LCD524418 KSH524418 KIL524418 JYP524418 JOT524418 JEX524418 IVB524418 ILF524418 IBJ524418 HRN524418 HHR524418 GXV524418 GNZ524418 GED524418 FUH524418 FKL524418 FAP524418 EQT524418 EGX524418 DXB524418 DNF524418 DDJ524418 CTN524418 CJR524418 BZV524418 BPZ524418 BGD524418 AWH524418 AML524418 ACP524418 ST524418 IX524418 B524418 WVJ458882 WLN458882 WBR458882 VRV458882 VHZ458882 UYD458882 UOH458882 UEL458882 TUP458882 TKT458882 TAX458882 SRB458882 SHF458882 RXJ458882 RNN458882 RDR458882 QTV458882 QJZ458882 QAD458882 PQH458882 PGL458882 OWP458882 OMT458882 OCX458882 NTB458882 NJF458882 MZJ458882 MPN458882 MFR458882 LVV458882 LLZ458882 LCD458882 KSH458882 KIL458882 JYP458882 JOT458882 JEX458882 IVB458882 ILF458882 IBJ458882 HRN458882 HHR458882 GXV458882 GNZ458882 GED458882 FUH458882 FKL458882 FAP458882 EQT458882 EGX458882 DXB458882 DNF458882 DDJ458882 CTN458882 CJR458882 BZV458882 BPZ458882 BGD458882 AWH458882 AML458882 ACP458882 ST458882 IX458882 B458882 WVJ393346 WLN393346 WBR393346 VRV393346 VHZ393346 UYD393346 UOH393346 UEL393346 TUP393346 TKT393346 TAX393346 SRB393346 SHF393346 RXJ393346 RNN393346 RDR393346 QTV393346 QJZ393346 QAD393346 PQH393346 PGL393346 OWP393346 OMT393346 OCX393346 NTB393346 NJF393346 MZJ393346 MPN393346 MFR393346 LVV393346 LLZ393346 LCD393346 KSH393346 KIL393346 JYP393346 JOT393346 JEX393346 IVB393346 ILF393346 IBJ393346 HRN393346 HHR393346 GXV393346 GNZ393346 GED393346 FUH393346 FKL393346 FAP393346 EQT393346 EGX393346 DXB393346 DNF393346 DDJ393346 CTN393346 CJR393346 BZV393346 BPZ393346 BGD393346 AWH393346 AML393346 ACP393346 ST393346 IX393346 B393346 WVJ327810 WLN327810 WBR327810 VRV327810 VHZ327810 UYD327810 UOH327810 UEL327810 TUP327810 TKT327810 TAX327810 SRB327810 SHF327810 RXJ327810 RNN327810 RDR327810 QTV327810 QJZ327810 QAD327810 PQH327810 PGL327810 OWP327810 OMT327810 OCX327810 NTB327810 NJF327810 MZJ327810 MPN327810 MFR327810 LVV327810 LLZ327810 LCD327810 KSH327810 KIL327810 JYP327810 JOT327810 JEX327810 IVB327810 ILF327810 IBJ327810 HRN327810 HHR327810 GXV327810 GNZ327810 GED327810 FUH327810 FKL327810 FAP327810 EQT327810 EGX327810 DXB327810 DNF327810 DDJ327810 CTN327810 CJR327810 BZV327810 BPZ327810 BGD327810 AWH327810 AML327810 ACP327810 ST327810 IX327810 B327810 WVJ262274 WLN262274 WBR262274 VRV262274 VHZ262274 UYD262274 UOH262274 UEL262274 TUP262274 TKT262274 TAX262274 SRB262274 SHF262274 RXJ262274 RNN262274 RDR262274 QTV262274 QJZ262274 QAD262274 PQH262274 PGL262274 OWP262274 OMT262274 OCX262274 NTB262274 NJF262274 MZJ262274 MPN262274 MFR262274 LVV262274 LLZ262274 LCD262274 KSH262274 KIL262274 JYP262274 JOT262274 JEX262274 IVB262274 ILF262274 IBJ262274 HRN262274 HHR262274 GXV262274 GNZ262274 GED262274 FUH262274 FKL262274 FAP262274 EQT262274 EGX262274 DXB262274 DNF262274 DDJ262274 CTN262274 CJR262274 BZV262274 BPZ262274 BGD262274 AWH262274 AML262274 ACP262274 ST262274 IX262274 B262274 WVJ196738 WLN196738 WBR196738 VRV196738 VHZ196738 UYD196738 UOH196738 UEL196738 TUP196738 TKT196738 TAX196738 SRB196738 SHF196738 RXJ196738 RNN196738 RDR196738 QTV196738 QJZ196738 QAD196738 PQH196738 PGL196738 OWP196738 OMT196738 OCX196738 NTB196738 NJF196738 MZJ196738 MPN196738 MFR196738 LVV196738 LLZ196738 LCD196738 KSH196738 KIL196738 JYP196738 JOT196738 JEX196738 IVB196738 ILF196738 IBJ196738 HRN196738 HHR196738 GXV196738 GNZ196738 GED196738 FUH196738 FKL196738 FAP196738 EQT196738 EGX196738 DXB196738 DNF196738 DDJ196738 CTN196738 CJR196738 BZV196738 BPZ196738 BGD196738 AWH196738 AML196738 ACP196738 ST196738 IX196738 B196738 WVJ131202 WLN131202 WBR131202 VRV131202 VHZ131202 UYD131202 UOH131202 UEL131202 TUP131202 TKT131202 TAX131202 SRB131202 SHF131202 RXJ131202 RNN131202 RDR131202 QTV131202 QJZ131202 QAD131202 PQH131202 PGL131202 OWP131202 OMT131202 OCX131202 NTB131202 NJF131202 MZJ131202 MPN131202 MFR131202 LVV131202 LLZ131202 LCD131202 KSH131202 KIL131202 JYP131202 JOT131202 JEX131202 IVB131202 ILF131202 IBJ131202 HRN131202 HHR131202 GXV131202 GNZ131202 GED131202 FUH131202 FKL131202 FAP131202 EQT131202 EGX131202 DXB131202 DNF131202 DDJ131202 CTN131202 CJR131202 BZV131202 BPZ131202 BGD131202 AWH131202 AML131202 ACP131202 ST131202 IX131202 B131202 WVJ65666 WLN65666 WBR65666 VRV65666 VHZ65666 UYD65666 UOH65666 UEL65666 TUP65666 TKT65666 TAX65666 SRB65666 SHF65666 RXJ65666 RNN65666 RDR65666 QTV65666 QJZ65666 QAD65666 PQH65666 PGL65666 OWP65666 OMT65666 OCX65666 NTB65666 NJF65666 MZJ65666 MPN65666 MFR65666 LVV65666 LLZ65666 LCD65666 KSH65666 KIL65666 JYP65666 JOT65666 JEX65666 IVB65666 ILF65666 IBJ65666 HRN65666 HHR65666 GXV65666 GNZ65666 GED65666 FUH65666 FKL65666 FAP65666 EQT65666 EGX65666 DXB65666 DNF65666 DDJ65666 CTN65666 CJR65666 BZV65666 BPZ65666 BGD65666 AWH65666 AML65666 ACP65666 ST65666 IX65666 B65666 WVJ212 WLN212 WBR212 VRV212 VHZ212 UYD212 UOH212 UEL212 TUP212 TKT212 TAX212 SRB212 SHF212 RXJ212 RNN212 RDR212 QTV212 QJZ212 QAD212 PQH212 PGL212 OWP212 OMT212 OCX212 NTB212 NJF212 MZJ212 MPN212 MFR212 LVV212 LLZ212 LCD212 KSH212 KIL212 JYP212 JOT212 JEX212 IVB212 ILF212 IBJ212 HRN212 HHR212 GXV212 GNZ212 GED212 FUH212 FKL212 FAP212 EQT212 EGX212 DXB212 DNF212 DDJ212 CTN212 CJR212 BZV212 BPZ212 BGD212 AWH212 AML212 ACP212 ST212 IX212 BGD137 WVJ983155 WLN983155 WBR983155 VRV983155 VHZ983155 UYD983155 UOH983155 UEL983155 TUP983155 TKT983155 TAX983155 SRB983155 SHF983155 RXJ983155 RNN983155 RDR983155 QTV983155 QJZ983155 QAD983155 PQH983155 PGL983155 OWP983155 OMT983155 OCX983155 NTB983155 NJF983155 MZJ983155 MPN983155 MFR983155 LVV983155 LLZ983155 LCD983155 KSH983155 KIL983155 JYP983155 JOT983155 JEX983155 IVB983155 ILF983155 IBJ983155 HRN983155 HHR983155 GXV983155 GNZ983155 GED983155 FUH983155 FKL983155 FAP983155 EQT983155 EGX983155 DXB983155 DNF983155 DDJ983155 CTN983155 CJR983155 BZV983155 BPZ983155 BGD983155 AWH983155 AML983155 ACP983155 ST983155 IX983155 B983155 WVJ917619 WLN917619 WBR917619 VRV917619 VHZ917619 UYD917619 UOH917619 UEL917619 TUP917619 TKT917619 TAX917619 SRB917619 SHF917619 RXJ917619 RNN917619 RDR917619 QTV917619 QJZ917619 QAD917619 PQH917619 PGL917619 OWP917619 OMT917619 OCX917619 NTB917619 NJF917619 MZJ917619 MPN917619 MFR917619 LVV917619 LLZ917619 LCD917619 KSH917619 KIL917619 JYP917619 JOT917619 JEX917619 IVB917619 ILF917619 IBJ917619 HRN917619 HHR917619 GXV917619 GNZ917619 GED917619 FUH917619 FKL917619 FAP917619 EQT917619 EGX917619 DXB917619 DNF917619 DDJ917619 CTN917619 CJR917619 BZV917619 BPZ917619 BGD917619 AWH917619 AML917619 ACP917619 ST917619 IX917619 B917619 WVJ852083 WLN852083 WBR852083 VRV852083 VHZ852083 UYD852083 UOH852083 UEL852083 TUP852083 TKT852083 TAX852083 SRB852083 SHF852083 RXJ852083 RNN852083 RDR852083 QTV852083 QJZ852083 QAD852083 PQH852083 PGL852083 OWP852083 OMT852083 OCX852083 NTB852083 NJF852083 MZJ852083 MPN852083 MFR852083 LVV852083 LLZ852083 LCD852083 KSH852083 KIL852083 JYP852083 JOT852083 JEX852083 IVB852083 ILF852083 IBJ852083 HRN852083 HHR852083 GXV852083 GNZ852083 GED852083 FUH852083 FKL852083 FAP852083 EQT852083 EGX852083 DXB852083 DNF852083 DDJ852083 CTN852083 CJR852083 BZV852083 BPZ852083 BGD852083 AWH852083 AML852083 ACP852083 ST852083 IX852083 B852083 WVJ786547 WLN786547 WBR786547 VRV786547 VHZ786547 UYD786547 UOH786547 UEL786547 TUP786547 TKT786547 TAX786547 SRB786547 SHF786547 RXJ786547 RNN786547 RDR786547 QTV786547 QJZ786547 QAD786547 PQH786547 PGL786547 OWP786547 OMT786547 OCX786547 NTB786547 NJF786547 MZJ786547 MPN786547 MFR786547 LVV786547 LLZ786547 LCD786547 KSH786547 KIL786547 JYP786547 JOT786547 JEX786547 IVB786547 ILF786547 IBJ786547 HRN786547 HHR786547 GXV786547 GNZ786547 GED786547 FUH786547 FKL786547 FAP786547 EQT786547 EGX786547 DXB786547 DNF786547 DDJ786547 CTN786547 CJR786547 BZV786547 BPZ786547 BGD786547 AWH786547 AML786547 ACP786547 ST786547 IX786547 B786547 WVJ721011 WLN721011 WBR721011 VRV721011 VHZ721011 UYD721011 UOH721011 UEL721011 TUP721011 TKT721011 TAX721011 SRB721011 SHF721011 RXJ721011 RNN721011 RDR721011 QTV721011 QJZ721011 QAD721011 PQH721011 PGL721011 OWP721011 OMT721011 OCX721011 NTB721011 NJF721011 MZJ721011 MPN721011 MFR721011 LVV721011 LLZ721011 LCD721011 KSH721011 KIL721011 JYP721011 JOT721011 JEX721011 IVB721011 ILF721011 IBJ721011 HRN721011 HHR721011 GXV721011 GNZ721011 GED721011 FUH721011 FKL721011 FAP721011 EQT721011 EGX721011 DXB721011 DNF721011 DDJ721011 CTN721011 CJR721011 BZV721011 BPZ721011 BGD721011 AWH721011 AML721011 ACP721011 ST721011 IX721011 B721011 WVJ655475 WLN655475 WBR655475 VRV655475 VHZ655475 UYD655475 UOH655475 UEL655475 TUP655475 TKT655475 TAX655475 SRB655475 SHF655475 RXJ655475 RNN655475 RDR655475 QTV655475 QJZ655475 QAD655475 PQH655475 PGL655475 OWP655475 OMT655475 OCX655475 NTB655475 NJF655475 MZJ655475 MPN655475 MFR655475 LVV655475 LLZ655475 LCD655475 KSH655475 KIL655475 JYP655475 JOT655475 JEX655475 IVB655475 ILF655475 IBJ655475 HRN655475 HHR655475 GXV655475 GNZ655475 GED655475 FUH655475 FKL655475 FAP655475 EQT655475 EGX655475 DXB655475 DNF655475 DDJ655475 CTN655475 CJR655475 BZV655475 BPZ655475 BGD655475 AWH655475 AML655475 ACP655475 ST655475 IX655475 B655475 WVJ589939 WLN589939 WBR589939 VRV589939 VHZ589939 UYD589939 UOH589939 UEL589939 TUP589939 TKT589939 TAX589939 SRB589939 SHF589939 RXJ589939 RNN589939 RDR589939 QTV589939 QJZ589939 QAD589939 PQH589939 PGL589939 OWP589939 OMT589939 OCX589939 NTB589939 NJF589939 MZJ589939 MPN589939 MFR589939 LVV589939 LLZ589939 LCD589939 KSH589939 KIL589939 JYP589939 JOT589939 JEX589939 IVB589939 ILF589939 IBJ589939 HRN589939 HHR589939 GXV589939 GNZ589939 GED589939 FUH589939 FKL589939 FAP589939 EQT589939 EGX589939 DXB589939 DNF589939 DDJ589939 CTN589939 CJR589939 BZV589939 BPZ589939 BGD589939 AWH589939 AML589939 ACP589939 ST589939 IX589939 B589939 WVJ524403 WLN524403 WBR524403 VRV524403 VHZ524403 UYD524403 UOH524403 UEL524403 TUP524403 TKT524403 TAX524403 SRB524403 SHF524403 RXJ524403 RNN524403 RDR524403 QTV524403 QJZ524403 QAD524403 PQH524403 PGL524403 OWP524403 OMT524403 OCX524403 NTB524403 NJF524403 MZJ524403 MPN524403 MFR524403 LVV524403 LLZ524403 LCD524403 KSH524403 KIL524403 JYP524403 JOT524403 JEX524403 IVB524403 ILF524403 IBJ524403 HRN524403 HHR524403 GXV524403 GNZ524403 GED524403 FUH524403 FKL524403 FAP524403 EQT524403 EGX524403 DXB524403 DNF524403 DDJ524403 CTN524403 CJR524403 BZV524403 BPZ524403 BGD524403 AWH524403 AML524403 ACP524403 ST524403 IX524403 B524403 WVJ458867 WLN458867 WBR458867 VRV458867 VHZ458867 UYD458867 UOH458867 UEL458867 TUP458867 TKT458867 TAX458867 SRB458867 SHF458867 RXJ458867 RNN458867 RDR458867 QTV458867 QJZ458867 QAD458867 PQH458867 PGL458867 OWP458867 OMT458867 OCX458867 NTB458867 NJF458867 MZJ458867 MPN458867 MFR458867 LVV458867 LLZ458867 LCD458867 KSH458867 KIL458867 JYP458867 JOT458867 JEX458867 IVB458867 ILF458867 IBJ458867 HRN458867 HHR458867 GXV458867 GNZ458867 GED458867 FUH458867 FKL458867 FAP458867 EQT458867 EGX458867 DXB458867 DNF458867 DDJ458867 CTN458867 CJR458867 BZV458867 BPZ458867 BGD458867 AWH458867 AML458867 ACP458867 ST458867 IX458867 B458867 WVJ393331 WLN393331 WBR393331 VRV393331 VHZ393331 UYD393331 UOH393331 UEL393331 TUP393331 TKT393331 TAX393331 SRB393331 SHF393331 RXJ393331 RNN393331 RDR393331 QTV393331 QJZ393331 QAD393331 PQH393331 PGL393331 OWP393331 OMT393331 OCX393331 NTB393331 NJF393331 MZJ393331 MPN393331 MFR393331 LVV393331 LLZ393331 LCD393331 KSH393331 KIL393331 JYP393331 JOT393331 JEX393331 IVB393331 ILF393331 IBJ393331 HRN393331 HHR393331 GXV393331 GNZ393331 GED393331 FUH393331 FKL393331 FAP393331 EQT393331 EGX393331 DXB393331 DNF393331 DDJ393331 CTN393331 CJR393331 BZV393331 BPZ393331 BGD393331 AWH393331 AML393331 ACP393331 ST393331 IX393331 B393331 WVJ327795 WLN327795 WBR327795 VRV327795 VHZ327795 UYD327795 UOH327795 UEL327795 TUP327795 TKT327795 TAX327795 SRB327795 SHF327795 RXJ327795 RNN327795 RDR327795 QTV327795 QJZ327795 QAD327795 PQH327795 PGL327795 OWP327795 OMT327795 OCX327795 NTB327795 NJF327795 MZJ327795 MPN327795 MFR327795 LVV327795 LLZ327795 LCD327795 KSH327795 KIL327795 JYP327795 JOT327795 JEX327795 IVB327795 ILF327795 IBJ327795 HRN327795 HHR327795 GXV327795 GNZ327795 GED327795 FUH327795 FKL327795 FAP327795 EQT327795 EGX327795 DXB327795 DNF327795 DDJ327795 CTN327795 CJR327795 BZV327795 BPZ327795 BGD327795 AWH327795 AML327795 ACP327795 ST327795 IX327795 B327795 WVJ262259 WLN262259 WBR262259 VRV262259 VHZ262259 UYD262259 UOH262259 UEL262259 TUP262259 TKT262259 TAX262259 SRB262259 SHF262259 RXJ262259 RNN262259 RDR262259 QTV262259 QJZ262259 QAD262259 PQH262259 PGL262259 OWP262259 OMT262259 OCX262259 NTB262259 NJF262259 MZJ262259 MPN262259 MFR262259 LVV262259 LLZ262259 LCD262259 KSH262259 KIL262259 JYP262259 JOT262259 JEX262259 IVB262259 ILF262259 IBJ262259 HRN262259 HHR262259 GXV262259 GNZ262259 GED262259 FUH262259 FKL262259 FAP262259 EQT262259 EGX262259 DXB262259 DNF262259 DDJ262259 CTN262259 CJR262259 BZV262259 BPZ262259 BGD262259 AWH262259 AML262259 ACP262259 ST262259 IX262259 B262259 WVJ196723 WLN196723 WBR196723 VRV196723 VHZ196723 UYD196723 UOH196723 UEL196723 TUP196723 TKT196723 TAX196723 SRB196723 SHF196723 RXJ196723 RNN196723 RDR196723 QTV196723 QJZ196723 QAD196723 PQH196723 PGL196723 OWP196723 OMT196723 OCX196723 NTB196723 NJF196723 MZJ196723 MPN196723 MFR196723 LVV196723 LLZ196723 LCD196723 KSH196723 KIL196723 JYP196723 JOT196723 JEX196723 IVB196723 ILF196723 IBJ196723 HRN196723 HHR196723 GXV196723 GNZ196723 GED196723 FUH196723 FKL196723 FAP196723 EQT196723 EGX196723 DXB196723 DNF196723 DDJ196723 CTN196723 CJR196723 BZV196723 BPZ196723 BGD196723 AWH196723 AML196723 ACP196723 ST196723 IX196723 B196723 WVJ131187 WLN131187 WBR131187 VRV131187 VHZ131187 UYD131187 UOH131187 UEL131187 TUP131187 TKT131187 TAX131187 SRB131187 SHF131187 RXJ131187 RNN131187 RDR131187 QTV131187 QJZ131187 QAD131187 PQH131187 PGL131187 OWP131187 OMT131187 OCX131187 NTB131187 NJF131187 MZJ131187 MPN131187 MFR131187 LVV131187 LLZ131187 LCD131187 KSH131187 KIL131187 JYP131187 JOT131187 JEX131187 IVB131187 ILF131187 IBJ131187 HRN131187 HHR131187 GXV131187 GNZ131187 GED131187 FUH131187 FKL131187 FAP131187 EQT131187 EGX131187 DXB131187 DNF131187 DDJ131187 CTN131187 CJR131187 BZV131187 BPZ131187 BGD131187 AWH131187 AML131187 ACP131187 ST131187 IX131187 B131187 WVJ65651 WLN65651 WBR65651 VRV65651 VHZ65651 UYD65651 UOH65651 UEL65651 TUP65651 TKT65651 TAX65651 SRB65651 SHF65651 RXJ65651 RNN65651 RDR65651 QTV65651 QJZ65651 QAD65651 PQH65651 PGL65651 OWP65651 OMT65651 OCX65651 NTB65651 NJF65651 MZJ65651 MPN65651 MFR65651 LVV65651 LLZ65651 LCD65651 KSH65651 KIL65651 JYP65651 JOT65651 JEX65651 IVB65651 ILF65651 IBJ65651 HRN65651 HHR65651 GXV65651 GNZ65651 GED65651 FUH65651 FKL65651 FAP65651 EQT65651 EGX65651 DXB65651 DNF65651 DDJ65651 CTN65651 CJR65651 BZV65651 BPZ65651 BGD65651 AWH65651 AML65651 ACP65651 ST65651 IX65651 B65651 WVJ197 WLN197 WBR197 VRV197 VHZ197 UYD197 UOH197 UEL197 TUP197 TKT197 TAX197 SRB197 SHF197 RXJ197 RNN197 RDR197 QTV197 QJZ197 QAD197 PQH197 PGL197 OWP197 OMT197 OCX197 NTB197 NJF197 MZJ197 MPN197 MFR197 LVV197 LLZ197 LCD197 KSH197 KIL197 JYP197 JOT197 JEX197 IVB197 ILF197 IBJ197 HRN197 HHR197 GXV197 GNZ197 GED197 FUH197 FKL197 FAP197 EQT197 EGX197 DXB197 DNF197 DDJ197 CTN197 CJR197 BZV197 BPZ197 BGD197 AWH197 AML197 ACP197 ST197 IX197 AWH137 WVJ983140 WLN983140 WBR983140 VRV983140 VHZ983140 UYD983140 UOH983140 UEL983140 TUP983140 TKT983140 TAX983140 SRB983140 SHF983140 RXJ983140 RNN983140 RDR983140 QTV983140 QJZ983140 QAD983140 PQH983140 PGL983140 OWP983140 OMT983140 OCX983140 NTB983140 NJF983140 MZJ983140 MPN983140 MFR983140 LVV983140 LLZ983140 LCD983140 KSH983140 KIL983140 JYP983140 JOT983140 JEX983140 IVB983140 ILF983140 IBJ983140 HRN983140 HHR983140 GXV983140 GNZ983140 GED983140 FUH983140 FKL983140 FAP983140 EQT983140 EGX983140 DXB983140 DNF983140 DDJ983140 CTN983140 CJR983140 BZV983140 BPZ983140 BGD983140 AWH983140 AML983140 ACP983140 ST983140 IX983140 B983140 WVJ917604 WLN917604 WBR917604 VRV917604 VHZ917604 UYD917604 UOH917604 UEL917604 TUP917604 TKT917604 TAX917604 SRB917604 SHF917604 RXJ917604 RNN917604 RDR917604 QTV917604 QJZ917604 QAD917604 PQH917604 PGL917604 OWP917604 OMT917604 OCX917604 NTB917604 NJF917604 MZJ917604 MPN917604 MFR917604 LVV917604 LLZ917604 LCD917604 KSH917604 KIL917604 JYP917604 JOT917604 JEX917604 IVB917604 ILF917604 IBJ917604 HRN917604 HHR917604 GXV917604 GNZ917604 GED917604 FUH917604 FKL917604 FAP917604 EQT917604 EGX917604 DXB917604 DNF917604 DDJ917604 CTN917604 CJR917604 BZV917604 BPZ917604 BGD917604 AWH917604 AML917604 ACP917604 ST917604 IX917604 B917604 WVJ852068 WLN852068 WBR852068 VRV852068 VHZ852068 UYD852068 UOH852068 UEL852068 TUP852068 TKT852068 TAX852068 SRB852068 SHF852068 RXJ852068 RNN852068 RDR852068 QTV852068 QJZ852068 QAD852068 PQH852068 PGL852068 OWP852068 OMT852068 OCX852068 NTB852068 NJF852068 MZJ852068 MPN852068 MFR852068 LVV852068 LLZ852068 LCD852068 KSH852068 KIL852068 JYP852068 JOT852068 JEX852068 IVB852068 ILF852068 IBJ852068 HRN852068 HHR852068 GXV852068 GNZ852068 GED852068 FUH852068 FKL852068 FAP852068 EQT852068 EGX852068 DXB852068 DNF852068 DDJ852068 CTN852068 CJR852068 BZV852068 BPZ852068 BGD852068 AWH852068 AML852068 ACP852068 ST852068 IX852068 B852068 WVJ786532 WLN786532 WBR786532 VRV786532 VHZ786532 UYD786532 UOH786532 UEL786532 TUP786532 TKT786532 TAX786532 SRB786532 SHF786532 RXJ786532 RNN786532 RDR786532 QTV786532 QJZ786532 QAD786532 PQH786532 PGL786532 OWP786532 OMT786532 OCX786532 NTB786532 NJF786532 MZJ786532 MPN786532 MFR786532 LVV786532 LLZ786532 LCD786532 KSH786532 KIL786532 JYP786532 JOT786532 JEX786532 IVB786532 ILF786532 IBJ786532 HRN786532 HHR786532 GXV786532 GNZ786532 GED786532 FUH786532 FKL786532 FAP786532 EQT786532 EGX786532 DXB786532 DNF786532 DDJ786532 CTN786532 CJR786532 BZV786532 BPZ786532 BGD786532 AWH786532 AML786532 ACP786532 ST786532 IX786532 B786532 WVJ720996 WLN720996 WBR720996 VRV720996 VHZ720996 UYD720996 UOH720996 UEL720996 TUP720996 TKT720996 TAX720996 SRB720996 SHF720996 RXJ720996 RNN720996 RDR720996 QTV720996 QJZ720996 QAD720996 PQH720996 PGL720996 OWP720996 OMT720996 OCX720996 NTB720996 NJF720996 MZJ720996 MPN720996 MFR720996 LVV720996 LLZ720996 LCD720996 KSH720996 KIL720996 JYP720996 JOT720996 JEX720996 IVB720996 ILF720996 IBJ720996 HRN720996 HHR720996 GXV720996 GNZ720996 GED720996 FUH720996 FKL720996 FAP720996 EQT720996 EGX720996 DXB720996 DNF720996 DDJ720996 CTN720996 CJR720996 BZV720996 BPZ720996 BGD720996 AWH720996 AML720996 ACP720996 ST720996 IX720996 B720996 WVJ655460 WLN655460 WBR655460 VRV655460 VHZ655460 UYD655460 UOH655460 UEL655460 TUP655460 TKT655460 TAX655460 SRB655460 SHF655460 RXJ655460 RNN655460 RDR655460 QTV655460 QJZ655460 QAD655460 PQH655460 PGL655460 OWP655460 OMT655460 OCX655460 NTB655460 NJF655460 MZJ655460 MPN655460 MFR655460 LVV655460 LLZ655460 LCD655460 KSH655460 KIL655460 JYP655460 JOT655460 JEX655460 IVB655460 ILF655460 IBJ655460 HRN655460 HHR655460 GXV655460 GNZ655460 GED655460 FUH655460 FKL655460 FAP655460 EQT655460 EGX655460 DXB655460 DNF655460 DDJ655460 CTN655460 CJR655460 BZV655460 BPZ655460 BGD655460 AWH655460 AML655460 ACP655460 ST655460 IX655460 B655460 WVJ589924 WLN589924 WBR589924 VRV589924 VHZ589924 UYD589924 UOH589924 UEL589924 TUP589924 TKT589924 TAX589924 SRB589924 SHF589924 RXJ589924 RNN589924 RDR589924 QTV589924 QJZ589924 QAD589924 PQH589924 PGL589924 OWP589924 OMT589924 OCX589924 NTB589924 NJF589924 MZJ589924 MPN589924 MFR589924 LVV589924 LLZ589924 LCD589924 KSH589924 KIL589924 JYP589924 JOT589924 JEX589924 IVB589924 ILF589924 IBJ589924 HRN589924 HHR589924 GXV589924 GNZ589924 GED589924 FUH589924 FKL589924 FAP589924 EQT589924 EGX589924 DXB589924 DNF589924 DDJ589924 CTN589924 CJR589924 BZV589924 BPZ589924 BGD589924 AWH589924 AML589924 ACP589924 ST589924 IX589924 B589924 WVJ524388 WLN524388 WBR524388 VRV524388 VHZ524388 UYD524388 UOH524388 UEL524388 TUP524388 TKT524388 TAX524388 SRB524388 SHF524388 RXJ524388 RNN524388 RDR524388 QTV524388 QJZ524388 QAD524388 PQH524388 PGL524388 OWP524388 OMT524388 OCX524388 NTB524388 NJF524388 MZJ524388 MPN524388 MFR524388 LVV524388 LLZ524388 LCD524388 KSH524388 KIL524388 JYP524388 JOT524388 JEX524388 IVB524388 ILF524388 IBJ524388 HRN524388 HHR524388 GXV524388 GNZ524388 GED524388 FUH524388 FKL524388 FAP524388 EQT524388 EGX524388 DXB524388 DNF524388 DDJ524388 CTN524388 CJR524388 BZV524388 BPZ524388 BGD524388 AWH524388 AML524388 ACP524388 ST524388 IX524388 B524388 WVJ458852 WLN458852 WBR458852 VRV458852 VHZ458852 UYD458852 UOH458852 UEL458852 TUP458852 TKT458852 TAX458852 SRB458852 SHF458852 RXJ458852 RNN458852 RDR458852 QTV458852 QJZ458852 QAD458852 PQH458852 PGL458852 OWP458852 OMT458852 OCX458852 NTB458852 NJF458852 MZJ458852 MPN458852 MFR458852 LVV458852 LLZ458852 LCD458852 KSH458852 KIL458852 JYP458852 JOT458852 JEX458852 IVB458852 ILF458852 IBJ458852 HRN458852 HHR458852 GXV458852 GNZ458852 GED458852 FUH458852 FKL458852 FAP458852 EQT458852 EGX458852 DXB458852 DNF458852 DDJ458852 CTN458852 CJR458852 BZV458852 BPZ458852 BGD458852 AWH458852 AML458852 ACP458852 ST458852 IX458852 B458852 WVJ393316 WLN393316 WBR393316 VRV393316 VHZ393316 UYD393316 UOH393316 UEL393316 TUP393316 TKT393316 TAX393316 SRB393316 SHF393316 RXJ393316 RNN393316 RDR393316 QTV393316 QJZ393316 QAD393316 PQH393316 PGL393316 OWP393316 OMT393316 OCX393316 NTB393316 NJF393316 MZJ393316 MPN393316 MFR393316 LVV393316 LLZ393316 LCD393316 KSH393316 KIL393316 JYP393316 JOT393316 JEX393316 IVB393316 ILF393316 IBJ393316 HRN393316 HHR393316 GXV393316 GNZ393316 GED393316 FUH393316 FKL393316 FAP393316 EQT393316 EGX393316 DXB393316 DNF393316 DDJ393316 CTN393316 CJR393316 BZV393316 BPZ393316 BGD393316 AWH393316 AML393316 ACP393316 ST393316 IX393316 B393316 WVJ327780 WLN327780 WBR327780 VRV327780 VHZ327780 UYD327780 UOH327780 UEL327780 TUP327780 TKT327780 TAX327780 SRB327780 SHF327780 RXJ327780 RNN327780 RDR327780 QTV327780 QJZ327780 QAD327780 PQH327780 PGL327780 OWP327780 OMT327780 OCX327780 NTB327780 NJF327780 MZJ327780 MPN327780 MFR327780 LVV327780 LLZ327780 LCD327780 KSH327780 KIL327780 JYP327780 JOT327780 JEX327780 IVB327780 ILF327780 IBJ327780 HRN327780 HHR327780 GXV327780 GNZ327780 GED327780 FUH327780 FKL327780 FAP327780 EQT327780 EGX327780 DXB327780 DNF327780 DDJ327780 CTN327780 CJR327780 BZV327780 BPZ327780 BGD327780 AWH327780 AML327780 ACP327780 ST327780 IX327780 B327780 WVJ262244 WLN262244 WBR262244 VRV262244 VHZ262244 UYD262244 UOH262244 UEL262244 TUP262244 TKT262244 TAX262244 SRB262244 SHF262244 RXJ262244 RNN262244 RDR262244 QTV262244 QJZ262244 QAD262244 PQH262244 PGL262244 OWP262244 OMT262244 OCX262244 NTB262244 NJF262244 MZJ262244 MPN262244 MFR262244 LVV262244 LLZ262244 LCD262244 KSH262244 KIL262244 JYP262244 JOT262244 JEX262244 IVB262244 ILF262244 IBJ262244 HRN262244 HHR262244 GXV262244 GNZ262244 GED262244 FUH262244 FKL262244 FAP262244 EQT262244 EGX262244 DXB262244 DNF262244 DDJ262244 CTN262244 CJR262244 BZV262244 BPZ262244 BGD262244 AWH262244 AML262244 ACP262244 ST262244 IX262244 B262244 WVJ196708 WLN196708 WBR196708 VRV196708 VHZ196708 UYD196708 UOH196708 UEL196708 TUP196708 TKT196708 TAX196708 SRB196708 SHF196708 RXJ196708 RNN196708 RDR196708 QTV196708 QJZ196708 QAD196708 PQH196708 PGL196708 OWP196708 OMT196708 OCX196708 NTB196708 NJF196708 MZJ196708 MPN196708 MFR196708 LVV196708 LLZ196708 LCD196708 KSH196708 KIL196708 JYP196708 JOT196708 JEX196708 IVB196708 ILF196708 IBJ196708 HRN196708 HHR196708 GXV196708 GNZ196708 GED196708 FUH196708 FKL196708 FAP196708 EQT196708 EGX196708 DXB196708 DNF196708 DDJ196708 CTN196708 CJR196708 BZV196708 BPZ196708 BGD196708 AWH196708 AML196708 ACP196708 ST196708 IX196708 B196708 WVJ131172 WLN131172 WBR131172 VRV131172 VHZ131172 UYD131172 UOH131172 UEL131172 TUP131172 TKT131172 TAX131172 SRB131172 SHF131172 RXJ131172 RNN131172 RDR131172 QTV131172 QJZ131172 QAD131172 PQH131172 PGL131172 OWP131172 OMT131172 OCX131172 NTB131172 NJF131172 MZJ131172 MPN131172 MFR131172 LVV131172 LLZ131172 LCD131172 KSH131172 KIL131172 JYP131172 JOT131172 JEX131172 IVB131172 ILF131172 IBJ131172 HRN131172 HHR131172 GXV131172 GNZ131172 GED131172 FUH131172 FKL131172 FAP131172 EQT131172 EGX131172 DXB131172 DNF131172 DDJ131172 CTN131172 CJR131172 BZV131172 BPZ131172 BGD131172 AWH131172 AML131172 ACP131172 ST131172 IX131172 B131172 WVJ65636 WLN65636 WBR65636 VRV65636 VHZ65636 UYD65636 UOH65636 UEL65636 TUP65636 TKT65636 TAX65636 SRB65636 SHF65636 RXJ65636 RNN65636 RDR65636 QTV65636 QJZ65636 QAD65636 PQH65636 PGL65636 OWP65636 OMT65636 OCX65636 NTB65636 NJF65636 MZJ65636 MPN65636 MFR65636 LVV65636 LLZ65636 LCD65636 KSH65636 KIL65636 JYP65636 JOT65636 JEX65636 IVB65636 ILF65636 IBJ65636 HRN65636 HHR65636 GXV65636 GNZ65636 GED65636 FUH65636 FKL65636 FAP65636 EQT65636 EGX65636 DXB65636 DNF65636 DDJ65636 CTN65636 CJR65636 BZV65636 BPZ65636 BGD65636 AWH65636 AML65636 ACP65636 ST65636 IX65636 B65636 WVJ182 WLN182 WBR182 VRV182 VHZ182 UYD182 UOH182 UEL182 TUP182 TKT182 TAX182 SRB182 SHF182 RXJ182 RNN182 RDR182 QTV182 QJZ182 QAD182 PQH182 PGL182 OWP182 OMT182 OCX182 NTB182 NJF182 MZJ182 MPN182 MFR182 LVV182 LLZ182 LCD182 KSH182 KIL182 JYP182 JOT182 JEX182 IVB182 ILF182 IBJ182 HRN182 HHR182 GXV182 GNZ182 GED182 FUH182 FKL182 FAP182 EQT182 EGX182 DXB182 DNF182 DDJ182 CTN182 CJR182 BZV182 BPZ182 BGD182 AWH182 AML182 ACP182 ST182 IX182 AML137 WVJ983125 WLN983125 WBR983125 VRV983125 VHZ983125 UYD983125 UOH983125 UEL983125 TUP983125 TKT983125 TAX983125 SRB983125 SHF983125 RXJ983125 RNN983125 RDR983125 QTV983125 QJZ983125 QAD983125 PQH983125 PGL983125 OWP983125 OMT983125 OCX983125 NTB983125 NJF983125 MZJ983125 MPN983125 MFR983125 LVV983125 LLZ983125 LCD983125 KSH983125 KIL983125 JYP983125 JOT983125 JEX983125 IVB983125 ILF983125 IBJ983125 HRN983125 HHR983125 GXV983125 GNZ983125 GED983125 FUH983125 FKL983125 FAP983125 EQT983125 EGX983125 DXB983125 DNF983125 DDJ983125 CTN983125 CJR983125 BZV983125 BPZ983125 BGD983125 AWH983125 AML983125 ACP983125 ST983125 IX983125 B983125 WVJ917589 WLN917589 WBR917589 VRV917589 VHZ917589 UYD917589 UOH917589 UEL917589 TUP917589 TKT917589 TAX917589 SRB917589 SHF917589 RXJ917589 RNN917589 RDR917589 QTV917589 QJZ917589 QAD917589 PQH917589 PGL917589 OWP917589 OMT917589 OCX917589 NTB917589 NJF917589 MZJ917589 MPN917589 MFR917589 LVV917589 LLZ917589 LCD917589 KSH917589 KIL917589 JYP917589 JOT917589 JEX917589 IVB917589 ILF917589 IBJ917589 HRN917589 HHR917589 GXV917589 GNZ917589 GED917589 FUH917589 FKL917589 FAP917589 EQT917589 EGX917589 DXB917589 DNF917589 DDJ917589 CTN917589 CJR917589 BZV917589 BPZ917589 BGD917589 AWH917589 AML917589 ACP917589 ST917589 IX917589 B917589 WVJ852053 WLN852053 WBR852053 VRV852053 VHZ852053 UYD852053 UOH852053 UEL852053 TUP852053 TKT852053 TAX852053 SRB852053 SHF852053 RXJ852053 RNN852053 RDR852053 QTV852053 QJZ852053 QAD852053 PQH852053 PGL852053 OWP852053 OMT852053 OCX852053 NTB852053 NJF852053 MZJ852053 MPN852053 MFR852053 LVV852053 LLZ852053 LCD852053 KSH852053 KIL852053 JYP852053 JOT852053 JEX852053 IVB852053 ILF852053 IBJ852053 HRN852053 HHR852053 GXV852053 GNZ852053 GED852053 FUH852053 FKL852053 FAP852053 EQT852053 EGX852053 DXB852053 DNF852053 DDJ852053 CTN852053 CJR852053 BZV852053 BPZ852053 BGD852053 AWH852053 AML852053 ACP852053 ST852053 IX852053 B852053 WVJ786517 WLN786517 WBR786517 VRV786517 VHZ786517 UYD786517 UOH786517 UEL786517 TUP786517 TKT786517 TAX786517 SRB786517 SHF786517 RXJ786517 RNN786517 RDR786517 QTV786517 QJZ786517 QAD786517 PQH786517 PGL786517 OWP786517 OMT786517 OCX786517 NTB786517 NJF786517 MZJ786517 MPN786517 MFR786517 LVV786517 LLZ786517 LCD786517 KSH786517 KIL786517 JYP786517 JOT786517 JEX786517 IVB786517 ILF786517 IBJ786517 HRN786517 HHR786517 GXV786517 GNZ786517 GED786517 FUH786517 FKL786517 FAP786517 EQT786517 EGX786517 DXB786517 DNF786517 DDJ786517 CTN786517 CJR786517 BZV786517 BPZ786517 BGD786517 AWH786517 AML786517 ACP786517 ST786517 IX786517 B786517 WVJ720981 WLN720981 WBR720981 VRV720981 VHZ720981 UYD720981 UOH720981 UEL720981 TUP720981 TKT720981 TAX720981 SRB720981 SHF720981 RXJ720981 RNN720981 RDR720981 QTV720981 QJZ720981 QAD720981 PQH720981 PGL720981 OWP720981 OMT720981 OCX720981 NTB720981 NJF720981 MZJ720981 MPN720981 MFR720981 LVV720981 LLZ720981 LCD720981 KSH720981 KIL720981 JYP720981 JOT720981 JEX720981 IVB720981 ILF720981 IBJ720981 HRN720981 HHR720981 GXV720981 GNZ720981 GED720981 FUH720981 FKL720981 FAP720981 EQT720981 EGX720981 DXB720981 DNF720981 DDJ720981 CTN720981 CJR720981 BZV720981 BPZ720981 BGD720981 AWH720981 AML720981 ACP720981 ST720981 IX720981 B720981 WVJ655445 WLN655445 WBR655445 VRV655445 VHZ655445 UYD655445 UOH655445 UEL655445 TUP655445 TKT655445 TAX655445 SRB655445 SHF655445 RXJ655445 RNN655445 RDR655445 QTV655445 QJZ655445 QAD655445 PQH655445 PGL655445 OWP655445 OMT655445 OCX655445 NTB655445 NJF655445 MZJ655445 MPN655445 MFR655445 LVV655445 LLZ655445 LCD655445 KSH655445 KIL655445 JYP655445 JOT655445 JEX655445 IVB655445 ILF655445 IBJ655445 HRN655445 HHR655445 GXV655445 GNZ655445 GED655445 FUH655445 FKL655445 FAP655445 EQT655445 EGX655445 DXB655445 DNF655445 DDJ655445 CTN655445 CJR655445 BZV655445 BPZ655445 BGD655445 AWH655445 AML655445 ACP655445 ST655445 IX655445 B655445 WVJ589909 WLN589909 WBR589909 VRV589909 VHZ589909 UYD589909 UOH589909 UEL589909 TUP589909 TKT589909 TAX589909 SRB589909 SHF589909 RXJ589909 RNN589909 RDR589909 QTV589909 QJZ589909 QAD589909 PQH589909 PGL589909 OWP589909 OMT589909 OCX589909 NTB589909 NJF589909 MZJ589909 MPN589909 MFR589909 LVV589909 LLZ589909 LCD589909 KSH589909 KIL589909 JYP589909 JOT589909 JEX589909 IVB589909 ILF589909 IBJ589909 HRN589909 HHR589909 GXV589909 GNZ589909 GED589909 FUH589909 FKL589909 FAP589909 EQT589909 EGX589909 DXB589909 DNF589909 DDJ589909 CTN589909 CJR589909 BZV589909 BPZ589909 BGD589909 AWH589909 AML589909 ACP589909 ST589909 IX589909 B589909 WVJ524373 WLN524373 WBR524373 VRV524373 VHZ524373 UYD524373 UOH524373 UEL524373 TUP524373 TKT524373 TAX524373 SRB524373 SHF524373 RXJ524373 RNN524373 RDR524373 QTV524373 QJZ524373 QAD524373 PQH524373 PGL524373 OWP524373 OMT524373 OCX524373 NTB524373 NJF524373 MZJ524373 MPN524373 MFR524373 LVV524373 LLZ524373 LCD524373 KSH524373 KIL524373 JYP524373 JOT524373 JEX524373 IVB524373 ILF524373 IBJ524373 HRN524373 HHR524373 GXV524373 GNZ524373 GED524373 FUH524373 FKL524373 FAP524373 EQT524373 EGX524373 DXB524373 DNF524373 DDJ524373 CTN524373 CJR524373 BZV524373 BPZ524373 BGD524373 AWH524373 AML524373 ACP524373 ST524373 IX524373 B524373 WVJ458837 WLN458837 WBR458837 VRV458837 VHZ458837 UYD458837 UOH458837 UEL458837 TUP458837 TKT458837 TAX458837 SRB458837 SHF458837 RXJ458837 RNN458837 RDR458837 QTV458837 QJZ458837 QAD458837 PQH458837 PGL458837 OWP458837 OMT458837 OCX458837 NTB458837 NJF458837 MZJ458837 MPN458837 MFR458837 LVV458837 LLZ458837 LCD458837 KSH458837 KIL458837 JYP458837 JOT458837 JEX458837 IVB458837 ILF458837 IBJ458837 HRN458837 HHR458837 GXV458837 GNZ458837 GED458837 FUH458837 FKL458837 FAP458837 EQT458837 EGX458837 DXB458837 DNF458837 DDJ458837 CTN458837 CJR458837 BZV458837 BPZ458837 BGD458837 AWH458837 AML458837 ACP458837 ST458837 IX458837 B458837 WVJ393301 WLN393301 WBR393301 VRV393301 VHZ393301 UYD393301 UOH393301 UEL393301 TUP393301 TKT393301 TAX393301 SRB393301 SHF393301 RXJ393301 RNN393301 RDR393301 QTV393301 QJZ393301 QAD393301 PQH393301 PGL393301 OWP393301 OMT393301 OCX393301 NTB393301 NJF393301 MZJ393301 MPN393301 MFR393301 LVV393301 LLZ393301 LCD393301 KSH393301 KIL393301 JYP393301 JOT393301 JEX393301 IVB393301 ILF393301 IBJ393301 HRN393301 HHR393301 GXV393301 GNZ393301 GED393301 FUH393301 FKL393301 FAP393301 EQT393301 EGX393301 DXB393301 DNF393301 DDJ393301 CTN393301 CJR393301 BZV393301 BPZ393301 BGD393301 AWH393301 AML393301 ACP393301 ST393301 IX393301 B393301 WVJ327765 WLN327765 WBR327765 VRV327765 VHZ327765 UYD327765 UOH327765 UEL327765 TUP327765 TKT327765 TAX327765 SRB327765 SHF327765 RXJ327765 RNN327765 RDR327765 QTV327765 QJZ327765 QAD327765 PQH327765 PGL327765 OWP327765 OMT327765 OCX327765 NTB327765 NJF327765 MZJ327765 MPN327765 MFR327765 LVV327765 LLZ327765 LCD327765 KSH327765 KIL327765 JYP327765 JOT327765 JEX327765 IVB327765 ILF327765 IBJ327765 HRN327765 HHR327765 GXV327765 GNZ327765 GED327765 FUH327765 FKL327765 FAP327765 EQT327765 EGX327765 DXB327765 DNF327765 DDJ327765 CTN327765 CJR327765 BZV327765 BPZ327765 BGD327765 AWH327765 AML327765 ACP327765 ST327765 IX327765 B327765 WVJ262229 WLN262229 WBR262229 VRV262229 VHZ262229 UYD262229 UOH262229 UEL262229 TUP262229 TKT262229 TAX262229 SRB262229 SHF262229 RXJ262229 RNN262229 RDR262229 QTV262229 QJZ262229 QAD262229 PQH262229 PGL262229 OWP262229 OMT262229 OCX262229 NTB262229 NJF262229 MZJ262229 MPN262229 MFR262229 LVV262229 LLZ262229 LCD262229 KSH262229 KIL262229 JYP262229 JOT262229 JEX262229 IVB262229 ILF262229 IBJ262229 HRN262229 HHR262229 GXV262229 GNZ262229 GED262229 FUH262229 FKL262229 FAP262229 EQT262229 EGX262229 DXB262229 DNF262229 DDJ262229 CTN262229 CJR262229 BZV262229 BPZ262229 BGD262229 AWH262229 AML262229 ACP262229 ST262229 IX262229 B262229 WVJ196693 WLN196693 WBR196693 VRV196693 VHZ196693 UYD196693 UOH196693 UEL196693 TUP196693 TKT196693 TAX196693 SRB196693 SHF196693 RXJ196693 RNN196693 RDR196693 QTV196693 QJZ196693 QAD196693 PQH196693 PGL196693 OWP196693 OMT196693 OCX196693 NTB196693 NJF196693 MZJ196693 MPN196693 MFR196693 LVV196693 LLZ196693 LCD196693 KSH196693 KIL196693 JYP196693 JOT196693 JEX196693 IVB196693 ILF196693 IBJ196693 HRN196693 HHR196693 GXV196693 GNZ196693 GED196693 FUH196693 FKL196693 FAP196693 EQT196693 EGX196693 DXB196693 DNF196693 DDJ196693 CTN196693 CJR196693 BZV196693 BPZ196693 BGD196693 AWH196693 AML196693 ACP196693 ST196693 IX196693 B196693 WVJ131157 WLN131157 WBR131157 VRV131157 VHZ131157 UYD131157 UOH131157 UEL131157 TUP131157 TKT131157 TAX131157 SRB131157 SHF131157 RXJ131157 RNN131157 RDR131157 QTV131157 QJZ131157 QAD131157 PQH131157 PGL131157 OWP131157 OMT131157 OCX131157 NTB131157 NJF131157 MZJ131157 MPN131157 MFR131157 LVV131157 LLZ131157 LCD131157 KSH131157 KIL131157 JYP131157 JOT131157 JEX131157 IVB131157 ILF131157 IBJ131157 HRN131157 HHR131157 GXV131157 GNZ131157 GED131157 FUH131157 FKL131157 FAP131157 EQT131157 EGX131157 DXB131157 DNF131157 DDJ131157 CTN131157 CJR131157 BZV131157 BPZ131157 BGD131157 AWH131157 AML131157 ACP131157 ST131157 IX131157 B131157 WVJ65621 WLN65621 WBR65621 VRV65621 VHZ65621 UYD65621 UOH65621 UEL65621 TUP65621 TKT65621 TAX65621 SRB65621 SHF65621 RXJ65621 RNN65621 RDR65621 QTV65621 QJZ65621 QAD65621 PQH65621 PGL65621 OWP65621 OMT65621 OCX65621 NTB65621 NJF65621 MZJ65621 MPN65621 MFR65621 LVV65621 LLZ65621 LCD65621 KSH65621 KIL65621 JYP65621 JOT65621 JEX65621 IVB65621 ILF65621 IBJ65621 HRN65621 HHR65621 GXV65621 GNZ65621 GED65621 FUH65621 FKL65621 FAP65621 EQT65621 EGX65621 DXB65621 DNF65621 DDJ65621 CTN65621 CJR65621 BZV65621 BPZ65621 BGD65621 AWH65621 AML65621 ACP65621 ST65621 IX65621 B65621 WVJ167 WLN167 WBR167 VRV167 VHZ167 UYD167 UOH167 UEL167 TUP167 TKT167 TAX167 SRB167 SHF167 RXJ167 RNN167 RDR167 QTV167 QJZ167 QAD167 PQH167 PGL167 OWP167 OMT167 OCX167 NTB167 NJF167 MZJ167 MPN167 MFR167 LVV167 LLZ167 LCD167 KSH167 KIL167 JYP167 JOT167 JEX167 IVB167 ILF167 IBJ167 HRN167 HHR167 GXV167 GNZ167 GED167 FUH167 FKL167 FAP167 EQT167 EGX167 DXB167 DNF167 DDJ167 CTN167 CJR167 BZV167 BPZ167 BGD167 AWH167 AML167 ACP167 ST167 IX167 ACP137 WVJ983110 WLN983110 WBR983110 VRV983110 VHZ983110 UYD983110 UOH983110 UEL983110 TUP983110 TKT983110 TAX983110 SRB983110 SHF983110 RXJ983110 RNN983110 RDR983110 QTV983110 QJZ983110 QAD983110 PQH983110 PGL983110 OWP983110 OMT983110 OCX983110 NTB983110 NJF983110 MZJ983110 MPN983110 MFR983110 LVV983110 LLZ983110 LCD983110 KSH983110 KIL983110 JYP983110 JOT983110 JEX983110 IVB983110 ILF983110 IBJ983110 HRN983110 HHR983110 GXV983110 GNZ983110 GED983110 FUH983110 FKL983110 FAP983110 EQT983110 EGX983110 DXB983110 DNF983110 DDJ983110 CTN983110 CJR983110 BZV983110 BPZ983110 BGD983110 AWH983110 AML983110 ACP983110 ST983110 IX983110 B983110 WVJ917574 WLN917574 WBR917574 VRV917574 VHZ917574 UYD917574 UOH917574 UEL917574 TUP917574 TKT917574 TAX917574 SRB917574 SHF917574 RXJ917574 RNN917574 RDR917574 QTV917574 QJZ917574 QAD917574 PQH917574 PGL917574 OWP917574 OMT917574 OCX917574 NTB917574 NJF917574 MZJ917574 MPN917574 MFR917574 LVV917574 LLZ917574 LCD917574 KSH917574 KIL917574 JYP917574 JOT917574 JEX917574 IVB917574 ILF917574 IBJ917574 HRN917574 HHR917574 GXV917574 GNZ917574 GED917574 FUH917574 FKL917574 FAP917574 EQT917574 EGX917574 DXB917574 DNF917574 DDJ917574 CTN917574 CJR917574 BZV917574 BPZ917574 BGD917574 AWH917574 AML917574 ACP917574 ST917574 IX917574 B917574 WVJ852038 WLN852038 WBR852038 VRV852038 VHZ852038 UYD852038 UOH852038 UEL852038 TUP852038 TKT852038 TAX852038 SRB852038 SHF852038 RXJ852038 RNN852038 RDR852038 QTV852038 QJZ852038 QAD852038 PQH852038 PGL852038 OWP852038 OMT852038 OCX852038 NTB852038 NJF852038 MZJ852038 MPN852038 MFR852038 LVV852038 LLZ852038 LCD852038 KSH852038 KIL852038 JYP852038 JOT852038 JEX852038 IVB852038 ILF852038 IBJ852038 HRN852038 HHR852038 GXV852038 GNZ852038 GED852038 FUH852038 FKL852038 FAP852038 EQT852038 EGX852038 DXB852038 DNF852038 DDJ852038 CTN852038 CJR852038 BZV852038 BPZ852038 BGD852038 AWH852038 AML852038 ACP852038 ST852038 IX852038 B852038 WVJ786502 WLN786502 WBR786502 VRV786502 VHZ786502 UYD786502 UOH786502 UEL786502 TUP786502 TKT786502 TAX786502 SRB786502 SHF786502 RXJ786502 RNN786502 RDR786502 QTV786502 QJZ786502 QAD786502 PQH786502 PGL786502 OWP786502 OMT786502 OCX786502 NTB786502 NJF786502 MZJ786502 MPN786502 MFR786502 LVV786502 LLZ786502 LCD786502 KSH786502 KIL786502 JYP786502 JOT786502 JEX786502 IVB786502 ILF786502 IBJ786502 HRN786502 HHR786502 GXV786502 GNZ786502 GED786502 FUH786502 FKL786502 FAP786502 EQT786502 EGX786502 DXB786502 DNF786502 DDJ786502 CTN786502 CJR786502 BZV786502 BPZ786502 BGD786502 AWH786502 AML786502 ACP786502 ST786502 IX786502 B786502 WVJ720966 WLN720966 WBR720966 VRV720966 VHZ720966 UYD720966 UOH720966 UEL720966 TUP720966 TKT720966 TAX720966 SRB720966 SHF720966 RXJ720966 RNN720966 RDR720966 QTV720966 QJZ720966 QAD720966 PQH720966 PGL720966 OWP720966 OMT720966 OCX720966 NTB720966 NJF720966 MZJ720966 MPN720966 MFR720966 LVV720966 LLZ720966 LCD720966 KSH720966 KIL720966 JYP720966 JOT720966 JEX720966 IVB720966 ILF720966 IBJ720966 HRN720966 HHR720966 GXV720966 GNZ720966 GED720966 FUH720966 FKL720966 FAP720966 EQT720966 EGX720966 DXB720966 DNF720966 DDJ720966 CTN720966 CJR720966 BZV720966 BPZ720966 BGD720966 AWH720966 AML720966 ACP720966 ST720966 IX720966 B720966 WVJ655430 WLN655430 WBR655430 VRV655430 VHZ655430 UYD655430 UOH655430 UEL655430 TUP655430 TKT655430 TAX655430 SRB655430 SHF655430 RXJ655430 RNN655430 RDR655430 QTV655430 QJZ655430 QAD655430 PQH655430 PGL655430 OWP655430 OMT655430 OCX655430 NTB655430 NJF655430 MZJ655430 MPN655430 MFR655430 LVV655430 LLZ655430 LCD655430 KSH655430 KIL655430 JYP655430 JOT655430 JEX655430 IVB655430 ILF655430 IBJ655430 HRN655430 HHR655430 GXV655430 GNZ655430 GED655430 FUH655430 FKL655430 FAP655430 EQT655430 EGX655430 DXB655430 DNF655430 DDJ655430 CTN655430 CJR655430 BZV655430 BPZ655430 BGD655430 AWH655430 AML655430 ACP655430 ST655430 IX655430 B655430 WVJ589894 WLN589894 WBR589894 VRV589894 VHZ589894 UYD589894 UOH589894 UEL589894 TUP589894 TKT589894 TAX589894 SRB589894 SHF589894 RXJ589894 RNN589894 RDR589894 QTV589894 QJZ589894 QAD589894 PQH589894 PGL589894 OWP589894 OMT589894 OCX589894 NTB589894 NJF589894 MZJ589894 MPN589894 MFR589894 LVV589894 LLZ589894 LCD589894 KSH589894 KIL589894 JYP589894 JOT589894 JEX589894 IVB589894 ILF589894 IBJ589894 HRN589894 HHR589894 GXV589894 GNZ589894 GED589894 FUH589894 FKL589894 FAP589894 EQT589894 EGX589894 DXB589894 DNF589894 DDJ589894 CTN589894 CJR589894 BZV589894 BPZ589894 BGD589894 AWH589894 AML589894 ACP589894 ST589894 IX589894 B589894 WVJ524358 WLN524358 WBR524358 VRV524358 VHZ524358 UYD524358 UOH524358 UEL524358 TUP524358 TKT524358 TAX524358 SRB524358 SHF524358 RXJ524358 RNN524358 RDR524358 QTV524358 QJZ524358 QAD524358 PQH524358 PGL524358 OWP524358 OMT524358 OCX524358 NTB524358 NJF524358 MZJ524358 MPN524358 MFR524358 LVV524358 LLZ524358 LCD524358 KSH524358 KIL524358 JYP524358 JOT524358 JEX524358 IVB524358 ILF524358 IBJ524358 HRN524358 HHR524358 GXV524358 GNZ524358 GED524358 FUH524358 FKL524358 FAP524358 EQT524358 EGX524358 DXB524358 DNF524358 DDJ524358 CTN524358 CJR524358 BZV524358 BPZ524358 BGD524358 AWH524358 AML524358 ACP524358 ST524358 IX524358 B524358 WVJ458822 WLN458822 WBR458822 VRV458822 VHZ458822 UYD458822 UOH458822 UEL458822 TUP458822 TKT458822 TAX458822 SRB458822 SHF458822 RXJ458822 RNN458822 RDR458822 QTV458822 QJZ458822 QAD458822 PQH458822 PGL458822 OWP458822 OMT458822 OCX458822 NTB458822 NJF458822 MZJ458822 MPN458822 MFR458822 LVV458822 LLZ458822 LCD458822 KSH458822 KIL458822 JYP458822 JOT458822 JEX458822 IVB458822 ILF458822 IBJ458822 HRN458822 HHR458822 GXV458822 GNZ458822 GED458822 FUH458822 FKL458822 FAP458822 EQT458822 EGX458822 DXB458822 DNF458822 DDJ458822 CTN458822 CJR458822 BZV458822 BPZ458822 BGD458822 AWH458822 AML458822 ACP458822 ST458822 IX458822 B458822 WVJ393286 WLN393286 WBR393286 VRV393286 VHZ393286 UYD393286 UOH393286 UEL393286 TUP393286 TKT393286 TAX393286 SRB393286 SHF393286 RXJ393286 RNN393286 RDR393286 QTV393286 QJZ393286 QAD393286 PQH393286 PGL393286 OWP393286 OMT393286 OCX393286 NTB393286 NJF393286 MZJ393286 MPN393286 MFR393286 LVV393286 LLZ393286 LCD393286 KSH393286 KIL393286 JYP393286 JOT393286 JEX393286 IVB393286 ILF393286 IBJ393286 HRN393286 HHR393286 GXV393286 GNZ393286 GED393286 FUH393286 FKL393286 FAP393286 EQT393286 EGX393286 DXB393286 DNF393286 DDJ393286 CTN393286 CJR393286 BZV393286 BPZ393286 BGD393286 AWH393286 AML393286 ACP393286 ST393286 IX393286 B393286 WVJ327750 WLN327750 WBR327750 VRV327750 VHZ327750 UYD327750 UOH327750 UEL327750 TUP327750 TKT327750 TAX327750 SRB327750 SHF327750 RXJ327750 RNN327750 RDR327750 QTV327750 QJZ327750 QAD327750 PQH327750 PGL327750 OWP327750 OMT327750 OCX327750 NTB327750 NJF327750 MZJ327750 MPN327750 MFR327750 LVV327750 LLZ327750 LCD327750 KSH327750 KIL327750 JYP327750 JOT327750 JEX327750 IVB327750 ILF327750 IBJ327750 HRN327750 HHR327750 GXV327750 GNZ327750 GED327750 FUH327750 FKL327750 FAP327750 EQT327750 EGX327750 DXB327750 DNF327750 DDJ327750 CTN327750 CJR327750 BZV327750 BPZ327750 BGD327750 AWH327750 AML327750 ACP327750 ST327750 IX327750 B327750 WVJ262214 WLN262214 WBR262214 VRV262214 VHZ262214 UYD262214 UOH262214 UEL262214 TUP262214 TKT262214 TAX262214 SRB262214 SHF262214 RXJ262214 RNN262214 RDR262214 QTV262214 QJZ262214 QAD262214 PQH262214 PGL262214 OWP262214 OMT262214 OCX262214 NTB262214 NJF262214 MZJ262214 MPN262214 MFR262214 LVV262214 LLZ262214 LCD262214 KSH262214 KIL262214 JYP262214 JOT262214 JEX262214 IVB262214 ILF262214 IBJ262214 HRN262214 HHR262214 GXV262214 GNZ262214 GED262214 FUH262214 FKL262214 FAP262214 EQT262214 EGX262214 DXB262214 DNF262214 DDJ262214 CTN262214 CJR262214 BZV262214 BPZ262214 BGD262214 AWH262214 AML262214 ACP262214 ST262214 IX262214 B262214 WVJ196678 WLN196678 WBR196678 VRV196678 VHZ196678 UYD196678 UOH196678 UEL196678 TUP196678 TKT196678 TAX196678 SRB196678 SHF196678 RXJ196678 RNN196678 RDR196678 QTV196678 QJZ196678 QAD196678 PQH196678 PGL196678 OWP196678 OMT196678 OCX196678 NTB196678 NJF196678 MZJ196678 MPN196678 MFR196678 LVV196678 LLZ196678 LCD196678 KSH196678 KIL196678 JYP196678 JOT196678 JEX196678 IVB196678 ILF196678 IBJ196678 HRN196678 HHR196678 GXV196678 GNZ196678 GED196678 FUH196678 FKL196678 FAP196678 EQT196678 EGX196678 DXB196678 DNF196678 DDJ196678 CTN196678 CJR196678 BZV196678 BPZ196678 BGD196678 AWH196678 AML196678 ACP196678 ST196678 IX196678 B196678 WVJ131142 WLN131142 WBR131142 VRV131142 VHZ131142 UYD131142 UOH131142 UEL131142 TUP131142 TKT131142 TAX131142 SRB131142 SHF131142 RXJ131142 RNN131142 RDR131142 QTV131142 QJZ131142 QAD131142 PQH131142 PGL131142 OWP131142 OMT131142 OCX131142 NTB131142 NJF131142 MZJ131142 MPN131142 MFR131142 LVV131142 LLZ131142 LCD131142 KSH131142 KIL131142 JYP131142 JOT131142 JEX131142 IVB131142 ILF131142 IBJ131142 HRN131142 HHR131142 GXV131142 GNZ131142 GED131142 FUH131142 FKL131142 FAP131142 EQT131142 EGX131142 DXB131142 DNF131142 DDJ131142 CTN131142 CJR131142 BZV131142 BPZ131142 BGD131142 AWH131142 AML131142 ACP131142 ST131142 IX131142 B131142 WVJ65606 WLN65606 WBR65606 VRV65606 VHZ65606 UYD65606 UOH65606 UEL65606 TUP65606 TKT65606 TAX65606 SRB65606 SHF65606 RXJ65606 RNN65606 RDR65606 QTV65606 QJZ65606 QAD65606 PQH65606 PGL65606 OWP65606 OMT65606 OCX65606 NTB65606 NJF65606 MZJ65606 MPN65606 MFR65606 LVV65606 LLZ65606 LCD65606 KSH65606 KIL65606 JYP65606 JOT65606 JEX65606 IVB65606 ILF65606 IBJ65606 HRN65606 HHR65606 GXV65606 GNZ65606 GED65606 FUH65606 FKL65606 FAP65606 EQT65606 EGX65606 DXB65606 DNF65606 DDJ65606 CTN65606 CJR65606 BZV65606 BPZ65606 BGD65606 AWH65606 AML65606 ACP65606 ST65606 IX65606 B65606 WVJ152 WLN152 WBR152 VRV152 VHZ152 UYD152 UOH152 UEL152 TUP152 TKT152 TAX152 SRB152 SHF152 RXJ152 RNN152 RDR152 QTV152 QJZ152 QAD152 PQH152 PGL152 OWP152 OMT152 OCX152 NTB152 NJF152 MZJ152 MPN152 MFR152 LVV152 LLZ152 LCD152 KSH152 KIL152 JYP152 JOT152 JEX152 IVB152 ILF152 IBJ152 HRN152 HHR152 GXV152 GNZ152 GED152 FUH152 FKL152 FAP152 EQT152 EGX152 DXB152 DNF152 DDJ152 CTN152 CJR152 BZV152 BPZ152 BGD152 AWH152 AML152 ACP152 ST152 IX152 ST137 WVJ983095 WLN983095 WBR983095 VRV983095 VHZ983095 UYD983095 UOH983095 UEL983095 TUP983095 TKT983095 TAX983095 SRB983095 SHF983095 RXJ983095 RNN983095 RDR983095 QTV983095 QJZ983095 QAD983095 PQH983095 PGL983095 OWP983095 OMT983095 OCX983095 NTB983095 NJF983095 MZJ983095 MPN983095 MFR983095 LVV983095 LLZ983095 LCD983095 KSH983095 KIL983095 JYP983095 JOT983095 JEX983095 IVB983095 ILF983095 IBJ983095 HRN983095 HHR983095 GXV983095 GNZ983095 GED983095 FUH983095 FKL983095 FAP983095 EQT983095 EGX983095 DXB983095 DNF983095 DDJ983095 CTN983095 CJR983095 BZV983095 BPZ983095 BGD983095 AWH983095 AML983095 ACP983095 ST983095 IX983095 B983095 WVJ917559 WLN917559 WBR917559 VRV917559 VHZ917559 UYD917559 UOH917559 UEL917559 TUP917559 TKT917559 TAX917559 SRB917559 SHF917559 RXJ917559 RNN917559 RDR917559 QTV917559 QJZ917559 QAD917559 PQH917559 PGL917559 OWP917559 OMT917559 OCX917559 NTB917559 NJF917559 MZJ917559 MPN917559 MFR917559 LVV917559 LLZ917559 LCD917559 KSH917559 KIL917559 JYP917559 JOT917559 JEX917559 IVB917559 ILF917559 IBJ917559 HRN917559 HHR917559 GXV917559 GNZ917559 GED917559 FUH917559 FKL917559 FAP917559 EQT917559 EGX917559 DXB917559 DNF917559 DDJ917559 CTN917559 CJR917559 BZV917559 BPZ917559 BGD917559 AWH917559 AML917559 ACP917559 ST917559 IX917559 B917559 WVJ852023 WLN852023 WBR852023 VRV852023 VHZ852023 UYD852023 UOH852023 UEL852023 TUP852023 TKT852023 TAX852023 SRB852023 SHF852023 RXJ852023 RNN852023 RDR852023 QTV852023 QJZ852023 QAD852023 PQH852023 PGL852023 OWP852023 OMT852023 OCX852023 NTB852023 NJF852023 MZJ852023 MPN852023 MFR852023 LVV852023 LLZ852023 LCD852023 KSH852023 KIL852023 JYP852023 JOT852023 JEX852023 IVB852023 ILF852023 IBJ852023 HRN852023 HHR852023 GXV852023 GNZ852023 GED852023 FUH852023 FKL852023 FAP852023 EQT852023 EGX852023 DXB852023 DNF852023 DDJ852023 CTN852023 CJR852023 BZV852023 BPZ852023 BGD852023 AWH852023 AML852023 ACP852023 ST852023 IX852023 B852023 WVJ786487 WLN786487 WBR786487 VRV786487 VHZ786487 UYD786487 UOH786487 UEL786487 TUP786487 TKT786487 TAX786487 SRB786487 SHF786487 RXJ786487 RNN786487 RDR786487 QTV786487 QJZ786487 QAD786487 PQH786487 PGL786487 OWP786487 OMT786487 OCX786487 NTB786487 NJF786487 MZJ786487 MPN786487 MFR786487 LVV786487 LLZ786487 LCD786487 KSH786487 KIL786487 JYP786487 JOT786487 JEX786487 IVB786487 ILF786487 IBJ786487 HRN786487 HHR786487 GXV786487 GNZ786487 GED786487 FUH786487 FKL786487 FAP786487 EQT786487 EGX786487 DXB786487 DNF786487 DDJ786487 CTN786487 CJR786487 BZV786487 BPZ786487 BGD786487 AWH786487 AML786487 ACP786487 ST786487 IX786487 B786487 WVJ720951 WLN720951 WBR720951 VRV720951 VHZ720951 UYD720951 UOH720951 UEL720951 TUP720951 TKT720951 TAX720951 SRB720951 SHF720951 RXJ720951 RNN720951 RDR720951 QTV720951 QJZ720951 QAD720951 PQH720951 PGL720951 OWP720951 OMT720951 OCX720951 NTB720951 NJF720951 MZJ720951 MPN720951 MFR720951 LVV720951 LLZ720951 LCD720951 KSH720951 KIL720951 JYP720951 JOT720951 JEX720951 IVB720951 ILF720951 IBJ720951 HRN720951 HHR720951 GXV720951 GNZ720951 GED720951 FUH720951 FKL720951 FAP720951 EQT720951 EGX720951 DXB720951 DNF720951 DDJ720951 CTN720951 CJR720951 BZV720951 BPZ720951 BGD720951 AWH720951 AML720951 ACP720951 ST720951 IX720951 B720951 WVJ655415 WLN655415 WBR655415 VRV655415 VHZ655415 UYD655415 UOH655415 UEL655415 TUP655415 TKT655415 TAX655415 SRB655415 SHF655415 RXJ655415 RNN655415 RDR655415 QTV655415 QJZ655415 QAD655415 PQH655415 PGL655415 OWP655415 OMT655415 OCX655415 NTB655415 NJF655415 MZJ655415 MPN655415 MFR655415 LVV655415 LLZ655415 LCD655415 KSH655415 KIL655415 JYP655415 JOT655415 JEX655415 IVB655415 ILF655415 IBJ655415 HRN655415 HHR655415 GXV655415 GNZ655415 GED655415 FUH655415 FKL655415 FAP655415 EQT655415 EGX655415 DXB655415 DNF655415 DDJ655415 CTN655415 CJR655415 BZV655415 BPZ655415 BGD655415 AWH655415 AML655415 ACP655415 ST655415 IX655415 B655415 WVJ589879 WLN589879 WBR589879 VRV589879 VHZ589879 UYD589879 UOH589879 UEL589879 TUP589879 TKT589879 TAX589879 SRB589879 SHF589879 RXJ589879 RNN589879 RDR589879 QTV589879 QJZ589879 QAD589879 PQH589879 PGL589879 OWP589879 OMT589879 OCX589879 NTB589879 NJF589879 MZJ589879 MPN589879 MFR589879 LVV589879 LLZ589879 LCD589879 KSH589879 KIL589879 JYP589879 JOT589879 JEX589879 IVB589879 ILF589879 IBJ589879 HRN589879 HHR589879 GXV589879 GNZ589879 GED589879 FUH589879 FKL589879 FAP589879 EQT589879 EGX589879 DXB589879 DNF589879 DDJ589879 CTN589879 CJR589879 BZV589879 BPZ589879 BGD589879 AWH589879 AML589879 ACP589879 ST589879 IX589879 B589879 WVJ524343 WLN524343 WBR524343 VRV524343 VHZ524343 UYD524343 UOH524343 UEL524343 TUP524343 TKT524343 TAX524343 SRB524343 SHF524343 RXJ524343 RNN524343 RDR524343 QTV524343 QJZ524343 QAD524343 PQH524343 PGL524343 OWP524343 OMT524343 OCX524343 NTB524343 NJF524343 MZJ524343 MPN524343 MFR524343 LVV524343 LLZ524343 LCD524343 KSH524343 KIL524343 JYP524343 JOT524343 JEX524343 IVB524343 ILF524343 IBJ524343 HRN524343 HHR524343 GXV524343 GNZ524343 GED524343 FUH524343 FKL524343 FAP524343 EQT524343 EGX524343 DXB524343 DNF524343 DDJ524343 CTN524343 CJR524343 BZV524343 BPZ524343 BGD524343 AWH524343 AML524343 ACP524343 ST524343 IX524343 B524343 WVJ458807 WLN458807 WBR458807 VRV458807 VHZ458807 UYD458807 UOH458807 UEL458807 TUP458807 TKT458807 TAX458807 SRB458807 SHF458807 RXJ458807 RNN458807 RDR458807 QTV458807 QJZ458807 QAD458807 PQH458807 PGL458807 OWP458807 OMT458807 OCX458807 NTB458807 NJF458807 MZJ458807 MPN458807 MFR458807 LVV458807 LLZ458807 LCD458807 KSH458807 KIL458807 JYP458807 JOT458807 JEX458807 IVB458807 ILF458807 IBJ458807 HRN458807 HHR458807 GXV458807 GNZ458807 GED458807 FUH458807 FKL458807 FAP458807 EQT458807 EGX458807 DXB458807 DNF458807 DDJ458807 CTN458807 CJR458807 BZV458807 BPZ458807 BGD458807 AWH458807 AML458807 ACP458807 ST458807 IX458807 B458807 WVJ393271 WLN393271 WBR393271 VRV393271 VHZ393271 UYD393271 UOH393271 UEL393271 TUP393271 TKT393271 TAX393271 SRB393271 SHF393271 RXJ393271 RNN393271 RDR393271 QTV393271 QJZ393271 QAD393271 PQH393271 PGL393271 OWP393271 OMT393271 OCX393271 NTB393271 NJF393271 MZJ393271 MPN393271 MFR393271 LVV393271 LLZ393271 LCD393271 KSH393271 KIL393271 JYP393271 JOT393271 JEX393271 IVB393271 ILF393271 IBJ393271 HRN393271 HHR393271 GXV393271 GNZ393271 GED393271 FUH393271 FKL393271 FAP393271 EQT393271 EGX393271 DXB393271 DNF393271 DDJ393271 CTN393271 CJR393271 BZV393271 BPZ393271 BGD393271 AWH393271 AML393271 ACP393271 ST393271 IX393271 B393271 WVJ327735 WLN327735 WBR327735 VRV327735 VHZ327735 UYD327735 UOH327735 UEL327735 TUP327735 TKT327735 TAX327735 SRB327735 SHF327735 RXJ327735 RNN327735 RDR327735 QTV327735 QJZ327735 QAD327735 PQH327735 PGL327735 OWP327735 OMT327735 OCX327735 NTB327735 NJF327735 MZJ327735 MPN327735 MFR327735 LVV327735 LLZ327735 LCD327735 KSH327735 KIL327735 JYP327735 JOT327735 JEX327735 IVB327735 ILF327735 IBJ327735 HRN327735 HHR327735 GXV327735 GNZ327735 GED327735 FUH327735 FKL327735 FAP327735 EQT327735 EGX327735 DXB327735 DNF327735 DDJ327735 CTN327735 CJR327735 BZV327735 BPZ327735 BGD327735 AWH327735 AML327735 ACP327735 ST327735 IX327735 B327735 WVJ262199 WLN262199 WBR262199 VRV262199 VHZ262199 UYD262199 UOH262199 UEL262199 TUP262199 TKT262199 TAX262199 SRB262199 SHF262199 RXJ262199 RNN262199 RDR262199 QTV262199 QJZ262199 QAD262199 PQH262199 PGL262199 OWP262199 OMT262199 OCX262199 NTB262199 NJF262199 MZJ262199 MPN262199 MFR262199 LVV262199 LLZ262199 LCD262199 KSH262199 KIL262199 JYP262199 JOT262199 JEX262199 IVB262199 ILF262199 IBJ262199 HRN262199 HHR262199 GXV262199 GNZ262199 GED262199 FUH262199 FKL262199 FAP262199 EQT262199 EGX262199 DXB262199 DNF262199 DDJ262199 CTN262199 CJR262199 BZV262199 BPZ262199 BGD262199 AWH262199 AML262199 ACP262199 ST262199 IX262199 B262199 WVJ196663 WLN196663 WBR196663 VRV196663 VHZ196663 UYD196663 UOH196663 UEL196663 TUP196663 TKT196663 TAX196663 SRB196663 SHF196663 RXJ196663 RNN196663 RDR196663 QTV196663 QJZ196663 QAD196663 PQH196663 PGL196663 OWP196663 OMT196663 OCX196663 NTB196663 NJF196663 MZJ196663 MPN196663 MFR196663 LVV196663 LLZ196663 LCD196663 KSH196663 KIL196663 JYP196663 JOT196663 JEX196663 IVB196663 ILF196663 IBJ196663 HRN196663 HHR196663 GXV196663 GNZ196663 GED196663 FUH196663 FKL196663 FAP196663 EQT196663 EGX196663 DXB196663 DNF196663 DDJ196663 CTN196663 CJR196663 BZV196663 BPZ196663 BGD196663 AWH196663 AML196663 ACP196663 ST196663 IX196663 B196663 WVJ131127 WLN131127 WBR131127 VRV131127 VHZ131127 UYD131127 UOH131127 UEL131127 TUP131127 TKT131127 TAX131127 SRB131127 SHF131127 RXJ131127 RNN131127 RDR131127 QTV131127 QJZ131127 QAD131127 PQH131127 PGL131127 OWP131127 OMT131127 OCX131127 NTB131127 NJF131127 MZJ131127 MPN131127 MFR131127 LVV131127 LLZ131127 LCD131127 KSH131127 KIL131127 JYP131127 JOT131127 JEX131127 IVB131127 ILF131127 IBJ131127 HRN131127 HHR131127 GXV131127 GNZ131127 GED131127 FUH131127 FKL131127 FAP131127 EQT131127 EGX131127 DXB131127 DNF131127 DDJ131127 CTN131127 CJR131127 BZV131127 BPZ131127 BGD131127 AWH131127 AML131127 ACP131127 ST131127 IX131127 B131127 WVJ65591 WLN65591 WBR65591 VRV65591 VHZ65591 UYD65591 UOH65591 UEL65591 TUP65591 TKT65591 TAX65591 SRB65591 SHF65591 RXJ65591 RNN65591 RDR65591 QTV65591 QJZ65591 QAD65591 PQH65591 PGL65591 OWP65591 OMT65591 OCX65591 NTB65591 NJF65591 MZJ65591 MPN65591 MFR65591 LVV65591 LLZ65591 LCD65591 KSH65591 KIL65591 JYP65591 JOT65591 JEX65591 IVB65591 ILF65591 IBJ65591 HRN65591 HHR65591 GXV65591 GNZ65591 GED65591 FUH65591 FKL65591 FAP65591 EQT65591 EGX65591 DXB65591 DNF65591 DDJ65591 CTN65591 CJR65591 BZV65591 BPZ65591 BGD65591 AWH65591 AML65591 ACP65591 ST65591 IX65591 B65591 WVJ137 WLN137 WBR137 VRV137 VHZ137 UYD137 UOH137 UEL137 TUP137 TKT137 TAX137 SRB137 SHF137 RXJ137 RNN137 RDR137 QTV137 QJZ137 QAD137 PQH137 PGL137 OWP137 OMT137 OCX137 NTB137 NJF137 MZJ137 MPN137 MFR137 LVV137 LLZ137 LCD137 KSH137 KIL137 JYP137 JOT137 JEX137 IVB137 ILF137 IBJ137 HRN137 HHR137 GXV137 GNZ137 GED137 FUH137 FKL137 FAP137 EQT137 EGX137 DXB137 DNF137</xm:sqref>
        </x14:dataValidation>
        <x14:dataValidation type="list" allowBlank="1" showInputMessage="1" showErrorMessage="1">
          <x14:formula1>
            <xm:f>$S$144:$S$181</xm:f>
          </x14:formula1>
          <xm:sqref>BGE220:BGP220 WVK983103:WVV983103 WLO983103:WLZ983103 WBS983103:WCD983103 VRW983103:VSH983103 VIA983103:VIL983103 UYE983103:UYP983103 UOI983103:UOT983103 UEM983103:UEX983103 TUQ983103:TVB983103 TKU983103:TLF983103 TAY983103:TBJ983103 SRC983103:SRN983103 SHG983103:SHR983103 RXK983103:RXV983103 RNO983103:RNZ983103 RDS983103:RED983103 QTW983103:QUH983103 QKA983103:QKL983103 QAE983103:QAP983103 PQI983103:PQT983103 PGM983103:PGX983103 OWQ983103:OXB983103 OMU983103:ONF983103 OCY983103:ODJ983103 NTC983103:NTN983103 NJG983103:NJR983103 MZK983103:MZV983103 MPO983103:MPZ983103 MFS983103:MGD983103 LVW983103:LWH983103 LMA983103:LML983103 LCE983103:LCP983103 KSI983103:KST983103 KIM983103:KIX983103 JYQ983103:JZB983103 JOU983103:JPF983103 JEY983103:JFJ983103 IVC983103:IVN983103 ILG983103:ILR983103 IBK983103:IBV983103 HRO983103:HRZ983103 HHS983103:HID983103 GXW983103:GYH983103 GOA983103:GOL983103 GEE983103:GEP983103 FUI983103:FUT983103 FKM983103:FKX983103 FAQ983103:FBB983103 EQU983103:ERF983103 EGY983103:EHJ983103 DXC983103:DXN983103 DNG983103:DNR983103 DDK983103:DDV983103 CTO983103:CTZ983103 CJS983103:CKD983103 BZW983103:CAH983103 BQA983103:BQL983103 BGE983103:BGP983103 AWI983103:AWT983103 AMM983103:AMX983103 ACQ983103:ADB983103 SU983103:TF983103 IY983103:JJ983103 C983103:N983103 WVK917567:WVV917567 WLO917567:WLZ917567 WBS917567:WCD917567 VRW917567:VSH917567 VIA917567:VIL917567 UYE917567:UYP917567 UOI917567:UOT917567 UEM917567:UEX917567 TUQ917567:TVB917567 TKU917567:TLF917567 TAY917567:TBJ917567 SRC917567:SRN917567 SHG917567:SHR917567 RXK917567:RXV917567 RNO917567:RNZ917567 RDS917567:RED917567 QTW917567:QUH917567 QKA917567:QKL917567 QAE917567:QAP917567 PQI917567:PQT917567 PGM917567:PGX917567 OWQ917567:OXB917567 OMU917567:ONF917567 OCY917567:ODJ917567 NTC917567:NTN917567 NJG917567:NJR917567 MZK917567:MZV917567 MPO917567:MPZ917567 MFS917567:MGD917567 LVW917567:LWH917567 LMA917567:LML917567 LCE917567:LCP917567 KSI917567:KST917567 KIM917567:KIX917567 JYQ917567:JZB917567 JOU917567:JPF917567 JEY917567:JFJ917567 IVC917567:IVN917567 ILG917567:ILR917567 IBK917567:IBV917567 HRO917567:HRZ917567 HHS917567:HID917567 GXW917567:GYH917567 GOA917567:GOL917567 GEE917567:GEP917567 FUI917567:FUT917567 FKM917567:FKX917567 FAQ917567:FBB917567 EQU917567:ERF917567 EGY917567:EHJ917567 DXC917567:DXN917567 DNG917567:DNR917567 DDK917567:DDV917567 CTO917567:CTZ917567 CJS917567:CKD917567 BZW917567:CAH917567 BQA917567:BQL917567 BGE917567:BGP917567 AWI917567:AWT917567 AMM917567:AMX917567 ACQ917567:ADB917567 SU917567:TF917567 IY917567:JJ917567 C917567:N917567 WVK852031:WVV852031 WLO852031:WLZ852031 WBS852031:WCD852031 VRW852031:VSH852031 VIA852031:VIL852031 UYE852031:UYP852031 UOI852031:UOT852031 UEM852031:UEX852031 TUQ852031:TVB852031 TKU852031:TLF852031 TAY852031:TBJ852031 SRC852031:SRN852031 SHG852031:SHR852031 RXK852031:RXV852031 RNO852031:RNZ852031 RDS852031:RED852031 QTW852031:QUH852031 QKA852031:QKL852031 QAE852031:QAP852031 PQI852031:PQT852031 PGM852031:PGX852031 OWQ852031:OXB852031 OMU852031:ONF852031 OCY852031:ODJ852031 NTC852031:NTN852031 NJG852031:NJR852031 MZK852031:MZV852031 MPO852031:MPZ852031 MFS852031:MGD852031 LVW852031:LWH852031 LMA852031:LML852031 LCE852031:LCP852031 KSI852031:KST852031 KIM852031:KIX852031 JYQ852031:JZB852031 JOU852031:JPF852031 JEY852031:JFJ852031 IVC852031:IVN852031 ILG852031:ILR852031 IBK852031:IBV852031 HRO852031:HRZ852031 HHS852031:HID852031 GXW852031:GYH852031 GOA852031:GOL852031 GEE852031:GEP852031 FUI852031:FUT852031 FKM852031:FKX852031 FAQ852031:FBB852031 EQU852031:ERF852031 EGY852031:EHJ852031 DXC852031:DXN852031 DNG852031:DNR852031 DDK852031:DDV852031 CTO852031:CTZ852031 CJS852031:CKD852031 BZW852031:CAH852031 BQA852031:BQL852031 BGE852031:BGP852031 AWI852031:AWT852031 AMM852031:AMX852031 ACQ852031:ADB852031 SU852031:TF852031 IY852031:JJ852031 C852031:N852031 WVK786495:WVV786495 WLO786495:WLZ786495 WBS786495:WCD786495 VRW786495:VSH786495 VIA786495:VIL786495 UYE786495:UYP786495 UOI786495:UOT786495 UEM786495:UEX786495 TUQ786495:TVB786495 TKU786495:TLF786495 TAY786495:TBJ786495 SRC786495:SRN786495 SHG786495:SHR786495 RXK786495:RXV786495 RNO786495:RNZ786495 RDS786495:RED786495 QTW786495:QUH786495 QKA786495:QKL786495 QAE786495:QAP786495 PQI786495:PQT786495 PGM786495:PGX786495 OWQ786495:OXB786495 OMU786495:ONF786495 OCY786495:ODJ786495 NTC786495:NTN786495 NJG786495:NJR786495 MZK786495:MZV786495 MPO786495:MPZ786495 MFS786495:MGD786495 LVW786495:LWH786495 LMA786495:LML786495 LCE786495:LCP786495 KSI786495:KST786495 KIM786495:KIX786495 JYQ786495:JZB786495 JOU786495:JPF786495 JEY786495:JFJ786495 IVC786495:IVN786495 ILG786495:ILR786495 IBK786495:IBV786495 HRO786495:HRZ786495 HHS786495:HID786495 GXW786495:GYH786495 GOA786495:GOL786495 GEE786495:GEP786495 FUI786495:FUT786495 FKM786495:FKX786495 FAQ786495:FBB786495 EQU786495:ERF786495 EGY786495:EHJ786495 DXC786495:DXN786495 DNG786495:DNR786495 DDK786495:DDV786495 CTO786495:CTZ786495 CJS786495:CKD786495 BZW786495:CAH786495 BQA786495:BQL786495 BGE786495:BGP786495 AWI786495:AWT786495 AMM786495:AMX786495 ACQ786495:ADB786495 SU786495:TF786495 IY786495:JJ786495 C786495:N786495 WVK720959:WVV720959 WLO720959:WLZ720959 WBS720959:WCD720959 VRW720959:VSH720959 VIA720959:VIL720959 UYE720959:UYP720959 UOI720959:UOT720959 UEM720959:UEX720959 TUQ720959:TVB720959 TKU720959:TLF720959 TAY720959:TBJ720959 SRC720959:SRN720959 SHG720959:SHR720959 RXK720959:RXV720959 RNO720959:RNZ720959 RDS720959:RED720959 QTW720959:QUH720959 QKA720959:QKL720959 QAE720959:QAP720959 PQI720959:PQT720959 PGM720959:PGX720959 OWQ720959:OXB720959 OMU720959:ONF720959 OCY720959:ODJ720959 NTC720959:NTN720959 NJG720959:NJR720959 MZK720959:MZV720959 MPO720959:MPZ720959 MFS720959:MGD720959 LVW720959:LWH720959 LMA720959:LML720959 LCE720959:LCP720959 KSI720959:KST720959 KIM720959:KIX720959 JYQ720959:JZB720959 JOU720959:JPF720959 JEY720959:JFJ720959 IVC720959:IVN720959 ILG720959:ILR720959 IBK720959:IBV720959 HRO720959:HRZ720959 HHS720959:HID720959 GXW720959:GYH720959 GOA720959:GOL720959 GEE720959:GEP720959 FUI720959:FUT720959 FKM720959:FKX720959 FAQ720959:FBB720959 EQU720959:ERF720959 EGY720959:EHJ720959 DXC720959:DXN720959 DNG720959:DNR720959 DDK720959:DDV720959 CTO720959:CTZ720959 CJS720959:CKD720959 BZW720959:CAH720959 BQA720959:BQL720959 BGE720959:BGP720959 AWI720959:AWT720959 AMM720959:AMX720959 ACQ720959:ADB720959 SU720959:TF720959 IY720959:JJ720959 C720959:N720959 WVK655423:WVV655423 WLO655423:WLZ655423 WBS655423:WCD655423 VRW655423:VSH655423 VIA655423:VIL655423 UYE655423:UYP655423 UOI655423:UOT655423 UEM655423:UEX655423 TUQ655423:TVB655423 TKU655423:TLF655423 TAY655423:TBJ655423 SRC655423:SRN655423 SHG655423:SHR655423 RXK655423:RXV655423 RNO655423:RNZ655423 RDS655423:RED655423 QTW655423:QUH655423 QKA655423:QKL655423 QAE655423:QAP655423 PQI655423:PQT655423 PGM655423:PGX655423 OWQ655423:OXB655423 OMU655423:ONF655423 OCY655423:ODJ655423 NTC655423:NTN655423 NJG655423:NJR655423 MZK655423:MZV655423 MPO655423:MPZ655423 MFS655423:MGD655423 LVW655423:LWH655423 LMA655423:LML655423 LCE655423:LCP655423 KSI655423:KST655423 KIM655423:KIX655423 JYQ655423:JZB655423 JOU655423:JPF655423 JEY655423:JFJ655423 IVC655423:IVN655423 ILG655423:ILR655423 IBK655423:IBV655423 HRO655423:HRZ655423 HHS655423:HID655423 GXW655423:GYH655423 GOA655423:GOL655423 GEE655423:GEP655423 FUI655423:FUT655423 FKM655423:FKX655423 FAQ655423:FBB655423 EQU655423:ERF655423 EGY655423:EHJ655423 DXC655423:DXN655423 DNG655423:DNR655423 DDK655423:DDV655423 CTO655423:CTZ655423 CJS655423:CKD655423 BZW655423:CAH655423 BQA655423:BQL655423 BGE655423:BGP655423 AWI655423:AWT655423 AMM655423:AMX655423 ACQ655423:ADB655423 SU655423:TF655423 IY655423:JJ655423 C655423:N655423 WVK589887:WVV589887 WLO589887:WLZ589887 WBS589887:WCD589887 VRW589887:VSH589887 VIA589887:VIL589887 UYE589887:UYP589887 UOI589887:UOT589887 UEM589887:UEX589887 TUQ589887:TVB589887 TKU589887:TLF589887 TAY589887:TBJ589887 SRC589887:SRN589887 SHG589887:SHR589887 RXK589887:RXV589887 RNO589887:RNZ589887 RDS589887:RED589887 QTW589887:QUH589887 QKA589887:QKL589887 QAE589887:QAP589887 PQI589887:PQT589887 PGM589887:PGX589887 OWQ589887:OXB589887 OMU589887:ONF589887 OCY589887:ODJ589887 NTC589887:NTN589887 NJG589887:NJR589887 MZK589887:MZV589887 MPO589887:MPZ589887 MFS589887:MGD589887 LVW589887:LWH589887 LMA589887:LML589887 LCE589887:LCP589887 KSI589887:KST589887 KIM589887:KIX589887 JYQ589887:JZB589887 JOU589887:JPF589887 JEY589887:JFJ589887 IVC589887:IVN589887 ILG589887:ILR589887 IBK589887:IBV589887 HRO589887:HRZ589887 HHS589887:HID589887 GXW589887:GYH589887 GOA589887:GOL589887 GEE589887:GEP589887 FUI589887:FUT589887 FKM589887:FKX589887 FAQ589887:FBB589887 EQU589887:ERF589887 EGY589887:EHJ589887 DXC589887:DXN589887 DNG589887:DNR589887 DDK589887:DDV589887 CTO589887:CTZ589887 CJS589887:CKD589887 BZW589887:CAH589887 BQA589887:BQL589887 BGE589887:BGP589887 AWI589887:AWT589887 AMM589887:AMX589887 ACQ589887:ADB589887 SU589887:TF589887 IY589887:JJ589887 C589887:N589887 WVK524351:WVV524351 WLO524351:WLZ524351 WBS524351:WCD524351 VRW524351:VSH524351 VIA524351:VIL524351 UYE524351:UYP524351 UOI524351:UOT524351 UEM524351:UEX524351 TUQ524351:TVB524351 TKU524351:TLF524351 TAY524351:TBJ524351 SRC524351:SRN524351 SHG524351:SHR524351 RXK524351:RXV524351 RNO524351:RNZ524351 RDS524351:RED524351 QTW524351:QUH524351 QKA524351:QKL524351 QAE524351:QAP524351 PQI524351:PQT524351 PGM524351:PGX524351 OWQ524351:OXB524351 OMU524351:ONF524351 OCY524351:ODJ524351 NTC524351:NTN524351 NJG524351:NJR524351 MZK524351:MZV524351 MPO524351:MPZ524351 MFS524351:MGD524351 LVW524351:LWH524351 LMA524351:LML524351 LCE524351:LCP524351 KSI524351:KST524351 KIM524351:KIX524351 JYQ524351:JZB524351 JOU524351:JPF524351 JEY524351:JFJ524351 IVC524351:IVN524351 ILG524351:ILR524351 IBK524351:IBV524351 HRO524351:HRZ524351 HHS524351:HID524351 GXW524351:GYH524351 GOA524351:GOL524351 GEE524351:GEP524351 FUI524351:FUT524351 FKM524351:FKX524351 FAQ524351:FBB524351 EQU524351:ERF524351 EGY524351:EHJ524351 DXC524351:DXN524351 DNG524351:DNR524351 DDK524351:DDV524351 CTO524351:CTZ524351 CJS524351:CKD524351 BZW524351:CAH524351 BQA524351:BQL524351 BGE524351:BGP524351 AWI524351:AWT524351 AMM524351:AMX524351 ACQ524351:ADB524351 SU524351:TF524351 IY524351:JJ524351 C524351:N524351 WVK458815:WVV458815 WLO458815:WLZ458815 WBS458815:WCD458815 VRW458815:VSH458815 VIA458815:VIL458815 UYE458815:UYP458815 UOI458815:UOT458815 UEM458815:UEX458815 TUQ458815:TVB458815 TKU458815:TLF458815 TAY458815:TBJ458815 SRC458815:SRN458815 SHG458815:SHR458815 RXK458815:RXV458815 RNO458815:RNZ458815 RDS458815:RED458815 QTW458815:QUH458815 QKA458815:QKL458815 QAE458815:QAP458815 PQI458815:PQT458815 PGM458815:PGX458815 OWQ458815:OXB458815 OMU458815:ONF458815 OCY458815:ODJ458815 NTC458815:NTN458815 NJG458815:NJR458815 MZK458815:MZV458815 MPO458815:MPZ458815 MFS458815:MGD458815 LVW458815:LWH458815 LMA458815:LML458815 LCE458815:LCP458815 KSI458815:KST458815 KIM458815:KIX458815 JYQ458815:JZB458815 JOU458815:JPF458815 JEY458815:JFJ458815 IVC458815:IVN458815 ILG458815:ILR458815 IBK458815:IBV458815 HRO458815:HRZ458815 HHS458815:HID458815 GXW458815:GYH458815 GOA458815:GOL458815 GEE458815:GEP458815 FUI458815:FUT458815 FKM458815:FKX458815 FAQ458815:FBB458815 EQU458815:ERF458815 EGY458815:EHJ458815 DXC458815:DXN458815 DNG458815:DNR458815 DDK458815:DDV458815 CTO458815:CTZ458815 CJS458815:CKD458815 BZW458815:CAH458815 BQA458815:BQL458815 BGE458815:BGP458815 AWI458815:AWT458815 AMM458815:AMX458815 ACQ458815:ADB458815 SU458815:TF458815 IY458815:JJ458815 C458815:N458815 WVK393279:WVV393279 WLO393279:WLZ393279 WBS393279:WCD393279 VRW393279:VSH393279 VIA393279:VIL393279 UYE393279:UYP393279 UOI393279:UOT393279 UEM393279:UEX393279 TUQ393279:TVB393279 TKU393279:TLF393279 TAY393279:TBJ393279 SRC393279:SRN393279 SHG393279:SHR393279 RXK393279:RXV393279 RNO393279:RNZ393279 RDS393279:RED393279 QTW393279:QUH393279 QKA393279:QKL393279 QAE393279:QAP393279 PQI393279:PQT393279 PGM393279:PGX393279 OWQ393279:OXB393279 OMU393279:ONF393279 OCY393279:ODJ393279 NTC393279:NTN393279 NJG393279:NJR393279 MZK393279:MZV393279 MPO393279:MPZ393279 MFS393279:MGD393279 LVW393279:LWH393279 LMA393279:LML393279 LCE393279:LCP393279 KSI393279:KST393279 KIM393279:KIX393279 JYQ393279:JZB393279 JOU393279:JPF393279 JEY393279:JFJ393279 IVC393279:IVN393279 ILG393279:ILR393279 IBK393279:IBV393279 HRO393279:HRZ393279 HHS393279:HID393279 GXW393279:GYH393279 GOA393279:GOL393279 GEE393279:GEP393279 FUI393279:FUT393279 FKM393279:FKX393279 FAQ393279:FBB393279 EQU393279:ERF393279 EGY393279:EHJ393279 DXC393279:DXN393279 DNG393279:DNR393279 DDK393279:DDV393279 CTO393279:CTZ393279 CJS393279:CKD393279 BZW393279:CAH393279 BQA393279:BQL393279 BGE393279:BGP393279 AWI393279:AWT393279 AMM393279:AMX393279 ACQ393279:ADB393279 SU393279:TF393279 IY393279:JJ393279 C393279:N393279 WVK327743:WVV327743 WLO327743:WLZ327743 WBS327743:WCD327743 VRW327743:VSH327743 VIA327743:VIL327743 UYE327743:UYP327743 UOI327743:UOT327743 UEM327743:UEX327743 TUQ327743:TVB327743 TKU327743:TLF327743 TAY327743:TBJ327743 SRC327743:SRN327743 SHG327743:SHR327743 RXK327743:RXV327743 RNO327743:RNZ327743 RDS327743:RED327743 QTW327743:QUH327743 QKA327743:QKL327743 QAE327743:QAP327743 PQI327743:PQT327743 PGM327743:PGX327743 OWQ327743:OXB327743 OMU327743:ONF327743 OCY327743:ODJ327743 NTC327743:NTN327743 NJG327743:NJR327743 MZK327743:MZV327743 MPO327743:MPZ327743 MFS327743:MGD327743 LVW327743:LWH327743 LMA327743:LML327743 LCE327743:LCP327743 KSI327743:KST327743 KIM327743:KIX327743 JYQ327743:JZB327743 JOU327743:JPF327743 JEY327743:JFJ327743 IVC327743:IVN327743 ILG327743:ILR327743 IBK327743:IBV327743 HRO327743:HRZ327743 HHS327743:HID327743 GXW327743:GYH327743 GOA327743:GOL327743 GEE327743:GEP327743 FUI327743:FUT327743 FKM327743:FKX327743 FAQ327743:FBB327743 EQU327743:ERF327743 EGY327743:EHJ327743 DXC327743:DXN327743 DNG327743:DNR327743 DDK327743:DDV327743 CTO327743:CTZ327743 CJS327743:CKD327743 BZW327743:CAH327743 BQA327743:BQL327743 BGE327743:BGP327743 AWI327743:AWT327743 AMM327743:AMX327743 ACQ327743:ADB327743 SU327743:TF327743 IY327743:JJ327743 C327743:N327743 WVK262207:WVV262207 WLO262207:WLZ262207 WBS262207:WCD262207 VRW262207:VSH262207 VIA262207:VIL262207 UYE262207:UYP262207 UOI262207:UOT262207 UEM262207:UEX262207 TUQ262207:TVB262207 TKU262207:TLF262207 TAY262207:TBJ262207 SRC262207:SRN262207 SHG262207:SHR262207 RXK262207:RXV262207 RNO262207:RNZ262207 RDS262207:RED262207 QTW262207:QUH262207 QKA262207:QKL262207 QAE262207:QAP262207 PQI262207:PQT262207 PGM262207:PGX262207 OWQ262207:OXB262207 OMU262207:ONF262207 OCY262207:ODJ262207 NTC262207:NTN262207 NJG262207:NJR262207 MZK262207:MZV262207 MPO262207:MPZ262207 MFS262207:MGD262207 LVW262207:LWH262207 LMA262207:LML262207 LCE262207:LCP262207 KSI262207:KST262207 KIM262207:KIX262207 JYQ262207:JZB262207 JOU262207:JPF262207 JEY262207:JFJ262207 IVC262207:IVN262207 ILG262207:ILR262207 IBK262207:IBV262207 HRO262207:HRZ262207 HHS262207:HID262207 GXW262207:GYH262207 GOA262207:GOL262207 GEE262207:GEP262207 FUI262207:FUT262207 FKM262207:FKX262207 FAQ262207:FBB262207 EQU262207:ERF262207 EGY262207:EHJ262207 DXC262207:DXN262207 DNG262207:DNR262207 DDK262207:DDV262207 CTO262207:CTZ262207 CJS262207:CKD262207 BZW262207:CAH262207 BQA262207:BQL262207 BGE262207:BGP262207 AWI262207:AWT262207 AMM262207:AMX262207 ACQ262207:ADB262207 SU262207:TF262207 IY262207:JJ262207 C262207:N262207 WVK196671:WVV196671 WLO196671:WLZ196671 WBS196671:WCD196671 VRW196671:VSH196671 VIA196671:VIL196671 UYE196671:UYP196671 UOI196671:UOT196671 UEM196671:UEX196671 TUQ196671:TVB196671 TKU196671:TLF196671 TAY196671:TBJ196671 SRC196671:SRN196671 SHG196671:SHR196671 RXK196671:RXV196671 RNO196671:RNZ196671 RDS196671:RED196671 QTW196671:QUH196671 QKA196671:QKL196671 QAE196671:QAP196671 PQI196671:PQT196671 PGM196671:PGX196671 OWQ196671:OXB196671 OMU196671:ONF196671 OCY196671:ODJ196671 NTC196671:NTN196671 NJG196671:NJR196671 MZK196671:MZV196671 MPO196671:MPZ196671 MFS196671:MGD196671 LVW196671:LWH196671 LMA196671:LML196671 LCE196671:LCP196671 KSI196671:KST196671 KIM196671:KIX196671 JYQ196671:JZB196671 JOU196671:JPF196671 JEY196671:JFJ196671 IVC196671:IVN196671 ILG196671:ILR196671 IBK196671:IBV196671 HRO196671:HRZ196671 HHS196671:HID196671 GXW196671:GYH196671 GOA196671:GOL196671 GEE196671:GEP196671 FUI196671:FUT196671 FKM196671:FKX196671 FAQ196671:FBB196671 EQU196671:ERF196671 EGY196671:EHJ196671 DXC196671:DXN196671 DNG196671:DNR196671 DDK196671:DDV196671 CTO196671:CTZ196671 CJS196671:CKD196671 BZW196671:CAH196671 BQA196671:BQL196671 BGE196671:BGP196671 AWI196671:AWT196671 AMM196671:AMX196671 ACQ196671:ADB196671 SU196671:TF196671 IY196671:JJ196671 C196671:N196671 WVK131135:WVV131135 WLO131135:WLZ131135 WBS131135:WCD131135 VRW131135:VSH131135 VIA131135:VIL131135 UYE131135:UYP131135 UOI131135:UOT131135 UEM131135:UEX131135 TUQ131135:TVB131135 TKU131135:TLF131135 TAY131135:TBJ131135 SRC131135:SRN131135 SHG131135:SHR131135 RXK131135:RXV131135 RNO131135:RNZ131135 RDS131135:RED131135 QTW131135:QUH131135 QKA131135:QKL131135 QAE131135:QAP131135 PQI131135:PQT131135 PGM131135:PGX131135 OWQ131135:OXB131135 OMU131135:ONF131135 OCY131135:ODJ131135 NTC131135:NTN131135 NJG131135:NJR131135 MZK131135:MZV131135 MPO131135:MPZ131135 MFS131135:MGD131135 LVW131135:LWH131135 LMA131135:LML131135 LCE131135:LCP131135 KSI131135:KST131135 KIM131135:KIX131135 JYQ131135:JZB131135 JOU131135:JPF131135 JEY131135:JFJ131135 IVC131135:IVN131135 ILG131135:ILR131135 IBK131135:IBV131135 HRO131135:HRZ131135 HHS131135:HID131135 GXW131135:GYH131135 GOA131135:GOL131135 GEE131135:GEP131135 FUI131135:FUT131135 FKM131135:FKX131135 FAQ131135:FBB131135 EQU131135:ERF131135 EGY131135:EHJ131135 DXC131135:DXN131135 DNG131135:DNR131135 DDK131135:DDV131135 CTO131135:CTZ131135 CJS131135:CKD131135 BZW131135:CAH131135 BQA131135:BQL131135 BGE131135:BGP131135 AWI131135:AWT131135 AMM131135:AMX131135 ACQ131135:ADB131135 SU131135:TF131135 IY131135:JJ131135 C131135:N131135 WVK65599:WVV65599 WLO65599:WLZ65599 WBS65599:WCD65599 VRW65599:VSH65599 VIA65599:VIL65599 UYE65599:UYP65599 UOI65599:UOT65599 UEM65599:UEX65599 TUQ65599:TVB65599 TKU65599:TLF65599 TAY65599:TBJ65599 SRC65599:SRN65599 SHG65599:SHR65599 RXK65599:RXV65599 RNO65599:RNZ65599 RDS65599:RED65599 QTW65599:QUH65599 QKA65599:QKL65599 QAE65599:QAP65599 PQI65599:PQT65599 PGM65599:PGX65599 OWQ65599:OXB65599 OMU65599:ONF65599 OCY65599:ODJ65599 NTC65599:NTN65599 NJG65599:NJR65599 MZK65599:MZV65599 MPO65599:MPZ65599 MFS65599:MGD65599 LVW65599:LWH65599 LMA65599:LML65599 LCE65599:LCP65599 KSI65599:KST65599 KIM65599:KIX65599 JYQ65599:JZB65599 JOU65599:JPF65599 JEY65599:JFJ65599 IVC65599:IVN65599 ILG65599:ILR65599 IBK65599:IBV65599 HRO65599:HRZ65599 HHS65599:HID65599 GXW65599:GYH65599 GOA65599:GOL65599 GEE65599:GEP65599 FUI65599:FUT65599 FKM65599:FKX65599 FAQ65599:FBB65599 EQU65599:ERF65599 EGY65599:EHJ65599 DXC65599:DXN65599 DNG65599:DNR65599 DDK65599:DDV65599 CTO65599:CTZ65599 CJS65599:CKD65599 BZW65599:CAH65599 BQA65599:BQL65599 BGE65599:BGP65599 AWI65599:AWT65599 AMM65599:AMX65599 ACQ65599:ADB65599 SU65599:TF65599 IY65599:JJ65599 C65599:N65599 WVK145:WVV145 WLO145:WLZ145 WBS145:WCD145 VRW145:VSH145 VIA145:VIL145 UYE145:UYP145 UOI145:UOT145 UEM145:UEX145 TUQ145:TVB145 TKU145:TLF145 TAY145:TBJ145 SRC145:SRN145 SHG145:SHR145 RXK145:RXV145 RNO145:RNZ145 RDS145:RED145 QTW145:QUH145 QKA145:QKL145 QAE145:QAP145 PQI145:PQT145 PGM145:PGX145 OWQ145:OXB145 OMU145:ONF145 OCY145:ODJ145 NTC145:NTN145 NJG145:NJR145 MZK145:MZV145 MPO145:MPZ145 MFS145:MGD145 LVW145:LWH145 LMA145:LML145 LCE145:LCP145 KSI145:KST145 KIM145:KIX145 JYQ145:JZB145 JOU145:JPF145 JEY145:JFJ145 IVC145:IVN145 ILG145:ILR145 IBK145:IBV145 HRO145:HRZ145 HHS145:HID145 GXW145:GYH145 GOA145:GOL145 GEE145:GEP145 FUI145:FUT145 FKM145:FKX145 FAQ145:FBB145 EQU145:ERF145 EGY145:EHJ145 DXC145:DXN145 DNG145:DNR145 DDK145:DDV145 CTO145:CTZ145 CJS145:CKD145 BZW145:CAH145 BQA145:BQL145 BGE145:BGP145 AWI145:AWT145 AMM145:AMX145 ACQ145:ADB145 SU145:TF145 IY145:JJ145 IY220:JJ220 WVK983283:WVV983283 WLO983283:WLZ983283 WBS983283:WCD983283 VRW983283:VSH983283 VIA983283:VIL983283 UYE983283:UYP983283 UOI983283:UOT983283 UEM983283:UEX983283 TUQ983283:TVB983283 TKU983283:TLF983283 TAY983283:TBJ983283 SRC983283:SRN983283 SHG983283:SHR983283 RXK983283:RXV983283 RNO983283:RNZ983283 RDS983283:RED983283 QTW983283:QUH983283 QKA983283:QKL983283 QAE983283:QAP983283 PQI983283:PQT983283 PGM983283:PGX983283 OWQ983283:OXB983283 OMU983283:ONF983283 OCY983283:ODJ983283 NTC983283:NTN983283 NJG983283:NJR983283 MZK983283:MZV983283 MPO983283:MPZ983283 MFS983283:MGD983283 LVW983283:LWH983283 LMA983283:LML983283 LCE983283:LCP983283 KSI983283:KST983283 KIM983283:KIX983283 JYQ983283:JZB983283 JOU983283:JPF983283 JEY983283:JFJ983283 IVC983283:IVN983283 ILG983283:ILR983283 IBK983283:IBV983283 HRO983283:HRZ983283 HHS983283:HID983283 GXW983283:GYH983283 GOA983283:GOL983283 GEE983283:GEP983283 FUI983283:FUT983283 FKM983283:FKX983283 FAQ983283:FBB983283 EQU983283:ERF983283 EGY983283:EHJ983283 DXC983283:DXN983283 DNG983283:DNR983283 DDK983283:DDV983283 CTO983283:CTZ983283 CJS983283:CKD983283 BZW983283:CAH983283 BQA983283:BQL983283 BGE983283:BGP983283 AWI983283:AWT983283 AMM983283:AMX983283 ACQ983283:ADB983283 SU983283:TF983283 IY983283:JJ983283 C983283:N983283 WVK917747:WVV917747 WLO917747:WLZ917747 WBS917747:WCD917747 VRW917747:VSH917747 VIA917747:VIL917747 UYE917747:UYP917747 UOI917747:UOT917747 UEM917747:UEX917747 TUQ917747:TVB917747 TKU917747:TLF917747 TAY917747:TBJ917747 SRC917747:SRN917747 SHG917747:SHR917747 RXK917747:RXV917747 RNO917747:RNZ917747 RDS917747:RED917747 QTW917747:QUH917747 QKA917747:QKL917747 QAE917747:QAP917747 PQI917747:PQT917747 PGM917747:PGX917747 OWQ917747:OXB917747 OMU917747:ONF917747 OCY917747:ODJ917747 NTC917747:NTN917747 NJG917747:NJR917747 MZK917747:MZV917747 MPO917747:MPZ917747 MFS917747:MGD917747 LVW917747:LWH917747 LMA917747:LML917747 LCE917747:LCP917747 KSI917747:KST917747 KIM917747:KIX917747 JYQ917747:JZB917747 JOU917747:JPF917747 JEY917747:JFJ917747 IVC917747:IVN917747 ILG917747:ILR917747 IBK917747:IBV917747 HRO917747:HRZ917747 HHS917747:HID917747 GXW917747:GYH917747 GOA917747:GOL917747 GEE917747:GEP917747 FUI917747:FUT917747 FKM917747:FKX917747 FAQ917747:FBB917747 EQU917747:ERF917747 EGY917747:EHJ917747 DXC917747:DXN917747 DNG917747:DNR917747 DDK917747:DDV917747 CTO917747:CTZ917747 CJS917747:CKD917747 BZW917747:CAH917747 BQA917747:BQL917747 BGE917747:BGP917747 AWI917747:AWT917747 AMM917747:AMX917747 ACQ917747:ADB917747 SU917747:TF917747 IY917747:JJ917747 C917747:N917747 WVK852211:WVV852211 WLO852211:WLZ852211 WBS852211:WCD852211 VRW852211:VSH852211 VIA852211:VIL852211 UYE852211:UYP852211 UOI852211:UOT852211 UEM852211:UEX852211 TUQ852211:TVB852211 TKU852211:TLF852211 TAY852211:TBJ852211 SRC852211:SRN852211 SHG852211:SHR852211 RXK852211:RXV852211 RNO852211:RNZ852211 RDS852211:RED852211 QTW852211:QUH852211 QKA852211:QKL852211 QAE852211:QAP852211 PQI852211:PQT852211 PGM852211:PGX852211 OWQ852211:OXB852211 OMU852211:ONF852211 OCY852211:ODJ852211 NTC852211:NTN852211 NJG852211:NJR852211 MZK852211:MZV852211 MPO852211:MPZ852211 MFS852211:MGD852211 LVW852211:LWH852211 LMA852211:LML852211 LCE852211:LCP852211 KSI852211:KST852211 KIM852211:KIX852211 JYQ852211:JZB852211 JOU852211:JPF852211 JEY852211:JFJ852211 IVC852211:IVN852211 ILG852211:ILR852211 IBK852211:IBV852211 HRO852211:HRZ852211 HHS852211:HID852211 GXW852211:GYH852211 GOA852211:GOL852211 GEE852211:GEP852211 FUI852211:FUT852211 FKM852211:FKX852211 FAQ852211:FBB852211 EQU852211:ERF852211 EGY852211:EHJ852211 DXC852211:DXN852211 DNG852211:DNR852211 DDK852211:DDV852211 CTO852211:CTZ852211 CJS852211:CKD852211 BZW852211:CAH852211 BQA852211:BQL852211 BGE852211:BGP852211 AWI852211:AWT852211 AMM852211:AMX852211 ACQ852211:ADB852211 SU852211:TF852211 IY852211:JJ852211 C852211:N852211 WVK786675:WVV786675 WLO786675:WLZ786675 WBS786675:WCD786675 VRW786675:VSH786675 VIA786675:VIL786675 UYE786675:UYP786675 UOI786675:UOT786675 UEM786675:UEX786675 TUQ786675:TVB786675 TKU786675:TLF786675 TAY786675:TBJ786675 SRC786675:SRN786675 SHG786675:SHR786675 RXK786675:RXV786675 RNO786675:RNZ786675 RDS786675:RED786675 QTW786675:QUH786675 QKA786675:QKL786675 QAE786675:QAP786675 PQI786675:PQT786675 PGM786675:PGX786675 OWQ786675:OXB786675 OMU786675:ONF786675 OCY786675:ODJ786675 NTC786675:NTN786675 NJG786675:NJR786675 MZK786675:MZV786675 MPO786675:MPZ786675 MFS786675:MGD786675 LVW786675:LWH786675 LMA786675:LML786675 LCE786675:LCP786675 KSI786675:KST786675 KIM786675:KIX786675 JYQ786675:JZB786675 JOU786675:JPF786675 JEY786675:JFJ786675 IVC786675:IVN786675 ILG786675:ILR786675 IBK786675:IBV786675 HRO786675:HRZ786675 HHS786675:HID786675 GXW786675:GYH786675 GOA786675:GOL786675 GEE786675:GEP786675 FUI786675:FUT786675 FKM786675:FKX786675 FAQ786675:FBB786675 EQU786675:ERF786675 EGY786675:EHJ786675 DXC786675:DXN786675 DNG786675:DNR786675 DDK786675:DDV786675 CTO786675:CTZ786675 CJS786675:CKD786675 BZW786675:CAH786675 BQA786675:BQL786675 BGE786675:BGP786675 AWI786675:AWT786675 AMM786675:AMX786675 ACQ786675:ADB786675 SU786675:TF786675 IY786675:JJ786675 C786675:N786675 WVK721139:WVV721139 WLO721139:WLZ721139 WBS721139:WCD721139 VRW721139:VSH721139 VIA721139:VIL721139 UYE721139:UYP721139 UOI721139:UOT721139 UEM721139:UEX721139 TUQ721139:TVB721139 TKU721139:TLF721139 TAY721139:TBJ721139 SRC721139:SRN721139 SHG721139:SHR721139 RXK721139:RXV721139 RNO721139:RNZ721139 RDS721139:RED721139 QTW721139:QUH721139 QKA721139:QKL721139 QAE721139:QAP721139 PQI721139:PQT721139 PGM721139:PGX721139 OWQ721139:OXB721139 OMU721139:ONF721139 OCY721139:ODJ721139 NTC721139:NTN721139 NJG721139:NJR721139 MZK721139:MZV721139 MPO721139:MPZ721139 MFS721139:MGD721139 LVW721139:LWH721139 LMA721139:LML721139 LCE721139:LCP721139 KSI721139:KST721139 KIM721139:KIX721139 JYQ721139:JZB721139 JOU721139:JPF721139 JEY721139:JFJ721139 IVC721139:IVN721139 ILG721139:ILR721139 IBK721139:IBV721139 HRO721139:HRZ721139 HHS721139:HID721139 GXW721139:GYH721139 GOA721139:GOL721139 GEE721139:GEP721139 FUI721139:FUT721139 FKM721139:FKX721139 FAQ721139:FBB721139 EQU721139:ERF721139 EGY721139:EHJ721139 DXC721139:DXN721139 DNG721139:DNR721139 DDK721139:DDV721139 CTO721139:CTZ721139 CJS721139:CKD721139 BZW721139:CAH721139 BQA721139:BQL721139 BGE721139:BGP721139 AWI721139:AWT721139 AMM721139:AMX721139 ACQ721139:ADB721139 SU721139:TF721139 IY721139:JJ721139 C721139:N721139 WVK655603:WVV655603 WLO655603:WLZ655603 WBS655603:WCD655603 VRW655603:VSH655603 VIA655603:VIL655603 UYE655603:UYP655603 UOI655603:UOT655603 UEM655603:UEX655603 TUQ655603:TVB655603 TKU655603:TLF655603 TAY655603:TBJ655603 SRC655603:SRN655603 SHG655603:SHR655603 RXK655603:RXV655603 RNO655603:RNZ655603 RDS655603:RED655603 QTW655603:QUH655603 QKA655603:QKL655603 QAE655603:QAP655603 PQI655603:PQT655603 PGM655603:PGX655603 OWQ655603:OXB655603 OMU655603:ONF655603 OCY655603:ODJ655603 NTC655603:NTN655603 NJG655603:NJR655603 MZK655603:MZV655603 MPO655603:MPZ655603 MFS655603:MGD655603 LVW655603:LWH655603 LMA655603:LML655603 LCE655603:LCP655603 KSI655603:KST655603 KIM655603:KIX655603 JYQ655603:JZB655603 JOU655603:JPF655603 JEY655603:JFJ655603 IVC655603:IVN655603 ILG655603:ILR655603 IBK655603:IBV655603 HRO655603:HRZ655603 HHS655603:HID655603 GXW655603:GYH655603 GOA655603:GOL655603 GEE655603:GEP655603 FUI655603:FUT655603 FKM655603:FKX655603 FAQ655603:FBB655603 EQU655603:ERF655603 EGY655603:EHJ655603 DXC655603:DXN655603 DNG655603:DNR655603 DDK655603:DDV655603 CTO655603:CTZ655603 CJS655603:CKD655603 BZW655603:CAH655603 BQA655603:BQL655603 BGE655603:BGP655603 AWI655603:AWT655603 AMM655603:AMX655603 ACQ655603:ADB655603 SU655603:TF655603 IY655603:JJ655603 C655603:N655603 WVK590067:WVV590067 WLO590067:WLZ590067 WBS590067:WCD590067 VRW590067:VSH590067 VIA590067:VIL590067 UYE590067:UYP590067 UOI590067:UOT590067 UEM590067:UEX590067 TUQ590067:TVB590067 TKU590067:TLF590067 TAY590067:TBJ590067 SRC590067:SRN590067 SHG590067:SHR590067 RXK590067:RXV590067 RNO590067:RNZ590067 RDS590067:RED590067 QTW590067:QUH590067 QKA590067:QKL590067 QAE590067:QAP590067 PQI590067:PQT590067 PGM590067:PGX590067 OWQ590067:OXB590067 OMU590067:ONF590067 OCY590067:ODJ590067 NTC590067:NTN590067 NJG590067:NJR590067 MZK590067:MZV590067 MPO590067:MPZ590067 MFS590067:MGD590067 LVW590067:LWH590067 LMA590067:LML590067 LCE590067:LCP590067 KSI590067:KST590067 KIM590067:KIX590067 JYQ590067:JZB590067 JOU590067:JPF590067 JEY590067:JFJ590067 IVC590067:IVN590067 ILG590067:ILR590067 IBK590067:IBV590067 HRO590067:HRZ590067 HHS590067:HID590067 GXW590067:GYH590067 GOA590067:GOL590067 GEE590067:GEP590067 FUI590067:FUT590067 FKM590067:FKX590067 FAQ590067:FBB590067 EQU590067:ERF590067 EGY590067:EHJ590067 DXC590067:DXN590067 DNG590067:DNR590067 DDK590067:DDV590067 CTO590067:CTZ590067 CJS590067:CKD590067 BZW590067:CAH590067 BQA590067:BQL590067 BGE590067:BGP590067 AWI590067:AWT590067 AMM590067:AMX590067 ACQ590067:ADB590067 SU590067:TF590067 IY590067:JJ590067 C590067:N590067 WVK524531:WVV524531 WLO524531:WLZ524531 WBS524531:WCD524531 VRW524531:VSH524531 VIA524531:VIL524531 UYE524531:UYP524531 UOI524531:UOT524531 UEM524531:UEX524531 TUQ524531:TVB524531 TKU524531:TLF524531 TAY524531:TBJ524531 SRC524531:SRN524531 SHG524531:SHR524531 RXK524531:RXV524531 RNO524531:RNZ524531 RDS524531:RED524531 QTW524531:QUH524531 QKA524531:QKL524531 QAE524531:QAP524531 PQI524531:PQT524531 PGM524531:PGX524531 OWQ524531:OXB524531 OMU524531:ONF524531 OCY524531:ODJ524531 NTC524531:NTN524531 NJG524531:NJR524531 MZK524531:MZV524531 MPO524531:MPZ524531 MFS524531:MGD524531 LVW524531:LWH524531 LMA524531:LML524531 LCE524531:LCP524531 KSI524531:KST524531 KIM524531:KIX524531 JYQ524531:JZB524531 JOU524531:JPF524531 JEY524531:JFJ524531 IVC524531:IVN524531 ILG524531:ILR524531 IBK524531:IBV524531 HRO524531:HRZ524531 HHS524531:HID524531 GXW524531:GYH524531 GOA524531:GOL524531 GEE524531:GEP524531 FUI524531:FUT524531 FKM524531:FKX524531 FAQ524531:FBB524531 EQU524531:ERF524531 EGY524531:EHJ524531 DXC524531:DXN524531 DNG524531:DNR524531 DDK524531:DDV524531 CTO524531:CTZ524531 CJS524531:CKD524531 BZW524531:CAH524531 BQA524531:BQL524531 BGE524531:BGP524531 AWI524531:AWT524531 AMM524531:AMX524531 ACQ524531:ADB524531 SU524531:TF524531 IY524531:JJ524531 C524531:N524531 WVK458995:WVV458995 WLO458995:WLZ458995 WBS458995:WCD458995 VRW458995:VSH458995 VIA458995:VIL458995 UYE458995:UYP458995 UOI458995:UOT458995 UEM458995:UEX458995 TUQ458995:TVB458995 TKU458995:TLF458995 TAY458995:TBJ458995 SRC458995:SRN458995 SHG458995:SHR458995 RXK458995:RXV458995 RNO458995:RNZ458995 RDS458995:RED458995 QTW458995:QUH458995 QKA458995:QKL458995 QAE458995:QAP458995 PQI458995:PQT458995 PGM458995:PGX458995 OWQ458995:OXB458995 OMU458995:ONF458995 OCY458995:ODJ458995 NTC458995:NTN458995 NJG458995:NJR458995 MZK458995:MZV458995 MPO458995:MPZ458995 MFS458995:MGD458995 LVW458995:LWH458995 LMA458995:LML458995 LCE458995:LCP458995 KSI458995:KST458995 KIM458995:KIX458995 JYQ458995:JZB458995 JOU458995:JPF458995 JEY458995:JFJ458995 IVC458995:IVN458995 ILG458995:ILR458995 IBK458995:IBV458995 HRO458995:HRZ458995 HHS458995:HID458995 GXW458995:GYH458995 GOA458995:GOL458995 GEE458995:GEP458995 FUI458995:FUT458995 FKM458995:FKX458995 FAQ458995:FBB458995 EQU458995:ERF458995 EGY458995:EHJ458995 DXC458995:DXN458995 DNG458995:DNR458995 DDK458995:DDV458995 CTO458995:CTZ458995 CJS458995:CKD458995 BZW458995:CAH458995 BQA458995:BQL458995 BGE458995:BGP458995 AWI458995:AWT458995 AMM458995:AMX458995 ACQ458995:ADB458995 SU458995:TF458995 IY458995:JJ458995 C458995:N458995 WVK393459:WVV393459 WLO393459:WLZ393459 WBS393459:WCD393459 VRW393459:VSH393459 VIA393459:VIL393459 UYE393459:UYP393459 UOI393459:UOT393459 UEM393459:UEX393459 TUQ393459:TVB393459 TKU393459:TLF393459 TAY393459:TBJ393459 SRC393459:SRN393459 SHG393459:SHR393459 RXK393459:RXV393459 RNO393459:RNZ393459 RDS393459:RED393459 QTW393459:QUH393459 QKA393459:QKL393459 QAE393459:QAP393459 PQI393459:PQT393459 PGM393459:PGX393459 OWQ393459:OXB393459 OMU393459:ONF393459 OCY393459:ODJ393459 NTC393459:NTN393459 NJG393459:NJR393459 MZK393459:MZV393459 MPO393459:MPZ393459 MFS393459:MGD393459 LVW393459:LWH393459 LMA393459:LML393459 LCE393459:LCP393459 KSI393459:KST393459 KIM393459:KIX393459 JYQ393459:JZB393459 JOU393459:JPF393459 JEY393459:JFJ393459 IVC393459:IVN393459 ILG393459:ILR393459 IBK393459:IBV393459 HRO393459:HRZ393459 HHS393459:HID393459 GXW393459:GYH393459 GOA393459:GOL393459 GEE393459:GEP393459 FUI393459:FUT393459 FKM393459:FKX393459 FAQ393459:FBB393459 EQU393459:ERF393459 EGY393459:EHJ393459 DXC393459:DXN393459 DNG393459:DNR393459 DDK393459:DDV393459 CTO393459:CTZ393459 CJS393459:CKD393459 BZW393459:CAH393459 BQA393459:BQL393459 BGE393459:BGP393459 AWI393459:AWT393459 AMM393459:AMX393459 ACQ393459:ADB393459 SU393459:TF393459 IY393459:JJ393459 C393459:N393459 WVK327923:WVV327923 WLO327923:WLZ327923 WBS327923:WCD327923 VRW327923:VSH327923 VIA327923:VIL327923 UYE327923:UYP327923 UOI327923:UOT327923 UEM327923:UEX327923 TUQ327923:TVB327923 TKU327923:TLF327923 TAY327923:TBJ327923 SRC327923:SRN327923 SHG327923:SHR327923 RXK327923:RXV327923 RNO327923:RNZ327923 RDS327923:RED327923 QTW327923:QUH327923 QKA327923:QKL327923 QAE327923:QAP327923 PQI327923:PQT327923 PGM327923:PGX327923 OWQ327923:OXB327923 OMU327923:ONF327923 OCY327923:ODJ327923 NTC327923:NTN327923 NJG327923:NJR327923 MZK327923:MZV327923 MPO327923:MPZ327923 MFS327923:MGD327923 LVW327923:LWH327923 LMA327923:LML327923 LCE327923:LCP327923 KSI327923:KST327923 KIM327923:KIX327923 JYQ327923:JZB327923 JOU327923:JPF327923 JEY327923:JFJ327923 IVC327923:IVN327923 ILG327923:ILR327923 IBK327923:IBV327923 HRO327923:HRZ327923 HHS327923:HID327923 GXW327923:GYH327923 GOA327923:GOL327923 GEE327923:GEP327923 FUI327923:FUT327923 FKM327923:FKX327923 FAQ327923:FBB327923 EQU327923:ERF327923 EGY327923:EHJ327923 DXC327923:DXN327923 DNG327923:DNR327923 DDK327923:DDV327923 CTO327923:CTZ327923 CJS327923:CKD327923 BZW327923:CAH327923 BQA327923:BQL327923 BGE327923:BGP327923 AWI327923:AWT327923 AMM327923:AMX327923 ACQ327923:ADB327923 SU327923:TF327923 IY327923:JJ327923 C327923:N327923 WVK262387:WVV262387 WLO262387:WLZ262387 WBS262387:WCD262387 VRW262387:VSH262387 VIA262387:VIL262387 UYE262387:UYP262387 UOI262387:UOT262387 UEM262387:UEX262387 TUQ262387:TVB262387 TKU262387:TLF262387 TAY262387:TBJ262387 SRC262387:SRN262387 SHG262387:SHR262387 RXK262387:RXV262387 RNO262387:RNZ262387 RDS262387:RED262387 QTW262387:QUH262387 QKA262387:QKL262387 QAE262387:QAP262387 PQI262387:PQT262387 PGM262387:PGX262387 OWQ262387:OXB262387 OMU262387:ONF262387 OCY262387:ODJ262387 NTC262387:NTN262387 NJG262387:NJR262387 MZK262387:MZV262387 MPO262387:MPZ262387 MFS262387:MGD262387 LVW262387:LWH262387 LMA262387:LML262387 LCE262387:LCP262387 KSI262387:KST262387 KIM262387:KIX262387 JYQ262387:JZB262387 JOU262387:JPF262387 JEY262387:JFJ262387 IVC262387:IVN262387 ILG262387:ILR262387 IBK262387:IBV262387 HRO262387:HRZ262387 HHS262387:HID262387 GXW262387:GYH262387 GOA262387:GOL262387 GEE262387:GEP262387 FUI262387:FUT262387 FKM262387:FKX262387 FAQ262387:FBB262387 EQU262387:ERF262387 EGY262387:EHJ262387 DXC262387:DXN262387 DNG262387:DNR262387 DDK262387:DDV262387 CTO262387:CTZ262387 CJS262387:CKD262387 BZW262387:CAH262387 BQA262387:BQL262387 BGE262387:BGP262387 AWI262387:AWT262387 AMM262387:AMX262387 ACQ262387:ADB262387 SU262387:TF262387 IY262387:JJ262387 C262387:N262387 WVK196851:WVV196851 WLO196851:WLZ196851 WBS196851:WCD196851 VRW196851:VSH196851 VIA196851:VIL196851 UYE196851:UYP196851 UOI196851:UOT196851 UEM196851:UEX196851 TUQ196851:TVB196851 TKU196851:TLF196851 TAY196851:TBJ196851 SRC196851:SRN196851 SHG196851:SHR196851 RXK196851:RXV196851 RNO196851:RNZ196851 RDS196851:RED196851 QTW196851:QUH196851 QKA196851:QKL196851 QAE196851:QAP196851 PQI196851:PQT196851 PGM196851:PGX196851 OWQ196851:OXB196851 OMU196851:ONF196851 OCY196851:ODJ196851 NTC196851:NTN196851 NJG196851:NJR196851 MZK196851:MZV196851 MPO196851:MPZ196851 MFS196851:MGD196851 LVW196851:LWH196851 LMA196851:LML196851 LCE196851:LCP196851 KSI196851:KST196851 KIM196851:KIX196851 JYQ196851:JZB196851 JOU196851:JPF196851 JEY196851:JFJ196851 IVC196851:IVN196851 ILG196851:ILR196851 IBK196851:IBV196851 HRO196851:HRZ196851 HHS196851:HID196851 GXW196851:GYH196851 GOA196851:GOL196851 GEE196851:GEP196851 FUI196851:FUT196851 FKM196851:FKX196851 FAQ196851:FBB196851 EQU196851:ERF196851 EGY196851:EHJ196851 DXC196851:DXN196851 DNG196851:DNR196851 DDK196851:DDV196851 CTO196851:CTZ196851 CJS196851:CKD196851 BZW196851:CAH196851 BQA196851:BQL196851 BGE196851:BGP196851 AWI196851:AWT196851 AMM196851:AMX196851 ACQ196851:ADB196851 SU196851:TF196851 IY196851:JJ196851 C196851:N196851 WVK131315:WVV131315 WLO131315:WLZ131315 WBS131315:WCD131315 VRW131315:VSH131315 VIA131315:VIL131315 UYE131315:UYP131315 UOI131315:UOT131315 UEM131315:UEX131315 TUQ131315:TVB131315 TKU131315:TLF131315 TAY131315:TBJ131315 SRC131315:SRN131315 SHG131315:SHR131315 RXK131315:RXV131315 RNO131315:RNZ131315 RDS131315:RED131315 QTW131315:QUH131315 QKA131315:QKL131315 QAE131315:QAP131315 PQI131315:PQT131315 PGM131315:PGX131315 OWQ131315:OXB131315 OMU131315:ONF131315 OCY131315:ODJ131315 NTC131315:NTN131315 NJG131315:NJR131315 MZK131315:MZV131315 MPO131315:MPZ131315 MFS131315:MGD131315 LVW131315:LWH131315 LMA131315:LML131315 LCE131315:LCP131315 KSI131315:KST131315 KIM131315:KIX131315 JYQ131315:JZB131315 JOU131315:JPF131315 JEY131315:JFJ131315 IVC131315:IVN131315 ILG131315:ILR131315 IBK131315:IBV131315 HRO131315:HRZ131315 HHS131315:HID131315 GXW131315:GYH131315 GOA131315:GOL131315 GEE131315:GEP131315 FUI131315:FUT131315 FKM131315:FKX131315 FAQ131315:FBB131315 EQU131315:ERF131315 EGY131315:EHJ131315 DXC131315:DXN131315 DNG131315:DNR131315 DDK131315:DDV131315 CTO131315:CTZ131315 CJS131315:CKD131315 BZW131315:CAH131315 BQA131315:BQL131315 BGE131315:BGP131315 AWI131315:AWT131315 AMM131315:AMX131315 ACQ131315:ADB131315 SU131315:TF131315 IY131315:JJ131315 C131315:N131315 WVK65779:WVV65779 WLO65779:WLZ65779 WBS65779:WCD65779 VRW65779:VSH65779 VIA65779:VIL65779 UYE65779:UYP65779 UOI65779:UOT65779 UEM65779:UEX65779 TUQ65779:TVB65779 TKU65779:TLF65779 TAY65779:TBJ65779 SRC65779:SRN65779 SHG65779:SHR65779 RXK65779:RXV65779 RNO65779:RNZ65779 RDS65779:RED65779 QTW65779:QUH65779 QKA65779:QKL65779 QAE65779:QAP65779 PQI65779:PQT65779 PGM65779:PGX65779 OWQ65779:OXB65779 OMU65779:ONF65779 OCY65779:ODJ65779 NTC65779:NTN65779 NJG65779:NJR65779 MZK65779:MZV65779 MPO65779:MPZ65779 MFS65779:MGD65779 LVW65779:LWH65779 LMA65779:LML65779 LCE65779:LCP65779 KSI65779:KST65779 KIM65779:KIX65779 JYQ65779:JZB65779 JOU65779:JPF65779 JEY65779:JFJ65779 IVC65779:IVN65779 ILG65779:ILR65779 IBK65779:IBV65779 HRO65779:HRZ65779 HHS65779:HID65779 GXW65779:GYH65779 GOA65779:GOL65779 GEE65779:GEP65779 FUI65779:FUT65779 FKM65779:FKX65779 FAQ65779:FBB65779 EQU65779:ERF65779 EGY65779:EHJ65779 DXC65779:DXN65779 DNG65779:DNR65779 DDK65779:DDV65779 CTO65779:CTZ65779 CJS65779:CKD65779 BZW65779:CAH65779 BQA65779:BQL65779 BGE65779:BGP65779 AWI65779:AWT65779 AMM65779:AMX65779 ACQ65779:ADB65779 SU65779:TF65779 IY65779:JJ65779 C65779:N65779 WVK983268:WVV983268 WLO983268:WLZ983268 WBS983268:WCD983268 VRW983268:VSH983268 VIA983268:VIL983268 UYE983268:UYP983268 UOI983268:UOT983268 UEM983268:UEX983268 TUQ983268:TVB983268 TKU983268:TLF983268 TAY983268:TBJ983268 SRC983268:SRN983268 SHG983268:SHR983268 RXK983268:RXV983268 RNO983268:RNZ983268 RDS983268:RED983268 QTW983268:QUH983268 QKA983268:QKL983268 QAE983268:QAP983268 PQI983268:PQT983268 PGM983268:PGX983268 OWQ983268:OXB983268 OMU983268:ONF983268 OCY983268:ODJ983268 NTC983268:NTN983268 NJG983268:NJR983268 MZK983268:MZV983268 MPO983268:MPZ983268 MFS983268:MGD983268 LVW983268:LWH983268 LMA983268:LML983268 LCE983268:LCP983268 KSI983268:KST983268 KIM983268:KIX983268 JYQ983268:JZB983268 JOU983268:JPF983268 JEY983268:JFJ983268 IVC983268:IVN983268 ILG983268:ILR983268 IBK983268:IBV983268 HRO983268:HRZ983268 HHS983268:HID983268 GXW983268:GYH983268 GOA983268:GOL983268 GEE983268:GEP983268 FUI983268:FUT983268 FKM983268:FKX983268 FAQ983268:FBB983268 EQU983268:ERF983268 EGY983268:EHJ983268 DXC983268:DXN983268 DNG983268:DNR983268 DDK983268:DDV983268 CTO983268:CTZ983268 CJS983268:CKD983268 BZW983268:CAH983268 BQA983268:BQL983268 BGE983268:BGP983268 AWI983268:AWT983268 AMM983268:AMX983268 ACQ983268:ADB983268 SU983268:TF983268 IY983268:JJ983268 C983268:N983268 WVK917732:WVV917732 WLO917732:WLZ917732 WBS917732:WCD917732 VRW917732:VSH917732 VIA917732:VIL917732 UYE917732:UYP917732 UOI917732:UOT917732 UEM917732:UEX917732 TUQ917732:TVB917732 TKU917732:TLF917732 TAY917732:TBJ917732 SRC917732:SRN917732 SHG917732:SHR917732 RXK917732:RXV917732 RNO917732:RNZ917732 RDS917732:RED917732 QTW917732:QUH917732 QKA917732:QKL917732 QAE917732:QAP917732 PQI917732:PQT917732 PGM917732:PGX917732 OWQ917732:OXB917732 OMU917732:ONF917732 OCY917732:ODJ917732 NTC917732:NTN917732 NJG917732:NJR917732 MZK917732:MZV917732 MPO917732:MPZ917732 MFS917732:MGD917732 LVW917732:LWH917732 LMA917732:LML917732 LCE917732:LCP917732 KSI917732:KST917732 KIM917732:KIX917732 JYQ917732:JZB917732 JOU917732:JPF917732 JEY917732:JFJ917732 IVC917732:IVN917732 ILG917732:ILR917732 IBK917732:IBV917732 HRO917732:HRZ917732 HHS917732:HID917732 GXW917732:GYH917732 GOA917732:GOL917732 GEE917732:GEP917732 FUI917732:FUT917732 FKM917732:FKX917732 FAQ917732:FBB917732 EQU917732:ERF917732 EGY917732:EHJ917732 DXC917732:DXN917732 DNG917732:DNR917732 DDK917732:DDV917732 CTO917732:CTZ917732 CJS917732:CKD917732 BZW917732:CAH917732 BQA917732:BQL917732 BGE917732:BGP917732 AWI917732:AWT917732 AMM917732:AMX917732 ACQ917732:ADB917732 SU917732:TF917732 IY917732:JJ917732 C917732:N917732 WVK852196:WVV852196 WLO852196:WLZ852196 WBS852196:WCD852196 VRW852196:VSH852196 VIA852196:VIL852196 UYE852196:UYP852196 UOI852196:UOT852196 UEM852196:UEX852196 TUQ852196:TVB852196 TKU852196:TLF852196 TAY852196:TBJ852196 SRC852196:SRN852196 SHG852196:SHR852196 RXK852196:RXV852196 RNO852196:RNZ852196 RDS852196:RED852196 QTW852196:QUH852196 QKA852196:QKL852196 QAE852196:QAP852196 PQI852196:PQT852196 PGM852196:PGX852196 OWQ852196:OXB852196 OMU852196:ONF852196 OCY852196:ODJ852196 NTC852196:NTN852196 NJG852196:NJR852196 MZK852196:MZV852196 MPO852196:MPZ852196 MFS852196:MGD852196 LVW852196:LWH852196 LMA852196:LML852196 LCE852196:LCP852196 KSI852196:KST852196 KIM852196:KIX852196 JYQ852196:JZB852196 JOU852196:JPF852196 JEY852196:JFJ852196 IVC852196:IVN852196 ILG852196:ILR852196 IBK852196:IBV852196 HRO852196:HRZ852196 HHS852196:HID852196 GXW852196:GYH852196 GOA852196:GOL852196 GEE852196:GEP852196 FUI852196:FUT852196 FKM852196:FKX852196 FAQ852196:FBB852196 EQU852196:ERF852196 EGY852196:EHJ852196 DXC852196:DXN852196 DNG852196:DNR852196 DDK852196:DDV852196 CTO852196:CTZ852196 CJS852196:CKD852196 BZW852196:CAH852196 BQA852196:BQL852196 BGE852196:BGP852196 AWI852196:AWT852196 AMM852196:AMX852196 ACQ852196:ADB852196 SU852196:TF852196 IY852196:JJ852196 C852196:N852196 WVK786660:WVV786660 WLO786660:WLZ786660 WBS786660:WCD786660 VRW786660:VSH786660 VIA786660:VIL786660 UYE786660:UYP786660 UOI786660:UOT786660 UEM786660:UEX786660 TUQ786660:TVB786660 TKU786660:TLF786660 TAY786660:TBJ786660 SRC786660:SRN786660 SHG786660:SHR786660 RXK786660:RXV786660 RNO786660:RNZ786660 RDS786660:RED786660 QTW786660:QUH786660 QKA786660:QKL786660 QAE786660:QAP786660 PQI786660:PQT786660 PGM786660:PGX786660 OWQ786660:OXB786660 OMU786660:ONF786660 OCY786660:ODJ786660 NTC786660:NTN786660 NJG786660:NJR786660 MZK786660:MZV786660 MPO786660:MPZ786660 MFS786660:MGD786660 LVW786660:LWH786660 LMA786660:LML786660 LCE786660:LCP786660 KSI786660:KST786660 KIM786660:KIX786660 JYQ786660:JZB786660 JOU786660:JPF786660 JEY786660:JFJ786660 IVC786660:IVN786660 ILG786660:ILR786660 IBK786660:IBV786660 HRO786660:HRZ786660 HHS786660:HID786660 GXW786660:GYH786660 GOA786660:GOL786660 GEE786660:GEP786660 FUI786660:FUT786660 FKM786660:FKX786660 FAQ786660:FBB786660 EQU786660:ERF786660 EGY786660:EHJ786660 DXC786660:DXN786660 DNG786660:DNR786660 DDK786660:DDV786660 CTO786660:CTZ786660 CJS786660:CKD786660 BZW786660:CAH786660 BQA786660:BQL786660 BGE786660:BGP786660 AWI786660:AWT786660 AMM786660:AMX786660 ACQ786660:ADB786660 SU786660:TF786660 IY786660:JJ786660 C786660:N786660 WVK721124:WVV721124 WLO721124:WLZ721124 WBS721124:WCD721124 VRW721124:VSH721124 VIA721124:VIL721124 UYE721124:UYP721124 UOI721124:UOT721124 UEM721124:UEX721124 TUQ721124:TVB721124 TKU721124:TLF721124 TAY721124:TBJ721124 SRC721124:SRN721124 SHG721124:SHR721124 RXK721124:RXV721124 RNO721124:RNZ721124 RDS721124:RED721124 QTW721124:QUH721124 QKA721124:QKL721124 QAE721124:QAP721124 PQI721124:PQT721124 PGM721124:PGX721124 OWQ721124:OXB721124 OMU721124:ONF721124 OCY721124:ODJ721124 NTC721124:NTN721124 NJG721124:NJR721124 MZK721124:MZV721124 MPO721124:MPZ721124 MFS721124:MGD721124 LVW721124:LWH721124 LMA721124:LML721124 LCE721124:LCP721124 KSI721124:KST721124 KIM721124:KIX721124 JYQ721124:JZB721124 JOU721124:JPF721124 JEY721124:JFJ721124 IVC721124:IVN721124 ILG721124:ILR721124 IBK721124:IBV721124 HRO721124:HRZ721124 HHS721124:HID721124 GXW721124:GYH721124 GOA721124:GOL721124 GEE721124:GEP721124 FUI721124:FUT721124 FKM721124:FKX721124 FAQ721124:FBB721124 EQU721124:ERF721124 EGY721124:EHJ721124 DXC721124:DXN721124 DNG721124:DNR721124 DDK721124:DDV721124 CTO721124:CTZ721124 CJS721124:CKD721124 BZW721124:CAH721124 BQA721124:BQL721124 BGE721124:BGP721124 AWI721124:AWT721124 AMM721124:AMX721124 ACQ721124:ADB721124 SU721124:TF721124 IY721124:JJ721124 C721124:N721124 WVK655588:WVV655588 WLO655588:WLZ655588 WBS655588:WCD655588 VRW655588:VSH655588 VIA655588:VIL655588 UYE655588:UYP655588 UOI655588:UOT655588 UEM655588:UEX655588 TUQ655588:TVB655588 TKU655588:TLF655588 TAY655588:TBJ655588 SRC655588:SRN655588 SHG655588:SHR655588 RXK655588:RXV655588 RNO655588:RNZ655588 RDS655588:RED655588 QTW655588:QUH655588 QKA655588:QKL655588 QAE655588:QAP655588 PQI655588:PQT655588 PGM655588:PGX655588 OWQ655588:OXB655588 OMU655588:ONF655588 OCY655588:ODJ655588 NTC655588:NTN655588 NJG655588:NJR655588 MZK655588:MZV655588 MPO655588:MPZ655588 MFS655588:MGD655588 LVW655588:LWH655588 LMA655588:LML655588 LCE655588:LCP655588 KSI655588:KST655588 KIM655588:KIX655588 JYQ655588:JZB655588 JOU655588:JPF655588 JEY655588:JFJ655588 IVC655588:IVN655588 ILG655588:ILR655588 IBK655588:IBV655588 HRO655588:HRZ655588 HHS655588:HID655588 GXW655588:GYH655588 GOA655588:GOL655588 GEE655588:GEP655588 FUI655588:FUT655588 FKM655588:FKX655588 FAQ655588:FBB655588 EQU655588:ERF655588 EGY655588:EHJ655588 DXC655588:DXN655588 DNG655588:DNR655588 DDK655588:DDV655588 CTO655588:CTZ655588 CJS655588:CKD655588 BZW655588:CAH655588 BQA655588:BQL655588 BGE655588:BGP655588 AWI655588:AWT655588 AMM655588:AMX655588 ACQ655588:ADB655588 SU655588:TF655588 IY655588:JJ655588 C655588:N655588 WVK590052:WVV590052 WLO590052:WLZ590052 WBS590052:WCD590052 VRW590052:VSH590052 VIA590052:VIL590052 UYE590052:UYP590052 UOI590052:UOT590052 UEM590052:UEX590052 TUQ590052:TVB590052 TKU590052:TLF590052 TAY590052:TBJ590052 SRC590052:SRN590052 SHG590052:SHR590052 RXK590052:RXV590052 RNO590052:RNZ590052 RDS590052:RED590052 QTW590052:QUH590052 QKA590052:QKL590052 QAE590052:QAP590052 PQI590052:PQT590052 PGM590052:PGX590052 OWQ590052:OXB590052 OMU590052:ONF590052 OCY590052:ODJ590052 NTC590052:NTN590052 NJG590052:NJR590052 MZK590052:MZV590052 MPO590052:MPZ590052 MFS590052:MGD590052 LVW590052:LWH590052 LMA590052:LML590052 LCE590052:LCP590052 KSI590052:KST590052 KIM590052:KIX590052 JYQ590052:JZB590052 JOU590052:JPF590052 JEY590052:JFJ590052 IVC590052:IVN590052 ILG590052:ILR590052 IBK590052:IBV590052 HRO590052:HRZ590052 HHS590052:HID590052 GXW590052:GYH590052 GOA590052:GOL590052 GEE590052:GEP590052 FUI590052:FUT590052 FKM590052:FKX590052 FAQ590052:FBB590052 EQU590052:ERF590052 EGY590052:EHJ590052 DXC590052:DXN590052 DNG590052:DNR590052 DDK590052:DDV590052 CTO590052:CTZ590052 CJS590052:CKD590052 BZW590052:CAH590052 BQA590052:BQL590052 BGE590052:BGP590052 AWI590052:AWT590052 AMM590052:AMX590052 ACQ590052:ADB590052 SU590052:TF590052 IY590052:JJ590052 C590052:N590052 WVK524516:WVV524516 WLO524516:WLZ524516 WBS524516:WCD524516 VRW524516:VSH524516 VIA524516:VIL524516 UYE524516:UYP524516 UOI524516:UOT524516 UEM524516:UEX524516 TUQ524516:TVB524516 TKU524516:TLF524516 TAY524516:TBJ524516 SRC524516:SRN524516 SHG524516:SHR524516 RXK524516:RXV524516 RNO524516:RNZ524516 RDS524516:RED524516 QTW524516:QUH524516 QKA524516:QKL524516 QAE524516:QAP524516 PQI524516:PQT524516 PGM524516:PGX524516 OWQ524516:OXB524516 OMU524516:ONF524516 OCY524516:ODJ524516 NTC524516:NTN524516 NJG524516:NJR524516 MZK524516:MZV524516 MPO524516:MPZ524516 MFS524516:MGD524516 LVW524516:LWH524516 LMA524516:LML524516 LCE524516:LCP524516 KSI524516:KST524516 KIM524516:KIX524516 JYQ524516:JZB524516 JOU524516:JPF524516 JEY524516:JFJ524516 IVC524516:IVN524516 ILG524516:ILR524516 IBK524516:IBV524516 HRO524516:HRZ524516 HHS524516:HID524516 GXW524516:GYH524516 GOA524516:GOL524516 GEE524516:GEP524516 FUI524516:FUT524516 FKM524516:FKX524516 FAQ524516:FBB524516 EQU524516:ERF524516 EGY524516:EHJ524516 DXC524516:DXN524516 DNG524516:DNR524516 DDK524516:DDV524516 CTO524516:CTZ524516 CJS524516:CKD524516 BZW524516:CAH524516 BQA524516:BQL524516 BGE524516:BGP524516 AWI524516:AWT524516 AMM524516:AMX524516 ACQ524516:ADB524516 SU524516:TF524516 IY524516:JJ524516 C524516:N524516 WVK458980:WVV458980 WLO458980:WLZ458980 WBS458980:WCD458980 VRW458980:VSH458980 VIA458980:VIL458980 UYE458980:UYP458980 UOI458980:UOT458980 UEM458980:UEX458980 TUQ458980:TVB458980 TKU458980:TLF458980 TAY458980:TBJ458980 SRC458980:SRN458980 SHG458980:SHR458980 RXK458980:RXV458980 RNO458980:RNZ458980 RDS458980:RED458980 QTW458980:QUH458980 QKA458980:QKL458980 QAE458980:QAP458980 PQI458980:PQT458980 PGM458980:PGX458980 OWQ458980:OXB458980 OMU458980:ONF458980 OCY458980:ODJ458980 NTC458980:NTN458980 NJG458980:NJR458980 MZK458980:MZV458980 MPO458980:MPZ458980 MFS458980:MGD458980 LVW458980:LWH458980 LMA458980:LML458980 LCE458980:LCP458980 KSI458980:KST458980 KIM458980:KIX458980 JYQ458980:JZB458980 JOU458980:JPF458980 JEY458980:JFJ458980 IVC458980:IVN458980 ILG458980:ILR458980 IBK458980:IBV458980 HRO458980:HRZ458980 HHS458980:HID458980 GXW458980:GYH458980 GOA458980:GOL458980 GEE458980:GEP458980 FUI458980:FUT458980 FKM458980:FKX458980 FAQ458980:FBB458980 EQU458980:ERF458980 EGY458980:EHJ458980 DXC458980:DXN458980 DNG458980:DNR458980 DDK458980:DDV458980 CTO458980:CTZ458980 CJS458980:CKD458980 BZW458980:CAH458980 BQA458980:BQL458980 BGE458980:BGP458980 AWI458980:AWT458980 AMM458980:AMX458980 ACQ458980:ADB458980 SU458980:TF458980 IY458980:JJ458980 C458980:N458980 WVK393444:WVV393444 WLO393444:WLZ393444 WBS393444:WCD393444 VRW393444:VSH393444 VIA393444:VIL393444 UYE393444:UYP393444 UOI393444:UOT393444 UEM393444:UEX393444 TUQ393444:TVB393444 TKU393444:TLF393444 TAY393444:TBJ393444 SRC393444:SRN393444 SHG393444:SHR393444 RXK393444:RXV393444 RNO393444:RNZ393444 RDS393444:RED393444 QTW393444:QUH393444 QKA393444:QKL393444 QAE393444:QAP393444 PQI393444:PQT393444 PGM393444:PGX393444 OWQ393444:OXB393444 OMU393444:ONF393444 OCY393444:ODJ393444 NTC393444:NTN393444 NJG393444:NJR393444 MZK393444:MZV393444 MPO393444:MPZ393444 MFS393444:MGD393444 LVW393444:LWH393444 LMA393444:LML393444 LCE393444:LCP393444 KSI393444:KST393444 KIM393444:KIX393444 JYQ393444:JZB393444 JOU393444:JPF393444 JEY393444:JFJ393444 IVC393444:IVN393444 ILG393444:ILR393444 IBK393444:IBV393444 HRO393444:HRZ393444 HHS393444:HID393444 GXW393444:GYH393444 GOA393444:GOL393444 GEE393444:GEP393444 FUI393444:FUT393444 FKM393444:FKX393444 FAQ393444:FBB393444 EQU393444:ERF393444 EGY393444:EHJ393444 DXC393444:DXN393444 DNG393444:DNR393444 DDK393444:DDV393444 CTO393444:CTZ393444 CJS393444:CKD393444 BZW393444:CAH393444 BQA393444:BQL393444 BGE393444:BGP393444 AWI393444:AWT393444 AMM393444:AMX393444 ACQ393444:ADB393444 SU393444:TF393444 IY393444:JJ393444 C393444:N393444 WVK327908:WVV327908 WLO327908:WLZ327908 WBS327908:WCD327908 VRW327908:VSH327908 VIA327908:VIL327908 UYE327908:UYP327908 UOI327908:UOT327908 UEM327908:UEX327908 TUQ327908:TVB327908 TKU327908:TLF327908 TAY327908:TBJ327908 SRC327908:SRN327908 SHG327908:SHR327908 RXK327908:RXV327908 RNO327908:RNZ327908 RDS327908:RED327908 QTW327908:QUH327908 QKA327908:QKL327908 QAE327908:QAP327908 PQI327908:PQT327908 PGM327908:PGX327908 OWQ327908:OXB327908 OMU327908:ONF327908 OCY327908:ODJ327908 NTC327908:NTN327908 NJG327908:NJR327908 MZK327908:MZV327908 MPO327908:MPZ327908 MFS327908:MGD327908 LVW327908:LWH327908 LMA327908:LML327908 LCE327908:LCP327908 KSI327908:KST327908 KIM327908:KIX327908 JYQ327908:JZB327908 JOU327908:JPF327908 JEY327908:JFJ327908 IVC327908:IVN327908 ILG327908:ILR327908 IBK327908:IBV327908 HRO327908:HRZ327908 HHS327908:HID327908 GXW327908:GYH327908 GOA327908:GOL327908 GEE327908:GEP327908 FUI327908:FUT327908 FKM327908:FKX327908 FAQ327908:FBB327908 EQU327908:ERF327908 EGY327908:EHJ327908 DXC327908:DXN327908 DNG327908:DNR327908 DDK327908:DDV327908 CTO327908:CTZ327908 CJS327908:CKD327908 BZW327908:CAH327908 BQA327908:BQL327908 BGE327908:BGP327908 AWI327908:AWT327908 AMM327908:AMX327908 ACQ327908:ADB327908 SU327908:TF327908 IY327908:JJ327908 C327908:N327908 WVK262372:WVV262372 WLO262372:WLZ262372 WBS262372:WCD262372 VRW262372:VSH262372 VIA262372:VIL262372 UYE262372:UYP262372 UOI262372:UOT262372 UEM262372:UEX262372 TUQ262372:TVB262372 TKU262372:TLF262372 TAY262372:TBJ262372 SRC262372:SRN262372 SHG262372:SHR262372 RXK262372:RXV262372 RNO262372:RNZ262372 RDS262372:RED262372 QTW262372:QUH262372 QKA262372:QKL262372 QAE262372:QAP262372 PQI262372:PQT262372 PGM262372:PGX262372 OWQ262372:OXB262372 OMU262372:ONF262372 OCY262372:ODJ262372 NTC262372:NTN262372 NJG262372:NJR262372 MZK262372:MZV262372 MPO262372:MPZ262372 MFS262372:MGD262372 LVW262372:LWH262372 LMA262372:LML262372 LCE262372:LCP262372 KSI262372:KST262372 KIM262372:KIX262372 JYQ262372:JZB262372 JOU262372:JPF262372 JEY262372:JFJ262372 IVC262372:IVN262372 ILG262372:ILR262372 IBK262372:IBV262372 HRO262372:HRZ262372 HHS262372:HID262372 GXW262372:GYH262372 GOA262372:GOL262372 GEE262372:GEP262372 FUI262372:FUT262372 FKM262372:FKX262372 FAQ262372:FBB262372 EQU262372:ERF262372 EGY262372:EHJ262372 DXC262372:DXN262372 DNG262372:DNR262372 DDK262372:DDV262372 CTO262372:CTZ262372 CJS262372:CKD262372 BZW262372:CAH262372 BQA262372:BQL262372 BGE262372:BGP262372 AWI262372:AWT262372 AMM262372:AMX262372 ACQ262372:ADB262372 SU262372:TF262372 IY262372:JJ262372 C262372:N262372 WVK196836:WVV196836 WLO196836:WLZ196836 WBS196836:WCD196836 VRW196836:VSH196836 VIA196836:VIL196836 UYE196836:UYP196836 UOI196836:UOT196836 UEM196836:UEX196836 TUQ196836:TVB196836 TKU196836:TLF196836 TAY196836:TBJ196836 SRC196836:SRN196836 SHG196836:SHR196836 RXK196836:RXV196836 RNO196836:RNZ196836 RDS196836:RED196836 QTW196836:QUH196836 QKA196836:QKL196836 QAE196836:QAP196836 PQI196836:PQT196836 PGM196836:PGX196836 OWQ196836:OXB196836 OMU196836:ONF196836 OCY196836:ODJ196836 NTC196836:NTN196836 NJG196836:NJR196836 MZK196836:MZV196836 MPO196836:MPZ196836 MFS196836:MGD196836 LVW196836:LWH196836 LMA196836:LML196836 LCE196836:LCP196836 KSI196836:KST196836 KIM196836:KIX196836 JYQ196836:JZB196836 JOU196836:JPF196836 JEY196836:JFJ196836 IVC196836:IVN196836 ILG196836:ILR196836 IBK196836:IBV196836 HRO196836:HRZ196836 HHS196836:HID196836 GXW196836:GYH196836 GOA196836:GOL196836 GEE196836:GEP196836 FUI196836:FUT196836 FKM196836:FKX196836 FAQ196836:FBB196836 EQU196836:ERF196836 EGY196836:EHJ196836 DXC196836:DXN196836 DNG196836:DNR196836 DDK196836:DDV196836 CTO196836:CTZ196836 CJS196836:CKD196836 BZW196836:CAH196836 BQA196836:BQL196836 BGE196836:BGP196836 AWI196836:AWT196836 AMM196836:AMX196836 ACQ196836:ADB196836 SU196836:TF196836 IY196836:JJ196836 C196836:N196836 WVK131300:WVV131300 WLO131300:WLZ131300 WBS131300:WCD131300 VRW131300:VSH131300 VIA131300:VIL131300 UYE131300:UYP131300 UOI131300:UOT131300 UEM131300:UEX131300 TUQ131300:TVB131300 TKU131300:TLF131300 TAY131300:TBJ131300 SRC131300:SRN131300 SHG131300:SHR131300 RXK131300:RXV131300 RNO131300:RNZ131300 RDS131300:RED131300 QTW131300:QUH131300 QKA131300:QKL131300 QAE131300:QAP131300 PQI131300:PQT131300 PGM131300:PGX131300 OWQ131300:OXB131300 OMU131300:ONF131300 OCY131300:ODJ131300 NTC131300:NTN131300 NJG131300:NJR131300 MZK131300:MZV131300 MPO131300:MPZ131300 MFS131300:MGD131300 LVW131300:LWH131300 LMA131300:LML131300 LCE131300:LCP131300 KSI131300:KST131300 KIM131300:KIX131300 JYQ131300:JZB131300 JOU131300:JPF131300 JEY131300:JFJ131300 IVC131300:IVN131300 ILG131300:ILR131300 IBK131300:IBV131300 HRO131300:HRZ131300 HHS131300:HID131300 GXW131300:GYH131300 GOA131300:GOL131300 GEE131300:GEP131300 FUI131300:FUT131300 FKM131300:FKX131300 FAQ131300:FBB131300 EQU131300:ERF131300 EGY131300:EHJ131300 DXC131300:DXN131300 DNG131300:DNR131300 DDK131300:DDV131300 CTO131300:CTZ131300 CJS131300:CKD131300 BZW131300:CAH131300 BQA131300:BQL131300 BGE131300:BGP131300 AWI131300:AWT131300 AMM131300:AMX131300 ACQ131300:ADB131300 SU131300:TF131300 IY131300:JJ131300 C131300:N131300 WVK65764:WVV65764 WLO65764:WLZ65764 WBS65764:WCD65764 VRW65764:VSH65764 VIA65764:VIL65764 UYE65764:UYP65764 UOI65764:UOT65764 UEM65764:UEX65764 TUQ65764:TVB65764 TKU65764:TLF65764 TAY65764:TBJ65764 SRC65764:SRN65764 SHG65764:SHR65764 RXK65764:RXV65764 RNO65764:RNZ65764 RDS65764:RED65764 QTW65764:QUH65764 QKA65764:QKL65764 QAE65764:QAP65764 PQI65764:PQT65764 PGM65764:PGX65764 OWQ65764:OXB65764 OMU65764:ONF65764 OCY65764:ODJ65764 NTC65764:NTN65764 NJG65764:NJR65764 MZK65764:MZV65764 MPO65764:MPZ65764 MFS65764:MGD65764 LVW65764:LWH65764 LMA65764:LML65764 LCE65764:LCP65764 KSI65764:KST65764 KIM65764:KIX65764 JYQ65764:JZB65764 JOU65764:JPF65764 JEY65764:JFJ65764 IVC65764:IVN65764 ILG65764:ILR65764 IBK65764:IBV65764 HRO65764:HRZ65764 HHS65764:HID65764 GXW65764:GYH65764 GOA65764:GOL65764 GEE65764:GEP65764 FUI65764:FUT65764 FKM65764:FKX65764 FAQ65764:FBB65764 EQU65764:ERF65764 EGY65764:EHJ65764 DXC65764:DXN65764 DNG65764:DNR65764 DDK65764:DDV65764 CTO65764:CTZ65764 CJS65764:CKD65764 BZW65764:CAH65764 BQA65764:BQL65764 BGE65764:BGP65764 AWI65764:AWT65764 AMM65764:AMX65764 ACQ65764:ADB65764 SU65764:TF65764 IY65764:JJ65764 C65764:N65764 WVK983253:WVV983253 WLO983253:WLZ983253 WBS983253:WCD983253 VRW983253:VSH983253 VIA983253:VIL983253 UYE983253:UYP983253 UOI983253:UOT983253 UEM983253:UEX983253 TUQ983253:TVB983253 TKU983253:TLF983253 TAY983253:TBJ983253 SRC983253:SRN983253 SHG983253:SHR983253 RXK983253:RXV983253 RNO983253:RNZ983253 RDS983253:RED983253 QTW983253:QUH983253 QKA983253:QKL983253 QAE983253:QAP983253 PQI983253:PQT983253 PGM983253:PGX983253 OWQ983253:OXB983253 OMU983253:ONF983253 OCY983253:ODJ983253 NTC983253:NTN983253 NJG983253:NJR983253 MZK983253:MZV983253 MPO983253:MPZ983253 MFS983253:MGD983253 LVW983253:LWH983253 LMA983253:LML983253 LCE983253:LCP983253 KSI983253:KST983253 KIM983253:KIX983253 JYQ983253:JZB983253 JOU983253:JPF983253 JEY983253:JFJ983253 IVC983253:IVN983253 ILG983253:ILR983253 IBK983253:IBV983253 HRO983253:HRZ983253 HHS983253:HID983253 GXW983253:GYH983253 GOA983253:GOL983253 GEE983253:GEP983253 FUI983253:FUT983253 FKM983253:FKX983253 FAQ983253:FBB983253 EQU983253:ERF983253 EGY983253:EHJ983253 DXC983253:DXN983253 DNG983253:DNR983253 DDK983253:DDV983253 CTO983253:CTZ983253 CJS983253:CKD983253 BZW983253:CAH983253 BQA983253:BQL983253 BGE983253:BGP983253 AWI983253:AWT983253 AMM983253:AMX983253 ACQ983253:ADB983253 SU983253:TF983253 IY983253:JJ983253 C983253:N983253 WVK917717:WVV917717 WLO917717:WLZ917717 WBS917717:WCD917717 VRW917717:VSH917717 VIA917717:VIL917717 UYE917717:UYP917717 UOI917717:UOT917717 UEM917717:UEX917717 TUQ917717:TVB917717 TKU917717:TLF917717 TAY917717:TBJ917717 SRC917717:SRN917717 SHG917717:SHR917717 RXK917717:RXV917717 RNO917717:RNZ917717 RDS917717:RED917717 QTW917717:QUH917717 QKA917717:QKL917717 QAE917717:QAP917717 PQI917717:PQT917717 PGM917717:PGX917717 OWQ917717:OXB917717 OMU917717:ONF917717 OCY917717:ODJ917717 NTC917717:NTN917717 NJG917717:NJR917717 MZK917717:MZV917717 MPO917717:MPZ917717 MFS917717:MGD917717 LVW917717:LWH917717 LMA917717:LML917717 LCE917717:LCP917717 KSI917717:KST917717 KIM917717:KIX917717 JYQ917717:JZB917717 JOU917717:JPF917717 JEY917717:JFJ917717 IVC917717:IVN917717 ILG917717:ILR917717 IBK917717:IBV917717 HRO917717:HRZ917717 HHS917717:HID917717 GXW917717:GYH917717 GOA917717:GOL917717 GEE917717:GEP917717 FUI917717:FUT917717 FKM917717:FKX917717 FAQ917717:FBB917717 EQU917717:ERF917717 EGY917717:EHJ917717 DXC917717:DXN917717 DNG917717:DNR917717 DDK917717:DDV917717 CTO917717:CTZ917717 CJS917717:CKD917717 BZW917717:CAH917717 BQA917717:BQL917717 BGE917717:BGP917717 AWI917717:AWT917717 AMM917717:AMX917717 ACQ917717:ADB917717 SU917717:TF917717 IY917717:JJ917717 C917717:N917717 WVK852181:WVV852181 WLO852181:WLZ852181 WBS852181:WCD852181 VRW852181:VSH852181 VIA852181:VIL852181 UYE852181:UYP852181 UOI852181:UOT852181 UEM852181:UEX852181 TUQ852181:TVB852181 TKU852181:TLF852181 TAY852181:TBJ852181 SRC852181:SRN852181 SHG852181:SHR852181 RXK852181:RXV852181 RNO852181:RNZ852181 RDS852181:RED852181 QTW852181:QUH852181 QKA852181:QKL852181 QAE852181:QAP852181 PQI852181:PQT852181 PGM852181:PGX852181 OWQ852181:OXB852181 OMU852181:ONF852181 OCY852181:ODJ852181 NTC852181:NTN852181 NJG852181:NJR852181 MZK852181:MZV852181 MPO852181:MPZ852181 MFS852181:MGD852181 LVW852181:LWH852181 LMA852181:LML852181 LCE852181:LCP852181 KSI852181:KST852181 KIM852181:KIX852181 JYQ852181:JZB852181 JOU852181:JPF852181 JEY852181:JFJ852181 IVC852181:IVN852181 ILG852181:ILR852181 IBK852181:IBV852181 HRO852181:HRZ852181 HHS852181:HID852181 GXW852181:GYH852181 GOA852181:GOL852181 GEE852181:GEP852181 FUI852181:FUT852181 FKM852181:FKX852181 FAQ852181:FBB852181 EQU852181:ERF852181 EGY852181:EHJ852181 DXC852181:DXN852181 DNG852181:DNR852181 DDK852181:DDV852181 CTO852181:CTZ852181 CJS852181:CKD852181 BZW852181:CAH852181 BQA852181:BQL852181 BGE852181:BGP852181 AWI852181:AWT852181 AMM852181:AMX852181 ACQ852181:ADB852181 SU852181:TF852181 IY852181:JJ852181 C852181:N852181 WVK786645:WVV786645 WLO786645:WLZ786645 WBS786645:WCD786645 VRW786645:VSH786645 VIA786645:VIL786645 UYE786645:UYP786645 UOI786645:UOT786645 UEM786645:UEX786645 TUQ786645:TVB786645 TKU786645:TLF786645 TAY786645:TBJ786645 SRC786645:SRN786645 SHG786645:SHR786645 RXK786645:RXV786645 RNO786645:RNZ786645 RDS786645:RED786645 QTW786645:QUH786645 QKA786645:QKL786645 QAE786645:QAP786645 PQI786645:PQT786645 PGM786645:PGX786645 OWQ786645:OXB786645 OMU786645:ONF786645 OCY786645:ODJ786645 NTC786645:NTN786645 NJG786645:NJR786645 MZK786645:MZV786645 MPO786645:MPZ786645 MFS786645:MGD786645 LVW786645:LWH786645 LMA786645:LML786645 LCE786645:LCP786645 KSI786645:KST786645 KIM786645:KIX786645 JYQ786645:JZB786645 JOU786645:JPF786645 JEY786645:JFJ786645 IVC786645:IVN786645 ILG786645:ILR786645 IBK786645:IBV786645 HRO786645:HRZ786645 HHS786645:HID786645 GXW786645:GYH786645 GOA786645:GOL786645 GEE786645:GEP786645 FUI786645:FUT786645 FKM786645:FKX786645 FAQ786645:FBB786645 EQU786645:ERF786645 EGY786645:EHJ786645 DXC786645:DXN786645 DNG786645:DNR786645 DDK786645:DDV786645 CTO786645:CTZ786645 CJS786645:CKD786645 BZW786645:CAH786645 BQA786645:BQL786645 BGE786645:BGP786645 AWI786645:AWT786645 AMM786645:AMX786645 ACQ786645:ADB786645 SU786645:TF786645 IY786645:JJ786645 C786645:N786645 WVK721109:WVV721109 WLO721109:WLZ721109 WBS721109:WCD721109 VRW721109:VSH721109 VIA721109:VIL721109 UYE721109:UYP721109 UOI721109:UOT721109 UEM721109:UEX721109 TUQ721109:TVB721109 TKU721109:TLF721109 TAY721109:TBJ721109 SRC721109:SRN721109 SHG721109:SHR721109 RXK721109:RXV721109 RNO721109:RNZ721109 RDS721109:RED721109 QTW721109:QUH721109 QKA721109:QKL721109 QAE721109:QAP721109 PQI721109:PQT721109 PGM721109:PGX721109 OWQ721109:OXB721109 OMU721109:ONF721109 OCY721109:ODJ721109 NTC721109:NTN721109 NJG721109:NJR721109 MZK721109:MZV721109 MPO721109:MPZ721109 MFS721109:MGD721109 LVW721109:LWH721109 LMA721109:LML721109 LCE721109:LCP721109 KSI721109:KST721109 KIM721109:KIX721109 JYQ721109:JZB721109 JOU721109:JPF721109 JEY721109:JFJ721109 IVC721109:IVN721109 ILG721109:ILR721109 IBK721109:IBV721109 HRO721109:HRZ721109 HHS721109:HID721109 GXW721109:GYH721109 GOA721109:GOL721109 GEE721109:GEP721109 FUI721109:FUT721109 FKM721109:FKX721109 FAQ721109:FBB721109 EQU721109:ERF721109 EGY721109:EHJ721109 DXC721109:DXN721109 DNG721109:DNR721109 DDK721109:DDV721109 CTO721109:CTZ721109 CJS721109:CKD721109 BZW721109:CAH721109 BQA721109:BQL721109 BGE721109:BGP721109 AWI721109:AWT721109 AMM721109:AMX721109 ACQ721109:ADB721109 SU721109:TF721109 IY721109:JJ721109 C721109:N721109 WVK655573:WVV655573 WLO655573:WLZ655573 WBS655573:WCD655573 VRW655573:VSH655573 VIA655573:VIL655573 UYE655573:UYP655573 UOI655573:UOT655573 UEM655573:UEX655573 TUQ655573:TVB655573 TKU655573:TLF655573 TAY655573:TBJ655573 SRC655573:SRN655573 SHG655573:SHR655573 RXK655573:RXV655573 RNO655573:RNZ655573 RDS655573:RED655573 QTW655573:QUH655573 QKA655573:QKL655573 QAE655573:QAP655573 PQI655573:PQT655573 PGM655573:PGX655573 OWQ655573:OXB655573 OMU655573:ONF655573 OCY655573:ODJ655573 NTC655573:NTN655573 NJG655573:NJR655573 MZK655573:MZV655573 MPO655573:MPZ655573 MFS655573:MGD655573 LVW655573:LWH655573 LMA655573:LML655573 LCE655573:LCP655573 KSI655573:KST655573 KIM655573:KIX655573 JYQ655573:JZB655573 JOU655573:JPF655573 JEY655573:JFJ655573 IVC655573:IVN655573 ILG655573:ILR655573 IBK655573:IBV655573 HRO655573:HRZ655573 HHS655573:HID655573 GXW655573:GYH655573 GOA655573:GOL655573 GEE655573:GEP655573 FUI655573:FUT655573 FKM655573:FKX655573 FAQ655573:FBB655573 EQU655573:ERF655573 EGY655573:EHJ655573 DXC655573:DXN655573 DNG655573:DNR655573 DDK655573:DDV655573 CTO655573:CTZ655573 CJS655573:CKD655573 BZW655573:CAH655573 BQA655573:BQL655573 BGE655573:BGP655573 AWI655573:AWT655573 AMM655573:AMX655573 ACQ655573:ADB655573 SU655573:TF655573 IY655573:JJ655573 C655573:N655573 WVK590037:WVV590037 WLO590037:WLZ590037 WBS590037:WCD590037 VRW590037:VSH590037 VIA590037:VIL590037 UYE590037:UYP590037 UOI590037:UOT590037 UEM590037:UEX590037 TUQ590037:TVB590037 TKU590037:TLF590037 TAY590037:TBJ590037 SRC590037:SRN590037 SHG590037:SHR590037 RXK590037:RXV590037 RNO590037:RNZ590037 RDS590037:RED590037 QTW590037:QUH590037 QKA590037:QKL590037 QAE590037:QAP590037 PQI590037:PQT590037 PGM590037:PGX590037 OWQ590037:OXB590037 OMU590037:ONF590037 OCY590037:ODJ590037 NTC590037:NTN590037 NJG590037:NJR590037 MZK590037:MZV590037 MPO590037:MPZ590037 MFS590037:MGD590037 LVW590037:LWH590037 LMA590037:LML590037 LCE590037:LCP590037 KSI590037:KST590037 KIM590037:KIX590037 JYQ590037:JZB590037 JOU590037:JPF590037 JEY590037:JFJ590037 IVC590037:IVN590037 ILG590037:ILR590037 IBK590037:IBV590037 HRO590037:HRZ590037 HHS590037:HID590037 GXW590037:GYH590037 GOA590037:GOL590037 GEE590037:GEP590037 FUI590037:FUT590037 FKM590037:FKX590037 FAQ590037:FBB590037 EQU590037:ERF590037 EGY590037:EHJ590037 DXC590037:DXN590037 DNG590037:DNR590037 DDK590037:DDV590037 CTO590037:CTZ590037 CJS590037:CKD590037 BZW590037:CAH590037 BQA590037:BQL590037 BGE590037:BGP590037 AWI590037:AWT590037 AMM590037:AMX590037 ACQ590037:ADB590037 SU590037:TF590037 IY590037:JJ590037 C590037:N590037 WVK524501:WVV524501 WLO524501:WLZ524501 WBS524501:WCD524501 VRW524501:VSH524501 VIA524501:VIL524501 UYE524501:UYP524501 UOI524501:UOT524501 UEM524501:UEX524501 TUQ524501:TVB524501 TKU524501:TLF524501 TAY524501:TBJ524501 SRC524501:SRN524501 SHG524501:SHR524501 RXK524501:RXV524501 RNO524501:RNZ524501 RDS524501:RED524501 QTW524501:QUH524501 QKA524501:QKL524501 QAE524501:QAP524501 PQI524501:PQT524501 PGM524501:PGX524501 OWQ524501:OXB524501 OMU524501:ONF524501 OCY524501:ODJ524501 NTC524501:NTN524501 NJG524501:NJR524501 MZK524501:MZV524501 MPO524501:MPZ524501 MFS524501:MGD524501 LVW524501:LWH524501 LMA524501:LML524501 LCE524501:LCP524501 KSI524501:KST524501 KIM524501:KIX524501 JYQ524501:JZB524501 JOU524501:JPF524501 JEY524501:JFJ524501 IVC524501:IVN524501 ILG524501:ILR524501 IBK524501:IBV524501 HRO524501:HRZ524501 HHS524501:HID524501 GXW524501:GYH524501 GOA524501:GOL524501 GEE524501:GEP524501 FUI524501:FUT524501 FKM524501:FKX524501 FAQ524501:FBB524501 EQU524501:ERF524501 EGY524501:EHJ524501 DXC524501:DXN524501 DNG524501:DNR524501 DDK524501:DDV524501 CTO524501:CTZ524501 CJS524501:CKD524501 BZW524501:CAH524501 BQA524501:BQL524501 BGE524501:BGP524501 AWI524501:AWT524501 AMM524501:AMX524501 ACQ524501:ADB524501 SU524501:TF524501 IY524501:JJ524501 C524501:N524501 WVK458965:WVV458965 WLO458965:WLZ458965 WBS458965:WCD458965 VRW458965:VSH458965 VIA458965:VIL458965 UYE458965:UYP458965 UOI458965:UOT458965 UEM458965:UEX458965 TUQ458965:TVB458965 TKU458965:TLF458965 TAY458965:TBJ458965 SRC458965:SRN458965 SHG458965:SHR458965 RXK458965:RXV458965 RNO458965:RNZ458965 RDS458965:RED458965 QTW458965:QUH458965 QKA458965:QKL458965 QAE458965:QAP458965 PQI458965:PQT458965 PGM458965:PGX458965 OWQ458965:OXB458965 OMU458965:ONF458965 OCY458965:ODJ458965 NTC458965:NTN458965 NJG458965:NJR458965 MZK458965:MZV458965 MPO458965:MPZ458965 MFS458965:MGD458965 LVW458965:LWH458965 LMA458965:LML458965 LCE458965:LCP458965 KSI458965:KST458965 KIM458965:KIX458965 JYQ458965:JZB458965 JOU458965:JPF458965 JEY458965:JFJ458965 IVC458965:IVN458965 ILG458965:ILR458965 IBK458965:IBV458965 HRO458965:HRZ458965 HHS458965:HID458965 GXW458965:GYH458965 GOA458965:GOL458965 GEE458965:GEP458965 FUI458965:FUT458965 FKM458965:FKX458965 FAQ458965:FBB458965 EQU458965:ERF458965 EGY458965:EHJ458965 DXC458965:DXN458965 DNG458965:DNR458965 DDK458965:DDV458965 CTO458965:CTZ458965 CJS458965:CKD458965 BZW458965:CAH458965 BQA458965:BQL458965 BGE458965:BGP458965 AWI458965:AWT458965 AMM458965:AMX458965 ACQ458965:ADB458965 SU458965:TF458965 IY458965:JJ458965 C458965:N458965 WVK393429:WVV393429 WLO393429:WLZ393429 WBS393429:WCD393429 VRW393429:VSH393429 VIA393429:VIL393429 UYE393429:UYP393429 UOI393429:UOT393429 UEM393429:UEX393429 TUQ393429:TVB393429 TKU393429:TLF393429 TAY393429:TBJ393429 SRC393429:SRN393429 SHG393429:SHR393429 RXK393429:RXV393429 RNO393429:RNZ393429 RDS393429:RED393429 QTW393429:QUH393429 QKA393429:QKL393429 QAE393429:QAP393429 PQI393429:PQT393429 PGM393429:PGX393429 OWQ393429:OXB393429 OMU393429:ONF393429 OCY393429:ODJ393429 NTC393429:NTN393429 NJG393429:NJR393429 MZK393429:MZV393429 MPO393429:MPZ393429 MFS393429:MGD393429 LVW393429:LWH393429 LMA393429:LML393429 LCE393429:LCP393429 KSI393429:KST393429 KIM393429:KIX393429 JYQ393429:JZB393429 JOU393429:JPF393429 JEY393429:JFJ393429 IVC393429:IVN393429 ILG393429:ILR393429 IBK393429:IBV393429 HRO393429:HRZ393429 HHS393429:HID393429 GXW393429:GYH393429 GOA393429:GOL393429 GEE393429:GEP393429 FUI393429:FUT393429 FKM393429:FKX393429 FAQ393429:FBB393429 EQU393429:ERF393429 EGY393429:EHJ393429 DXC393429:DXN393429 DNG393429:DNR393429 DDK393429:DDV393429 CTO393429:CTZ393429 CJS393429:CKD393429 BZW393429:CAH393429 BQA393429:BQL393429 BGE393429:BGP393429 AWI393429:AWT393429 AMM393429:AMX393429 ACQ393429:ADB393429 SU393429:TF393429 IY393429:JJ393429 C393429:N393429 WVK327893:WVV327893 WLO327893:WLZ327893 WBS327893:WCD327893 VRW327893:VSH327893 VIA327893:VIL327893 UYE327893:UYP327893 UOI327893:UOT327893 UEM327893:UEX327893 TUQ327893:TVB327893 TKU327893:TLF327893 TAY327893:TBJ327893 SRC327893:SRN327893 SHG327893:SHR327893 RXK327893:RXV327893 RNO327893:RNZ327893 RDS327893:RED327893 QTW327893:QUH327893 QKA327893:QKL327893 QAE327893:QAP327893 PQI327893:PQT327893 PGM327893:PGX327893 OWQ327893:OXB327893 OMU327893:ONF327893 OCY327893:ODJ327893 NTC327893:NTN327893 NJG327893:NJR327893 MZK327893:MZV327893 MPO327893:MPZ327893 MFS327893:MGD327893 LVW327893:LWH327893 LMA327893:LML327893 LCE327893:LCP327893 KSI327893:KST327893 KIM327893:KIX327893 JYQ327893:JZB327893 JOU327893:JPF327893 JEY327893:JFJ327893 IVC327893:IVN327893 ILG327893:ILR327893 IBK327893:IBV327893 HRO327893:HRZ327893 HHS327893:HID327893 GXW327893:GYH327893 GOA327893:GOL327893 GEE327893:GEP327893 FUI327893:FUT327893 FKM327893:FKX327893 FAQ327893:FBB327893 EQU327893:ERF327893 EGY327893:EHJ327893 DXC327893:DXN327893 DNG327893:DNR327893 DDK327893:DDV327893 CTO327893:CTZ327893 CJS327893:CKD327893 BZW327893:CAH327893 BQA327893:BQL327893 BGE327893:BGP327893 AWI327893:AWT327893 AMM327893:AMX327893 ACQ327893:ADB327893 SU327893:TF327893 IY327893:JJ327893 C327893:N327893 WVK262357:WVV262357 WLO262357:WLZ262357 WBS262357:WCD262357 VRW262357:VSH262357 VIA262357:VIL262357 UYE262357:UYP262357 UOI262357:UOT262357 UEM262357:UEX262357 TUQ262357:TVB262357 TKU262357:TLF262357 TAY262357:TBJ262357 SRC262357:SRN262357 SHG262357:SHR262357 RXK262357:RXV262357 RNO262357:RNZ262357 RDS262357:RED262357 QTW262357:QUH262357 QKA262357:QKL262357 QAE262357:QAP262357 PQI262357:PQT262357 PGM262357:PGX262357 OWQ262357:OXB262357 OMU262357:ONF262357 OCY262357:ODJ262357 NTC262357:NTN262357 NJG262357:NJR262357 MZK262357:MZV262357 MPO262357:MPZ262357 MFS262357:MGD262357 LVW262357:LWH262357 LMA262357:LML262357 LCE262357:LCP262357 KSI262357:KST262357 KIM262357:KIX262357 JYQ262357:JZB262357 JOU262357:JPF262357 JEY262357:JFJ262357 IVC262357:IVN262357 ILG262357:ILR262357 IBK262357:IBV262357 HRO262357:HRZ262357 HHS262357:HID262357 GXW262357:GYH262357 GOA262357:GOL262357 GEE262357:GEP262357 FUI262357:FUT262357 FKM262357:FKX262357 FAQ262357:FBB262357 EQU262357:ERF262357 EGY262357:EHJ262357 DXC262357:DXN262357 DNG262357:DNR262357 DDK262357:DDV262357 CTO262357:CTZ262357 CJS262357:CKD262357 BZW262357:CAH262357 BQA262357:BQL262357 BGE262357:BGP262357 AWI262357:AWT262357 AMM262357:AMX262357 ACQ262357:ADB262357 SU262357:TF262357 IY262357:JJ262357 C262357:N262357 WVK196821:WVV196821 WLO196821:WLZ196821 WBS196821:WCD196821 VRW196821:VSH196821 VIA196821:VIL196821 UYE196821:UYP196821 UOI196821:UOT196821 UEM196821:UEX196821 TUQ196821:TVB196821 TKU196821:TLF196821 TAY196821:TBJ196821 SRC196821:SRN196821 SHG196821:SHR196821 RXK196821:RXV196821 RNO196821:RNZ196821 RDS196821:RED196821 QTW196821:QUH196821 QKA196821:QKL196821 QAE196821:QAP196821 PQI196821:PQT196821 PGM196821:PGX196821 OWQ196821:OXB196821 OMU196821:ONF196821 OCY196821:ODJ196821 NTC196821:NTN196821 NJG196821:NJR196821 MZK196821:MZV196821 MPO196821:MPZ196821 MFS196821:MGD196821 LVW196821:LWH196821 LMA196821:LML196821 LCE196821:LCP196821 KSI196821:KST196821 KIM196821:KIX196821 JYQ196821:JZB196821 JOU196821:JPF196821 JEY196821:JFJ196821 IVC196821:IVN196821 ILG196821:ILR196821 IBK196821:IBV196821 HRO196821:HRZ196821 HHS196821:HID196821 GXW196821:GYH196821 GOA196821:GOL196821 GEE196821:GEP196821 FUI196821:FUT196821 FKM196821:FKX196821 FAQ196821:FBB196821 EQU196821:ERF196821 EGY196821:EHJ196821 DXC196821:DXN196821 DNG196821:DNR196821 DDK196821:DDV196821 CTO196821:CTZ196821 CJS196821:CKD196821 BZW196821:CAH196821 BQA196821:BQL196821 BGE196821:BGP196821 AWI196821:AWT196821 AMM196821:AMX196821 ACQ196821:ADB196821 SU196821:TF196821 IY196821:JJ196821 C196821:N196821 WVK131285:WVV131285 WLO131285:WLZ131285 WBS131285:WCD131285 VRW131285:VSH131285 VIA131285:VIL131285 UYE131285:UYP131285 UOI131285:UOT131285 UEM131285:UEX131285 TUQ131285:TVB131285 TKU131285:TLF131285 TAY131285:TBJ131285 SRC131285:SRN131285 SHG131285:SHR131285 RXK131285:RXV131285 RNO131285:RNZ131285 RDS131285:RED131285 QTW131285:QUH131285 QKA131285:QKL131285 QAE131285:QAP131285 PQI131285:PQT131285 PGM131285:PGX131285 OWQ131285:OXB131285 OMU131285:ONF131285 OCY131285:ODJ131285 NTC131285:NTN131285 NJG131285:NJR131285 MZK131285:MZV131285 MPO131285:MPZ131285 MFS131285:MGD131285 LVW131285:LWH131285 LMA131285:LML131285 LCE131285:LCP131285 KSI131285:KST131285 KIM131285:KIX131285 JYQ131285:JZB131285 JOU131285:JPF131285 JEY131285:JFJ131285 IVC131285:IVN131285 ILG131285:ILR131285 IBK131285:IBV131285 HRO131285:HRZ131285 HHS131285:HID131285 GXW131285:GYH131285 GOA131285:GOL131285 GEE131285:GEP131285 FUI131285:FUT131285 FKM131285:FKX131285 FAQ131285:FBB131285 EQU131285:ERF131285 EGY131285:EHJ131285 DXC131285:DXN131285 DNG131285:DNR131285 DDK131285:DDV131285 CTO131285:CTZ131285 CJS131285:CKD131285 BZW131285:CAH131285 BQA131285:BQL131285 BGE131285:BGP131285 AWI131285:AWT131285 AMM131285:AMX131285 ACQ131285:ADB131285 SU131285:TF131285 IY131285:JJ131285 C131285:N131285 WVK65749:WVV65749 WLO65749:WLZ65749 WBS65749:WCD65749 VRW65749:VSH65749 VIA65749:VIL65749 UYE65749:UYP65749 UOI65749:UOT65749 UEM65749:UEX65749 TUQ65749:TVB65749 TKU65749:TLF65749 TAY65749:TBJ65749 SRC65749:SRN65749 SHG65749:SHR65749 RXK65749:RXV65749 RNO65749:RNZ65749 RDS65749:RED65749 QTW65749:QUH65749 QKA65749:QKL65749 QAE65749:QAP65749 PQI65749:PQT65749 PGM65749:PGX65749 OWQ65749:OXB65749 OMU65749:ONF65749 OCY65749:ODJ65749 NTC65749:NTN65749 NJG65749:NJR65749 MZK65749:MZV65749 MPO65749:MPZ65749 MFS65749:MGD65749 LVW65749:LWH65749 LMA65749:LML65749 LCE65749:LCP65749 KSI65749:KST65749 KIM65749:KIX65749 JYQ65749:JZB65749 JOU65749:JPF65749 JEY65749:JFJ65749 IVC65749:IVN65749 ILG65749:ILR65749 IBK65749:IBV65749 HRO65749:HRZ65749 HHS65749:HID65749 GXW65749:GYH65749 GOA65749:GOL65749 GEE65749:GEP65749 FUI65749:FUT65749 FKM65749:FKX65749 FAQ65749:FBB65749 EQU65749:ERF65749 EGY65749:EHJ65749 DXC65749:DXN65749 DNG65749:DNR65749 DDK65749:DDV65749 CTO65749:CTZ65749 CJS65749:CKD65749 BZW65749:CAH65749 BQA65749:BQL65749 BGE65749:BGP65749 AWI65749:AWT65749 AMM65749:AMX65749 ACQ65749:ADB65749 SU65749:TF65749 IY65749:JJ65749 C65749:N65749 WVK295:WVV295 WLO295:WLZ295 WBS295:WCD295 VRW295:VSH295 VIA295:VIL295 UYE295:UYP295 UOI295:UOT295 UEM295:UEX295 TUQ295:TVB295 TKU295:TLF295 TAY295:TBJ295 SRC295:SRN295 SHG295:SHR295 RXK295:RXV295 RNO295:RNZ295 RDS295:RED295 QTW295:QUH295 QKA295:QKL295 QAE295:QAP295 PQI295:PQT295 PGM295:PGX295 OWQ295:OXB295 OMU295:ONF295 OCY295:ODJ295 NTC295:NTN295 NJG295:NJR295 MZK295:MZV295 MPO295:MPZ295 MFS295:MGD295 LVW295:LWH295 LMA295:LML295 LCE295:LCP295 KSI295:KST295 KIM295:KIX295 JYQ295:JZB295 JOU295:JPF295 JEY295:JFJ295 IVC295:IVN295 ILG295:ILR295 IBK295:IBV295 HRO295:HRZ295 HHS295:HID295 GXW295:GYH295 GOA295:GOL295 GEE295:GEP295 FUI295:FUT295 FKM295:FKX295 FAQ295:FBB295 EQU295:ERF295 EGY295:EHJ295 DXC295:DXN295 DNG295:DNR295 DDK295:DDV295 CTO295:CTZ295 CJS295:CKD295 BZW295:CAH295 BQA295:BQL295 BGE295:BGP295 AWI295:AWT295 AMM295:AMX295 ACQ295:ADB295 SU295:TF295 IY295:JJ295 DDK220:DDV220 WVK983238:WVV983238 WLO983238:WLZ983238 WBS983238:WCD983238 VRW983238:VSH983238 VIA983238:VIL983238 UYE983238:UYP983238 UOI983238:UOT983238 UEM983238:UEX983238 TUQ983238:TVB983238 TKU983238:TLF983238 TAY983238:TBJ983238 SRC983238:SRN983238 SHG983238:SHR983238 RXK983238:RXV983238 RNO983238:RNZ983238 RDS983238:RED983238 QTW983238:QUH983238 QKA983238:QKL983238 QAE983238:QAP983238 PQI983238:PQT983238 PGM983238:PGX983238 OWQ983238:OXB983238 OMU983238:ONF983238 OCY983238:ODJ983238 NTC983238:NTN983238 NJG983238:NJR983238 MZK983238:MZV983238 MPO983238:MPZ983238 MFS983238:MGD983238 LVW983238:LWH983238 LMA983238:LML983238 LCE983238:LCP983238 KSI983238:KST983238 KIM983238:KIX983238 JYQ983238:JZB983238 JOU983238:JPF983238 JEY983238:JFJ983238 IVC983238:IVN983238 ILG983238:ILR983238 IBK983238:IBV983238 HRO983238:HRZ983238 HHS983238:HID983238 GXW983238:GYH983238 GOA983238:GOL983238 GEE983238:GEP983238 FUI983238:FUT983238 FKM983238:FKX983238 FAQ983238:FBB983238 EQU983238:ERF983238 EGY983238:EHJ983238 DXC983238:DXN983238 DNG983238:DNR983238 DDK983238:DDV983238 CTO983238:CTZ983238 CJS983238:CKD983238 BZW983238:CAH983238 BQA983238:BQL983238 BGE983238:BGP983238 AWI983238:AWT983238 AMM983238:AMX983238 ACQ983238:ADB983238 SU983238:TF983238 IY983238:JJ983238 C983238:N983238 WVK917702:WVV917702 WLO917702:WLZ917702 WBS917702:WCD917702 VRW917702:VSH917702 VIA917702:VIL917702 UYE917702:UYP917702 UOI917702:UOT917702 UEM917702:UEX917702 TUQ917702:TVB917702 TKU917702:TLF917702 TAY917702:TBJ917702 SRC917702:SRN917702 SHG917702:SHR917702 RXK917702:RXV917702 RNO917702:RNZ917702 RDS917702:RED917702 QTW917702:QUH917702 QKA917702:QKL917702 QAE917702:QAP917702 PQI917702:PQT917702 PGM917702:PGX917702 OWQ917702:OXB917702 OMU917702:ONF917702 OCY917702:ODJ917702 NTC917702:NTN917702 NJG917702:NJR917702 MZK917702:MZV917702 MPO917702:MPZ917702 MFS917702:MGD917702 LVW917702:LWH917702 LMA917702:LML917702 LCE917702:LCP917702 KSI917702:KST917702 KIM917702:KIX917702 JYQ917702:JZB917702 JOU917702:JPF917702 JEY917702:JFJ917702 IVC917702:IVN917702 ILG917702:ILR917702 IBK917702:IBV917702 HRO917702:HRZ917702 HHS917702:HID917702 GXW917702:GYH917702 GOA917702:GOL917702 GEE917702:GEP917702 FUI917702:FUT917702 FKM917702:FKX917702 FAQ917702:FBB917702 EQU917702:ERF917702 EGY917702:EHJ917702 DXC917702:DXN917702 DNG917702:DNR917702 DDK917702:DDV917702 CTO917702:CTZ917702 CJS917702:CKD917702 BZW917702:CAH917702 BQA917702:BQL917702 BGE917702:BGP917702 AWI917702:AWT917702 AMM917702:AMX917702 ACQ917702:ADB917702 SU917702:TF917702 IY917702:JJ917702 C917702:N917702 WVK852166:WVV852166 WLO852166:WLZ852166 WBS852166:WCD852166 VRW852166:VSH852166 VIA852166:VIL852166 UYE852166:UYP852166 UOI852166:UOT852166 UEM852166:UEX852166 TUQ852166:TVB852166 TKU852166:TLF852166 TAY852166:TBJ852166 SRC852166:SRN852166 SHG852166:SHR852166 RXK852166:RXV852166 RNO852166:RNZ852166 RDS852166:RED852166 QTW852166:QUH852166 QKA852166:QKL852166 QAE852166:QAP852166 PQI852166:PQT852166 PGM852166:PGX852166 OWQ852166:OXB852166 OMU852166:ONF852166 OCY852166:ODJ852166 NTC852166:NTN852166 NJG852166:NJR852166 MZK852166:MZV852166 MPO852166:MPZ852166 MFS852166:MGD852166 LVW852166:LWH852166 LMA852166:LML852166 LCE852166:LCP852166 KSI852166:KST852166 KIM852166:KIX852166 JYQ852166:JZB852166 JOU852166:JPF852166 JEY852166:JFJ852166 IVC852166:IVN852166 ILG852166:ILR852166 IBK852166:IBV852166 HRO852166:HRZ852166 HHS852166:HID852166 GXW852166:GYH852166 GOA852166:GOL852166 GEE852166:GEP852166 FUI852166:FUT852166 FKM852166:FKX852166 FAQ852166:FBB852166 EQU852166:ERF852166 EGY852166:EHJ852166 DXC852166:DXN852166 DNG852166:DNR852166 DDK852166:DDV852166 CTO852166:CTZ852166 CJS852166:CKD852166 BZW852166:CAH852166 BQA852166:BQL852166 BGE852166:BGP852166 AWI852166:AWT852166 AMM852166:AMX852166 ACQ852166:ADB852166 SU852166:TF852166 IY852166:JJ852166 C852166:N852166 WVK786630:WVV786630 WLO786630:WLZ786630 WBS786630:WCD786630 VRW786630:VSH786630 VIA786630:VIL786630 UYE786630:UYP786630 UOI786630:UOT786630 UEM786630:UEX786630 TUQ786630:TVB786630 TKU786630:TLF786630 TAY786630:TBJ786630 SRC786630:SRN786630 SHG786630:SHR786630 RXK786630:RXV786630 RNO786630:RNZ786630 RDS786630:RED786630 QTW786630:QUH786630 QKA786630:QKL786630 QAE786630:QAP786630 PQI786630:PQT786630 PGM786630:PGX786630 OWQ786630:OXB786630 OMU786630:ONF786630 OCY786630:ODJ786630 NTC786630:NTN786630 NJG786630:NJR786630 MZK786630:MZV786630 MPO786630:MPZ786630 MFS786630:MGD786630 LVW786630:LWH786630 LMA786630:LML786630 LCE786630:LCP786630 KSI786630:KST786630 KIM786630:KIX786630 JYQ786630:JZB786630 JOU786630:JPF786630 JEY786630:JFJ786630 IVC786630:IVN786630 ILG786630:ILR786630 IBK786630:IBV786630 HRO786630:HRZ786630 HHS786630:HID786630 GXW786630:GYH786630 GOA786630:GOL786630 GEE786630:GEP786630 FUI786630:FUT786630 FKM786630:FKX786630 FAQ786630:FBB786630 EQU786630:ERF786630 EGY786630:EHJ786630 DXC786630:DXN786630 DNG786630:DNR786630 DDK786630:DDV786630 CTO786630:CTZ786630 CJS786630:CKD786630 BZW786630:CAH786630 BQA786630:BQL786630 BGE786630:BGP786630 AWI786630:AWT786630 AMM786630:AMX786630 ACQ786630:ADB786630 SU786630:TF786630 IY786630:JJ786630 C786630:N786630 WVK721094:WVV721094 WLO721094:WLZ721094 WBS721094:WCD721094 VRW721094:VSH721094 VIA721094:VIL721094 UYE721094:UYP721094 UOI721094:UOT721094 UEM721094:UEX721094 TUQ721094:TVB721094 TKU721094:TLF721094 TAY721094:TBJ721094 SRC721094:SRN721094 SHG721094:SHR721094 RXK721094:RXV721094 RNO721094:RNZ721094 RDS721094:RED721094 QTW721094:QUH721094 QKA721094:QKL721094 QAE721094:QAP721094 PQI721094:PQT721094 PGM721094:PGX721094 OWQ721094:OXB721094 OMU721094:ONF721094 OCY721094:ODJ721094 NTC721094:NTN721094 NJG721094:NJR721094 MZK721094:MZV721094 MPO721094:MPZ721094 MFS721094:MGD721094 LVW721094:LWH721094 LMA721094:LML721094 LCE721094:LCP721094 KSI721094:KST721094 KIM721094:KIX721094 JYQ721094:JZB721094 JOU721094:JPF721094 JEY721094:JFJ721094 IVC721094:IVN721094 ILG721094:ILR721094 IBK721094:IBV721094 HRO721094:HRZ721094 HHS721094:HID721094 GXW721094:GYH721094 GOA721094:GOL721094 GEE721094:GEP721094 FUI721094:FUT721094 FKM721094:FKX721094 FAQ721094:FBB721094 EQU721094:ERF721094 EGY721094:EHJ721094 DXC721094:DXN721094 DNG721094:DNR721094 DDK721094:DDV721094 CTO721094:CTZ721094 CJS721094:CKD721094 BZW721094:CAH721094 BQA721094:BQL721094 BGE721094:BGP721094 AWI721094:AWT721094 AMM721094:AMX721094 ACQ721094:ADB721094 SU721094:TF721094 IY721094:JJ721094 C721094:N721094 WVK655558:WVV655558 WLO655558:WLZ655558 WBS655558:WCD655558 VRW655558:VSH655558 VIA655558:VIL655558 UYE655558:UYP655558 UOI655558:UOT655558 UEM655558:UEX655558 TUQ655558:TVB655558 TKU655558:TLF655558 TAY655558:TBJ655558 SRC655558:SRN655558 SHG655558:SHR655558 RXK655558:RXV655558 RNO655558:RNZ655558 RDS655558:RED655558 QTW655558:QUH655558 QKA655558:QKL655558 QAE655558:QAP655558 PQI655558:PQT655558 PGM655558:PGX655558 OWQ655558:OXB655558 OMU655558:ONF655558 OCY655558:ODJ655558 NTC655558:NTN655558 NJG655558:NJR655558 MZK655558:MZV655558 MPO655558:MPZ655558 MFS655558:MGD655558 LVW655558:LWH655558 LMA655558:LML655558 LCE655558:LCP655558 KSI655558:KST655558 KIM655558:KIX655558 JYQ655558:JZB655558 JOU655558:JPF655558 JEY655558:JFJ655558 IVC655558:IVN655558 ILG655558:ILR655558 IBK655558:IBV655558 HRO655558:HRZ655558 HHS655558:HID655558 GXW655558:GYH655558 GOA655558:GOL655558 GEE655558:GEP655558 FUI655558:FUT655558 FKM655558:FKX655558 FAQ655558:FBB655558 EQU655558:ERF655558 EGY655558:EHJ655558 DXC655558:DXN655558 DNG655558:DNR655558 DDK655558:DDV655558 CTO655558:CTZ655558 CJS655558:CKD655558 BZW655558:CAH655558 BQA655558:BQL655558 BGE655558:BGP655558 AWI655558:AWT655558 AMM655558:AMX655558 ACQ655558:ADB655558 SU655558:TF655558 IY655558:JJ655558 C655558:N655558 WVK590022:WVV590022 WLO590022:WLZ590022 WBS590022:WCD590022 VRW590022:VSH590022 VIA590022:VIL590022 UYE590022:UYP590022 UOI590022:UOT590022 UEM590022:UEX590022 TUQ590022:TVB590022 TKU590022:TLF590022 TAY590022:TBJ590022 SRC590022:SRN590022 SHG590022:SHR590022 RXK590022:RXV590022 RNO590022:RNZ590022 RDS590022:RED590022 QTW590022:QUH590022 QKA590022:QKL590022 QAE590022:QAP590022 PQI590022:PQT590022 PGM590022:PGX590022 OWQ590022:OXB590022 OMU590022:ONF590022 OCY590022:ODJ590022 NTC590022:NTN590022 NJG590022:NJR590022 MZK590022:MZV590022 MPO590022:MPZ590022 MFS590022:MGD590022 LVW590022:LWH590022 LMA590022:LML590022 LCE590022:LCP590022 KSI590022:KST590022 KIM590022:KIX590022 JYQ590022:JZB590022 JOU590022:JPF590022 JEY590022:JFJ590022 IVC590022:IVN590022 ILG590022:ILR590022 IBK590022:IBV590022 HRO590022:HRZ590022 HHS590022:HID590022 GXW590022:GYH590022 GOA590022:GOL590022 GEE590022:GEP590022 FUI590022:FUT590022 FKM590022:FKX590022 FAQ590022:FBB590022 EQU590022:ERF590022 EGY590022:EHJ590022 DXC590022:DXN590022 DNG590022:DNR590022 DDK590022:DDV590022 CTO590022:CTZ590022 CJS590022:CKD590022 BZW590022:CAH590022 BQA590022:BQL590022 BGE590022:BGP590022 AWI590022:AWT590022 AMM590022:AMX590022 ACQ590022:ADB590022 SU590022:TF590022 IY590022:JJ590022 C590022:N590022 WVK524486:WVV524486 WLO524486:WLZ524486 WBS524486:WCD524486 VRW524486:VSH524486 VIA524486:VIL524486 UYE524486:UYP524486 UOI524486:UOT524486 UEM524486:UEX524486 TUQ524486:TVB524486 TKU524486:TLF524486 TAY524486:TBJ524486 SRC524486:SRN524486 SHG524486:SHR524486 RXK524486:RXV524486 RNO524486:RNZ524486 RDS524486:RED524486 QTW524486:QUH524486 QKA524486:QKL524486 QAE524486:QAP524486 PQI524486:PQT524486 PGM524486:PGX524486 OWQ524486:OXB524486 OMU524486:ONF524486 OCY524486:ODJ524486 NTC524486:NTN524486 NJG524486:NJR524486 MZK524486:MZV524486 MPO524486:MPZ524486 MFS524486:MGD524486 LVW524486:LWH524486 LMA524486:LML524486 LCE524486:LCP524486 KSI524486:KST524486 KIM524486:KIX524486 JYQ524486:JZB524486 JOU524486:JPF524486 JEY524486:JFJ524486 IVC524486:IVN524486 ILG524486:ILR524486 IBK524486:IBV524486 HRO524486:HRZ524486 HHS524486:HID524486 GXW524486:GYH524486 GOA524486:GOL524486 GEE524486:GEP524486 FUI524486:FUT524486 FKM524486:FKX524486 FAQ524486:FBB524486 EQU524486:ERF524486 EGY524486:EHJ524486 DXC524486:DXN524486 DNG524486:DNR524486 DDK524486:DDV524486 CTO524486:CTZ524486 CJS524486:CKD524486 BZW524486:CAH524486 BQA524486:BQL524486 BGE524486:BGP524486 AWI524486:AWT524486 AMM524486:AMX524486 ACQ524486:ADB524486 SU524486:TF524486 IY524486:JJ524486 C524486:N524486 WVK458950:WVV458950 WLO458950:WLZ458950 WBS458950:WCD458950 VRW458950:VSH458950 VIA458950:VIL458950 UYE458950:UYP458950 UOI458950:UOT458950 UEM458950:UEX458950 TUQ458950:TVB458950 TKU458950:TLF458950 TAY458950:TBJ458950 SRC458950:SRN458950 SHG458950:SHR458950 RXK458950:RXV458950 RNO458950:RNZ458950 RDS458950:RED458950 QTW458950:QUH458950 QKA458950:QKL458950 QAE458950:QAP458950 PQI458950:PQT458950 PGM458950:PGX458950 OWQ458950:OXB458950 OMU458950:ONF458950 OCY458950:ODJ458950 NTC458950:NTN458950 NJG458950:NJR458950 MZK458950:MZV458950 MPO458950:MPZ458950 MFS458950:MGD458950 LVW458950:LWH458950 LMA458950:LML458950 LCE458950:LCP458950 KSI458950:KST458950 KIM458950:KIX458950 JYQ458950:JZB458950 JOU458950:JPF458950 JEY458950:JFJ458950 IVC458950:IVN458950 ILG458950:ILR458950 IBK458950:IBV458950 HRO458950:HRZ458950 HHS458950:HID458950 GXW458950:GYH458950 GOA458950:GOL458950 GEE458950:GEP458950 FUI458950:FUT458950 FKM458950:FKX458950 FAQ458950:FBB458950 EQU458950:ERF458950 EGY458950:EHJ458950 DXC458950:DXN458950 DNG458950:DNR458950 DDK458950:DDV458950 CTO458950:CTZ458950 CJS458950:CKD458950 BZW458950:CAH458950 BQA458950:BQL458950 BGE458950:BGP458950 AWI458950:AWT458950 AMM458950:AMX458950 ACQ458950:ADB458950 SU458950:TF458950 IY458950:JJ458950 C458950:N458950 WVK393414:WVV393414 WLO393414:WLZ393414 WBS393414:WCD393414 VRW393414:VSH393414 VIA393414:VIL393414 UYE393414:UYP393414 UOI393414:UOT393414 UEM393414:UEX393414 TUQ393414:TVB393414 TKU393414:TLF393414 TAY393414:TBJ393414 SRC393414:SRN393414 SHG393414:SHR393414 RXK393414:RXV393414 RNO393414:RNZ393414 RDS393414:RED393414 QTW393414:QUH393414 QKA393414:QKL393414 QAE393414:QAP393414 PQI393414:PQT393414 PGM393414:PGX393414 OWQ393414:OXB393414 OMU393414:ONF393414 OCY393414:ODJ393414 NTC393414:NTN393414 NJG393414:NJR393414 MZK393414:MZV393414 MPO393414:MPZ393414 MFS393414:MGD393414 LVW393414:LWH393414 LMA393414:LML393414 LCE393414:LCP393414 KSI393414:KST393414 KIM393414:KIX393414 JYQ393414:JZB393414 JOU393414:JPF393414 JEY393414:JFJ393414 IVC393414:IVN393414 ILG393414:ILR393414 IBK393414:IBV393414 HRO393414:HRZ393414 HHS393414:HID393414 GXW393414:GYH393414 GOA393414:GOL393414 GEE393414:GEP393414 FUI393414:FUT393414 FKM393414:FKX393414 FAQ393414:FBB393414 EQU393414:ERF393414 EGY393414:EHJ393414 DXC393414:DXN393414 DNG393414:DNR393414 DDK393414:DDV393414 CTO393414:CTZ393414 CJS393414:CKD393414 BZW393414:CAH393414 BQA393414:BQL393414 BGE393414:BGP393414 AWI393414:AWT393414 AMM393414:AMX393414 ACQ393414:ADB393414 SU393414:TF393414 IY393414:JJ393414 C393414:N393414 WVK327878:WVV327878 WLO327878:WLZ327878 WBS327878:WCD327878 VRW327878:VSH327878 VIA327878:VIL327878 UYE327878:UYP327878 UOI327878:UOT327878 UEM327878:UEX327878 TUQ327878:TVB327878 TKU327878:TLF327878 TAY327878:TBJ327878 SRC327878:SRN327878 SHG327878:SHR327878 RXK327878:RXV327878 RNO327878:RNZ327878 RDS327878:RED327878 QTW327878:QUH327878 QKA327878:QKL327878 QAE327878:QAP327878 PQI327878:PQT327878 PGM327878:PGX327878 OWQ327878:OXB327878 OMU327878:ONF327878 OCY327878:ODJ327878 NTC327878:NTN327878 NJG327878:NJR327878 MZK327878:MZV327878 MPO327878:MPZ327878 MFS327878:MGD327878 LVW327878:LWH327878 LMA327878:LML327878 LCE327878:LCP327878 KSI327878:KST327878 KIM327878:KIX327878 JYQ327878:JZB327878 JOU327878:JPF327878 JEY327878:JFJ327878 IVC327878:IVN327878 ILG327878:ILR327878 IBK327878:IBV327878 HRO327878:HRZ327878 HHS327878:HID327878 GXW327878:GYH327878 GOA327878:GOL327878 GEE327878:GEP327878 FUI327878:FUT327878 FKM327878:FKX327878 FAQ327878:FBB327878 EQU327878:ERF327878 EGY327878:EHJ327878 DXC327878:DXN327878 DNG327878:DNR327878 DDK327878:DDV327878 CTO327878:CTZ327878 CJS327878:CKD327878 BZW327878:CAH327878 BQA327878:BQL327878 BGE327878:BGP327878 AWI327878:AWT327878 AMM327878:AMX327878 ACQ327878:ADB327878 SU327878:TF327878 IY327878:JJ327878 C327878:N327878 WVK262342:WVV262342 WLO262342:WLZ262342 WBS262342:WCD262342 VRW262342:VSH262342 VIA262342:VIL262342 UYE262342:UYP262342 UOI262342:UOT262342 UEM262342:UEX262342 TUQ262342:TVB262342 TKU262342:TLF262342 TAY262342:TBJ262342 SRC262342:SRN262342 SHG262342:SHR262342 RXK262342:RXV262342 RNO262342:RNZ262342 RDS262342:RED262342 QTW262342:QUH262342 QKA262342:QKL262342 QAE262342:QAP262342 PQI262342:PQT262342 PGM262342:PGX262342 OWQ262342:OXB262342 OMU262342:ONF262342 OCY262342:ODJ262342 NTC262342:NTN262342 NJG262342:NJR262342 MZK262342:MZV262342 MPO262342:MPZ262342 MFS262342:MGD262342 LVW262342:LWH262342 LMA262342:LML262342 LCE262342:LCP262342 KSI262342:KST262342 KIM262342:KIX262342 JYQ262342:JZB262342 JOU262342:JPF262342 JEY262342:JFJ262342 IVC262342:IVN262342 ILG262342:ILR262342 IBK262342:IBV262342 HRO262342:HRZ262342 HHS262342:HID262342 GXW262342:GYH262342 GOA262342:GOL262342 GEE262342:GEP262342 FUI262342:FUT262342 FKM262342:FKX262342 FAQ262342:FBB262342 EQU262342:ERF262342 EGY262342:EHJ262342 DXC262342:DXN262342 DNG262342:DNR262342 DDK262342:DDV262342 CTO262342:CTZ262342 CJS262342:CKD262342 BZW262342:CAH262342 BQA262342:BQL262342 BGE262342:BGP262342 AWI262342:AWT262342 AMM262342:AMX262342 ACQ262342:ADB262342 SU262342:TF262342 IY262342:JJ262342 C262342:N262342 WVK196806:WVV196806 WLO196806:WLZ196806 WBS196806:WCD196806 VRW196806:VSH196806 VIA196806:VIL196806 UYE196806:UYP196806 UOI196806:UOT196806 UEM196806:UEX196806 TUQ196806:TVB196806 TKU196806:TLF196806 TAY196806:TBJ196806 SRC196806:SRN196806 SHG196806:SHR196806 RXK196806:RXV196806 RNO196806:RNZ196806 RDS196806:RED196806 QTW196806:QUH196806 QKA196806:QKL196806 QAE196806:QAP196806 PQI196806:PQT196806 PGM196806:PGX196806 OWQ196806:OXB196806 OMU196806:ONF196806 OCY196806:ODJ196806 NTC196806:NTN196806 NJG196806:NJR196806 MZK196806:MZV196806 MPO196806:MPZ196806 MFS196806:MGD196806 LVW196806:LWH196806 LMA196806:LML196806 LCE196806:LCP196806 KSI196806:KST196806 KIM196806:KIX196806 JYQ196806:JZB196806 JOU196806:JPF196806 JEY196806:JFJ196806 IVC196806:IVN196806 ILG196806:ILR196806 IBK196806:IBV196806 HRO196806:HRZ196806 HHS196806:HID196806 GXW196806:GYH196806 GOA196806:GOL196806 GEE196806:GEP196806 FUI196806:FUT196806 FKM196806:FKX196806 FAQ196806:FBB196806 EQU196806:ERF196806 EGY196806:EHJ196806 DXC196806:DXN196806 DNG196806:DNR196806 DDK196806:DDV196806 CTO196806:CTZ196806 CJS196806:CKD196806 BZW196806:CAH196806 BQA196806:BQL196806 BGE196806:BGP196806 AWI196806:AWT196806 AMM196806:AMX196806 ACQ196806:ADB196806 SU196806:TF196806 IY196806:JJ196806 C196806:N196806 WVK131270:WVV131270 WLO131270:WLZ131270 WBS131270:WCD131270 VRW131270:VSH131270 VIA131270:VIL131270 UYE131270:UYP131270 UOI131270:UOT131270 UEM131270:UEX131270 TUQ131270:TVB131270 TKU131270:TLF131270 TAY131270:TBJ131270 SRC131270:SRN131270 SHG131270:SHR131270 RXK131270:RXV131270 RNO131270:RNZ131270 RDS131270:RED131270 QTW131270:QUH131270 QKA131270:QKL131270 QAE131270:QAP131270 PQI131270:PQT131270 PGM131270:PGX131270 OWQ131270:OXB131270 OMU131270:ONF131270 OCY131270:ODJ131270 NTC131270:NTN131270 NJG131270:NJR131270 MZK131270:MZV131270 MPO131270:MPZ131270 MFS131270:MGD131270 LVW131270:LWH131270 LMA131270:LML131270 LCE131270:LCP131270 KSI131270:KST131270 KIM131270:KIX131270 JYQ131270:JZB131270 JOU131270:JPF131270 JEY131270:JFJ131270 IVC131270:IVN131270 ILG131270:ILR131270 IBK131270:IBV131270 HRO131270:HRZ131270 HHS131270:HID131270 GXW131270:GYH131270 GOA131270:GOL131270 GEE131270:GEP131270 FUI131270:FUT131270 FKM131270:FKX131270 FAQ131270:FBB131270 EQU131270:ERF131270 EGY131270:EHJ131270 DXC131270:DXN131270 DNG131270:DNR131270 DDK131270:DDV131270 CTO131270:CTZ131270 CJS131270:CKD131270 BZW131270:CAH131270 BQA131270:BQL131270 BGE131270:BGP131270 AWI131270:AWT131270 AMM131270:AMX131270 ACQ131270:ADB131270 SU131270:TF131270 IY131270:JJ131270 C131270:N131270 WVK65734:WVV65734 WLO65734:WLZ65734 WBS65734:WCD65734 VRW65734:VSH65734 VIA65734:VIL65734 UYE65734:UYP65734 UOI65734:UOT65734 UEM65734:UEX65734 TUQ65734:TVB65734 TKU65734:TLF65734 TAY65734:TBJ65734 SRC65734:SRN65734 SHG65734:SHR65734 RXK65734:RXV65734 RNO65734:RNZ65734 RDS65734:RED65734 QTW65734:QUH65734 QKA65734:QKL65734 QAE65734:QAP65734 PQI65734:PQT65734 PGM65734:PGX65734 OWQ65734:OXB65734 OMU65734:ONF65734 OCY65734:ODJ65734 NTC65734:NTN65734 NJG65734:NJR65734 MZK65734:MZV65734 MPO65734:MPZ65734 MFS65734:MGD65734 LVW65734:LWH65734 LMA65734:LML65734 LCE65734:LCP65734 KSI65734:KST65734 KIM65734:KIX65734 JYQ65734:JZB65734 JOU65734:JPF65734 JEY65734:JFJ65734 IVC65734:IVN65734 ILG65734:ILR65734 IBK65734:IBV65734 HRO65734:HRZ65734 HHS65734:HID65734 GXW65734:GYH65734 GOA65734:GOL65734 GEE65734:GEP65734 FUI65734:FUT65734 FKM65734:FKX65734 FAQ65734:FBB65734 EQU65734:ERF65734 EGY65734:EHJ65734 DXC65734:DXN65734 DNG65734:DNR65734 DDK65734:DDV65734 CTO65734:CTZ65734 CJS65734:CKD65734 BZW65734:CAH65734 BQA65734:BQL65734 BGE65734:BGP65734 AWI65734:AWT65734 AMM65734:AMX65734 ACQ65734:ADB65734 SU65734:TF65734 IY65734:JJ65734 C65734:N65734 WVK280:WVV280 WLO280:WLZ280 WBS280:WCD280 VRW280:VSH280 VIA280:VIL280 UYE280:UYP280 UOI280:UOT280 UEM280:UEX280 TUQ280:TVB280 TKU280:TLF280 TAY280:TBJ280 SRC280:SRN280 SHG280:SHR280 RXK280:RXV280 RNO280:RNZ280 RDS280:RED280 QTW280:QUH280 QKA280:QKL280 QAE280:QAP280 PQI280:PQT280 PGM280:PGX280 OWQ280:OXB280 OMU280:ONF280 OCY280:ODJ280 NTC280:NTN280 NJG280:NJR280 MZK280:MZV280 MPO280:MPZ280 MFS280:MGD280 LVW280:LWH280 LMA280:LML280 LCE280:LCP280 KSI280:KST280 KIM280:KIX280 JYQ280:JZB280 JOU280:JPF280 JEY280:JFJ280 IVC280:IVN280 ILG280:ILR280 IBK280:IBV280 HRO280:HRZ280 HHS280:HID280 GXW280:GYH280 GOA280:GOL280 GEE280:GEP280 FUI280:FUT280 FKM280:FKX280 FAQ280:FBB280 EQU280:ERF280 EGY280:EHJ280 DXC280:DXN280 DNG280:DNR280 DDK280:DDV280 CTO280:CTZ280 CJS280:CKD280 BZW280:CAH280 BQA280:BQL280 BGE280:BGP280 AWI280:AWT280 AMM280:AMX280 ACQ280:ADB280 SU280:TF280 IY280:JJ280 CTO220:CTZ220 WVK983223:WVV983223 WLO983223:WLZ983223 WBS983223:WCD983223 VRW983223:VSH983223 VIA983223:VIL983223 UYE983223:UYP983223 UOI983223:UOT983223 UEM983223:UEX983223 TUQ983223:TVB983223 TKU983223:TLF983223 TAY983223:TBJ983223 SRC983223:SRN983223 SHG983223:SHR983223 RXK983223:RXV983223 RNO983223:RNZ983223 RDS983223:RED983223 QTW983223:QUH983223 QKA983223:QKL983223 QAE983223:QAP983223 PQI983223:PQT983223 PGM983223:PGX983223 OWQ983223:OXB983223 OMU983223:ONF983223 OCY983223:ODJ983223 NTC983223:NTN983223 NJG983223:NJR983223 MZK983223:MZV983223 MPO983223:MPZ983223 MFS983223:MGD983223 LVW983223:LWH983223 LMA983223:LML983223 LCE983223:LCP983223 KSI983223:KST983223 KIM983223:KIX983223 JYQ983223:JZB983223 JOU983223:JPF983223 JEY983223:JFJ983223 IVC983223:IVN983223 ILG983223:ILR983223 IBK983223:IBV983223 HRO983223:HRZ983223 HHS983223:HID983223 GXW983223:GYH983223 GOA983223:GOL983223 GEE983223:GEP983223 FUI983223:FUT983223 FKM983223:FKX983223 FAQ983223:FBB983223 EQU983223:ERF983223 EGY983223:EHJ983223 DXC983223:DXN983223 DNG983223:DNR983223 DDK983223:DDV983223 CTO983223:CTZ983223 CJS983223:CKD983223 BZW983223:CAH983223 BQA983223:BQL983223 BGE983223:BGP983223 AWI983223:AWT983223 AMM983223:AMX983223 ACQ983223:ADB983223 SU983223:TF983223 IY983223:JJ983223 C983223:N983223 WVK917687:WVV917687 WLO917687:WLZ917687 WBS917687:WCD917687 VRW917687:VSH917687 VIA917687:VIL917687 UYE917687:UYP917687 UOI917687:UOT917687 UEM917687:UEX917687 TUQ917687:TVB917687 TKU917687:TLF917687 TAY917687:TBJ917687 SRC917687:SRN917687 SHG917687:SHR917687 RXK917687:RXV917687 RNO917687:RNZ917687 RDS917687:RED917687 QTW917687:QUH917687 QKA917687:QKL917687 QAE917687:QAP917687 PQI917687:PQT917687 PGM917687:PGX917687 OWQ917687:OXB917687 OMU917687:ONF917687 OCY917687:ODJ917687 NTC917687:NTN917687 NJG917687:NJR917687 MZK917687:MZV917687 MPO917687:MPZ917687 MFS917687:MGD917687 LVW917687:LWH917687 LMA917687:LML917687 LCE917687:LCP917687 KSI917687:KST917687 KIM917687:KIX917687 JYQ917687:JZB917687 JOU917687:JPF917687 JEY917687:JFJ917687 IVC917687:IVN917687 ILG917687:ILR917687 IBK917687:IBV917687 HRO917687:HRZ917687 HHS917687:HID917687 GXW917687:GYH917687 GOA917687:GOL917687 GEE917687:GEP917687 FUI917687:FUT917687 FKM917687:FKX917687 FAQ917687:FBB917687 EQU917687:ERF917687 EGY917687:EHJ917687 DXC917687:DXN917687 DNG917687:DNR917687 DDK917687:DDV917687 CTO917687:CTZ917687 CJS917687:CKD917687 BZW917687:CAH917687 BQA917687:BQL917687 BGE917687:BGP917687 AWI917687:AWT917687 AMM917687:AMX917687 ACQ917687:ADB917687 SU917687:TF917687 IY917687:JJ917687 C917687:N917687 WVK852151:WVV852151 WLO852151:WLZ852151 WBS852151:WCD852151 VRW852151:VSH852151 VIA852151:VIL852151 UYE852151:UYP852151 UOI852151:UOT852151 UEM852151:UEX852151 TUQ852151:TVB852151 TKU852151:TLF852151 TAY852151:TBJ852151 SRC852151:SRN852151 SHG852151:SHR852151 RXK852151:RXV852151 RNO852151:RNZ852151 RDS852151:RED852151 QTW852151:QUH852151 QKA852151:QKL852151 QAE852151:QAP852151 PQI852151:PQT852151 PGM852151:PGX852151 OWQ852151:OXB852151 OMU852151:ONF852151 OCY852151:ODJ852151 NTC852151:NTN852151 NJG852151:NJR852151 MZK852151:MZV852151 MPO852151:MPZ852151 MFS852151:MGD852151 LVW852151:LWH852151 LMA852151:LML852151 LCE852151:LCP852151 KSI852151:KST852151 KIM852151:KIX852151 JYQ852151:JZB852151 JOU852151:JPF852151 JEY852151:JFJ852151 IVC852151:IVN852151 ILG852151:ILR852151 IBK852151:IBV852151 HRO852151:HRZ852151 HHS852151:HID852151 GXW852151:GYH852151 GOA852151:GOL852151 GEE852151:GEP852151 FUI852151:FUT852151 FKM852151:FKX852151 FAQ852151:FBB852151 EQU852151:ERF852151 EGY852151:EHJ852151 DXC852151:DXN852151 DNG852151:DNR852151 DDK852151:DDV852151 CTO852151:CTZ852151 CJS852151:CKD852151 BZW852151:CAH852151 BQA852151:BQL852151 BGE852151:BGP852151 AWI852151:AWT852151 AMM852151:AMX852151 ACQ852151:ADB852151 SU852151:TF852151 IY852151:JJ852151 C852151:N852151 WVK786615:WVV786615 WLO786615:WLZ786615 WBS786615:WCD786615 VRW786615:VSH786615 VIA786615:VIL786615 UYE786615:UYP786615 UOI786615:UOT786615 UEM786615:UEX786615 TUQ786615:TVB786615 TKU786615:TLF786615 TAY786615:TBJ786615 SRC786615:SRN786615 SHG786615:SHR786615 RXK786615:RXV786615 RNO786615:RNZ786615 RDS786615:RED786615 QTW786615:QUH786615 QKA786615:QKL786615 QAE786615:QAP786615 PQI786615:PQT786615 PGM786615:PGX786615 OWQ786615:OXB786615 OMU786615:ONF786615 OCY786615:ODJ786615 NTC786615:NTN786615 NJG786615:NJR786615 MZK786615:MZV786615 MPO786615:MPZ786615 MFS786615:MGD786615 LVW786615:LWH786615 LMA786615:LML786615 LCE786615:LCP786615 KSI786615:KST786615 KIM786615:KIX786615 JYQ786615:JZB786615 JOU786615:JPF786615 JEY786615:JFJ786615 IVC786615:IVN786615 ILG786615:ILR786615 IBK786615:IBV786615 HRO786615:HRZ786615 HHS786615:HID786615 GXW786615:GYH786615 GOA786615:GOL786615 GEE786615:GEP786615 FUI786615:FUT786615 FKM786615:FKX786615 FAQ786615:FBB786615 EQU786615:ERF786615 EGY786615:EHJ786615 DXC786615:DXN786615 DNG786615:DNR786615 DDK786615:DDV786615 CTO786615:CTZ786615 CJS786615:CKD786615 BZW786615:CAH786615 BQA786615:BQL786615 BGE786615:BGP786615 AWI786615:AWT786615 AMM786615:AMX786615 ACQ786615:ADB786615 SU786615:TF786615 IY786615:JJ786615 C786615:N786615 WVK721079:WVV721079 WLO721079:WLZ721079 WBS721079:WCD721079 VRW721079:VSH721079 VIA721079:VIL721079 UYE721079:UYP721079 UOI721079:UOT721079 UEM721079:UEX721079 TUQ721079:TVB721079 TKU721079:TLF721079 TAY721079:TBJ721079 SRC721079:SRN721079 SHG721079:SHR721079 RXK721079:RXV721079 RNO721079:RNZ721079 RDS721079:RED721079 QTW721079:QUH721079 QKA721079:QKL721079 QAE721079:QAP721079 PQI721079:PQT721079 PGM721079:PGX721079 OWQ721079:OXB721079 OMU721079:ONF721079 OCY721079:ODJ721079 NTC721079:NTN721079 NJG721079:NJR721079 MZK721079:MZV721079 MPO721079:MPZ721079 MFS721079:MGD721079 LVW721079:LWH721079 LMA721079:LML721079 LCE721079:LCP721079 KSI721079:KST721079 KIM721079:KIX721079 JYQ721079:JZB721079 JOU721079:JPF721079 JEY721079:JFJ721079 IVC721079:IVN721079 ILG721079:ILR721079 IBK721079:IBV721079 HRO721079:HRZ721079 HHS721079:HID721079 GXW721079:GYH721079 GOA721079:GOL721079 GEE721079:GEP721079 FUI721079:FUT721079 FKM721079:FKX721079 FAQ721079:FBB721079 EQU721079:ERF721079 EGY721079:EHJ721079 DXC721079:DXN721079 DNG721079:DNR721079 DDK721079:DDV721079 CTO721079:CTZ721079 CJS721079:CKD721079 BZW721079:CAH721079 BQA721079:BQL721079 BGE721079:BGP721079 AWI721079:AWT721079 AMM721079:AMX721079 ACQ721079:ADB721079 SU721079:TF721079 IY721079:JJ721079 C721079:N721079 WVK655543:WVV655543 WLO655543:WLZ655543 WBS655543:WCD655543 VRW655543:VSH655543 VIA655543:VIL655543 UYE655543:UYP655543 UOI655543:UOT655543 UEM655543:UEX655543 TUQ655543:TVB655543 TKU655543:TLF655543 TAY655543:TBJ655543 SRC655543:SRN655543 SHG655543:SHR655543 RXK655543:RXV655543 RNO655543:RNZ655543 RDS655543:RED655543 QTW655543:QUH655543 QKA655543:QKL655543 QAE655543:QAP655543 PQI655543:PQT655543 PGM655543:PGX655543 OWQ655543:OXB655543 OMU655543:ONF655543 OCY655543:ODJ655543 NTC655543:NTN655543 NJG655543:NJR655543 MZK655543:MZV655543 MPO655543:MPZ655543 MFS655543:MGD655543 LVW655543:LWH655543 LMA655543:LML655543 LCE655543:LCP655543 KSI655543:KST655543 KIM655543:KIX655543 JYQ655543:JZB655543 JOU655543:JPF655543 JEY655543:JFJ655543 IVC655543:IVN655543 ILG655543:ILR655543 IBK655543:IBV655543 HRO655543:HRZ655543 HHS655543:HID655543 GXW655543:GYH655543 GOA655543:GOL655543 GEE655543:GEP655543 FUI655543:FUT655543 FKM655543:FKX655543 FAQ655543:FBB655543 EQU655543:ERF655543 EGY655543:EHJ655543 DXC655543:DXN655543 DNG655543:DNR655543 DDK655543:DDV655543 CTO655543:CTZ655543 CJS655543:CKD655543 BZW655543:CAH655543 BQA655543:BQL655543 BGE655543:BGP655543 AWI655543:AWT655543 AMM655543:AMX655543 ACQ655543:ADB655543 SU655543:TF655543 IY655543:JJ655543 C655543:N655543 WVK590007:WVV590007 WLO590007:WLZ590007 WBS590007:WCD590007 VRW590007:VSH590007 VIA590007:VIL590007 UYE590007:UYP590007 UOI590007:UOT590007 UEM590007:UEX590007 TUQ590007:TVB590007 TKU590007:TLF590007 TAY590007:TBJ590007 SRC590007:SRN590007 SHG590007:SHR590007 RXK590007:RXV590007 RNO590007:RNZ590007 RDS590007:RED590007 QTW590007:QUH590007 QKA590007:QKL590007 QAE590007:QAP590007 PQI590007:PQT590007 PGM590007:PGX590007 OWQ590007:OXB590007 OMU590007:ONF590007 OCY590007:ODJ590007 NTC590007:NTN590007 NJG590007:NJR590007 MZK590007:MZV590007 MPO590007:MPZ590007 MFS590007:MGD590007 LVW590007:LWH590007 LMA590007:LML590007 LCE590007:LCP590007 KSI590007:KST590007 KIM590007:KIX590007 JYQ590007:JZB590007 JOU590007:JPF590007 JEY590007:JFJ590007 IVC590007:IVN590007 ILG590007:ILR590007 IBK590007:IBV590007 HRO590007:HRZ590007 HHS590007:HID590007 GXW590007:GYH590007 GOA590007:GOL590007 GEE590007:GEP590007 FUI590007:FUT590007 FKM590007:FKX590007 FAQ590007:FBB590007 EQU590007:ERF590007 EGY590007:EHJ590007 DXC590007:DXN590007 DNG590007:DNR590007 DDK590007:DDV590007 CTO590007:CTZ590007 CJS590007:CKD590007 BZW590007:CAH590007 BQA590007:BQL590007 BGE590007:BGP590007 AWI590007:AWT590007 AMM590007:AMX590007 ACQ590007:ADB590007 SU590007:TF590007 IY590007:JJ590007 C590007:N590007 WVK524471:WVV524471 WLO524471:WLZ524471 WBS524471:WCD524471 VRW524471:VSH524471 VIA524471:VIL524471 UYE524471:UYP524471 UOI524471:UOT524471 UEM524471:UEX524471 TUQ524471:TVB524471 TKU524471:TLF524471 TAY524471:TBJ524471 SRC524471:SRN524471 SHG524471:SHR524471 RXK524471:RXV524471 RNO524471:RNZ524471 RDS524471:RED524471 QTW524471:QUH524471 QKA524471:QKL524471 QAE524471:QAP524471 PQI524471:PQT524471 PGM524471:PGX524471 OWQ524471:OXB524471 OMU524471:ONF524471 OCY524471:ODJ524471 NTC524471:NTN524471 NJG524471:NJR524471 MZK524471:MZV524471 MPO524471:MPZ524471 MFS524471:MGD524471 LVW524471:LWH524471 LMA524471:LML524471 LCE524471:LCP524471 KSI524471:KST524471 KIM524471:KIX524471 JYQ524471:JZB524471 JOU524471:JPF524471 JEY524471:JFJ524471 IVC524471:IVN524471 ILG524471:ILR524471 IBK524471:IBV524471 HRO524471:HRZ524471 HHS524471:HID524471 GXW524471:GYH524471 GOA524471:GOL524471 GEE524471:GEP524471 FUI524471:FUT524471 FKM524471:FKX524471 FAQ524471:FBB524471 EQU524471:ERF524471 EGY524471:EHJ524471 DXC524471:DXN524471 DNG524471:DNR524471 DDK524471:DDV524471 CTO524471:CTZ524471 CJS524471:CKD524471 BZW524471:CAH524471 BQA524471:BQL524471 BGE524471:BGP524471 AWI524471:AWT524471 AMM524471:AMX524471 ACQ524471:ADB524471 SU524471:TF524471 IY524471:JJ524471 C524471:N524471 WVK458935:WVV458935 WLO458935:WLZ458935 WBS458935:WCD458935 VRW458935:VSH458935 VIA458935:VIL458935 UYE458935:UYP458935 UOI458935:UOT458935 UEM458935:UEX458935 TUQ458935:TVB458935 TKU458935:TLF458935 TAY458935:TBJ458935 SRC458935:SRN458935 SHG458935:SHR458935 RXK458935:RXV458935 RNO458935:RNZ458935 RDS458935:RED458935 QTW458935:QUH458935 QKA458935:QKL458935 QAE458935:QAP458935 PQI458935:PQT458935 PGM458935:PGX458935 OWQ458935:OXB458935 OMU458935:ONF458935 OCY458935:ODJ458935 NTC458935:NTN458935 NJG458935:NJR458935 MZK458935:MZV458935 MPO458935:MPZ458935 MFS458935:MGD458935 LVW458935:LWH458935 LMA458935:LML458935 LCE458935:LCP458935 KSI458935:KST458935 KIM458935:KIX458935 JYQ458935:JZB458935 JOU458935:JPF458935 JEY458935:JFJ458935 IVC458935:IVN458935 ILG458935:ILR458935 IBK458935:IBV458935 HRO458935:HRZ458935 HHS458935:HID458935 GXW458935:GYH458935 GOA458935:GOL458935 GEE458935:GEP458935 FUI458935:FUT458935 FKM458935:FKX458935 FAQ458935:FBB458935 EQU458935:ERF458935 EGY458935:EHJ458935 DXC458935:DXN458935 DNG458935:DNR458935 DDK458935:DDV458935 CTO458935:CTZ458935 CJS458935:CKD458935 BZW458935:CAH458935 BQA458935:BQL458935 BGE458935:BGP458935 AWI458935:AWT458935 AMM458935:AMX458935 ACQ458935:ADB458935 SU458935:TF458935 IY458935:JJ458935 C458935:N458935 WVK393399:WVV393399 WLO393399:WLZ393399 WBS393399:WCD393399 VRW393399:VSH393399 VIA393399:VIL393399 UYE393399:UYP393399 UOI393399:UOT393399 UEM393399:UEX393399 TUQ393399:TVB393399 TKU393399:TLF393399 TAY393399:TBJ393399 SRC393399:SRN393399 SHG393399:SHR393399 RXK393399:RXV393399 RNO393399:RNZ393399 RDS393399:RED393399 QTW393399:QUH393399 QKA393399:QKL393399 QAE393399:QAP393399 PQI393399:PQT393399 PGM393399:PGX393399 OWQ393399:OXB393399 OMU393399:ONF393399 OCY393399:ODJ393399 NTC393399:NTN393399 NJG393399:NJR393399 MZK393399:MZV393399 MPO393399:MPZ393399 MFS393399:MGD393399 LVW393399:LWH393399 LMA393399:LML393399 LCE393399:LCP393399 KSI393399:KST393399 KIM393399:KIX393399 JYQ393399:JZB393399 JOU393399:JPF393399 JEY393399:JFJ393399 IVC393399:IVN393399 ILG393399:ILR393399 IBK393399:IBV393399 HRO393399:HRZ393399 HHS393399:HID393399 GXW393399:GYH393399 GOA393399:GOL393399 GEE393399:GEP393399 FUI393399:FUT393399 FKM393399:FKX393399 FAQ393399:FBB393399 EQU393399:ERF393399 EGY393399:EHJ393399 DXC393399:DXN393399 DNG393399:DNR393399 DDK393399:DDV393399 CTO393399:CTZ393399 CJS393399:CKD393399 BZW393399:CAH393399 BQA393399:BQL393399 BGE393399:BGP393399 AWI393399:AWT393399 AMM393399:AMX393399 ACQ393399:ADB393399 SU393399:TF393399 IY393399:JJ393399 C393399:N393399 WVK327863:WVV327863 WLO327863:WLZ327863 WBS327863:WCD327863 VRW327863:VSH327863 VIA327863:VIL327863 UYE327863:UYP327863 UOI327863:UOT327863 UEM327863:UEX327863 TUQ327863:TVB327863 TKU327863:TLF327863 TAY327863:TBJ327863 SRC327863:SRN327863 SHG327863:SHR327863 RXK327863:RXV327863 RNO327863:RNZ327863 RDS327863:RED327863 QTW327863:QUH327863 QKA327863:QKL327863 QAE327863:QAP327863 PQI327863:PQT327863 PGM327863:PGX327863 OWQ327863:OXB327863 OMU327863:ONF327863 OCY327863:ODJ327863 NTC327863:NTN327863 NJG327863:NJR327863 MZK327863:MZV327863 MPO327863:MPZ327863 MFS327863:MGD327863 LVW327863:LWH327863 LMA327863:LML327863 LCE327863:LCP327863 KSI327863:KST327863 KIM327863:KIX327863 JYQ327863:JZB327863 JOU327863:JPF327863 JEY327863:JFJ327863 IVC327863:IVN327863 ILG327863:ILR327863 IBK327863:IBV327863 HRO327863:HRZ327863 HHS327863:HID327863 GXW327863:GYH327863 GOA327863:GOL327863 GEE327863:GEP327863 FUI327863:FUT327863 FKM327863:FKX327863 FAQ327863:FBB327863 EQU327863:ERF327863 EGY327863:EHJ327863 DXC327863:DXN327863 DNG327863:DNR327863 DDK327863:DDV327863 CTO327863:CTZ327863 CJS327863:CKD327863 BZW327863:CAH327863 BQA327863:BQL327863 BGE327863:BGP327863 AWI327863:AWT327863 AMM327863:AMX327863 ACQ327863:ADB327863 SU327863:TF327863 IY327863:JJ327863 C327863:N327863 WVK262327:WVV262327 WLO262327:WLZ262327 WBS262327:WCD262327 VRW262327:VSH262327 VIA262327:VIL262327 UYE262327:UYP262327 UOI262327:UOT262327 UEM262327:UEX262327 TUQ262327:TVB262327 TKU262327:TLF262327 TAY262327:TBJ262327 SRC262327:SRN262327 SHG262327:SHR262327 RXK262327:RXV262327 RNO262327:RNZ262327 RDS262327:RED262327 QTW262327:QUH262327 QKA262327:QKL262327 QAE262327:QAP262327 PQI262327:PQT262327 PGM262327:PGX262327 OWQ262327:OXB262327 OMU262327:ONF262327 OCY262327:ODJ262327 NTC262327:NTN262327 NJG262327:NJR262327 MZK262327:MZV262327 MPO262327:MPZ262327 MFS262327:MGD262327 LVW262327:LWH262327 LMA262327:LML262327 LCE262327:LCP262327 KSI262327:KST262327 KIM262327:KIX262327 JYQ262327:JZB262327 JOU262327:JPF262327 JEY262327:JFJ262327 IVC262327:IVN262327 ILG262327:ILR262327 IBK262327:IBV262327 HRO262327:HRZ262327 HHS262327:HID262327 GXW262327:GYH262327 GOA262327:GOL262327 GEE262327:GEP262327 FUI262327:FUT262327 FKM262327:FKX262327 FAQ262327:FBB262327 EQU262327:ERF262327 EGY262327:EHJ262327 DXC262327:DXN262327 DNG262327:DNR262327 DDK262327:DDV262327 CTO262327:CTZ262327 CJS262327:CKD262327 BZW262327:CAH262327 BQA262327:BQL262327 BGE262327:BGP262327 AWI262327:AWT262327 AMM262327:AMX262327 ACQ262327:ADB262327 SU262327:TF262327 IY262327:JJ262327 C262327:N262327 WVK196791:WVV196791 WLO196791:WLZ196791 WBS196791:WCD196791 VRW196791:VSH196791 VIA196791:VIL196791 UYE196791:UYP196791 UOI196791:UOT196791 UEM196791:UEX196791 TUQ196791:TVB196791 TKU196791:TLF196791 TAY196791:TBJ196791 SRC196791:SRN196791 SHG196791:SHR196791 RXK196791:RXV196791 RNO196791:RNZ196791 RDS196791:RED196791 QTW196791:QUH196791 QKA196791:QKL196791 QAE196791:QAP196791 PQI196791:PQT196791 PGM196791:PGX196791 OWQ196791:OXB196791 OMU196791:ONF196791 OCY196791:ODJ196791 NTC196791:NTN196791 NJG196791:NJR196791 MZK196791:MZV196791 MPO196791:MPZ196791 MFS196791:MGD196791 LVW196791:LWH196791 LMA196791:LML196791 LCE196791:LCP196791 KSI196791:KST196791 KIM196791:KIX196791 JYQ196791:JZB196791 JOU196791:JPF196791 JEY196791:JFJ196791 IVC196791:IVN196791 ILG196791:ILR196791 IBK196791:IBV196791 HRO196791:HRZ196791 HHS196791:HID196791 GXW196791:GYH196791 GOA196791:GOL196791 GEE196791:GEP196791 FUI196791:FUT196791 FKM196791:FKX196791 FAQ196791:FBB196791 EQU196791:ERF196791 EGY196791:EHJ196791 DXC196791:DXN196791 DNG196791:DNR196791 DDK196791:DDV196791 CTO196791:CTZ196791 CJS196791:CKD196791 BZW196791:CAH196791 BQA196791:BQL196791 BGE196791:BGP196791 AWI196791:AWT196791 AMM196791:AMX196791 ACQ196791:ADB196791 SU196791:TF196791 IY196791:JJ196791 C196791:N196791 WVK131255:WVV131255 WLO131255:WLZ131255 WBS131255:WCD131255 VRW131255:VSH131255 VIA131255:VIL131255 UYE131255:UYP131255 UOI131255:UOT131255 UEM131255:UEX131255 TUQ131255:TVB131255 TKU131255:TLF131255 TAY131255:TBJ131255 SRC131255:SRN131255 SHG131255:SHR131255 RXK131255:RXV131255 RNO131255:RNZ131255 RDS131255:RED131255 QTW131255:QUH131255 QKA131255:QKL131255 QAE131255:QAP131255 PQI131255:PQT131255 PGM131255:PGX131255 OWQ131255:OXB131255 OMU131255:ONF131255 OCY131255:ODJ131255 NTC131255:NTN131255 NJG131255:NJR131255 MZK131255:MZV131255 MPO131255:MPZ131255 MFS131255:MGD131255 LVW131255:LWH131255 LMA131255:LML131255 LCE131255:LCP131255 KSI131255:KST131255 KIM131255:KIX131255 JYQ131255:JZB131255 JOU131255:JPF131255 JEY131255:JFJ131255 IVC131255:IVN131255 ILG131255:ILR131255 IBK131255:IBV131255 HRO131255:HRZ131255 HHS131255:HID131255 GXW131255:GYH131255 GOA131255:GOL131255 GEE131255:GEP131255 FUI131255:FUT131255 FKM131255:FKX131255 FAQ131255:FBB131255 EQU131255:ERF131255 EGY131255:EHJ131255 DXC131255:DXN131255 DNG131255:DNR131255 DDK131255:DDV131255 CTO131255:CTZ131255 CJS131255:CKD131255 BZW131255:CAH131255 BQA131255:BQL131255 BGE131255:BGP131255 AWI131255:AWT131255 AMM131255:AMX131255 ACQ131255:ADB131255 SU131255:TF131255 IY131255:JJ131255 C131255:N131255 WVK65719:WVV65719 WLO65719:WLZ65719 WBS65719:WCD65719 VRW65719:VSH65719 VIA65719:VIL65719 UYE65719:UYP65719 UOI65719:UOT65719 UEM65719:UEX65719 TUQ65719:TVB65719 TKU65719:TLF65719 TAY65719:TBJ65719 SRC65719:SRN65719 SHG65719:SHR65719 RXK65719:RXV65719 RNO65719:RNZ65719 RDS65719:RED65719 QTW65719:QUH65719 QKA65719:QKL65719 QAE65719:QAP65719 PQI65719:PQT65719 PGM65719:PGX65719 OWQ65719:OXB65719 OMU65719:ONF65719 OCY65719:ODJ65719 NTC65719:NTN65719 NJG65719:NJR65719 MZK65719:MZV65719 MPO65719:MPZ65719 MFS65719:MGD65719 LVW65719:LWH65719 LMA65719:LML65719 LCE65719:LCP65719 KSI65719:KST65719 KIM65719:KIX65719 JYQ65719:JZB65719 JOU65719:JPF65719 JEY65719:JFJ65719 IVC65719:IVN65719 ILG65719:ILR65719 IBK65719:IBV65719 HRO65719:HRZ65719 HHS65719:HID65719 GXW65719:GYH65719 GOA65719:GOL65719 GEE65719:GEP65719 FUI65719:FUT65719 FKM65719:FKX65719 FAQ65719:FBB65719 EQU65719:ERF65719 EGY65719:EHJ65719 DXC65719:DXN65719 DNG65719:DNR65719 DDK65719:DDV65719 CTO65719:CTZ65719 CJS65719:CKD65719 BZW65719:CAH65719 BQA65719:BQL65719 BGE65719:BGP65719 AWI65719:AWT65719 AMM65719:AMX65719 ACQ65719:ADB65719 SU65719:TF65719 IY65719:JJ65719 C65719:N65719 WVK265:WVV265 WLO265:WLZ265 WBS265:WCD265 VRW265:VSH265 VIA265:VIL265 UYE265:UYP265 UOI265:UOT265 UEM265:UEX265 TUQ265:TVB265 TKU265:TLF265 TAY265:TBJ265 SRC265:SRN265 SHG265:SHR265 RXK265:RXV265 RNO265:RNZ265 RDS265:RED265 QTW265:QUH265 QKA265:QKL265 QAE265:QAP265 PQI265:PQT265 PGM265:PGX265 OWQ265:OXB265 OMU265:ONF265 OCY265:ODJ265 NTC265:NTN265 NJG265:NJR265 MZK265:MZV265 MPO265:MPZ265 MFS265:MGD265 LVW265:LWH265 LMA265:LML265 LCE265:LCP265 KSI265:KST265 KIM265:KIX265 JYQ265:JZB265 JOU265:JPF265 JEY265:JFJ265 IVC265:IVN265 ILG265:ILR265 IBK265:IBV265 HRO265:HRZ265 HHS265:HID265 GXW265:GYH265 GOA265:GOL265 GEE265:GEP265 FUI265:FUT265 FKM265:FKX265 FAQ265:FBB265 EQU265:ERF265 EGY265:EHJ265 DXC265:DXN265 DNG265:DNR265 DDK265:DDV265 CTO265:CTZ265 CJS265:CKD265 BZW265:CAH265 BQA265:BQL265 BGE265:BGP265 AWI265:AWT265 AMM265:AMX265 ACQ265:ADB265 SU265:TF265 IY265:JJ265 CJS220:CKD220 WVK983208:WVV983208 WLO983208:WLZ983208 WBS983208:WCD983208 VRW983208:VSH983208 VIA983208:VIL983208 UYE983208:UYP983208 UOI983208:UOT983208 UEM983208:UEX983208 TUQ983208:TVB983208 TKU983208:TLF983208 TAY983208:TBJ983208 SRC983208:SRN983208 SHG983208:SHR983208 RXK983208:RXV983208 RNO983208:RNZ983208 RDS983208:RED983208 QTW983208:QUH983208 QKA983208:QKL983208 QAE983208:QAP983208 PQI983208:PQT983208 PGM983208:PGX983208 OWQ983208:OXB983208 OMU983208:ONF983208 OCY983208:ODJ983208 NTC983208:NTN983208 NJG983208:NJR983208 MZK983208:MZV983208 MPO983208:MPZ983208 MFS983208:MGD983208 LVW983208:LWH983208 LMA983208:LML983208 LCE983208:LCP983208 KSI983208:KST983208 KIM983208:KIX983208 JYQ983208:JZB983208 JOU983208:JPF983208 JEY983208:JFJ983208 IVC983208:IVN983208 ILG983208:ILR983208 IBK983208:IBV983208 HRO983208:HRZ983208 HHS983208:HID983208 GXW983208:GYH983208 GOA983208:GOL983208 GEE983208:GEP983208 FUI983208:FUT983208 FKM983208:FKX983208 FAQ983208:FBB983208 EQU983208:ERF983208 EGY983208:EHJ983208 DXC983208:DXN983208 DNG983208:DNR983208 DDK983208:DDV983208 CTO983208:CTZ983208 CJS983208:CKD983208 BZW983208:CAH983208 BQA983208:BQL983208 BGE983208:BGP983208 AWI983208:AWT983208 AMM983208:AMX983208 ACQ983208:ADB983208 SU983208:TF983208 IY983208:JJ983208 C983208:N983208 WVK917672:WVV917672 WLO917672:WLZ917672 WBS917672:WCD917672 VRW917672:VSH917672 VIA917672:VIL917672 UYE917672:UYP917672 UOI917672:UOT917672 UEM917672:UEX917672 TUQ917672:TVB917672 TKU917672:TLF917672 TAY917672:TBJ917672 SRC917672:SRN917672 SHG917672:SHR917672 RXK917672:RXV917672 RNO917672:RNZ917672 RDS917672:RED917672 QTW917672:QUH917672 QKA917672:QKL917672 QAE917672:QAP917672 PQI917672:PQT917672 PGM917672:PGX917672 OWQ917672:OXB917672 OMU917672:ONF917672 OCY917672:ODJ917672 NTC917672:NTN917672 NJG917672:NJR917672 MZK917672:MZV917672 MPO917672:MPZ917672 MFS917672:MGD917672 LVW917672:LWH917672 LMA917672:LML917672 LCE917672:LCP917672 KSI917672:KST917672 KIM917672:KIX917672 JYQ917672:JZB917672 JOU917672:JPF917672 JEY917672:JFJ917672 IVC917672:IVN917672 ILG917672:ILR917672 IBK917672:IBV917672 HRO917672:HRZ917672 HHS917672:HID917672 GXW917672:GYH917672 GOA917672:GOL917672 GEE917672:GEP917672 FUI917672:FUT917672 FKM917672:FKX917672 FAQ917672:FBB917672 EQU917672:ERF917672 EGY917672:EHJ917672 DXC917672:DXN917672 DNG917672:DNR917672 DDK917672:DDV917672 CTO917672:CTZ917672 CJS917672:CKD917672 BZW917672:CAH917672 BQA917672:BQL917672 BGE917672:BGP917672 AWI917672:AWT917672 AMM917672:AMX917672 ACQ917672:ADB917672 SU917672:TF917672 IY917672:JJ917672 C917672:N917672 WVK852136:WVV852136 WLO852136:WLZ852136 WBS852136:WCD852136 VRW852136:VSH852136 VIA852136:VIL852136 UYE852136:UYP852136 UOI852136:UOT852136 UEM852136:UEX852136 TUQ852136:TVB852136 TKU852136:TLF852136 TAY852136:TBJ852136 SRC852136:SRN852136 SHG852136:SHR852136 RXK852136:RXV852136 RNO852136:RNZ852136 RDS852136:RED852136 QTW852136:QUH852136 QKA852136:QKL852136 QAE852136:QAP852136 PQI852136:PQT852136 PGM852136:PGX852136 OWQ852136:OXB852136 OMU852136:ONF852136 OCY852136:ODJ852136 NTC852136:NTN852136 NJG852136:NJR852136 MZK852136:MZV852136 MPO852136:MPZ852136 MFS852136:MGD852136 LVW852136:LWH852136 LMA852136:LML852136 LCE852136:LCP852136 KSI852136:KST852136 KIM852136:KIX852136 JYQ852136:JZB852136 JOU852136:JPF852136 JEY852136:JFJ852136 IVC852136:IVN852136 ILG852136:ILR852136 IBK852136:IBV852136 HRO852136:HRZ852136 HHS852136:HID852136 GXW852136:GYH852136 GOA852136:GOL852136 GEE852136:GEP852136 FUI852136:FUT852136 FKM852136:FKX852136 FAQ852136:FBB852136 EQU852136:ERF852136 EGY852136:EHJ852136 DXC852136:DXN852136 DNG852136:DNR852136 DDK852136:DDV852136 CTO852136:CTZ852136 CJS852136:CKD852136 BZW852136:CAH852136 BQA852136:BQL852136 BGE852136:BGP852136 AWI852136:AWT852136 AMM852136:AMX852136 ACQ852136:ADB852136 SU852136:TF852136 IY852136:JJ852136 C852136:N852136 WVK786600:WVV786600 WLO786600:WLZ786600 WBS786600:WCD786600 VRW786600:VSH786600 VIA786600:VIL786600 UYE786600:UYP786600 UOI786600:UOT786600 UEM786600:UEX786600 TUQ786600:TVB786600 TKU786600:TLF786600 TAY786600:TBJ786600 SRC786600:SRN786600 SHG786600:SHR786600 RXK786600:RXV786600 RNO786600:RNZ786600 RDS786600:RED786600 QTW786600:QUH786600 QKA786600:QKL786600 QAE786600:QAP786600 PQI786600:PQT786600 PGM786600:PGX786600 OWQ786600:OXB786600 OMU786600:ONF786600 OCY786600:ODJ786600 NTC786600:NTN786600 NJG786600:NJR786600 MZK786600:MZV786600 MPO786600:MPZ786600 MFS786600:MGD786600 LVW786600:LWH786600 LMA786600:LML786600 LCE786600:LCP786600 KSI786600:KST786600 KIM786600:KIX786600 JYQ786600:JZB786600 JOU786600:JPF786600 JEY786600:JFJ786600 IVC786600:IVN786600 ILG786600:ILR786600 IBK786600:IBV786600 HRO786600:HRZ786600 HHS786600:HID786600 GXW786600:GYH786600 GOA786600:GOL786600 GEE786600:GEP786600 FUI786600:FUT786600 FKM786600:FKX786600 FAQ786600:FBB786600 EQU786600:ERF786600 EGY786600:EHJ786600 DXC786600:DXN786600 DNG786600:DNR786600 DDK786600:DDV786600 CTO786600:CTZ786600 CJS786600:CKD786600 BZW786600:CAH786600 BQA786600:BQL786600 BGE786600:BGP786600 AWI786600:AWT786600 AMM786600:AMX786600 ACQ786600:ADB786600 SU786600:TF786600 IY786600:JJ786600 C786600:N786600 WVK721064:WVV721064 WLO721064:WLZ721064 WBS721064:WCD721064 VRW721064:VSH721064 VIA721064:VIL721064 UYE721064:UYP721064 UOI721064:UOT721064 UEM721064:UEX721064 TUQ721064:TVB721064 TKU721064:TLF721064 TAY721064:TBJ721064 SRC721064:SRN721064 SHG721064:SHR721064 RXK721064:RXV721064 RNO721064:RNZ721064 RDS721064:RED721064 QTW721064:QUH721064 QKA721064:QKL721064 QAE721064:QAP721064 PQI721064:PQT721064 PGM721064:PGX721064 OWQ721064:OXB721064 OMU721064:ONF721064 OCY721064:ODJ721064 NTC721064:NTN721064 NJG721064:NJR721064 MZK721064:MZV721064 MPO721064:MPZ721064 MFS721064:MGD721064 LVW721064:LWH721064 LMA721064:LML721064 LCE721064:LCP721064 KSI721064:KST721064 KIM721064:KIX721064 JYQ721064:JZB721064 JOU721064:JPF721064 JEY721064:JFJ721064 IVC721064:IVN721064 ILG721064:ILR721064 IBK721064:IBV721064 HRO721064:HRZ721064 HHS721064:HID721064 GXW721064:GYH721064 GOA721064:GOL721064 GEE721064:GEP721064 FUI721064:FUT721064 FKM721064:FKX721064 FAQ721064:FBB721064 EQU721064:ERF721064 EGY721064:EHJ721064 DXC721064:DXN721064 DNG721064:DNR721064 DDK721064:DDV721064 CTO721064:CTZ721064 CJS721064:CKD721064 BZW721064:CAH721064 BQA721064:BQL721064 BGE721064:BGP721064 AWI721064:AWT721064 AMM721064:AMX721064 ACQ721064:ADB721064 SU721064:TF721064 IY721064:JJ721064 C721064:N721064 WVK655528:WVV655528 WLO655528:WLZ655528 WBS655528:WCD655528 VRW655528:VSH655528 VIA655528:VIL655528 UYE655528:UYP655528 UOI655528:UOT655528 UEM655528:UEX655528 TUQ655528:TVB655528 TKU655528:TLF655528 TAY655528:TBJ655528 SRC655528:SRN655528 SHG655528:SHR655528 RXK655528:RXV655528 RNO655528:RNZ655528 RDS655528:RED655528 QTW655528:QUH655528 QKA655528:QKL655528 QAE655528:QAP655528 PQI655528:PQT655528 PGM655528:PGX655528 OWQ655528:OXB655528 OMU655528:ONF655528 OCY655528:ODJ655528 NTC655528:NTN655528 NJG655528:NJR655528 MZK655528:MZV655528 MPO655528:MPZ655528 MFS655528:MGD655528 LVW655528:LWH655528 LMA655528:LML655528 LCE655528:LCP655528 KSI655528:KST655528 KIM655528:KIX655528 JYQ655528:JZB655528 JOU655528:JPF655528 JEY655528:JFJ655528 IVC655528:IVN655528 ILG655528:ILR655528 IBK655528:IBV655528 HRO655528:HRZ655528 HHS655528:HID655528 GXW655528:GYH655528 GOA655528:GOL655528 GEE655528:GEP655528 FUI655528:FUT655528 FKM655528:FKX655528 FAQ655528:FBB655528 EQU655528:ERF655528 EGY655528:EHJ655528 DXC655528:DXN655528 DNG655528:DNR655528 DDK655528:DDV655528 CTO655528:CTZ655528 CJS655528:CKD655528 BZW655528:CAH655528 BQA655528:BQL655528 BGE655528:BGP655528 AWI655528:AWT655528 AMM655528:AMX655528 ACQ655528:ADB655528 SU655528:TF655528 IY655528:JJ655528 C655528:N655528 WVK589992:WVV589992 WLO589992:WLZ589992 WBS589992:WCD589992 VRW589992:VSH589992 VIA589992:VIL589992 UYE589992:UYP589992 UOI589992:UOT589992 UEM589992:UEX589992 TUQ589992:TVB589992 TKU589992:TLF589992 TAY589992:TBJ589992 SRC589992:SRN589992 SHG589992:SHR589992 RXK589992:RXV589992 RNO589992:RNZ589992 RDS589992:RED589992 QTW589992:QUH589992 QKA589992:QKL589992 QAE589992:QAP589992 PQI589992:PQT589992 PGM589992:PGX589992 OWQ589992:OXB589992 OMU589992:ONF589992 OCY589992:ODJ589992 NTC589992:NTN589992 NJG589992:NJR589992 MZK589992:MZV589992 MPO589992:MPZ589992 MFS589992:MGD589992 LVW589992:LWH589992 LMA589992:LML589992 LCE589992:LCP589992 KSI589992:KST589992 KIM589992:KIX589992 JYQ589992:JZB589992 JOU589992:JPF589992 JEY589992:JFJ589992 IVC589992:IVN589992 ILG589992:ILR589992 IBK589992:IBV589992 HRO589992:HRZ589992 HHS589992:HID589992 GXW589992:GYH589992 GOA589992:GOL589992 GEE589992:GEP589992 FUI589992:FUT589992 FKM589992:FKX589992 FAQ589992:FBB589992 EQU589992:ERF589992 EGY589992:EHJ589992 DXC589992:DXN589992 DNG589992:DNR589992 DDK589992:DDV589992 CTO589992:CTZ589992 CJS589992:CKD589992 BZW589992:CAH589992 BQA589992:BQL589992 BGE589992:BGP589992 AWI589992:AWT589992 AMM589992:AMX589992 ACQ589992:ADB589992 SU589992:TF589992 IY589992:JJ589992 C589992:N589992 WVK524456:WVV524456 WLO524456:WLZ524456 WBS524456:WCD524456 VRW524456:VSH524456 VIA524456:VIL524456 UYE524456:UYP524456 UOI524456:UOT524456 UEM524456:UEX524456 TUQ524456:TVB524456 TKU524456:TLF524456 TAY524456:TBJ524456 SRC524456:SRN524456 SHG524456:SHR524456 RXK524456:RXV524456 RNO524456:RNZ524456 RDS524456:RED524456 QTW524456:QUH524456 QKA524456:QKL524456 QAE524456:QAP524456 PQI524456:PQT524456 PGM524456:PGX524456 OWQ524456:OXB524456 OMU524456:ONF524456 OCY524456:ODJ524456 NTC524456:NTN524456 NJG524456:NJR524456 MZK524456:MZV524456 MPO524456:MPZ524456 MFS524456:MGD524456 LVW524456:LWH524456 LMA524456:LML524456 LCE524456:LCP524456 KSI524456:KST524456 KIM524456:KIX524456 JYQ524456:JZB524456 JOU524456:JPF524456 JEY524456:JFJ524456 IVC524456:IVN524456 ILG524456:ILR524456 IBK524456:IBV524456 HRO524456:HRZ524456 HHS524456:HID524456 GXW524456:GYH524456 GOA524456:GOL524456 GEE524456:GEP524456 FUI524456:FUT524456 FKM524456:FKX524456 FAQ524456:FBB524456 EQU524456:ERF524456 EGY524456:EHJ524456 DXC524456:DXN524456 DNG524456:DNR524456 DDK524456:DDV524456 CTO524456:CTZ524456 CJS524456:CKD524456 BZW524456:CAH524456 BQA524456:BQL524456 BGE524456:BGP524456 AWI524456:AWT524456 AMM524456:AMX524456 ACQ524456:ADB524456 SU524456:TF524456 IY524456:JJ524456 C524456:N524456 WVK458920:WVV458920 WLO458920:WLZ458920 WBS458920:WCD458920 VRW458920:VSH458920 VIA458920:VIL458920 UYE458920:UYP458920 UOI458920:UOT458920 UEM458920:UEX458920 TUQ458920:TVB458920 TKU458920:TLF458920 TAY458920:TBJ458920 SRC458920:SRN458920 SHG458920:SHR458920 RXK458920:RXV458920 RNO458920:RNZ458920 RDS458920:RED458920 QTW458920:QUH458920 QKA458920:QKL458920 QAE458920:QAP458920 PQI458920:PQT458920 PGM458920:PGX458920 OWQ458920:OXB458920 OMU458920:ONF458920 OCY458920:ODJ458920 NTC458920:NTN458920 NJG458920:NJR458920 MZK458920:MZV458920 MPO458920:MPZ458920 MFS458920:MGD458920 LVW458920:LWH458920 LMA458920:LML458920 LCE458920:LCP458920 KSI458920:KST458920 KIM458920:KIX458920 JYQ458920:JZB458920 JOU458920:JPF458920 JEY458920:JFJ458920 IVC458920:IVN458920 ILG458920:ILR458920 IBK458920:IBV458920 HRO458920:HRZ458920 HHS458920:HID458920 GXW458920:GYH458920 GOA458920:GOL458920 GEE458920:GEP458920 FUI458920:FUT458920 FKM458920:FKX458920 FAQ458920:FBB458920 EQU458920:ERF458920 EGY458920:EHJ458920 DXC458920:DXN458920 DNG458920:DNR458920 DDK458920:DDV458920 CTO458920:CTZ458920 CJS458920:CKD458920 BZW458920:CAH458920 BQA458920:BQL458920 BGE458920:BGP458920 AWI458920:AWT458920 AMM458920:AMX458920 ACQ458920:ADB458920 SU458920:TF458920 IY458920:JJ458920 C458920:N458920 WVK393384:WVV393384 WLO393384:WLZ393384 WBS393384:WCD393384 VRW393384:VSH393384 VIA393384:VIL393384 UYE393384:UYP393384 UOI393384:UOT393384 UEM393384:UEX393384 TUQ393384:TVB393384 TKU393384:TLF393384 TAY393384:TBJ393384 SRC393384:SRN393384 SHG393384:SHR393384 RXK393384:RXV393384 RNO393384:RNZ393384 RDS393384:RED393384 QTW393384:QUH393384 QKA393384:QKL393384 QAE393384:QAP393384 PQI393384:PQT393384 PGM393384:PGX393384 OWQ393384:OXB393384 OMU393384:ONF393384 OCY393384:ODJ393384 NTC393384:NTN393384 NJG393384:NJR393384 MZK393384:MZV393384 MPO393384:MPZ393384 MFS393384:MGD393384 LVW393384:LWH393384 LMA393384:LML393384 LCE393384:LCP393384 KSI393384:KST393384 KIM393384:KIX393384 JYQ393384:JZB393384 JOU393384:JPF393384 JEY393384:JFJ393384 IVC393384:IVN393384 ILG393384:ILR393384 IBK393384:IBV393384 HRO393384:HRZ393384 HHS393384:HID393384 GXW393384:GYH393384 GOA393384:GOL393384 GEE393384:GEP393384 FUI393384:FUT393384 FKM393384:FKX393384 FAQ393384:FBB393384 EQU393384:ERF393384 EGY393384:EHJ393384 DXC393384:DXN393384 DNG393384:DNR393384 DDK393384:DDV393384 CTO393384:CTZ393384 CJS393384:CKD393384 BZW393384:CAH393384 BQA393384:BQL393384 BGE393384:BGP393384 AWI393384:AWT393384 AMM393384:AMX393384 ACQ393384:ADB393384 SU393384:TF393384 IY393384:JJ393384 C393384:N393384 WVK327848:WVV327848 WLO327848:WLZ327848 WBS327848:WCD327848 VRW327848:VSH327848 VIA327848:VIL327848 UYE327848:UYP327848 UOI327848:UOT327848 UEM327848:UEX327848 TUQ327848:TVB327848 TKU327848:TLF327848 TAY327848:TBJ327848 SRC327848:SRN327848 SHG327848:SHR327848 RXK327848:RXV327848 RNO327848:RNZ327848 RDS327848:RED327848 QTW327848:QUH327848 QKA327848:QKL327848 QAE327848:QAP327848 PQI327848:PQT327848 PGM327848:PGX327848 OWQ327848:OXB327848 OMU327848:ONF327848 OCY327848:ODJ327848 NTC327848:NTN327848 NJG327848:NJR327848 MZK327848:MZV327848 MPO327848:MPZ327848 MFS327848:MGD327848 LVW327848:LWH327848 LMA327848:LML327848 LCE327848:LCP327848 KSI327848:KST327848 KIM327848:KIX327848 JYQ327848:JZB327848 JOU327848:JPF327848 JEY327848:JFJ327848 IVC327848:IVN327848 ILG327848:ILR327848 IBK327848:IBV327848 HRO327848:HRZ327848 HHS327848:HID327848 GXW327848:GYH327848 GOA327848:GOL327848 GEE327848:GEP327848 FUI327848:FUT327848 FKM327848:FKX327848 FAQ327848:FBB327848 EQU327848:ERF327848 EGY327848:EHJ327848 DXC327848:DXN327848 DNG327848:DNR327848 DDK327848:DDV327848 CTO327848:CTZ327848 CJS327848:CKD327848 BZW327848:CAH327848 BQA327848:BQL327848 BGE327848:BGP327848 AWI327848:AWT327848 AMM327848:AMX327848 ACQ327848:ADB327848 SU327848:TF327848 IY327848:JJ327848 C327848:N327848 WVK262312:WVV262312 WLO262312:WLZ262312 WBS262312:WCD262312 VRW262312:VSH262312 VIA262312:VIL262312 UYE262312:UYP262312 UOI262312:UOT262312 UEM262312:UEX262312 TUQ262312:TVB262312 TKU262312:TLF262312 TAY262312:TBJ262312 SRC262312:SRN262312 SHG262312:SHR262312 RXK262312:RXV262312 RNO262312:RNZ262312 RDS262312:RED262312 QTW262312:QUH262312 QKA262312:QKL262312 QAE262312:QAP262312 PQI262312:PQT262312 PGM262312:PGX262312 OWQ262312:OXB262312 OMU262312:ONF262312 OCY262312:ODJ262312 NTC262312:NTN262312 NJG262312:NJR262312 MZK262312:MZV262312 MPO262312:MPZ262312 MFS262312:MGD262312 LVW262312:LWH262312 LMA262312:LML262312 LCE262312:LCP262312 KSI262312:KST262312 KIM262312:KIX262312 JYQ262312:JZB262312 JOU262312:JPF262312 JEY262312:JFJ262312 IVC262312:IVN262312 ILG262312:ILR262312 IBK262312:IBV262312 HRO262312:HRZ262312 HHS262312:HID262312 GXW262312:GYH262312 GOA262312:GOL262312 GEE262312:GEP262312 FUI262312:FUT262312 FKM262312:FKX262312 FAQ262312:FBB262312 EQU262312:ERF262312 EGY262312:EHJ262312 DXC262312:DXN262312 DNG262312:DNR262312 DDK262312:DDV262312 CTO262312:CTZ262312 CJS262312:CKD262312 BZW262312:CAH262312 BQA262312:BQL262312 BGE262312:BGP262312 AWI262312:AWT262312 AMM262312:AMX262312 ACQ262312:ADB262312 SU262312:TF262312 IY262312:JJ262312 C262312:N262312 WVK196776:WVV196776 WLO196776:WLZ196776 WBS196776:WCD196776 VRW196776:VSH196776 VIA196776:VIL196776 UYE196776:UYP196776 UOI196776:UOT196776 UEM196776:UEX196776 TUQ196776:TVB196776 TKU196776:TLF196776 TAY196776:TBJ196776 SRC196776:SRN196776 SHG196776:SHR196776 RXK196776:RXV196776 RNO196776:RNZ196776 RDS196776:RED196776 QTW196776:QUH196776 QKA196776:QKL196776 QAE196776:QAP196776 PQI196776:PQT196776 PGM196776:PGX196776 OWQ196776:OXB196776 OMU196776:ONF196776 OCY196776:ODJ196776 NTC196776:NTN196776 NJG196776:NJR196776 MZK196776:MZV196776 MPO196776:MPZ196776 MFS196776:MGD196776 LVW196776:LWH196776 LMA196776:LML196776 LCE196776:LCP196776 KSI196776:KST196776 KIM196776:KIX196776 JYQ196776:JZB196776 JOU196776:JPF196776 JEY196776:JFJ196776 IVC196776:IVN196776 ILG196776:ILR196776 IBK196776:IBV196776 HRO196776:HRZ196776 HHS196776:HID196776 GXW196776:GYH196776 GOA196776:GOL196776 GEE196776:GEP196776 FUI196776:FUT196776 FKM196776:FKX196776 FAQ196776:FBB196776 EQU196776:ERF196776 EGY196776:EHJ196776 DXC196776:DXN196776 DNG196776:DNR196776 DDK196776:DDV196776 CTO196776:CTZ196776 CJS196776:CKD196776 BZW196776:CAH196776 BQA196776:BQL196776 BGE196776:BGP196776 AWI196776:AWT196776 AMM196776:AMX196776 ACQ196776:ADB196776 SU196776:TF196776 IY196776:JJ196776 C196776:N196776 WVK131240:WVV131240 WLO131240:WLZ131240 WBS131240:WCD131240 VRW131240:VSH131240 VIA131240:VIL131240 UYE131240:UYP131240 UOI131240:UOT131240 UEM131240:UEX131240 TUQ131240:TVB131240 TKU131240:TLF131240 TAY131240:TBJ131240 SRC131240:SRN131240 SHG131240:SHR131240 RXK131240:RXV131240 RNO131240:RNZ131240 RDS131240:RED131240 QTW131240:QUH131240 QKA131240:QKL131240 QAE131240:QAP131240 PQI131240:PQT131240 PGM131240:PGX131240 OWQ131240:OXB131240 OMU131240:ONF131240 OCY131240:ODJ131240 NTC131240:NTN131240 NJG131240:NJR131240 MZK131240:MZV131240 MPO131240:MPZ131240 MFS131240:MGD131240 LVW131240:LWH131240 LMA131240:LML131240 LCE131240:LCP131240 KSI131240:KST131240 KIM131240:KIX131240 JYQ131240:JZB131240 JOU131240:JPF131240 JEY131240:JFJ131240 IVC131240:IVN131240 ILG131240:ILR131240 IBK131240:IBV131240 HRO131240:HRZ131240 HHS131240:HID131240 GXW131240:GYH131240 GOA131240:GOL131240 GEE131240:GEP131240 FUI131240:FUT131240 FKM131240:FKX131240 FAQ131240:FBB131240 EQU131240:ERF131240 EGY131240:EHJ131240 DXC131240:DXN131240 DNG131240:DNR131240 DDK131240:DDV131240 CTO131240:CTZ131240 CJS131240:CKD131240 BZW131240:CAH131240 BQA131240:BQL131240 BGE131240:BGP131240 AWI131240:AWT131240 AMM131240:AMX131240 ACQ131240:ADB131240 SU131240:TF131240 IY131240:JJ131240 C131240:N131240 WVK65704:WVV65704 WLO65704:WLZ65704 WBS65704:WCD65704 VRW65704:VSH65704 VIA65704:VIL65704 UYE65704:UYP65704 UOI65704:UOT65704 UEM65704:UEX65704 TUQ65704:TVB65704 TKU65704:TLF65704 TAY65704:TBJ65704 SRC65704:SRN65704 SHG65704:SHR65704 RXK65704:RXV65704 RNO65704:RNZ65704 RDS65704:RED65704 QTW65704:QUH65704 QKA65704:QKL65704 QAE65704:QAP65704 PQI65704:PQT65704 PGM65704:PGX65704 OWQ65704:OXB65704 OMU65704:ONF65704 OCY65704:ODJ65704 NTC65704:NTN65704 NJG65704:NJR65704 MZK65704:MZV65704 MPO65704:MPZ65704 MFS65704:MGD65704 LVW65704:LWH65704 LMA65704:LML65704 LCE65704:LCP65704 KSI65704:KST65704 KIM65704:KIX65704 JYQ65704:JZB65704 JOU65704:JPF65704 JEY65704:JFJ65704 IVC65704:IVN65704 ILG65704:ILR65704 IBK65704:IBV65704 HRO65704:HRZ65704 HHS65704:HID65704 GXW65704:GYH65704 GOA65704:GOL65704 GEE65704:GEP65704 FUI65704:FUT65704 FKM65704:FKX65704 FAQ65704:FBB65704 EQU65704:ERF65704 EGY65704:EHJ65704 DXC65704:DXN65704 DNG65704:DNR65704 DDK65704:DDV65704 CTO65704:CTZ65704 CJS65704:CKD65704 BZW65704:CAH65704 BQA65704:BQL65704 BGE65704:BGP65704 AWI65704:AWT65704 AMM65704:AMX65704 ACQ65704:ADB65704 SU65704:TF65704 IY65704:JJ65704 C65704:N65704 WVK250:WVV250 WLO250:WLZ250 WBS250:WCD250 VRW250:VSH250 VIA250:VIL250 UYE250:UYP250 UOI250:UOT250 UEM250:UEX250 TUQ250:TVB250 TKU250:TLF250 TAY250:TBJ250 SRC250:SRN250 SHG250:SHR250 RXK250:RXV250 RNO250:RNZ250 RDS250:RED250 QTW250:QUH250 QKA250:QKL250 QAE250:QAP250 PQI250:PQT250 PGM250:PGX250 OWQ250:OXB250 OMU250:ONF250 OCY250:ODJ250 NTC250:NTN250 NJG250:NJR250 MZK250:MZV250 MPO250:MPZ250 MFS250:MGD250 LVW250:LWH250 LMA250:LML250 LCE250:LCP250 KSI250:KST250 KIM250:KIX250 JYQ250:JZB250 JOU250:JPF250 JEY250:JFJ250 IVC250:IVN250 ILG250:ILR250 IBK250:IBV250 HRO250:HRZ250 HHS250:HID250 GXW250:GYH250 GOA250:GOL250 GEE250:GEP250 FUI250:FUT250 FKM250:FKX250 FAQ250:FBB250 EQU250:ERF250 EGY250:EHJ250 DXC250:DXN250 DNG250:DNR250 DDK250:DDV250 CTO250:CTZ250 CJS250:CKD250 BZW250:CAH250 BQA250:BQL250 BGE250:BGP250 AWI250:AWT250 AMM250:AMX250 ACQ250:ADB250 SU250:TF250 IY250:JJ250 BZW220:CAH220 WVK983193:WVV983193 WLO983193:WLZ983193 WBS983193:WCD983193 VRW983193:VSH983193 VIA983193:VIL983193 UYE983193:UYP983193 UOI983193:UOT983193 UEM983193:UEX983193 TUQ983193:TVB983193 TKU983193:TLF983193 TAY983193:TBJ983193 SRC983193:SRN983193 SHG983193:SHR983193 RXK983193:RXV983193 RNO983193:RNZ983193 RDS983193:RED983193 QTW983193:QUH983193 QKA983193:QKL983193 QAE983193:QAP983193 PQI983193:PQT983193 PGM983193:PGX983193 OWQ983193:OXB983193 OMU983193:ONF983193 OCY983193:ODJ983193 NTC983193:NTN983193 NJG983193:NJR983193 MZK983193:MZV983193 MPO983193:MPZ983193 MFS983193:MGD983193 LVW983193:LWH983193 LMA983193:LML983193 LCE983193:LCP983193 KSI983193:KST983193 KIM983193:KIX983193 JYQ983193:JZB983193 JOU983193:JPF983193 JEY983193:JFJ983193 IVC983193:IVN983193 ILG983193:ILR983193 IBK983193:IBV983193 HRO983193:HRZ983193 HHS983193:HID983193 GXW983193:GYH983193 GOA983193:GOL983193 GEE983193:GEP983193 FUI983193:FUT983193 FKM983193:FKX983193 FAQ983193:FBB983193 EQU983193:ERF983193 EGY983193:EHJ983193 DXC983193:DXN983193 DNG983193:DNR983193 DDK983193:DDV983193 CTO983193:CTZ983193 CJS983193:CKD983193 BZW983193:CAH983193 BQA983193:BQL983193 BGE983193:BGP983193 AWI983193:AWT983193 AMM983193:AMX983193 ACQ983193:ADB983193 SU983193:TF983193 IY983193:JJ983193 C983193:N983193 WVK917657:WVV917657 WLO917657:WLZ917657 WBS917657:WCD917657 VRW917657:VSH917657 VIA917657:VIL917657 UYE917657:UYP917657 UOI917657:UOT917657 UEM917657:UEX917657 TUQ917657:TVB917657 TKU917657:TLF917657 TAY917657:TBJ917657 SRC917657:SRN917657 SHG917657:SHR917657 RXK917657:RXV917657 RNO917657:RNZ917657 RDS917657:RED917657 QTW917657:QUH917657 QKA917657:QKL917657 QAE917657:QAP917657 PQI917657:PQT917657 PGM917657:PGX917657 OWQ917657:OXB917657 OMU917657:ONF917657 OCY917657:ODJ917657 NTC917657:NTN917657 NJG917657:NJR917657 MZK917657:MZV917657 MPO917657:MPZ917657 MFS917657:MGD917657 LVW917657:LWH917657 LMA917657:LML917657 LCE917657:LCP917657 KSI917657:KST917657 KIM917657:KIX917657 JYQ917657:JZB917657 JOU917657:JPF917657 JEY917657:JFJ917657 IVC917657:IVN917657 ILG917657:ILR917657 IBK917657:IBV917657 HRO917657:HRZ917657 HHS917657:HID917657 GXW917657:GYH917657 GOA917657:GOL917657 GEE917657:GEP917657 FUI917657:FUT917657 FKM917657:FKX917657 FAQ917657:FBB917657 EQU917657:ERF917657 EGY917657:EHJ917657 DXC917657:DXN917657 DNG917657:DNR917657 DDK917657:DDV917657 CTO917657:CTZ917657 CJS917657:CKD917657 BZW917657:CAH917657 BQA917657:BQL917657 BGE917657:BGP917657 AWI917657:AWT917657 AMM917657:AMX917657 ACQ917657:ADB917657 SU917657:TF917657 IY917657:JJ917657 C917657:N917657 WVK852121:WVV852121 WLO852121:WLZ852121 WBS852121:WCD852121 VRW852121:VSH852121 VIA852121:VIL852121 UYE852121:UYP852121 UOI852121:UOT852121 UEM852121:UEX852121 TUQ852121:TVB852121 TKU852121:TLF852121 TAY852121:TBJ852121 SRC852121:SRN852121 SHG852121:SHR852121 RXK852121:RXV852121 RNO852121:RNZ852121 RDS852121:RED852121 QTW852121:QUH852121 QKA852121:QKL852121 QAE852121:QAP852121 PQI852121:PQT852121 PGM852121:PGX852121 OWQ852121:OXB852121 OMU852121:ONF852121 OCY852121:ODJ852121 NTC852121:NTN852121 NJG852121:NJR852121 MZK852121:MZV852121 MPO852121:MPZ852121 MFS852121:MGD852121 LVW852121:LWH852121 LMA852121:LML852121 LCE852121:LCP852121 KSI852121:KST852121 KIM852121:KIX852121 JYQ852121:JZB852121 JOU852121:JPF852121 JEY852121:JFJ852121 IVC852121:IVN852121 ILG852121:ILR852121 IBK852121:IBV852121 HRO852121:HRZ852121 HHS852121:HID852121 GXW852121:GYH852121 GOA852121:GOL852121 GEE852121:GEP852121 FUI852121:FUT852121 FKM852121:FKX852121 FAQ852121:FBB852121 EQU852121:ERF852121 EGY852121:EHJ852121 DXC852121:DXN852121 DNG852121:DNR852121 DDK852121:DDV852121 CTO852121:CTZ852121 CJS852121:CKD852121 BZW852121:CAH852121 BQA852121:BQL852121 BGE852121:BGP852121 AWI852121:AWT852121 AMM852121:AMX852121 ACQ852121:ADB852121 SU852121:TF852121 IY852121:JJ852121 C852121:N852121 WVK786585:WVV786585 WLO786585:WLZ786585 WBS786585:WCD786585 VRW786585:VSH786585 VIA786585:VIL786585 UYE786585:UYP786585 UOI786585:UOT786585 UEM786585:UEX786585 TUQ786585:TVB786585 TKU786585:TLF786585 TAY786585:TBJ786585 SRC786585:SRN786585 SHG786585:SHR786585 RXK786585:RXV786585 RNO786585:RNZ786585 RDS786585:RED786585 QTW786585:QUH786585 QKA786585:QKL786585 QAE786585:QAP786585 PQI786585:PQT786585 PGM786585:PGX786585 OWQ786585:OXB786585 OMU786585:ONF786585 OCY786585:ODJ786585 NTC786585:NTN786585 NJG786585:NJR786585 MZK786585:MZV786585 MPO786585:MPZ786585 MFS786585:MGD786585 LVW786585:LWH786585 LMA786585:LML786585 LCE786585:LCP786585 KSI786585:KST786585 KIM786585:KIX786585 JYQ786585:JZB786585 JOU786585:JPF786585 JEY786585:JFJ786585 IVC786585:IVN786585 ILG786585:ILR786585 IBK786585:IBV786585 HRO786585:HRZ786585 HHS786585:HID786585 GXW786585:GYH786585 GOA786585:GOL786585 GEE786585:GEP786585 FUI786585:FUT786585 FKM786585:FKX786585 FAQ786585:FBB786585 EQU786585:ERF786585 EGY786585:EHJ786585 DXC786585:DXN786585 DNG786585:DNR786585 DDK786585:DDV786585 CTO786585:CTZ786585 CJS786585:CKD786585 BZW786585:CAH786585 BQA786585:BQL786585 BGE786585:BGP786585 AWI786585:AWT786585 AMM786585:AMX786585 ACQ786585:ADB786585 SU786585:TF786585 IY786585:JJ786585 C786585:N786585 WVK721049:WVV721049 WLO721049:WLZ721049 WBS721049:WCD721049 VRW721049:VSH721049 VIA721049:VIL721049 UYE721049:UYP721049 UOI721049:UOT721049 UEM721049:UEX721049 TUQ721049:TVB721049 TKU721049:TLF721049 TAY721049:TBJ721049 SRC721049:SRN721049 SHG721049:SHR721049 RXK721049:RXV721049 RNO721049:RNZ721049 RDS721049:RED721049 QTW721049:QUH721049 QKA721049:QKL721049 QAE721049:QAP721049 PQI721049:PQT721049 PGM721049:PGX721049 OWQ721049:OXB721049 OMU721049:ONF721049 OCY721049:ODJ721049 NTC721049:NTN721049 NJG721049:NJR721049 MZK721049:MZV721049 MPO721049:MPZ721049 MFS721049:MGD721049 LVW721049:LWH721049 LMA721049:LML721049 LCE721049:LCP721049 KSI721049:KST721049 KIM721049:KIX721049 JYQ721049:JZB721049 JOU721049:JPF721049 JEY721049:JFJ721049 IVC721049:IVN721049 ILG721049:ILR721049 IBK721049:IBV721049 HRO721049:HRZ721049 HHS721049:HID721049 GXW721049:GYH721049 GOA721049:GOL721049 GEE721049:GEP721049 FUI721049:FUT721049 FKM721049:FKX721049 FAQ721049:FBB721049 EQU721049:ERF721049 EGY721049:EHJ721049 DXC721049:DXN721049 DNG721049:DNR721049 DDK721049:DDV721049 CTO721049:CTZ721049 CJS721049:CKD721049 BZW721049:CAH721049 BQA721049:BQL721049 BGE721049:BGP721049 AWI721049:AWT721049 AMM721049:AMX721049 ACQ721049:ADB721049 SU721049:TF721049 IY721049:JJ721049 C721049:N721049 WVK655513:WVV655513 WLO655513:WLZ655513 WBS655513:WCD655513 VRW655513:VSH655513 VIA655513:VIL655513 UYE655513:UYP655513 UOI655513:UOT655513 UEM655513:UEX655513 TUQ655513:TVB655513 TKU655513:TLF655513 TAY655513:TBJ655513 SRC655513:SRN655513 SHG655513:SHR655513 RXK655513:RXV655513 RNO655513:RNZ655513 RDS655513:RED655513 QTW655513:QUH655513 QKA655513:QKL655513 QAE655513:QAP655513 PQI655513:PQT655513 PGM655513:PGX655513 OWQ655513:OXB655513 OMU655513:ONF655513 OCY655513:ODJ655513 NTC655513:NTN655513 NJG655513:NJR655513 MZK655513:MZV655513 MPO655513:MPZ655513 MFS655513:MGD655513 LVW655513:LWH655513 LMA655513:LML655513 LCE655513:LCP655513 KSI655513:KST655513 KIM655513:KIX655513 JYQ655513:JZB655513 JOU655513:JPF655513 JEY655513:JFJ655513 IVC655513:IVN655513 ILG655513:ILR655513 IBK655513:IBV655513 HRO655513:HRZ655513 HHS655513:HID655513 GXW655513:GYH655513 GOA655513:GOL655513 GEE655513:GEP655513 FUI655513:FUT655513 FKM655513:FKX655513 FAQ655513:FBB655513 EQU655513:ERF655513 EGY655513:EHJ655513 DXC655513:DXN655513 DNG655513:DNR655513 DDK655513:DDV655513 CTO655513:CTZ655513 CJS655513:CKD655513 BZW655513:CAH655513 BQA655513:BQL655513 BGE655513:BGP655513 AWI655513:AWT655513 AMM655513:AMX655513 ACQ655513:ADB655513 SU655513:TF655513 IY655513:JJ655513 C655513:N655513 WVK589977:WVV589977 WLO589977:WLZ589977 WBS589977:WCD589977 VRW589977:VSH589977 VIA589977:VIL589977 UYE589977:UYP589977 UOI589977:UOT589977 UEM589977:UEX589977 TUQ589977:TVB589977 TKU589977:TLF589977 TAY589977:TBJ589977 SRC589977:SRN589977 SHG589977:SHR589977 RXK589977:RXV589977 RNO589977:RNZ589977 RDS589977:RED589977 QTW589977:QUH589977 QKA589977:QKL589977 QAE589977:QAP589977 PQI589977:PQT589977 PGM589977:PGX589977 OWQ589977:OXB589977 OMU589977:ONF589977 OCY589977:ODJ589977 NTC589977:NTN589977 NJG589977:NJR589977 MZK589977:MZV589977 MPO589977:MPZ589977 MFS589977:MGD589977 LVW589977:LWH589977 LMA589977:LML589977 LCE589977:LCP589977 KSI589977:KST589977 KIM589977:KIX589977 JYQ589977:JZB589977 JOU589977:JPF589977 JEY589977:JFJ589977 IVC589977:IVN589977 ILG589977:ILR589977 IBK589977:IBV589977 HRO589977:HRZ589977 HHS589977:HID589977 GXW589977:GYH589977 GOA589977:GOL589977 GEE589977:GEP589977 FUI589977:FUT589977 FKM589977:FKX589977 FAQ589977:FBB589977 EQU589977:ERF589977 EGY589977:EHJ589977 DXC589977:DXN589977 DNG589977:DNR589977 DDK589977:DDV589977 CTO589977:CTZ589977 CJS589977:CKD589977 BZW589977:CAH589977 BQA589977:BQL589977 BGE589977:BGP589977 AWI589977:AWT589977 AMM589977:AMX589977 ACQ589977:ADB589977 SU589977:TF589977 IY589977:JJ589977 C589977:N589977 WVK524441:WVV524441 WLO524441:WLZ524441 WBS524441:WCD524441 VRW524441:VSH524441 VIA524441:VIL524441 UYE524441:UYP524441 UOI524441:UOT524441 UEM524441:UEX524441 TUQ524441:TVB524441 TKU524441:TLF524441 TAY524441:TBJ524441 SRC524441:SRN524441 SHG524441:SHR524441 RXK524441:RXV524441 RNO524441:RNZ524441 RDS524441:RED524441 QTW524441:QUH524441 QKA524441:QKL524441 QAE524441:QAP524441 PQI524441:PQT524441 PGM524441:PGX524441 OWQ524441:OXB524441 OMU524441:ONF524441 OCY524441:ODJ524441 NTC524441:NTN524441 NJG524441:NJR524441 MZK524441:MZV524441 MPO524441:MPZ524441 MFS524441:MGD524441 LVW524441:LWH524441 LMA524441:LML524441 LCE524441:LCP524441 KSI524441:KST524441 KIM524441:KIX524441 JYQ524441:JZB524441 JOU524441:JPF524441 JEY524441:JFJ524441 IVC524441:IVN524441 ILG524441:ILR524441 IBK524441:IBV524441 HRO524441:HRZ524441 HHS524441:HID524441 GXW524441:GYH524441 GOA524441:GOL524441 GEE524441:GEP524441 FUI524441:FUT524441 FKM524441:FKX524441 FAQ524441:FBB524441 EQU524441:ERF524441 EGY524441:EHJ524441 DXC524441:DXN524441 DNG524441:DNR524441 DDK524441:DDV524441 CTO524441:CTZ524441 CJS524441:CKD524441 BZW524441:CAH524441 BQA524441:BQL524441 BGE524441:BGP524441 AWI524441:AWT524441 AMM524441:AMX524441 ACQ524441:ADB524441 SU524441:TF524441 IY524441:JJ524441 C524441:N524441 WVK458905:WVV458905 WLO458905:WLZ458905 WBS458905:WCD458905 VRW458905:VSH458905 VIA458905:VIL458905 UYE458905:UYP458905 UOI458905:UOT458905 UEM458905:UEX458905 TUQ458905:TVB458905 TKU458905:TLF458905 TAY458905:TBJ458905 SRC458905:SRN458905 SHG458905:SHR458905 RXK458905:RXV458905 RNO458905:RNZ458905 RDS458905:RED458905 QTW458905:QUH458905 QKA458905:QKL458905 QAE458905:QAP458905 PQI458905:PQT458905 PGM458905:PGX458905 OWQ458905:OXB458905 OMU458905:ONF458905 OCY458905:ODJ458905 NTC458905:NTN458905 NJG458905:NJR458905 MZK458905:MZV458905 MPO458905:MPZ458905 MFS458905:MGD458905 LVW458905:LWH458905 LMA458905:LML458905 LCE458905:LCP458905 KSI458905:KST458905 KIM458905:KIX458905 JYQ458905:JZB458905 JOU458905:JPF458905 JEY458905:JFJ458905 IVC458905:IVN458905 ILG458905:ILR458905 IBK458905:IBV458905 HRO458905:HRZ458905 HHS458905:HID458905 GXW458905:GYH458905 GOA458905:GOL458905 GEE458905:GEP458905 FUI458905:FUT458905 FKM458905:FKX458905 FAQ458905:FBB458905 EQU458905:ERF458905 EGY458905:EHJ458905 DXC458905:DXN458905 DNG458905:DNR458905 DDK458905:DDV458905 CTO458905:CTZ458905 CJS458905:CKD458905 BZW458905:CAH458905 BQA458905:BQL458905 BGE458905:BGP458905 AWI458905:AWT458905 AMM458905:AMX458905 ACQ458905:ADB458905 SU458905:TF458905 IY458905:JJ458905 C458905:N458905 WVK393369:WVV393369 WLO393369:WLZ393369 WBS393369:WCD393369 VRW393369:VSH393369 VIA393369:VIL393369 UYE393369:UYP393369 UOI393369:UOT393369 UEM393369:UEX393369 TUQ393369:TVB393369 TKU393369:TLF393369 TAY393369:TBJ393369 SRC393369:SRN393369 SHG393369:SHR393369 RXK393369:RXV393369 RNO393369:RNZ393369 RDS393369:RED393369 QTW393369:QUH393369 QKA393369:QKL393369 QAE393369:QAP393369 PQI393369:PQT393369 PGM393369:PGX393369 OWQ393369:OXB393369 OMU393369:ONF393369 OCY393369:ODJ393369 NTC393369:NTN393369 NJG393369:NJR393369 MZK393369:MZV393369 MPO393369:MPZ393369 MFS393369:MGD393369 LVW393369:LWH393369 LMA393369:LML393369 LCE393369:LCP393369 KSI393369:KST393369 KIM393369:KIX393369 JYQ393369:JZB393369 JOU393369:JPF393369 JEY393369:JFJ393369 IVC393369:IVN393369 ILG393369:ILR393369 IBK393369:IBV393369 HRO393369:HRZ393369 HHS393369:HID393369 GXW393369:GYH393369 GOA393369:GOL393369 GEE393369:GEP393369 FUI393369:FUT393369 FKM393369:FKX393369 FAQ393369:FBB393369 EQU393369:ERF393369 EGY393369:EHJ393369 DXC393369:DXN393369 DNG393369:DNR393369 DDK393369:DDV393369 CTO393369:CTZ393369 CJS393369:CKD393369 BZW393369:CAH393369 BQA393369:BQL393369 BGE393369:BGP393369 AWI393369:AWT393369 AMM393369:AMX393369 ACQ393369:ADB393369 SU393369:TF393369 IY393369:JJ393369 C393369:N393369 WVK327833:WVV327833 WLO327833:WLZ327833 WBS327833:WCD327833 VRW327833:VSH327833 VIA327833:VIL327833 UYE327833:UYP327833 UOI327833:UOT327833 UEM327833:UEX327833 TUQ327833:TVB327833 TKU327833:TLF327833 TAY327833:TBJ327833 SRC327833:SRN327833 SHG327833:SHR327833 RXK327833:RXV327833 RNO327833:RNZ327833 RDS327833:RED327833 QTW327833:QUH327833 QKA327833:QKL327833 QAE327833:QAP327833 PQI327833:PQT327833 PGM327833:PGX327833 OWQ327833:OXB327833 OMU327833:ONF327833 OCY327833:ODJ327833 NTC327833:NTN327833 NJG327833:NJR327833 MZK327833:MZV327833 MPO327833:MPZ327833 MFS327833:MGD327833 LVW327833:LWH327833 LMA327833:LML327833 LCE327833:LCP327833 KSI327833:KST327833 KIM327833:KIX327833 JYQ327833:JZB327833 JOU327833:JPF327833 JEY327833:JFJ327833 IVC327833:IVN327833 ILG327833:ILR327833 IBK327833:IBV327833 HRO327833:HRZ327833 HHS327833:HID327833 GXW327833:GYH327833 GOA327833:GOL327833 GEE327833:GEP327833 FUI327833:FUT327833 FKM327833:FKX327833 FAQ327833:FBB327833 EQU327833:ERF327833 EGY327833:EHJ327833 DXC327833:DXN327833 DNG327833:DNR327833 DDK327833:DDV327833 CTO327833:CTZ327833 CJS327833:CKD327833 BZW327833:CAH327833 BQA327833:BQL327833 BGE327833:BGP327833 AWI327833:AWT327833 AMM327833:AMX327833 ACQ327833:ADB327833 SU327833:TF327833 IY327833:JJ327833 C327833:N327833 WVK262297:WVV262297 WLO262297:WLZ262297 WBS262297:WCD262297 VRW262297:VSH262297 VIA262297:VIL262297 UYE262297:UYP262297 UOI262297:UOT262297 UEM262297:UEX262297 TUQ262297:TVB262297 TKU262297:TLF262297 TAY262297:TBJ262297 SRC262297:SRN262297 SHG262297:SHR262297 RXK262297:RXV262297 RNO262297:RNZ262297 RDS262297:RED262297 QTW262297:QUH262297 QKA262297:QKL262297 QAE262297:QAP262297 PQI262297:PQT262297 PGM262297:PGX262297 OWQ262297:OXB262297 OMU262297:ONF262297 OCY262297:ODJ262297 NTC262297:NTN262297 NJG262297:NJR262297 MZK262297:MZV262297 MPO262297:MPZ262297 MFS262297:MGD262297 LVW262297:LWH262297 LMA262297:LML262297 LCE262297:LCP262297 KSI262297:KST262297 KIM262297:KIX262297 JYQ262297:JZB262297 JOU262297:JPF262297 JEY262297:JFJ262297 IVC262297:IVN262297 ILG262297:ILR262297 IBK262297:IBV262297 HRO262297:HRZ262297 HHS262297:HID262297 GXW262297:GYH262297 GOA262297:GOL262297 GEE262297:GEP262297 FUI262297:FUT262297 FKM262297:FKX262297 FAQ262297:FBB262297 EQU262297:ERF262297 EGY262297:EHJ262297 DXC262297:DXN262297 DNG262297:DNR262297 DDK262297:DDV262297 CTO262297:CTZ262297 CJS262297:CKD262297 BZW262297:CAH262297 BQA262297:BQL262297 BGE262297:BGP262297 AWI262297:AWT262297 AMM262297:AMX262297 ACQ262297:ADB262297 SU262297:TF262297 IY262297:JJ262297 C262297:N262297 WVK196761:WVV196761 WLO196761:WLZ196761 WBS196761:WCD196761 VRW196761:VSH196761 VIA196761:VIL196761 UYE196761:UYP196761 UOI196761:UOT196761 UEM196761:UEX196761 TUQ196761:TVB196761 TKU196761:TLF196761 TAY196761:TBJ196761 SRC196761:SRN196761 SHG196761:SHR196761 RXK196761:RXV196761 RNO196761:RNZ196761 RDS196761:RED196761 QTW196761:QUH196761 QKA196761:QKL196761 QAE196761:QAP196761 PQI196761:PQT196761 PGM196761:PGX196761 OWQ196761:OXB196761 OMU196761:ONF196761 OCY196761:ODJ196761 NTC196761:NTN196761 NJG196761:NJR196761 MZK196761:MZV196761 MPO196761:MPZ196761 MFS196761:MGD196761 LVW196761:LWH196761 LMA196761:LML196761 LCE196761:LCP196761 KSI196761:KST196761 KIM196761:KIX196761 JYQ196761:JZB196761 JOU196761:JPF196761 JEY196761:JFJ196761 IVC196761:IVN196761 ILG196761:ILR196761 IBK196761:IBV196761 HRO196761:HRZ196761 HHS196761:HID196761 GXW196761:GYH196761 GOA196761:GOL196761 GEE196761:GEP196761 FUI196761:FUT196761 FKM196761:FKX196761 FAQ196761:FBB196761 EQU196761:ERF196761 EGY196761:EHJ196761 DXC196761:DXN196761 DNG196761:DNR196761 DDK196761:DDV196761 CTO196761:CTZ196761 CJS196761:CKD196761 BZW196761:CAH196761 BQA196761:BQL196761 BGE196761:BGP196761 AWI196761:AWT196761 AMM196761:AMX196761 ACQ196761:ADB196761 SU196761:TF196761 IY196761:JJ196761 C196761:N196761 WVK131225:WVV131225 WLO131225:WLZ131225 WBS131225:WCD131225 VRW131225:VSH131225 VIA131225:VIL131225 UYE131225:UYP131225 UOI131225:UOT131225 UEM131225:UEX131225 TUQ131225:TVB131225 TKU131225:TLF131225 TAY131225:TBJ131225 SRC131225:SRN131225 SHG131225:SHR131225 RXK131225:RXV131225 RNO131225:RNZ131225 RDS131225:RED131225 QTW131225:QUH131225 QKA131225:QKL131225 QAE131225:QAP131225 PQI131225:PQT131225 PGM131225:PGX131225 OWQ131225:OXB131225 OMU131225:ONF131225 OCY131225:ODJ131225 NTC131225:NTN131225 NJG131225:NJR131225 MZK131225:MZV131225 MPO131225:MPZ131225 MFS131225:MGD131225 LVW131225:LWH131225 LMA131225:LML131225 LCE131225:LCP131225 KSI131225:KST131225 KIM131225:KIX131225 JYQ131225:JZB131225 JOU131225:JPF131225 JEY131225:JFJ131225 IVC131225:IVN131225 ILG131225:ILR131225 IBK131225:IBV131225 HRO131225:HRZ131225 HHS131225:HID131225 GXW131225:GYH131225 GOA131225:GOL131225 GEE131225:GEP131225 FUI131225:FUT131225 FKM131225:FKX131225 FAQ131225:FBB131225 EQU131225:ERF131225 EGY131225:EHJ131225 DXC131225:DXN131225 DNG131225:DNR131225 DDK131225:DDV131225 CTO131225:CTZ131225 CJS131225:CKD131225 BZW131225:CAH131225 BQA131225:BQL131225 BGE131225:BGP131225 AWI131225:AWT131225 AMM131225:AMX131225 ACQ131225:ADB131225 SU131225:TF131225 IY131225:JJ131225 C131225:N131225 WVK65689:WVV65689 WLO65689:WLZ65689 WBS65689:WCD65689 VRW65689:VSH65689 VIA65689:VIL65689 UYE65689:UYP65689 UOI65689:UOT65689 UEM65689:UEX65689 TUQ65689:TVB65689 TKU65689:TLF65689 TAY65689:TBJ65689 SRC65689:SRN65689 SHG65689:SHR65689 RXK65689:RXV65689 RNO65689:RNZ65689 RDS65689:RED65689 QTW65689:QUH65689 QKA65689:QKL65689 QAE65689:QAP65689 PQI65689:PQT65689 PGM65689:PGX65689 OWQ65689:OXB65689 OMU65689:ONF65689 OCY65689:ODJ65689 NTC65689:NTN65689 NJG65689:NJR65689 MZK65689:MZV65689 MPO65689:MPZ65689 MFS65689:MGD65689 LVW65689:LWH65689 LMA65689:LML65689 LCE65689:LCP65689 KSI65689:KST65689 KIM65689:KIX65689 JYQ65689:JZB65689 JOU65689:JPF65689 JEY65689:JFJ65689 IVC65689:IVN65689 ILG65689:ILR65689 IBK65689:IBV65689 HRO65689:HRZ65689 HHS65689:HID65689 GXW65689:GYH65689 GOA65689:GOL65689 GEE65689:GEP65689 FUI65689:FUT65689 FKM65689:FKX65689 FAQ65689:FBB65689 EQU65689:ERF65689 EGY65689:EHJ65689 DXC65689:DXN65689 DNG65689:DNR65689 DDK65689:DDV65689 CTO65689:CTZ65689 CJS65689:CKD65689 BZW65689:CAH65689 BQA65689:BQL65689 BGE65689:BGP65689 AWI65689:AWT65689 AMM65689:AMX65689 ACQ65689:ADB65689 SU65689:TF65689 IY65689:JJ65689 C65689:N65689 WVK235:WVV235 WLO235:WLZ235 WBS235:WCD235 VRW235:VSH235 VIA235:VIL235 UYE235:UYP235 UOI235:UOT235 UEM235:UEX235 TUQ235:TVB235 TKU235:TLF235 TAY235:TBJ235 SRC235:SRN235 SHG235:SHR235 RXK235:RXV235 RNO235:RNZ235 RDS235:RED235 QTW235:QUH235 QKA235:QKL235 QAE235:QAP235 PQI235:PQT235 PGM235:PGX235 OWQ235:OXB235 OMU235:ONF235 OCY235:ODJ235 NTC235:NTN235 NJG235:NJR235 MZK235:MZV235 MPO235:MPZ235 MFS235:MGD235 LVW235:LWH235 LMA235:LML235 LCE235:LCP235 KSI235:KST235 KIM235:KIX235 JYQ235:JZB235 JOU235:JPF235 JEY235:JFJ235 IVC235:IVN235 ILG235:ILR235 IBK235:IBV235 HRO235:HRZ235 HHS235:HID235 GXW235:GYH235 GOA235:GOL235 GEE235:GEP235 FUI235:FUT235 FKM235:FKX235 FAQ235:FBB235 EQU235:ERF235 EGY235:EHJ235 DXC235:DXN235 DNG235:DNR235 DDK235:DDV235 CTO235:CTZ235 CJS235:CKD235 BZW235:CAH235 BQA235:BQL235 BGE235:BGP235 AWI235:AWT235 AMM235:AMX235 ACQ235:ADB235 SU235:TF235 IY235:JJ235 BQA220:BQL220 WVK983163:WVV983163 WLO983163:WLZ983163 WBS983163:WCD983163 VRW983163:VSH983163 VIA983163:VIL983163 UYE983163:UYP983163 UOI983163:UOT983163 UEM983163:UEX983163 TUQ983163:TVB983163 TKU983163:TLF983163 TAY983163:TBJ983163 SRC983163:SRN983163 SHG983163:SHR983163 RXK983163:RXV983163 RNO983163:RNZ983163 RDS983163:RED983163 QTW983163:QUH983163 QKA983163:QKL983163 QAE983163:QAP983163 PQI983163:PQT983163 PGM983163:PGX983163 OWQ983163:OXB983163 OMU983163:ONF983163 OCY983163:ODJ983163 NTC983163:NTN983163 NJG983163:NJR983163 MZK983163:MZV983163 MPO983163:MPZ983163 MFS983163:MGD983163 LVW983163:LWH983163 LMA983163:LML983163 LCE983163:LCP983163 KSI983163:KST983163 KIM983163:KIX983163 JYQ983163:JZB983163 JOU983163:JPF983163 JEY983163:JFJ983163 IVC983163:IVN983163 ILG983163:ILR983163 IBK983163:IBV983163 HRO983163:HRZ983163 HHS983163:HID983163 GXW983163:GYH983163 GOA983163:GOL983163 GEE983163:GEP983163 FUI983163:FUT983163 FKM983163:FKX983163 FAQ983163:FBB983163 EQU983163:ERF983163 EGY983163:EHJ983163 DXC983163:DXN983163 DNG983163:DNR983163 DDK983163:DDV983163 CTO983163:CTZ983163 CJS983163:CKD983163 BZW983163:CAH983163 BQA983163:BQL983163 BGE983163:BGP983163 AWI983163:AWT983163 AMM983163:AMX983163 ACQ983163:ADB983163 SU983163:TF983163 IY983163:JJ983163 C983163:N983163 WVK917627:WVV917627 WLO917627:WLZ917627 WBS917627:WCD917627 VRW917627:VSH917627 VIA917627:VIL917627 UYE917627:UYP917627 UOI917627:UOT917627 UEM917627:UEX917627 TUQ917627:TVB917627 TKU917627:TLF917627 TAY917627:TBJ917627 SRC917627:SRN917627 SHG917627:SHR917627 RXK917627:RXV917627 RNO917627:RNZ917627 RDS917627:RED917627 QTW917627:QUH917627 QKA917627:QKL917627 QAE917627:QAP917627 PQI917627:PQT917627 PGM917627:PGX917627 OWQ917627:OXB917627 OMU917627:ONF917627 OCY917627:ODJ917627 NTC917627:NTN917627 NJG917627:NJR917627 MZK917627:MZV917627 MPO917627:MPZ917627 MFS917627:MGD917627 LVW917627:LWH917627 LMA917627:LML917627 LCE917627:LCP917627 KSI917627:KST917627 KIM917627:KIX917627 JYQ917627:JZB917627 JOU917627:JPF917627 JEY917627:JFJ917627 IVC917627:IVN917627 ILG917627:ILR917627 IBK917627:IBV917627 HRO917627:HRZ917627 HHS917627:HID917627 GXW917627:GYH917627 GOA917627:GOL917627 GEE917627:GEP917627 FUI917627:FUT917627 FKM917627:FKX917627 FAQ917627:FBB917627 EQU917627:ERF917627 EGY917627:EHJ917627 DXC917627:DXN917627 DNG917627:DNR917627 DDK917627:DDV917627 CTO917627:CTZ917627 CJS917627:CKD917627 BZW917627:CAH917627 BQA917627:BQL917627 BGE917627:BGP917627 AWI917627:AWT917627 AMM917627:AMX917627 ACQ917627:ADB917627 SU917627:TF917627 IY917627:JJ917627 C917627:N917627 WVK852091:WVV852091 WLO852091:WLZ852091 WBS852091:WCD852091 VRW852091:VSH852091 VIA852091:VIL852091 UYE852091:UYP852091 UOI852091:UOT852091 UEM852091:UEX852091 TUQ852091:TVB852091 TKU852091:TLF852091 TAY852091:TBJ852091 SRC852091:SRN852091 SHG852091:SHR852091 RXK852091:RXV852091 RNO852091:RNZ852091 RDS852091:RED852091 QTW852091:QUH852091 QKA852091:QKL852091 QAE852091:QAP852091 PQI852091:PQT852091 PGM852091:PGX852091 OWQ852091:OXB852091 OMU852091:ONF852091 OCY852091:ODJ852091 NTC852091:NTN852091 NJG852091:NJR852091 MZK852091:MZV852091 MPO852091:MPZ852091 MFS852091:MGD852091 LVW852091:LWH852091 LMA852091:LML852091 LCE852091:LCP852091 KSI852091:KST852091 KIM852091:KIX852091 JYQ852091:JZB852091 JOU852091:JPF852091 JEY852091:JFJ852091 IVC852091:IVN852091 ILG852091:ILR852091 IBK852091:IBV852091 HRO852091:HRZ852091 HHS852091:HID852091 GXW852091:GYH852091 GOA852091:GOL852091 GEE852091:GEP852091 FUI852091:FUT852091 FKM852091:FKX852091 FAQ852091:FBB852091 EQU852091:ERF852091 EGY852091:EHJ852091 DXC852091:DXN852091 DNG852091:DNR852091 DDK852091:DDV852091 CTO852091:CTZ852091 CJS852091:CKD852091 BZW852091:CAH852091 BQA852091:BQL852091 BGE852091:BGP852091 AWI852091:AWT852091 AMM852091:AMX852091 ACQ852091:ADB852091 SU852091:TF852091 IY852091:JJ852091 C852091:N852091 WVK786555:WVV786555 WLO786555:WLZ786555 WBS786555:WCD786555 VRW786555:VSH786555 VIA786555:VIL786555 UYE786555:UYP786555 UOI786555:UOT786555 UEM786555:UEX786555 TUQ786555:TVB786555 TKU786555:TLF786555 TAY786555:TBJ786555 SRC786555:SRN786555 SHG786555:SHR786555 RXK786555:RXV786555 RNO786555:RNZ786555 RDS786555:RED786555 QTW786555:QUH786555 QKA786555:QKL786555 QAE786555:QAP786555 PQI786555:PQT786555 PGM786555:PGX786555 OWQ786555:OXB786555 OMU786555:ONF786555 OCY786555:ODJ786555 NTC786555:NTN786555 NJG786555:NJR786555 MZK786555:MZV786555 MPO786555:MPZ786555 MFS786555:MGD786555 LVW786555:LWH786555 LMA786555:LML786555 LCE786555:LCP786555 KSI786555:KST786555 KIM786555:KIX786555 JYQ786555:JZB786555 JOU786555:JPF786555 JEY786555:JFJ786555 IVC786555:IVN786555 ILG786555:ILR786555 IBK786555:IBV786555 HRO786555:HRZ786555 HHS786555:HID786555 GXW786555:GYH786555 GOA786555:GOL786555 GEE786555:GEP786555 FUI786555:FUT786555 FKM786555:FKX786555 FAQ786555:FBB786555 EQU786555:ERF786555 EGY786555:EHJ786555 DXC786555:DXN786555 DNG786555:DNR786555 DDK786555:DDV786555 CTO786555:CTZ786555 CJS786555:CKD786555 BZW786555:CAH786555 BQA786555:BQL786555 BGE786555:BGP786555 AWI786555:AWT786555 AMM786555:AMX786555 ACQ786555:ADB786555 SU786555:TF786555 IY786555:JJ786555 C786555:N786555 WVK721019:WVV721019 WLO721019:WLZ721019 WBS721019:WCD721019 VRW721019:VSH721019 VIA721019:VIL721019 UYE721019:UYP721019 UOI721019:UOT721019 UEM721019:UEX721019 TUQ721019:TVB721019 TKU721019:TLF721019 TAY721019:TBJ721019 SRC721019:SRN721019 SHG721019:SHR721019 RXK721019:RXV721019 RNO721019:RNZ721019 RDS721019:RED721019 QTW721019:QUH721019 QKA721019:QKL721019 QAE721019:QAP721019 PQI721019:PQT721019 PGM721019:PGX721019 OWQ721019:OXB721019 OMU721019:ONF721019 OCY721019:ODJ721019 NTC721019:NTN721019 NJG721019:NJR721019 MZK721019:MZV721019 MPO721019:MPZ721019 MFS721019:MGD721019 LVW721019:LWH721019 LMA721019:LML721019 LCE721019:LCP721019 KSI721019:KST721019 KIM721019:KIX721019 JYQ721019:JZB721019 JOU721019:JPF721019 JEY721019:JFJ721019 IVC721019:IVN721019 ILG721019:ILR721019 IBK721019:IBV721019 HRO721019:HRZ721019 HHS721019:HID721019 GXW721019:GYH721019 GOA721019:GOL721019 GEE721019:GEP721019 FUI721019:FUT721019 FKM721019:FKX721019 FAQ721019:FBB721019 EQU721019:ERF721019 EGY721019:EHJ721019 DXC721019:DXN721019 DNG721019:DNR721019 DDK721019:DDV721019 CTO721019:CTZ721019 CJS721019:CKD721019 BZW721019:CAH721019 BQA721019:BQL721019 BGE721019:BGP721019 AWI721019:AWT721019 AMM721019:AMX721019 ACQ721019:ADB721019 SU721019:TF721019 IY721019:JJ721019 C721019:N721019 WVK655483:WVV655483 WLO655483:WLZ655483 WBS655483:WCD655483 VRW655483:VSH655483 VIA655483:VIL655483 UYE655483:UYP655483 UOI655483:UOT655483 UEM655483:UEX655483 TUQ655483:TVB655483 TKU655483:TLF655483 TAY655483:TBJ655483 SRC655483:SRN655483 SHG655483:SHR655483 RXK655483:RXV655483 RNO655483:RNZ655483 RDS655483:RED655483 QTW655483:QUH655483 QKA655483:QKL655483 QAE655483:QAP655483 PQI655483:PQT655483 PGM655483:PGX655483 OWQ655483:OXB655483 OMU655483:ONF655483 OCY655483:ODJ655483 NTC655483:NTN655483 NJG655483:NJR655483 MZK655483:MZV655483 MPO655483:MPZ655483 MFS655483:MGD655483 LVW655483:LWH655483 LMA655483:LML655483 LCE655483:LCP655483 KSI655483:KST655483 KIM655483:KIX655483 JYQ655483:JZB655483 JOU655483:JPF655483 JEY655483:JFJ655483 IVC655483:IVN655483 ILG655483:ILR655483 IBK655483:IBV655483 HRO655483:HRZ655483 HHS655483:HID655483 GXW655483:GYH655483 GOA655483:GOL655483 GEE655483:GEP655483 FUI655483:FUT655483 FKM655483:FKX655483 FAQ655483:FBB655483 EQU655483:ERF655483 EGY655483:EHJ655483 DXC655483:DXN655483 DNG655483:DNR655483 DDK655483:DDV655483 CTO655483:CTZ655483 CJS655483:CKD655483 BZW655483:CAH655483 BQA655483:BQL655483 BGE655483:BGP655483 AWI655483:AWT655483 AMM655483:AMX655483 ACQ655483:ADB655483 SU655483:TF655483 IY655483:JJ655483 C655483:N655483 WVK589947:WVV589947 WLO589947:WLZ589947 WBS589947:WCD589947 VRW589947:VSH589947 VIA589947:VIL589947 UYE589947:UYP589947 UOI589947:UOT589947 UEM589947:UEX589947 TUQ589947:TVB589947 TKU589947:TLF589947 TAY589947:TBJ589947 SRC589947:SRN589947 SHG589947:SHR589947 RXK589947:RXV589947 RNO589947:RNZ589947 RDS589947:RED589947 QTW589947:QUH589947 QKA589947:QKL589947 QAE589947:QAP589947 PQI589947:PQT589947 PGM589947:PGX589947 OWQ589947:OXB589947 OMU589947:ONF589947 OCY589947:ODJ589947 NTC589947:NTN589947 NJG589947:NJR589947 MZK589947:MZV589947 MPO589947:MPZ589947 MFS589947:MGD589947 LVW589947:LWH589947 LMA589947:LML589947 LCE589947:LCP589947 KSI589947:KST589947 KIM589947:KIX589947 JYQ589947:JZB589947 JOU589947:JPF589947 JEY589947:JFJ589947 IVC589947:IVN589947 ILG589947:ILR589947 IBK589947:IBV589947 HRO589947:HRZ589947 HHS589947:HID589947 GXW589947:GYH589947 GOA589947:GOL589947 GEE589947:GEP589947 FUI589947:FUT589947 FKM589947:FKX589947 FAQ589947:FBB589947 EQU589947:ERF589947 EGY589947:EHJ589947 DXC589947:DXN589947 DNG589947:DNR589947 DDK589947:DDV589947 CTO589947:CTZ589947 CJS589947:CKD589947 BZW589947:CAH589947 BQA589947:BQL589947 BGE589947:BGP589947 AWI589947:AWT589947 AMM589947:AMX589947 ACQ589947:ADB589947 SU589947:TF589947 IY589947:JJ589947 C589947:N589947 WVK524411:WVV524411 WLO524411:WLZ524411 WBS524411:WCD524411 VRW524411:VSH524411 VIA524411:VIL524411 UYE524411:UYP524411 UOI524411:UOT524411 UEM524411:UEX524411 TUQ524411:TVB524411 TKU524411:TLF524411 TAY524411:TBJ524411 SRC524411:SRN524411 SHG524411:SHR524411 RXK524411:RXV524411 RNO524411:RNZ524411 RDS524411:RED524411 QTW524411:QUH524411 QKA524411:QKL524411 QAE524411:QAP524411 PQI524411:PQT524411 PGM524411:PGX524411 OWQ524411:OXB524411 OMU524411:ONF524411 OCY524411:ODJ524411 NTC524411:NTN524411 NJG524411:NJR524411 MZK524411:MZV524411 MPO524411:MPZ524411 MFS524411:MGD524411 LVW524411:LWH524411 LMA524411:LML524411 LCE524411:LCP524411 KSI524411:KST524411 KIM524411:KIX524411 JYQ524411:JZB524411 JOU524411:JPF524411 JEY524411:JFJ524411 IVC524411:IVN524411 ILG524411:ILR524411 IBK524411:IBV524411 HRO524411:HRZ524411 HHS524411:HID524411 GXW524411:GYH524411 GOA524411:GOL524411 GEE524411:GEP524411 FUI524411:FUT524411 FKM524411:FKX524411 FAQ524411:FBB524411 EQU524411:ERF524411 EGY524411:EHJ524411 DXC524411:DXN524411 DNG524411:DNR524411 DDK524411:DDV524411 CTO524411:CTZ524411 CJS524411:CKD524411 BZW524411:CAH524411 BQA524411:BQL524411 BGE524411:BGP524411 AWI524411:AWT524411 AMM524411:AMX524411 ACQ524411:ADB524411 SU524411:TF524411 IY524411:JJ524411 C524411:N524411 WVK458875:WVV458875 WLO458875:WLZ458875 WBS458875:WCD458875 VRW458875:VSH458875 VIA458875:VIL458875 UYE458875:UYP458875 UOI458875:UOT458875 UEM458875:UEX458875 TUQ458875:TVB458875 TKU458875:TLF458875 TAY458875:TBJ458875 SRC458875:SRN458875 SHG458875:SHR458875 RXK458875:RXV458875 RNO458875:RNZ458875 RDS458875:RED458875 QTW458875:QUH458875 QKA458875:QKL458875 QAE458875:QAP458875 PQI458875:PQT458875 PGM458875:PGX458875 OWQ458875:OXB458875 OMU458875:ONF458875 OCY458875:ODJ458875 NTC458875:NTN458875 NJG458875:NJR458875 MZK458875:MZV458875 MPO458875:MPZ458875 MFS458875:MGD458875 LVW458875:LWH458875 LMA458875:LML458875 LCE458875:LCP458875 KSI458875:KST458875 KIM458875:KIX458875 JYQ458875:JZB458875 JOU458875:JPF458875 JEY458875:JFJ458875 IVC458875:IVN458875 ILG458875:ILR458875 IBK458875:IBV458875 HRO458875:HRZ458875 HHS458875:HID458875 GXW458875:GYH458875 GOA458875:GOL458875 GEE458875:GEP458875 FUI458875:FUT458875 FKM458875:FKX458875 FAQ458875:FBB458875 EQU458875:ERF458875 EGY458875:EHJ458875 DXC458875:DXN458875 DNG458875:DNR458875 DDK458875:DDV458875 CTO458875:CTZ458875 CJS458875:CKD458875 BZW458875:CAH458875 BQA458875:BQL458875 BGE458875:BGP458875 AWI458875:AWT458875 AMM458875:AMX458875 ACQ458875:ADB458875 SU458875:TF458875 IY458875:JJ458875 C458875:N458875 WVK393339:WVV393339 WLO393339:WLZ393339 WBS393339:WCD393339 VRW393339:VSH393339 VIA393339:VIL393339 UYE393339:UYP393339 UOI393339:UOT393339 UEM393339:UEX393339 TUQ393339:TVB393339 TKU393339:TLF393339 TAY393339:TBJ393339 SRC393339:SRN393339 SHG393339:SHR393339 RXK393339:RXV393339 RNO393339:RNZ393339 RDS393339:RED393339 QTW393339:QUH393339 QKA393339:QKL393339 QAE393339:QAP393339 PQI393339:PQT393339 PGM393339:PGX393339 OWQ393339:OXB393339 OMU393339:ONF393339 OCY393339:ODJ393339 NTC393339:NTN393339 NJG393339:NJR393339 MZK393339:MZV393339 MPO393339:MPZ393339 MFS393339:MGD393339 LVW393339:LWH393339 LMA393339:LML393339 LCE393339:LCP393339 KSI393339:KST393339 KIM393339:KIX393339 JYQ393339:JZB393339 JOU393339:JPF393339 JEY393339:JFJ393339 IVC393339:IVN393339 ILG393339:ILR393339 IBK393339:IBV393339 HRO393339:HRZ393339 HHS393339:HID393339 GXW393339:GYH393339 GOA393339:GOL393339 GEE393339:GEP393339 FUI393339:FUT393339 FKM393339:FKX393339 FAQ393339:FBB393339 EQU393339:ERF393339 EGY393339:EHJ393339 DXC393339:DXN393339 DNG393339:DNR393339 DDK393339:DDV393339 CTO393339:CTZ393339 CJS393339:CKD393339 BZW393339:CAH393339 BQA393339:BQL393339 BGE393339:BGP393339 AWI393339:AWT393339 AMM393339:AMX393339 ACQ393339:ADB393339 SU393339:TF393339 IY393339:JJ393339 C393339:N393339 WVK327803:WVV327803 WLO327803:WLZ327803 WBS327803:WCD327803 VRW327803:VSH327803 VIA327803:VIL327803 UYE327803:UYP327803 UOI327803:UOT327803 UEM327803:UEX327803 TUQ327803:TVB327803 TKU327803:TLF327803 TAY327803:TBJ327803 SRC327803:SRN327803 SHG327803:SHR327803 RXK327803:RXV327803 RNO327803:RNZ327803 RDS327803:RED327803 QTW327803:QUH327803 QKA327803:QKL327803 QAE327803:QAP327803 PQI327803:PQT327803 PGM327803:PGX327803 OWQ327803:OXB327803 OMU327803:ONF327803 OCY327803:ODJ327803 NTC327803:NTN327803 NJG327803:NJR327803 MZK327803:MZV327803 MPO327803:MPZ327803 MFS327803:MGD327803 LVW327803:LWH327803 LMA327803:LML327803 LCE327803:LCP327803 KSI327803:KST327803 KIM327803:KIX327803 JYQ327803:JZB327803 JOU327803:JPF327803 JEY327803:JFJ327803 IVC327803:IVN327803 ILG327803:ILR327803 IBK327803:IBV327803 HRO327803:HRZ327803 HHS327803:HID327803 GXW327803:GYH327803 GOA327803:GOL327803 GEE327803:GEP327803 FUI327803:FUT327803 FKM327803:FKX327803 FAQ327803:FBB327803 EQU327803:ERF327803 EGY327803:EHJ327803 DXC327803:DXN327803 DNG327803:DNR327803 DDK327803:DDV327803 CTO327803:CTZ327803 CJS327803:CKD327803 BZW327803:CAH327803 BQA327803:BQL327803 BGE327803:BGP327803 AWI327803:AWT327803 AMM327803:AMX327803 ACQ327803:ADB327803 SU327803:TF327803 IY327803:JJ327803 C327803:N327803 WVK262267:WVV262267 WLO262267:WLZ262267 WBS262267:WCD262267 VRW262267:VSH262267 VIA262267:VIL262267 UYE262267:UYP262267 UOI262267:UOT262267 UEM262267:UEX262267 TUQ262267:TVB262267 TKU262267:TLF262267 TAY262267:TBJ262267 SRC262267:SRN262267 SHG262267:SHR262267 RXK262267:RXV262267 RNO262267:RNZ262267 RDS262267:RED262267 QTW262267:QUH262267 QKA262267:QKL262267 QAE262267:QAP262267 PQI262267:PQT262267 PGM262267:PGX262267 OWQ262267:OXB262267 OMU262267:ONF262267 OCY262267:ODJ262267 NTC262267:NTN262267 NJG262267:NJR262267 MZK262267:MZV262267 MPO262267:MPZ262267 MFS262267:MGD262267 LVW262267:LWH262267 LMA262267:LML262267 LCE262267:LCP262267 KSI262267:KST262267 KIM262267:KIX262267 JYQ262267:JZB262267 JOU262267:JPF262267 JEY262267:JFJ262267 IVC262267:IVN262267 ILG262267:ILR262267 IBK262267:IBV262267 HRO262267:HRZ262267 HHS262267:HID262267 GXW262267:GYH262267 GOA262267:GOL262267 GEE262267:GEP262267 FUI262267:FUT262267 FKM262267:FKX262267 FAQ262267:FBB262267 EQU262267:ERF262267 EGY262267:EHJ262267 DXC262267:DXN262267 DNG262267:DNR262267 DDK262267:DDV262267 CTO262267:CTZ262267 CJS262267:CKD262267 BZW262267:CAH262267 BQA262267:BQL262267 BGE262267:BGP262267 AWI262267:AWT262267 AMM262267:AMX262267 ACQ262267:ADB262267 SU262267:TF262267 IY262267:JJ262267 C262267:N262267 WVK196731:WVV196731 WLO196731:WLZ196731 WBS196731:WCD196731 VRW196731:VSH196731 VIA196731:VIL196731 UYE196731:UYP196731 UOI196731:UOT196731 UEM196731:UEX196731 TUQ196731:TVB196731 TKU196731:TLF196731 TAY196731:TBJ196731 SRC196731:SRN196731 SHG196731:SHR196731 RXK196731:RXV196731 RNO196731:RNZ196731 RDS196731:RED196731 QTW196731:QUH196731 QKA196731:QKL196731 QAE196731:QAP196731 PQI196731:PQT196731 PGM196731:PGX196731 OWQ196731:OXB196731 OMU196731:ONF196731 OCY196731:ODJ196731 NTC196731:NTN196731 NJG196731:NJR196731 MZK196731:MZV196731 MPO196731:MPZ196731 MFS196731:MGD196731 LVW196731:LWH196731 LMA196731:LML196731 LCE196731:LCP196731 KSI196731:KST196731 KIM196731:KIX196731 JYQ196731:JZB196731 JOU196731:JPF196731 JEY196731:JFJ196731 IVC196731:IVN196731 ILG196731:ILR196731 IBK196731:IBV196731 HRO196731:HRZ196731 HHS196731:HID196731 GXW196731:GYH196731 GOA196731:GOL196731 GEE196731:GEP196731 FUI196731:FUT196731 FKM196731:FKX196731 FAQ196731:FBB196731 EQU196731:ERF196731 EGY196731:EHJ196731 DXC196731:DXN196731 DNG196731:DNR196731 DDK196731:DDV196731 CTO196731:CTZ196731 CJS196731:CKD196731 BZW196731:CAH196731 BQA196731:BQL196731 BGE196731:BGP196731 AWI196731:AWT196731 AMM196731:AMX196731 ACQ196731:ADB196731 SU196731:TF196731 IY196731:JJ196731 C196731:N196731 WVK131195:WVV131195 WLO131195:WLZ131195 WBS131195:WCD131195 VRW131195:VSH131195 VIA131195:VIL131195 UYE131195:UYP131195 UOI131195:UOT131195 UEM131195:UEX131195 TUQ131195:TVB131195 TKU131195:TLF131195 TAY131195:TBJ131195 SRC131195:SRN131195 SHG131195:SHR131195 RXK131195:RXV131195 RNO131195:RNZ131195 RDS131195:RED131195 QTW131195:QUH131195 QKA131195:QKL131195 QAE131195:QAP131195 PQI131195:PQT131195 PGM131195:PGX131195 OWQ131195:OXB131195 OMU131195:ONF131195 OCY131195:ODJ131195 NTC131195:NTN131195 NJG131195:NJR131195 MZK131195:MZV131195 MPO131195:MPZ131195 MFS131195:MGD131195 LVW131195:LWH131195 LMA131195:LML131195 LCE131195:LCP131195 KSI131195:KST131195 KIM131195:KIX131195 JYQ131195:JZB131195 JOU131195:JPF131195 JEY131195:JFJ131195 IVC131195:IVN131195 ILG131195:ILR131195 IBK131195:IBV131195 HRO131195:HRZ131195 HHS131195:HID131195 GXW131195:GYH131195 GOA131195:GOL131195 GEE131195:GEP131195 FUI131195:FUT131195 FKM131195:FKX131195 FAQ131195:FBB131195 EQU131195:ERF131195 EGY131195:EHJ131195 DXC131195:DXN131195 DNG131195:DNR131195 DDK131195:DDV131195 CTO131195:CTZ131195 CJS131195:CKD131195 BZW131195:CAH131195 BQA131195:BQL131195 BGE131195:BGP131195 AWI131195:AWT131195 AMM131195:AMX131195 ACQ131195:ADB131195 SU131195:TF131195 IY131195:JJ131195 C131195:N131195 WVK65659:WVV65659 WLO65659:WLZ65659 WBS65659:WCD65659 VRW65659:VSH65659 VIA65659:VIL65659 UYE65659:UYP65659 UOI65659:UOT65659 UEM65659:UEX65659 TUQ65659:TVB65659 TKU65659:TLF65659 TAY65659:TBJ65659 SRC65659:SRN65659 SHG65659:SHR65659 RXK65659:RXV65659 RNO65659:RNZ65659 RDS65659:RED65659 QTW65659:QUH65659 QKA65659:QKL65659 QAE65659:QAP65659 PQI65659:PQT65659 PGM65659:PGX65659 OWQ65659:OXB65659 OMU65659:ONF65659 OCY65659:ODJ65659 NTC65659:NTN65659 NJG65659:NJR65659 MZK65659:MZV65659 MPO65659:MPZ65659 MFS65659:MGD65659 LVW65659:LWH65659 LMA65659:LML65659 LCE65659:LCP65659 KSI65659:KST65659 KIM65659:KIX65659 JYQ65659:JZB65659 JOU65659:JPF65659 JEY65659:JFJ65659 IVC65659:IVN65659 ILG65659:ILR65659 IBK65659:IBV65659 HRO65659:HRZ65659 HHS65659:HID65659 GXW65659:GYH65659 GOA65659:GOL65659 GEE65659:GEP65659 FUI65659:FUT65659 FKM65659:FKX65659 FAQ65659:FBB65659 EQU65659:ERF65659 EGY65659:EHJ65659 DXC65659:DXN65659 DNG65659:DNR65659 DDK65659:DDV65659 CTO65659:CTZ65659 CJS65659:CKD65659 BZW65659:CAH65659 BQA65659:BQL65659 BGE65659:BGP65659 AWI65659:AWT65659 AMM65659:AMX65659 ACQ65659:ADB65659 SU65659:TF65659 IY65659:JJ65659 C65659:N65659 WVK205:WVV205 WLO205:WLZ205 WBS205:WCD205 VRW205:VSH205 VIA205:VIL205 UYE205:UYP205 UOI205:UOT205 UEM205:UEX205 TUQ205:TVB205 TKU205:TLF205 TAY205:TBJ205 SRC205:SRN205 SHG205:SHR205 RXK205:RXV205 RNO205:RNZ205 RDS205:RED205 QTW205:QUH205 QKA205:QKL205 QAE205:QAP205 PQI205:PQT205 PGM205:PGX205 OWQ205:OXB205 OMU205:ONF205 OCY205:ODJ205 NTC205:NTN205 NJG205:NJR205 MZK205:MZV205 MPO205:MPZ205 MFS205:MGD205 LVW205:LWH205 LMA205:LML205 LCE205:LCP205 KSI205:KST205 KIM205:KIX205 JYQ205:JZB205 JOU205:JPF205 JEY205:JFJ205 IVC205:IVN205 ILG205:ILR205 IBK205:IBV205 HRO205:HRZ205 HHS205:HID205 GXW205:GYH205 GOA205:GOL205 GEE205:GEP205 FUI205:FUT205 FKM205:FKX205 FAQ205:FBB205 EQU205:ERF205 EGY205:EHJ205 DXC205:DXN205 DNG205:DNR205 DDK205:DDV205 CTO205:CTZ205 CJS205:CKD205 BZW205:CAH205 BQA205:BQL205 BGE205:BGP205 AWI205:AWT205 AMM205:AMX205 ACQ205:ADB205 SU205:TF205 IY205:JJ205 AWI220:AWT220 WVK983148:WVV983148 WLO983148:WLZ983148 WBS983148:WCD983148 VRW983148:VSH983148 VIA983148:VIL983148 UYE983148:UYP983148 UOI983148:UOT983148 UEM983148:UEX983148 TUQ983148:TVB983148 TKU983148:TLF983148 TAY983148:TBJ983148 SRC983148:SRN983148 SHG983148:SHR983148 RXK983148:RXV983148 RNO983148:RNZ983148 RDS983148:RED983148 QTW983148:QUH983148 QKA983148:QKL983148 QAE983148:QAP983148 PQI983148:PQT983148 PGM983148:PGX983148 OWQ983148:OXB983148 OMU983148:ONF983148 OCY983148:ODJ983148 NTC983148:NTN983148 NJG983148:NJR983148 MZK983148:MZV983148 MPO983148:MPZ983148 MFS983148:MGD983148 LVW983148:LWH983148 LMA983148:LML983148 LCE983148:LCP983148 KSI983148:KST983148 KIM983148:KIX983148 JYQ983148:JZB983148 JOU983148:JPF983148 JEY983148:JFJ983148 IVC983148:IVN983148 ILG983148:ILR983148 IBK983148:IBV983148 HRO983148:HRZ983148 HHS983148:HID983148 GXW983148:GYH983148 GOA983148:GOL983148 GEE983148:GEP983148 FUI983148:FUT983148 FKM983148:FKX983148 FAQ983148:FBB983148 EQU983148:ERF983148 EGY983148:EHJ983148 DXC983148:DXN983148 DNG983148:DNR983148 DDK983148:DDV983148 CTO983148:CTZ983148 CJS983148:CKD983148 BZW983148:CAH983148 BQA983148:BQL983148 BGE983148:BGP983148 AWI983148:AWT983148 AMM983148:AMX983148 ACQ983148:ADB983148 SU983148:TF983148 IY983148:JJ983148 C983148:N983148 WVK917612:WVV917612 WLO917612:WLZ917612 WBS917612:WCD917612 VRW917612:VSH917612 VIA917612:VIL917612 UYE917612:UYP917612 UOI917612:UOT917612 UEM917612:UEX917612 TUQ917612:TVB917612 TKU917612:TLF917612 TAY917612:TBJ917612 SRC917612:SRN917612 SHG917612:SHR917612 RXK917612:RXV917612 RNO917612:RNZ917612 RDS917612:RED917612 QTW917612:QUH917612 QKA917612:QKL917612 QAE917612:QAP917612 PQI917612:PQT917612 PGM917612:PGX917612 OWQ917612:OXB917612 OMU917612:ONF917612 OCY917612:ODJ917612 NTC917612:NTN917612 NJG917612:NJR917612 MZK917612:MZV917612 MPO917612:MPZ917612 MFS917612:MGD917612 LVW917612:LWH917612 LMA917612:LML917612 LCE917612:LCP917612 KSI917612:KST917612 KIM917612:KIX917612 JYQ917612:JZB917612 JOU917612:JPF917612 JEY917612:JFJ917612 IVC917612:IVN917612 ILG917612:ILR917612 IBK917612:IBV917612 HRO917612:HRZ917612 HHS917612:HID917612 GXW917612:GYH917612 GOA917612:GOL917612 GEE917612:GEP917612 FUI917612:FUT917612 FKM917612:FKX917612 FAQ917612:FBB917612 EQU917612:ERF917612 EGY917612:EHJ917612 DXC917612:DXN917612 DNG917612:DNR917612 DDK917612:DDV917612 CTO917612:CTZ917612 CJS917612:CKD917612 BZW917612:CAH917612 BQA917612:BQL917612 BGE917612:BGP917612 AWI917612:AWT917612 AMM917612:AMX917612 ACQ917612:ADB917612 SU917612:TF917612 IY917612:JJ917612 C917612:N917612 WVK852076:WVV852076 WLO852076:WLZ852076 WBS852076:WCD852076 VRW852076:VSH852076 VIA852076:VIL852076 UYE852076:UYP852076 UOI852076:UOT852076 UEM852076:UEX852076 TUQ852076:TVB852076 TKU852076:TLF852076 TAY852076:TBJ852076 SRC852076:SRN852076 SHG852076:SHR852076 RXK852076:RXV852076 RNO852076:RNZ852076 RDS852076:RED852076 QTW852076:QUH852076 QKA852076:QKL852076 QAE852076:QAP852076 PQI852076:PQT852076 PGM852076:PGX852076 OWQ852076:OXB852076 OMU852076:ONF852076 OCY852076:ODJ852076 NTC852076:NTN852076 NJG852076:NJR852076 MZK852076:MZV852076 MPO852076:MPZ852076 MFS852076:MGD852076 LVW852076:LWH852076 LMA852076:LML852076 LCE852076:LCP852076 KSI852076:KST852076 KIM852076:KIX852076 JYQ852076:JZB852076 JOU852076:JPF852076 JEY852076:JFJ852076 IVC852076:IVN852076 ILG852076:ILR852076 IBK852076:IBV852076 HRO852076:HRZ852076 HHS852076:HID852076 GXW852076:GYH852076 GOA852076:GOL852076 GEE852076:GEP852076 FUI852076:FUT852076 FKM852076:FKX852076 FAQ852076:FBB852076 EQU852076:ERF852076 EGY852076:EHJ852076 DXC852076:DXN852076 DNG852076:DNR852076 DDK852076:DDV852076 CTO852076:CTZ852076 CJS852076:CKD852076 BZW852076:CAH852076 BQA852076:BQL852076 BGE852076:BGP852076 AWI852076:AWT852076 AMM852076:AMX852076 ACQ852076:ADB852076 SU852076:TF852076 IY852076:JJ852076 C852076:N852076 WVK786540:WVV786540 WLO786540:WLZ786540 WBS786540:WCD786540 VRW786540:VSH786540 VIA786540:VIL786540 UYE786540:UYP786540 UOI786540:UOT786540 UEM786540:UEX786540 TUQ786540:TVB786540 TKU786540:TLF786540 TAY786540:TBJ786540 SRC786540:SRN786540 SHG786540:SHR786540 RXK786540:RXV786540 RNO786540:RNZ786540 RDS786540:RED786540 QTW786540:QUH786540 QKA786540:QKL786540 QAE786540:QAP786540 PQI786540:PQT786540 PGM786540:PGX786540 OWQ786540:OXB786540 OMU786540:ONF786540 OCY786540:ODJ786540 NTC786540:NTN786540 NJG786540:NJR786540 MZK786540:MZV786540 MPO786540:MPZ786540 MFS786540:MGD786540 LVW786540:LWH786540 LMA786540:LML786540 LCE786540:LCP786540 KSI786540:KST786540 KIM786540:KIX786540 JYQ786540:JZB786540 JOU786540:JPF786540 JEY786540:JFJ786540 IVC786540:IVN786540 ILG786540:ILR786540 IBK786540:IBV786540 HRO786540:HRZ786540 HHS786540:HID786540 GXW786540:GYH786540 GOA786540:GOL786540 GEE786540:GEP786540 FUI786540:FUT786540 FKM786540:FKX786540 FAQ786540:FBB786540 EQU786540:ERF786540 EGY786540:EHJ786540 DXC786540:DXN786540 DNG786540:DNR786540 DDK786540:DDV786540 CTO786540:CTZ786540 CJS786540:CKD786540 BZW786540:CAH786540 BQA786540:BQL786540 BGE786540:BGP786540 AWI786540:AWT786540 AMM786540:AMX786540 ACQ786540:ADB786540 SU786540:TF786540 IY786540:JJ786540 C786540:N786540 WVK721004:WVV721004 WLO721004:WLZ721004 WBS721004:WCD721004 VRW721004:VSH721004 VIA721004:VIL721004 UYE721004:UYP721004 UOI721004:UOT721004 UEM721004:UEX721004 TUQ721004:TVB721004 TKU721004:TLF721004 TAY721004:TBJ721004 SRC721004:SRN721004 SHG721004:SHR721004 RXK721004:RXV721004 RNO721004:RNZ721004 RDS721004:RED721004 QTW721004:QUH721004 QKA721004:QKL721004 QAE721004:QAP721004 PQI721004:PQT721004 PGM721004:PGX721004 OWQ721004:OXB721004 OMU721004:ONF721004 OCY721004:ODJ721004 NTC721004:NTN721004 NJG721004:NJR721004 MZK721004:MZV721004 MPO721004:MPZ721004 MFS721004:MGD721004 LVW721004:LWH721004 LMA721004:LML721004 LCE721004:LCP721004 KSI721004:KST721004 KIM721004:KIX721004 JYQ721004:JZB721004 JOU721004:JPF721004 JEY721004:JFJ721004 IVC721004:IVN721004 ILG721004:ILR721004 IBK721004:IBV721004 HRO721004:HRZ721004 HHS721004:HID721004 GXW721004:GYH721004 GOA721004:GOL721004 GEE721004:GEP721004 FUI721004:FUT721004 FKM721004:FKX721004 FAQ721004:FBB721004 EQU721004:ERF721004 EGY721004:EHJ721004 DXC721004:DXN721004 DNG721004:DNR721004 DDK721004:DDV721004 CTO721004:CTZ721004 CJS721004:CKD721004 BZW721004:CAH721004 BQA721004:BQL721004 BGE721004:BGP721004 AWI721004:AWT721004 AMM721004:AMX721004 ACQ721004:ADB721004 SU721004:TF721004 IY721004:JJ721004 C721004:N721004 WVK655468:WVV655468 WLO655468:WLZ655468 WBS655468:WCD655468 VRW655468:VSH655468 VIA655468:VIL655468 UYE655468:UYP655468 UOI655468:UOT655468 UEM655468:UEX655468 TUQ655468:TVB655468 TKU655468:TLF655468 TAY655468:TBJ655468 SRC655468:SRN655468 SHG655468:SHR655468 RXK655468:RXV655468 RNO655468:RNZ655468 RDS655468:RED655468 QTW655468:QUH655468 QKA655468:QKL655468 QAE655468:QAP655468 PQI655468:PQT655468 PGM655468:PGX655468 OWQ655468:OXB655468 OMU655468:ONF655468 OCY655468:ODJ655468 NTC655468:NTN655468 NJG655468:NJR655468 MZK655468:MZV655468 MPO655468:MPZ655468 MFS655468:MGD655468 LVW655468:LWH655468 LMA655468:LML655468 LCE655468:LCP655468 KSI655468:KST655468 KIM655468:KIX655468 JYQ655468:JZB655468 JOU655468:JPF655468 JEY655468:JFJ655468 IVC655468:IVN655468 ILG655468:ILR655468 IBK655468:IBV655468 HRO655468:HRZ655468 HHS655468:HID655468 GXW655468:GYH655468 GOA655468:GOL655468 GEE655468:GEP655468 FUI655468:FUT655468 FKM655468:FKX655468 FAQ655468:FBB655468 EQU655468:ERF655468 EGY655468:EHJ655468 DXC655468:DXN655468 DNG655468:DNR655468 DDK655468:DDV655468 CTO655468:CTZ655468 CJS655468:CKD655468 BZW655468:CAH655468 BQA655468:BQL655468 BGE655468:BGP655468 AWI655468:AWT655468 AMM655468:AMX655468 ACQ655468:ADB655468 SU655468:TF655468 IY655468:JJ655468 C655468:N655468 WVK589932:WVV589932 WLO589932:WLZ589932 WBS589932:WCD589932 VRW589932:VSH589932 VIA589932:VIL589932 UYE589932:UYP589932 UOI589932:UOT589932 UEM589932:UEX589932 TUQ589932:TVB589932 TKU589932:TLF589932 TAY589932:TBJ589932 SRC589932:SRN589932 SHG589932:SHR589932 RXK589932:RXV589932 RNO589932:RNZ589932 RDS589932:RED589932 QTW589932:QUH589932 QKA589932:QKL589932 QAE589932:QAP589932 PQI589932:PQT589932 PGM589932:PGX589932 OWQ589932:OXB589932 OMU589932:ONF589932 OCY589932:ODJ589932 NTC589932:NTN589932 NJG589932:NJR589932 MZK589932:MZV589932 MPO589932:MPZ589932 MFS589932:MGD589932 LVW589932:LWH589932 LMA589932:LML589932 LCE589932:LCP589932 KSI589932:KST589932 KIM589932:KIX589932 JYQ589932:JZB589932 JOU589932:JPF589932 JEY589932:JFJ589932 IVC589932:IVN589932 ILG589932:ILR589932 IBK589932:IBV589932 HRO589932:HRZ589932 HHS589932:HID589932 GXW589932:GYH589932 GOA589932:GOL589932 GEE589932:GEP589932 FUI589932:FUT589932 FKM589932:FKX589932 FAQ589932:FBB589932 EQU589932:ERF589932 EGY589932:EHJ589932 DXC589932:DXN589932 DNG589932:DNR589932 DDK589932:DDV589932 CTO589932:CTZ589932 CJS589932:CKD589932 BZW589932:CAH589932 BQA589932:BQL589932 BGE589932:BGP589932 AWI589932:AWT589932 AMM589932:AMX589932 ACQ589932:ADB589932 SU589932:TF589932 IY589932:JJ589932 C589932:N589932 WVK524396:WVV524396 WLO524396:WLZ524396 WBS524396:WCD524396 VRW524396:VSH524396 VIA524396:VIL524396 UYE524396:UYP524396 UOI524396:UOT524396 UEM524396:UEX524396 TUQ524396:TVB524396 TKU524396:TLF524396 TAY524396:TBJ524396 SRC524396:SRN524396 SHG524396:SHR524396 RXK524396:RXV524396 RNO524396:RNZ524396 RDS524396:RED524396 QTW524396:QUH524396 QKA524396:QKL524396 QAE524396:QAP524396 PQI524396:PQT524396 PGM524396:PGX524396 OWQ524396:OXB524396 OMU524396:ONF524396 OCY524396:ODJ524396 NTC524396:NTN524396 NJG524396:NJR524396 MZK524396:MZV524396 MPO524396:MPZ524396 MFS524396:MGD524396 LVW524396:LWH524396 LMA524396:LML524396 LCE524396:LCP524396 KSI524396:KST524396 KIM524396:KIX524396 JYQ524396:JZB524396 JOU524396:JPF524396 JEY524396:JFJ524396 IVC524396:IVN524396 ILG524396:ILR524396 IBK524396:IBV524396 HRO524396:HRZ524396 HHS524396:HID524396 GXW524396:GYH524396 GOA524396:GOL524396 GEE524396:GEP524396 FUI524396:FUT524396 FKM524396:FKX524396 FAQ524396:FBB524396 EQU524396:ERF524396 EGY524396:EHJ524396 DXC524396:DXN524396 DNG524396:DNR524396 DDK524396:DDV524396 CTO524396:CTZ524396 CJS524396:CKD524396 BZW524396:CAH524396 BQA524396:BQL524396 BGE524396:BGP524396 AWI524396:AWT524396 AMM524396:AMX524396 ACQ524396:ADB524396 SU524396:TF524396 IY524396:JJ524396 C524396:N524396 WVK458860:WVV458860 WLO458860:WLZ458860 WBS458860:WCD458860 VRW458860:VSH458860 VIA458860:VIL458860 UYE458860:UYP458860 UOI458860:UOT458860 UEM458860:UEX458860 TUQ458860:TVB458860 TKU458860:TLF458860 TAY458860:TBJ458860 SRC458860:SRN458860 SHG458860:SHR458860 RXK458860:RXV458860 RNO458860:RNZ458860 RDS458860:RED458860 QTW458860:QUH458860 QKA458860:QKL458860 QAE458860:QAP458860 PQI458860:PQT458860 PGM458860:PGX458860 OWQ458860:OXB458860 OMU458860:ONF458860 OCY458860:ODJ458860 NTC458860:NTN458860 NJG458860:NJR458860 MZK458860:MZV458860 MPO458860:MPZ458860 MFS458860:MGD458860 LVW458860:LWH458860 LMA458860:LML458860 LCE458860:LCP458860 KSI458860:KST458860 KIM458860:KIX458860 JYQ458860:JZB458860 JOU458860:JPF458860 JEY458860:JFJ458860 IVC458860:IVN458860 ILG458860:ILR458860 IBK458860:IBV458860 HRO458860:HRZ458860 HHS458860:HID458860 GXW458860:GYH458860 GOA458860:GOL458860 GEE458860:GEP458860 FUI458860:FUT458860 FKM458860:FKX458860 FAQ458860:FBB458860 EQU458860:ERF458860 EGY458860:EHJ458860 DXC458860:DXN458860 DNG458860:DNR458860 DDK458860:DDV458860 CTO458860:CTZ458860 CJS458860:CKD458860 BZW458860:CAH458860 BQA458860:BQL458860 BGE458860:BGP458860 AWI458860:AWT458860 AMM458860:AMX458860 ACQ458860:ADB458860 SU458860:TF458860 IY458860:JJ458860 C458860:N458860 WVK393324:WVV393324 WLO393324:WLZ393324 WBS393324:WCD393324 VRW393324:VSH393324 VIA393324:VIL393324 UYE393324:UYP393324 UOI393324:UOT393324 UEM393324:UEX393324 TUQ393324:TVB393324 TKU393324:TLF393324 TAY393324:TBJ393324 SRC393324:SRN393324 SHG393324:SHR393324 RXK393324:RXV393324 RNO393324:RNZ393324 RDS393324:RED393324 QTW393324:QUH393324 QKA393324:QKL393324 QAE393324:QAP393324 PQI393324:PQT393324 PGM393324:PGX393324 OWQ393324:OXB393324 OMU393324:ONF393324 OCY393324:ODJ393324 NTC393324:NTN393324 NJG393324:NJR393324 MZK393324:MZV393324 MPO393324:MPZ393324 MFS393324:MGD393324 LVW393324:LWH393324 LMA393324:LML393324 LCE393324:LCP393324 KSI393324:KST393324 KIM393324:KIX393324 JYQ393324:JZB393324 JOU393324:JPF393324 JEY393324:JFJ393324 IVC393324:IVN393324 ILG393324:ILR393324 IBK393324:IBV393324 HRO393324:HRZ393324 HHS393324:HID393324 GXW393324:GYH393324 GOA393324:GOL393324 GEE393324:GEP393324 FUI393324:FUT393324 FKM393324:FKX393324 FAQ393324:FBB393324 EQU393324:ERF393324 EGY393324:EHJ393324 DXC393324:DXN393324 DNG393324:DNR393324 DDK393324:DDV393324 CTO393324:CTZ393324 CJS393324:CKD393324 BZW393324:CAH393324 BQA393324:BQL393324 BGE393324:BGP393324 AWI393324:AWT393324 AMM393324:AMX393324 ACQ393324:ADB393324 SU393324:TF393324 IY393324:JJ393324 C393324:N393324 WVK327788:WVV327788 WLO327788:WLZ327788 WBS327788:WCD327788 VRW327788:VSH327788 VIA327788:VIL327788 UYE327788:UYP327788 UOI327788:UOT327788 UEM327788:UEX327788 TUQ327788:TVB327788 TKU327788:TLF327788 TAY327788:TBJ327788 SRC327788:SRN327788 SHG327788:SHR327788 RXK327788:RXV327788 RNO327788:RNZ327788 RDS327788:RED327788 QTW327788:QUH327788 QKA327788:QKL327788 QAE327788:QAP327788 PQI327788:PQT327788 PGM327788:PGX327788 OWQ327788:OXB327788 OMU327788:ONF327788 OCY327788:ODJ327788 NTC327788:NTN327788 NJG327788:NJR327788 MZK327788:MZV327788 MPO327788:MPZ327788 MFS327788:MGD327788 LVW327788:LWH327788 LMA327788:LML327788 LCE327788:LCP327788 KSI327788:KST327788 KIM327788:KIX327788 JYQ327788:JZB327788 JOU327788:JPF327788 JEY327788:JFJ327788 IVC327788:IVN327788 ILG327788:ILR327788 IBK327788:IBV327788 HRO327788:HRZ327788 HHS327788:HID327788 GXW327788:GYH327788 GOA327788:GOL327788 GEE327788:GEP327788 FUI327788:FUT327788 FKM327788:FKX327788 FAQ327788:FBB327788 EQU327788:ERF327788 EGY327788:EHJ327788 DXC327788:DXN327788 DNG327788:DNR327788 DDK327788:DDV327788 CTO327788:CTZ327788 CJS327788:CKD327788 BZW327788:CAH327788 BQA327788:BQL327788 BGE327788:BGP327788 AWI327788:AWT327788 AMM327788:AMX327788 ACQ327788:ADB327788 SU327788:TF327788 IY327788:JJ327788 C327788:N327788 WVK262252:WVV262252 WLO262252:WLZ262252 WBS262252:WCD262252 VRW262252:VSH262252 VIA262252:VIL262252 UYE262252:UYP262252 UOI262252:UOT262252 UEM262252:UEX262252 TUQ262252:TVB262252 TKU262252:TLF262252 TAY262252:TBJ262252 SRC262252:SRN262252 SHG262252:SHR262252 RXK262252:RXV262252 RNO262252:RNZ262252 RDS262252:RED262252 QTW262252:QUH262252 QKA262252:QKL262252 QAE262252:QAP262252 PQI262252:PQT262252 PGM262252:PGX262252 OWQ262252:OXB262252 OMU262252:ONF262252 OCY262252:ODJ262252 NTC262252:NTN262252 NJG262252:NJR262252 MZK262252:MZV262252 MPO262252:MPZ262252 MFS262252:MGD262252 LVW262252:LWH262252 LMA262252:LML262252 LCE262252:LCP262252 KSI262252:KST262252 KIM262252:KIX262252 JYQ262252:JZB262252 JOU262252:JPF262252 JEY262252:JFJ262252 IVC262252:IVN262252 ILG262252:ILR262252 IBK262252:IBV262252 HRO262252:HRZ262252 HHS262252:HID262252 GXW262252:GYH262252 GOA262252:GOL262252 GEE262252:GEP262252 FUI262252:FUT262252 FKM262252:FKX262252 FAQ262252:FBB262252 EQU262252:ERF262252 EGY262252:EHJ262252 DXC262252:DXN262252 DNG262252:DNR262252 DDK262252:DDV262252 CTO262252:CTZ262252 CJS262252:CKD262252 BZW262252:CAH262252 BQA262252:BQL262252 BGE262252:BGP262252 AWI262252:AWT262252 AMM262252:AMX262252 ACQ262252:ADB262252 SU262252:TF262252 IY262252:JJ262252 C262252:N262252 WVK196716:WVV196716 WLO196716:WLZ196716 WBS196716:WCD196716 VRW196716:VSH196716 VIA196716:VIL196716 UYE196716:UYP196716 UOI196716:UOT196716 UEM196716:UEX196716 TUQ196716:TVB196716 TKU196716:TLF196716 TAY196716:TBJ196716 SRC196716:SRN196716 SHG196716:SHR196716 RXK196716:RXV196716 RNO196716:RNZ196716 RDS196716:RED196716 QTW196716:QUH196716 QKA196716:QKL196716 QAE196716:QAP196716 PQI196716:PQT196716 PGM196716:PGX196716 OWQ196716:OXB196716 OMU196716:ONF196716 OCY196716:ODJ196716 NTC196716:NTN196716 NJG196716:NJR196716 MZK196716:MZV196716 MPO196716:MPZ196716 MFS196716:MGD196716 LVW196716:LWH196716 LMA196716:LML196716 LCE196716:LCP196716 KSI196716:KST196716 KIM196716:KIX196716 JYQ196716:JZB196716 JOU196716:JPF196716 JEY196716:JFJ196716 IVC196716:IVN196716 ILG196716:ILR196716 IBK196716:IBV196716 HRO196716:HRZ196716 HHS196716:HID196716 GXW196716:GYH196716 GOA196716:GOL196716 GEE196716:GEP196716 FUI196716:FUT196716 FKM196716:FKX196716 FAQ196716:FBB196716 EQU196716:ERF196716 EGY196716:EHJ196716 DXC196716:DXN196716 DNG196716:DNR196716 DDK196716:DDV196716 CTO196716:CTZ196716 CJS196716:CKD196716 BZW196716:CAH196716 BQA196716:BQL196716 BGE196716:BGP196716 AWI196716:AWT196716 AMM196716:AMX196716 ACQ196716:ADB196716 SU196716:TF196716 IY196716:JJ196716 C196716:N196716 WVK131180:WVV131180 WLO131180:WLZ131180 WBS131180:WCD131180 VRW131180:VSH131180 VIA131180:VIL131180 UYE131180:UYP131180 UOI131180:UOT131180 UEM131180:UEX131180 TUQ131180:TVB131180 TKU131180:TLF131180 TAY131180:TBJ131180 SRC131180:SRN131180 SHG131180:SHR131180 RXK131180:RXV131180 RNO131180:RNZ131180 RDS131180:RED131180 QTW131180:QUH131180 QKA131180:QKL131180 QAE131180:QAP131180 PQI131180:PQT131180 PGM131180:PGX131180 OWQ131180:OXB131180 OMU131180:ONF131180 OCY131180:ODJ131180 NTC131180:NTN131180 NJG131180:NJR131180 MZK131180:MZV131180 MPO131180:MPZ131180 MFS131180:MGD131180 LVW131180:LWH131180 LMA131180:LML131180 LCE131180:LCP131180 KSI131180:KST131180 KIM131180:KIX131180 JYQ131180:JZB131180 JOU131180:JPF131180 JEY131180:JFJ131180 IVC131180:IVN131180 ILG131180:ILR131180 IBK131180:IBV131180 HRO131180:HRZ131180 HHS131180:HID131180 GXW131180:GYH131180 GOA131180:GOL131180 GEE131180:GEP131180 FUI131180:FUT131180 FKM131180:FKX131180 FAQ131180:FBB131180 EQU131180:ERF131180 EGY131180:EHJ131180 DXC131180:DXN131180 DNG131180:DNR131180 DDK131180:DDV131180 CTO131180:CTZ131180 CJS131180:CKD131180 BZW131180:CAH131180 BQA131180:BQL131180 BGE131180:BGP131180 AWI131180:AWT131180 AMM131180:AMX131180 ACQ131180:ADB131180 SU131180:TF131180 IY131180:JJ131180 C131180:N131180 WVK65644:WVV65644 WLO65644:WLZ65644 WBS65644:WCD65644 VRW65644:VSH65644 VIA65644:VIL65644 UYE65644:UYP65644 UOI65644:UOT65644 UEM65644:UEX65644 TUQ65644:TVB65644 TKU65644:TLF65644 TAY65644:TBJ65644 SRC65644:SRN65644 SHG65644:SHR65644 RXK65644:RXV65644 RNO65644:RNZ65644 RDS65644:RED65644 QTW65644:QUH65644 QKA65644:QKL65644 QAE65644:QAP65644 PQI65644:PQT65644 PGM65644:PGX65644 OWQ65644:OXB65644 OMU65644:ONF65644 OCY65644:ODJ65644 NTC65644:NTN65644 NJG65644:NJR65644 MZK65644:MZV65644 MPO65644:MPZ65644 MFS65644:MGD65644 LVW65644:LWH65644 LMA65644:LML65644 LCE65644:LCP65644 KSI65644:KST65644 KIM65644:KIX65644 JYQ65644:JZB65644 JOU65644:JPF65644 JEY65644:JFJ65644 IVC65644:IVN65644 ILG65644:ILR65644 IBK65644:IBV65644 HRO65644:HRZ65644 HHS65644:HID65644 GXW65644:GYH65644 GOA65644:GOL65644 GEE65644:GEP65644 FUI65644:FUT65644 FKM65644:FKX65644 FAQ65644:FBB65644 EQU65644:ERF65644 EGY65644:EHJ65644 DXC65644:DXN65644 DNG65644:DNR65644 DDK65644:DDV65644 CTO65644:CTZ65644 CJS65644:CKD65644 BZW65644:CAH65644 BQA65644:BQL65644 BGE65644:BGP65644 AWI65644:AWT65644 AMM65644:AMX65644 ACQ65644:ADB65644 SU65644:TF65644 IY65644:JJ65644 C65644:N65644 WVK190:WVV190 WLO190:WLZ190 WBS190:WCD190 VRW190:VSH190 VIA190:VIL190 UYE190:UYP190 UOI190:UOT190 UEM190:UEX190 TUQ190:TVB190 TKU190:TLF190 TAY190:TBJ190 SRC190:SRN190 SHG190:SHR190 RXK190:RXV190 RNO190:RNZ190 RDS190:RED190 QTW190:QUH190 QKA190:QKL190 QAE190:QAP190 PQI190:PQT190 PGM190:PGX190 OWQ190:OXB190 OMU190:ONF190 OCY190:ODJ190 NTC190:NTN190 NJG190:NJR190 MZK190:MZV190 MPO190:MPZ190 MFS190:MGD190 LVW190:LWH190 LMA190:LML190 LCE190:LCP190 KSI190:KST190 KIM190:KIX190 JYQ190:JZB190 JOU190:JPF190 JEY190:JFJ190 IVC190:IVN190 ILG190:ILR190 IBK190:IBV190 HRO190:HRZ190 HHS190:HID190 GXW190:GYH190 GOA190:GOL190 GEE190:GEP190 FUI190:FUT190 FKM190:FKX190 FAQ190:FBB190 EQU190:ERF190 EGY190:EHJ190 DXC190:DXN190 DNG190:DNR190 DDK190:DDV190 CTO190:CTZ190 CJS190:CKD190 BZW190:CAH190 BQA190:BQL190 BGE190:BGP190 AWI190:AWT190 AMM190:AMX190 ACQ190:ADB190 SU190:TF190 IY190:JJ190 AMM220:AMX220 WVK983133:WVV983133 WLO983133:WLZ983133 WBS983133:WCD983133 VRW983133:VSH983133 VIA983133:VIL983133 UYE983133:UYP983133 UOI983133:UOT983133 UEM983133:UEX983133 TUQ983133:TVB983133 TKU983133:TLF983133 TAY983133:TBJ983133 SRC983133:SRN983133 SHG983133:SHR983133 RXK983133:RXV983133 RNO983133:RNZ983133 RDS983133:RED983133 QTW983133:QUH983133 QKA983133:QKL983133 QAE983133:QAP983133 PQI983133:PQT983133 PGM983133:PGX983133 OWQ983133:OXB983133 OMU983133:ONF983133 OCY983133:ODJ983133 NTC983133:NTN983133 NJG983133:NJR983133 MZK983133:MZV983133 MPO983133:MPZ983133 MFS983133:MGD983133 LVW983133:LWH983133 LMA983133:LML983133 LCE983133:LCP983133 KSI983133:KST983133 KIM983133:KIX983133 JYQ983133:JZB983133 JOU983133:JPF983133 JEY983133:JFJ983133 IVC983133:IVN983133 ILG983133:ILR983133 IBK983133:IBV983133 HRO983133:HRZ983133 HHS983133:HID983133 GXW983133:GYH983133 GOA983133:GOL983133 GEE983133:GEP983133 FUI983133:FUT983133 FKM983133:FKX983133 FAQ983133:FBB983133 EQU983133:ERF983133 EGY983133:EHJ983133 DXC983133:DXN983133 DNG983133:DNR983133 DDK983133:DDV983133 CTO983133:CTZ983133 CJS983133:CKD983133 BZW983133:CAH983133 BQA983133:BQL983133 BGE983133:BGP983133 AWI983133:AWT983133 AMM983133:AMX983133 ACQ983133:ADB983133 SU983133:TF983133 IY983133:JJ983133 C983133:N983133 WVK917597:WVV917597 WLO917597:WLZ917597 WBS917597:WCD917597 VRW917597:VSH917597 VIA917597:VIL917597 UYE917597:UYP917597 UOI917597:UOT917597 UEM917597:UEX917597 TUQ917597:TVB917597 TKU917597:TLF917597 TAY917597:TBJ917597 SRC917597:SRN917597 SHG917597:SHR917597 RXK917597:RXV917597 RNO917597:RNZ917597 RDS917597:RED917597 QTW917597:QUH917597 QKA917597:QKL917597 QAE917597:QAP917597 PQI917597:PQT917597 PGM917597:PGX917597 OWQ917597:OXB917597 OMU917597:ONF917597 OCY917597:ODJ917597 NTC917597:NTN917597 NJG917597:NJR917597 MZK917597:MZV917597 MPO917597:MPZ917597 MFS917597:MGD917597 LVW917597:LWH917597 LMA917597:LML917597 LCE917597:LCP917597 KSI917597:KST917597 KIM917597:KIX917597 JYQ917597:JZB917597 JOU917597:JPF917597 JEY917597:JFJ917597 IVC917597:IVN917597 ILG917597:ILR917597 IBK917597:IBV917597 HRO917597:HRZ917597 HHS917597:HID917597 GXW917597:GYH917597 GOA917597:GOL917597 GEE917597:GEP917597 FUI917597:FUT917597 FKM917597:FKX917597 FAQ917597:FBB917597 EQU917597:ERF917597 EGY917597:EHJ917597 DXC917597:DXN917597 DNG917597:DNR917597 DDK917597:DDV917597 CTO917597:CTZ917597 CJS917597:CKD917597 BZW917597:CAH917597 BQA917597:BQL917597 BGE917597:BGP917597 AWI917597:AWT917597 AMM917597:AMX917597 ACQ917597:ADB917597 SU917597:TF917597 IY917597:JJ917597 C917597:N917597 WVK852061:WVV852061 WLO852061:WLZ852061 WBS852061:WCD852061 VRW852061:VSH852061 VIA852061:VIL852061 UYE852061:UYP852061 UOI852061:UOT852061 UEM852061:UEX852061 TUQ852061:TVB852061 TKU852061:TLF852061 TAY852061:TBJ852061 SRC852061:SRN852061 SHG852061:SHR852061 RXK852061:RXV852061 RNO852061:RNZ852061 RDS852061:RED852061 QTW852061:QUH852061 QKA852061:QKL852061 QAE852061:QAP852061 PQI852061:PQT852061 PGM852061:PGX852061 OWQ852061:OXB852061 OMU852061:ONF852061 OCY852061:ODJ852061 NTC852061:NTN852061 NJG852061:NJR852061 MZK852061:MZV852061 MPO852061:MPZ852061 MFS852061:MGD852061 LVW852061:LWH852061 LMA852061:LML852061 LCE852061:LCP852061 KSI852061:KST852061 KIM852061:KIX852061 JYQ852061:JZB852061 JOU852061:JPF852061 JEY852061:JFJ852061 IVC852061:IVN852061 ILG852061:ILR852061 IBK852061:IBV852061 HRO852061:HRZ852061 HHS852061:HID852061 GXW852061:GYH852061 GOA852061:GOL852061 GEE852061:GEP852061 FUI852061:FUT852061 FKM852061:FKX852061 FAQ852061:FBB852061 EQU852061:ERF852061 EGY852061:EHJ852061 DXC852061:DXN852061 DNG852061:DNR852061 DDK852061:DDV852061 CTO852061:CTZ852061 CJS852061:CKD852061 BZW852061:CAH852061 BQA852061:BQL852061 BGE852061:BGP852061 AWI852061:AWT852061 AMM852061:AMX852061 ACQ852061:ADB852061 SU852061:TF852061 IY852061:JJ852061 C852061:N852061 WVK786525:WVV786525 WLO786525:WLZ786525 WBS786525:WCD786525 VRW786525:VSH786525 VIA786525:VIL786525 UYE786525:UYP786525 UOI786525:UOT786525 UEM786525:UEX786525 TUQ786525:TVB786525 TKU786525:TLF786525 TAY786525:TBJ786525 SRC786525:SRN786525 SHG786525:SHR786525 RXK786525:RXV786525 RNO786525:RNZ786525 RDS786525:RED786525 QTW786525:QUH786525 QKA786525:QKL786525 QAE786525:QAP786525 PQI786525:PQT786525 PGM786525:PGX786525 OWQ786525:OXB786525 OMU786525:ONF786525 OCY786525:ODJ786525 NTC786525:NTN786525 NJG786525:NJR786525 MZK786525:MZV786525 MPO786525:MPZ786525 MFS786525:MGD786525 LVW786525:LWH786525 LMA786525:LML786525 LCE786525:LCP786525 KSI786525:KST786525 KIM786525:KIX786525 JYQ786525:JZB786525 JOU786525:JPF786525 JEY786525:JFJ786525 IVC786525:IVN786525 ILG786525:ILR786525 IBK786525:IBV786525 HRO786525:HRZ786525 HHS786525:HID786525 GXW786525:GYH786525 GOA786525:GOL786525 GEE786525:GEP786525 FUI786525:FUT786525 FKM786525:FKX786525 FAQ786525:FBB786525 EQU786525:ERF786525 EGY786525:EHJ786525 DXC786525:DXN786525 DNG786525:DNR786525 DDK786525:DDV786525 CTO786525:CTZ786525 CJS786525:CKD786525 BZW786525:CAH786525 BQA786525:BQL786525 BGE786525:BGP786525 AWI786525:AWT786525 AMM786525:AMX786525 ACQ786525:ADB786525 SU786525:TF786525 IY786525:JJ786525 C786525:N786525 WVK720989:WVV720989 WLO720989:WLZ720989 WBS720989:WCD720989 VRW720989:VSH720989 VIA720989:VIL720989 UYE720989:UYP720989 UOI720989:UOT720989 UEM720989:UEX720989 TUQ720989:TVB720989 TKU720989:TLF720989 TAY720989:TBJ720989 SRC720989:SRN720989 SHG720989:SHR720989 RXK720989:RXV720989 RNO720989:RNZ720989 RDS720989:RED720989 QTW720989:QUH720989 QKA720989:QKL720989 QAE720989:QAP720989 PQI720989:PQT720989 PGM720989:PGX720989 OWQ720989:OXB720989 OMU720989:ONF720989 OCY720989:ODJ720989 NTC720989:NTN720989 NJG720989:NJR720989 MZK720989:MZV720989 MPO720989:MPZ720989 MFS720989:MGD720989 LVW720989:LWH720989 LMA720989:LML720989 LCE720989:LCP720989 KSI720989:KST720989 KIM720989:KIX720989 JYQ720989:JZB720989 JOU720989:JPF720989 JEY720989:JFJ720989 IVC720989:IVN720989 ILG720989:ILR720989 IBK720989:IBV720989 HRO720989:HRZ720989 HHS720989:HID720989 GXW720989:GYH720989 GOA720989:GOL720989 GEE720989:GEP720989 FUI720989:FUT720989 FKM720989:FKX720989 FAQ720989:FBB720989 EQU720989:ERF720989 EGY720989:EHJ720989 DXC720989:DXN720989 DNG720989:DNR720989 DDK720989:DDV720989 CTO720989:CTZ720989 CJS720989:CKD720989 BZW720989:CAH720989 BQA720989:BQL720989 BGE720989:BGP720989 AWI720989:AWT720989 AMM720989:AMX720989 ACQ720989:ADB720989 SU720989:TF720989 IY720989:JJ720989 C720989:N720989 WVK655453:WVV655453 WLO655453:WLZ655453 WBS655453:WCD655453 VRW655453:VSH655453 VIA655453:VIL655453 UYE655453:UYP655453 UOI655453:UOT655453 UEM655453:UEX655453 TUQ655453:TVB655453 TKU655453:TLF655453 TAY655453:TBJ655453 SRC655453:SRN655453 SHG655453:SHR655453 RXK655453:RXV655453 RNO655453:RNZ655453 RDS655453:RED655453 QTW655453:QUH655453 QKA655453:QKL655453 QAE655453:QAP655453 PQI655453:PQT655453 PGM655453:PGX655453 OWQ655453:OXB655453 OMU655453:ONF655453 OCY655453:ODJ655453 NTC655453:NTN655453 NJG655453:NJR655453 MZK655453:MZV655453 MPO655453:MPZ655453 MFS655453:MGD655453 LVW655453:LWH655453 LMA655453:LML655453 LCE655453:LCP655453 KSI655453:KST655453 KIM655453:KIX655453 JYQ655453:JZB655453 JOU655453:JPF655453 JEY655453:JFJ655453 IVC655453:IVN655453 ILG655453:ILR655453 IBK655453:IBV655453 HRO655453:HRZ655453 HHS655453:HID655453 GXW655453:GYH655453 GOA655453:GOL655453 GEE655453:GEP655453 FUI655453:FUT655453 FKM655453:FKX655453 FAQ655453:FBB655453 EQU655453:ERF655453 EGY655453:EHJ655453 DXC655453:DXN655453 DNG655453:DNR655453 DDK655453:DDV655453 CTO655453:CTZ655453 CJS655453:CKD655453 BZW655453:CAH655453 BQA655453:BQL655453 BGE655453:BGP655453 AWI655453:AWT655453 AMM655453:AMX655453 ACQ655453:ADB655453 SU655453:TF655453 IY655453:JJ655453 C655453:N655453 WVK589917:WVV589917 WLO589917:WLZ589917 WBS589917:WCD589917 VRW589917:VSH589917 VIA589917:VIL589917 UYE589917:UYP589917 UOI589917:UOT589917 UEM589917:UEX589917 TUQ589917:TVB589917 TKU589917:TLF589917 TAY589917:TBJ589917 SRC589917:SRN589917 SHG589917:SHR589917 RXK589917:RXV589917 RNO589917:RNZ589917 RDS589917:RED589917 QTW589917:QUH589917 QKA589917:QKL589917 QAE589917:QAP589917 PQI589917:PQT589917 PGM589917:PGX589917 OWQ589917:OXB589917 OMU589917:ONF589917 OCY589917:ODJ589917 NTC589917:NTN589917 NJG589917:NJR589917 MZK589917:MZV589917 MPO589917:MPZ589917 MFS589917:MGD589917 LVW589917:LWH589917 LMA589917:LML589917 LCE589917:LCP589917 KSI589917:KST589917 KIM589917:KIX589917 JYQ589917:JZB589917 JOU589917:JPF589917 JEY589917:JFJ589917 IVC589917:IVN589917 ILG589917:ILR589917 IBK589917:IBV589917 HRO589917:HRZ589917 HHS589917:HID589917 GXW589917:GYH589917 GOA589917:GOL589917 GEE589917:GEP589917 FUI589917:FUT589917 FKM589917:FKX589917 FAQ589917:FBB589917 EQU589917:ERF589917 EGY589917:EHJ589917 DXC589917:DXN589917 DNG589917:DNR589917 DDK589917:DDV589917 CTO589917:CTZ589917 CJS589917:CKD589917 BZW589917:CAH589917 BQA589917:BQL589917 BGE589917:BGP589917 AWI589917:AWT589917 AMM589917:AMX589917 ACQ589917:ADB589917 SU589917:TF589917 IY589917:JJ589917 C589917:N589917 WVK524381:WVV524381 WLO524381:WLZ524381 WBS524381:WCD524381 VRW524381:VSH524381 VIA524381:VIL524381 UYE524381:UYP524381 UOI524381:UOT524381 UEM524381:UEX524381 TUQ524381:TVB524381 TKU524381:TLF524381 TAY524381:TBJ524381 SRC524381:SRN524381 SHG524381:SHR524381 RXK524381:RXV524381 RNO524381:RNZ524381 RDS524381:RED524381 QTW524381:QUH524381 QKA524381:QKL524381 QAE524381:QAP524381 PQI524381:PQT524381 PGM524381:PGX524381 OWQ524381:OXB524381 OMU524381:ONF524381 OCY524381:ODJ524381 NTC524381:NTN524381 NJG524381:NJR524381 MZK524381:MZV524381 MPO524381:MPZ524381 MFS524381:MGD524381 LVW524381:LWH524381 LMA524381:LML524381 LCE524381:LCP524381 KSI524381:KST524381 KIM524381:KIX524381 JYQ524381:JZB524381 JOU524381:JPF524381 JEY524381:JFJ524381 IVC524381:IVN524381 ILG524381:ILR524381 IBK524381:IBV524381 HRO524381:HRZ524381 HHS524381:HID524381 GXW524381:GYH524381 GOA524381:GOL524381 GEE524381:GEP524381 FUI524381:FUT524381 FKM524381:FKX524381 FAQ524381:FBB524381 EQU524381:ERF524381 EGY524381:EHJ524381 DXC524381:DXN524381 DNG524381:DNR524381 DDK524381:DDV524381 CTO524381:CTZ524381 CJS524381:CKD524381 BZW524381:CAH524381 BQA524381:BQL524381 BGE524381:BGP524381 AWI524381:AWT524381 AMM524381:AMX524381 ACQ524381:ADB524381 SU524381:TF524381 IY524381:JJ524381 C524381:N524381 WVK458845:WVV458845 WLO458845:WLZ458845 WBS458845:WCD458845 VRW458845:VSH458845 VIA458845:VIL458845 UYE458845:UYP458845 UOI458845:UOT458845 UEM458845:UEX458845 TUQ458845:TVB458845 TKU458845:TLF458845 TAY458845:TBJ458845 SRC458845:SRN458845 SHG458845:SHR458845 RXK458845:RXV458845 RNO458845:RNZ458845 RDS458845:RED458845 QTW458845:QUH458845 QKA458845:QKL458845 QAE458845:QAP458845 PQI458845:PQT458845 PGM458845:PGX458845 OWQ458845:OXB458845 OMU458845:ONF458845 OCY458845:ODJ458845 NTC458845:NTN458845 NJG458845:NJR458845 MZK458845:MZV458845 MPO458845:MPZ458845 MFS458845:MGD458845 LVW458845:LWH458845 LMA458845:LML458845 LCE458845:LCP458845 KSI458845:KST458845 KIM458845:KIX458845 JYQ458845:JZB458845 JOU458845:JPF458845 JEY458845:JFJ458845 IVC458845:IVN458845 ILG458845:ILR458845 IBK458845:IBV458845 HRO458845:HRZ458845 HHS458845:HID458845 GXW458845:GYH458845 GOA458845:GOL458845 GEE458845:GEP458845 FUI458845:FUT458845 FKM458845:FKX458845 FAQ458845:FBB458845 EQU458845:ERF458845 EGY458845:EHJ458845 DXC458845:DXN458845 DNG458845:DNR458845 DDK458845:DDV458845 CTO458845:CTZ458845 CJS458845:CKD458845 BZW458845:CAH458845 BQA458845:BQL458845 BGE458845:BGP458845 AWI458845:AWT458845 AMM458845:AMX458845 ACQ458845:ADB458845 SU458845:TF458845 IY458845:JJ458845 C458845:N458845 WVK393309:WVV393309 WLO393309:WLZ393309 WBS393309:WCD393309 VRW393309:VSH393309 VIA393309:VIL393309 UYE393309:UYP393309 UOI393309:UOT393309 UEM393309:UEX393309 TUQ393309:TVB393309 TKU393309:TLF393309 TAY393309:TBJ393309 SRC393309:SRN393309 SHG393309:SHR393309 RXK393309:RXV393309 RNO393309:RNZ393309 RDS393309:RED393309 QTW393309:QUH393309 QKA393309:QKL393309 QAE393309:QAP393309 PQI393309:PQT393309 PGM393309:PGX393309 OWQ393309:OXB393309 OMU393309:ONF393309 OCY393309:ODJ393309 NTC393309:NTN393309 NJG393309:NJR393309 MZK393309:MZV393309 MPO393309:MPZ393309 MFS393309:MGD393309 LVW393309:LWH393309 LMA393309:LML393309 LCE393309:LCP393309 KSI393309:KST393309 KIM393309:KIX393309 JYQ393309:JZB393309 JOU393309:JPF393309 JEY393309:JFJ393309 IVC393309:IVN393309 ILG393309:ILR393309 IBK393309:IBV393309 HRO393309:HRZ393309 HHS393309:HID393309 GXW393309:GYH393309 GOA393309:GOL393309 GEE393309:GEP393309 FUI393309:FUT393309 FKM393309:FKX393309 FAQ393309:FBB393309 EQU393309:ERF393309 EGY393309:EHJ393309 DXC393309:DXN393309 DNG393309:DNR393309 DDK393309:DDV393309 CTO393309:CTZ393309 CJS393309:CKD393309 BZW393309:CAH393309 BQA393309:BQL393309 BGE393309:BGP393309 AWI393309:AWT393309 AMM393309:AMX393309 ACQ393309:ADB393309 SU393309:TF393309 IY393309:JJ393309 C393309:N393309 WVK327773:WVV327773 WLO327773:WLZ327773 WBS327773:WCD327773 VRW327773:VSH327773 VIA327773:VIL327773 UYE327773:UYP327773 UOI327773:UOT327773 UEM327773:UEX327773 TUQ327773:TVB327773 TKU327773:TLF327773 TAY327773:TBJ327773 SRC327773:SRN327773 SHG327773:SHR327773 RXK327773:RXV327773 RNO327773:RNZ327773 RDS327773:RED327773 QTW327773:QUH327773 QKA327773:QKL327773 QAE327773:QAP327773 PQI327773:PQT327773 PGM327773:PGX327773 OWQ327773:OXB327773 OMU327773:ONF327773 OCY327773:ODJ327773 NTC327773:NTN327773 NJG327773:NJR327773 MZK327773:MZV327773 MPO327773:MPZ327773 MFS327773:MGD327773 LVW327773:LWH327773 LMA327773:LML327773 LCE327773:LCP327773 KSI327773:KST327773 KIM327773:KIX327773 JYQ327773:JZB327773 JOU327773:JPF327773 JEY327773:JFJ327773 IVC327773:IVN327773 ILG327773:ILR327773 IBK327773:IBV327773 HRO327773:HRZ327773 HHS327773:HID327773 GXW327773:GYH327773 GOA327773:GOL327773 GEE327773:GEP327773 FUI327773:FUT327773 FKM327773:FKX327773 FAQ327773:FBB327773 EQU327773:ERF327773 EGY327773:EHJ327773 DXC327773:DXN327773 DNG327773:DNR327773 DDK327773:DDV327773 CTO327773:CTZ327773 CJS327773:CKD327773 BZW327773:CAH327773 BQA327773:BQL327773 BGE327773:BGP327773 AWI327773:AWT327773 AMM327773:AMX327773 ACQ327773:ADB327773 SU327773:TF327773 IY327773:JJ327773 C327773:N327773 WVK262237:WVV262237 WLO262237:WLZ262237 WBS262237:WCD262237 VRW262237:VSH262237 VIA262237:VIL262237 UYE262237:UYP262237 UOI262237:UOT262237 UEM262237:UEX262237 TUQ262237:TVB262237 TKU262237:TLF262237 TAY262237:TBJ262237 SRC262237:SRN262237 SHG262237:SHR262237 RXK262237:RXV262237 RNO262237:RNZ262237 RDS262237:RED262237 QTW262237:QUH262237 QKA262237:QKL262237 QAE262237:QAP262237 PQI262237:PQT262237 PGM262237:PGX262237 OWQ262237:OXB262237 OMU262237:ONF262237 OCY262237:ODJ262237 NTC262237:NTN262237 NJG262237:NJR262237 MZK262237:MZV262237 MPO262237:MPZ262237 MFS262237:MGD262237 LVW262237:LWH262237 LMA262237:LML262237 LCE262237:LCP262237 KSI262237:KST262237 KIM262237:KIX262237 JYQ262237:JZB262237 JOU262237:JPF262237 JEY262237:JFJ262237 IVC262237:IVN262237 ILG262237:ILR262237 IBK262237:IBV262237 HRO262237:HRZ262237 HHS262237:HID262237 GXW262237:GYH262237 GOA262237:GOL262237 GEE262237:GEP262237 FUI262237:FUT262237 FKM262237:FKX262237 FAQ262237:FBB262237 EQU262237:ERF262237 EGY262237:EHJ262237 DXC262237:DXN262237 DNG262237:DNR262237 DDK262237:DDV262237 CTO262237:CTZ262237 CJS262237:CKD262237 BZW262237:CAH262237 BQA262237:BQL262237 BGE262237:BGP262237 AWI262237:AWT262237 AMM262237:AMX262237 ACQ262237:ADB262237 SU262237:TF262237 IY262237:JJ262237 C262237:N262237 WVK196701:WVV196701 WLO196701:WLZ196701 WBS196701:WCD196701 VRW196701:VSH196701 VIA196701:VIL196701 UYE196701:UYP196701 UOI196701:UOT196701 UEM196701:UEX196701 TUQ196701:TVB196701 TKU196701:TLF196701 TAY196701:TBJ196701 SRC196701:SRN196701 SHG196701:SHR196701 RXK196701:RXV196701 RNO196701:RNZ196701 RDS196701:RED196701 QTW196701:QUH196701 QKA196701:QKL196701 QAE196701:QAP196701 PQI196701:PQT196701 PGM196701:PGX196701 OWQ196701:OXB196701 OMU196701:ONF196701 OCY196701:ODJ196701 NTC196701:NTN196701 NJG196701:NJR196701 MZK196701:MZV196701 MPO196701:MPZ196701 MFS196701:MGD196701 LVW196701:LWH196701 LMA196701:LML196701 LCE196701:LCP196701 KSI196701:KST196701 KIM196701:KIX196701 JYQ196701:JZB196701 JOU196701:JPF196701 JEY196701:JFJ196701 IVC196701:IVN196701 ILG196701:ILR196701 IBK196701:IBV196701 HRO196701:HRZ196701 HHS196701:HID196701 GXW196701:GYH196701 GOA196701:GOL196701 GEE196701:GEP196701 FUI196701:FUT196701 FKM196701:FKX196701 FAQ196701:FBB196701 EQU196701:ERF196701 EGY196701:EHJ196701 DXC196701:DXN196701 DNG196701:DNR196701 DDK196701:DDV196701 CTO196701:CTZ196701 CJS196701:CKD196701 BZW196701:CAH196701 BQA196701:BQL196701 BGE196701:BGP196701 AWI196701:AWT196701 AMM196701:AMX196701 ACQ196701:ADB196701 SU196701:TF196701 IY196701:JJ196701 C196701:N196701 WVK131165:WVV131165 WLO131165:WLZ131165 WBS131165:WCD131165 VRW131165:VSH131165 VIA131165:VIL131165 UYE131165:UYP131165 UOI131165:UOT131165 UEM131165:UEX131165 TUQ131165:TVB131165 TKU131165:TLF131165 TAY131165:TBJ131165 SRC131165:SRN131165 SHG131165:SHR131165 RXK131165:RXV131165 RNO131165:RNZ131165 RDS131165:RED131165 QTW131165:QUH131165 QKA131165:QKL131165 QAE131165:QAP131165 PQI131165:PQT131165 PGM131165:PGX131165 OWQ131165:OXB131165 OMU131165:ONF131165 OCY131165:ODJ131165 NTC131165:NTN131165 NJG131165:NJR131165 MZK131165:MZV131165 MPO131165:MPZ131165 MFS131165:MGD131165 LVW131165:LWH131165 LMA131165:LML131165 LCE131165:LCP131165 KSI131165:KST131165 KIM131165:KIX131165 JYQ131165:JZB131165 JOU131165:JPF131165 JEY131165:JFJ131165 IVC131165:IVN131165 ILG131165:ILR131165 IBK131165:IBV131165 HRO131165:HRZ131165 HHS131165:HID131165 GXW131165:GYH131165 GOA131165:GOL131165 GEE131165:GEP131165 FUI131165:FUT131165 FKM131165:FKX131165 FAQ131165:FBB131165 EQU131165:ERF131165 EGY131165:EHJ131165 DXC131165:DXN131165 DNG131165:DNR131165 DDK131165:DDV131165 CTO131165:CTZ131165 CJS131165:CKD131165 BZW131165:CAH131165 BQA131165:BQL131165 BGE131165:BGP131165 AWI131165:AWT131165 AMM131165:AMX131165 ACQ131165:ADB131165 SU131165:TF131165 IY131165:JJ131165 C131165:N131165 WVK65629:WVV65629 WLO65629:WLZ65629 WBS65629:WCD65629 VRW65629:VSH65629 VIA65629:VIL65629 UYE65629:UYP65629 UOI65629:UOT65629 UEM65629:UEX65629 TUQ65629:TVB65629 TKU65629:TLF65629 TAY65629:TBJ65629 SRC65629:SRN65629 SHG65629:SHR65629 RXK65629:RXV65629 RNO65629:RNZ65629 RDS65629:RED65629 QTW65629:QUH65629 QKA65629:QKL65629 QAE65629:QAP65629 PQI65629:PQT65629 PGM65629:PGX65629 OWQ65629:OXB65629 OMU65629:ONF65629 OCY65629:ODJ65629 NTC65629:NTN65629 NJG65629:NJR65629 MZK65629:MZV65629 MPO65629:MPZ65629 MFS65629:MGD65629 LVW65629:LWH65629 LMA65629:LML65629 LCE65629:LCP65629 KSI65629:KST65629 KIM65629:KIX65629 JYQ65629:JZB65629 JOU65629:JPF65629 JEY65629:JFJ65629 IVC65629:IVN65629 ILG65629:ILR65629 IBK65629:IBV65629 HRO65629:HRZ65629 HHS65629:HID65629 GXW65629:GYH65629 GOA65629:GOL65629 GEE65629:GEP65629 FUI65629:FUT65629 FKM65629:FKX65629 FAQ65629:FBB65629 EQU65629:ERF65629 EGY65629:EHJ65629 DXC65629:DXN65629 DNG65629:DNR65629 DDK65629:DDV65629 CTO65629:CTZ65629 CJS65629:CKD65629 BZW65629:CAH65629 BQA65629:BQL65629 BGE65629:BGP65629 AWI65629:AWT65629 AMM65629:AMX65629 ACQ65629:ADB65629 SU65629:TF65629 IY65629:JJ65629 C65629:N65629 WVK175:WVV175 WLO175:WLZ175 WBS175:WCD175 VRW175:VSH175 VIA175:VIL175 UYE175:UYP175 UOI175:UOT175 UEM175:UEX175 TUQ175:TVB175 TKU175:TLF175 TAY175:TBJ175 SRC175:SRN175 SHG175:SHR175 RXK175:RXV175 RNO175:RNZ175 RDS175:RED175 QTW175:QUH175 QKA175:QKL175 QAE175:QAP175 PQI175:PQT175 PGM175:PGX175 OWQ175:OXB175 OMU175:ONF175 OCY175:ODJ175 NTC175:NTN175 NJG175:NJR175 MZK175:MZV175 MPO175:MPZ175 MFS175:MGD175 LVW175:LWH175 LMA175:LML175 LCE175:LCP175 KSI175:KST175 KIM175:KIX175 JYQ175:JZB175 JOU175:JPF175 JEY175:JFJ175 IVC175:IVN175 ILG175:ILR175 IBK175:IBV175 HRO175:HRZ175 HHS175:HID175 GXW175:GYH175 GOA175:GOL175 GEE175:GEP175 FUI175:FUT175 FKM175:FKX175 FAQ175:FBB175 EQU175:ERF175 EGY175:EHJ175 DXC175:DXN175 DNG175:DNR175 DDK175:DDV175 CTO175:CTZ175 CJS175:CKD175 BZW175:CAH175 BQA175:BQL175 BGE175:BGP175 AWI175:AWT175 AMM175:AMX175 ACQ175:ADB175 SU175:TF175 IY175:JJ175 ACQ220:ADB220 WVK983118:WVV983118 WLO983118:WLZ983118 WBS983118:WCD983118 VRW983118:VSH983118 VIA983118:VIL983118 UYE983118:UYP983118 UOI983118:UOT983118 UEM983118:UEX983118 TUQ983118:TVB983118 TKU983118:TLF983118 TAY983118:TBJ983118 SRC983118:SRN983118 SHG983118:SHR983118 RXK983118:RXV983118 RNO983118:RNZ983118 RDS983118:RED983118 QTW983118:QUH983118 QKA983118:QKL983118 QAE983118:QAP983118 PQI983118:PQT983118 PGM983118:PGX983118 OWQ983118:OXB983118 OMU983118:ONF983118 OCY983118:ODJ983118 NTC983118:NTN983118 NJG983118:NJR983118 MZK983118:MZV983118 MPO983118:MPZ983118 MFS983118:MGD983118 LVW983118:LWH983118 LMA983118:LML983118 LCE983118:LCP983118 KSI983118:KST983118 KIM983118:KIX983118 JYQ983118:JZB983118 JOU983118:JPF983118 JEY983118:JFJ983118 IVC983118:IVN983118 ILG983118:ILR983118 IBK983118:IBV983118 HRO983118:HRZ983118 HHS983118:HID983118 GXW983118:GYH983118 GOA983118:GOL983118 GEE983118:GEP983118 FUI983118:FUT983118 FKM983118:FKX983118 FAQ983118:FBB983118 EQU983118:ERF983118 EGY983118:EHJ983118 DXC983118:DXN983118 DNG983118:DNR983118 DDK983118:DDV983118 CTO983118:CTZ983118 CJS983118:CKD983118 BZW983118:CAH983118 BQA983118:BQL983118 BGE983118:BGP983118 AWI983118:AWT983118 AMM983118:AMX983118 ACQ983118:ADB983118 SU983118:TF983118 IY983118:JJ983118 C983118:N983118 WVK917582:WVV917582 WLO917582:WLZ917582 WBS917582:WCD917582 VRW917582:VSH917582 VIA917582:VIL917582 UYE917582:UYP917582 UOI917582:UOT917582 UEM917582:UEX917582 TUQ917582:TVB917582 TKU917582:TLF917582 TAY917582:TBJ917582 SRC917582:SRN917582 SHG917582:SHR917582 RXK917582:RXV917582 RNO917582:RNZ917582 RDS917582:RED917582 QTW917582:QUH917582 QKA917582:QKL917582 QAE917582:QAP917582 PQI917582:PQT917582 PGM917582:PGX917582 OWQ917582:OXB917582 OMU917582:ONF917582 OCY917582:ODJ917582 NTC917582:NTN917582 NJG917582:NJR917582 MZK917582:MZV917582 MPO917582:MPZ917582 MFS917582:MGD917582 LVW917582:LWH917582 LMA917582:LML917582 LCE917582:LCP917582 KSI917582:KST917582 KIM917582:KIX917582 JYQ917582:JZB917582 JOU917582:JPF917582 JEY917582:JFJ917582 IVC917582:IVN917582 ILG917582:ILR917582 IBK917582:IBV917582 HRO917582:HRZ917582 HHS917582:HID917582 GXW917582:GYH917582 GOA917582:GOL917582 GEE917582:GEP917582 FUI917582:FUT917582 FKM917582:FKX917582 FAQ917582:FBB917582 EQU917582:ERF917582 EGY917582:EHJ917582 DXC917582:DXN917582 DNG917582:DNR917582 DDK917582:DDV917582 CTO917582:CTZ917582 CJS917582:CKD917582 BZW917582:CAH917582 BQA917582:BQL917582 BGE917582:BGP917582 AWI917582:AWT917582 AMM917582:AMX917582 ACQ917582:ADB917582 SU917582:TF917582 IY917582:JJ917582 C917582:N917582 WVK852046:WVV852046 WLO852046:WLZ852046 WBS852046:WCD852046 VRW852046:VSH852046 VIA852046:VIL852046 UYE852046:UYP852046 UOI852046:UOT852046 UEM852046:UEX852046 TUQ852046:TVB852046 TKU852046:TLF852046 TAY852046:TBJ852046 SRC852046:SRN852046 SHG852046:SHR852046 RXK852046:RXV852046 RNO852046:RNZ852046 RDS852046:RED852046 QTW852046:QUH852046 QKA852046:QKL852046 QAE852046:QAP852046 PQI852046:PQT852046 PGM852046:PGX852046 OWQ852046:OXB852046 OMU852046:ONF852046 OCY852046:ODJ852046 NTC852046:NTN852046 NJG852046:NJR852046 MZK852046:MZV852046 MPO852046:MPZ852046 MFS852046:MGD852046 LVW852046:LWH852046 LMA852046:LML852046 LCE852046:LCP852046 KSI852046:KST852046 KIM852046:KIX852046 JYQ852046:JZB852046 JOU852046:JPF852046 JEY852046:JFJ852046 IVC852046:IVN852046 ILG852046:ILR852046 IBK852046:IBV852046 HRO852046:HRZ852046 HHS852046:HID852046 GXW852046:GYH852046 GOA852046:GOL852046 GEE852046:GEP852046 FUI852046:FUT852046 FKM852046:FKX852046 FAQ852046:FBB852046 EQU852046:ERF852046 EGY852046:EHJ852046 DXC852046:DXN852046 DNG852046:DNR852046 DDK852046:DDV852046 CTO852046:CTZ852046 CJS852046:CKD852046 BZW852046:CAH852046 BQA852046:BQL852046 BGE852046:BGP852046 AWI852046:AWT852046 AMM852046:AMX852046 ACQ852046:ADB852046 SU852046:TF852046 IY852046:JJ852046 C852046:N852046 WVK786510:WVV786510 WLO786510:WLZ786510 WBS786510:WCD786510 VRW786510:VSH786510 VIA786510:VIL786510 UYE786510:UYP786510 UOI786510:UOT786510 UEM786510:UEX786510 TUQ786510:TVB786510 TKU786510:TLF786510 TAY786510:TBJ786510 SRC786510:SRN786510 SHG786510:SHR786510 RXK786510:RXV786510 RNO786510:RNZ786510 RDS786510:RED786510 QTW786510:QUH786510 QKA786510:QKL786510 QAE786510:QAP786510 PQI786510:PQT786510 PGM786510:PGX786510 OWQ786510:OXB786510 OMU786510:ONF786510 OCY786510:ODJ786510 NTC786510:NTN786510 NJG786510:NJR786510 MZK786510:MZV786510 MPO786510:MPZ786510 MFS786510:MGD786510 LVW786510:LWH786510 LMA786510:LML786510 LCE786510:LCP786510 KSI786510:KST786510 KIM786510:KIX786510 JYQ786510:JZB786510 JOU786510:JPF786510 JEY786510:JFJ786510 IVC786510:IVN786510 ILG786510:ILR786510 IBK786510:IBV786510 HRO786510:HRZ786510 HHS786510:HID786510 GXW786510:GYH786510 GOA786510:GOL786510 GEE786510:GEP786510 FUI786510:FUT786510 FKM786510:FKX786510 FAQ786510:FBB786510 EQU786510:ERF786510 EGY786510:EHJ786510 DXC786510:DXN786510 DNG786510:DNR786510 DDK786510:DDV786510 CTO786510:CTZ786510 CJS786510:CKD786510 BZW786510:CAH786510 BQA786510:BQL786510 BGE786510:BGP786510 AWI786510:AWT786510 AMM786510:AMX786510 ACQ786510:ADB786510 SU786510:TF786510 IY786510:JJ786510 C786510:N786510 WVK720974:WVV720974 WLO720974:WLZ720974 WBS720974:WCD720974 VRW720974:VSH720974 VIA720974:VIL720974 UYE720974:UYP720974 UOI720974:UOT720974 UEM720974:UEX720974 TUQ720974:TVB720974 TKU720974:TLF720974 TAY720974:TBJ720974 SRC720974:SRN720974 SHG720974:SHR720974 RXK720974:RXV720974 RNO720974:RNZ720974 RDS720974:RED720974 QTW720974:QUH720974 QKA720974:QKL720974 QAE720974:QAP720974 PQI720974:PQT720974 PGM720974:PGX720974 OWQ720974:OXB720974 OMU720974:ONF720974 OCY720974:ODJ720974 NTC720974:NTN720974 NJG720974:NJR720974 MZK720974:MZV720974 MPO720974:MPZ720974 MFS720974:MGD720974 LVW720974:LWH720974 LMA720974:LML720974 LCE720974:LCP720974 KSI720974:KST720974 KIM720974:KIX720974 JYQ720974:JZB720974 JOU720974:JPF720974 JEY720974:JFJ720974 IVC720974:IVN720974 ILG720974:ILR720974 IBK720974:IBV720974 HRO720974:HRZ720974 HHS720974:HID720974 GXW720974:GYH720974 GOA720974:GOL720974 GEE720974:GEP720974 FUI720974:FUT720974 FKM720974:FKX720974 FAQ720974:FBB720974 EQU720974:ERF720974 EGY720974:EHJ720974 DXC720974:DXN720974 DNG720974:DNR720974 DDK720974:DDV720974 CTO720974:CTZ720974 CJS720974:CKD720974 BZW720974:CAH720974 BQA720974:BQL720974 BGE720974:BGP720974 AWI720974:AWT720974 AMM720974:AMX720974 ACQ720974:ADB720974 SU720974:TF720974 IY720974:JJ720974 C720974:N720974 WVK655438:WVV655438 WLO655438:WLZ655438 WBS655438:WCD655438 VRW655438:VSH655438 VIA655438:VIL655438 UYE655438:UYP655438 UOI655438:UOT655438 UEM655438:UEX655438 TUQ655438:TVB655438 TKU655438:TLF655438 TAY655438:TBJ655438 SRC655438:SRN655438 SHG655438:SHR655438 RXK655438:RXV655438 RNO655438:RNZ655438 RDS655438:RED655438 QTW655438:QUH655438 QKA655438:QKL655438 QAE655438:QAP655438 PQI655438:PQT655438 PGM655438:PGX655438 OWQ655438:OXB655438 OMU655438:ONF655438 OCY655438:ODJ655438 NTC655438:NTN655438 NJG655438:NJR655438 MZK655438:MZV655438 MPO655438:MPZ655438 MFS655438:MGD655438 LVW655438:LWH655438 LMA655438:LML655438 LCE655438:LCP655438 KSI655438:KST655438 KIM655438:KIX655438 JYQ655438:JZB655438 JOU655438:JPF655438 JEY655438:JFJ655438 IVC655438:IVN655438 ILG655438:ILR655438 IBK655438:IBV655438 HRO655438:HRZ655438 HHS655438:HID655438 GXW655438:GYH655438 GOA655438:GOL655438 GEE655438:GEP655438 FUI655438:FUT655438 FKM655438:FKX655438 FAQ655438:FBB655438 EQU655438:ERF655438 EGY655438:EHJ655438 DXC655438:DXN655438 DNG655438:DNR655438 DDK655438:DDV655438 CTO655438:CTZ655438 CJS655438:CKD655438 BZW655438:CAH655438 BQA655438:BQL655438 BGE655438:BGP655438 AWI655438:AWT655438 AMM655438:AMX655438 ACQ655438:ADB655438 SU655438:TF655438 IY655438:JJ655438 C655438:N655438 WVK589902:WVV589902 WLO589902:WLZ589902 WBS589902:WCD589902 VRW589902:VSH589902 VIA589902:VIL589902 UYE589902:UYP589902 UOI589902:UOT589902 UEM589902:UEX589902 TUQ589902:TVB589902 TKU589902:TLF589902 TAY589902:TBJ589902 SRC589902:SRN589902 SHG589902:SHR589902 RXK589902:RXV589902 RNO589902:RNZ589902 RDS589902:RED589902 QTW589902:QUH589902 QKA589902:QKL589902 QAE589902:QAP589902 PQI589902:PQT589902 PGM589902:PGX589902 OWQ589902:OXB589902 OMU589902:ONF589902 OCY589902:ODJ589902 NTC589902:NTN589902 NJG589902:NJR589902 MZK589902:MZV589902 MPO589902:MPZ589902 MFS589902:MGD589902 LVW589902:LWH589902 LMA589902:LML589902 LCE589902:LCP589902 KSI589902:KST589902 KIM589902:KIX589902 JYQ589902:JZB589902 JOU589902:JPF589902 JEY589902:JFJ589902 IVC589902:IVN589902 ILG589902:ILR589902 IBK589902:IBV589902 HRO589902:HRZ589902 HHS589902:HID589902 GXW589902:GYH589902 GOA589902:GOL589902 GEE589902:GEP589902 FUI589902:FUT589902 FKM589902:FKX589902 FAQ589902:FBB589902 EQU589902:ERF589902 EGY589902:EHJ589902 DXC589902:DXN589902 DNG589902:DNR589902 DDK589902:DDV589902 CTO589902:CTZ589902 CJS589902:CKD589902 BZW589902:CAH589902 BQA589902:BQL589902 BGE589902:BGP589902 AWI589902:AWT589902 AMM589902:AMX589902 ACQ589902:ADB589902 SU589902:TF589902 IY589902:JJ589902 C589902:N589902 WVK524366:WVV524366 WLO524366:WLZ524366 WBS524366:WCD524366 VRW524366:VSH524366 VIA524366:VIL524366 UYE524366:UYP524366 UOI524366:UOT524366 UEM524366:UEX524366 TUQ524366:TVB524366 TKU524366:TLF524366 TAY524366:TBJ524366 SRC524366:SRN524366 SHG524366:SHR524366 RXK524366:RXV524366 RNO524366:RNZ524366 RDS524366:RED524366 QTW524366:QUH524366 QKA524366:QKL524366 QAE524366:QAP524366 PQI524366:PQT524366 PGM524366:PGX524366 OWQ524366:OXB524366 OMU524366:ONF524366 OCY524366:ODJ524366 NTC524366:NTN524366 NJG524366:NJR524366 MZK524366:MZV524366 MPO524366:MPZ524366 MFS524366:MGD524366 LVW524366:LWH524366 LMA524366:LML524366 LCE524366:LCP524366 KSI524366:KST524366 KIM524366:KIX524366 JYQ524366:JZB524366 JOU524366:JPF524366 JEY524366:JFJ524366 IVC524366:IVN524366 ILG524366:ILR524366 IBK524366:IBV524366 HRO524366:HRZ524366 HHS524366:HID524366 GXW524366:GYH524366 GOA524366:GOL524366 GEE524366:GEP524366 FUI524366:FUT524366 FKM524366:FKX524366 FAQ524366:FBB524366 EQU524366:ERF524366 EGY524366:EHJ524366 DXC524366:DXN524366 DNG524366:DNR524366 DDK524366:DDV524366 CTO524366:CTZ524366 CJS524366:CKD524366 BZW524366:CAH524366 BQA524366:BQL524366 BGE524366:BGP524366 AWI524366:AWT524366 AMM524366:AMX524366 ACQ524366:ADB524366 SU524366:TF524366 IY524366:JJ524366 C524366:N524366 WVK458830:WVV458830 WLO458830:WLZ458830 WBS458830:WCD458830 VRW458830:VSH458830 VIA458830:VIL458830 UYE458830:UYP458830 UOI458830:UOT458830 UEM458830:UEX458830 TUQ458830:TVB458830 TKU458830:TLF458830 TAY458830:TBJ458830 SRC458830:SRN458830 SHG458830:SHR458830 RXK458830:RXV458830 RNO458830:RNZ458830 RDS458830:RED458830 QTW458830:QUH458830 QKA458830:QKL458830 QAE458830:QAP458830 PQI458830:PQT458830 PGM458830:PGX458830 OWQ458830:OXB458830 OMU458830:ONF458830 OCY458830:ODJ458830 NTC458830:NTN458830 NJG458830:NJR458830 MZK458830:MZV458830 MPO458830:MPZ458830 MFS458830:MGD458830 LVW458830:LWH458830 LMA458830:LML458830 LCE458830:LCP458830 KSI458830:KST458830 KIM458830:KIX458830 JYQ458830:JZB458830 JOU458830:JPF458830 JEY458830:JFJ458830 IVC458830:IVN458830 ILG458830:ILR458830 IBK458830:IBV458830 HRO458830:HRZ458830 HHS458830:HID458830 GXW458830:GYH458830 GOA458830:GOL458830 GEE458830:GEP458830 FUI458830:FUT458830 FKM458830:FKX458830 FAQ458830:FBB458830 EQU458830:ERF458830 EGY458830:EHJ458830 DXC458830:DXN458830 DNG458830:DNR458830 DDK458830:DDV458830 CTO458830:CTZ458830 CJS458830:CKD458830 BZW458830:CAH458830 BQA458830:BQL458830 BGE458830:BGP458830 AWI458830:AWT458830 AMM458830:AMX458830 ACQ458830:ADB458830 SU458830:TF458830 IY458830:JJ458830 C458830:N458830 WVK393294:WVV393294 WLO393294:WLZ393294 WBS393294:WCD393294 VRW393294:VSH393294 VIA393294:VIL393294 UYE393294:UYP393294 UOI393294:UOT393294 UEM393294:UEX393294 TUQ393294:TVB393294 TKU393294:TLF393294 TAY393294:TBJ393294 SRC393294:SRN393294 SHG393294:SHR393294 RXK393294:RXV393294 RNO393294:RNZ393294 RDS393294:RED393294 QTW393294:QUH393294 QKA393294:QKL393294 QAE393294:QAP393294 PQI393294:PQT393294 PGM393294:PGX393294 OWQ393294:OXB393294 OMU393294:ONF393294 OCY393294:ODJ393294 NTC393294:NTN393294 NJG393294:NJR393294 MZK393294:MZV393294 MPO393294:MPZ393294 MFS393294:MGD393294 LVW393294:LWH393294 LMA393294:LML393294 LCE393294:LCP393294 KSI393294:KST393294 KIM393294:KIX393294 JYQ393294:JZB393294 JOU393294:JPF393294 JEY393294:JFJ393294 IVC393294:IVN393294 ILG393294:ILR393294 IBK393294:IBV393294 HRO393294:HRZ393294 HHS393294:HID393294 GXW393294:GYH393294 GOA393294:GOL393294 GEE393294:GEP393294 FUI393294:FUT393294 FKM393294:FKX393294 FAQ393294:FBB393294 EQU393294:ERF393294 EGY393294:EHJ393294 DXC393294:DXN393294 DNG393294:DNR393294 DDK393294:DDV393294 CTO393294:CTZ393294 CJS393294:CKD393294 BZW393294:CAH393294 BQA393294:BQL393294 BGE393294:BGP393294 AWI393294:AWT393294 AMM393294:AMX393294 ACQ393294:ADB393294 SU393294:TF393294 IY393294:JJ393294 C393294:N393294 WVK327758:WVV327758 WLO327758:WLZ327758 WBS327758:WCD327758 VRW327758:VSH327758 VIA327758:VIL327758 UYE327758:UYP327758 UOI327758:UOT327758 UEM327758:UEX327758 TUQ327758:TVB327758 TKU327758:TLF327758 TAY327758:TBJ327758 SRC327758:SRN327758 SHG327758:SHR327758 RXK327758:RXV327758 RNO327758:RNZ327758 RDS327758:RED327758 QTW327758:QUH327758 QKA327758:QKL327758 QAE327758:QAP327758 PQI327758:PQT327758 PGM327758:PGX327758 OWQ327758:OXB327758 OMU327758:ONF327758 OCY327758:ODJ327758 NTC327758:NTN327758 NJG327758:NJR327758 MZK327758:MZV327758 MPO327758:MPZ327758 MFS327758:MGD327758 LVW327758:LWH327758 LMA327758:LML327758 LCE327758:LCP327758 KSI327758:KST327758 KIM327758:KIX327758 JYQ327758:JZB327758 JOU327758:JPF327758 JEY327758:JFJ327758 IVC327758:IVN327758 ILG327758:ILR327758 IBK327758:IBV327758 HRO327758:HRZ327758 HHS327758:HID327758 GXW327758:GYH327758 GOA327758:GOL327758 GEE327758:GEP327758 FUI327758:FUT327758 FKM327758:FKX327758 FAQ327758:FBB327758 EQU327758:ERF327758 EGY327758:EHJ327758 DXC327758:DXN327758 DNG327758:DNR327758 DDK327758:DDV327758 CTO327758:CTZ327758 CJS327758:CKD327758 BZW327758:CAH327758 BQA327758:BQL327758 BGE327758:BGP327758 AWI327758:AWT327758 AMM327758:AMX327758 ACQ327758:ADB327758 SU327758:TF327758 IY327758:JJ327758 C327758:N327758 WVK262222:WVV262222 WLO262222:WLZ262222 WBS262222:WCD262222 VRW262222:VSH262222 VIA262222:VIL262222 UYE262222:UYP262222 UOI262222:UOT262222 UEM262222:UEX262222 TUQ262222:TVB262222 TKU262222:TLF262222 TAY262222:TBJ262222 SRC262222:SRN262222 SHG262222:SHR262222 RXK262222:RXV262222 RNO262222:RNZ262222 RDS262222:RED262222 QTW262222:QUH262222 QKA262222:QKL262222 QAE262222:QAP262222 PQI262222:PQT262222 PGM262222:PGX262222 OWQ262222:OXB262222 OMU262222:ONF262222 OCY262222:ODJ262222 NTC262222:NTN262222 NJG262222:NJR262222 MZK262222:MZV262222 MPO262222:MPZ262222 MFS262222:MGD262222 LVW262222:LWH262222 LMA262222:LML262222 LCE262222:LCP262222 KSI262222:KST262222 KIM262222:KIX262222 JYQ262222:JZB262222 JOU262222:JPF262222 JEY262222:JFJ262222 IVC262222:IVN262222 ILG262222:ILR262222 IBK262222:IBV262222 HRO262222:HRZ262222 HHS262222:HID262222 GXW262222:GYH262222 GOA262222:GOL262222 GEE262222:GEP262222 FUI262222:FUT262222 FKM262222:FKX262222 FAQ262222:FBB262222 EQU262222:ERF262222 EGY262222:EHJ262222 DXC262222:DXN262222 DNG262222:DNR262222 DDK262222:DDV262222 CTO262222:CTZ262222 CJS262222:CKD262222 BZW262222:CAH262222 BQA262222:BQL262222 BGE262222:BGP262222 AWI262222:AWT262222 AMM262222:AMX262222 ACQ262222:ADB262222 SU262222:TF262222 IY262222:JJ262222 C262222:N262222 WVK196686:WVV196686 WLO196686:WLZ196686 WBS196686:WCD196686 VRW196686:VSH196686 VIA196686:VIL196686 UYE196686:UYP196686 UOI196686:UOT196686 UEM196686:UEX196686 TUQ196686:TVB196686 TKU196686:TLF196686 TAY196686:TBJ196686 SRC196686:SRN196686 SHG196686:SHR196686 RXK196686:RXV196686 RNO196686:RNZ196686 RDS196686:RED196686 QTW196686:QUH196686 QKA196686:QKL196686 QAE196686:QAP196686 PQI196686:PQT196686 PGM196686:PGX196686 OWQ196686:OXB196686 OMU196686:ONF196686 OCY196686:ODJ196686 NTC196686:NTN196686 NJG196686:NJR196686 MZK196686:MZV196686 MPO196686:MPZ196686 MFS196686:MGD196686 LVW196686:LWH196686 LMA196686:LML196686 LCE196686:LCP196686 KSI196686:KST196686 KIM196686:KIX196686 JYQ196686:JZB196686 JOU196686:JPF196686 JEY196686:JFJ196686 IVC196686:IVN196686 ILG196686:ILR196686 IBK196686:IBV196686 HRO196686:HRZ196686 HHS196686:HID196686 GXW196686:GYH196686 GOA196686:GOL196686 GEE196686:GEP196686 FUI196686:FUT196686 FKM196686:FKX196686 FAQ196686:FBB196686 EQU196686:ERF196686 EGY196686:EHJ196686 DXC196686:DXN196686 DNG196686:DNR196686 DDK196686:DDV196686 CTO196686:CTZ196686 CJS196686:CKD196686 BZW196686:CAH196686 BQA196686:BQL196686 BGE196686:BGP196686 AWI196686:AWT196686 AMM196686:AMX196686 ACQ196686:ADB196686 SU196686:TF196686 IY196686:JJ196686 C196686:N196686 WVK131150:WVV131150 WLO131150:WLZ131150 WBS131150:WCD131150 VRW131150:VSH131150 VIA131150:VIL131150 UYE131150:UYP131150 UOI131150:UOT131150 UEM131150:UEX131150 TUQ131150:TVB131150 TKU131150:TLF131150 TAY131150:TBJ131150 SRC131150:SRN131150 SHG131150:SHR131150 RXK131150:RXV131150 RNO131150:RNZ131150 RDS131150:RED131150 QTW131150:QUH131150 QKA131150:QKL131150 QAE131150:QAP131150 PQI131150:PQT131150 PGM131150:PGX131150 OWQ131150:OXB131150 OMU131150:ONF131150 OCY131150:ODJ131150 NTC131150:NTN131150 NJG131150:NJR131150 MZK131150:MZV131150 MPO131150:MPZ131150 MFS131150:MGD131150 LVW131150:LWH131150 LMA131150:LML131150 LCE131150:LCP131150 KSI131150:KST131150 KIM131150:KIX131150 JYQ131150:JZB131150 JOU131150:JPF131150 JEY131150:JFJ131150 IVC131150:IVN131150 ILG131150:ILR131150 IBK131150:IBV131150 HRO131150:HRZ131150 HHS131150:HID131150 GXW131150:GYH131150 GOA131150:GOL131150 GEE131150:GEP131150 FUI131150:FUT131150 FKM131150:FKX131150 FAQ131150:FBB131150 EQU131150:ERF131150 EGY131150:EHJ131150 DXC131150:DXN131150 DNG131150:DNR131150 DDK131150:DDV131150 CTO131150:CTZ131150 CJS131150:CKD131150 BZW131150:CAH131150 BQA131150:BQL131150 BGE131150:BGP131150 AWI131150:AWT131150 AMM131150:AMX131150 ACQ131150:ADB131150 SU131150:TF131150 IY131150:JJ131150 C131150:N131150 WVK65614:WVV65614 WLO65614:WLZ65614 WBS65614:WCD65614 VRW65614:VSH65614 VIA65614:VIL65614 UYE65614:UYP65614 UOI65614:UOT65614 UEM65614:UEX65614 TUQ65614:TVB65614 TKU65614:TLF65614 TAY65614:TBJ65614 SRC65614:SRN65614 SHG65614:SHR65614 RXK65614:RXV65614 RNO65614:RNZ65614 RDS65614:RED65614 QTW65614:QUH65614 QKA65614:QKL65614 QAE65614:QAP65614 PQI65614:PQT65614 PGM65614:PGX65614 OWQ65614:OXB65614 OMU65614:ONF65614 OCY65614:ODJ65614 NTC65614:NTN65614 NJG65614:NJR65614 MZK65614:MZV65614 MPO65614:MPZ65614 MFS65614:MGD65614 LVW65614:LWH65614 LMA65614:LML65614 LCE65614:LCP65614 KSI65614:KST65614 KIM65614:KIX65614 JYQ65614:JZB65614 JOU65614:JPF65614 JEY65614:JFJ65614 IVC65614:IVN65614 ILG65614:ILR65614 IBK65614:IBV65614 HRO65614:HRZ65614 HHS65614:HID65614 GXW65614:GYH65614 GOA65614:GOL65614 GEE65614:GEP65614 FUI65614:FUT65614 FKM65614:FKX65614 FAQ65614:FBB65614 EQU65614:ERF65614 EGY65614:EHJ65614 DXC65614:DXN65614 DNG65614:DNR65614 DDK65614:DDV65614 CTO65614:CTZ65614 CJS65614:CKD65614 BZW65614:CAH65614 BQA65614:BQL65614 BGE65614:BGP65614 AWI65614:AWT65614 AMM65614:AMX65614 ACQ65614:ADB65614 SU65614:TF65614 IY65614:JJ65614 C65614:N65614 WVK160:WVV160 WLO160:WLZ160 WBS160:WCD160 VRW160:VSH160 VIA160:VIL160 UYE160:UYP160 UOI160:UOT160 UEM160:UEX160 TUQ160:TVB160 TKU160:TLF160 TAY160:TBJ160 SRC160:SRN160 SHG160:SHR160 RXK160:RXV160 RNO160:RNZ160 RDS160:RED160 QTW160:QUH160 QKA160:QKL160 QAE160:QAP160 PQI160:PQT160 PGM160:PGX160 OWQ160:OXB160 OMU160:ONF160 OCY160:ODJ160 NTC160:NTN160 NJG160:NJR160 MZK160:MZV160 MPO160:MPZ160 MFS160:MGD160 LVW160:LWH160 LMA160:LML160 LCE160:LCP160 KSI160:KST160 KIM160:KIX160 JYQ160:JZB160 JOU160:JPF160 JEY160:JFJ160 IVC160:IVN160 ILG160:ILR160 IBK160:IBV160 HRO160:HRZ160 HHS160:HID160 GXW160:GYH160 GOA160:GOL160 GEE160:GEP160 FUI160:FUT160 FKM160:FKX160 FAQ160:FBB160 EQU160:ERF160 EGY160:EHJ160 DXC160:DXN160 DNG160:DNR160 DDK160:DDV160 CTO160:CTZ160 CJS160:CKD160 BZW160:CAH160 BQA160:BQL160 BGE160:BGP160 AWI160:AWT160 AMM160:AMX160 ACQ160:ADB160 SU160:TF160 IY160:JJ160 SU220:TF220 WVK983298:WVV983298 WLO983298:WLZ983298 WBS983298:WCD983298 VRW983298:VSH983298 VIA983298:VIL983298 UYE983298:UYP983298 UOI983298:UOT983298 UEM983298:UEX983298 TUQ983298:TVB983298 TKU983298:TLF983298 TAY983298:TBJ983298 SRC983298:SRN983298 SHG983298:SHR983298 RXK983298:RXV983298 RNO983298:RNZ983298 RDS983298:RED983298 QTW983298:QUH983298 QKA983298:QKL983298 QAE983298:QAP983298 PQI983298:PQT983298 PGM983298:PGX983298 OWQ983298:OXB983298 OMU983298:ONF983298 OCY983298:ODJ983298 NTC983298:NTN983298 NJG983298:NJR983298 MZK983298:MZV983298 MPO983298:MPZ983298 MFS983298:MGD983298 LVW983298:LWH983298 LMA983298:LML983298 LCE983298:LCP983298 KSI983298:KST983298 KIM983298:KIX983298 JYQ983298:JZB983298 JOU983298:JPF983298 JEY983298:JFJ983298 IVC983298:IVN983298 ILG983298:ILR983298 IBK983298:IBV983298 HRO983298:HRZ983298 HHS983298:HID983298 GXW983298:GYH983298 GOA983298:GOL983298 GEE983298:GEP983298 FUI983298:FUT983298 FKM983298:FKX983298 FAQ983298:FBB983298 EQU983298:ERF983298 EGY983298:EHJ983298 DXC983298:DXN983298 DNG983298:DNR983298 DDK983298:DDV983298 CTO983298:CTZ983298 CJS983298:CKD983298 BZW983298:CAH983298 BQA983298:BQL983298 BGE983298:BGP983298 AWI983298:AWT983298 AMM983298:AMX983298 ACQ983298:ADB983298 SU983298:TF983298 IY983298:JJ983298 C983298:N983298 WVK917762:WVV917762 WLO917762:WLZ917762 WBS917762:WCD917762 VRW917762:VSH917762 VIA917762:VIL917762 UYE917762:UYP917762 UOI917762:UOT917762 UEM917762:UEX917762 TUQ917762:TVB917762 TKU917762:TLF917762 TAY917762:TBJ917762 SRC917762:SRN917762 SHG917762:SHR917762 RXK917762:RXV917762 RNO917762:RNZ917762 RDS917762:RED917762 QTW917762:QUH917762 QKA917762:QKL917762 QAE917762:QAP917762 PQI917762:PQT917762 PGM917762:PGX917762 OWQ917762:OXB917762 OMU917762:ONF917762 OCY917762:ODJ917762 NTC917762:NTN917762 NJG917762:NJR917762 MZK917762:MZV917762 MPO917762:MPZ917762 MFS917762:MGD917762 LVW917762:LWH917762 LMA917762:LML917762 LCE917762:LCP917762 KSI917762:KST917762 KIM917762:KIX917762 JYQ917762:JZB917762 JOU917762:JPF917762 JEY917762:JFJ917762 IVC917762:IVN917762 ILG917762:ILR917762 IBK917762:IBV917762 HRO917762:HRZ917762 HHS917762:HID917762 GXW917762:GYH917762 GOA917762:GOL917762 GEE917762:GEP917762 FUI917762:FUT917762 FKM917762:FKX917762 FAQ917762:FBB917762 EQU917762:ERF917762 EGY917762:EHJ917762 DXC917762:DXN917762 DNG917762:DNR917762 DDK917762:DDV917762 CTO917762:CTZ917762 CJS917762:CKD917762 BZW917762:CAH917762 BQA917762:BQL917762 BGE917762:BGP917762 AWI917762:AWT917762 AMM917762:AMX917762 ACQ917762:ADB917762 SU917762:TF917762 IY917762:JJ917762 C917762:N917762 WVK852226:WVV852226 WLO852226:WLZ852226 WBS852226:WCD852226 VRW852226:VSH852226 VIA852226:VIL852226 UYE852226:UYP852226 UOI852226:UOT852226 UEM852226:UEX852226 TUQ852226:TVB852226 TKU852226:TLF852226 TAY852226:TBJ852226 SRC852226:SRN852226 SHG852226:SHR852226 RXK852226:RXV852226 RNO852226:RNZ852226 RDS852226:RED852226 QTW852226:QUH852226 QKA852226:QKL852226 QAE852226:QAP852226 PQI852226:PQT852226 PGM852226:PGX852226 OWQ852226:OXB852226 OMU852226:ONF852226 OCY852226:ODJ852226 NTC852226:NTN852226 NJG852226:NJR852226 MZK852226:MZV852226 MPO852226:MPZ852226 MFS852226:MGD852226 LVW852226:LWH852226 LMA852226:LML852226 LCE852226:LCP852226 KSI852226:KST852226 KIM852226:KIX852226 JYQ852226:JZB852226 JOU852226:JPF852226 JEY852226:JFJ852226 IVC852226:IVN852226 ILG852226:ILR852226 IBK852226:IBV852226 HRO852226:HRZ852226 HHS852226:HID852226 GXW852226:GYH852226 GOA852226:GOL852226 GEE852226:GEP852226 FUI852226:FUT852226 FKM852226:FKX852226 FAQ852226:FBB852226 EQU852226:ERF852226 EGY852226:EHJ852226 DXC852226:DXN852226 DNG852226:DNR852226 DDK852226:DDV852226 CTO852226:CTZ852226 CJS852226:CKD852226 BZW852226:CAH852226 BQA852226:BQL852226 BGE852226:BGP852226 AWI852226:AWT852226 AMM852226:AMX852226 ACQ852226:ADB852226 SU852226:TF852226 IY852226:JJ852226 C852226:N852226 WVK786690:WVV786690 WLO786690:WLZ786690 WBS786690:WCD786690 VRW786690:VSH786690 VIA786690:VIL786690 UYE786690:UYP786690 UOI786690:UOT786690 UEM786690:UEX786690 TUQ786690:TVB786690 TKU786690:TLF786690 TAY786690:TBJ786690 SRC786690:SRN786690 SHG786690:SHR786690 RXK786690:RXV786690 RNO786690:RNZ786690 RDS786690:RED786690 QTW786690:QUH786690 QKA786690:QKL786690 QAE786690:QAP786690 PQI786690:PQT786690 PGM786690:PGX786690 OWQ786690:OXB786690 OMU786690:ONF786690 OCY786690:ODJ786690 NTC786690:NTN786690 NJG786690:NJR786690 MZK786690:MZV786690 MPO786690:MPZ786690 MFS786690:MGD786690 LVW786690:LWH786690 LMA786690:LML786690 LCE786690:LCP786690 KSI786690:KST786690 KIM786690:KIX786690 JYQ786690:JZB786690 JOU786690:JPF786690 JEY786690:JFJ786690 IVC786690:IVN786690 ILG786690:ILR786690 IBK786690:IBV786690 HRO786690:HRZ786690 HHS786690:HID786690 GXW786690:GYH786690 GOA786690:GOL786690 GEE786690:GEP786690 FUI786690:FUT786690 FKM786690:FKX786690 FAQ786690:FBB786690 EQU786690:ERF786690 EGY786690:EHJ786690 DXC786690:DXN786690 DNG786690:DNR786690 DDK786690:DDV786690 CTO786690:CTZ786690 CJS786690:CKD786690 BZW786690:CAH786690 BQA786690:BQL786690 BGE786690:BGP786690 AWI786690:AWT786690 AMM786690:AMX786690 ACQ786690:ADB786690 SU786690:TF786690 IY786690:JJ786690 C786690:N786690 WVK721154:WVV721154 WLO721154:WLZ721154 WBS721154:WCD721154 VRW721154:VSH721154 VIA721154:VIL721154 UYE721154:UYP721154 UOI721154:UOT721154 UEM721154:UEX721154 TUQ721154:TVB721154 TKU721154:TLF721154 TAY721154:TBJ721154 SRC721154:SRN721154 SHG721154:SHR721154 RXK721154:RXV721154 RNO721154:RNZ721154 RDS721154:RED721154 QTW721154:QUH721154 QKA721154:QKL721154 QAE721154:QAP721154 PQI721154:PQT721154 PGM721154:PGX721154 OWQ721154:OXB721154 OMU721154:ONF721154 OCY721154:ODJ721154 NTC721154:NTN721154 NJG721154:NJR721154 MZK721154:MZV721154 MPO721154:MPZ721154 MFS721154:MGD721154 LVW721154:LWH721154 LMA721154:LML721154 LCE721154:LCP721154 KSI721154:KST721154 KIM721154:KIX721154 JYQ721154:JZB721154 JOU721154:JPF721154 JEY721154:JFJ721154 IVC721154:IVN721154 ILG721154:ILR721154 IBK721154:IBV721154 HRO721154:HRZ721154 HHS721154:HID721154 GXW721154:GYH721154 GOA721154:GOL721154 GEE721154:GEP721154 FUI721154:FUT721154 FKM721154:FKX721154 FAQ721154:FBB721154 EQU721154:ERF721154 EGY721154:EHJ721154 DXC721154:DXN721154 DNG721154:DNR721154 DDK721154:DDV721154 CTO721154:CTZ721154 CJS721154:CKD721154 BZW721154:CAH721154 BQA721154:BQL721154 BGE721154:BGP721154 AWI721154:AWT721154 AMM721154:AMX721154 ACQ721154:ADB721154 SU721154:TF721154 IY721154:JJ721154 C721154:N721154 WVK655618:WVV655618 WLO655618:WLZ655618 WBS655618:WCD655618 VRW655618:VSH655618 VIA655618:VIL655618 UYE655618:UYP655618 UOI655618:UOT655618 UEM655618:UEX655618 TUQ655618:TVB655618 TKU655618:TLF655618 TAY655618:TBJ655618 SRC655618:SRN655618 SHG655618:SHR655618 RXK655618:RXV655618 RNO655618:RNZ655618 RDS655618:RED655618 QTW655618:QUH655618 QKA655618:QKL655618 QAE655618:QAP655618 PQI655618:PQT655618 PGM655618:PGX655618 OWQ655618:OXB655618 OMU655618:ONF655618 OCY655618:ODJ655618 NTC655618:NTN655618 NJG655618:NJR655618 MZK655618:MZV655618 MPO655618:MPZ655618 MFS655618:MGD655618 LVW655618:LWH655618 LMA655618:LML655618 LCE655618:LCP655618 KSI655618:KST655618 KIM655618:KIX655618 JYQ655618:JZB655618 JOU655618:JPF655618 JEY655618:JFJ655618 IVC655618:IVN655618 ILG655618:ILR655618 IBK655618:IBV655618 HRO655618:HRZ655618 HHS655618:HID655618 GXW655618:GYH655618 GOA655618:GOL655618 GEE655618:GEP655618 FUI655618:FUT655618 FKM655618:FKX655618 FAQ655618:FBB655618 EQU655618:ERF655618 EGY655618:EHJ655618 DXC655618:DXN655618 DNG655618:DNR655618 DDK655618:DDV655618 CTO655618:CTZ655618 CJS655618:CKD655618 BZW655618:CAH655618 BQA655618:BQL655618 BGE655618:BGP655618 AWI655618:AWT655618 AMM655618:AMX655618 ACQ655618:ADB655618 SU655618:TF655618 IY655618:JJ655618 C655618:N655618 WVK590082:WVV590082 WLO590082:WLZ590082 WBS590082:WCD590082 VRW590082:VSH590082 VIA590082:VIL590082 UYE590082:UYP590082 UOI590082:UOT590082 UEM590082:UEX590082 TUQ590082:TVB590082 TKU590082:TLF590082 TAY590082:TBJ590082 SRC590082:SRN590082 SHG590082:SHR590082 RXK590082:RXV590082 RNO590082:RNZ590082 RDS590082:RED590082 QTW590082:QUH590082 QKA590082:QKL590082 QAE590082:QAP590082 PQI590082:PQT590082 PGM590082:PGX590082 OWQ590082:OXB590082 OMU590082:ONF590082 OCY590082:ODJ590082 NTC590082:NTN590082 NJG590082:NJR590082 MZK590082:MZV590082 MPO590082:MPZ590082 MFS590082:MGD590082 LVW590082:LWH590082 LMA590082:LML590082 LCE590082:LCP590082 KSI590082:KST590082 KIM590082:KIX590082 JYQ590082:JZB590082 JOU590082:JPF590082 JEY590082:JFJ590082 IVC590082:IVN590082 ILG590082:ILR590082 IBK590082:IBV590082 HRO590082:HRZ590082 HHS590082:HID590082 GXW590082:GYH590082 GOA590082:GOL590082 GEE590082:GEP590082 FUI590082:FUT590082 FKM590082:FKX590082 FAQ590082:FBB590082 EQU590082:ERF590082 EGY590082:EHJ590082 DXC590082:DXN590082 DNG590082:DNR590082 DDK590082:DDV590082 CTO590082:CTZ590082 CJS590082:CKD590082 BZW590082:CAH590082 BQA590082:BQL590082 BGE590082:BGP590082 AWI590082:AWT590082 AMM590082:AMX590082 ACQ590082:ADB590082 SU590082:TF590082 IY590082:JJ590082 C590082:N590082 WVK524546:WVV524546 WLO524546:WLZ524546 WBS524546:WCD524546 VRW524546:VSH524546 VIA524546:VIL524546 UYE524546:UYP524546 UOI524546:UOT524546 UEM524546:UEX524546 TUQ524546:TVB524546 TKU524546:TLF524546 TAY524546:TBJ524546 SRC524546:SRN524546 SHG524546:SHR524546 RXK524546:RXV524546 RNO524546:RNZ524546 RDS524546:RED524546 QTW524546:QUH524546 QKA524546:QKL524546 QAE524546:QAP524546 PQI524546:PQT524546 PGM524546:PGX524546 OWQ524546:OXB524546 OMU524546:ONF524546 OCY524546:ODJ524546 NTC524546:NTN524546 NJG524546:NJR524546 MZK524546:MZV524546 MPO524546:MPZ524546 MFS524546:MGD524546 LVW524546:LWH524546 LMA524546:LML524546 LCE524546:LCP524546 KSI524546:KST524546 KIM524546:KIX524546 JYQ524546:JZB524546 JOU524546:JPF524546 JEY524546:JFJ524546 IVC524546:IVN524546 ILG524546:ILR524546 IBK524546:IBV524546 HRO524546:HRZ524546 HHS524546:HID524546 GXW524546:GYH524546 GOA524546:GOL524546 GEE524546:GEP524546 FUI524546:FUT524546 FKM524546:FKX524546 FAQ524546:FBB524546 EQU524546:ERF524546 EGY524546:EHJ524546 DXC524546:DXN524546 DNG524546:DNR524546 DDK524546:DDV524546 CTO524546:CTZ524546 CJS524546:CKD524546 BZW524546:CAH524546 BQA524546:BQL524546 BGE524546:BGP524546 AWI524546:AWT524546 AMM524546:AMX524546 ACQ524546:ADB524546 SU524546:TF524546 IY524546:JJ524546 C524546:N524546 WVK459010:WVV459010 WLO459010:WLZ459010 WBS459010:WCD459010 VRW459010:VSH459010 VIA459010:VIL459010 UYE459010:UYP459010 UOI459010:UOT459010 UEM459010:UEX459010 TUQ459010:TVB459010 TKU459010:TLF459010 TAY459010:TBJ459010 SRC459010:SRN459010 SHG459010:SHR459010 RXK459010:RXV459010 RNO459010:RNZ459010 RDS459010:RED459010 QTW459010:QUH459010 QKA459010:QKL459010 QAE459010:QAP459010 PQI459010:PQT459010 PGM459010:PGX459010 OWQ459010:OXB459010 OMU459010:ONF459010 OCY459010:ODJ459010 NTC459010:NTN459010 NJG459010:NJR459010 MZK459010:MZV459010 MPO459010:MPZ459010 MFS459010:MGD459010 LVW459010:LWH459010 LMA459010:LML459010 LCE459010:LCP459010 KSI459010:KST459010 KIM459010:KIX459010 JYQ459010:JZB459010 JOU459010:JPF459010 JEY459010:JFJ459010 IVC459010:IVN459010 ILG459010:ILR459010 IBK459010:IBV459010 HRO459010:HRZ459010 HHS459010:HID459010 GXW459010:GYH459010 GOA459010:GOL459010 GEE459010:GEP459010 FUI459010:FUT459010 FKM459010:FKX459010 FAQ459010:FBB459010 EQU459010:ERF459010 EGY459010:EHJ459010 DXC459010:DXN459010 DNG459010:DNR459010 DDK459010:DDV459010 CTO459010:CTZ459010 CJS459010:CKD459010 BZW459010:CAH459010 BQA459010:BQL459010 BGE459010:BGP459010 AWI459010:AWT459010 AMM459010:AMX459010 ACQ459010:ADB459010 SU459010:TF459010 IY459010:JJ459010 C459010:N459010 WVK393474:WVV393474 WLO393474:WLZ393474 WBS393474:WCD393474 VRW393474:VSH393474 VIA393474:VIL393474 UYE393474:UYP393474 UOI393474:UOT393474 UEM393474:UEX393474 TUQ393474:TVB393474 TKU393474:TLF393474 TAY393474:TBJ393474 SRC393474:SRN393474 SHG393474:SHR393474 RXK393474:RXV393474 RNO393474:RNZ393474 RDS393474:RED393474 QTW393474:QUH393474 QKA393474:QKL393474 QAE393474:QAP393474 PQI393474:PQT393474 PGM393474:PGX393474 OWQ393474:OXB393474 OMU393474:ONF393474 OCY393474:ODJ393474 NTC393474:NTN393474 NJG393474:NJR393474 MZK393474:MZV393474 MPO393474:MPZ393474 MFS393474:MGD393474 LVW393474:LWH393474 LMA393474:LML393474 LCE393474:LCP393474 KSI393474:KST393474 KIM393474:KIX393474 JYQ393474:JZB393474 JOU393474:JPF393474 JEY393474:JFJ393474 IVC393474:IVN393474 ILG393474:ILR393474 IBK393474:IBV393474 HRO393474:HRZ393474 HHS393474:HID393474 GXW393474:GYH393474 GOA393474:GOL393474 GEE393474:GEP393474 FUI393474:FUT393474 FKM393474:FKX393474 FAQ393474:FBB393474 EQU393474:ERF393474 EGY393474:EHJ393474 DXC393474:DXN393474 DNG393474:DNR393474 DDK393474:DDV393474 CTO393474:CTZ393474 CJS393474:CKD393474 BZW393474:CAH393474 BQA393474:BQL393474 BGE393474:BGP393474 AWI393474:AWT393474 AMM393474:AMX393474 ACQ393474:ADB393474 SU393474:TF393474 IY393474:JJ393474 C393474:N393474 WVK327938:WVV327938 WLO327938:WLZ327938 WBS327938:WCD327938 VRW327938:VSH327938 VIA327938:VIL327938 UYE327938:UYP327938 UOI327938:UOT327938 UEM327938:UEX327938 TUQ327938:TVB327938 TKU327938:TLF327938 TAY327938:TBJ327938 SRC327938:SRN327938 SHG327938:SHR327938 RXK327938:RXV327938 RNO327938:RNZ327938 RDS327938:RED327938 QTW327938:QUH327938 QKA327938:QKL327938 QAE327938:QAP327938 PQI327938:PQT327938 PGM327938:PGX327938 OWQ327938:OXB327938 OMU327938:ONF327938 OCY327938:ODJ327938 NTC327938:NTN327938 NJG327938:NJR327938 MZK327938:MZV327938 MPO327938:MPZ327938 MFS327938:MGD327938 LVW327938:LWH327938 LMA327938:LML327938 LCE327938:LCP327938 KSI327938:KST327938 KIM327938:KIX327938 JYQ327938:JZB327938 JOU327938:JPF327938 JEY327938:JFJ327938 IVC327938:IVN327938 ILG327938:ILR327938 IBK327938:IBV327938 HRO327938:HRZ327938 HHS327938:HID327938 GXW327938:GYH327938 GOA327938:GOL327938 GEE327938:GEP327938 FUI327938:FUT327938 FKM327938:FKX327938 FAQ327938:FBB327938 EQU327938:ERF327938 EGY327938:EHJ327938 DXC327938:DXN327938 DNG327938:DNR327938 DDK327938:DDV327938 CTO327938:CTZ327938 CJS327938:CKD327938 BZW327938:CAH327938 BQA327938:BQL327938 BGE327938:BGP327938 AWI327938:AWT327938 AMM327938:AMX327938 ACQ327938:ADB327938 SU327938:TF327938 IY327938:JJ327938 C327938:N327938 WVK262402:WVV262402 WLO262402:WLZ262402 WBS262402:WCD262402 VRW262402:VSH262402 VIA262402:VIL262402 UYE262402:UYP262402 UOI262402:UOT262402 UEM262402:UEX262402 TUQ262402:TVB262402 TKU262402:TLF262402 TAY262402:TBJ262402 SRC262402:SRN262402 SHG262402:SHR262402 RXK262402:RXV262402 RNO262402:RNZ262402 RDS262402:RED262402 QTW262402:QUH262402 QKA262402:QKL262402 QAE262402:QAP262402 PQI262402:PQT262402 PGM262402:PGX262402 OWQ262402:OXB262402 OMU262402:ONF262402 OCY262402:ODJ262402 NTC262402:NTN262402 NJG262402:NJR262402 MZK262402:MZV262402 MPO262402:MPZ262402 MFS262402:MGD262402 LVW262402:LWH262402 LMA262402:LML262402 LCE262402:LCP262402 KSI262402:KST262402 KIM262402:KIX262402 JYQ262402:JZB262402 JOU262402:JPF262402 JEY262402:JFJ262402 IVC262402:IVN262402 ILG262402:ILR262402 IBK262402:IBV262402 HRO262402:HRZ262402 HHS262402:HID262402 GXW262402:GYH262402 GOA262402:GOL262402 GEE262402:GEP262402 FUI262402:FUT262402 FKM262402:FKX262402 FAQ262402:FBB262402 EQU262402:ERF262402 EGY262402:EHJ262402 DXC262402:DXN262402 DNG262402:DNR262402 DDK262402:DDV262402 CTO262402:CTZ262402 CJS262402:CKD262402 BZW262402:CAH262402 BQA262402:BQL262402 BGE262402:BGP262402 AWI262402:AWT262402 AMM262402:AMX262402 ACQ262402:ADB262402 SU262402:TF262402 IY262402:JJ262402 C262402:N262402 WVK196866:WVV196866 WLO196866:WLZ196866 WBS196866:WCD196866 VRW196866:VSH196866 VIA196866:VIL196866 UYE196866:UYP196866 UOI196866:UOT196866 UEM196866:UEX196866 TUQ196866:TVB196866 TKU196866:TLF196866 TAY196866:TBJ196866 SRC196866:SRN196866 SHG196866:SHR196866 RXK196866:RXV196866 RNO196866:RNZ196866 RDS196866:RED196866 QTW196866:QUH196866 QKA196866:QKL196866 QAE196866:QAP196866 PQI196866:PQT196866 PGM196866:PGX196866 OWQ196866:OXB196866 OMU196866:ONF196866 OCY196866:ODJ196866 NTC196866:NTN196866 NJG196866:NJR196866 MZK196866:MZV196866 MPO196866:MPZ196866 MFS196866:MGD196866 LVW196866:LWH196866 LMA196866:LML196866 LCE196866:LCP196866 KSI196866:KST196866 KIM196866:KIX196866 JYQ196866:JZB196866 JOU196866:JPF196866 JEY196866:JFJ196866 IVC196866:IVN196866 ILG196866:ILR196866 IBK196866:IBV196866 HRO196866:HRZ196866 HHS196866:HID196866 GXW196866:GYH196866 GOA196866:GOL196866 GEE196866:GEP196866 FUI196866:FUT196866 FKM196866:FKX196866 FAQ196866:FBB196866 EQU196866:ERF196866 EGY196866:EHJ196866 DXC196866:DXN196866 DNG196866:DNR196866 DDK196866:DDV196866 CTO196866:CTZ196866 CJS196866:CKD196866 BZW196866:CAH196866 BQA196866:BQL196866 BGE196866:BGP196866 AWI196866:AWT196866 AMM196866:AMX196866 ACQ196866:ADB196866 SU196866:TF196866 IY196866:JJ196866 C196866:N196866 WVK131330:WVV131330 WLO131330:WLZ131330 WBS131330:WCD131330 VRW131330:VSH131330 VIA131330:VIL131330 UYE131330:UYP131330 UOI131330:UOT131330 UEM131330:UEX131330 TUQ131330:TVB131330 TKU131330:TLF131330 TAY131330:TBJ131330 SRC131330:SRN131330 SHG131330:SHR131330 RXK131330:RXV131330 RNO131330:RNZ131330 RDS131330:RED131330 QTW131330:QUH131330 QKA131330:QKL131330 QAE131330:QAP131330 PQI131330:PQT131330 PGM131330:PGX131330 OWQ131330:OXB131330 OMU131330:ONF131330 OCY131330:ODJ131330 NTC131330:NTN131330 NJG131330:NJR131330 MZK131330:MZV131330 MPO131330:MPZ131330 MFS131330:MGD131330 LVW131330:LWH131330 LMA131330:LML131330 LCE131330:LCP131330 KSI131330:KST131330 KIM131330:KIX131330 JYQ131330:JZB131330 JOU131330:JPF131330 JEY131330:JFJ131330 IVC131330:IVN131330 ILG131330:ILR131330 IBK131330:IBV131330 HRO131330:HRZ131330 HHS131330:HID131330 GXW131330:GYH131330 GOA131330:GOL131330 GEE131330:GEP131330 FUI131330:FUT131330 FKM131330:FKX131330 FAQ131330:FBB131330 EQU131330:ERF131330 EGY131330:EHJ131330 DXC131330:DXN131330 DNG131330:DNR131330 DDK131330:DDV131330 CTO131330:CTZ131330 CJS131330:CKD131330 BZW131330:CAH131330 BQA131330:BQL131330 BGE131330:BGP131330 AWI131330:AWT131330 AMM131330:AMX131330 ACQ131330:ADB131330 SU131330:TF131330 IY131330:JJ131330 C131330:N131330 WVK65794:WVV65794 WLO65794:WLZ65794 WBS65794:WCD65794 VRW65794:VSH65794 VIA65794:VIL65794 UYE65794:UYP65794 UOI65794:UOT65794 UEM65794:UEX65794 TUQ65794:TVB65794 TKU65794:TLF65794 TAY65794:TBJ65794 SRC65794:SRN65794 SHG65794:SHR65794 RXK65794:RXV65794 RNO65794:RNZ65794 RDS65794:RED65794 QTW65794:QUH65794 QKA65794:QKL65794 QAE65794:QAP65794 PQI65794:PQT65794 PGM65794:PGX65794 OWQ65794:OXB65794 OMU65794:ONF65794 OCY65794:ODJ65794 NTC65794:NTN65794 NJG65794:NJR65794 MZK65794:MZV65794 MPO65794:MPZ65794 MFS65794:MGD65794 LVW65794:LWH65794 LMA65794:LML65794 LCE65794:LCP65794 KSI65794:KST65794 KIM65794:KIX65794 JYQ65794:JZB65794 JOU65794:JPF65794 JEY65794:JFJ65794 IVC65794:IVN65794 ILG65794:ILR65794 IBK65794:IBV65794 HRO65794:HRZ65794 HHS65794:HID65794 GXW65794:GYH65794 GOA65794:GOL65794 GEE65794:GEP65794 FUI65794:FUT65794 FKM65794:FKX65794 FAQ65794:FBB65794 EQU65794:ERF65794 EGY65794:EHJ65794 DXC65794:DXN65794 DNG65794:DNR65794 DDK65794:DDV65794 CTO65794:CTZ65794 CJS65794:CKD65794 BZW65794:CAH65794 BQA65794:BQL65794 BGE65794:BGP65794 AWI65794:AWT65794 AMM65794:AMX65794 ACQ65794:ADB65794 SU65794:TF65794 IY65794:JJ65794 C65794:N65794 WVK983178:WVV983178 WLO983178:WLZ983178 WBS983178:WCD983178 VRW983178:VSH983178 VIA983178:VIL983178 UYE983178:UYP983178 UOI983178:UOT983178 UEM983178:UEX983178 TUQ983178:TVB983178 TKU983178:TLF983178 TAY983178:TBJ983178 SRC983178:SRN983178 SHG983178:SHR983178 RXK983178:RXV983178 RNO983178:RNZ983178 RDS983178:RED983178 QTW983178:QUH983178 QKA983178:QKL983178 QAE983178:QAP983178 PQI983178:PQT983178 PGM983178:PGX983178 OWQ983178:OXB983178 OMU983178:ONF983178 OCY983178:ODJ983178 NTC983178:NTN983178 NJG983178:NJR983178 MZK983178:MZV983178 MPO983178:MPZ983178 MFS983178:MGD983178 LVW983178:LWH983178 LMA983178:LML983178 LCE983178:LCP983178 KSI983178:KST983178 KIM983178:KIX983178 JYQ983178:JZB983178 JOU983178:JPF983178 JEY983178:JFJ983178 IVC983178:IVN983178 ILG983178:ILR983178 IBK983178:IBV983178 HRO983178:HRZ983178 HHS983178:HID983178 GXW983178:GYH983178 GOA983178:GOL983178 GEE983178:GEP983178 FUI983178:FUT983178 FKM983178:FKX983178 FAQ983178:FBB983178 EQU983178:ERF983178 EGY983178:EHJ983178 DXC983178:DXN983178 DNG983178:DNR983178 DDK983178:DDV983178 CTO983178:CTZ983178 CJS983178:CKD983178 BZW983178:CAH983178 BQA983178:BQL983178 BGE983178:BGP983178 AWI983178:AWT983178 AMM983178:AMX983178 ACQ983178:ADB983178 SU983178:TF983178 IY983178:JJ983178 C983178:N983178 WVK917642:WVV917642 WLO917642:WLZ917642 WBS917642:WCD917642 VRW917642:VSH917642 VIA917642:VIL917642 UYE917642:UYP917642 UOI917642:UOT917642 UEM917642:UEX917642 TUQ917642:TVB917642 TKU917642:TLF917642 TAY917642:TBJ917642 SRC917642:SRN917642 SHG917642:SHR917642 RXK917642:RXV917642 RNO917642:RNZ917642 RDS917642:RED917642 QTW917642:QUH917642 QKA917642:QKL917642 QAE917642:QAP917642 PQI917642:PQT917642 PGM917642:PGX917642 OWQ917642:OXB917642 OMU917642:ONF917642 OCY917642:ODJ917642 NTC917642:NTN917642 NJG917642:NJR917642 MZK917642:MZV917642 MPO917642:MPZ917642 MFS917642:MGD917642 LVW917642:LWH917642 LMA917642:LML917642 LCE917642:LCP917642 KSI917642:KST917642 KIM917642:KIX917642 JYQ917642:JZB917642 JOU917642:JPF917642 JEY917642:JFJ917642 IVC917642:IVN917642 ILG917642:ILR917642 IBK917642:IBV917642 HRO917642:HRZ917642 HHS917642:HID917642 GXW917642:GYH917642 GOA917642:GOL917642 GEE917642:GEP917642 FUI917642:FUT917642 FKM917642:FKX917642 FAQ917642:FBB917642 EQU917642:ERF917642 EGY917642:EHJ917642 DXC917642:DXN917642 DNG917642:DNR917642 DDK917642:DDV917642 CTO917642:CTZ917642 CJS917642:CKD917642 BZW917642:CAH917642 BQA917642:BQL917642 BGE917642:BGP917642 AWI917642:AWT917642 AMM917642:AMX917642 ACQ917642:ADB917642 SU917642:TF917642 IY917642:JJ917642 C917642:N917642 WVK852106:WVV852106 WLO852106:WLZ852106 WBS852106:WCD852106 VRW852106:VSH852106 VIA852106:VIL852106 UYE852106:UYP852106 UOI852106:UOT852106 UEM852106:UEX852106 TUQ852106:TVB852106 TKU852106:TLF852106 TAY852106:TBJ852106 SRC852106:SRN852106 SHG852106:SHR852106 RXK852106:RXV852106 RNO852106:RNZ852106 RDS852106:RED852106 QTW852106:QUH852106 QKA852106:QKL852106 QAE852106:QAP852106 PQI852106:PQT852106 PGM852106:PGX852106 OWQ852106:OXB852106 OMU852106:ONF852106 OCY852106:ODJ852106 NTC852106:NTN852106 NJG852106:NJR852106 MZK852106:MZV852106 MPO852106:MPZ852106 MFS852106:MGD852106 LVW852106:LWH852106 LMA852106:LML852106 LCE852106:LCP852106 KSI852106:KST852106 KIM852106:KIX852106 JYQ852106:JZB852106 JOU852106:JPF852106 JEY852106:JFJ852106 IVC852106:IVN852106 ILG852106:ILR852106 IBK852106:IBV852106 HRO852106:HRZ852106 HHS852106:HID852106 GXW852106:GYH852106 GOA852106:GOL852106 GEE852106:GEP852106 FUI852106:FUT852106 FKM852106:FKX852106 FAQ852106:FBB852106 EQU852106:ERF852106 EGY852106:EHJ852106 DXC852106:DXN852106 DNG852106:DNR852106 DDK852106:DDV852106 CTO852106:CTZ852106 CJS852106:CKD852106 BZW852106:CAH852106 BQA852106:BQL852106 BGE852106:BGP852106 AWI852106:AWT852106 AMM852106:AMX852106 ACQ852106:ADB852106 SU852106:TF852106 IY852106:JJ852106 C852106:N852106 WVK786570:WVV786570 WLO786570:WLZ786570 WBS786570:WCD786570 VRW786570:VSH786570 VIA786570:VIL786570 UYE786570:UYP786570 UOI786570:UOT786570 UEM786570:UEX786570 TUQ786570:TVB786570 TKU786570:TLF786570 TAY786570:TBJ786570 SRC786570:SRN786570 SHG786570:SHR786570 RXK786570:RXV786570 RNO786570:RNZ786570 RDS786570:RED786570 QTW786570:QUH786570 QKA786570:QKL786570 QAE786570:QAP786570 PQI786570:PQT786570 PGM786570:PGX786570 OWQ786570:OXB786570 OMU786570:ONF786570 OCY786570:ODJ786570 NTC786570:NTN786570 NJG786570:NJR786570 MZK786570:MZV786570 MPO786570:MPZ786570 MFS786570:MGD786570 LVW786570:LWH786570 LMA786570:LML786570 LCE786570:LCP786570 KSI786570:KST786570 KIM786570:KIX786570 JYQ786570:JZB786570 JOU786570:JPF786570 JEY786570:JFJ786570 IVC786570:IVN786570 ILG786570:ILR786570 IBK786570:IBV786570 HRO786570:HRZ786570 HHS786570:HID786570 GXW786570:GYH786570 GOA786570:GOL786570 GEE786570:GEP786570 FUI786570:FUT786570 FKM786570:FKX786570 FAQ786570:FBB786570 EQU786570:ERF786570 EGY786570:EHJ786570 DXC786570:DXN786570 DNG786570:DNR786570 DDK786570:DDV786570 CTO786570:CTZ786570 CJS786570:CKD786570 BZW786570:CAH786570 BQA786570:BQL786570 BGE786570:BGP786570 AWI786570:AWT786570 AMM786570:AMX786570 ACQ786570:ADB786570 SU786570:TF786570 IY786570:JJ786570 C786570:N786570 WVK721034:WVV721034 WLO721034:WLZ721034 WBS721034:WCD721034 VRW721034:VSH721034 VIA721034:VIL721034 UYE721034:UYP721034 UOI721034:UOT721034 UEM721034:UEX721034 TUQ721034:TVB721034 TKU721034:TLF721034 TAY721034:TBJ721034 SRC721034:SRN721034 SHG721034:SHR721034 RXK721034:RXV721034 RNO721034:RNZ721034 RDS721034:RED721034 QTW721034:QUH721034 QKA721034:QKL721034 QAE721034:QAP721034 PQI721034:PQT721034 PGM721034:PGX721034 OWQ721034:OXB721034 OMU721034:ONF721034 OCY721034:ODJ721034 NTC721034:NTN721034 NJG721034:NJR721034 MZK721034:MZV721034 MPO721034:MPZ721034 MFS721034:MGD721034 LVW721034:LWH721034 LMA721034:LML721034 LCE721034:LCP721034 KSI721034:KST721034 KIM721034:KIX721034 JYQ721034:JZB721034 JOU721034:JPF721034 JEY721034:JFJ721034 IVC721034:IVN721034 ILG721034:ILR721034 IBK721034:IBV721034 HRO721034:HRZ721034 HHS721034:HID721034 GXW721034:GYH721034 GOA721034:GOL721034 GEE721034:GEP721034 FUI721034:FUT721034 FKM721034:FKX721034 FAQ721034:FBB721034 EQU721034:ERF721034 EGY721034:EHJ721034 DXC721034:DXN721034 DNG721034:DNR721034 DDK721034:DDV721034 CTO721034:CTZ721034 CJS721034:CKD721034 BZW721034:CAH721034 BQA721034:BQL721034 BGE721034:BGP721034 AWI721034:AWT721034 AMM721034:AMX721034 ACQ721034:ADB721034 SU721034:TF721034 IY721034:JJ721034 C721034:N721034 WVK655498:WVV655498 WLO655498:WLZ655498 WBS655498:WCD655498 VRW655498:VSH655498 VIA655498:VIL655498 UYE655498:UYP655498 UOI655498:UOT655498 UEM655498:UEX655498 TUQ655498:TVB655498 TKU655498:TLF655498 TAY655498:TBJ655498 SRC655498:SRN655498 SHG655498:SHR655498 RXK655498:RXV655498 RNO655498:RNZ655498 RDS655498:RED655498 QTW655498:QUH655498 QKA655498:QKL655498 QAE655498:QAP655498 PQI655498:PQT655498 PGM655498:PGX655498 OWQ655498:OXB655498 OMU655498:ONF655498 OCY655498:ODJ655498 NTC655498:NTN655498 NJG655498:NJR655498 MZK655498:MZV655498 MPO655498:MPZ655498 MFS655498:MGD655498 LVW655498:LWH655498 LMA655498:LML655498 LCE655498:LCP655498 KSI655498:KST655498 KIM655498:KIX655498 JYQ655498:JZB655498 JOU655498:JPF655498 JEY655498:JFJ655498 IVC655498:IVN655498 ILG655498:ILR655498 IBK655498:IBV655498 HRO655498:HRZ655498 HHS655498:HID655498 GXW655498:GYH655498 GOA655498:GOL655498 GEE655498:GEP655498 FUI655498:FUT655498 FKM655498:FKX655498 FAQ655498:FBB655498 EQU655498:ERF655498 EGY655498:EHJ655498 DXC655498:DXN655498 DNG655498:DNR655498 DDK655498:DDV655498 CTO655498:CTZ655498 CJS655498:CKD655498 BZW655498:CAH655498 BQA655498:BQL655498 BGE655498:BGP655498 AWI655498:AWT655498 AMM655498:AMX655498 ACQ655498:ADB655498 SU655498:TF655498 IY655498:JJ655498 C655498:N655498 WVK589962:WVV589962 WLO589962:WLZ589962 WBS589962:WCD589962 VRW589962:VSH589962 VIA589962:VIL589962 UYE589962:UYP589962 UOI589962:UOT589962 UEM589962:UEX589962 TUQ589962:TVB589962 TKU589962:TLF589962 TAY589962:TBJ589962 SRC589962:SRN589962 SHG589962:SHR589962 RXK589962:RXV589962 RNO589962:RNZ589962 RDS589962:RED589962 QTW589962:QUH589962 QKA589962:QKL589962 QAE589962:QAP589962 PQI589962:PQT589962 PGM589962:PGX589962 OWQ589962:OXB589962 OMU589962:ONF589962 OCY589962:ODJ589962 NTC589962:NTN589962 NJG589962:NJR589962 MZK589962:MZV589962 MPO589962:MPZ589962 MFS589962:MGD589962 LVW589962:LWH589962 LMA589962:LML589962 LCE589962:LCP589962 KSI589962:KST589962 KIM589962:KIX589962 JYQ589962:JZB589962 JOU589962:JPF589962 JEY589962:JFJ589962 IVC589962:IVN589962 ILG589962:ILR589962 IBK589962:IBV589962 HRO589962:HRZ589962 HHS589962:HID589962 GXW589962:GYH589962 GOA589962:GOL589962 GEE589962:GEP589962 FUI589962:FUT589962 FKM589962:FKX589962 FAQ589962:FBB589962 EQU589962:ERF589962 EGY589962:EHJ589962 DXC589962:DXN589962 DNG589962:DNR589962 DDK589962:DDV589962 CTO589962:CTZ589962 CJS589962:CKD589962 BZW589962:CAH589962 BQA589962:BQL589962 BGE589962:BGP589962 AWI589962:AWT589962 AMM589962:AMX589962 ACQ589962:ADB589962 SU589962:TF589962 IY589962:JJ589962 C589962:N589962 WVK524426:WVV524426 WLO524426:WLZ524426 WBS524426:WCD524426 VRW524426:VSH524426 VIA524426:VIL524426 UYE524426:UYP524426 UOI524426:UOT524426 UEM524426:UEX524426 TUQ524426:TVB524426 TKU524426:TLF524426 TAY524426:TBJ524426 SRC524426:SRN524426 SHG524426:SHR524426 RXK524426:RXV524426 RNO524426:RNZ524426 RDS524426:RED524426 QTW524426:QUH524426 QKA524426:QKL524426 QAE524426:QAP524426 PQI524426:PQT524426 PGM524426:PGX524426 OWQ524426:OXB524426 OMU524426:ONF524426 OCY524426:ODJ524426 NTC524426:NTN524426 NJG524426:NJR524426 MZK524426:MZV524426 MPO524426:MPZ524426 MFS524426:MGD524426 LVW524426:LWH524426 LMA524426:LML524426 LCE524426:LCP524426 KSI524426:KST524426 KIM524426:KIX524426 JYQ524426:JZB524426 JOU524426:JPF524426 JEY524426:JFJ524426 IVC524426:IVN524426 ILG524426:ILR524426 IBK524426:IBV524426 HRO524426:HRZ524426 HHS524426:HID524426 GXW524426:GYH524426 GOA524426:GOL524426 GEE524426:GEP524426 FUI524426:FUT524426 FKM524426:FKX524426 FAQ524426:FBB524426 EQU524426:ERF524426 EGY524426:EHJ524426 DXC524426:DXN524426 DNG524426:DNR524426 DDK524426:DDV524426 CTO524426:CTZ524426 CJS524426:CKD524426 BZW524426:CAH524426 BQA524426:BQL524426 BGE524426:BGP524426 AWI524426:AWT524426 AMM524426:AMX524426 ACQ524426:ADB524426 SU524426:TF524426 IY524426:JJ524426 C524426:N524426 WVK458890:WVV458890 WLO458890:WLZ458890 WBS458890:WCD458890 VRW458890:VSH458890 VIA458890:VIL458890 UYE458890:UYP458890 UOI458890:UOT458890 UEM458890:UEX458890 TUQ458890:TVB458890 TKU458890:TLF458890 TAY458890:TBJ458890 SRC458890:SRN458890 SHG458890:SHR458890 RXK458890:RXV458890 RNO458890:RNZ458890 RDS458890:RED458890 QTW458890:QUH458890 QKA458890:QKL458890 QAE458890:QAP458890 PQI458890:PQT458890 PGM458890:PGX458890 OWQ458890:OXB458890 OMU458890:ONF458890 OCY458890:ODJ458890 NTC458890:NTN458890 NJG458890:NJR458890 MZK458890:MZV458890 MPO458890:MPZ458890 MFS458890:MGD458890 LVW458890:LWH458890 LMA458890:LML458890 LCE458890:LCP458890 KSI458890:KST458890 KIM458890:KIX458890 JYQ458890:JZB458890 JOU458890:JPF458890 JEY458890:JFJ458890 IVC458890:IVN458890 ILG458890:ILR458890 IBK458890:IBV458890 HRO458890:HRZ458890 HHS458890:HID458890 GXW458890:GYH458890 GOA458890:GOL458890 GEE458890:GEP458890 FUI458890:FUT458890 FKM458890:FKX458890 FAQ458890:FBB458890 EQU458890:ERF458890 EGY458890:EHJ458890 DXC458890:DXN458890 DNG458890:DNR458890 DDK458890:DDV458890 CTO458890:CTZ458890 CJS458890:CKD458890 BZW458890:CAH458890 BQA458890:BQL458890 BGE458890:BGP458890 AWI458890:AWT458890 AMM458890:AMX458890 ACQ458890:ADB458890 SU458890:TF458890 IY458890:JJ458890 C458890:N458890 WVK393354:WVV393354 WLO393354:WLZ393354 WBS393354:WCD393354 VRW393354:VSH393354 VIA393354:VIL393354 UYE393354:UYP393354 UOI393354:UOT393354 UEM393354:UEX393354 TUQ393354:TVB393354 TKU393354:TLF393354 TAY393354:TBJ393354 SRC393354:SRN393354 SHG393354:SHR393354 RXK393354:RXV393354 RNO393354:RNZ393354 RDS393354:RED393354 QTW393354:QUH393354 QKA393354:QKL393354 QAE393354:QAP393354 PQI393354:PQT393354 PGM393354:PGX393354 OWQ393354:OXB393354 OMU393354:ONF393354 OCY393354:ODJ393354 NTC393354:NTN393354 NJG393354:NJR393354 MZK393354:MZV393354 MPO393354:MPZ393354 MFS393354:MGD393354 LVW393354:LWH393354 LMA393354:LML393354 LCE393354:LCP393354 KSI393354:KST393354 KIM393354:KIX393354 JYQ393354:JZB393354 JOU393354:JPF393354 JEY393354:JFJ393354 IVC393354:IVN393354 ILG393354:ILR393354 IBK393354:IBV393354 HRO393354:HRZ393354 HHS393354:HID393354 GXW393354:GYH393354 GOA393354:GOL393354 GEE393354:GEP393354 FUI393354:FUT393354 FKM393354:FKX393354 FAQ393354:FBB393354 EQU393354:ERF393354 EGY393354:EHJ393354 DXC393354:DXN393354 DNG393354:DNR393354 DDK393354:DDV393354 CTO393354:CTZ393354 CJS393354:CKD393354 BZW393354:CAH393354 BQA393354:BQL393354 BGE393354:BGP393354 AWI393354:AWT393354 AMM393354:AMX393354 ACQ393354:ADB393354 SU393354:TF393354 IY393354:JJ393354 C393354:N393354 WVK327818:WVV327818 WLO327818:WLZ327818 WBS327818:WCD327818 VRW327818:VSH327818 VIA327818:VIL327818 UYE327818:UYP327818 UOI327818:UOT327818 UEM327818:UEX327818 TUQ327818:TVB327818 TKU327818:TLF327818 TAY327818:TBJ327818 SRC327818:SRN327818 SHG327818:SHR327818 RXK327818:RXV327818 RNO327818:RNZ327818 RDS327818:RED327818 QTW327818:QUH327818 QKA327818:QKL327818 QAE327818:QAP327818 PQI327818:PQT327818 PGM327818:PGX327818 OWQ327818:OXB327818 OMU327818:ONF327818 OCY327818:ODJ327818 NTC327818:NTN327818 NJG327818:NJR327818 MZK327818:MZV327818 MPO327818:MPZ327818 MFS327818:MGD327818 LVW327818:LWH327818 LMA327818:LML327818 LCE327818:LCP327818 KSI327818:KST327818 KIM327818:KIX327818 JYQ327818:JZB327818 JOU327818:JPF327818 JEY327818:JFJ327818 IVC327818:IVN327818 ILG327818:ILR327818 IBK327818:IBV327818 HRO327818:HRZ327818 HHS327818:HID327818 GXW327818:GYH327818 GOA327818:GOL327818 GEE327818:GEP327818 FUI327818:FUT327818 FKM327818:FKX327818 FAQ327818:FBB327818 EQU327818:ERF327818 EGY327818:EHJ327818 DXC327818:DXN327818 DNG327818:DNR327818 DDK327818:DDV327818 CTO327818:CTZ327818 CJS327818:CKD327818 BZW327818:CAH327818 BQA327818:BQL327818 BGE327818:BGP327818 AWI327818:AWT327818 AMM327818:AMX327818 ACQ327818:ADB327818 SU327818:TF327818 IY327818:JJ327818 C327818:N327818 WVK262282:WVV262282 WLO262282:WLZ262282 WBS262282:WCD262282 VRW262282:VSH262282 VIA262282:VIL262282 UYE262282:UYP262282 UOI262282:UOT262282 UEM262282:UEX262282 TUQ262282:TVB262282 TKU262282:TLF262282 TAY262282:TBJ262282 SRC262282:SRN262282 SHG262282:SHR262282 RXK262282:RXV262282 RNO262282:RNZ262282 RDS262282:RED262282 QTW262282:QUH262282 QKA262282:QKL262282 QAE262282:QAP262282 PQI262282:PQT262282 PGM262282:PGX262282 OWQ262282:OXB262282 OMU262282:ONF262282 OCY262282:ODJ262282 NTC262282:NTN262282 NJG262282:NJR262282 MZK262282:MZV262282 MPO262282:MPZ262282 MFS262282:MGD262282 LVW262282:LWH262282 LMA262282:LML262282 LCE262282:LCP262282 KSI262282:KST262282 KIM262282:KIX262282 JYQ262282:JZB262282 JOU262282:JPF262282 JEY262282:JFJ262282 IVC262282:IVN262282 ILG262282:ILR262282 IBK262282:IBV262282 HRO262282:HRZ262282 HHS262282:HID262282 GXW262282:GYH262282 GOA262282:GOL262282 GEE262282:GEP262282 FUI262282:FUT262282 FKM262282:FKX262282 FAQ262282:FBB262282 EQU262282:ERF262282 EGY262282:EHJ262282 DXC262282:DXN262282 DNG262282:DNR262282 DDK262282:DDV262282 CTO262282:CTZ262282 CJS262282:CKD262282 BZW262282:CAH262282 BQA262282:BQL262282 BGE262282:BGP262282 AWI262282:AWT262282 AMM262282:AMX262282 ACQ262282:ADB262282 SU262282:TF262282 IY262282:JJ262282 C262282:N262282 WVK196746:WVV196746 WLO196746:WLZ196746 WBS196746:WCD196746 VRW196746:VSH196746 VIA196746:VIL196746 UYE196746:UYP196746 UOI196746:UOT196746 UEM196746:UEX196746 TUQ196746:TVB196746 TKU196746:TLF196746 TAY196746:TBJ196746 SRC196746:SRN196746 SHG196746:SHR196746 RXK196746:RXV196746 RNO196746:RNZ196746 RDS196746:RED196746 QTW196746:QUH196746 QKA196746:QKL196746 QAE196746:QAP196746 PQI196746:PQT196746 PGM196746:PGX196746 OWQ196746:OXB196746 OMU196746:ONF196746 OCY196746:ODJ196746 NTC196746:NTN196746 NJG196746:NJR196746 MZK196746:MZV196746 MPO196746:MPZ196746 MFS196746:MGD196746 LVW196746:LWH196746 LMA196746:LML196746 LCE196746:LCP196746 KSI196746:KST196746 KIM196746:KIX196746 JYQ196746:JZB196746 JOU196746:JPF196746 JEY196746:JFJ196746 IVC196746:IVN196746 ILG196746:ILR196746 IBK196746:IBV196746 HRO196746:HRZ196746 HHS196746:HID196746 GXW196746:GYH196746 GOA196746:GOL196746 GEE196746:GEP196746 FUI196746:FUT196746 FKM196746:FKX196746 FAQ196746:FBB196746 EQU196746:ERF196746 EGY196746:EHJ196746 DXC196746:DXN196746 DNG196746:DNR196746 DDK196746:DDV196746 CTO196746:CTZ196746 CJS196746:CKD196746 BZW196746:CAH196746 BQA196746:BQL196746 BGE196746:BGP196746 AWI196746:AWT196746 AMM196746:AMX196746 ACQ196746:ADB196746 SU196746:TF196746 IY196746:JJ196746 C196746:N196746 WVK131210:WVV131210 WLO131210:WLZ131210 WBS131210:WCD131210 VRW131210:VSH131210 VIA131210:VIL131210 UYE131210:UYP131210 UOI131210:UOT131210 UEM131210:UEX131210 TUQ131210:TVB131210 TKU131210:TLF131210 TAY131210:TBJ131210 SRC131210:SRN131210 SHG131210:SHR131210 RXK131210:RXV131210 RNO131210:RNZ131210 RDS131210:RED131210 QTW131210:QUH131210 QKA131210:QKL131210 QAE131210:QAP131210 PQI131210:PQT131210 PGM131210:PGX131210 OWQ131210:OXB131210 OMU131210:ONF131210 OCY131210:ODJ131210 NTC131210:NTN131210 NJG131210:NJR131210 MZK131210:MZV131210 MPO131210:MPZ131210 MFS131210:MGD131210 LVW131210:LWH131210 LMA131210:LML131210 LCE131210:LCP131210 KSI131210:KST131210 KIM131210:KIX131210 JYQ131210:JZB131210 JOU131210:JPF131210 JEY131210:JFJ131210 IVC131210:IVN131210 ILG131210:ILR131210 IBK131210:IBV131210 HRO131210:HRZ131210 HHS131210:HID131210 GXW131210:GYH131210 GOA131210:GOL131210 GEE131210:GEP131210 FUI131210:FUT131210 FKM131210:FKX131210 FAQ131210:FBB131210 EQU131210:ERF131210 EGY131210:EHJ131210 DXC131210:DXN131210 DNG131210:DNR131210 DDK131210:DDV131210 CTO131210:CTZ131210 CJS131210:CKD131210 BZW131210:CAH131210 BQA131210:BQL131210 BGE131210:BGP131210 AWI131210:AWT131210 AMM131210:AMX131210 ACQ131210:ADB131210 SU131210:TF131210 IY131210:JJ131210 C131210:N131210 WVK65674:WVV65674 WLO65674:WLZ65674 WBS65674:WCD65674 VRW65674:VSH65674 VIA65674:VIL65674 UYE65674:UYP65674 UOI65674:UOT65674 UEM65674:UEX65674 TUQ65674:TVB65674 TKU65674:TLF65674 TAY65674:TBJ65674 SRC65674:SRN65674 SHG65674:SHR65674 RXK65674:RXV65674 RNO65674:RNZ65674 RDS65674:RED65674 QTW65674:QUH65674 QKA65674:QKL65674 QAE65674:QAP65674 PQI65674:PQT65674 PGM65674:PGX65674 OWQ65674:OXB65674 OMU65674:ONF65674 OCY65674:ODJ65674 NTC65674:NTN65674 NJG65674:NJR65674 MZK65674:MZV65674 MPO65674:MPZ65674 MFS65674:MGD65674 LVW65674:LWH65674 LMA65674:LML65674 LCE65674:LCP65674 KSI65674:KST65674 KIM65674:KIX65674 JYQ65674:JZB65674 JOU65674:JPF65674 JEY65674:JFJ65674 IVC65674:IVN65674 ILG65674:ILR65674 IBK65674:IBV65674 HRO65674:HRZ65674 HHS65674:HID65674 GXW65674:GYH65674 GOA65674:GOL65674 GEE65674:GEP65674 FUI65674:FUT65674 FKM65674:FKX65674 FAQ65674:FBB65674 EQU65674:ERF65674 EGY65674:EHJ65674 DXC65674:DXN65674 DNG65674:DNR65674 DDK65674:DDV65674 CTO65674:CTZ65674 CJS65674:CKD65674 BZW65674:CAH65674 BQA65674:BQL65674 BGE65674:BGP65674 AWI65674:AWT65674 AMM65674:AMX65674 ACQ65674:ADB65674 SU65674:TF65674 IY65674:JJ65674 C65674:N65674 WVK220:WVV220 WLO220:WLZ220 WBS220:WCD220 VRW220:VSH220 VIA220:VIL220 UYE220:UYP220 UOI220:UOT220 UEM220:UEX220 TUQ220:TVB220 TKU220:TLF220 TAY220:TBJ220 SRC220:SRN220 SHG220:SHR220 RXK220:RXV220 RNO220:RNZ220 RDS220:RED220 QTW220:QUH220 QKA220:QKL220 QAE220:QAP220 PQI220:PQT220 PGM220:PGX220 OWQ220:OXB220 OMU220:ONF220 OCY220:ODJ220 NTC220:NTN220 NJG220:NJR220 MZK220:MZV220 MPO220:MPZ220 MFS220:MGD220 LVW220:LWH220 LMA220:LML220 LCE220:LCP220 KSI220:KST220 KIM220:KIX220 JYQ220:JZB220 JOU220:JPF220 JEY220:JFJ220 IVC220:IVN220 ILG220:ILR220 IBK220:IBV220 HRO220:HRZ220 HHS220:HID220 GXW220:GYH220 GOA220:GOL220 GEE220:GEP220 FUI220:FUT220 FKM220:FKX220 FAQ220:FBB220 EQU220:ERF220 EGY220:EHJ220 DXC220:DXN220 DNG220:DNR220</xm:sqref>
        </x14:dataValidation>
        <x14:dataValidation type="list" allowBlank="1" showInputMessage="1" showErrorMessage="1">
          <x14:formula1>
            <xm:f>$T$144:$T$168</xm:f>
          </x14:formula1>
          <xm:sqref>AWI206:AWT206 WVK983299:WVV983299 WLO983299:WLZ983299 WBS983299:WCD983299 VRW983299:VSH983299 VIA983299:VIL983299 UYE983299:UYP983299 UOI983299:UOT983299 UEM983299:UEX983299 TUQ983299:TVB983299 TKU983299:TLF983299 TAY983299:TBJ983299 SRC983299:SRN983299 SHG983299:SHR983299 RXK983299:RXV983299 RNO983299:RNZ983299 RDS983299:RED983299 QTW983299:QUH983299 QKA983299:QKL983299 QAE983299:QAP983299 PQI983299:PQT983299 PGM983299:PGX983299 OWQ983299:OXB983299 OMU983299:ONF983299 OCY983299:ODJ983299 NTC983299:NTN983299 NJG983299:NJR983299 MZK983299:MZV983299 MPO983299:MPZ983299 MFS983299:MGD983299 LVW983299:LWH983299 LMA983299:LML983299 LCE983299:LCP983299 KSI983299:KST983299 KIM983299:KIX983299 JYQ983299:JZB983299 JOU983299:JPF983299 JEY983299:JFJ983299 IVC983299:IVN983299 ILG983299:ILR983299 IBK983299:IBV983299 HRO983299:HRZ983299 HHS983299:HID983299 GXW983299:GYH983299 GOA983299:GOL983299 GEE983299:GEP983299 FUI983299:FUT983299 FKM983299:FKX983299 FAQ983299:FBB983299 EQU983299:ERF983299 EGY983299:EHJ983299 DXC983299:DXN983299 DNG983299:DNR983299 DDK983299:DDV983299 CTO983299:CTZ983299 CJS983299:CKD983299 BZW983299:CAH983299 BQA983299:BQL983299 BGE983299:BGP983299 AWI983299:AWT983299 AMM983299:AMX983299 ACQ983299:ADB983299 SU983299:TF983299 IY983299:JJ983299 C983299:N983299 WVK917763:WVV917763 WLO917763:WLZ917763 WBS917763:WCD917763 VRW917763:VSH917763 VIA917763:VIL917763 UYE917763:UYP917763 UOI917763:UOT917763 UEM917763:UEX917763 TUQ917763:TVB917763 TKU917763:TLF917763 TAY917763:TBJ917763 SRC917763:SRN917763 SHG917763:SHR917763 RXK917763:RXV917763 RNO917763:RNZ917763 RDS917763:RED917763 QTW917763:QUH917763 QKA917763:QKL917763 QAE917763:QAP917763 PQI917763:PQT917763 PGM917763:PGX917763 OWQ917763:OXB917763 OMU917763:ONF917763 OCY917763:ODJ917763 NTC917763:NTN917763 NJG917763:NJR917763 MZK917763:MZV917763 MPO917763:MPZ917763 MFS917763:MGD917763 LVW917763:LWH917763 LMA917763:LML917763 LCE917763:LCP917763 KSI917763:KST917763 KIM917763:KIX917763 JYQ917763:JZB917763 JOU917763:JPF917763 JEY917763:JFJ917763 IVC917763:IVN917763 ILG917763:ILR917763 IBK917763:IBV917763 HRO917763:HRZ917763 HHS917763:HID917763 GXW917763:GYH917763 GOA917763:GOL917763 GEE917763:GEP917763 FUI917763:FUT917763 FKM917763:FKX917763 FAQ917763:FBB917763 EQU917763:ERF917763 EGY917763:EHJ917763 DXC917763:DXN917763 DNG917763:DNR917763 DDK917763:DDV917763 CTO917763:CTZ917763 CJS917763:CKD917763 BZW917763:CAH917763 BQA917763:BQL917763 BGE917763:BGP917763 AWI917763:AWT917763 AMM917763:AMX917763 ACQ917763:ADB917763 SU917763:TF917763 IY917763:JJ917763 C917763:N917763 WVK852227:WVV852227 WLO852227:WLZ852227 WBS852227:WCD852227 VRW852227:VSH852227 VIA852227:VIL852227 UYE852227:UYP852227 UOI852227:UOT852227 UEM852227:UEX852227 TUQ852227:TVB852227 TKU852227:TLF852227 TAY852227:TBJ852227 SRC852227:SRN852227 SHG852227:SHR852227 RXK852227:RXV852227 RNO852227:RNZ852227 RDS852227:RED852227 QTW852227:QUH852227 QKA852227:QKL852227 QAE852227:QAP852227 PQI852227:PQT852227 PGM852227:PGX852227 OWQ852227:OXB852227 OMU852227:ONF852227 OCY852227:ODJ852227 NTC852227:NTN852227 NJG852227:NJR852227 MZK852227:MZV852227 MPO852227:MPZ852227 MFS852227:MGD852227 LVW852227:LWH852227 LMA852227:LML852227 LCE852227:LCP852227 KSI852227:KST852227 KIM852227:KIX852227 JYQ852227:JZB852227 JOU852227:JPF852227 JEY852227:JFJ852227 IVC852227:IVN852227 ILG852227:ILR852227 IBK852227:IBV852227 HRO852227:HRZ852227 HHS852227:HID852227 GXW852227:GYH852227 GOA852227:GOL852227 GEE852227:GEP852227 FUI852227:FUT852227 FKM852227:FKX852227 FAQ852227:FBB852227 EQU852227:ERF852227 EGY852227:EHJ852227 DXC852227:DXN852227 DNG852227:DNR852227 DDK852227:DDV852227 CTO852227:CTZ852227 CJS852227:CKD852227 BZW852227:CAH852227 BQA852227:BQL852227 BGE852227:BGP852227 AWI852227:AWT852227 AMM852227:AMX852227 ACQ852227:ADB852227 SU852227:TF852227 IY852227:JJ852227 C852227:N852227 WVK786691:WVV786691 WLO786691:WLZ786691 WBS786691:WCD786691 VRW786691:VSH786691 VIA786691:VIL786691 UYE786691:UYP786691 UOI786691:UOT786691 UEM786691:UEX786691 TUQ786691:TVB786691 TKU786691:TLF786691 TAY786691:TBJ786691 SRC786691:SRN786691 SHG786691:SHR786691 RXK786691:RXV786691 RNO786691:RNZ786691 RDS786691:RED786691 QTW786691:QUH786691 QKA786691:QKL786691 QAE786691:QAP786691 PQI786691:PQT786691 PGM786691:PGX786691 OWQ786691:OXB786691 OMU786691:ONF786691 OCY786691:ODJ786691 NTC786691:NTN786691 NJG786691:NJR786691 MZK786691:MZV786691 MPO786691:MPZ786691 MFS786691:MGD786691 LVW786691:LWH786691 LMA786691:LML786691 LCE786691:LCP786691 KSI786691:KST786691 KIM786691:KIX786691 JYQ786691:JZB786691 JOU786691:JPF786691 JEY786691:JFJ786691 IVC786691:IVN786691 ILG786691:ILR786691 IBK786691:IBV786691 HRO786691:HRZ786691 HHS786691:HID786691 GXW786691:GYH786691 GOA786691:GOL786691 GEE786691:GEP786691 FUI786691:FUT786691 FKM786691:FKX786691 FAQ786691:FBB786691 EQU786691:ERF786691 EGY786691:EHJ786691 DXC786691:DXN786691 DNG786691:DNR786691 DDK786691:DDV786691 CTO786691:CTZ786691 CJS786691:CKD786691 BZW786691:CAH786691 BQA786691:BQL786691 BGE786691:BGP786691 AWI786691:AWT786691 AMM786691:AMX786691 ACQ786691:ADB786691 SU786691:TF786691 IY786691:JJ786691 C786691:N786691 WVK721155:WVV721155 WLO721155:WLZ721155 WBS721155:WCD721155 VRW721155:VSH721155 VIA721155:VIL721155 UYE721155:UYP721155 UOI721155:UOT721155 UEM721155:UEX721155 TUQ721155:TVB721155 TKU721155:TLF721155 TAY721155:TBJ721155 SRC721155:SRN721155 SHG721155:SHR721155 RXK721155:RXV721155 RNO721155:RNZ721155 RDS721155:RED721155 QTW721155:QUH721155 QKA721155:QKL721155 QAE721155:QAP721155 PQI721155:PQT721155 PGM721155:PGX721155 OWQ721155:OXB721155 OMU721155:ONF721155 OCY721155:ODJ721155 NTC721155:NTN721155 NJG721155:NJR721155 MZK721155:MZV721155 MPO721155:MPZ721155 MFS721155:MGD721155 LVW721155:LWH721155 LMA721155:LML721155 LCE721155:LCP721155 KSI721155:KST721155 KIM721155:KIX721155 JYQ721155:JZB721155 JOU721155:JPF721155 JEY721155:JFJ721155 IVC721155:IVN721155 ILG721155:ILR721155 IBK721155:IBV721155 HRO721155:HRZ721155 HHS721155:HID721155 GXW721155:GYH721155 GOA721155:GOL721155 GEE721155:GEP721155 FUI721155:FUT721155 FKM721155:FKX721155 FAQ721155:FBB721155 EQU721155:ERF721155 EGY721155:EHJ721155 DXC721155:DXN721155 DNG721155:DNR721155 DDK721155:DDV721155 CTO721155:CTZ721155 CJS721155:CKD721155 BZW721155:CAH721155 BQA721155:BQL721155 BGE721155:BGP721155 AWI721155:AWT721155 AMM721155:AMX721155 ACQ721155:ADB721155 SU721155:TF721155 IY721155:JJ721155 C721155:N721155 WVK655619:WVV655619 WLO655619:WLZ655619 WBS655619:WCD655619 VRW655619:VSH655619 VIA655619:VIL655619 UYE655619:UYP655619 UOI655619:UOT655619 UEM655619:UEX655619 TUQ655619:TVB655619 TKU655619:TLF655619 TAY655619:TBJ655619 SRC655619:SRN655619 SHG655619:SHR655619 RXK655619:RXV655619 RNO655619:RNZ655619 RDS655619:RED655619 QTW655619:QUH655619 QKA655619:QKL655619 QAE655619:QAP655619 PQI655619:PQT655619 PGM655619:PGX655619 OWQ655619:OXB655619 OMU655619:ONF655619 OCY655619:ODJ655619 NTC655619:NTN655619 NJG655619:NJR655619 MZK655619:MZV655619 MPO655619:MPZ655619 MFS655619:MGD655619 LVW655619:LWH655619 LMA655619:LML655619 LCE655619:LCP655619 KSI655619:KST655619 KIM655619:KIX655619 JYQ655619:JZB655619 JOU655619:JPF655619 JEY655619:JFJ655619 IVC655619:IVN655619 ILG655619:ILR655619 IBK655619:IBV655619 HRO655619:HRZ655619 HHS655619:HID655619 GXW655619:GYH655619 GOA655619:GOL655619 GEE655619:GEP655619 FUI655619:FUT655619 FKM655619:FKX655619 FAQ655619:FBB655619 EQU655619:ERF655619 EGY655619:EHJ655619 DXC655619:DXN655619 DNG655619:DNR655619 DDK655619:DDV655619 CTO655619:CTZ655619 CJS655619:CKD655619 BZW655619:CAH655619 BQA655619:BQL655619 BGE655619:BGP655619 AWI655619:AWT655619 AMM655619:AMX655619 ACQ655619:ADB655619 SU655619:TF655619 IY655619:JJ655619 C655619:N655619 WVK590083:WVV590083 WLO590083:WLZ590083 WBS590083:WCD590083 VRW590083:VSH590083 VIA590083:VIL590083 UYE590083:UYP590083 UOI590083:UOT590083 UEM590083:UEX590083 TUQ590083:TVB590083 TKU590083:TLF590083 TAY590083:TBJ590083 SRC590083:SRN590083 SHG590083:SHR590083 RXK590083:RXV590083 RNO590083:RNZ590083 RDS590083:RED590083 QTW590083:QUH590083 QKA590083:QKL590083 QAE590083:QAP590083 PQI590083:PQT590083 PGM590083:PGX590083 OWQ590083:OXB590083 OMU590083:ONF590083 OCY590083:ODJ590083 NTC590083:NTN590083 NJG590083:NJR590083 MZK590083:MZV590083 MPO590083:MPZ590083 MFS590083:MGD590083 LVW590083:LWH590083 LMA590083:LML590083 LCE590083:LCP590083 KSI590083:KST590083 KIM590083:KIX590083 JYQ590083:JZB590083 JOU590083:JPF590083 JEY590083:JFJ590083 IVC590083:IVN590083 ILG590083:ILR590083 IBK590083:IBV590083 HRO590083:HRZ590083 HHS590083:HID590083 GXW590083:GYH590083 GOA590083:GOL590083 GEE590083:GEP590083 FUI590083:FUT590083 FKM590083:FKX590083 FAQ590083:FBB590083 EQU590083:ERF590083 EGY590083:EHJ590083 DXC590083:DXN590083 DNG590083:DNR590083 DDK590083:DDV590083 CTO590083:CTZ590083 CJS590083:CKD590083 BZW590083:CAH590083 BQA590083:BQL590083 BGE590083:BGP590083 AWI590083:AWT590083 AMM590083:AMX590083 ACQ590083:ADB590083 SU590083:TF590083 IY590083:JJ590083 C590083:N590083 WVK524547:WVV524547 WLO524547:WLZ524547 WBS524547:WCD524547 VRW524547:VSH524547 VIA524547:VIL524547 UYE524547:UYP524547 UOI524547:UOT524547 UEM524547:UEX524547 TUQ524547:TVB524547 TKU524547:TLF524547 TAY524547:TBJ524547 SRC524547:SRN524547 SHG524547:SHR524547 RXK524547:RXV524547 RNO524547:RNZ524547 RDS524547:RED524547 QTW524547:QUH524547 QKA524547:QKL524547 QAE524547:QAP524547 PQI524547:PQT524547 PGM524547:PGX524547 OWQ524547:OXB524547 OMU524547:ONF524547 OCY524547:ODJ524547 NTC524547:NTN524547 NJG524547:NJR524547 MZK524547:MZV524547 MPO524547:MPZ524547 MFS524547:MGD524547 LVW524547:LWH524547 LMA524547:LML524547 LCE524547:LCP524547 KSI524547:KST524547 KIM524547:KIX524547 JYQ524547:JZB524547 JOU524547:JPF524547 JEY524547:JFJ524547 IVC524547:IVN524547 ILG524547:ILR524547 IBK524547:IBV524547 HRO524547:HRZ524547 HHS524547:HID524547 GXW524547:GYH524547 GOA524547:GOL524547 GEE524547:GEP524547 FUI524547:FUT524547 FKM524547:FKX524547 FAQ524547:FBB524547 EQU524547:ERF524547 EGY524547:EHJ524547 DXC524547:DXN524547 DNG524547:DNR524547 DDK524547:DDV524547 CTO524547:CTZ524547 CJS524547:CKD524547 BZW524547:CAH524547 BQA524547:BQL524547 BGE524547:BGP524547 AWI524547:AWT524547 AMM524547:AMX524547 ACQ524547:ADB524547 SU524547:TF524547 IY524547:JJ524547 C524547:N524547 WVK459011:WVV459011 WLO459011:WLZ459011 WBS459011:WCD459011 VRW459011:VSH459011 VIA459011:VIL459011 UYE459011:UYP459011 UOI459011:UOT459011 UEM459011:UEX459011 TUQ459011:TVB459011 TKU459011:TLF459011 TAY459011:TBJ459011 SRC459011:SRN459011 SHG459011:SHR459011 RXK459011:RXV459011 RNO459011:RNZ459011 RDS459011:RED459011 QTW459011:QUH459011 QKA459011:QKL459011 QAE459011:QAP459011 PQI459011:PQT459011 PGM459011:PGX459011 OWQ459011:OXB459011 OMU459011:ONF459011 OCY459011:ODJ459011 NTC459011:NTN459011 NJG459011:NJR459011 MZK459011:MZV459011 MPO459011:MPZ459011 MFS459011:MGD459011 LVW459011:LWH459011 LMA459011:LML459011 LCE459011:LCP459011 KSI459011:KST459011 KIM459011:KIX459011 JYQ459011:JZB459011 JOU459011:JPF459011 JEY459011:JFJ459011 IVC459011:IVN459011 ILG459011:ILR459011 IBK459011:IBV459011 HRO459011:HRZ459011 HHS459011:HID459011 GXW459011:GYH459011 GOA459011:GOL459011 GEE459011:GEP459011 FUI459011:FUT459011 FKM459011:FKX459011 FAQ459011:FBB459011 EQU459011:ERF459011 EGY459011:EHJ459011 DXC459011:DXN459011 DNG459011:DNR459011 DDK459011:DDV459011 CTO459011:CTZ459011 CJS459011:CKD459011 BZW459011:CAH459011 BQA459011:BQL459011 BGE459011:BGP459011 AWI459011:AWT459011 AMM459011:AMX459011 ACQ459011:ADB459011 SU459011:TF459011 IY459011:JJ459011 C459011:N459011 WVK393475:WVV393475 WLO393475:WLZ393475 WBS393475:WCD393475 VRW393475:VSH393475 VIA393475:VIL393475 UYE393475:UYP393475 UOI393475:UOT393475 UEM393475:UEX393475 TUQ393475:TVB393475 TKU393475:TLF393475 TAY393475:TBJ393475 SRC393475:SRN393475 SHG393475:SHR393475 RXK393475:RXV393475 RNO393475:RNZ393475 RDS393475:RED393475 QTW393475:QUH393475 QKA393475:QKL393475 QAE393475:QAP393475 PQI393475:PQT393475 PGM393475:PGX393475 OWQ393475:OXB393475 OMU393475:ONF393475 OCY393475:ODJ393475 NTC393475:NTN393475 NJG393475:NJR393475 MZK393475:MZV393475 MPO393475:MPZ393475 MFS393475:MGD393475 LVW393475:LWH393475 LMA393475:LML393475 LCE393475:LCP393475 KSI393475:KST393475 KIM393475:KIX393475 JYQ393475:JZB393475 JOU393475:JPF393475 JEY393475:JFJ393475 IVC393475:IVN393475 ILG393475:ILR393475 IBK393475:IBV393475 HRO393475:HRZ393475 HHS393475:HID393475 GXW393475:GYH393475 GOA393475:GOL393475 GEE393475:GEP393475 FUI393475:FUT393475 FKM393475:FKX393475 FAQ393475:FBB393475 EQU393475:ERF393475 EGY393475:EHJ393475 DXC393475:DXN393475 DNG393475:DNR393475 DDK393475:DDV393475 CTO393475:CTZ393475 CJS393475:CKD393475 BZW393475:CAH393475 BQA393475:BQL393475 BGE393475:BGP393475 AWI393475:AWT393475 AMM393475:AMX393475 ACQ393475:ADB393475 SU393475:TF393475 IY393475:JJ393475 C393475:N393475 WVK327939:WVV327939 WLO327939:WLZ327939 WBS327939:WCD327939 VRW327939:VSH327939 VIA327939:VIL327939 UYE327939:UYP327939 UOI327939:UOT327939 UEM327939:UEX327939 TUQ327939:TVB327939 TKU327939:TLF327939 TAY327939:TBJ327939 SRC327939:SRN327939 SHG327939:SHR327939 RXK327939:RXV327939 RNO327939:RNZ327939 RDS327939:RED327939 QTW327939:QUH327939 QKA327939:QKL327939 QAE327939:QAP327939 PQI327939:PQT327939 PGM327939:PGX327939 OWQ327939:OXB327939 OMU327939:ONF327939 OCY327939:ODJ327939 NTC327939:NTN327939 NJG327939:NJR327939 MZK327939:MZV327939 MPO327939:MPZ327939 MFS327939:MGD327939 LVW327939:LWH327939 LMA327939:LML327939 LCE327939:LCP327939 KSI327939:KST327939 KIM327939:KIX327939 JYQ327939:JZB327939 JOU327939:JPF327939 JEY327939:JFJ327939 IVC327939:IVN327939 ILG327939:ILR327939 IBK327939:IBV327939 HRO327939:HRZ327939 HHS327939:HID327939 GXW327939:GYH327939 GOA327939:GOL327939 GEE327939:GEP327939 FUI327939:FUT327939 FKM327939:FKX327939 FAQ327939:FBB327939 EQU327939:ERF327939 EGY327939:EHJ327939 DXC327939:DXN327939 DNG327939:DNR327939 DDK327939:DDV327939 CTO327939:CTZ327939 CJS327939:CKD327939 BZW327939:CAH327939 BQA327939:BQL327939 BGE327939:BGP327939 AWI327939:AWT327939 AMM327939:AMX327939 ACQ327939:ADB327939 SU327939:TF327939 IY327939:JJ327939 C327939:N327939 WVK262403:WVV262403 WLO262403:WLZ262403 WBS262403:WCD262403 VRW262403:VSH262403 VIA262403:VIL262403 UYE262403:UYP262403 UOI262403:UOT262403 UEM262403:UEX262403 TUQ262403:TVB262403 TKU262403:TLF262403 TAY262403:TBJ262403 SRC262403:SRN262403 SHG262403:SHR262403 RXK262403:RXV262403 RNO262403:RNZ262403 RDS262403:RED262403 QTW262403:QUH262403 QKA262403:QKL262403 QAE262403:QAP262403 PQI262403:PQT262403 PGM262403:PGX262403 OWQ262403:OXB262403 OMU262403:ONF262403 OCY262403:ODJ262403 NTC262403:NTN262403 NJG262403:NJR262403 MZK262403:MZV262403 MPO262403:MPZ262403 MFS262403:MGD262403 LVW262403:LWH262403 LMA262403:LML262403 LCE262403:LCP262403 KSI262403:KST262403 KIM262403:KIX262403 JYQ262403:JZB262403 JOU262403:JPF262403 JEY262403:JFJ262403 IVC262403:IVN262403 ILG262403:ILR262403 IBK262403:IBV262403 HRO262403:HRZ262403 HHS262403:HID262403 GXW262403:GYH262403 GOA262403:GOL262403 GEE262403:GEP262403 FUI262403:FUT262403 FKM262403:FKX262403 FAQ262403:FBB262403 EQU262403:ERF262403 EGY262403:EHJ262403 DXC262403:DXN262403 DNG262403:DNR262403 DDK262403:DDV262403 CTO262403:CTZ262403 CJS262403:CKD262403 BZW262403:CAH262403 BQA262403:BQL262403 BGE262403:BGP262403 AWI262403:AWT262403 AMM262403:AMX262403 ACQ262403:ADB262403 SU262403:TF262403 IY262403:JJ262403 C262403:N262403 WVK196867:WVV196867 WLO196867:WLZ196867 WBS196867:WCD196867 VRW196867:VSH196867 VIA196867:VIL196867 UYE196867:UYP196867 UOI196867:UOT196867 UEM196867:UEX196867 TUQ196867:TVB196867 TKU196867:TLF196867 TAY196867:TBJ196867 SRC196867:SRN196867 SHG196867:SHR196867 RXK196867:RXV196867 RNO196867:RNZ196867 RDS196867:RED196867 QTW196867:QUH196867 QKA196867:QKL196867 QAE196867:QAP196867 PQI196867:PQT196867 PGM196867:PGX196867 OWQ196867:OXB196867 OMU196867:ONF196867 OCY196867:ODJ196867 NTC196867:NTN196867 NJG196867:NJR196867 MZK196867:MZV196867 MPO196867:MPZ196867 MFS196867:MGD196867 LVW196867:LWH196867 LMA196867:LML196867 LCE196867:LCP196867 KSI196867:KST196867 KIM196867:KIX196867 JYQ196867:JZB196867 JOU196867:JPF196867 JEY196867:JFJ196867 IVC196867:IVN196867 ILG196867:ILR196867 IBK196867:IBV196867 HRO196867:HRZ196867 HHS196867:HID196867 GXW196867:GYH196867 GOA196867:GOL196867 GEE196867:GEP196867 FUI196867:FUT196867 FKM196867:FKX196867 FAQ196867:FBB196867 EQU196867:ERF196867 EGY196867:EHJ196867 DXC196867:DXN196867 DNG196867:DNR196867 DDK196867:DDV196867 CTO196867:CTZ196867 CJS196867:CKD196867 BZW196867:CAH196867 BQA196867:BQL196867 BGE196867:BGP196867 AWI196867:AWT196867 AMM196867:AMX196867 ACQ196867:ADB196867 SU196867:TF196867 IY196867:JJ196867 C196867:N196867 WVK131331:WVV131331 WLO131331:WLZ131331 WBS131331:WCD131331 VRW131331:VSH131331 VIA131331:VIL131331 UYE131331:UYP131331 UOI131331:UOT131331 UEM131331:UEX131331 TUQ131331:TVB131331 TKU131331:TLF131331 TAY131331:TBJ131331 SRC131331:SRN131331 SHG131331:SHR131331 RXK131331:RXV131331 RNO131331:RNZ131331 RDS131331:RED131331 QTW131331:QUH131331 QKA131331:QKL131331 QAE131331:QAP131331 PQI131331:PQT131331 PGM131331:PGX131331 OWQ131331:OXB131331 OMU131331:ONF131331 OCY131331:ODJ131331 NTC131331:NTN131331 NJG131331:NJR131331 MZK131331:MZV131331 MPO131331:MPZ131331 MFS131331:MGD131331 LVW131331:LWH131331 LMA131331:LML131331 LCE131331:LCP131331 KSI131331:KST131331 KIM131331:KIX131331 JYQ131331:JZB131331 JOU131331:JPF131331 JEY131331:JFJ131331 IVC131331:IVN131331 ILG131331:ILR131331 IBK131331:IBV131331 HRO131331:HRZ131331 HHS131331:HID131331 GXW131331:GYH131331 GOA131331:GOL131331 GEE131331:GEP131331 FUI131331:FUT131331 FKM131331:FKX131331 FAQ131331:FBB131331 EQU131331:ERF131331 EGY131331:EHJ131331 DXC131331:DXN131331 DNG131331:DNR131331 DDK131331:DDV131331 CTO131331:CTZ131331 CJS131331:CKD131331 BZW131331:CAH131331 BQA131331:BQL131331 BGE131331:BGP131331 AWI131331:AWT131331 AMM131331:AMX131331 ACQ131331:ADB131331 SU131331:TF131331 IY131331:JJ131331 C131331:N131331 WVK65795:WVV65795 WLO65795:WLZ65795 WBS65795:WCD65795 VRW65795:VSH65795 VIA65795:VIL65795 UYE65795:UYP65795 UOI65795:UOT65795 UEM65795:UEX65795 TUQ65795:TVB65795 TKU65795:TLF65795 TAY65795:TBJ65795 SRC65795:SRN65795 SHG65795:SHR65795 RXK65795:RXV65795 RNO65795:RNZ65795 RDS65795:RED65795 QTW65795:QUH65795 QKA65795:QKL65795 QAE65795:QAP65795 PQI65795:PQT65795 PGM65795:PGX65795 OWQ65795:OXB65795 OMU65795:ONF65795 OCY65795:ODJ65795 NTC65795:NTN65795 NJG65795:NJR65795 MZK65795:MZV65795 MPO65795:MPZ65795 MFS65795:MGD65795 LVW65795:LWH65795 LMA65795:LML65795 LCE65795:LCP65795 KSI65795:KST65795 KIM65795:KIX65795 JYQ65795:JZB65795 JOU65795:JPF65795 JEY65795:JFJ65795 IVC65795:IVN65795 ILG65795:ILR65795 IBK65795:IBV65795 HRO65795:HRZ65795 HHS65795:HID65795 GXW65795:GYH65795 GOA65795:GOL65795 GEE65795:GEP65795 FUI65795:FUT65795 FKM65795:FKX65795 FAQ65795:FBB65795 EQU65795:ERF65795 EGY65795:EHJ65795 DXC65795:DXN65795 DNG65795:DNR65795 DDK65795:DDV65795 CTO65795:CTZ65795 CJS65795:CKD65795 BZW65795:CAH65795 BQA65795:BQL65795 BGE65795:BGP65795 AWI65795:AWT65795 AMM65795:AMX65795 ACQ65795:ADB65795 SU65795:TF65795 IY65795:JJ65795 C65795:N65795 WVK983284:WVV983284 WLO983284:WLZ983284 WBS983284:WCD983284 VRW983284:VSH983284 VIA983284:VIL983284 UYE983284:UYP983284 UOI983284:UOT983284 UEM983284:UEX983284 TUQ983284:TVB983284 TKU983284:TLF983284 TAY983284:TBJ983284 SRC983284:SRN983284 SHG983284:SHR983284 RXK983284:RXV983284 RNO983284:RNZ983284 RDS983284:RED983284 QTW983284:QUH983284 QKA983284:QKL983284 QAE983284:QAP983284 PQI983284:PQT983284 PGM983284:PGX983284 OWQ983284:OXB983284 OMU983284:ONF983284 OCY983284:ODJ983284 NTC983284:NTN983284 NJG983284:NJR983284 MZK983284:MZV983284 MPO983284:MPZ983284 MFS983284:MGD983284 LVW983284:LWH983284 LMA983284:LML983284 LCE983284:LCP983284 KSI983284:KST983284 KIM983284:KIX983284 JYQ983284:JZB983284 JOU983284:JPF983284 JEY983284:JFJ983284 IVC983284:IVN983284 ILG983284:ILR983284 IBK983284:IBV983284 HRO983284:HRZ983284 HHS983284:HID983284 GXW983284:GYH983284 GOA983284:GOL983284 GEE983284:GEP983284 FUI983284:FUT983284 FKM983284:FKX983284 FAQ983284:FBB983284 EQU983284:ERF983284 EGY983284:EHJ983284 DXC983284:DXN983284 DNG983284:DNR983284 DDK983284:DDV983284 CTO983284:CTZ983284 CJS983284:CKD983284 BZW983284:CAH983284 BQA983284:BQL983284 BGE983284:BGP983284 AWI983284:AWT983284 AMM983284:AMX983284 ACQ983284:ADB983284 SU983284:TF983284 IY983284:JJ983284 C983284:N983284 WVK917748:WVV917748 WLO917748:WLZ917748 WBS917748:WCD917748 VRW917748:VSH917748 VIA917748:VIL917748 UYE917748:UYP917748 UOI917748:UOT917748 UEM917748:UEX917748 TUQ917748:TVB917748 TKU917748:TLF917748 TAY917748:TBJ917748 SRC917748:SRN917748 SHG917748:SHR917748 RXK917748:RXV917748 RNO917748:RNZ917748 RDS917748:RED917748 QTW917748:QUH917748 QKA917748:QKL917748 QAE917748:QAP917748 PQI917748:PQT917748 PGM917748:PGX917748 OWQ917748:OXB917748 OMU917748:ONF917748 OCY917748:ODJ917748 NTC917748:NTN917748 NJG917748:NJR917748 MZK917748:MZV917748 MPO917748:MPZ917748 MFS917748:MGD917748 LVW917748:LWH917748 LMA917748:LML917748 LCE917748:LCP917748 KSI917748:KST917748 KIM917748:KIX917748 JYQ917748:JZB917748 JOU917748:JPF917748 JEY917748:JFJ917748 IVC917748:IVN917748 ILG917748:ILR917748 IBK917748:IBV917748 HRO917748:HRZ917748 HHS917748:HID917748 GXW917748:GYH917748 GOA917748:GOL917748 GEE917748:GEP917748 FUI917748:FUT917748 FKM917748:FKX917748 FAQ917748:FBB917748 EQU917748:ERF917748 EGY917748:EHJ917748 DXC917748:DXN917748 DNG917748:DNR917748 DDK917748:DDV917748 CTO917748:CTZ917748 CJS917748:CKD917748 BZW917748:CAH917748 BQA917748:BQL917748 BGE917748:BGP917748 AWI917748:AWT917748 AMM917748:AMX917748 ACQ917748:ADB917748 SU917748:TF917748 IY917748:JJ917748 C917748:N917748 WVK852212:WVV852212 WLO852212:WLZ852212 WBS852212:WCD852212 VRW852212:VSH852212 VIA852212:VIL852212 UYE852212:UYP852212 UOI852212:UOT852212 UEM852212:UEX852212 TUQ852212:TVB852212 TKU852212:TLF852212 TAY852212:TBJ852212 SRC852212:SRN852212 SHG852212:SHR852212 RXK852212:RXV852212 RNO852212:RNZ852212 RDS852212:RED852212 QTW852212:QUH852212 QKA852212:QKL852212 QAE852212:QAP852212 PQI852212:PQT852212 PGM852212:PGX852212 OWQ852212:OXB852212 OMU852212:ONF852212 OCY852212:ODJ852212 NTC852212:NTN852212 NJG852212:NJR852212 MZK852212:MZV852212 MPO852212:MPZ852212 MFS852212:MGD852212 LVW852212:LWH852212 LMA852212:LML852212 LCE852212:LCP852212 KSI852212:KST852212 KIM852212:KIX852212 JYQ852212:JZB852212 JOU852212:JPF852212 JEY852212:JFJ852212 IVC852212:IVN852212 ILG852212:ILR852212 IBK852212:IBV852212 HRO852212:HRZ852212 HHS852212:HID852212 GXW852212:GYH852212 GOA852212:GOL852212 GEE852212:GEP852212 FUI852212:FUT852212 FKM852212:FKX852212 FAQ852212:FBB852212 EQU852212:ERF852212 EGY852212:EHJ852212 DXC852212:DXN852212 DNG852212:DNR852212 DDK852212:DDV852212 CTO852212:CTZ852212 CJS852212:CKD852212 BZW852212:CAH852212 BQA852212:BQL852212 BGE852212:BGP852212 AWI852212:AWT852212 AMM852212:AMX852212 ACQ852212:ADB852212 SU852212:TF852212 IY852212:JJ852212 C852212:N852212 WVK786676:WVV786676 WLO786676:WLZ786676 WBS786676:WCD786676 VRW786676:VSH786676 VIA786676:VIL786676 UYE786676:UYP786676 UOI786676:UOT786676 UEM786676:UEX786676 TUQ786676:TVB786676 TKU786676:TLF786676 TAY786676:TBJ786676 SRC786676:SRN786676 SHG786676:SHR786676 RXK786676:RXV786676 RNO786676:RNZ786676 RDS786676:RED786676 QTW786676:QUH786676 QKA786676:QKL786676 QAE786676:QAP786676 PQI786676:PQT786676 PGM786676:PGX786676 OWQ786676:OXB786676 OMU786676:ONF786676 OCY786676:ODJ786676 NTC786676:NTN786676 NJG786676:NJR786676 MZK786676:MZV786676 MPO786676:MPZ786676 MFS786676:MGD786676 LVW786676:LWH786676 LMA786676:LML786676 LCE786676:LCP786676 KSI786676:KST786676 KIM786676:KIX786676 JYQ786676:JZB786676 JOU786676:JPF786676 JEY786676:JFJ786676 IVC786676:IVN786676 ILG786676:ILR786676 IBK786676:IBV786676 HRO786676:HRZ786676 HHS786676:HID786676 GXW786676:GYH786676 GOA786676:GOL786676 GEE786676:GEP786676 FUI786676:FUT786676 FKM786676:FKX786676 FAQ786676:FBB786676 EQU786676:ERF786676 EGY786676:EHJ786676 DXC786676:DXN786676 DNG786676:DNR786676 DDK786676:DDV786676 CTO786676:CTZ786676 CJS786676:CKD786676 BZW786676:CAH786676 BQA786676:BQL786676 BGE786676:BGP786676 AWI786676:AWT786676 AMM786676:AMX786676 ACQ786676:ADB786676 SU786676:TF786676 IY786676:JJ786676 C786676:N786676 WVK721140:WVV721140 WLO721140:WLZ721140 WBS721140:WCD721140 VRW721140:VSH721140 VIA721140:VIL721140 UYE721140:UYP721140 UOI721140:UOT721140 UEM721140:UEX721140 TUQ721140:TVB721140 TKU721140:TLF721140 TAY721140:TBJ721140 SRC721140:SRN721140 SHG721140:SHR721140 RXK721140:RXV721140 RNO721140:RNZ721140 RDS721140:RED721140 QTW721140:QUH721140 QKA721140:QKL721140 QAE721140:QAP721140 PQI721140:PQT721140 PGM721140:PGX721140 OWQ721140:OXB721140 OMU721140:ONF721140 OCY721140:ODJ721140 NTC721140:NTN721140 NJG721140:NJR721140 MZK721140:MZV721140 MPO721140:MPZ721140 MFS721140:MGD721140 LVW721140:LWH721140 LMA721140:LML721140 LCE721140:LCP721140 KSI721140:KST721140 KIM721140:KIX721140 JYQ721140:JZB721140 JOU721140:JPF721140 JEY721140:JFJ721140 IVC721140:IVN721140 ILG721140:ILR721140 IBK721140:IBV721140 HRO721140:HRZ721140 HHS721140:HID721140 GXW721140:GYH721140 GOA721140:GOL721140 GEE721140:GEP721140 FUI721140:FUT721140 FKM721140:FKX721140 FAQ721140:FBB721140 EQU721140:ERF721140 EGY721140:EHJ721140 DXC721140:DXN721140 DNG721140:DNR721140 DDK721140:DDV721140 CTO721140:CTZ721140 CJS721140:CKD721140 BZW721140:CAH721140 BQA721140:BQL721140 BGE721140:BGP721140 AWI721140:AWT721140 AMM721140:AMX721140 ACQ721140:ADB721140 SU721140:TF721140 IY721140:JJ721140 C721140:N721140 WVK655604:WVV655604 WLO655604:WLZ655604 WBS655604:WCD655604 VRW655604:VSH655604 VIA655604:VIL655604 UYE655604:UYP655604 UOI655604:UOT655604 UEM655604:UEX655604 TUQ655604:TVB655604 TKU655604:TLF655604 TAY655604:TBJ655604 SRC655604:SRN655604 SHG655604:SHR655604 RXK655604:RXV655604 RNO655604:RNZ655604 RDS655604:RED655604 QTW655604:QUH655604 QKA655604:QKL655604 QAE655604:QAP655604 PQI655604:PQT655604 PGM655604:PGX655604 OWQ655604:OXB655604 OMU655604:ONF655604 OCY655604:ODJ655604 NTC655604:NTN655604 NJG655604:NJR655604 MZK655604:MZV655604 MPO655604:MPZ655604 MFS655604:MGD655604 LVW655604:LWH655604 LMA655604:LML655604 LCE655604:LCP655604 KSI655604:KST655604 KIM655604:KIX655604 JYQ655604:JZB655604 JOU655604:JPF655604 JEY655604:JFJ655604 IVC655604:IVN655604 ILG655604:ILR655604 IBK655604:IBV655604 HRO655604:HRZ655604 HHS655604:HID655604 GXW655604:GYH655604 GOA655604:GOL655604 GEE655604:GEP655604 FUI655604:FUT655604 FKM655604:FKX655604 FAQ655604:FBB655604 EQU655604:ERF655604 EGY655604:EHJ655604 DXC655604:DXN655604 DNG655604:DNR655604 DDK655604:DDV655604 CTO655604:CTZ655604 CJS655604:CKD655604 BZW655604:CAH655604 BQA655604:BQL655604 BGE655604:BGP655604 AWI655604:AWT655604 AMM655604:AMX655604 ACQ655604:ADB655604 SU655604:TF655604 IY655604:JJ655604 C655604:N655604 WVK590068:WVV590068 WLO590068:WLZ590068 WBS590068:WCD590068 VRW590068:VSH590068 VIA590068:VIL590068 UYE590068:UYP590068 UOI590068:UOT590068 UEM590068:UEX590068 TUQ590068:TVB590068 TKU590068:TLF590068 TAY590068:TBJ590068 SRC590068:SRN590068 SHG590068:SHR590068 RXK590068:RXV590068 RNO590068:RNZ590068 RDS590068:RED590068 QTW590068:QUH590068 QKA590068:QKL590068 QAE590068:QAP590068 PQI590068:PQT590068 PGM590068:PGX590068 OWQ590068:OXB590068 OMU590068:ONF590068 OCY590068:ODJ590068 NTC590068:NTN590068 NJG590068:NJR590068 MZK590068:MZV590068 MPO590068:MPZ590068 MFS590068:MGD590068 LVW590068:LWH590068 LMA590068:LML590068 LCE590068:LCP590068 KSI590068:KST590068 KIM590068:KIX590068 JYQ590068:JZB590068 JOU590068:JPF590068 JEY590068:JFJ590068 IVC590068:IVN590068 ILG590068:ILR590068 IBK590068:IBV590068 HRO590068:HRZ590068 HHS590068:HID590068 GXW590068:GYH590068 GOA590068:GOL590068 GEE590068:GEP590068 FUI590068:FUT590068 FKM590068:FKX590068 FAQ590068:FBB590068 EQU590068:ERF590068 EGY590068:EHJ590068 DXC590068:DXN590068 DNG590068:DNR590068 DDK590068:DDV590068 CTO590068:CTZ590068 CJS590068:CKD590068 BZW590068:CAH590068 BQA590068:BQL590068 BGE590068:BGP590068 AWI590068:AWT590068 AMM590068:AMX590068 ACQ590068:ADB590068 SU590068:TF590068 IY590068:JJ590068 C590068:N590068 WVK524532:WVV524532 WLO524532:WLZ524532 WBS524532:WCD524532 VRW524532:VSH524532 VIA524532:VIL524532 UYE524532:UYP524532 UOI524532:UOT524532 UEM524532:UEX524532 TUQ524532:TVB524532 TKU524532:TLF524532 TAY524532:TBJ524532 SRC524532:SRN524532 SHG524532:SHR524532 RXK524532:RXV524532 RNO524532:RNZ524532 RDS524532:RED524532 QTW524532:QUH524532 QKA524532:QKL524532 QAE524532:QAP524532 PQI524532:PQT524532 PGM524532:PGX524532 OWQ524532:OXB524532 OMU524532:ONF524532 OCY524532:ODJ524532 NTC524532:NTN524532 NJG524532:NJR524532 MZK524532:MZV524532 MPO524532:MPZ524532 MFS524532:MGD524532 LVW524532:LWH524532 LMA524532:LML524532 LCE524532:LCP524532 KSI524532:KST524532 KIM524532:KIX524532 JYQ524532:JZB524532 JOU524532:JPF524532 JEY524532:JFJ524532 IVC524532:IVN524532 ILG524532:ILR524532 IBK524532:IBV524532 HRO524532:HRZ524532 HHS524532:HID524532 GXW524532:GYH524532 GOA524532:GOL524532 GEE524532:GEP524532 FUI524532:FUT524532 FKM524532:FKX524532 FAQ524532:FBB524532 EQU524532:ERF524532 EGY524532:EHJ524532 DXC524532:DXN524532 DNG524532:DNR524532 DDK524532:DDV524532 CTO524532:CTZ524532 CJS524532:CKD524532 BZW524532:CAH524532 BQA524532:BQL524532 BGE524532:BGP524532 AWI524532:AWT524532 AMM524532:AMX524532 ACQ524532:ADB524532 SU524532:TF524532 IY524532:JJ524532 C524532:N524532 WVK458996:WVV458996 WLO458996:WLZ458996 WBS458996:WCD458996 VRW458996:VSH458996 VIA458996:VIL458996 UYE458996:UYP458996 UOI458996:UOT458996 UEM458996:UEX458996 TUQ458996:TVB458996 TKU458996:TLF458996 TAY458996:TBJ458996 SRC458996:SRN458996 SHG458996:SHR458996 RXK458996:RXV458996 RNO458996:RNZ458996 RDS458996:RED458996 QTW458996:QUH458996 QKA458996:QKL458996 QAE458996:QAP458996 PQI458996:PQT458996 PGM458996:PGX458996 OWQ458996:OXB458996 OMU458996:ONF458996 OCY458996:ODJ458996 NTC458996:NTN458996 NJG458996:NJR458996 MZK458996:MZV458996 MPO458996:MPZ458996 MFS458996:MGD458996 LVW458996:LWH458996 LMA458996:LML458996 LCE458996:LCP458996 KSI458996:KST458996 KIM458996:KIX458996 JYQ458996:JZB458996 JOU458996:JPF458996 JEY458996:JFJ458996 IVC458996:IVN458996 ILG458996:ILR458996 IBK458996:IBV458996 HRO458996:HRZ458996 HHS458996:HID458996 GXW458996:GYH458996 GOA458996:GOL458996 GEE458996:GEP458996 FUI458996:FUT458996 FKM458996:FKX458996 FAQ458996:FBB458996 EQU458996:ERF458996 EGY458996:EHJ458996 DXC458996:DXN458996 DNG458996:DNR458996 DDK458996:DDV458996 CTO458996:CTZ458996 CJS458996:CKD458996 BZW458996:CAH458996 BQA458996:BQL458996 BGE458996:BGP458996 AWI458996:AWT458996 AMM458996:AMX458996 ACQ458996:ADB458996 SU458996:TF458996 IY458996:JJ458996 C458996:N458996 WVK393460:WVV393460 WLO393460:WLZ393460 WBS393460:WCD393460 VRW393460:VSH393460 VIA393460:VIL393460 UYE393460:UYP393460 UOI393460:UOT393460 UEM393460:UEX393460 TUQ393460:TVB393460 TKU393460:TLF393460 TAY393460:TBJ393460 SRC393460:SRN393460 SHG393460:SHR393460 RXK393460:RXV393460 RNO393460:RNZ393460 RDS393460:RED393460 QTW393460:QUH393460 QKA393460:QKL393460 QAE393460:QAP393460 PQI393460:PQT393460 PGM393460:PGX393460 OWQ393460:OXB393460 OMU393460:ONF393460 OCY393460:ODJ393460 NTC393460:NTN393460 NJG393460:NJR393460 MZK393460:MZV393460 MPO393460:MPZ393460 MFS393460:MGD393460 LVW393460:LWH393460 LMA393460:LML393460 LCE393460:LCP393460 KSI393460:KST393460 KIM393460:KIX393460 JYQ393460:JZB393460 JOU393460:JPF393460 JEY393460:JFJ393460 IVC393460:IVN393460 ILG393460:ILR393460 IBK393460:IBV393460 HRO393460:HRZ393460 HHS393460:HID393460 GXW393460:GYH393460 GOA393460:GOL393460 GEE393460:GEP393460 FUI393460:FUT393460 FKM393460:FKX393460 FAQ393460:FBB393460 EQU393460:ERF393460 EGY393460:EHJ393460 DXC393460:DXN393460 DNG393460:DNR393460 DDK393460:DDV393460 CTO393460:CTZ393460 CJS393460:CKD393460 BZW393460:CAH393460 BQA393460:BQL393460 BGE393460:BGP393460 AWI393460:AWT393460 AMM393460:AMX393460 ACQ393460:ADB393460 SU393460:TF393460 IY393460:JJ393460 C393460:N393460 WVK327924:WVV327924 WLO327924:WLZ327924 WBS327924:WCD327924 VRW327924:VSH327924 VIA327924:VIL327924 UYE327924:UYP327924 UOI327924:UOT327924 UEM327924:UEX327924 TUQ327924:TVB327924 TKU327924:TLF327924 TAY327924:TBJ327924 SRC327924:SRN327924 SHG327924:SHR327924 RXK327924:RXV327924 RNO327924:RNZ327924 RDS327924:RED327924 QTW327924:QUH327924 QKA327924:QKL327924 QAE327924:QAP327924 PQI327924:PQT327924 PGM327924:PGX327924 OWQ327924:OXB327924 OMU327924:ONF327924 OCY327924:ODJ327924 NTC327924:NTN327924 NJG327924:NJR327924 MZK327924:MZV327924 MPO327924:MPZ327924 MFS327924:MGD327924 LVW327924:LWH327924 LMA327924:LML327924 LCE327924:LCP327924 KSI327924:KST327924 KIM327924:KIX327924 JYQ327924:JZB327924 JOU327924:JPF327924 JEY327924:JFJ327924 IVC327924:IVN327924 ILG327924:ILR327924 IBK327924:IBV327924 HRO327924:HRZ327924 HHS327924:HID327924 GXW327924:GYH327924 GOA327924:GOL327924 GEE327924:GEP327924 FUI327924:FUT327924 FKM327924:FKX327924 FAQ327924:FBB327924 EQU327924:ERF327924 EGY327924:EHJ327924 DXC327924:DXN327924 DNG327924:DNR327924 DDK327924:DDV327924 CTO327924:CTZ327924 CJS327924:CKD327924 BZW327924:CAH327924 BQA327924:BQL327924 BGE327924:BGP327924 AWI327924:AWT327924 AMM327924:AMX327924 ACQ327924:ADB327924 SU327924:TF327924 IY327924:JJ327924 C327924:N327924 WVK262388:WVV262388 WLO262388:WLZ262388 WBS262388:WCD262388 VRW262388:VSH262388 VIA262388:VIL262388 UYE262388:UYP262388 UOI262388:UOT262388 UEM262388:UEX262388 TUQ262388:TVB262388 TKU262388:TLF262388 TAY262388:TBJ262388 SRC262388:SRN262388 SHG262388:SHR262388 RXK262388:RXV262388 RNO262388:RNZ262388 RDS262388:RED262388 QTW262388:QUH262388 QKA262388:QKL262388 QAE262388:QAP262388 PQI262388:PQT262388 PGM262388:PGX262388 OWQ262388:OXB262388 OMU262388:ONF262388 OCY262388:ODJ262388 NTC262388:NTN262388 NJG262388:NJR262388 MZK262388:MZV262388 MPO262388:MPZ262388 MFS262388:MGD262388 LVW262388:LWH262388 LMA262388:LML262388 LCE262388:LCP262388 KSI262388:KST262388 KIM262388:KIX262388 JYQ262388:JZB262388 JOU262388:JPF262388 JEY262388:JFJ262388 IVC262388:IVN262388 ILG262388:ILR262388 IBK262388:IBV262388 HRO262388:HRZ262388 HHS262388:HID262388 GXW262388:GYH262388 GOA262388:GOL262388 GEE262388:GEP262388 FUI262388:FUT262388 FKM262388:FKX262388 FAQ262388:FBB262388 EQU262388:ERF262388 EGY262388:EHJ262388 DXC262388:DXN262388 DNG262388:DNR262388 DDK262388:DDV262388 CTO262388:CTZ262388 CJS262388:CKD262388 BZW262388:CAH262388 BQA262388:BQL262388 BGE262388:BGP262388 AWI262388:AWT262388 AMM262388:AMX262388 ACQ262388:ADB262388 SU262388:TF262388 IY262388:JJ262388 C262388:N262388 WVK196852:WVV196852 WLO196852:WLZ196852 WBS196852:WCD196852 VRW196852:VSH196852 VIA196852:VIL196852 UYE196852:UYP196852 UOI196852:UOT196852 UEM196852:UEX196852 TUQ196852:TVB196852 TKU196852:TLF196852 TAY196852:TBJ196852 SRC196852:SRN196852 SHG196852:SHR196852 RXK196852:RXV196852 RNO196852:RNZ196852 RDS196852:RED196852 QTW196852:QUH196852 QKA196852:QKL196852 QAE196852:QAP196852 PQI196852:PQT196852 PGM196852:PGX196852 OWQ196852:OXB196852 OMU196852:ONF196852 OCY196852:ODJ196852 NTC196852:NTN196852 NJG196852:NJR196852 MZK196852:MZV196852 MPO196852:MPZ196852 MFS196852:MGD196852 LVW196852:LWH196852 LMA196852:LML196852 LCE196852:LCP196852 KSI196852:KST196852 KIM196852:KIX196852 JYQ196852:JZB196852 JOU196852:JPF196852 JEY196852:JFJ196852 IVC196852:IVN196852 ILG196852:ILR196852 IBK196852:IBV196852 HRO196852:HRZ196852 HHS196852:HID196852 GXW196852:GYH196852 GOA196852:GOL196852 GEE196852:GEP196852 FUI196852:FUT196852 FKM196852:FKX196852 FAQ196852:FBB196852 EQU196852:ERF196852 EGY196852:EHJ196852 DXC196852:DXN196852 DNG196852:DNR196852 DDK196852:DDV196852 CTO196852:CTZ196852 CJS196852:CKD196852 BZW196852:CAH196852 BQA196852:BQL196852 BGE196852:BGP196852 AWI196852:AWT196852 AMM196852:AMX196852 ACQ196852:ADB196852 SU196852:TF196852 IY196852:JJ196852 C196852:N196852 WVK131316:WVV131316 WLO131316:WLZ131316 WBS131316:WCD131316 VRW131316:VSH131316 VIA131316:VIL131316 UYE131316:UYP131316 UOI131316:UOT131316 UEM131316:UEX131316 TUQ131316:TVB131316 TKU131316:TLF131316 TAY131316:TBJ131316 SRC131316:SRN131316 SHG131316:SHR131316 RXK131316:RXV131316 RNO131316:RNZ131316 RDS131316:RED131316 QTW131316:QUH131316 QKA131316:QKL131316 QAE131316:QAP131316 PQI131316:PQT131316 PGM131316:PGX131316 OWQ131316:OXB131316 OMU131316:ONF131316 OCY131316:ODJ131316 NTC131316:NTN131316 NJG131316:NJR131316 MZK131316:MZV131316 MPO131316:MPZ131316 MFS131316:MGD131316 LVW131316:LWH131316 LMA131316:LML131316 LCE131316:LCP131316 KSI131316:KST131316 KIM131316:KIX131316 JYQ131316:JZB131316 JOU131316:JPF131316 JEY131316:JFJ131316 IVC131316:IVN131316 ILG131316:ILR131316 IBK131316:IBV131316 HRO131316:HRZ131316 HHS131316:HID131316 GXW131316:GYH131316 GOA131316:GOL131316 GEE131316:GEP131316 FUI131316:FUT131316 FKM131316:FKX131316 FAQ131316:FBB131316 EQU131316:ERF131316 EGY131316:EHJ131316 DXC131316:DXN131316 DNG131316:DNR131316 DDK131316:DDV131316 CTO131316:CTZ131316 CJS131316:CKD131316 BZW131316:CAH131316 BQA131316:BQL131316 BGE131316:BGP131316 AWI131316:AWT131316 AMM131316:AMX131316 ACQ131316:ADB131316 SU131316:TF131316 IY131316:JJ131316 C131316:N131316 WVK65780:WVV65780 WLO65780:WLZ65780 WBS65780:WCD65780 VRW65780:VSH65780 VIA65780:VIL65780 UYE65780:UYP65780 UOI65780:UOT65780 UEM65780:UEX65780 TUQ65780:TVB65780 TKU65780:TLF65780 TAY65780:TBJ65780 SRC65780:SRN65780 SHG65780:SHR65780 RXK65780:RXV65780 RNO65780:RNZ65780 RDS65780:RED65780 QTW65780:QUH65780 QKA65780:QKL65780 QAE65780:QAP65780 PQI65780:PQT65780 PGM65780:PGX65780 OWQ65780:OXB65780 OMU65780:ONF65780 OCY65780:ODJ65780 NTC65780:NTN65780 NJG65780:NJR65780 MZK65780:MZV65780 MPO65780:MPZ65780 MFS65780:MGD65780 LVW65780:LWH65780 LMA65780:LML65780 LCE65780:LCP65780 KSI65780:KST65780 KIM65780:KIX65780 JYQ65780:JZB65780 JOU65780:JPF65780 JEY65780:JFJ65780 IVC65780:IVN65780 ILG65780:ILR65780 IBK65780:IBV65780 HRO65780:HRZ65780 HHS65780:HID65780 GXW65780:GYH65780 GOA65780:GOL65780 GEE65780:GEP65780 FUI65780:FUT65780 FKM65780:FKX65780 FAQ65780:FBB65780 EQU65780:ERF65780 EGY65780:EHJ65780 DXC65780:DXN65780 DNG65780:DNR65780 DDK65780:DDV65780 CTO65780:CTZ65780 CJS65780:CKD65780 BZW65780:CAH65780 BQA65780:BQL65780 BGE65780:BGP65780 AWI65780:AWT65780 AMM65780:AMX65780 ACQ65780:ADB65780 SU65780:TF65780 IY65780:JJ65780 C65780:N65780 WVK983254:WVV983254 WLO983254:WLZ983254 WBS983254:WCD983254 VRW983254:VSH983254 VIA983254:VIL983254 UYE983254:UYP983254 UOI983254:UOT983254 UEM983254:UEX983254 TUQ983254:TVB983254 TKU983254:TLF983254 TAY983254:TBJ983254 SRC983254:SRN983254 SHG983254:SHR983254 RXK983254:RXV983254 RNO983254:RNZ983254 RDS983254:RED983254 QTW983254:QUH983254 QKA983254:QKL983254 QAE983254:QAP983254 PQI983254:PQT983254 PGM983254:PGX983254 OWQ983254:OXB983254 OMU983254:ONF983254 OCY983254:ODJ983254 NTC983254:NTN983254 NJG983254:NJR983254 MZK983254:MZV983254 MPO983254:MPZ983254 MFS983254:MGD983254 LVW983254:LWH983254 LMA983254:LML983254 LCE983254:LCP983254 KSI983254:KST983254 KIM983254:KIX983254 JYQ983254:JZB983254 JOU983254:JPF983254 JEY983254:JFJ983254 IVC983254:IVN983254 ILG983254:ILR983254 IBK983254:IBV983254 HRO983254:HRZ983254 HHS983254:HID983254 GXW983254:GYH983254 GOA983254:GOL983254 GEE983254:GEP983254 FUI983254:FUT983254 FKM983254:FKX983254 FAQ983254:FBB983254 EQU983254:ERF983254 EGY983254:EHJ983254 DXC983254:DXN983254 DNG983254:DNR983254 DDK983254:DDV983254 CTO983254:CTZ983254 CJS983254:CKD983254 BZW983254:CAH983254 BQA983254:BQL983254 BGE983254:BGP983254 AWI983254:AWT983254 AMM983254:AMX983254 ACQ983254:ADB983254 SU983254:TF983254 IY983254:JJ983254 C983254:N983254 WVK917718:WVV917718 WLO917718:WLZ917718 WBS917718:WCD917718 VRW917718:VSH917718 VIA917718:VIL917718 UYE917718:UYP917718 UOI917718:UOT917718 UEM917718:UEX917718 TUQ917718:TVB917718 TKU917718:TLF917718 TAY917718:TBJ917718 SRC917718:SRN917718 SHG917718:SHR917718 RXK917718:RXV917718 RNO917718:RNZ917718 RDS917718:RED917718 QTW917718:QUH917718 QKA917718:QKL917718 QAE917718:QAP917718 PQI917718:PQT917718 PGM917718:PGX917718 OWQ917718:OXB917718 OMU917718:ONF917718 OCY917718:ODJ917718 NTC917718:NTN917718 NJG917718:NJR917718 MZK917718:MZV917718 MPO917718:MPZ917718 MFS917718:MGD917718 LVW917718:LWH917718 LMA917718:LML917718 LCE917718:LCP917718 KSI917718:KST917718 KIM917718:KIX917718 JYQ917718:JZB917718 JOU917718:JPF917718 JEY917718:JFJ917718 IVC917718:IVN917718 ILG917718:ILR917718 IBK917718:IBV917718 HRO917718:HRZ917718 HHS917718:HID917718 GXW917718:GYH917718 GOA917718:GOL917718 GEE917718:GEP917718 FUI917718:FUT917718 FKM917718:FKX917718 FAQ917718:FBB917718 EQU917718:ERF917718 EGY917718:EHJ917718 DXC917718:DXN917718 DNG917718:DNR917718 DDK917718:DDV917718 CTO917718:CTZ917718 CJS917718:CKD917718 BZW917718:CAH917718 BQA917718:BQL917718 BGE917718:BGP917718 AWI917718:AWT917718 AMM917718:AMX917718 ACQ917718:ADB917718 SU917718:TF917718 IY917718:JJ917718 C917718:N917718 WVK852182:WVV852182 WLO852182:WLZ852182 WBS852182:WCD852182 VRW852182:VSH852182 VIA852182:VIL852182 UYE852182:UYP852182 UOI852182:UOT852182 UEM852182:UEX852182 TUQ852182:TVB852182 TKU852182:TLF852182 TAY852182:TBJ852182 SRC852182:SRN852182 SHG852182:SHR852182 RXK852182:RXV852182 RNO852182:RNZ852182 RDS852182:RED852182 QTW852182:QUH852182 QKA852182:QKL852182 QAE852182:QAP852182 PQI852182:PQT852182 PGM852182:PGX852182 OWQ852182:OXB852182 OMU852182:ONF852182 OCY852182:ODJ852182 NTC852182:NTN852182 NJG852182:NJR852182 MZK852182:MZV852182 MPO852182:MPZ852182 MFS852182:MGD852182 LVW852182:LWH852182 LMA852182:LML852182 LCE852182:LCP852182 KSI852182:KST852182 KIM852182:KIX852182 JYQ852182:JZB852182 JOU852182:JPF852182 JEY852182:JFJ852182 IVC852182:IVN852182 ILG852182:ILR852182 IBK852182:IBV852182 HRO852182:HRZ852182 HHS852182:HID852182 GXW852182:GYH852182 GOA852182:GOL852182 GEE852182:GEP852182 FUI852182:FUT852182 FKM852182:FKX852182 FAQ852182:FBB852182 EQU852182:ERF852182 EGY852182:EHJ852182 DXC852182:DXN852182 DNG852182:DNR852182 DDK852182:DDV852182 CTO852182:CTZ852182 CJS852182:CKD852182 BZW852182:CAH852182 BQA852182:BQL852182 BGE852182:BGP852182 AWI852182:AWT852182 AMM852182:AMX852182 ACQ852182:ADB852182 SU852182:TF852182 IY852182:JJ852182 C852182:N852182 WVK786646:WVV786646 WLO786646:WLZ786646 WBS786646:WCD786646 VRW786646:VSH786646 VIA786646:VIL786646 UYE786646:UYP786646 UOI786646:UOT786646 UEM786646:UEX786646 TUQ786646:TVB786646 TKU786646:TLF786646 TAY786646:TBJ786646 SRC786646:SRN786646 SHG786646:SHR786646 RXK786646:RXV786646 RNO786646:RNZ786646 RDS786646:RED786646 QTW786646:QUH786646 QKA786646:QKL786646 QAE786646:QAP786646 PQI786646:PQT786646 PGM786646:PGX786646 OWQ786646:OXB786646 OMU786646:ONF786646 OCY786646:ODJ786646 NTC786646:NTN786646 NJG786646:NJR786646 MZK786646:MZV786646 MPO786646:MPZ786646 MFS786646:MGD786646 LVW786646:LWH786646 LMA786646:LML786646 LCE786646:LCP786646 KSI786646:KST786646 KIM786646:KIX786646 JYQ786646:JZB786646 JOU786646:JPF786646 JEY786646:JFJ786646 IVC786646:IVN786646 ILG786646:ILR786646 IBK786646:IBV786646 HRO786646:HRZ786646 HHS786646:HID786646 GXW786646:GYH786646 GOA786646:GOL786646 GEE786646:GEP786646 FUI786646:FUT786646 FKM786646:FKX786646 FAQ786646:FBB786646 EQU786646:ERF786646 EGY786646:EHJ786646 DXC786646:DXN786646 DNG786646:DNR786646 DDK786646:DDV786646 CTO786646:CTZ786646 CJS786646:CKD786646 BZW786646:CAH786646 BQA786646:BQL786646 BGE786646:BGP786646 AWI786646:AWT786646 AMM786646:AMX786646 ACQ786646:ADB786646 SU786646:TF786646 IY786646:JJ786646 C786646:N786646 WVK721110:WVV721110 WLO721110:WLZ721110 WBS721110:WCD721110 VRW721110:VSH721110 VIA721110:VIL721110 UYE721110:UYP721110 UOI721110:UOT721110 UEM721110:UEX721110 TUQ721110:TVB721110 TKU721110:TLF721110 TAY721110:TBJ721110 SRC721110:SRN721110 SHG721110:SHR721110 RXK721110:RXV721110 RNO721110:RNZ721110 RDS721110:RED721110 QTW721110:QUH721110 QKA721110:QKL721110 QAE721110:QAP721110 PQI721110:PQT721110 PGM721110:PGX721110 OWQ721110:OXB721110 OMU721110:ONF721110 OCY721110:ODJ721110 NTC721110:NTN721110 NJG721110:NJR721110 MZK721110:MZV721110 MPO721110:MPZ721110 MFS721110:MGD721110 LVW721110:LWH721110 LMA721110:LML721110 LCE721110:LCP721110 KSI721110:KST721110 KIM721110:KIX721110 JYQ721110:JZB721110 JOU721110:JPF721110 JEY721110:JFJ721110 IVC721110:IVN721110 ILG721110:ILR721110 IBK721110:IBV721110 HRO721110:HRZ721110 HHS721110:HID721110 GXW721110:GYH721110 GOA721110:GOL721110 GEE721110:GEP721110 FUI721110:FUT721110 FKM721110:FKX721110 FAQ721110:FBB721110 EQU721110:ERF721110 EGY721110:EHJ721110 DXC721110:DXN721110 DNG721110:DNR721110 DDK721110:DDV721110 CTO721110:CTZ721110 CJS721110:CKD721110 BZW721110:CAH721110 BQA721110:BQL721110 BGE721110:BGP721110 AWI721110:AWT721110 AMM721110:AMX721110 ACQ721110:ADB721110 SU721110:TF721110 IY721110:JJ721110 C721110:N721110 WVK655574:WVV655574 WLO655574:WLZ655574 WBS655574:WCD655574 VRW655574:VSH655574 VIA655574:VIL655574 UYE655574:UYP655574 UOI655574:UOT655574 UEM655574:UEX655574 TUQ655574:TVB655574 TKU655574:TLF655574 TAY655574:TBJ655574 SRC655574:SRN655574 SHG655574:SHR655574 RXK655574:RXV655574 RNO655574:RNZ655574 RDS655574:RED655574 QTW655574:QUH655574 QKA655574:QKL655574 QAE655574:QAP655574 PQI655574:PQT655574 PGM655574:PGX655574 OWQ655574:OXB655574 OMU655574:ONF655574 OCY655574:ODJ655574 NTC655574:NTN655574 NJG655574:NJR655574 MZK655574:MZV655574 MPO655574:MPZ655574 MFS655574:MGD655574 LVW655574:LWH655574 LMA655574:LML655574 LCE655574:LCP655574 KSI655574:KST655574 KIM655574:KIX655574 JYQ655574:JZB655574 JOU655574:JPF655574 JEY655574:JFJ655574 IVC655574:IVN655574 ILG655574:ILR655574 IBK655574:IBV655574 HRO655574:HRZ655574 HHS655574:HID655574 GXW655574:GYH655574 GOA655574:GOL655574 GEE655574:GEP655574 FUI655574:FUT655574 FKM655574:FKX655574 FAQ655574:FBB655574 EQU655574:ERF655574 EGY655574:EHJ655574 DXC655574:DXN655574 DNG655574:DNR655574 DDK655574:DDV655574 CTO655574:CTZ655574 CJS655574:CKD655574 BZW655574:CAH655574 BQA655574:BQL655574 BGE655574:BGP655574 AWI655574:AWT655574 AMM655574:AMX655574 ACQ655574:ADB655574 SU655574:TF655574 IY655574:JJ655574 C655574:N655574 WVK590038:WVV590038 WLO590038:WLZ590038 WBS590038:WCD590038 VRW590038:VSH590038 VIA590038:VIL590038 UYE590038:UYP590038 UOI590038:UOT590038 UEM590038:UEX590038 TUQ590038:TVB590038 TKU590038:TLF590038 TAY590038:TBJ590038 SRC590038:SRN590038 SHG590038:SHR590038 RXK590038:RXV590038 RNO590038:RNZ590038 RDS590038:RED590038 QTW590038:QUH590038 QKA590038:QKL590038 QAE590038:QAP590038 PQI590038:PQT590038 PGM590038:PGX590038 OWQ590038:OXB590038 OMU590038:ONF590038 OCY590038:ODJ590038 NTC590038:NTN590038 NJG590038:NJR590038 MZK590038:MZV590038 MPO590038:MPZ590038 MFS590038:MGD590038 LVW590038:LWH590038 LMA590038:LML590038 LCE590038:LCP590038 KSI590038:KST590038 KIM590038:KIX590038 JYQ590038:JZB590038 JOU590038:JPF590038 JEY590038:JFJ590038 IVC590038:IVN590038 ILG590038:ILR590038 IBK590038:IBV590038 HRO590038:HRZ590038 HHS590038:HID590038 GXW590038:GYH590038 GOA590038:GOL590038 GEE590038:GEP590038 FUI590038:FUT590038 FKM590038:FKX590038 FAQ590038:FBB590038 EQU590038:ERF590038 EGY590038:EHJ590038 DXC590038:DXN590038 DNG590038:DNR590038 DDK590038:DDV590038 CTO590038:CTZ590038 CJS590038:CKD590038 BZW590038:CAH590038 BQA590038:BQL590038 BGE590038:BGP590038 AWI590038:AWT590038 AMM590038:AMX590038 ACQ590038:ADB590038 SU590038:TF590038 IY590038:JJ590038 C590038:N590038 WVK524502:WVV524502 WLO524502:WLZ524502 WBS524502:WCD524502 VRW524502:VSH524502 VIA524502:VIL524502 UYE524502:UYP524502 UOI524502:UOT524502 UEM524502:UEX524502 TUQ524502:TVB524502 TKU524502:TLF524502 TAY524502:TBJ524502 SRC524502:SRN524502 SHG524502:SHR524502 RXK524502:RXV524502 RNO524502:RNZ524502 RDS524502:RED524502 QTW524502:QUH524502 QKA524502:QKL524502 QAE524502:QAP524502 PQI524502:PQT524502 PGM524502:PGX524502 OWQ524502:OXB524502 OMU524502:ONF524502 OCY524502:ODJ524502 NTC524502:NTN524502 NJG524502:NJR524502 MZK524502:MZV524502 MPO524502:MPZ524502 MFS524502:MGD524502 LVW524502:LWH524502 LMA524502:LML524502 LCE524502:LCP524502 KSI524502:KST524502 KIM524502:KIX524502 JYQ524502:JZB524502 JOU524502:JPF524502 JEY524502:JFJ524502 IVC524502:IVN524502 ILG524502:ILR524502 IBK524502:IBV524502 HRO524502:HRZ524502 HHS524502:HID524502 GXW524502:GYH524502 GOA524502:GOL524502 GEE524502:GEP524502 FUI524502:FUT524502 FKM524502:FKX524502 FAQ524502:FBB524502 EQU524502:ERF524502 EGY524502:EHJ524502 DXC524502:DXN524502 DNG524502:DNR524502 DDK524502:DDV524502 CTO524502:CTZ524502 CJS524502:CKD524502 BZW524502:CAH524502 BQA524502:BQL524502 BGE524502:BGP524502 AWI524502:AWT524502 AMM524502:AMX524502 ACQ524502:ADB524502 SU524502:TF524502 IY524502:JJ524502 C524502:N524502 WVK458966:WVV458966 WLO458966:WLZ458966 WBS458966:WCD458966 VRW458966:VSH458966 VIA458966:VIL458966 UYE458966:UYP458966 UOI458966:UOT458966 UEM458966:UEX458966 TUQ458966:TVB458966 TKU458966:TLF458966 TAY458966:TBJ458966 SRC458966:SRN458966 SHG458966:SHR458966 RXK458966:RXV458966 RNO458966:RNZ458966 RDS458966:RED458966 QTW458966:QUH458966 QKA458966:QKL458966 QAE458966:QAP458966 PQI458966:PQT458966 PGM458966:PGX458966 OWQ458966:OXB458966 OMU458966:ONF458966 OCY458966:ODJ458966 NTC458966:NTN458966 NJG458966:NJR458966 MZK458966:MZV458966 MPO458966:MPZ458966 MFS458966:MGD458966 LVW458966:LWH458966 LMA458966:LML458966 LCE458966:LCP458966 KSI458966:KST458966 KIM458966:KIX458966 JYQ458966:JZB458966 JOU458966:JPF458966 JEY458966:JFJ458966 IVC458966:IVN458966 ILG458966:ILR458966 IBK458966:IBV458966 HRO458966:HRZ458966 HHS458966:HID458966 GXW458966:GYH458966 GOA458966:GOL458966 GEE458966:GEP458966 FUI458966:FUT458966 FKM458966:FKX458966 FAQ458966:FBB458966 EQU458966:ERF458966 EGY458966:EHJ458966 DXC458966:DXN458966 DNG458966:DNR458966 DDK458966:DDV458966 CTO458966:CTZ458966 CJS458966:CKD458966 BZW458966:CAH458966 BQA458966:BQL458966 BGE458966:BGP458966 AWI458966:AWT458966 AMM458966:AMX458966 ACQ458966:ADB458966 SU458966:TF458966 IY458966:JJ458966 C458966:N458966 WVK393430:WVV393430 WLO393430:WLZ393430 WBS393430:WCD393430 VRW393430:VSH393430 VIA393430:VIL393430 UYE393430:UYP393430 UOI393430:UOT393430 UEM393430:UEX393430 TUQ393430:TVB393430 TKU393430:TLF393430 TAY393430:TBJ393430 SRC393430:SRN393430 SHG393430:SHR393430 RXK393430:RXV393430 RNO393430:RNZ393430 RDS393430:RED393430 QTW393430:QUH393430 QKA393430:QKL393430 QAE393430:QAP393430 PQI393430:PQT393430 PGM393430:PGX393430 OWQ393430:OXB393430 OMU393430:ONF393430 OCY393430:ODJ393430 NTC393430:NTN393430 NJG393430:NJR393430 MZK393430:MZV393430 MPO393430:MPZ393430 MFS393430:MGD393430 LVW393430:LWH393430 LMA393430:LML393430 LCE393430:LCP393430 KSI393430:KST393430 KIM393430:KIX393430 JYQ393430:JZB393430 JOU393430:JPF393430 JEY393430:JFJ393430 IVC393430:IVN393430 ILG393430:ILR393430 IBK393430:IBV393430 HRO393430:HRZ393430 HHS393430:HID393430 GXW393430:GYH393430 GOA393430:GOL393430 GEE393430:GEP393430 FUI393430:FUT393430 FKM393430:FKX393430 FAQ393430:FBB393430 EQU393430:ERF393430 EGY393430:EHJ393430 DXC393430:DXN393430 DNG393430:DNR393430 DDK393430:DDV393430 CTO393430:CTZ393430 CJS393430:CKD393430 BZW393430:CAH393430 BQA393430:BQL393430 BGE393430:BGP393430 AWI393430:AWT393430 AMM393430:AMX393430 ACQ393430:ADB393430 SU393430:TF393430 IY393430:JJ393430 C393430:N393430 WVK327894:WVV327894 WLO327894:WLZ327894 WBS327894:WCD327894 VRW327894:VSH327894 VIA327894:VIL327894 UYE327894:UYP327894 UOI327894:UOT327894 UEM327894:UEX327894 TUQ327894:TVB327894 TKU327894:TLF327894 TAY327894:TBJ327894 SRC327894:SRN327894 SHG327894:SHR327894 RXK327894:RXV327894 RNO327894:RNZ327894 RDS327894:RED327894 QTW327894:QUH327894 QKA327894:QKL327894 QAE327894:QAP327894 PQI327894:PQT327894 PGM327894:PGX327894 OWQ327894:OXB327894 OMU327894:ONF327894 OCY327894:ODJ327894 NTC327894:NTN327894 NJG327894:NJR327894 MZK327894:MZV327894 MPO327894:MPZ327894 MFS327894:MGD327894 LVW327894:LWH327894 LMA327894:LML327894 LCE327894:LCP327894 KSI327894:KST327894 KIM327894:KIX327894 JYQ327894:JZB327894 JOU327894:JPF327894 JEY327894:JFJ327894 IVC327894:IVN327894 ILG327894:ILR327894 IBK327894:IBV327894 HRO327894:HRZ327894 HHS327894:HID327894 GXW327894:GYH327894 GOA327894:GOL327894 GEE327894:GEP327894 FUI327894:FUT327894 FKM327894:FKX327894 FAQ327894:FBB327894 EQU327894:ERF327894 EGY327894:EHJ327894 DXC327894:DXN327894 DNG327894:DNR327894 DDK327894:DDV327894 CTO327894:CTZ327894 CJS327894:CKD327894 BZW327894:CAH327894 BQA327894:BQL327894 BGE327894:BGP327894 AWI327894:AWT327894 AMM327894:AMX327894 ACQ327894:ADB327894 SU327894:TF327894 IY327894:JJ327894 C327894:N327894 WVK262358:WVV262358 WLO262358:WLZ262358 WBS262358:WCD262358 VRW262358:VSH262358 VIA262358:VIL262358 UYE262358:UYP262358 UOI262358:UOT262358 UEM262358:UEX262358 TUQ262358:TVB262358 TKU262358:TLF262358 TAY262358:TBJ262358 SRC262358:SRN262358 SHG262358:SHR262358 RXK262358:RXV262358 RNO262358:RNZ262358 RDS262358:RED262358 QTW262358:QUH262358 QKA262358:QKL262358 QAE262358:QAP262358 PQI262358:PQT262358 PGM262358:PGX262358 OWQ262358:OXB262358 OMU262358:ONF262358 OCY262358:ODJ262358 NTC262358:NTN262358 NJG262358:NJR262358 MZK262358:MZV262358 MPO262358:MPZ262358 MFS262358:MGD262358 LVW262358:LWH262358 LMA262358:LML262358 LCE262358:LCP262358 KSI262358:KST262358 KIM262358:KIX262358 JYQ262358:JZB262358 JOU262358:JPF262358 JEY262358:JFJ262358 IVC262358:IVN262358 ILG262358:ILR262358 IBK262358:IBV262358 HRO262358:HRZ262358 HHS262358:HID262358 GXW262358:GYH262358 GOA262358:GOL262358 GEE262358:GEP262358 FUI262358:FUT262358 FKM262358:FKX262358 FAQ262358:FBB262358 EQU262358:ERF262358 EGY262358:EHJ262358 DXC262358:DXN262358 DNG262358:DNR262358 DDK262358:DDV262358 CTO262358:CTZ262358 CJS262358:CKD262358 BZW262358:CAH262358 BQA262358:BQL262358 BGE262358:BGP262358 AWI262358:AWT262358 AMM262358:AMX262358 ACQ262358:ADB262358 SU262358:TF262358 IY262358:JJ262358 C262358:N262358 WVK196822:WVV196822 WLO196822:WLZ196822 WBS196822:WCD196822 VRW196822:VSH196822 VIA196822:VIL196822 UYE196822:UYP196822 UOI196822:UOT196822 UEM196822:UEX196822 TUQ196822:TVB196822 TKU196822:TLF196822 TAY196822:TBJ196822 SRC196822:SRN196822 SHG196822:SHR196822 RXK196822:RXV196822 RNO196822:RNZ196822 RDS196822:RED196822 QTW196822:QUH196822 QKA196822:QKL196822 QAE196822:QAP196822 PQI196822:PQT196822 PGM196822:PGX196822 OWQ196822:OXB196822 OMU196822:ONF196822 OCY196822:ODJ196822 NTC196822:NTN196822 NJG196822:NJR196822 MZK196822:MZV196822 MPO196822:MPZ196822 MFS196822:MGD196822 LVW196822:LWH196822 LMA196822:LML196822 LCE196822:LCP196822 KSI196822:KST196822 KIM196822:KIX196822 JYQ196822:JZB196822 JOU196822:JPF196822 JEY196822:JFJ196822 IVC196822:IVN196822 ILG196822:ILR196822 IBK196822:IBV196822 HRO196822:HRZ196822 HHS196822:HID196822 GXW196822:GYH196822 GOA196822:GOL196822 GEE196822:GEP196822 FUI196822:FUT196822 FKM196822:FKX196822 FAQ196822:FBB196822 EQU196822:ERF196822 EGY196822:EHJ196822 DXC196822:DXN196822 DNG196822:DNR196822 DDK196822:DDV196822 CTO196822:CTZ196822 CJS196822:CKD196822 BZW196822:CAH196822 BQA196822:BQL196822 BGE196822:BGP196822 AWI196822:AWT196822 AMM196822:AMX196822 ACQ196822:ADB196822 SU196822:TF196822 IY196822:JJ196822 C196822:N196822 WVK131286:WVV131286 WLO131286:WLZ131286 WBS131286:WCD131286 VRW131286:VSH131286 VIA131286:VIL131286 UYE131286:UYP131286 UOI131286:UOT131286 UEM131286:UEX131286 TUQ131286:TVB131286 TKU131286:TLF131286 TAY131286:TBJ131286 SRC131286:SRN131286 SHG131286:SHR131286 RXK131286:RXV131286 RNO131286:RNZ131286 RDS131286:RED131286 QTW131286:QUH131286 QKA131286:QKL131286 QAE131286:QAP131286 PQI131286:PQT131286 PGM131286:PGX131286 OWQ131286:OXB131286 OMU131286:ONF131286 OCY131286:ODJ131286 NTC131286:NTN131286 NJG131286:NJR131286 MZK131286:MZV131286 MPO131286:MPZ131286 MFS131286:MGD131286 LVW131286:LWH131286 LMA131286:LML131286 LCE131286:LCP131286 KSI131286:KST131286 KIM131286:KIX131286 JYQ131286:JZB131286 JOU131286:JPF131286 JEY131286:JFJ131286 IVC131286:IVN131286 ILG131286:ILR131286 IBK131286:IBV131286 HRO131286:HRZ131286 HHS131286:HID131286 GXW131286:GYH131286 GOA131286:GOL131286 GEE131286:GEP131286 FUI131286:FUT131286 FKM131286:FKX131286 FAQ131286:FBB131286 EQU131286:ERF131286 EGY131286:EHJ131286 DXC131286:DXN131286 DNG131286:DNR131286 DDK131286:DDV131286 CTO131286:CTZ131286 CJS131286:CKD131286 BZW131286:CAH131286 BQA131286:BQL131286 BGE131286:BGP131286 AWI131286:AWT131286 AMM131286:AMX131286 ACQ131286:ADB131286 SU131286:TF131286 IY131286:JJ131286 C131286:N131286 WVK65750:WVV65750 WLO65750:WLZ65750 WBS65750:WCD65750 VRW65750:VSH65750 VIA65750:VIL65750 UYE65750:UYP65750 UOI65750:UOT65750 UEM65750:UEX65750 TUQ65750:TVB65750 TKU65750:TLF65750 TAY65750:TBJ65750 SRC65750:SRN65750 SHG65750:SHR65750 RXK65750:RXV65750 RNO65750:RNZ65750 RDS65750:RED65750 QTW65750:QUH65750 QKA65750:QKL65750 QAE65750:QAP65750 PQI65750:PQT65750 PGM65750:PGX65750 OWQ65750:OXB65750 OMU65750:ONF65750 OCY65750:ODJ65750 NTC65750:NTN65750 NJG65750:NJR65750 MZK65750:MZV65750 MPO65750:MPZ65750 MFS65750:MGD65750 LVW65750:LWH65750 LMA65750:LML65750 LCE65750:LCP65750 KSI65750:KST65750 KIM65750:KIX65750 JYQ65750:JZB65750 JOU65750:JPF65750 JEY65750:JFJ65750 IVC65750:IVN65750 ILG65750:ILR65750 IBK65750:IBV65750 HRO65750:HRZ65750 HHS65750:HID65750 GXW65750:GYH65750 GOA65750:GOL65750 GEE65750:GEP65750 FUI65750:FUT65750 FKM65750:FKX65750 FAQ65750:FBB65750 EQU65750:ERF65750 EGY65750:EHJ65750 DXC65750:DXN65750 DNG65750:DNR65750 DDK65750:DDV65750 CTO65750:CTZ65750 CJS65750:CKD65750 BZW65750:CAH65750 BQA65750:BQL65750 BGE65750:BGP65750 AWI65750:AWT65750 AMM65750:AMX65750 ACQ65750:ADB65750 SU65750:TF65750 IY65750:JJ65750 C65750:N65750 WVK296:WVV296 WLO296:WLZ296 WBS296:WCD296 VRW296:VSH296 VIA296:VIL296 UYE296:UYP296 UOI296:UOT296 UEM296:UEX296 TUQ296:TVB296 TKU296:TLF296 TAY296:TBJ296 SRC296:SRN296 SHG296:SHR296 RXK296:RXV296 RNO296:RNZ296 RDS296:RED296 QTW296:QUH296 QKA296:QKL296 QAE296:QAP296 PQI296:PQT296 PGM296:PGX296 OWQ296:OXB296 OMU296:ONF296 OCY296:ODJ296 NTC296:NTN296 NJG296:NJR296 MZK296:MZV296 MPO296:MPZ296 MFS296:MGD296 LVW296:LWH296 LMA296:LML296 LCE296:LCP296 KSI296:KST296 KIM296:KIX296 JYQ296:JZB296 JOU296:JPF296 JEY296:JFJ296 IVC296:IVN296 ILG296:ILR296 IBK296:IBV296 HRO296:HRZ296 HHS296:HID296 GXW296:GYH296 GOA296:GOL296 GEE296:GEP296 FUI296:FUT296 FKM296:FKX296 FAQ296:FBB296 EQU296:ERF296 EGY296:EHJ296 DXC296:DXN296 DNG296:DNR296 DDK296:DDV296 CTO296:CTZ296 CJS296:CKD296 BZW296:CAH296 BQA296:BQL296 BGE296:BGP296 AWI296:AWT296 AMM296:AMX296 ACQ296:ADB296 SU296:TF296 IY296:JJ296 DDK206:DDV206 WVK983239:WVV983239 WLO983239:WLZ983239 WBS983239:WCD983239 VRW983239:VSH983239 VIA983239:VIL983239 UYE983239:UYP983239 UOI983239:UOT983239 UEM983239:UEX983239 TUQ983239:TVB983239 TKU983239:TLF983239 TAY983239:TBJ983239 SRC983239:SRN983239 SHG983239:SHR983239 RXK983239:RXV983239 RNO983239:RNZ983239 RDS983239:RED983239 QTW983239:QUH983239 QKA983239:QKL983239 QAE983239:QAP983239 PQI983239:PQT983239 PGM983239:PGX983239 OWQ983239:OXB983239 OMU983239:ONF983239 OCY983239:ODJ983239 NTC983239:NTN983239 NJG983239:NJR983239 MZK983239:MZV983239 MPO983239:MPZ983239 MFS983239:MGD983239 LVW983239:LWH983239 LMA983239:LML983239 LCE983239:LCP983239 KSI983239:KST983239 KIM983239:KIX983239 JYQ983239:JZB983239 JOU983239:JPF983239 JEY983239:JFJ983239 IVC983239:IVN983239 ILG983239:ILR983239 IBK983239:IBV983239 HRO983239:HRZ983239 HHS983239:HID983239 GXW983239:GYH983239 GOA983239:GOL983239 GEE983239:GEP983239 FUI983239:FUT983239 FKM983239:FKX983239 FAQ983239:FBB983239 EQU983239:ERF983239 EGY983239:EHJ983239 DXC983239:DXN983239 DNG983239:DNR983239 DDK983239:DDV983239 CTO983239:CTZ983239 CJS983239:CKD983239 BZW983239:CAH983239 BQA983239:BQL983239 BGE983239:BGP983239 AWI983239:AWT983239 AMM983239:AMX983239 ACQ983239:ADB983239 SU983239:TF983239 IY983239:JJ983239 C983239:N983239 WVK917703:WVV917703 WLO917703:WLZ917703 WBS917703:WCD917703 VRW917703:VSH917703 VIA917703:VIL917703 UYE917703:UYP917703 UOI917703:UOT917703 UEM917703:UEX917703 TUQ917703:TVB917703 TKU917703:TLF917703 TAY917703:TBJ917703 SRC917703:SRN917703 SHG917703:SHR917703 RXK917703:RXV917703 RNO917703:RNZ917703 RDS917703:RED917703 QTW917703:QUH917703 QKA917703:QKL917703 QAE917703:QAP917703 PQI917703:PQT917703 PGM917703:PGX917703 OWQ917703:OXB917703 OMU917703:ONF917703 OCY917703:ODJ917703 NTC917703:NTN917703 NJG917703:NJR917703 MZK917703:MZV917703 MPO917703:MPZ917703 MFS917703:MGD917703 LVW917703:LWH917703 LMA917703:LML917703 LCE917703:LCP917703 KSI917703:KST917703 KIM917703:KIX917703 JYQ917703:JZB917703 JOU917703:JPF917703 JEY917703:JFJ917703 IVC917703:IVN917703 ILG917703:ILR917703 IBK917703:IBV917703 HRO917703:HRZ917703 HHS917703:HID917703 GXW917703:GYH917703 GOA917703:GOL917703 GEE917703:GEP917703 FUI917703:FUT917703 FKM917703:FKX917703 FAQ917703:FBB917703 EQU917703:ERF917703 EGY917703:EHJ917703 DXC917703:DXN917703 DNG917703:DNR917703 DDK917703:DDV917703 CTO917703:CTZ917703 CJS917703:CKD917703 BZW917703:CAH917703 BQA917703:BQL917703 BGE917703:BGP917703 AWI917703:AWT917703 AMM917703:AMX917703 ACQ917703:ADB917703 SU917703:TF917703 IY917703:JJ917703 C917703:N917703 WVK852167:WVV852167 WLO852167:WLZ852167 WBS852167:WCD852167 VRW852167:VSH852167 VIA852167:VIL852167 UYE852167:UYP852167 UOI852167:UOT852167 UEM852167:UEX852167 TUQ852167:TVB852167 TKU852167:TLF852167 TAY852167:TBJ852167 SRC852167:SRN852167 SHG852167:SHR852167 RXK852167:RXV852167 RNO852167:RNZ852167 RDS852167:RED852167 QTW852167:QUH852167 QKA852167:QKL852167 QAE852167:QAP852167 PQI852167:PQT852167 PGM852167:PGX852167 OWQ852167:OXB852167 OMU852167:ONF852167 OCY852167:ODJ852167 NTC852167:NTN852167 NJG852167:NJR852167 MZK852167:MZV852167 MPO852167:MPZ852167 MFS852167:MGD852167 LVW852167:LWH852167 LMA852167:LML852167 LCE852167:LCP852167 KSI852167:KST852167 KIM852167:KIX852167 JYQ852167:JZB852167 JOU852167:JPF852167 JEY852167:JFJ852167 IVC852167:IVN852167 ILG852167:ILR852167 IBK852167:IBV852167 HRO852167:HRZ852167 HHS852167:HID852167 GXW852167:GYH852167 GOA852167:GOL852167 GEE852167:GEP852167 FUI852167:FUT852167 FKM852167:FKX852167 FAQ852167:FBB852167 EQU852167:ERF852167 EGY852167:EHJ852167 DXC852167:DXN852167 DNG852167:DNR852167 DDK852167:DDV852167 CTO852167:CTZ852167 CJS852167:CKD852167 BZW852167:CAH852167 BQA852167:BQL852167 BGE852167:BGP852167 AWI852167:AWT852167 AMM852167:AMX852167 ACQ852167:ADB852167 SU852167:TF852167 IY852167:JJ852167 C852167:N852167 WVK786631:WVV786631 WLO786631:WLZ786631 WBS786631:WCD786631 VRW786631:VSH786631 VIA786631:VIL786631 UYE786631:UYP786631 UOI786631:UOT786631 UEM786631:UEX786631 TUQ786631:TVB786631 TKU786631:TLF786631 TAY786631:TBJ786631 SRC786631:SRN786631 SHG786631:SHR786631 RXK786631:RXV786631 RNO786631:RNZ786631 RDS786631:RED786631 QTW786631:QUH786631 QKA786631:QKL786631 QAE786631:QAP786631 PQI786631:PQT786631 PGM786631:PGX786631 OWQ786631:OXB786631 OMU786631:ONF786631 OCY786631:ODJ786631 NTC786631:NTN786631 NJG786631:NJR786631 MZK786631:MZV786631 MPO786631:MPZ786631 MFS786631:MGD786631 LVW786631:LWH786631 LMA786631:LML786631 LCE786631:LCP786631 KSI786631:KST786631 KIM786631:KIX786631 JYQ786631:JZB786631 JOU786631:JPF786631 JEY786631:JFJ786631 IVC786631:IVN786631 ILG786631:ILR786631 IBK786631:IBV786631 HRO786631:HRZ786631 HHS786631:HID786631 GXW786631:GYH786631 GOA786631:GOL786631 GEE786631:GEP786631 FUI786631:FUT786631 FKM786631:FKX786631 FAQ786631:FBB786631 EQU786631:ERF786631 EGY786631:EHJ786631 DXC786631:DXN786631 DNG786631:DNR786631 DDK786631:DDV786631 CTO786631:CTZ786631 CJS786631:CKD786631 BZW786631:CAH786631 BQA786631:BQL786631 BGE786631:BGP786631 AWI786631:AWT786631 AMM786631:AMX786631 ACQ786631:ADB786631 SU786631:TF786631 IY786631:JJ786631 C786631:N786631 WVK721095:WVV721095 WLO721095:WLZ721095 WBS721095:WCD721095 VRW721095:VSH721095 VIA721095:VIL721095 UYE721095:UYP721095 UOI721095:UOT721095 UEM721095:UEX721095 TUQ721095:TVB721095 TKU721095:TLF721095 TAY721095:TBJ721095 SRC721095:SRN721095 SHG721095:SHR721095 RXK721095:RXV721095 RNO721095:RNZ721095 RDS721095:RED721095 QTW721095:QUH721095 QKA721095:QKL721095 QAE721095:QAP721095 PQI721095:PQT721095 PGM721095:PGX721095 OWQ721095:OXB721095 OMU721095:ONF721095 OCY721095:ODJ721095 NTC721095:NTN721095 NJG721095:NJR721095 MZK721095:MZV721095 MPO721095:MPZ721095 MFS721095:MGD721095 LVW721095:LWH721095 LMA721095:LML721095 LCE721095:LCP721095 KSI721095:KST721095 KIM721095:KIX721095 JYQ721095:JZB721095 JOU721095:JPF721095 JEY721095:JFJ721095 IVC721095:IVN721095 ILG721095:ILR721095 IBK721095:IBV721095 HRO721095:HRZ721095 HHS721095:HID721095 GXW721095:GYH721095 GOA721095:GOL721095 GEE721095:GEP721095 FUI721095:FUT721095 FKM721095:FKX721095 FAQ721095:FBB721095 EQU721095:ERF721095 EGY721095:EHJ721095 DXC721095:DXN721095 DNG721095:DNR721095 DDK721095:DDV721095 CTO721095:CTZ721095 CJS721095:CKD721095 BZW721095:CAH721095 BQA721095:BQL721095 BGE721095:BGP721095 AWI721095:AWT721095 AMM721095:AMX721095 ACQ721095:ADB721095 SU721095:TF721095 IY721095:JJ721095 C721095:N721095 WVK655559:WVV655559 WLO655559:WLZ655559 WBS655559:WCD655559 VRW655559:VSH655559 VIA655559:VIL655559 UYE655559:UYP655559 UOI655559:UOT655559 UEM655559:UEX655559 TUQ655559:TVB655559 TKU655559:TLF655559 TAY655559:TBJ655559 SRC655559:SRN655559 SHG655559:SHR655559 RXK655559:RXV655559 RNO655559:RNZ655559 RDS655559:RED655559 QTW655559:QUH655559 QKA655559:QKL655559 QAE655559:QAP655559 PQI655559:PQT655559 PGM655559:PGX655559 OWQ655559:OXB655559 OMU655559:ONF655559 OCY655559:ODJ655559 NTC655559:NTN655559 NJG655559:NJR655559 MZK655559:MZV655559 MPO655559:MPZ655559 MFS655559:MGD655559 LVW655559:LWH655559 LMA655559:LML655559 LCE655559:LCP655559 KSI655559:KST655559 KIM655559:KIX655559 JYQ655559:JZB655559 JOU655559:JPF655559 JEY655559:JFJ655559 IVC655559:IVN655559 ILG655559:ILR655559 IBK655559:IBV655559 HRO655559:HRZ655559 HHS655559:HID655559 GXW655559:GYH655559 GOA655559:GOL655559 GEE655559:GEP655559 FUI655559:FUT655559 FKM655559:FKX655559 FAQ655559:FBB655559 EQU655559:ERF655559 EGY655559:EHJ655559 DXC655559:DXN655559 DNG655559:DNR655559 DDK655559:DDV655559 CTO655559:CTZ655559 CJS655559:CKD655559 BZW655559:CAH655559 BQA655559:BQL655559 BGE655559:BGP655559 AWI655559:AWT655559 AMM655559:AMX655559 ACQ655559:ADB655559 SU655559:TF655559 IY655559:JJ655559 C655559:N655559 WVK590023:WVV590023 WLO590023:WLZ590023 WBS590023:WCD590023 VRW590023:VSH590023 VIA590023:VIL590023 UYE590023:UYP590023 UOI590023:UOT590023 UEM590023:UEX590023 TUQ590023:TVB590023 TKU590023:TLF590023 TAY590023:TBJ590023 SRC590023:SRN590023 SHG590023:SHR590023 RXK590023:RXV590023 RNO590023:RNZ590023 RDS590023:RED590023 QTW590023:QUH590023 QKA590023:QKL590023 QAE590023:QAP590023 PQI590023:PQT590023 PGM590023:PGX590023 OWQ590023:OXB590023 OMU590023:ONF590023 OCY590023:ODJ590023 NTC590023:NTN590023 NJG590023:NJR590023 MZK590023:MZV590023 MPO590023:MPZ590023 MFS590023:MGD590023 LVW590023:LWH590023 LMA590023:LML590023 LCE590023:LCP590023 KSI590023:KST590023 KIM590023:KIX590023 JYQ590023:JZB590023 JOU590023:JPF590023 JEY590023:JFJ590023 IVC590023:IVN590023 ILG590023:ILR590023 IBK590023:IBV590023 HRO590023:HRZ590023 HHS590023:HID590023 GXW590023:GYH590023 GOA590023:GOL590023 GEE590023:GEP590023 FUI590023:FUT590023 FKM590023:FKX590023 FAQ590023:FBB590023 EQU590023:ERF590023 EGY590023:EHJ590023 DXC590023:DXN590023 DNG590023:DNR590023 DDK590023:DDV590023 CTO590023:CTZ590023 CJS590023:CKD590023 BZW590023:CAH590023 BQA590023:BQL590023 BGE590023:BGP590023 AWI590023:AWT590023 AMM590023:AMX590023 ACQ590023:ADB590023 SU590023:TF590023 IY590023:JJ590023 C590023:N590023 WVK524487:WVV524487 WLO524487:WLZ524487 WBS524487:WCD524487 VRW524487:VSH524487 VIA524487:VIL524487 UYE524487:UYP524487 UOI524487:UOT524487 UEM524487:UEX524487 TUQ524487:TVB524487 TKU524487:TLF524487 TAY524487:TBJ524487 SRC524487:SRN524487 SHG524487:SHR524487 RXK524487:RXV524487 RNO524487:RNZ524487 RDS524487:RED524487 QTW524487:QUH524487 QKA524487:QKL524487 QAE524487:QAP524487 PQI524487:PQT524487 PGM524487:PGX524487 OWQ524487:OXB524487 OMU524487:ONF524487 OCY524487:ODJ524487 NTC524487:NTN524487 NJG524487:NJR524487 MZK524487:MZV524487 MPO524487:MPZ524487 MFS524487:MGD524487 LVW524487:LWH524487 LMA524487:LML524487 LCE524487:LCP524487 KSI524487:KST524487 KIM524487:KIX524487 JYQ524487:JZB524487 JOU524487:JPF524487 JEY524487:JFJ524487 IVC524487:IVN524487 ILG524487:ILR524487 IBK524487:IBV524487 HRO524487:HRZ524487 HHS524487:HID524487 GXW524487:GYH524487 GOA524487:GOL524487 GEE524487:GEP524487 FUI524487:FUT524487 FKM524487:FKX524487 FAQ524487:FBB524487 EQU524487:ERF524487 EGY524487:EHJ524487 DXC524487:DXN524487 DNG524487:DNR524487 DDK524487:DDV524487 CTO524487:CTZ524487 CJS524487:CKD524487 BZW524487:CAH524487 BQA524487:BQL524487 BGE524487:BGP524487 AWI524487:AWT524487 AMM524487:AMX524487 ACQ524487:ADB524487 SU524487:TF524487 IY524487:JJ524487 C524487:N524487 WVK458951:WVV458951 WLO458951:WLZ458951 WBS458951:WCD458951 VRW458951:VSH458951 VIA458951:VIL458951 UYE458951:UYP458951 UOI458951:UOT458951 UEM458951:UEX458951 TUQ458951:TVB458951 TKU458951:TLF458951 TAY458951:TBJ458951 SRC458951:SRN458951 SHG458951:SHR458951 RXK458951:RXV458951 RNO458951:RNZ458951 RDS458951:RED458951 QTW458951:QUH458951 QKA458951:QKL458951 QAE458951:QAP458951 PQI458951:PQT458951 PGM458951:PGX458951 OWQ458951:OXB458951 OMU458951:ONF458951 OCY458951:ODJ458951 NTC458951:NTN458951 NJG458951:NJR458951 MZK458951:MZV458951 MPO458951:MPZ458951 MFS458951:MGD458951 LVW458951:LWH458951 LMA458951:LML458951 LCE458951:LCP458951 KSI458951:KST458951 KIM458951:KIX458951 JYQ458951:JZB458951 JOU458951:JPF458951 JEY458951:JFJ458951 IVC458951:IVN458951 ILG458951:ILR458951 IBK458951:IBV458951 HRO458951:HRZ458951 HHS458951:HID458951 GXW458951:GYH458951 GOA458951:GOL458951 GEE458951:GEP458951 FUI458951:FUT458951 FKM458951:FKX458951 FAQ458951:FBB458951 EQU458951:ERF458951 EGY458951:EHJ458951 DXC458951:DXN458951 DNG458951:DNR458951 DDK458951:DDV458951 CTO458951:CTZ458951 CJS458951:CKD458951 BZW458951:CAH458951 BQA458951:BQL458951 BGE458951:BGP458951 AWI458951:AWT458951 AMM458951:AMX458951 ACQ458951:ADB458951 SU458951:TF458951 IY458951:JJ458951 C458951:N458951 WVK393415:WVV393415 WLO393415:WLZ393415 WBS393415:WCD393415 VRW393415:VSH393415 VIA393415:VIL393415 UYE393415:UYP393415 UOI393415:UOT393415 UEM393415:UEX393415 TUQ393415:TVB393415 TKU393415:TLF393415 TAY393415:TBJ393415 SRC393415:SRN393415 SHG393415:SHR393415 RXK393415:RXV393415 RNO393415:RNZ393415 RDS393415:RED393415 QTW393415:QUH393415 QKA393415:QKL393415 QAE393415:QAP393415 PQI393415:PQT393415 PGM393415:PGX393415 OWQ393415:OXB393415 OMU393415:ONF393415 OCY393415:ODJ393415 NTC393415:NTN393415 NJG393415:NJR393415 MZK393415:MZV393415 MPO393415:MPZ393415 MFS393415:MGD393415 LVW393415:LWH393415 LMA393415:LML393415 LCE393415:LCP393415 KSI393415:KST393415 KIM393415:KIX393415 JYQ393415:JZB393415 JOU393415:JPF393415 JEY393415:JFJ393415 IVC393415:IVN393415 ILG393415:ILR393415 IBK393415:IBV393415 HRO393415:HRZ393415 HHS393415:HID393415 GXW393415:GYH393415 GOA393415:GOL393415 GEE393415:GEP393415 FUI393415:FUT393415 FKM393415:FKX393415 FAQ393415:FBB393415 EQU393415:ERF393415 EGY393415:EHJ393415 DXC393415:DXN393415 DNG393415:DNR393415 DDK393415:DDV393415 CTO393415:CTZ393415 CJS393415:CKD393415 BZW393415:CAH393415 BQA393415:BQL393415 BGE393415:BGP393415 AWI393415:AWT393415 AMM393415:AMX393415 ACQ393415:ADB393415 SU393415:TF393415 IY393415:JJ393415 C393415:N393415 WVK327879:WVV327879 WLO327879:WLZ327879 WBS327879:WCD327879 VRW327879:VSH327879 VIA327879:VIL327879 UYE327879:UYP327879 UOI327879:UOT327879 UEM327879:UEX327879 TUQ327879:TVB327879 TKU327879:TLF327879 TAY327879:TBJ327879 SRC327879:SRN327879 SHG327879:SHR327879 RXK327879:RXV327879 RNO327879:RNZ327879 RDS327879:RED327879 QTW327879:QUH327879 QKA327879:QKL327879 QAE327879:QAP327879 PQI327879:PQT327879 PGM327879:PGX327879 OWQ327879:OXB327879 OMU327879:ONF327879 OCY327879:ODJ327879 NTC327879:NTN327879 NJG327879:NJR327879 MZK327879:MZV327879 MPO327879:MPZ327879 MFS327879:MGD327879 LVW327879:LWH327879 LMA327879:LML327879 LCE327879:LCP327879 KSI327879:KST327879 KIM327879:KIX327879 JYQ327879:JZB327879 JOU327879:JPF327879 JEY327879:JFJ327879 IVC327879:IVN327879 ILG327879:ILR327879 IBK327879:IBV327879 HRO327879:HRZ327879 HHS327879:HID327879 GXW327879:GYH327879 GOA327879:GOL327879 GEE327879:GEP327879 FUI327879:FUT327879 FKM327879:FKX327879 FAQ327879:FBB327879 EQU327879:ERF327879 EGY327879:EHJ327879 DXC327879:DXN327879 DNG327879:DNR327879 DDK327879:DDV327879 CTO327879:CTZ327879 CJS327879:CKD327879 BZW327879:CAH327879 BQA327879:BQL327879 BGE327879:BGP327879 AWI327879:AWT327879 AMM327879:AMX327879 ACQ327879:ADB327879 SU327879:TF327879 IY327879:JJ327879 C327879:N327879 WVK262343:WVV262343 WLO262343:WLZ262343 WBS262343:WCD262343 VRW262343:VSH262343 VIA262343:VIL262343 UYE262343:UYP262343 UOI262343:UOT262343 UEM262343:UEX262343 TUQ262343:TVB262343 TKU262343:TLF262343 TAY262343:TBJ262343 SRC262343:SRN262343 SHG262343:SHR262343 RXK262343:RXV262343 RNO262343:RNZ262343 RDS262343:RED262343 QTW262343:QUH262343 QKA262343:QKL262343 QAE262343:QAP262343 PQI262343:PQT262343 PGM262343:PGX262343 OWQ262343:OXB262343 OMU262343:ONF262343 OCY262343:ODJ262343 NTC262343:NTN262343 NJG262343:NJR262343 MZK262343:MZV262343 MPO262343:MPZ262343 MFS262343:MGD262343 LVW262343:LWH262343 LMA262343:LML262343 LCE262343:LCP262343 KSI262343:KST262343 KIM262343:KIX262343 JYQ262343:JZB262343 JOU262343:JPF262343 JEY262343:JFJ262343 IVC262343:IVN262343 ILG262343:ILR262343 IBK262343:IBV262343 HRO262343:HRZ262343 HHS262343:HID262343 GXW262343:GYH262343 GOA262343:GOL262343 GEE262343:GEP262343 FUI262343:FUT262343 FKM262343:FKX262343 FAQ262343:FBB262343 EQU262343:ERF262343 EGY262343:EHJ262343 DXC262343:DXN262343 DNG262343:DNR262343 DDK262343:DDV262343 CTO262343:CTZ262343 CJS262343:CKD262343 BZW262343:CAH262343 BQA262343:BQL262343 BGE262343:BGP262343 AWI262343:AWT262343 AMM262343:AMX262343 ACQ262343:ADB262343 SU262343:TF262343 IY262343:JJ262343 C262343:N262343 WVK196807:WVV196807 WLO196807:WLZ196807 WBS196807:WCD196807 VRW196807:VSH196807 VIA196807:VIL196807 UYE196807:UYP196807 UOI196807:UOT196807 UEM196807:UEX196807 TUQ196807:TVB196807 TKU196807:TLF196807 TAY196807:TBJ196807 SRC196807:SRN196807 SHG196807:SHR196807 RXK196807:RXV196807 RNO196807:RNZ196807 RDS196807:RED196807 QTW196807:QUH196807 QKA196807:QKL196807 QAE196807:QAP196807 PQI196807:PQT196807 PGM196807:PGX196807 OWQ196807:OXB196807 OMU196807:ONF196807 OCY196807:ODJ196807 NTC196807:NTN196807 NJG196807:NJR196807 MZK196807:MZV196807 MPO196807:MPZ196807 MFS196807:MGD196807 LVW196807:LWH196807 LMA196807:LML196807 LCE196807:LCP196807 KSI196807:KST196807 KIM196807:KIX196807 JYQ196807:JZB196807 JOU196807:JPF196807 JEY196807:JFJ196807 IVC196807:IVN196807 ILG196807:ILR196807 IBK196807:IBV196807 HRO196807:HRZ196807 HHS196807:HID196807 GXW196807:GYH196807 GOA196807:GOL196807 GEE196807:GEP196807 FUI196807:FUT196807 FKM196807:FKX196807 FAQ196807:FBB196807 EQU196807:ERF196807 EGY196807:EHJ196807 DXC196807:DXN196807 DNG196807:DNR196807 DDK196807:DDV196807 CTO196807:CTZ196807 CJS196807:CKD196807 BZW196807:CAH196807 BQA196807:BQL196807 BGE196807:BGP196807 AWI196807:AWT196807 AMM196807:AMX196807 ACQ196807:ADB196807 SU196807:TF196807 IY196807:JJ196807 C196807:N196807 WVK131271:WVV131271 WLO131271:WLZ131271 WBS131271:WCD131271 VRW131271:VSH131271 VIA131271:VIL131271 UYE131271:UYP131271 UOI131271:UOT131271 UEM131271:UEX131271 TUQ131271:TVB131271 TKU131271:TLF131271 TAY131271:TBJ131271 SRC131271:SRN131271 SHG131271:SHR131271 RXK131271:RXV131271 RNO131271:RNZ131271 RDS131271:RED131271 QTW131271:QUH131271 QKA131271:QKL131271 QAE131271:QAP131271 PQI131271:PQT131271 PGM131271:PGX131271 OWQ131271:OXB131271 OMU131271:ONF131271 OCY131271:ODJ131271 NTC131271:NTN131271 NJG131271:NJR131271 MZK131271:MZV131271 MPO131271:MPZ131271 MFS131271:MGD131271 LVW131271:LWH131271 LMA131271:LML131271 LCE131271:LCP131271 KSI131271:KST131271 KIM131271:KIX131271 JYQ131271:JZB131271 JOU131271:JPF131271 JEY131271:JFJ131271 IVC131271:IVN131271 ILG131271:ILR131271 IBK131271:IBV131271 HRO131271:HRZ131271 HHS131271:HID131271 GXW131271:GYH131271 GOA131271:GOL131271 GEE131271:GEP131271 FUI131271:FUT131271 FKM131271:FKX131271 FAQ131271:FBB131271 EQU131271:ERF131271 EGY131271:EHJ131271 DXC131271:DXN131271 DNG131271:DNR131271 DDK131271:DDV131271 CTO131271:CTZ131271 CJS131271:CKD131271 BZW131271:CAH131271 BQA131271:BQL131271 BGE131271:BGP131271 AWI131271:AWT131271 AMM131271:AMX131271 ACQ131271:ADB131271 SU131271:TF131271 IY131271:JJ131271 C131271:N131271 WVK65735:WVV65735 WLO65735:WLZ65735 WBS65735:WCD65735 VRW65735:VSH65735 VIA65735:VIL65735 UYE65735:UYP65735 UOI65735:UOT65735 UEM65735:UEX65735 TUQ65735:TVB65735 TKU65735:TLF65735 TAY65735:TBJ65735 SRC65735:SRN65735 SHG65735:SHR65735 RXK65735:RXV65735 RNO65735:RNZ65735 RDS65735:RED65735 QTW65735:QUH65735 QKA65735:QKL65735 QAE65735:QAP65735 PQI65735:PQT65735 PGM65735:PGX65735 OWQ65735:OXB65735 OMU65735:ONF65735 OCY65735:ODJ65735 NTC65735:NTN65735 NJG65735:NJR65735 MZK65735:MZV65735 MPO65735:MPZ65735 MFS65735:MGD65735 LVW65735:LWH65735 LMA65735:LML65735 LCE65735:LCP65735 KSI65735:KST65735 KIM65735:KIX65735 JYQ65735:JZB65735 JOU65735:JPF65735 JEY65735:JFJ65735 IVC65735:IVN65735 ILG65735:ILR65735 IBK65735:IBV65735 HRO65735:HRZ65735 HHS65735:HID65735 GXW65735:GYH65735 GOA65735:GOL65735 GEE65735:GEP65735 FUI65735:FUT65735 FKM65735:FKX65735 FAQ65735:FBB65735 EQU65735:ERF65735 EGY65735:EHJ65735 DXC65735:DXN65735 DNG65735:DNR65735 DDK65735:DDV65735 CTO65735:CTZ65735 CJS65735:CKD65735 BZW65735:CAH65735 BQA65735:BQL65735 BGE65735:BGP65735 AWI65735:AWT65735 AMM65735:AMX65735 ACQ65735:ADB65735 SU65735:TF65735 IY65735:JJ65735 C65735:N65735 WVK281:WVV281 WLO281:WLZ281 WBS281:WCD281 VRW281:VSH281 VIA281:VIL281 UYE281:UYP281 UOI281:UOT281 UEM281:UEX281 TUQ281:TVB281 TKU281:TLF281 TAY281:TBJ281 SRC281:SRN281 SHG281:SHR281 RXK281:RXV281 RNO281:RNZ281 RDS281:RED281 QTW281:QUH281 QKA281:QKL281 QAE281:QAP281 PQI281:PQT281 PGM281:PGX281 OWQ281:OXB281 OMU281:ONF281 OCY281:ODJ281 NTC281:NTN281 NJG281:NJR281 MZK281:MZV281 MPO281:MPZ281 MFS281:MGD281 LVW281:LWH281 LMA281:LML281 LCE281:LCP281 KSI281:KST281 KIM281:KIX281 JYQ281:JZB281 JOU281:JPF281 JEY281:JFJ281 IVC281:IVN281 ILG281:ILR281 IBK281:IBV281 HRO281:HRZ281 HHS281:HID281 GXW281:GYH281 GOA281:GOL281 GEE281:GEP281 FUI281:FUT281 FKM281:FKX281 FAQ281:FBB281 EQU281:ERF281 EGY281:EHJ281 DXC281:DXN281 DNG281:DNR281 DDK281:DDV281 CTO281:CTZ281 CJS281:CKD281 BZW281:CAH281 BQA281:BQL281 BGE281:BGP281 AWI281:AWT281 AMM281:AMX281 ACQ281:ADB281 SU281:TF281 IY281:JJ281 CTO206:CTZ206 WVK983224:WVV983224 WLO983224:WLZ983224 WBS983224:WCD983224 VRW983224:VSH983224 VIA983224:VIL983224 UYE983224:UYP983224 UOI983224:UOT983224 UEM983224:UEX983224 TUQ983224:TVB983224 TKU983224:TLF983224 TAY983224:TBJ983224 SRC983224:SRN983224 SHG983224:SHR983224 RXK983224:RXV983224 RNO983224:RNZ983224 RDS983224:RED983224 QTW983224:QUH983224 QKA983224:QKL983224 QAE983224:QAP983224 PQI983224:PQT983224 PGM983224:PGX983224 OWQ983224:OXB983224 OMU983224:ONF983224 OCY983224:ODJ983224 NTC983224:NTN983224 NJG983224:NJR983224 MZK983224:MZV983224 MPO983224:MPZ983224 MFS983224:MGD983224 LVW983224:LWH983224 LMA983224:LML983224 LCE983224:LCP983224 KSI983224:KST983224 KIM983224:KIX983224 JYQ983224:JZB983224 JOU983224:JPF983224 JEY983224:JFJ983224 IVC983224:IVN983224 ILG983224:ILR983224 IBK983224:IBV983224 HRO983224:HRZ983224 HHS983224:HID983224 GXW983224:GYH983224 GOA983224:GOL983224 GEE983224:GEP983224 FUI983224:FUT983224 FKM983224:FKX983224 FAQ983224:FBB983224 EQU983224:ERF983224 EGY983224:EHJ983224 DXC983224:DXN983224 DNG983224:DNR983224 DDK983224:DDV983224 CTO983224:CTZ983224 CJS983224:CKD983224 BZW983224:CAH983224 BQA983224:BQL983224 BGE983224:BGP983224 AWI983224:AWT983224 AMM983224:AMX983224 ACQ983224:ADB983224 SU983224:TF983224 IY983224:JJ983224 C983224:N983224 WVK917688:WVV917688 WLO917688:WLZ917688 WBS917688:WCD917688 VRW917688:VSH917688 VIA917688:VIL917688 UYE917688:UYP917688 UOI917688:UOT917688 UEM917688:UEX917688 TUQ917688:TVB917688 TKU917688:TLF917688 TAY917688:TBJ917688 SRC917688:SRN917688 SHG917688:SHR917688 RXK917688:RXV917688 RNO917688:RNZ917688 RDS917688:RED917688 QTW917688:QUH917688 QKA917688:QKL917688 QAE917688:QAP917688 PQI917688:PQT917688 PGM917688:PGX917688 OWQ917688:OXB917688 OMU917688:ONF917688 OCY917688:ODJ917688 NTC917688:NTN917688 NJG917688:NJR917688 MZK917688:MZV917688 MPO917688:MPZ917688 MFS917688:MGD917688 LVW917688:LWH917688 LMA917688:LML917688 LCE917688:LCP917688 KSI917688:KST917688 KIM917688:KIX917688 JYQ917688:JZB917688 JOU917688:JPF917688 JEY917688:JFJ917688 IVC917688:IVN917688 ILG917688:ILR917688 IBK917688:IBV917688 HRO917688:HRZ917688 HHS917688:HID917688 GXW917688:GYH917688 GOA917688:GOL917688 GEE917688:GEP917688 FUI917688:FUT917688 FKM917688:FKX917688 FAQ917688:FBB917688 EQU917688:ERF917688 EGY917688:EHJ917688 DXC917688:DXN917688 DNG917688:DNR917688 DDK917688:DDV917688 CTO917688:CTZ917688 CJS917688:CKD917688 BZW917688:CAH917688 BQA917688:BQL917688 BGE917688:BGP917688 AWI917688:AWT917688 AMM917688:AMX917688 ACQ917688:ADB917688 SU917688:TF917688 IY917688:JJ917688 C917688:N917688 WVK852152:WVV852152 WLO852152:WLZ852152 WBS852152:WCD852152 VRW852152:VSH852152 VIA852152:VIL852152 UYE852152:UYP852152 UOI852152:UOT852152 UEM852152:UEX852152 TUQ852152:TVB852152 TKU852152:TLF852152 TAY852152:TBJ852152 SRC852152:SRN852152 SHG852152:SHR852152 RXK852152:RXV852152 RNO852152:RNZ852152 RDS852152:RED852152 QTW852152:QUH852152 QKA852152:QKL852152 QAE852152:QAP852152 PQI852152:PQT852152 PGM852152:PGX852152 OWQ852152:OXB852152 OMU852152:ONF852152 OCY852152:ODJ852152 NTC852152:NTN852152 NJG852152:NJR852152 MZK852152:MZV852152 MPO852152:MPZ852152 MFS852152:MGD852152 LVW852152:LWH852152 LMA852152:LML852152 LCE852152:LCP852152 KSI852152:KST852152 KIM852152:KIX852152 JYQ852152:JZB852152 JOU852152:JPF852152 JEY852152:JFJ852152 IVC852152:IVN852152 ILG852152:ILR852152 IBK852152:IBV852152 HRO852152:HRZ852152 HHS852152:HID852152 GXW852152:GYH852152 GOA852152:GOL852152 GEE852152:GEP852152 FUI852152:FUT852152 FKM852152:FKX852152 FAQ852152:FBB852152 EQU852152:ERF852152 EGY852152:EHJ852152 DXC852152:DXN852152 DNG852152:DNR852152 DDK852152:DDV852152 CTO852152:CTZ852152 CJS852152:CKD852152 BZW852152:CAH852152 BQA852152:BQL852152 BGE852152:BGP852152 AWI852152:AWT852152 AMM852152:AMX852152 ACQ852152:ADB852152 SU852152:TF852152 IY852152:JJ852152 C852152:N852152 WVK786616:WVV786616 WLO786616:WLZ786616 WBS786616:WCD786616 VRW786616:VSH786616 VIA786616:VIL786616 UYE786616:UYP786616 UOI786616:UOT786616 UEM786616:UEX786616 TUQ786616:TVB786616 TKU786616:TLF786616 TAY786616:TBJ786616 SRC786616:SRN786616 SHG786616:SHR786616 RXK786616:RXV786616 RNO786616:RNZ786616 RDS786616:RED786616 QTW786616:QUH786616 QKA786616:QKL786616 QAE786616:QAP786616 PQI786616:PQT786616 PGM786616:PGX786616 OWQ786616:OXB786616 OMU786616:ONF786616 OCY786616:ODJ786616 NTC786616:NTN786616 NJG786616:NJR786616 MZK786616:MZV786616 MPO786616:MPZ786616 MFS786616:MGD786616 LVW786616:LWH786616 LMA786616:LML786616 LCE786616:LCP786616 KSI786616:KST786616 KIM786616:KIX786616 JYQ786616:JZB786616 JOU786616:JPF786616 JEY786616:JFJ786616 IVC786616:IVN786616 ILG786616:ILR786616 IBK786616:IBV786616 HRO786616:HRZ786616 HHS786616:HID786616 GXW786616:GYH786616 GOA786616:GOL786616 GEE786616:GEP786616 FUI786616:FUT786616 FKM786616:FKX786616 FAQ786616:FBB786616 EQU786616:ERF786616 EGY786616:EHJ786616 DXC786616:DXN786616 DNG786616:DNR786616 DDK786616:DDV786616 CTO786616:CTZ786616 CJS786616:CKD786616 BZW786616:CAH786616 BQA786616:BQL786616 BGE786616:BGP786616 AWI786616:AWT786616 AMM786616:AMX786616 ACQ786616:ADB786616 SU786616:TF786616 IY786616:JJ786616 C786616:N786616 WVK721080:WVV721080 WLO721080:WLZ721080 WBS721080:WCD721080 VRW721080:VSH721080 VIA721080:VIL721080 UYE721080:UYP721080 UOI721080:UOT721080 UEM721080:UEX721080 TUQ721080:TVB721080 TKU721080:TLF721080 TAY721080:TBJ721080 SRC721080:SRN721080 SHG721080:SHR721080 RXK721080:RXV721080 RNO721080:RNZ721080 RDS721080:RED721080 QTW721080:QUH721080 QKA721080:QKL721080 QAE721080:QAP721080 PQI721080:PQT721080 PGM721080:PGX721080 OWQ721080:OXB721080 OMU721080:ONF721080 OCY721080:ODJ721080 NTC721080:NTN721080 NJG721080:NJR721080 MZK721080:MZV721080 MPO721080:MPZ721080 MFS721080:MGD721080 LVW721080:LWH721080 LMA721080:LML721080 LCE721080:LCP721080 KSI721080:KST721080 KIM721080:KIX721080 JYQ721080:JZB721080 JOU721080:JPF721080 JEY721080:JFJ721080 IVC721080:IVN721080 ILG721080:ILR721080 IBK721080:IBV721080 HRO721080:HRZ721080 HHS721080:HID721080 GXW721080:GYH721080 GOA721080:GOL721080 GEE721080:GEP721080 FUI721080:FUT721080 FKM721080:FKX721080 FAQ721080:FBB721080 EQU721080:ERF721080 EGY721080:EHJ721080 DXC721080:DXN721080 DNG721080:DNR721080 DDK721080:DDV721080 CTO721080:CTZ721080 CJS721080:CKD721080 BZW721080:CAH721080 BQA721080:BQL721080 BGE721080:BGP721080 AWI721080:AWT721080 AMM721080:AMX721080 ACQ721080:ADB721080 SU721080:TF721080 IY721080:JJ721080 C721080:N721080 WVK655544:WVV655544 WLO655544:WLZ655544 WBS655544:WCD655544 VRW655544:VSH655544 VIA655544:VIL655544 UYE655544:UYP655544 UOI655544:UOT655544 UEM655544:UEX655544 TUQ655544:TVB655544 TKU655544:TLF655544 TAY655544:TBJ655544 SRC655544:SRN655544 SHG655544:SHR655544 RXK655544:RXV655544 RNO655544:RNZ655544 RDS655544:RED655544 QTW655544:QUH655544 QKA655544:QKL655544 QAE655544:QAP655544 PQI655544:PQT655544 PGM655544:PGX655544 OWQ655544:OXB655544 OMU655544:ONF655544 OCY655544:ODJ655544 NTC655544:NTN655544 NJG655544:NJR655544 MZK655544:MZV655544 MPO655544:MPZ655544 MFS655544:MGD655544 LVW655544:LWH655544 LMA655544:LML655544 LCE655544:LCP655544 KSI655544:KST655544 KIM655544:KIX655544 JYQ655544:JZB655544 JOU655544:JPF655544 JEY655544:JFJ655544 IVC655544:IVN655544 ILG655544:ILR655544 IBK655544:IBV655544 HRO655544:HRZ655544 HHS655544:HID655544 GXW655544:GYH655544 GOA655544:GOL655544 GEE655544:GEP655544 FUI655544:FUT655544 FKM655544:FKX655544 FAQ655544:FBB655544 EQU655544:ERF655544 EGY655544:EHJ655544 DXC655544:DXN655544 DNG655544:DNR655544 DDK655544:DDV655544 CTO655544:CTZ655544 CJS655544:CKD655544 BZW655544:CAH655544 BQA655544:BQL655544 BGE655544:BGP655544 AWI655544:AWT655544 AMM655544:AMX655544 ACQ655544:ADB655544 SU655544:TF655544 IY655544:JJ655544 C655544:N655544 WVK590008:WVV590008 WLO590008:WLZ590008 WBS590008:WCD590008 VRW590008:VSH590008 VIA590008:VIL590008 UYE590008:UYP590008 UOI590008:UOT590008 UEM590008:UEX590008 TUQ590008:TVB590008 TKU590008:TLF590008 TAY590008:TBJ590008 SRC590008:SRN590008 SHG590008:SHR590008 RXK590008:RXV590008 RNO590008:RNZ590008 RDS590008:RED590008 QTW590008:QUH590008 QKA590008:QKL590008 QAE590008:QAP590008 PQI590008:PQT590008 PGM590008:PGX590008 OWQ590008:OXB590008 OMU590008:ONF590008 OCY590008:ODJ590008 NTC590008:NTN590008 NJG590008:NJR590008 MZK590008:MZV590008 MPO590008:MPZ590008 MFS590008:MGD590008 LVW590008:LWH590008 LMA590008:LML590008 LCE590008:LCP590008 KSI590008:KST590008 KIM590008:KIX590008 JYQ590008:JZB590008 JOU590008:JPF590008 JEY590008:JFJ590008 IVC590008:IVN590008 ILG590008:ILR590008 IBK590008:IBV590008 HRO590008:HRZ590008 HHS590008:HID590008 GXW590008:GYH590008 GOA590008:GOL590008 GEE590008:GEP590008 FUI590008:FUT590008 FKM590008:FKX590008 FAQ590008:FBB590008 EQU590008:ERF590008 EGY590008:EHJ590008 DXC590008:DXN590008 DNG590008:DNR590008 DDK590008:DDV590008 CTO590008:CTZ590008 CJS590008:CKD590008 BZW590008:CAH590008 BQA590008:BQL590008 BGE590008:BGP590008 AWI590008:AWT590008 AMM590008:AMX590008 ACQ590008:ADB590008 SU590008:TF590008 IY590008:JJ590008 C590008:N590008 WVK524472:WVV524472 WLO524472:WLZ524472 WBS524472:WCD524472 VRW524472:VSH524472 VIA524472:VIL524472 UYE524472:UYP524472 UOI524472:UOT524472 UEM524472:UEX524472 TUQ524472:TVB524472 TKU524472:TLF524472 TAY524472:TBJ524472 SRC524472:SRN524472 SHG524472:SHR524472 RXK524472:RXV524472 RNO524472:RNZ524472 RDS524472:RED524472 QTW524472:QUH524472 QKA524472:QKL524472 QAE524472:QAP524472 PQI524472:PQT524472 PGM524472:PGX524472 OWQ524472:OXB524472 OMU524472:ONF524472 OCY524472:ODJ524472 NTC524472:NTN524472 NJG524472:NJR524472 MZK524472:MZV524472 MPO524472:MPZ524472 MFS524472:MGD524472 LVW524472:LWH524472 LMA524472:LML524472 LCE524472:LCP524472 KSI524472:KST524472 KIM524472:KIX524472 JYQ524472:JZB524472 JOU524472:JPF524472 JEY524472:JFJ524472 IVC524472:IVN524472 ILG524472:ILR524472 IBK524472:IBV524472 HRO524472:HRZ524472 HHS524472:HID524472 GXW524472:GYH524472 GOA524472:GOL524472 GEE524472:GEP524472 FUI524472:FUT524472 FKM524472:FKX524472 FAQ524472:FBB524472 EQU524472:ERF524472 EGY524472:EHJ524472 DXC524472:DXN524472 DNG524472:DNR524472 DDK524472:DDV524472 CTO524472:CTZ524472 CJS524472:CKD524472 BZW524472:CAH524472 BQA524472:BQL524472 BGE524472:BGP524472 AWI524472:AWT524472 AMM524472:AMX524472 ACQ524472:ADB524472 SU524472:TF524472 IY524472:JJ524472 C524472:N524472 WVK458936:WVV458936 WLO458936:WLZ458936 WBS458936:WCD458936 VRW458936:VSH458936 VIA458936:VIL458936 UYE458936:UYP458936 UOI458936:UOT458936 UEM458936:UEX458936 TUQ458936:TVB458936 TKU458936:TLF458936 TAY458936:TBJ458936 SRC458936:SRN458936 SHG458936:SHR458936 RXK458936:RXV458936 RNO458936:RNZ458936 RDS458936:RED458936 QTW458936:QUH458936 QKA458936:QKL458936 QAE458936:QAP458936 PQI458936:PQT458936 PGM458936:PGX458936 OWQ458936:OXB458936 OMU458936:ONF458936 OCY458936:ODJ458936 NTC458936:NTN458936 NJG458936:NJR458936 MZK458936:MZV458936 MPO458936:MPZ458936 MFS458936:MGD458936 LVW458936:LWH458936 LMA458936:LML458936 LCE458936:LCP458936 KSI458936:KST458936 KIM458936:KIX458936 JYQ458936:JZB458936 JOU458936:JPF458936 JEY458936:JFJ458936 IVC458936:IVN458936 ILG458936:ILR458936 IBK458936:IBV458936 HRO458936:HRZ458936 HHS458936:HID458936 GXW458936:GYH458936 GOA458936:GOL458936 GEE458936:GEP458936 FUI458936:FUT458936 FKM458936:FKX458936 FAQ458936:FBB458936 EQU458936:ERF458936 EGY458936:EHJ458936 DXC458936:DXN458936 DNG458936:DNR458936 DDK458936:DDV458936 CTO458936:CTZ458936 CJS458936:CKD458936 BZW458936:CAH458936 BQA458936:BQL458936 BGE458936:BGP458936 AWI458936:AWT458936 AMM458936:AMX458936 ACQ458936:ADB458936 SU458936:TF458936 IY458936:JJ458936 C458936:N458936 WVK393400:WVV393400 WLO393400:WLZ393400 WBS393400:WCD393400 VRW393400:VSH393400 VIA393400:VIL393400 UYE393400:UYP393400 UOI393400:UOT393400 UEM393400:UEX393400 TUQ393400:TVB393400 TKU393400:TLF393400 TAY393400:TBJ393400 SRC393400:SRN393400 SHG393400:SHR393400 RXK393400:RXV393400 RNO393400:RNZ393400 RDS393400:RED393400 QTW393400:QUH393400 QKA393400:QKL393400 QAE393400:QAP393400 PQI393400:PQT393400 PGM393400:PGX393400 OWQ393400:OXB393400 OMU393400:ONF393400 OCY393400:ODJ393400 NTC393400:NTN393400 NJG393400:NJR393400 MZK393400:MZV393400 MPO393400:MPZ393400 MFS393400:MGD393400 LVW393400:LWH393400 LMA393400:LML393400 LCE393400:LCP393400 KSI393400:KST393400 KIM393400:KIX393400 JYQ393400:JZB393400 JOU393400:JPF393400 JEY393400:JFJ393400 IVC393400:IVN393400 ILG393400:ILR393400 IBK393400:IBV393400 HRO393400:HRZ393400 HHS393400:HID393400 GXW393400:GYH393400 GOA393400:GOL393400 GEE393400:GEP393400 FUI393400:FUT393400 FKM393400:FKX393400 FAQ393400:FBB393400 EQU393400:ERF393400 EGY393400:EHJ393400 DXC393400:DXN393400 DNG393400:DNR393400 DDK393400:DDV393400 CTO393400:CTZ393400 CJS393400:CKD393400 BZW393400:CAH393400 BQA393400:BQL393400 BGE393400:BGP393400 AWI393400:AWT393400 AMM393400:AMX393400 ACQ393400:ADB393400 SU393400:TF393400 IY393400:JJ393400 C393400:N393400 WVK327864:WVV327864 WLO327864:WLZ327864 WBS327864:WCD327864 VRW327864:VSH327864 VIA327864:VIL327864 UYE327864:UYP327864 UOI327864:UOT327864 UEM327864:UEX327864 TUQ327864:TVB327864 TKU327864:TLF327864 TAY327864:TBJ327864 SRC327864:SRN327864 SHG327864:SHR327864 RXK327864:RXV327864 RNO327864:RNZ327864 RDS327864:RED327864 QTW327864:QUH327864 QKA327864:QKL327864 QAE327864:QAP327864 PQI327864:PQT327864 PGM327864:PGX327864 OWQ327864:OXB327864 OMU327864:ONF327864 OCY327864:ODJ327864 NTC327864:NTN327864 NJG327864:NJR327864 MZK327864:MZV327864 MPO327864:MPZ327864 MFS327864:MGD327864 LVW327864:LWH327864 LMA327864:LML327864 LCE327864:LCP327864 KSI327864:KST327864 KIM327864:KIX327864 JYQ327864:JZB327864 JOU327864:JPF327864 JEY327864:JFJ327864 IVC327864:IVN327864 ILG327864:ILR327864 IBK327864:IBV327864 HRO327864:HRZ327864 HHS327864:HID327864 GXW327864:GYH327864 GOA327864:GOL327864 GEE327864:GEP327864 FUI327864:FUT327864 FKM327864:FKX327864 FAQ327864:FBB327864 EQU327864:ERF327864 EGY327864:EHJ327864 DXC327864:DXN327864 DNG327864:DNR327864 DDK327864:DDV327864 CTO327864:CTZ327864 CJS327864:CKD327864 BZW327864:CAH327864 BQA327864:BQL327864 BGE327864:BGP327864 AWI327864:AWT327864 AMM327864:AMX327864 ACQ327864:ADB327864 SU327864:TF327864 IY327864:JJ327864 C327864:N327864 WVK262328:WVV262328 WLO262328:WLZ262328 WBS262328:WCD262328 VRW262328:VSH262328 VIA262328:VIL262328 UYE262328:UYP262328 UOI262328:UOT262328 UEM262328:UEX262328 TUQ262328:TVB262328 TKU262328:TLF262328 TAY262328:TBJ262328 SRC262328:SRN262328 SHG262328:SHR262328 RXK262328:RXV262328 RNO262328:RNZ262328 RDS262328:RED262328 QTW262328:QUH262328 QKA262328:QKL262328 QAE262328:QAP262328 PQI262328:PQT262328 PGM262328:PGX262328 OWQ262328:OXB262328 OMU262328:ONF262328 OCY262328:ODJ262328 NTC262328:NTN262328 NJG262328:NJR262328 MZK262328:MZV262328 MPO262328:MPZ262328 MFS262328:MGD262328 LVW262328:LWH262328 LMA262328:LML262328 LCE262328:LCP262328 KSI262328:KST262328 KIM262328:KIX262328 JYQ262328:JZB262328 JOU262328:JPF262328 JEY262328:JFJ262328 IVC262328:IVN262328 ILG262328:ILR262328 IBK262328:IBV262328 HRO262328:HRZ262328 HHS262328:HID262328 GXW262328:GYH262328 GOA262328:GOL262328 GEE262328:GEP262328 FUI262328:FUT262328 FKM262328:FKX262328 FAQ262328:FBB262328 EQU262328:ERF262328 EGY262328:EHJ262328 DXC262328:DXN262328 DNG262328:DNR262328 DDK262328:DDV262328 CTO262328:CTZ262328 CJS262328:CKD262328 BZW262328:CAH262328 BQA262328:BQL262328 BGE262328:BGP262328 AWI262328:AWT262328 AMM262328:AMX262328 ACQ262328:ADB262328 SU262328:TF262328 IY262328:JJ262328 C262328:N262328 WVK196792:WVV196792 WLO196792:WLZ196792 WBS196792:WCD196792 VRW196792:VSH196792 VIA196792:VIL196792 UYE196792:UYP196792 UOI196792:UOT196792 UEM196792:UEX196792 TUQ196792:TVB196792 TKU196792:TLF196792 TAY196792:TBJ196792 SRC196792:SRN196792 SHG196792:SHR196792 RXK196792:RXV196792 RNO196792:RNZ196792 RDS196792:RED196792 QTW196792:QUH196792 QKA196792:QKL196792 QAE196792:QAP196792 PQI196792:PQT196792 PGM196792:PGX196792 OWQ196792:OXB196792 OMU196792:ONF196792 OCY196792:ODJ196792 NTC196792:NTN196792 NJG196792:NJR196792 MZK196792:MZV196792 MPO196792:MPZ196792 MFS196792:MGD196792 LVW196792:LWH196792 LMA196792:LML196792 LCE196792:LCP196792 KSI196792:KST196792 KIM196792:KIX196792 JYQ196792:JZB196792 JOU196792:JPF196792 JEY196792:JFJ196792 IVC196792:IVN196792 ILG196792:ILR196792 IBK196792:IBV196792 HRO196792:HRZ196792 HHS196792:HID196792 GXW196792:GYH196792 GOA196792:GOL196792 GEE196792:GEP196792 FUI196792:FUT196792 FKM196792:FKX196792 FAQ196792:FBB196792 EQU196792:ERF196792 EGY196792:EHJ196792 DXC196792:DXN196792 DNG196792:DNR196792 DDK196792:DDV196792 CTO196792:CTZ196792 CJS196792:CKD196792 BZW196792:CAH196792 BQA196792:BQL196792 BGE196792:BGP196792 AWI196792:AWT196792 AMM196792:AMX196792 ACQ196792:ADB196792 SU196792:TF196792 IY196792:JJ196792 C196792:N196792 WVK131256:WVV131256 WLO131256:WLZ131256 WBS131256:WCD131256 VRW131256:VSH131256 VIA131256:VIL131256 UYE131256:UYP131256 UOI131256:UOT131256 UEM131256:UEX131256 TUQ131256:TVB131256 TKU131256:TLF131256 TAY131256:TBJ131256 SRC131256:SRN131256 SHG131256:SHR131256 RXK131256:RXV131256 RNO131256:RNZ131256 RDS131256:RED131256 QTW131256:QUH131256 QKA131256:QKL131256 QAE131256:QAP131256 PQI131256:PQT131256 PGM131256:PGX131256 OWQ131256:OXB131256 OMU131256:ONF131256 OCY131256:ODJ131256 NTC131256:NTN131256 NJG131256:NJR131256 MZK131256:MZV131256 MPO131256:MPZ131256 MFS131256:MGD131256 LVW131256:LWH131256 LMA131256:LML131256 LCE131256:LCP131256 KSI131256:KST131256 KIM131256:KIX131256 JYQ131256:JZB131256 JOU131256:JPF131256 JEY131256:JFJ131256 IVC131256:IVN131256 ILG131256:ILR131256 IBK131256:IBV131256 HRO131256:HRZ131256 HHS131256:HID131256 GXW131256:GYH131256 GOA131256:GOL131256 GEE131256:GEP131256 FUI131256:FUT131256 FKM131256:FKX131256 FAQ131256:FBB131256 EQU131256:ERF131256 EGY131256:EHJ131256 DXC131256:DXN131256 DNG131256:DNR131256 DDK131256:DDV131256 CTO131256:CTZ131256 CJS131256:CKD131256 BZW131256:CAH131256 BQA131256:BQL131256 BGE131256:BGP131256 AWI131256:AWT131256 AMM131256:AMX131256 ACQ131256:ADB131256 SU131256:TF131256 IY131256:JJ131256 C131256:N131256 WVK65720:WVV65720 WLO65720:WLZ65720 WBS65720:WCD65720 VRW65720:VSH65720 VIA65720:VIL65720 UYE65720:UYP65720 UOI65720:UOT65720 UEM65720:UEX65720 TUQ65720:TVB65720 TKU65720:TLF65720 TAY65720:TBJ65720 SRC65720:SRN65720 SHG65720:SHR65720 RXK65720:RXV65720 RNO65720:RNZ65720 RDS65720:RED65720 QTW65720:QUH65720 QKA65720:QKL65720 QAE65720:QAP65720 PQI65720:PQT65720 PGM65720:PGX65720 OWQ65720:OXB65720 OMU65720:ONF65720 OCY65720:ODJ65720 NTC65720:NTN65720 NJG65720:NJR65720 MZK65720:MZV65720 MPO65720:MPZ65720 MFS65720:MGD65720 LVW65720:LWH65720 LMA65720:LML65720 LCE65720:LCP65720 KSI65720:KST65720 KIM65720:KIX65720 JYQ65720:JZB65720 JOU65720:JPF65720 JEY65720:JFJ65720 IVC65720:IVN65720 ILG65720:ILR65720 IBK65720:IBV65720 HRO65720:HRZ65720 HHS65720:HID65720 GXW65720:GYH65720 GOA65720:GOL65720 GEE65720:GEP65720 FUI65720:FUT65720 FKM65720:FKX65720 FAQ65720:FBB65720 EQU65720:ERF65720 EGY65720:EHJ65720 DXC65720:DXN65720 DNG65720:DNR65720 DDK65720:DDV65720 CTO65720:CTZ65720 CJS65720:CKD65720 BZW65720:CAH65720 BQA65720:BQL65720 BGE65720:BGP65720 AWI65720:AWT65720 AMM65720:AMX65720 ACQ65720:ADB65720 SU65720:TF65720 IY65720:JJ65720 C65720:N65720 WVK266:WVV266 WLO266:WLZ266 WBS266:WCD266 VRW266:VSH266 VIA266:VIL266 UYE266:UYP266 UOI266:UOT266 UEM266:UEX266 TUQ266:TVB266 TKU266:TLF266 TAY266:TBJ266 SRC266:SRN266 SHG266:SHR266 RXK266:RXV266 RNO266:RNZ266 RDS266:RED266 QTW266:QUH266 QKA266:QKL266 QAE266:QAP266 PQI266:PQT266 PGM266:PGX266 OWQ266:OXB266 OMU266:ONF266 OCY266:ODJ266 NTC266:NTN266 NJG266:NJR266 MZK266:MZV266 MPO266:MPZ266 MFS266:MGD266 LVW266:LWH266 LMA266:LML266 LCE266:LCP266 KSI266:KST266 KIM266:KIX266 JYQ266:JZB266 JOU266:JPF266 JEY266:JFJ266 IVC266:IVN266 ILG266:ILR266 IBK266:IBV266 HRO266:HRZ266 HHS266:HID266 GXW266:GYH266 GOA266:GOL266 GEE266:GEP266 FUI266:FUT266 FKM266:FKX266 FAQ266:FBB266 EQU266:ERF266 EGY266:EHJ266 DXC266:DXN266 DNG266:DNR266 DDK266:DDV266 CTO266:CTZ266 CJS266:CKD266 BZW266:CAH266 BQA266:BQL266 BGE266:BGP266 AWI266:AWT266 AMM266:AMX266 ACQ266:ADB266 SU266:TF266 IY266:JJ266 CJS206:CKD206 WVK983194:WVV983194 WLO983194:WLZ983194 WBS983194:WCD983194 VRW983194:VSH983194 VIA983194:VIL983194 UYE983194:UYP983194 UOI983194:UOT983194 UEM983194:UEX983194 TUQ983194:TVB983194 TKU983194:TLF983194 TAY983194:TBJ983194 SRC983194:SRN983194 SHG983194:SHR983194 RXK983194:RXV983194 RNO983194:RNZ983194 RDS983194:RED983194 QTW983194:QUH983194 QKA983194:QKL983194 QAE983194:QAP983194 PQI983194:PQT983194 PGM983194:PGX983194 OWQ983194:OXB983194 OMU983194:ONF983194 OCY983194:ODJ983194 NTC983194:NTN983194 NJG983194:NJR983194 MZK983194:MZV983194 MPO983194:MPZ983194 MFS983194:MGD983194 LVW983194:LWH983194 LMA983194:LML983194 LCE983194:LCP983194 KSI983194:KST983194 KIM983194:KIX983194 JYQ983194:JZB983194 JOU983194:JPF983194 JEY983194:JFJ983194 IVC983194:IVN983194 ILG983194:ILR983194 IBK983194:IBV983194 HRO983194:HRZ983194 HHS983194:HID983194 GXW983194:GYH983194 GOA983194:GOL983194 GEE983194:GEP983194 FUI983194:FUT983194 FKM983194:FKX983194 FAQ983194:FBB983194 EQU983194:ERF983194 EGY983194:EHJ983194 DXC983194:DXN983194 DNG983194:DNR983194 DDK983194:DDV983194 CTO983194:CTZ983194 CJS983194:CKD983194 BZW983194:CAH983194 BQA983194:BQL983194 BGE983194:BGP983194 AWI983194:AWT983194 AMM983194:AMX983194 ACQ983194:ADB983194 SU983194:TF983194 IY983194:JJ983194 C983194:N983194 WVK917658:WVV917658 WLO917658:WLZ917658 WBS917658:WCD917658 VRW917658:VSH917658 VIA917658:VIL917658 UYE917658:UYP917658 UOI917658:UOT917658 UEM917658:UEX917658 TUQ917658:TVB917658 TKU917658:TLF917658 TAY917658:TBJ917658 SRC917658:SRN917658 SHG917658:SHR917658 RXK917658:RXV917658 RNO917658:RNZ917658 RDS917658:RED917658 QTW917658:QUH917658 QKA917658:QKL917658 QAE917658:QAP917658 PQI917658:PQT917658 PGM917658:PGX917658 OWQ917658:OXB917658 OMU917658:ONF917658 OCY917658:ODJ917658 NTC917658:NTN917658 NJG917658:NJR917658 MZK917658:MZV917658 MPO917658:MPZ917658 MFS917658:MGD917658 LVW917658:LWH917658 LMA917658:LML917658 LCE917658:LCP917658 KSI917658:KST917658 KIM917658:KIX917658 JYQ917658:JZB917658 JOU917658:JPF917658 JEY917658:JFJ917658 IVC917658:IVN917658 ILG917658:ILR917658 IBK917658:IBV917658 HRO917658:HRZ917658 HHS917658:HID917658 GXW917658:GYH917658 GOA917658:GOL917658 GEE917658:GEP917658 FUI917658:FUT917658 FKM917658:FKX917658 FAQ917658:FBB917658 EQU917658:ERF917658 EGY917658:EHJ917658 DXC917658:DXN917658 DNG917658:DNR917658 DDK917658:DDV917658 CTO917658:CTZ917658 CJS917658:CKD917658 BZW917658:CAH917658 BQA917658:BQL917658 BGE917658:BGP917658 AWI917658:AWT917658 AMM917658:AMX917658 ACQ917658:ADB917658 SU917658:TF917658 IY917658:JJ917658 C917658:N917658 WVK852122:WVV852122 WLO852122:WLZ852122 WBS852122:WCD852122 VRW852122:VSH852122 VIA852122:VIL852122 UYE852122:UYP852122 UOI852122:UOT852122 UEM852122:UEX852122 TUQ852122:TVB852122 TKU852122:TLF852122 TAY852122:TBJ852122 SRC852122:SRN852122 SHG852122:SHR852122 RXK852122:RXV852122 RNO852122:RNZ852122 RDS852122:RED852122 QTW852122:QUH852122 QKA852122:QKL852122 QAE852122:QAP852122 PQI852122:PQT852122 PGM852122:PGX852122 OWQ852122:OXB852122 OMU852122:ONF852122 OCY852122:ODJ852122 NTC852122:NTN852122 NJG852122:NJR852122 MZK852122:MZV852122 MPO852122:MPZ852122 MFS852122:MGD852122 LVW852122:LWH852122 LMA852122:LML852122 LCE852122:LCP852122 KSI852122:KST852122 KIM852122:KIX852122 JYQ852122:JZB852122 JOU852122:JPF852122 JEY852122:JFJ852122 IVC852122:IVN852122 ILG852122:ILR852122 IBK852122:IBV852122 HRO852122:HRZ852122 HHS852122:HID852122 GXW852122:GYH852122 GOA852122:GOL852122 GEE852122:GEP852122 FUI852122:FUT852122 FKM852122:FKX852122 FAQ852122:FBB852122 EQU852122:ERF852122 EGY852122:EHJ852122 DXC852122:DXN852122 DNG852122:DNR852122 DDK852122:DDV852122 CTO852122:CTZ852122 CJS852122:CKD852122 BZW852122:CAH852122 BQA852122:BQL852122 BGE852122:BGP852122 AWI852122:AWT852122 AMM852122:AMX852122 ACQ852122:ADB852122 SU852122:TF852122 IY852122:JJ852122 C852122:N852122 WVK786586:WVV786586 WLO786586:WLZ786586 WBS786586:WCD786586 VRW786586:VSH786586 VIA786586:VIL786586 UYE786586:UYP786586 UOI786586:UOT786586 UEM786586:UEX786586 TUQ786586:TVB786586 TKU786586:TLF786586 TAY786586:TBJ786586 SRC786586:SRN786586 SHG786586:SHR786586 RXK786586:RXV786586 RNO786586:RNZ786586 RDS786586:RED786586 QTW786586:QUH786586 QKA786586:QKL786586 QAE786586:QAP786586 PQI786586:PQT786586 PGM786586:PGX786586 OWQ786586:OXB786586 OMU786586:ONF786586 OCY786586:ODJ786586 NTC786586:NTN786586 NJG786586:NJR786586 MZK786586:MZV786586 MPO786586:MPZ786586 MFS786586:MGD786586 LVW786586:LWH786586 LMA786586:LML786586 LCE786586:LCP786586 KSI786586:KST786586 KIM786586:KIX786586 JYQ786586:JZB786586 JOU786586:JPF786586 JEY786586:JFJ786586 IVC786586:IVN786586 ILG786586:ILR786586 IBK786586:IBV786586 HRO786586:HRZ786586 HHS786586:HID786586 GXW786586:GYH786586 GOA786586:GOL786586 GEE786586:GEP786586 FUI786586:FUT786586 FKM786586:FKX786586 FAQ786586:FBB786586 EQU786586:ERF786586 EGY786586:EHJ786586 DXC786586:DXN786586 DNG786586:DNR786586 DDK786586:DDV786586 CTO786586:CTZ786586 CJS786586:CKD786586 BZW786586:CAH786586 BQA786586:BQL786586 BGE786586:BGP786586 AWI786586:AWT786586 AMM786586:AMX786586 ACQ786586:ADB786586 SU786586:TF786586 IY786586:JJ786586 C786586:N786586 WVK721050:WVV721050 WLO721050:WLZ721050 WBS721050:WCD721050 VRW721050:VSH721050 VIA721050:VIL721050 UYE721050:UYP721050 UOI721050:UOT721050 UEM721050:UEX721050 TUQ721050:TVB721050 TKU721050:TLF721050 TAY721050:TBJ721050 SRC721050:SRN721050 SHG721050:SHR721050 RXK721050:RXV721050 RNO721050:RNZ721050 RDS721050:RED721050 QTW721050:QUH721050 QKA721050:QKL721050 QAE721050:QAP721050 PQI721050:PQT721050 PGM721050:PGX721050 OWQ721050:OXB721050 OMU721050:ONF721050 OCY721050:ODJ721050 NTC721050:NTN721050 NJG721050:NJR721050 MZK721050:MZV721050 MPO721050:MPZ721050 MFS721050:MGD721050 LVW721050:LWH721050 LMA721050:LML721050 LCE721050:LCP721050 KSI721050:KST721050 KIM721050:KIX721050 JYQ721050:JZB721050 JOU721050:JPF721050 JEY721050:JFJ721050 IVC721050:IVN721050 ILG721050:ILR721050 IBK721050:IBV721050 HRO721050:HRZ721050 HHS721050:HID721050 GXW721050:GYH721050 GOA721050:GOL721050 GEE721050:GEP721050 FUI721050:FUT721050 FKM721050:FKX721050 FAQ721050:FBB721050 EQU721050:ERF721050 EGY721050:EHJ721050 DXC721050:DXN721050 DNG721050:DNR721050 DDK721050:DDV721050 CTO721050:CTZ721050 CJS721050:CKD721050 BZW721050:CAH721050 BQA721050:BQL721050 BGE721050:BGP721050 AWI721050:AWT721050 AMM721050:AMX721050 ACQ721050:ADB721050 SU721050:TF721050 IY721050:JJ721050 C721050:N721050 WVK655514:WVV655514 WLO655514:WLZ655514 WBS655514:WCD655514 VRW655514:VSH655514 VIA655514:VIL655514 UYE655514:UYP655514 UOI655514:UOT655514 UEM655514:UEX655514 TUQ655514:TVB655514 TKU655514:TLF655514 TAY655514:TBJ655514 SRC655514:SRN655514 SHG655514:SHR655514 RXK655514:RXV655514 RNO655514:RNZ655514 RDS655514:RED655514 QTW655514:QUH655514 QKA655514:QKL655514 QAE655514:QAP655514 PQI655514:PQT655514 PGM655514:PGX655514 OWQ655514:OXB655514 OMU655514:ONF655514 OCY655514:ODJ655514 NTC655514:NTN655514 NJG655514:NJR655514 MZK655514:MZV655514 MPO655514:MPZ655514 MFS655514:MGD655514 LVW655514:LWH655514 LMA655514:LML655514 LCE655514:LCP655514 KSI655514:KST655514 KIM655514:KIX655514 JYQ655514:JZB655514 JOU655514:JPF655514 JEY655514:JFJ655514 IVC655514:IVN655514 ILG655514:ILR655514 IBK655514:IBV655514 HRO655514:HRZ655514 HHS655514:HID655514 GXW655514:GYH655514 GOA655514:GOL655514 GEE655514:GEP655514 FUI655514:FUT655514 FKM655514:FKX655514 FAQ655514:FBB655514 EQU655514:ERF655514 EGY655514:EHJ655514 DXC655514:DXN655514 DNG655514:DNR655514 DDK655514:DDV655514 CTO655514:CTZ655514 CJS655514:CKD655514 BZW655514:CAH655514 BQA655514:BQL655514 BGE655514:BGP655514 AWI655514:AWT655514 AMM655514:AMX655514 ACQ655514:ADB655514 SU655514:TF655514 IY655514:JJ655514 C655514:N655514 WVK589978:WVV589978 WLO589978:WLZ589978 WBS589978:WCD589978 VRW589978:VSH589978 VIA589978:VIL589978 UYE589978:UYP589978 UOI589978:UOT589978 UEM589978:UEX589978 TUQ589978:TVB589978 TKU589978:TLF589978 TAY589978:TBJ589978 SRC589978:SRN589978 SHG589978:SHR589978 RXK589978:RXV589978 RNO589978:RNZ589978 RDS589978:RED589978 QTW589978:QUH589978 QKA589978:QKL589978 QAE589978:QAP589978 PQI589978:PQT589978 PGM589978:PGX589978 OWQ589978:OXB589978 OMU589978:ONF589978 OCY589978:ODJ589978 NTC589978:NTN589978 NJG589978:NJR589978 MZK589978:MZV589978 MPO589978:MPZ589978 MFS589978:MGD589978 LVW589978:LWH589978 LMA589978:LML589978 LCE589978:LCP589978 KSI589978:KST589978 KIM589978:KIX589978 JYQ589978:JZB589978 JOU589978:JPF589978 JEY589978:JFJ589978 IVC589978:IVN589978 ILG589978:ILR589978 IBK589978:IBV589978 HRO589978:HRZ589978 HHS589978:HID589978 GXW589978:GYH589978 GOA589978:GOL589978 GEE589978:GEP589978 FUI589978:FUT589978 FKM589978:FKX589978 FAQ589978:FBB589978 EQU589978:ERF589978 EGY589978:EHJ589978 DXC589978:DXN589978 DNG589978:DNR589978 DDK589978:DDV589978 CTO589978:CTZ589978 CJS589978:CKD589978 BZW589978:CAH589978 BQA589978:BQL589978 BGE589978:BGP589978 AWI589978:AWT589978 AMM589978:AMX589978 ACQ589978:ADB589978 SU589978:TF589978 IY589978:JJ589978 C589978:N589978 WVK524442:WVV524442 WLO524442:WLZ524442 WBS524442:WCD524442 VRW524442:VSH524442 VIA524442:VIL524442 UYE524442:UYP524442 UOI524442:UOT524442 UEM524442:UEX524442 TUQ524442:TVB524442 TKU524442:TLF524442 TAY524442:TBJ524442 SRC524442:SRN524442 SHG524442:SHR524442 RXK524442:RXV524442 RNO524442:RNZ524442 RDS524442:RED524442 QTW524442:QUH524442 QKA524442:QKL524442 QAE524442:QAP524442 PQI524442:PQT524442 PGM524442:PGX524442 OWQ524442:OXB524442 OMU524442:ONF524442 OCY524442:ODJ524442 NTC524442:NTN524442 NJG524442:NJR524442 MZK524442:MZV524442 MPO524442:MPZ524442 MFS524442:MGD524442 LVW524442:LWH524442 LMA524442:LML524442 LCE524442:LCP524442 KSI524442:KST524442 KIM524442:KIX524442 JYQ524442:JZB524442 JOU524442:JPF524442 JEY524442:JFJ524442 IVC524442:IVN524442 ILG524442:ILR524442 IBK524442:IBV524442 HRO524442:HRZ524442 HHS524442:HID524442 GXW524442:GYH524442 GOA524442:GOL524442 GEE524442:GEP524442 FUI524442:FUT524442 FKM524442:FKX524442 FAQ524442:FBB524442 EQU524442:ERF524442 EGY524442:EHJ524442 DXC524442:DXN524442 DNG524442:DNR524442 DDK524442:DDV524442 CTO524442:CTZ524442 CJS524442:CKD524442 BZW524442:CAH524442 BQA524442:BQL524442 BGE524442:BGP524442 AWI524442:AWT524442 AMM524442:AMX524442 ACQ524442:ADB524442 SU524442:TF524442 IY524442:JJ524442 C524442:N524442 WVK458906:WVV458906 WLO458906:WLZ458906 WBS458906:WCD458906 VRW458906:VSH458906 VIA458906:VIL458906 UYE458906:UYP458906 UOI458906:UOT458906 UEM458906:UEX458906 TUQ458906:TVB458906 TKU458906:TLF458906 TAY458906:TBJ458906 SRC458906:SRN458906 SHG458906:SHR458906 RXK458906:RXV458906 RNO458906:RNZ458906 RDS458906:RED458906 QTW458906:QUH458906 QKA458906:QKL458906 QAE458906:QAP458906 PQI458906:PQT458906 PGM458906:PGX458906 OWQ458906:OXB458906 OMU458906:ONF458906 OCY458906:ODJ458906 NTC458906:NTN458906 NJG458906:NJR458906 MZK458906:MZV458906 MPO458906:MPZ458906 MFS458906:MGD458906 LVW458906:LWH458906 LMA458906:LML458906 LCE458906:LCP458906 KSI458906:KST458906 KIM458906:KIX458906 JYQ458906:JZB458906 JOU458906:JPF458906 JEY458906:JFJ458906 IVC458906:IVN458906 ILG458906:ILR458906 IBK458906:IBV458906 HRO458906:HRZ458906 HHS458906:HID458906 GXW458906:GYH458906 GOA458906:GOL458906 GEE458906:GEP458906 FUI458906:FUT458906 FKM458906:FKX458906 FAQ458906:FBB458906 EQU458906:ERF458906 EGY458906:EHJ458906 DXC458906:DXN458906 DNG458906:DNR458906 DDK458906:DDV458906 CTO458906:CTZ458906 CJS458906:CKD458906 BZW458906:CAH458906 BQA458906:BQL458906 BGE458906:BGP458906 AWI458906:AWT458906 AMM458906:AMX458906 ACQ458906:ADB458906 SU458906:TF458906 IY458906:JJ458906 C458906:N458906 WVK393370:WVV393370 WLO393370:WLZ393370 WBS393370:WCD393370 VRW393370:VSH393370 VIA393370:VIL393370 UYE393370:UYP393370 UOI393370:UOT393370 UEM393370:UEX393370 TUQ393370:TVB393370 TKU393370:TLF393370 TAY393370:TBJ393370 SRC393370:SRN393370 SHG393370:SHR393370 RXK393370:RXV393370 RNO393370:RNZ393370 RDS393370:RED393370 QTW393370:QUH393370 QKA393370:QKL393370 QAE393370:QAP393370 PQI393370:PQT393370 PGM393370:PGX393370 OWQ393370:OXB393370 OMU393370:ONF393370 OCY393370:ODJ393370 NTC393370:NTN393370 NJG393370:NJR393370 MZK393370:MZV393370 MPO393370:MPZ393370 MFS393370:MGD393370 LVW393370:LWH393370 LMA393370:LML393370 LCE393370:LCP393370 KSI393370:KST393370 KIM393370:KIX393370 JYQ393370:JZB393370 JOU393370:JPF393370 JEY393370:JFJ393370 IVC393370:IVN393370 ILG393370:ILR393370 IBK393370:IBV393370 HRO393370:HRZ393370 HHS393370:HID393370 GXW393370:GYH393370 GOA393370:GOL393370 GEE393370:GEP393370 FUI393370:FUT393370 FKM393370:FKX393370 FAQ393370:FBB393370 EQU393370:ERF393370 EGY393370:EHJ393370 DXC393370:DXN393370 DNG393370:DNR393370 DDK393370:DDV393370 CTO393370:CTZ393370 CJS393370:CKD393370 BZW393370:CAH393370 BQA393370:BQL393370 BGE393370:BGP393370 AWI393370:AWT393370 AMM393370:AMX393370 ACQ393370:ADB393370 SU393370:TF393370 IY393370:JJ393370 C393370:N393370 WVK327834:WVV327834 WLO327834:WLZ327834 WBS327834:WCD327834 VRW327834:VSH327834 VIA327834:VIL327834 UYE327834:UYP327834 UOI327834:UOT327834 UEM327834:UEX327834 TUQ327834:TVB327834 TKU327834:TLF327834 TAY327834:TBJ327834 SRC327834:SRN327834 SHG327834:SHR327834 RXK327834:RXV327834 RNO327834:RNZ327834 RDS327834:RED327834 QTW327834:QUH327834 QKA327834:QKL327834 QAE327834:QAP327834 PQI327834:PQT327834 PGM327834:PGX327834 OWQ327834:OXB327834 OMU327834:ONF327834 OCY327834:ODJ327834 NTC327834:NTN327834 NJG327834:NJR327834 MZK327834:MZV327834 MPO327834:MPZ327834 MFS327834:MGD327834 LVW327834:LWH327834 LMA327834:LML327834 LCE327834:LCP327834 KSI327834:KST327834 KIM327834:KIX327834 JYQ327834:JZB327834 JOU327834:JPF327834 JEY327834:JFJ327834 IVC327834:IVN327834 ILG327834:ILR327834 IBK327834:IBV327834 HRO327834:HRZ327834 HHS327834:HID327834 GXW327834:GYH327834 GOA327834:GOL327834 GEE327834:GEP327834 FUI327834:FUT327834 FKM327834:FKX327834 FAQ327834:FBB327834 EQU327834:ERF327834 EGY327834:EHJ327834 DXC327834:DXN327834 DNG327834:DNR327834 DDK327834:DDV327834 CTO327834:CTZ327834 CJS327834:CKD327834 BZW327834:CAH327834 BQA327834:BQL327834 BGE327834:BGP327834 AWI327834:AWT327834 AMM327834:AMX327834 ACQ327834:ADB327834 SU327834:TF327834 IY327834:JJ327834 C327834:N327834 WVK262298:WVV262298 WLO262298:WLZ262298 WBS262298:WCD262298 VRW262298:VSH262298 VIA262298:VIL262298 UYE262298:UYP262298 UOI262298:UOT262298 UEM262298:UEX262298 TUQ262298:TVB262298 TKU262298:TLF262298 TAY262298:TBJ262298 SRC262298:SRN262298 SHG262298:SHR262298 RXK262298:RXV262298 RNO262298:RNZ262298 RDS262298:RED262298 QTW262298:QUH262298 QKA262298:QKL262298 QAE262298:QAP262298 PQI262298:PQT262298 PGM262298:PGX262298 OWQ262298:OXB262298 OMU262298:ONF262298 OCY262298:ODJ262298 NTC262298:NTN262298 NJG262298:NJR262298 MZK262298:MZV262298 MPO262298:MPZ262298 MFS262298:MGD262298 LVW262298:LWH262298 LMA262298:LML262298 LCE262298:LCP262298 KSI262298:KST262298 KIM262298:KIX262298 JYQ262298:JZB262298 JOU262298:JPF262298 JEY262298:JFJ262298 IVC262298:IVN262298 ILG262298:ILR262298 IBK262298:IBV262298 HRO262298:HRZ262298 HHS262298:HID262298 GXW262298:GYH262298 GOA262298:GOL262298 GEE262298:GEP262298 FUI262298:FUT262298 FKM262298:FKX262298 FAQ262298:FBB262298 EQU262298:ERF262298 EGY262298:EHJ262298 DXC262298:DXN262298 DNG262298:DNR262298 DDK262298:DDV262298 CTO262298:CTZ262298 CJS262298:CKD262298 BZW262298:CAH262298 BQA262298:BQL262298 BGE262298:BGP262298 AWI262298:AWT262298 AMM262298:AMX262298 ACQ262298:ADB262298 SU262298:TF262298 IY262298:JJ262298 C262298:N262298 WVK196762:WVV196762 WLO196762:WLZ196762 WBS196762:WCD196762 VRW196762:VSH196762 VIA196762:VIL196762 UYE196762:UYP196762 UOI196762:UOT196762 UEM196762:UEX196762 TUQ196762:TVB196762 TKU196762:TLF196762 TAY196762:TBJ196762 SRC196762:SRN196762 SHG196762:SHR196762 RXK196762:RXV196762 RNO196762:RNZ196762 RDS196762:RED196762 QTW196762:QUH196762 QKA196762:QKL196762 QAE196762:QAP196762 PQI196762:PQT196762 PGM196762:PGX196762 OWQ196762:OXB196762 OMU196762:ONF196762 OCY196762:ODJ196762 NTC196762:NTN196762 NJG196762:NJR196762 MZK196762:MZV196762 MPO196762:MPZ196762 MFS196762:MGD196762 LVW196762:LWH196762 LMA196762:LML196762 LCE196762:LCP196762 KSI196762:KST196762 KIM196762:KIX196762 JYQ196762:JZB196762 JOU196762:JPF196762 JEY196762:JFJ196762 IVC196762:IVN196762 ILG196762:ILR196762 IBK196762:IBV196762 HRO196762:HRZ196762 HHS196762:HID196762 GXW196762:GYH196762 GOA196762:GOL196762 GEE196762:GEP196762 FUI196762:FUT196762 FKM196762:FKX196762 FAQ196762:FBB196762 EQU196762:ERF196762 EGY196762:EHJ196762 DXC196762:DXN196762 DNG196762:DNR196762 DDK196762:DDV196762 CTO196762:CTZ196762 CJS196762:CKD196762 BZW196762:CAH196762 BQA196762:BQL196762 BGE196762:BGP196762 AWI196762:AWT196762 AMM196762:AMX196762 ACQ196762:ADB196762 SU196762:TF196762 IY196762:JJ196762 C196762:N196762 WVK131226:WVV131226 WLO131226:WLZ131226 WBS131226:WCD131226 VRW131226:VSH131226 VIA131226:VIL131226 UYE131226:UYP131226 UOI131226:UOT131226 UEM131226:UEX131226 TUQ131226:TVB131226 TKU131226:TLF131226 TAY131226:TBJ131226 SRC131226:SRN131226 SHG131226:SHR131226 RXK131226:RXV131226 RNO131226:RNZ131226 RDS131226:RED131226 QTW131226:QUH131226 QKA131226:QKL131226 QAE131226:QAP131226 PQI131226:PQT131226 PGM131226:PGX131226 OWQ131226:OXB131226 OMU131226:ONF131226 OCY131226:ODJ131226 NTC131226:NTN131226 NJG131226:NJR131226 MZK131226:MZV131226 MPO131226:MPZ131226 MFS131226:MGD131226 LVW131226:LWH131226 LMA131226:LML131226 LCE131226:LCP131226 KSI131226:KST131226 KIM131226:KIX131226 JYQ131226:JZB131226 JOU131226:JPF131226 JEY131226:JFJ131226 IVC131226:IVN131226 ILG131226:ILR131226 IBK131226:IBV131226 HRO131226:HRZ131226 HHS131226:HID131226 GXW131226:GYH131226 GOA131226:GOL131226 GEE131226:GEP131226 FUI131226:FUT131226 FKM131226:FKX131226 FAQ131226:FBB131226 EQU131226:ERF131226 EGY131226:EHJ131226 DXC131226:DXN131226 DNG131226:DNR131226 DDK131226:DDV131226 CTO131226:CTZ131226 CJS131226:CKD131226 BZW131226:CAH131226 BQA131226:BQL131226 BGE131226:BGP131226 AWI131226:AWT131226 AMM131226:AMX131226 ACQ131226:ADB131226 SU131226:TF131226 IY131226:JJ131226 C131226:N131226 WVK65690:WVV65690 WLO65690:WLZ65690 WBS65690:WCD65690 VRW65690:VSH65690 VIA65690:VIL65690 UYE65690:UYP65690 UOI65690:UOT65690 UEM65690:UEX65690 TUQ65690:TVB65690 TKU65690:TLF65690 TAY65690:TBJ65690 SRC65690:SRN65690 SHG65690:SHR65690 RXK65690:RXV65690 RNO65690:RNZ65690 RDS65690:RED65690 QTW65690:QUH65690 QKA65690:QKL65690 QAE65690:QAP65690 PQI65690:PQT65690 PGM65690:PGX65690 OWQ65690:OXB65690 OMU65690:ONF65690 OCY65690:ODJ65690 NTC65690:NTN65690 NJG65690:NJR65690 MZK65690:MZV65690 MPO65690:MPZ65690 MFS65690:MGD65690 LVW65690:LWH65690 LMA65690:LML65690 LCE65690:LCP65690 KSI65690:KST65690 KIM65690:KIX65690 JYQ65690:JZB65690 JOU65690:JPF65690 JEY65690:JFJ65690 IVC65690:IVN65690 ILG65690:ILR65690 IBK65690:IBV65690 HRO65690:HRZ65690 HHS65690:HID65690 GXW65690:GYH65690 GOA65690:GOL65690 GEE65690:GEP65690 FUI65690:FUT65690 FKM65690:FKX65690 FAQ65690:FBB65690 EQU65690:ERF65690 EGY65690:EHJ65690 DXC65690:DXN65690 DNG65690:DNR65690 DDK65690:DDV65690 CTO65690:CTZ65690 CJS65690:CKD65690 BZW65690:CAH65690 BQA65690:BQL65690 BGE65690:BGP65690 AWI65690:AWT65690 AMM65690:AMX65690 ACQ65690:ADB65690 SU65690:TF65690 IY65690:JJ65690 C65690:N65690 WVK236:WVV236 WLO236:WLZ236 WBS236:WCD236 VRW236:VSH236 VIA236:VIL236 UYE236:UYP236 UOI236:UOT236 UEM236:UEX236 TUQ236:TVB236 TKU236:TLF236 TAY236:TBJ236 SRC236:SRN236 SHG236:SHR236 RXK236:RXV236 RNO236:RNZ236 RDS236:RED236 QTW236:QUH236 QKA236:QKL236 QAE236:QAP236 PQI236:PQT236 PGM236:PGX236 OWQ236:OXB236 OMU236:ONF236 OCY236:ODJ236 NTC236:NTN236 NJG236:NJR236 MZK236:MZV236 MPO236:MPZ236 MFS236:MGD236 LVW236:LWH236 LMA236:LML236 LCE236:LCP236 KSI236:KST236 KIM236:KIX236 JYQ236:JZB236 JOU236:JPF236 JEY236:JFJ236 IVC236:IVN236 ILG236:ILR236 IBK236:IBV236 HRO236:HRZ236 HHS236:HID236 GXW236:GYH236 GOA236:GOL236 GEE236:GEP236 FUI236:FUT236 FKM236:FKX236 FAQ236:FBB236 EQU236:ERF236 EGY236:EHJ236 DXC236:DXN236 DNG236:DNR236 DDK236:DDV236 CTO236:CTZ236 CJS236:CKD236 BZW236:CAH236 BQA236:BQL236 BGE236:BGP236 AWI236:AWT236 AMM236:AMX236 ACQ236:ADB236 SU236:TF236 IY236:JJ236 BQA206:BQL206 WVK983209:WVV983209 WLO983209:WLZ983209 WBS983209:WCD983209 VRW983209:VSH983209 VIA983209:VIL983209 UYE983209:UYP983209 UOI983209:UOT983209 UEM983209:UEX983209 TUQ983209:TVB983209 TKU983209:TLF983209 TAY983209:TBJ983209 SRC983209:SRN983209 SHG983209:SHR983209 RXK983209:RXV983209 RNO983209:RNZ983209 RDS983209:RED983209 QTW983209:QUH983209 QKA983209:QKL983209 QAE983209:QAP983209 PQI983209:PQT983209 PGM983209:PGX983209 OWQ983209:OXB983209 OMU983209:ONF983209 OCY983209:ODJ983209 NTC983209:NTN983209 NJG983209:NJR983209 MZK983209:MZV983209 MPO983209:MPZ983209 MFS983209:MGD983209 LVW983209:LWH983209 LMA983209:LML983209 LCE983209:LCP983209 KSI983209:KST983209 KIM983209:KIX983209 JYQ983209:JZB983209 JOU983209:JPF983209 JEY983209:JFJ983209 IVC983209:IVN983209 ILG983209:ILR983209 IBK983209:IBV983209 HRO983209:HRZ983209 HHS983209:HID983209 GXW983209:GYH983209 GOA983209:GOL983209 GEE983209:GEP983209 FUI983209:FUT983209 FKM983209:FKX983209 FAQ983209:FBB983209 EQU983209:ERF983209 EGY983209:EHJ983209 DXC983209:DXN983209 DNG983209:DNR983209 DDK983209:DDV983209 CTO983209:CTZ983209 CJS983209:CKD983209 BZW983209:CAH983209 BQA983209:BQL983209 BGE983209:BGP983209 AWI983209:AWT983209 AMM983209:AMX983209 ACQ983209:ADB983209 SU983209:TF983209 IY983209:JJ983209 C983209:N983209 WVK917673:WVV917673 WLO917673:WLZ917673 WBS917673:WCD917673 VRW917673:VSH917673 VIA917673:VIL917673 UYE917673:UYP917673 UOI917673:UOT917673 UEM917673:UEX917673 TUQ917673:TVB917673 TKU917673:TLF917673 TAY917673:TBJ917673 SRC917673:SRN917673 SHG917673:SHR917673 RXK917673:RXV917673 RNO917673:RNZ917673 RDS917673:RED917673 QTW917673:QUH917673 QKA917673:QKL917673 QAE917673:QAP917673 PQI917673:PQT917673 PGM917673:PGX917673 OWQ917673:OXB917673 OMU917673:ONF917673 OCY917673:ODJ917673 NTC917673:NTN917673 NJG917673:NJR917673 MZK917673:MZV917673 MPO917673:MPZ917673 MFS917673:MGD917673 LVW917673:LWH917673 LMA917673:LML917673 LCE917673:LCP917673 KSI917673:KST917673 KIM917673:KIX917673 JYQ917673:JZB917673 JOU917673:JPF917673 JEY917673:JFJ917673 IVC917673:IVN917673 ILG917673:ILR917673 IBK917673:IBV917673 HRO917673:HRZ917673 HHS917673:HID917673 GXW917673:GYH917673 GOA917673:GOL917673 GEE917673:GEP917673 FUI917673:FUT917673 FKM917673:FKX917673 FAQ917673:FBB917673 EQU917673:ERF917673 EGY917673:EHJ917673 DXC917673:DXN917673 DNG917673:DNR917673 DDK917673:DDV917673 CTO917673:CTZ917673 CJS917673:CKD917673 BZW917673:CAH917673 BQA917673:BQL917673 BGE917673:BGP917673 AWI917673:AWT917673 AMM917673:AMX917673 ACQ917673:ADB917673 SU917673:TF917673 IY917673:JJ917673 C917673:N917673 WVK852137:WVV852137 WLO852137:WLZ852137 WBS852137:WCD852137 VRW852137:VSH852137 VIA852137:VIL852137 UYE852137:UYP852137 UOI852137:UOT852137 UEM852137:UEX852137 TUQ852137:TVB852137 TKU852137:TLF852137 TAY852137:TBJ852137 SRC852137:SRN852137 SHG852137:SHR852137 RXK852137:RXV852137 RNO852137:RNZ852137 RDS852137:RED852137 QTW852137:QUH852137 QKA852137:QKL852137 QAE852137:QAP852137 PQI852137:PQT852137 PGM852137:PGX852137 OWQ852137:OXB852137 OMU852137:ONF852137 OCY852137:ODJ852137 NTC852137:NTN852137 NJG852137:NJR852137 MZK852137:MZV852137 MPO852137:MPZ852137 MFS852137:MGD852137 LVW852137:LWH852137 LMA852137:LML852137 LCE852137:LCP852137 KSI852137:KST852137 KIM852137:KIX852137 JYQ852137:JZB852137 JOU852137:JPF852137 JEY852137:JFJ852137 IVC852137:IVN852137 ILG852137:ILR852137 IBK852137:IBV852137 HRO852137:HRZ852137 HHS852137:HID852137 GXW852137:GYH852137 GOA852137:GOL852137 GEE852137:GEP852137 FUI852137:FUT852137 FKM852137:FKX852137 FAQ852137:FBB852137 EQU852137:ERF852137 EGY852137:EHJ852137 DXC852137:DXN852137 DNG852137:DNR852137 DDK852137:DDV852137 CTO852137:CTZ852137 CJS852137:CKD852137 BZW852137:CAH852137 BQA852137:BQL852137 BGE852137:BGP852137 AWI852137:AWT852137 AMM852137:AMX852137 ACQ852137:ADB852137 SU852137:TF852137 IY852137:JJ852137 C852137:N852137 WVK786601:WVV786601 WLO786601:WLZ786601 WBS786601:WCD786601 VRW786601:VSH786601 VIA786601:VIL786601 UYE786601:UYP786601 UOI786601:UOT786601 UEM786601:UEX786601 TUQ786601:TVB786601 TKU786601:TLF786601 TAY786601:TBJ786601 SRC786601:SRN786601 SHG786601:SHR786601 RXK786601:RXV786601 RNO786601:RNZ786601 RDS786601:RED786601 QTW786601:QUH786601 QKA786601:QKL786601 QAE786601:QAP786601 PQI786601:PQT786601 PGM786601:PGX786601 OWQ786601:OXB786601 OMU786601:ONF786601 OCY786601:ODJ786601 NTC786601:NTN786601 NJG786601:NJR786601 MZK786601:MZV786601 MPO786601:MPZ786601 MFS786601:MGD786601 LVW786601:LWH786601 LMA786601:LML786601 LCE786601:LCP786601 KSI786601:KST786601 KIM786601:KIX786601 JYQ786601:JZB786601 JOU786601:JPF786601 JEY786601:JFJ786601 IVC786601:IVN786601 ILG786601:ILR786601 IBK786601:IBV786601 HRO786601:HRZ786601 HHS786601:HID786601 GXW786601:GYH786601 GOA786601:GOL786601 GEE786601:GEP786601 FUI786601:FUT786601 FKM786601:FKX786601 FAQ786601:FBB786601 EQU786601:ERF786601 EGY786601:EHJ786601 DXC786601:DXN786601 DNG786601:DNR786601 DDK786601:DDV786601 CTO786601:CTZ786601 CJS786601:CKD786601 BZW786601:CAH786601 BQA786601:BQL786601 BGE786601:BGP786601 AWI786601:AWT786601 AMM786601:AMX786601 ACQ786601:ADB786601 SU786601:TF786601 IY786601:JJ786601 C786601:N786601 WVK721065:WVV721065 WLO721065:WLZ721065 WBS721065:WCD721065 VRW721065:VSH721065 VIA721065:VIL721065 UYE721065:UYP721065 UOI721065:UOT721065 UEM721065:UEX721065 TUQ721065:TVB721065 TKU721065:TLF721065 TAY721065:TBJ721065 SRC721065:SRN721065 SHG721065:SHR721065 RXK721065:RXV721065 RNO721065:RNZ721065 RDS721065:RED721065 QTW721065:QUH721065 QKA721065:QKL721065 QAE721065:QAP721065 PQI721065:PQT721065 PGM721065:PGX721065 OWQ721065:OXB721065 OMU721065:ONF721065 OCY721065:ODJ721065 NTC721065:NTN721065 NJG721065:NJR721065 MZK721065:MZV721065 MPO721065:MPZ721065 MFS721065:MGD721065 LVW721065:LWH721065 LMA721065:LML721065 LCE721065:LCP721065 KSI721065:KST721065 KIM721065:KIX721065 JYQ721065:JZB721065 JOU721065:JPF721065 JEY721065:JFJ721065 IVC721065:IVN721065 ILG721065:ILR721065 IBK721065:IBV721065 HRO721065:HRZ721065 HHS721065:HID721065 GXW721065:GYH721065 GOA721065:GOL721065 GEE721065:GEP721065 FUI721065:FUT721065 FKM721065:FKX721065 FAQ721065:FBB721065 EQU721065:ERF721065 EGY721065:EHJ721065 DXC721065:DXN721065 DNG721065:DNR721065 DDK721065:DDV721065 CTO721065:CTZ721065 CJS721065:CKD721065 BZW721065:CAH721065 BQA721065:BQL721065 BGE721065:BGP721065 AWI721065:AWT721065 AMM721065:AMX721065 ACQ721065:ADB721065 SU721065:TF721065 IY721065:JJ721065 C721065:N721065 WVK655529:WVV655529 WLO655529:WLZ655529 WBS655529:WCD655529 VRW655529:VSH655529 VIA655529:VIL655529 UYE655529:UYP655529 UOI655529:UOT655529 UEM655529:UEX655529 TUQ655529:TVB655529 TKU655529:TLF655529 TAY655529:TBJ655529 SRC655529:SRN655529 SHG655529:SHR655529 RXK655529:RXV655529 RNO655529:RNZ655529 RDS655529:RED655529 QTW655529:QUH655529 QKA655529:QKL655529 QAE655529:QAP655529 PQI655529:PQT655529 PGM655529:PGX655529 OWQ655529:OXB655529 OMU655529:ONF655529 OCY655529:ODJ655529 NTC655529:NTN655529 NJG655529:NJR655529 MZK655529:MZV655529 MPO655529:MPZ655529 MFS655529:MGD655529 LVW655529:LWH655529 LMA655529:LML655529 LCE655529:LCP655529 KSI655529:KST655529 KIM655529:KIX655529 JYQ655529:JZB655529 JOU655529:JPF655529 JEY655529:JFJ655529 IVC655529:IVN655529 ILG655529:ILR655529 IBK655529:IBV655529 HRO655529:HRZ655529 HHS655529:HID655529 GXW655529:GYH655529 GOA655529:GOL655529 GEE655529:GEP655529 FUI655529:FUT655529 FKM655529:FKX655529 FAQ655529:FBB655529 EQU655529:ERF655529 EGY655529:EHJ655529 DXC655529:DXN655529 DNG655529:DNR655529 DDK655529:DDV655529 CTO655529:CTZ655529 CJS655529:CKD655529 BZW655529:CAH655529 BQA655529:BQL655529 BGE655529:BGP655529 AWI655529:AWT655529 AMM655529:AMX655529 ACQ655529:ADB655529 SU655529:TF655529 IY655529:JJ655529 C655529:N655529 WVK589993:WVV589993 WLO589993:WLZ589993 WBS589993:WCD589993 VRW589993:VSH589993 VIA589993:VIL589993 UYE589993:UYP589993 UOI589993:UOT589993 UEM589993:UEX589993 TUQ589993:TVB589993 TKU589993:TLF589993 TAY589993:TBJ589993 SRC589993:SRN589993 SHG589993:SHR589993 RXK589993:RXV589993 RNO589993:RNZ589993 RDS589993:RED589993 QTW589993:QUH589993 QKA589993:QKL589993 QAE589993:QAP589993 PQI589993:PQT589993 PGM589993:PGX589993 OWQ589993:OXB589993 OMU589993:ONF589993 OCY589993:ODJ589993 NTC589993:NTN589993 NJG589993:NJR589993 MZK589993:MZV589993 MPO589993:MPZ589993 MFS589993:MGD589993 LVW589993:LWH589993 LMA589993:LML589993 LCE589993:LCP589993 KSI589993:KST589993 KIM589993:KIX589993 JYQ589993:JZB589993 JOU589993:JPF589993 JEY589993:JFJ589993 IVC589993:IVN589993 ILG589993:ILR589993 IBK589993:IBV589993 HRO589993:HRZ589993 HHS589993:HID589993 GXW589993:GYH589993 GOA589993:GOL589993 GEE589993:GEP589993 FUI589993:FUT589993 FKM589993:FKX589993 FAQ589993:FBB589993 EQU589993:ERF589993 EGY589993:EHJ589993 DXC589993:DXN589993 DNG589993:DNR589993 DDK589993:DDV589993 CTO589993:CTZ589993 CJS589993:CKD589993 BZW589993:CAH589993 BQA589993:BQL589993 BGE589993:BGP589993 AWI589993:AWT589993 AMM589993:AMX589993 ACQ589993:ADB589993 SU589993:TF589993 IY589993:JJ589993 C589993:N589993 WVK524457:WVV524457 WLO524457:WLZ524457 WBS524457:WCD524457 VRW524457:VSH524457 VIA524457:VIL524457 UYE524457:UYP524457 UOI524457:UOT524457 UEM524457:UEX524457 TUQ524457:TVB524457 TKU524457:TLF524457 TAY524457:TBJ524457 SRC524457:SRN524457 SHG524457:SHR524457 RXK524457:RXV524457 RNO524457:RNZ524457 RDS524457:RED524457 QTW524457:QUH524457 QKA524457:QKL524457 QAE524457:QAP524457 PQI524457:PQT524457 PGM524457:PGX524457 OWQ524457:OXB524457 OMU524457:ONF524457 OCY524457:ODJ524457 NTC524457:NTN524457 NJG524457:NJR524457 MZK524457:MZV524457 MPO524457:MPZ524457 MFS524457:MGD524457 LVW524457:LWH524457 LMA524457:LML524457 LCE524457:LCP524457 KSI524457:KST524457 KIM524457:KIX524457 JYQ524457:JZB524457 JOU524457:JPF524457 JEY524457:JFJ524457 IVC524457:IVN524457 ILG524457:ILR524457 IBK524457:IBV524457 HRO524457:HRZ524457 HHS524457:HID524457 GXW524457:GYH524457 GOA524457:GOL524457 GEE524457:GEP524457 FUI524457:FUT524457 FKM524457:FKX524457 FAQ524457:FBB524457 EQU524457:ERF524457 EGY524457:EHJ524457 DXC524457:DXN524457 DNG524457:DNR524457 DDK524457:DDV524457 CTO524457:CTZ524457 CJS524457:CKD524457 BZW524457:CAH524457 BQA524457:BQL524457 BGE524457:BGP524457 AWI524457:AWT524457 AMM524457:AMX524457 ACQ524457:ADB524457 SU524457:TF524457 IY524457:JJ524457 C524457:N524457 WVK458921:WVV458921 WLO458921:WLZ458921 WBS458921:WCD458921 VRW458921:VSH458921 VIA458921:VIL458921 UYE458921:UYP458921 UOI458921:UOT458921 UEM458921:UEX458921 TUQ458921:TVB458921 TKU458921:TLF458921 TAY458921:TBJ458921 SRC458921:SRN458921 SHG458921:SHR458921 RXK458921:RXV458921 RNO458921:RNZ458921 RDS458921:RED458921 QTW458921:QUH458921 QKA458921:QKL458921 QAE458921:QAP458921 PQI458921:PQT458921 PGM458921:PGX458921 OWQ458921:OXB458921 OMU458921:ONF458921 OCY458921:ODJ458921 NTC458921:NTN458921 NJG458921:NJR458921 MZK458921:MZV458921 MPO458921:MPZ458921 MFS458921:MGD458921 LVW458921:LWH458921 LMA458921:LML458921 LCE458921:LCP458921 KSI458921:KST458921 KIM458921:KIX458921 JYQ458921:JZB458921 JOU458921:JPF458921 JEY458921:JFJ458921 IVC458921:IVN458921 ILG458921:ILR458921 IBK458921:IBV458921 HRO458921:HRZ458921 HHS458921:HID458921 GXW458921:GYH458921 GOA458921:GOL458921 GEE458921:GEP458921 FUI458921:FUT458921 FKM458921:FKX458921 FAQ458921:FBB458921 EQU458921:ERF458921 EGY458921:EHJ458921 DXC458921:DXN458921 DNG458921:DNR458921 DDK458921:DDV458921 CTO458921:CTZ458921 CJS458921:CKD458921 BZW458921:CAH458921 BQA458921:BQL458921 BGE458921:BGP458921 AWI458921:AWT458921 AMM458921:AMX458921 ACQ458921:ADB458921 SU458921:TF458921 IY458921:JJ458921 C458921:N458921 WVK393385:WVV393385 WLO393385:WLZ393385 WBS393385:WCD393385 VRW393385:VSH393385 VIA393385:VIL393385 UYE393385:UYP393385 UOI393385:UOT393385 UEM393385:UEX393385 TUQ393385:TVB393385 TKU393385:TLF393385 TAY393385:TBJ393385 SRC393385:SRN393385 SHG393385:SHR393385 RXK393385:RXV393385 RNO393385:RNZ393385 RDS393385:RED393385 QTW393385:QUH393385 QKA393385:QKL393385 QAE393385:QAP393385 PQI393385:PQT393385 PGM393385:PGX393385 OWQ393385:OXB393385 OMU393385:ONF393385 OCY393385:ODJ393385 NTC393385:NTN393385 NJG393385:NJR393385 MZK393385:MZV393385 MPO393385:MPZ393385 MFS393385:MGD393385 LVW393385:LWH393385 LMA393385:LML393385 LCE393385:LCP393385 KSI393385:KST393385 KIM393385:KIX393385 JYQ393385:JZB393385 JOU393385:JPF393385 JEY393385:JFJ393385 IVC393385:IVN393385 ILG393385:ILR393385 IBK393385:IBV393385 HRO393385:HRZ393385 HHS393385:HID393385 GXW393385:GYH393385 GOA393385:GOL393385 GEE393385:GEP393385 FUI393385:FUT393385 FKM393385:FKX393385 FAQ393385:FBB393385 EQU393385:ERF393385 EGY393385:EHJ393385 DXC393385:DXN393385 DNG393385:DNR393385 DDK393385:DDV393385 CTO393385:CTZ393385 CJS393385:CKD393385 BZW393385:CAH393385 BQA393385:BQL393385 BGE393385:BGP393385 AWI393385:AWT393385 AMM393385:AMX393385 ACQ393385:ADB393385 SU393385:TF393385 IY393385:JJ393385 C393385:N393385 WVK327849:WVV327849 WLO327849:WLZ327849 WBS327849:WCD327849 VRW327849:VSH327849 VIA327849:VIL327849 UYE327849:UYP327849 UOI327849:UOT327849 UEM327849:UEX327849 TUQ327849:TVB327849 TKU327849:TLF327849 TAY327849:TBJ327849 SRC327849:SRN327849 SHG327849:SHR327849 RXK327849:RXV327849 RNO327849:RNZ327849 RDS327849:RED327849 QTW327849:QUH327849 QKA327849:QKL327849 QAE327849:QAP327849 PQI327849:PQT327849 PGM327849:PGX327849 OWQ327849:OXB327849 OMU327849:ONF327849 OCY327849:ODJ327849 NTC327849:NTN327849 NJG327849:NJR327849 MZK327849:MZV327849 MPO327849:MPZ327849 MFS327849:MGD327849 LVW327849:LWH327849 LMA327849:LML327849 LCE327849:LCP327849 KSI327849:KST327849 KIM327849:KIX327849 JYQ327849:JZB327849 JOU327849:JPF327849 JEY327849:JFJ327849 IVC327849:IVN327849 ILG327849:ILR327849 IBK327849:IBV327849 HRO327849:HRZ327849 HHS327849:HID327849 GXW327849:GYH327849 GOA327849:GOL327849 GEE327849:GEP327849 FUI327849:FUT327849 FKM327849:FKX327849 FAQ327849:FBB327849 EQU327849:ERF327849 EGY327849:EHJ327849 DXC327849:DXN327849 DNG327849:DNR327849 DDK327849:DDV327849 CTO327849:CTZ327849 CJS327849:CKD327849 BZW327849:CAH327849 BQA327849:BQL327849 BGE327849:BGP327849 AWI327849:AWT327849 AMM327849:AMX327849 ACQ327849:ADB327849 SU327849:TF327849 IY327849:JJ327849 C327849:N327849 WVK262313:WVV262313 WLO262313:WLZ262313 WBS262313:WCD262313 VRW262313:VSH262313 VIA262313:VIL262313 UYE262313:UYP262313 UOI262313:UOT262313 UEM262313:UEX262313 TUQ262313:TVB262313 TKU262313:TLF262313 TAY262313:TBJ262313 SRC262313:SRN262313 SHG262313:SHR262313 RXK262313:RXV262313 RNO262313:RNZ262313 RDS262313:RED262313 QTW262313:QUH262313 QKA262313:QKL262313 QAE262313:QAP262313 PQI262313:PQT262313 PGM262313:PGX262313 OWQ262313:OXB262313 OMU262313:ONF262313 OCY262313:ODJ262313 NTC262313:NTN262313 NJG262313:NJR262313 MZK262313:MZV262313 MPO262313:MPZ262313 MFS262313:MGD262313 LVW262313:LWH262313 LMA262313:LML262313 LCE262313:LCP262313 KSI262313:KST262313 KIM262313:KIX262313 JYQ262313:JZB262313 JOU262313:JPF262313 JEY262313:JFJ262313 IVC262313:IVN262313 ILG262313:ILR262313 IBK262313:IBV262313 HRO262313:HRZ262313 HHS262313:HID262313 GXW262313:GYH262313 GOA262313:GOL262313 GEE262313:GEP262313 FUI262313:FUT262313 FKM262313:FKX262313 FAQ262313:FBB262313 EQU262313:ERF262313 EGY262313:EHJ262313 DXC262313:DXN262313 DNG262313:DNR262313 DDK262313:DDV262313 CTO262313:CTZ262313 CJS262313:CKD262313 BZW262313:CAH262313 BQA262313:BQL262313 BGE262313:BGP262313 AWI262313:AWT262313 AMM262313:AMX262313 ACQ262313:ADB262313 SU262313:TF262313 IY262313:JJ262313 C262313:N262313 WVK196777:WVV196777 WLO196777:WLZ196777 WBS196777:WCD196777 VRW196777:VSH196777 VIA196777:VIL196777 UYE196777:UYP196777 UOI196777:UOT196777 UEM196777:UEX196777 TUQ196777:TVB196777 TKU196777:TLF196777 TAY196777:TBJ196777 SRC196777:SRN196777 SHG196777:SHR196777 RXK196777:RXV196777 RNO196777:RNZ196777 RDS196777:RED196777 QTW196777:QUH196777 QKA196777:QKL196777 QAE196777:QAP196777 PQI196777:PQT196777 PGM196777:PGX196777 OWQ196777:OXB196777 OMU196777:ONF196777 OCY196777:ODJ196777 NTC196777:NTN196777 NJG196777:NJR196777 MZK196777:MZV196777 MPO196777:MPZ196777 MFS196777:MGD196777 LVW196777:LWH196777 LMA196777:LML196777 LCE196777:LCP196777 KSI196777:KST196777 KIM196777:KIX196777 JYQ196777:JZB196777 JOU196777:JPF196777 JEY196777:JFJ196777 IVC196777:IVN196777 ILG196777:ILR196777 IBK196777:IBV196777 HRO196777:HRZ196777 HHS196777:HID196777 GXW196777:GYH196777 GOA196777:GOL196777 GEE196777:GEP196777 FUI196777:FUT196777 FKM196777:FKX196777 FAQ196777:FBB196777 EQU196777:ERF196777 EGY196777:EHJ196777 DXC196777:DXN196777 DNG196777:DNR196777 DDK196777:DDV196777 CTO196777:CTZ196777 CJS196777:CKD196777 BZW196777:CAH196777 BQA196777:BQL196777 BGE196777:BGP196777 AWI196777:AWT196777 AMM196777:AMX196777 ACQ196777:ADB196777 SU196777:TF196777 IY196777:JJ196777 C196777:N196777 WVK131241:WVV131241 WLO131241:WLZ131241 WBS131241:WCD131241 VRW131241:VSH131241 VIA131241:VIL131241 UYE131241:UYP131241 UOI131241:UOT131241 UEM131241:UEX131241 TUQ131241:TVB131241 TKU131241:TLF131241 TAY131241:TBJ131241 SRC131241:SRN131241 SHG131241:SHR131241 RXK131241:RXV131241 RNO131241:RNZ131241 RDS131241:RED131241 QTW131241:QUH131241 QKA131241:QKL131241 QAE131241:QAP131241 PQI131241:PQT131241 PGM131241:PGX131241 OWQ131241:OXB131241 OMU131241:ONF131241 OCY131241:ODJ131241 NTC131241:NTN131241 NJG131241:NJR131241 MZK131241:MZV131241 MPO131241:MPZ131241 MFS131241:MGD131241 LVW131241:LWH131241 LMA131241:LML131241 LCE131241:LCP131241 KSI131241:KST131241 KIM131241:KIX131241 JYQ131241:JZB131241 JOU131241:JPF131241 JEY131241:JFJ131241 IVC131241:IVN131241 ILG131241:ILR131241 IBK131241:IBV131241 HRO131241:HRZ131241 HHS131241:HID131241 GXW131241:GYH131241 GOA131241:GOL131241 GEE131241:GEP131241 FUI131241:FUT131241 FKM131241:FKX131241 FAQ131241:FBB131241 EQU131241:ERF131241 EGY131241:EHJ131241 DXC131241:DXN131241 DNG131241:DNR131241 DDK131241:DDV131241 CTO131241:CTZ131241 CJS131241:CKD131241 BZW131241:CAH131241 BQA131241:BQL131241 BGE131241:BGP131241 AWI131241:AWT131241 AMM131241:AMX131241 ACQ131241:ADB131241 SU131241:TF131241 IY131241:JJ131241 C131241:N131241 WVK65705:WVV65705 WLO65705:WLZ65705 WBS65705:WCD65705 VRW65705:VSH65705 VIA65705:VIL65705 UYE65705:UYP65705 UOI65705:UOT65705 UEM65705:UEX65705 TUQ65705:TVB65705 TKU65705:TLF65705 TAY65705:TBJ65705 SRC65705:SRN65705 SHG65705:SHR65705 RXK65705:RXV65705 RNO65705:RNZ65705 RDS65705:RED65705 QTW65705:QUH65705 QKA65705:QKL65705 QAE65705:QAP65705 PQI65705:PQT65705 PGM65705:PGX65705 OWQ65705:OXB65705 OMU65705:ONF65705 OCY65705:ODJ65705 NTC65705:NTN65705 NJG65705:NJR65705 MZK65705:MZV65705 MPO65705:MPZ65705 MFS65705:MGD65705 LVW65705:LWH65705 LMA65705:LML65705 LCE65705:LCP65705 KSI65705:KST65705 KIM65705:KIX65705 JYQ65705:JZB65705 JOU65705:JPF65705 JEY65705:JFJ65705 IVC65705:IVN65705 ILG65705:ILR65705 IBK65705:IBV65705 HRO65705:HRZ65705 HHS65705:HID65705 GXW65705:GYH65705 GOA65705:GOL65705 GEE65705:GEP65705 FUI65705:FUT65705 FKM65705:FKX65705 FAQ65705:FBB65705 EQU65705:ERF65705 EGY65705:EHJ65705 DXC65705:DXN65705 DNG65705:DNR65705 DDK65705:DDV65705 CTO65705:CTZ65705 CJS65705:CKD65705 BZW65705:CAH65705 BQA65705:BQL65705 BGE65705:BGP65705 AWI65705:AWT65705 AMM65705:AMX65705 ACQ65705:ADB65705 SU65705:TF65705 IY65705:JJ65705 C65705:N65705 WVK251:WVV251 WLO251:WLZ251 WBS251:WCD251 VRW251:VSH251 VIA251:VIL251 UYE251:UYP251 UOI251:UOT251 UEM251:UEX251 TUQ251:TVB251 TKU251:TLF251 TAY251:TBJ251 SRC251:SRN251 SHG251:SHR251 RXK251:RXV251 RNO251:RNZ251 RDS251:RED251 QTW251:QUH251 QKA251:QKL251 QAE251:QAP251 PQI251:PQT251 PGM251:PGX251 OWQ251:OXB251 OMU251:ONF251 OCY251:ODJ251 NTC251:NTN251 NJG251:NJR251 MZK251:MZV251 MPO251:MPZ251 MFS251:MGD251 LVW251:LWH251 LMA251:LML251 LCE251:LCP251 KSI251:KST251 KIM251:KIX251 JYQ251:JZB251 JOU251:JPF251 JEY251:JFJ251 IVC251:IVN251 ILG251:ILR251 IBK251:IBV251 HRO251:HRZ251 HHS251:HID251 GXW251:GYH251 GOA251:GOL251 GEE251:GEP251 FUI251:FUT251 FKM251:FKX251 FAQ251:FBB251 EQU251:ERF251 EGY251:EHJ251 DXC251:DXN251 DNG251:DNR251 DDK251:DDV251 CTO251:CTZ251 CJS251:CKD251 BZW251:CAH251 BQA251:BQL251 BGE251:BGP251 AWI251:AWT251 AMM251:AMX251 ACQ251:ADB251 SU251:TF251 IY251:JJ251 BZW206:CAH206 WVK983179:WVV983179 WLO983179:WLZ983179 WBS983179:WCD983179 VRW983179:VSH983179 VIA983179:VIL983179 UYE983179:UYP983179 UOI983179:UOT983179 UEM983179:UEX983179 TUQ983179:TVB983179 TKU983179:TLF983179 TAY983179:TBJ983179 SRC983179:SRN983179 SHG983179:SHR983179 RXK983179:RXV983179 RNO983179:RNZ983179 RDS983179:RED983179 QTW983179:QUH983179 QKA983179:QKL983179 QAE983179:QAP983179 PQI983179:PQT983179 PGM983179:PGX983179 OWQ983179:OXB983179 OMU983179:ONF983179 OCY983179:ODJ983179 NTC983179:NTN983179 NJG983179:NJR983179 MZK983179:MZV983179 MPO983179:MPZ983179 MFS983179:MGD983179 LVW983179:LWH983179 LMA983179:LML983179 LCE983179:LCP983179 KSI983179:KST983179 KIM983179:KIX983179 JYQ983179:JZB983179 JOU983179:JPF983179 JEY983179:JFJ983179 IVC983179:IVN983179 ILG983179:ILR983179 IBK983179:IBV983179 HRO983179:HRZ983179 HHS983179:HID983179 GXW983179:GYH983179 GOA983179:GOL983179 GEE983179:GEP983179 FUI983179:FUT983179 FKM983179:FKX983179 FAQ983179:FBB983179 EQU983179:ERF983179 EGY983179:EHJ983179 DXC983179:DXN983179 DNG983179:DNR983179 DDK983179:DDV983179 CTO983179:CTZ983179 CJS983179:CKD983179 BZW983179:CAH983179 BQA983179:BQL983179 BGE983179:BGP983179 AWI983179:AWT983179 AMM983179:AMX983179 ACQ983179:ADB983179 SU983179:TF983179 IY983179:JJ983179 C983179:N983179 WVK917643:WVV917643 WLO917643:WLZ917643 WBS917643:WCD917643 VRW917643:VSH917643 VIA917643:VIL917643 UYE917643:UYP917643 UOI917643:UOT917643 UEM917643:UEX917643 TUQ917643:TVB917643 TKU917643:TLF917643 TAY917643:TBJ917643 SRC917643:SRN917643 SHG917643:SHR917643 RXK917643:RXV917643 RNO917643:RNZ917643 RDS917643:RED917643 QTW917643:QUH917643 QKA917643:QKL917643 QAE917643:QAP917643 PQI917643:PQT917643 PGM917643:PGX917643 OWQ917643:OXB917643 OMU917643:ONF917643 OCY917643:ODJ917643 NTC917643:NTN917643 NJG917643:NJR917643 MZK917643:MZV917643 MPO917643:MPZ917643 MFS917643:MGD917643 LVW917643:LWH917643 LMA917643:LML917643 LCE917643:LCP917643 KSI917643:KST917643 KIM917643:KIX917643 JYQ917643:JZB917643 JOU917643:JPF917643 JEY917643:JFJ917643 IVC917643:IVN917643 ILG917643:ILR917643 IBK917643:IBV917643 HRO917643:HRZ917643 HHS917643:HID917643 GXW917643:GYH917643 GOA917643:GOL917643 GEE917643:GEP917643 FUI917643:FUT917643 FKM917643:FKX917643 FAQ917643:FBB917643 EQU917643:ERF917643 EGY917643:EHJ917643 DXC917643:DXN917643 DNG917643:DNR917643 DDK917643:DDV917643 CTO917643:CTZ917643 CJS917643:CKD917643 BZW917643:CAH917643 BQA917643:BQL917643 BGE917643:BGP917643 AWI917643:AWT917643 AMM917643:AMX917643 ACQ917643:ADB917643 SU917643:TF917643 IY917643:JJ917643 C917643:N917643 WVK852107:WVV852107 WLO852107:WLZ852107 WBS852107:WCD852107 VRW852107:VSH852107 VIA852107:VIL852107 UYE852107:UYP852107 UOI852107:UOT852107 UEM852107:UEX852107 TUQ852107:TVB852107 TKU852107:TLF852107 TAY852107:TBJ852107 SRC852107:SRN852107 SHG852107:SHR852107 RXK852107:RXV852107 RNO852107:RNZ852107 RDS852107:RED852107 QTW852107:QUH852107 QKA852107:QKL852107 QAE852107:QAP852107 PQI852107:PQT852107 PGM852107:PGX852107 OWQ852107:OXB852107 OMU852107:ONF852107 OCY852107:ODJ852107 NTC852107:NTN852107 NJG852107:NJR852107 MZK852107:MZV852107 MPO852107:MPZ852107 MFS852107:MGD852107 LVW852107:LWH852107 LMA852107:LML852107 LCE852107:LCP852107 KSI852107:KST852107 KIM852107:KIX852107 JYQ852107:JZB852107 JOU852107:JPF852107 JEY852107:JFJ852107 IVC852107:IVN852107 ILG852107:ILR852107 IBK852107:IBV852107 HRO852107:HRZ852107 HHS852107:HID852107 GXW852107:GYH852107 GOA852107:GOL852107 GEE852107:GEP852107 FUI852107:FUT852107 FKM852107:FKX852107 FAQ852107:FBB852107 EQU852107:ERF852107 EGY852107:EHJ852107 DXC852107:DXN852107 DNG852107:DNR852107 DDK852107:DDV852107 CTO852107:CTZ852107 CJS852107:CKD852107 BZW852107:CAH852107 BQA852107:BQL852107 BGE852107:BGP852107 AWI852107:AWT852107 AMM852107:AMX852107 ACQ852107:ADB852107 SU852107:TF852107 IY852107:JJ852107 C852107:N852107 WVK786571:WVV786571 WLO786571:WLZ786571 WBS786571:WCD786571 VRW786571:VSH786571 VIA786571:VIL786571 UYE786571:UYP786571 UOI786571:UOT786571 UEM786571:UEX786571 TUQ786571:TVB786571 TKU786571:TLF786571 TAY786571:TBJ786571 SRC786571:SRN786571 SHG786571:SHR786571 RXK786571:RXV786571 RNO786571:RNZ786571 RDS786571:RED786571 QTW786571:QUH786571 QKA786571:QKL786571 QAE786571:QAP786571 PQI786571:PQT786571 PGM786571:PGX786571 OWQ786571:OXB786571 OMU786571:ONF786571 OCY786571:ODJ786571 NTC786571:NTN786571 NJG786571:NJR786571 MZK786571:MZV786571 MPO786571:MPZ786571 MFS786571:MGD786571 LVW786571:LWH786571 LMA786571:LML786571 LCE786571:LCP786571 KSI786571:KST786571 KIM786571:KIX786571 JYQ786571:JZB786571 JOU786571:JPF786571 JEY786571:JFJ786571 IVC786571:IVN786571 ILG786571:ILR786571 IBK786571:IBV786571 HRO786571:HRZ786571 HHS786571:HID786571 GXW786571:GYH786571 GOA786571:GOL786571 GEE786571:GEP786571 FUI786571:FUT786571 FKM786571:FKX786571 FAQ786571:FBB786571 EQU786571:ERF786571 EGY786571:EHJ786571 DXC786571:DXN786571 DNG786571:DNR786571 DDK786571:DDV786571 CTO786571:CTZ786571 CJS786571:CKD786571 BZW786571:CAH786571 BQA786571:BQL786571 BGE786571:BGP786571 AWI786571:AWT786571 AMM786571:AMX786571 ACQ786571:ADB786571 SU786571:TF786571 IY786571:JJ786571 C786571:N786571 WVK721035:WVV721035 WLO721035:WLZ721035 WBS721035:WCD721035 VRW721035:VSH721035 VIA721035:VIL721035 UYE721035:UYP721035 UOI721035:UOT721035 UEM721035:UEX721035 TUQ721035:TVB721035 TKU721035:TLF721035 TAY721035:TBJ721035 SRC721035:SRN721035 SHG721035:SHR721035 RXK721035:RXV721035 RNO721035:RNZ721035 RDS721035:RED721035 QTW721035:QUH721035 QKA721035:QKL721035 QAE721035:QAP721035 PQI721035:PQT721035 PGM721035:PGX721035 OWQ721035:OXB721035 OMU721035:ONF721035 OCY721035:ODJ721035 NTC721035:NTN721035 NJG721035:NJR721035 MZK721035:MZV721035 MPO721035:MPZ721035 MFS721035:MGD721035 LVW721035:LWH721035 LMA721035:LML721035 LCE721035:LCP721035 KSI721035:KST721035 KIM721035:KIX721035 JYQ721035:JZB721035 JOU721035:JPF721035 JEY721035:JFJ721035 IVC721035:IVN721035 ILG721035:ILR721035 IBK721035:IBV721035 HRO721035:HRZ721035 HHS721035:HID721035 GXW721035:GYH721035 GOA721035:GOL721035 GEE721035:GEP721035 FUI721035:FUT721035 FKM721035:FKX721035 FAQ721035:FBB721035 EQU721035:ERF721035 EGY721035:EHJ721035 DXC721035:DXN721035 DNG721035:DNR721035 DDK721035:DDV721035 CTO721035:CTZ721035 CJS721035:CKD721035 BZW721035:CAH721035 BQA721035:BQL721035 BGE721035:BGP721035 AWI721035:AWT721035 AMM721035:AMX721035 ACQ721035:ADB721035 SU721035:TF721035 IY721035:JJ721035 C721035:N721035 WVK655499:WVV655499 WLO655499:WLZ655499 WBS655499:WCD655499 VRW655499:VSH655499 VIA655499:VIL655499 UYE655499:UYP655499 UOI655499:UOT655499 UEM655499:UEX655499 TUQ655499:TVB655499 TKU655499:TLF655499 TAY655499:TBJ655499 SRC655499:SRN655499 SHG655499:SHR655499 RXK655499:RXV655499 RNO655499:RNZ655499 RDS655499:RED655499 QTW655499:QUH655499 QKA655499:QKL655499 QAE655499:QAP655499 PQI655499:PQT655499 PGM655499:PGX655499 OWQ655499:OXB655499 OMU655499:ONF655499 OCY655499:ODJ655499 NTC655499:NTN655499 NJG655499:NJR655499 MZK655499:MZV655499 MPO655499:MPZ655499 MFS655499:MGD655499 LVW655499:LWH655499 LMA655499:LML655499 LCE655499:LCP655499 KSI655499:KST655499 KIM655499:KIX655499 JYQ655499:JZB655499 JOU655499:JPF655499 JEY655499:JFJ655499 IVC655499:IVN655499 ILG655499:ILR655499 IBK655499:IBV655499 HRO655499:HRZ655499 HHS655499:HID655499 GXW655499:GYH655499 GOA655499:GOL655499 GEE655499:GEP655499 FUI655499:FUT655499 FKM655499:FKX655499 FAQ655499:FBB655499 EQU655499:ERF655499 EGY655499:EHJ655499 DXC655499:DXN655499 DNG655499:DNR655499 DDK655499:DDV655499 CTO655499:CTZ655499 CJS655499:CKD655499 BZW655499:CAH655499 BQA655499:BQL655499 BGE655499:BGP655499 AWI655499:AWT655499 AMM655499:AMX655499 ACQ655499:ADB655499 SU655499:TF655499 IY655499:JJ655499 C655499:N655499 WVK589963:WVV589963 WLO589963:WLZ589963 WBS589963:WCD589963 VRW589963:VSH589963 VIA589963:VIL589963 UYE589963:UYP589963 UOI589963:UOT589963 UEM589963:UEX589963 TUQ589963:TVB589963 TKU589963:TLF589963 TAY589963:TBJ589963 SRC589963:SRN589963 SHG589963:SHR589963 RXK589963:RXV589963 RNO589963:RNZ589963 RDS589963:RED589963 QTW589963:QUH589963 QKA589963:QKL589963 QAE589963:QAP589963 PQI589963:PQT589963 PGM589963:PGX589963 OWQ589963:OXB589963 OMU589963:ONF589963 OCY589963:ODJ589963 NTC589963:NTN589963 NJG589963:NJR589963 MZK589963:MZV589963 MPO589963:MPZ589963 MFS589963:MGD589963 LVW589963:LWH589963 LMA589963:LML589963 LCE589963:LCP589963 KSI589963:KST589963 KIM589963:KIX589963 JYQ589963:JZB589963 JOU589963:JPF589963 JEY589963:JFJ589963 IVC589963:IVN589963 ILG589963:ILR589963 IBK589963:IBV589963 HRO589963:HRZ589963 HHS589963:HID589963 GXW589963:GYH589963 GOA589963:GOL589963 GEE589963:GEP589963 FUI589963:FUT589963 FKM589963:FKX589963 FAQ589963:FBB589963 EQU589963:ERF589963 EGY589963:EHJ589963 DXC589963:DXN589963 DNG589963:DNR589963 DDK589963:DDV589963 CTO589963:CTZ589963 CJS589963:CKD589963 BZW589963:CAH589963 BQA589963:BQL589963 BGE589963:BGP589963 AWI589963:AWT589963 AMM589963:AMX589963 ACQ589963:ADB589963 SU589963:TF589963 IY589963:JJ589963 C589963:N589963 WVK524427:WVV524427 WLO524427:WLZ524427 WBS524427:WCD524427 VRW524427:VSH524427 VIA524427:VIL524427 UYE524427:UYP524427 UOI524427:UOT524427 UEM524427:UEX524427 TUQ524427:TVB524427 TKU524427:TLF524427 TAY524427:TBJ524427 SRC524427:SRN524427 SHG524427:SHR524427 RXK524427:RXV524427 RNO524427:RNZ524427 RDS524427:RED524427 QTW524427:QUH524427 QKA524427:QKL524427 QAE524427:QAP524427 PQI524427:PQT524427 PGM524427:PGX524427 OWQ524427:OXB524427 OMU524427:ONF524427 OCY524427:ODJ524427 NTC524427:NTN524427 NJG524427:NJR524427 MZK524427:MZV524427 MPO524427:MPZ524427 MFS524427:MGD524427 LVW524427:LWH524427 LMA524427:LML524427 LCE524427:LCP524427 KSI524427:KST524427 KIM524427:KIX524427 JYQ524427:JZB524427 JOU524427:JPF524427 JEY524427:JFJ524427 IVC524427:IVN524427 ILG524427:ILR524427 IBK524427:IBV524427 HRO524427:HRZ524427 HHS524427:HID524427 GXW524427:GYH524427 GOA524427:GOL524427 GEE524427:GEP524427 FUI524427:FUT524427 FKM524427:FKX524427 FAQ524427:FBB524427 EQU524427:ERF524427 EGY524427:EHJ524427 DXC524427:DXN524427 DNG524427:DNR524427 DDK524427:DDV524427 CTO524427:CTZ524427 CJS524427:CKD524427 BZW524427:CAH524427 BQA524427:BQL524427 BGE524427:BGP524427 AWI524427:AWT524427 AMM524427:AMX524427 ACQ524427:ADB524427 SU524427:TF524427 IY524427:JJ524427 C524427:N524427 WVK458891:WVV458891 WLO458891:WLZ458891 WBS458891:WCD458891 VRW458891:VSH458891 VIA458891:VIL458891 UYE458891:UYP458891 UOI458891:UOT458891 UEM458891:UEX458891 TUQ458891:TVB458891 TKU458891:TLF458891 TAY458891:TBJ458891 SRC458891:SRN458891 SHG458891:SHR458891 RXK458891:RXV458891 RNO458891:RNZ458891 RDS458891:RED458891 QTW458891:QUH458891 QKA458891:QKL458891 QAE458891:QAP458891 PQI458891:PQT458891 PGM458891:PGX458891 OWQ458891:OXB458891 OMU458891:ONF458891 OCY458891:ODJ458891 NTC458891:NTN458891 NJG458891:NJR458891 MZK458891:MZV458891 MPO458891:MPZ458891 MFS458891:MGD458891 LVW458891:LWH458891 LMA458891:LML458891 LCE458891:LCP458891 KSI458891:KST458891 KIM458891:KIX458891 JYQ458891:JZB458891 JOU458891:JPF458891 JEY458891:JFJ458891 IVC458891:IVN458891 ILG458891:ILR458891 IBK458891:IBV458891 HRO458891:HRZ458891 HHS458891:HID458891 GXW458891:GYH458891 GOA458891:GOL458891 GEE458891:GEP458891 FUI458891:FUT458891 FKM458891:FKX458891 FAQ458891:FBB458891 EQU458891:ERF458891 EGY458891:EHJ458891 DXC458891:DXN458891 DNG458891:DNR458891 DDK458891:DDV458891 CTO458891:CTZ458891 CJS458891:CKD458891 BZW458891:CAH458891 BQA458891:BQL458891 BGE458891:BGP458891 AWI458891:AWT458891 AMM458891:AMX458891 ACQ458891:ADB458891 SU458891:TF458891 IY458891:JJ458891 C458891:N458891 WVK393355:WVV393355 WLO393355:WLZ393355 WBS393355:WCD393355 VRW393355:VSH393355 VIA393355:VIL393355 UYE393355:UYP393355 UOI393355:UOT393355 UEM393355:UEX393355 TUQ393355:TVB393355 TKU393355:TLF393355 TAY393355:TBJ393355 SRC393355:SRN393355 SHG393355:SHR393355 RXK393355:RXV393355 RNO393355:RNZ393355 RDS393355:RED393355 QTW393355:QUH393355 QKA393355:QKL393355 QAE393355:QAP393355 PQI393355:PQT393355 PGM393355:PGX393355 OWQ393355:OXB393355 OMU393355:ONF393355 OCY393355:ODJ393355 NTC393355:NTN393355 NJG393355:NJR393355 MZK393355:MZV393355 MPO393355:MPZ393355 MFS393355:MGD393355 LVW393355:LWH393355 LMA393355:LML393355 LCE393355:LCP393355 KSI393355:KST393355 KIM393355:KIX393355 JYQ393355:JZB393355 JOU393355:JPF393355 JEY393355:JFJ393355 IVC393355:IVN393355 ILG393355:ILR393355 IBK393355:IBV393355 HRO393355:HRZ393355 HHS393355:HID393355 GXW393355:GYH393355 GOA393355:GOL393355 GEE393355:GEP393355 FUI393355:FUT393355 FKM393355:FKX393355 FAQ393355:FBB393355 EQU393355:ERF393355 EGY393355:EHJ393355 DXC393355:DXN393355 DNG393355:DNR393355 DDK393355:DDV393355 CTO393355:CTZ393355 CJS393355:CKD393355 BZW393355:CAH393355 BQA393355:BQL393355 BGE393355:BGP393355 AWI393355:AWT393355 AMM393355:AMX393355 ACQ393355:ADB393355 SU393355:TF393355 IY393355:JJ393355 C393355:N393355 WVK327819:WVV327819 WLO327819:WLZ327819 WBS327819:WCD327819 VRW327819:VSH327819 VIA327819:VIL327819 UYE327819:UYP327819 UOI327819:UOT327819 UEM327819:UEX327819 TUQ327819:TVB327819 TKU327819:TLF327819 TAY327819:TBJ327819 SRC327819:SRN327819 SHG327819:SHR327819 RXK327819:RXV327819 RNO327819:RNZ327819 RDS327819:RED327819 QTW327819:QUH327819 QKA327819:QKL327819 QAE327819:QAP327819 PQI327819:PQT327819 PGM327819:PGX327819 OWQ327819:OXB327819 OMU327819:ONF327819 OCY327819:ODJ327819 NTC327819:NTN327819 NJG327819:NJR327819 MZK327819:MZV327819 MPO327819:MPZ327819 MFS327819:MGD327819 LVW327819:LWH327819 LMA327819:LML327819 LCE327819:LCP327819 KSI327819:KST327819 KIM327819:KIX327819 JYQ327819:JZB327819 JOU327819:JPF327819 JEY327819:JFJ327819 IVC327819:IVN327819 ILG327819:ILR327819 IBK327819:IBV327819 HRO327819:HRZ327819 HHS327819:HID327819 GXW327819:GYH327819 GOA327819:GOL327819 GEE327819:GEP327819 FUI327819:FUT327819 FKM327819:FKX327819 FAQ327819:FBB327819 EQU327819:ERF327819 EGY327819:EHJ327819 DXC327819:DXN327819 DNG327819:DNR327819 DDK327819:DDV327819 CTO327819:CTZ327819 CJS327819:CKD327819 BZW327819:CAH327819 BQA327819:BQL327819 BGE327819:BGP327819 AWI327819:AWT327819 AMM327819:AMX327819 ACQ327819:ADB327819 SU327819:TF327819 IY327819:JJ327819 C327819:N327819 WVK262283:WVV262283 WLO262283:WLZ262283 WBS262283:WCD262283 VRW262283:VSH262283 VIA262283:VIL262283 UYE262283:UYP262283 UOI262283:UOT262283 UEM262283:UEX262283 TUQ262283:TVB262283 TKU262283:TLF262283 TAY262283:TBJ262283 SRC262283:SRN262283 SHG262283:SHR262283 RXK262283:RXV262283 RNO262283:RNZ262283 RDS262283:RED262283 QTW262283:QUH262283 QKA262283:QKL262283 QAE262283:QAP262283 PQI262283:PQT262283 PGM262283:PGX262283 OWQ262283:OXB262283 OMU262283:ONF262283 OCY262283:ODJ262283 NTC262283:NTN262283 NJG262283:NJR262283 MZK262283:MZV262283 MPO262283:MPZ262283 MFS262283:MGD262283 LVW262283:LWH262283 LMA262283:LML262283 LCE262283:LCP262283 KSI262283:KST262283 KIM262283:KIX262283 JYQ262283:JZB262283 JOU262283:JPF262283 JEY262283:JFJ262283 IVC262283:IVN262283 ILG262283:ILR262283 IBK262283:IBV262283 HRO262283:HRZ262283 HHS262283:HID262283 GXW262283:GYH262283 GOA262283:GOL262283 GEE262283:GEP262283 FUI262283:FUT262283 FKM262283:FKX262283 FAQ262283:FBB262283 EQU262283:ERF262283 EGY262283:EHJ262283 DXC262283:DXN262283 DNG262283:DNR262283 DDK262283:DDV262283 CTO262283:CTZ262283 CJS262283:CKD262283 BZW262283:CAH262283 BQA262283:BQL262283 BGE262283:BGP262283 AWI262283:AWT262283 AMM262283:AMX262283 ACQ262283:ADB262283 SU262283:TF262283 IY262283:JJ262283 C262283:N262283 WVK196747:WVV196747 WLO196747:WLZ196747 WBS196747:WCD196747 VRW196747:VSH196747 VIA196747:VIL196747 UYE196747:UYP196747 UOI196747:UOT196747 UEM196747:UEX196747 TUQ196747:TVB196747 TKU196747:TLF196747 TAY196747:TBJ196747 SRC196747:SRN196747 SHG196747:SHR196747 RXK196747:RXV196747 RNO196747:RNZ196747 RDS196747:RED196747 QTW196747:QUH196747 QKA196747:QKL196747 QAE196747:QAP196747 PQI196747:PQT196747 PGM196747:PGX196747 OWQ196747:OXB196747 OMU196747:ONF196747 OCY196747:ODJ196747 NTC196747:NTN196747 NJG196747:NJR196747 MZK196747:MZV196747 MPO196747:MPZ196747 MFS196747:MGD196747 LVW196747:LWH196747 LMA196747:LML196747 LCE196747:LCP196747 KSI196747:KST196747 KIM196747:KIX196747 JYQ196747:JZB196747 JOU196747:JPF196747 JEY196747:JFJ196747 IVC196747:IVN196747 ILG196747:ILR196747 IBK196747:IBV196747 HRO196747:HRZ196747 HHS196747:HID196747 GXW196747:GYH196747 GOA196747:GOL196747 GEE196747:GEP196747 FUI196747:FUT196747 FKM196747:FKX196747 FAQ196747:FBB196747 EQU196747:ERF196747 EGY196747:EHJ196747 DXC196747:DXN196747 DNG196747:DNR196747 DDK196747:DDV196747 CTO196747:CTZ196747 CJS196747:CKD196747 BZW196747:CAH196747 BQA196747:BQL196747 BGE196747:BGP196747 AWI196747:AWT196747 AMM196747:AMX196747 ACQ196747:ADB196747 SU196747:TF196747 IY196747:JJ196747 C196747:N196747 WVK131211:WVV131211 WLO131211:WLZ131211 WBS131211:WCD131211 VRW131211:VSH131211 VIA131211:VIL131211 UYE131211:UYP131211 UOI131211:UOT131211 UEM131211:UEX131211 TUQ131211:TVB131211 TKU131211:TLF131211 TAY131211:TBJ131211 SRC131211:SRN131211 SHG131211:SHR131211 RXK131211:RXV131211 RNO131211:RNZ131211 RDS131211:RED131211 QTW131211:QUH131211 QKA131211:QKL131211 QAE131211:QAP131211 PQI131211:PQT131211 PGM131211:PGX131211 OWQ131211:OXB131211 OMU131211:ONF131211 OCY131211:ODJ131211 NTC131211:NTN131211 NJG131211:NJR131211 MZK131211:MZV131211 MPO131211:MPZ131211 MFS131211:MGD131211 LVW131211:LWH131211 LMA131211:LML131211 LCE131211:LCP131211 KSI131211:KST131211 KIM131211:KIX131211 JYQ131211:JZB131211 JOU131211:JPF131211 JEY131211:JFJ131211 IVC131211:IVN131211 ILG131211:ILR131211 IBK131211:IBV131211 HRO131211:HRZ131211 HHS131211:HID131211 GXW131211:GYH131211 GOA131211:GOL131211 GEE131211:GEP131211 FUI131211:FUT131211 FKM131211:FKX131211 FAQ131211:FBB131211 EQU131211:ERF131211 EGY131211:EHJ131211 DXC131211:DXN131211 DNG131211:DNR131211 DDK131211:DDV131211 CTO131211:CTZ131211 CJS131211:CKD131211 BZW131211:CAH131211 BQA131211:BQL131211 BGE131211:BGP131211 AWI131211:AWT131211 AMM131211:AMX131211 ACQ131211:ADB131211 SU131211:TF131211 IY131211:JJ131211 C131211:N131211 WVK65675:WVV65675 WLO65675:WLZ65675 WBS65675:WCD65675 VRW65675:VSH65675 VIA65675:VIL65675 UYE65675:UYP65675 UOI65675:UOT65675 UEM65675:UEX65675 TUQ65675:TVB65675 TKU65675:TLF65675 TAY65675:TBJ65675 SRC65675:SRN65675 SHG65675:SHR65675 RXK65675:RXV65675 RNO65675:RNZ65675 RDS65675:RED65675 QTW65675:QUH65675 QKA65675:QKL65675 QAE65675:QAP65675 PQI65675:PQT65675 PGM65675:PGX65675 OWQ65675:OXB65675 OMU65675:ONF65675 OCY65675:ODJ65675 NTC65675:NTN65675 NJG65675:NJR65675 MZK65675:MZV65675 MPO65675:MPZ65675 MFS65675:MGD65675 LVW65675:LWH65675 LMA65675:LML65675 LCE65675:LCP65675 KSI65675:KST65675 KIM65675:KIX65675 JYQ65675:JZB65675 JOU65675:JPF65675 JEY65675:JFJ65675 IVC65675:IVN65675 ILG65675:ILR65675 IBK65675:IBV65675 HRO65675:HRZ65675 HHS65675:HID65675 GXW65675:GYH65675 GOA65675:GOL65675 GEE65675:GEP65675 FUI65675:FUT65675 FKM65675:FKX65675 FAQ65675:FBB65675 EQU65675:ERF65675 EGY65675:EHJ65675 DXC65675:DXN65675 DNG65675:DNR65675 DDK65675:DDV65675 CTO65675:CTZ65675 CJS65675:CKD65675 BZW65675:CAH65675 BQA65675:BQL65675 BGE65675:BGP65675 AWI65675:AWT65675 AMM65675:AMX65675 ACQ65675:ADB65675 SU65675:TF65675 IY65675:JJ65675 C65675:N65675 WVK221:WVV221 WLO221:WLZ221 WBS221:WCD221 VRW221:VSH221 VIA221:VIL221 UYE221:UYP221 UOI221:UOT221 UEM221:UEX221 TUQ221:TVB221 TKU221:TLF221 TAY221:TBJ221 SRC221:SRN221 SHG221:SHR221 RXK221:RXV221 RNO221:RNZ221 RDS221:RED221 QTW221:QUH221 QKA221:QKL221 QAE221:QAP221 PQI221:PQT221 PGM221:PGX221 OWQ221:OXB221 OMU221:ONF221 OCY221:ODJ221 NTC221:NTN221 NJG221:NJR221 MZK221:MZV221 MPO221:MPZ221 MFS221:MGD221 LVW221:LWH221 LMA221:LML221 LCE221:LCP221 KSI221:KST221 KIM221:KIX221 JYQ221:JZB221 JOU221:JPF221 JEY221:JFJ221 IVC221:IVN221 ILG221:ILR221 IBK221:IBV221 HRO221:HRZ221 HHS221:HID221 GXW221:GYH221 GOA221:GOL221 GEE221:GEP221 FUI221:FUT221 FKM221:FKX221 FAQ221:FBB221 EQU221:ERF221 EGY221:EHJ221 DXC221:DXN221 DNG221:DNR221 DDK221:DDV221 CTO221:CTZ221 CJS221:CKD221 BZW221:CAH221 BQA221:BQL221 BGE221:BGP221 AWI221:AWT221 AMM221:AMX221 ACQ221:ADB221 SU221:TF221 IY221:JJ221 BGE206:BGP206 WVK983149:WVV983149 WLO983149:WLZ983149 WBS983149:WCD983149 VRW983149:VSH983149 VIA983149:VIL983149 UYE983149:UYP983149 UOI983149:UOT983149 UEM983149:UEX983149 TUQ983149:TVB983149 TKU983149:TLF983149 TAY983149:TBJ983149 SRC983149:SRN983149 SHG983149:SHR983149 RXK983149:RXV983149 RNO983149:RNZ983149 RDS983149:RED983149 QTW983149:QUH983149 QKA983149:QKL983149 QAE983149:QAP983149 PQI983149:PQT983149 PGM983149:PGX983149 OWQ983149:OXB983149 OMU983149:ONF983149 OCY983149:ODJ983149 NTC983149:NTN983149 NJG983149:NJR983149 MZK983149:MZV983149 MPO983149:MPZ983149 MFS983149:MGD983149 LVW983149:LWH983149 LMA983149:LML983149 LCE983149:LCP983149 KSI983149:KST983149 KIM983149:KIX983149 JYQ983149:JZB983149 JOU983149:JPF983149 JEY983149:JFJ983149 IVC983149:IVN983149 ILG983149:ILR983149 IBK983149:IBV983149 HRO983149:HRZ983149 HHS983149:HID983149 GXW983149:GYH983149 GOA983149:GOL983149 GEE983149:GEP983149 FUI983149:FUT983149 FKM983149:FKX983149 FAQ983149:FBB983149 EQU983149:ERF983149 EGY983149:EHJ983149 DXC983149:DXN983149 DNG983149:DNR983149 DDK983149:DDV983149 CTO983149:CTZ983149 CJS983149:CKD983149 BZW983149:CAH983149 BQA983149:BQL983149 BGE983149:BGP983149 AWI983149:AWT983149 AMM983149:AMX983149 ACQ983149:ADB983149 SU983149:TF983149 IY983149:JJ983149 C983149:N983149 WVK917613:WVV917613 WLO917613:WLZ917613 WBS917613:WCD917613 VRW917613:VSH917613 VIA917613:VIL917613 UYE917613:UYP917613 UOI917613:UOT917613 UEM917613:UEX917613 TUQ917613:TVB917613 TKU917613:TLF917613 TAY917613:TBJ917613 SRC917613:SRN917613 SHG917613:SHR917613 RXK917613:RXV917613 RNO917613:RNZ917613 RDS917613:RED917613 QTW917613:QUH917613 QKA917613:QKL917613 QAE917613:QAP917613 PQI917613:PQT917613 PGM917613:PGX917613 OWQ917613:OXB917613 OMU917613:ONF917613 OCY917613:ODJ917613 NTC917613:NTN917613 NJG917613:NJR917613 MZK917613:MZV917613 MPO917613:MPZ917613 MFS917613:MGD917613 LVW917613:LWH917613 LMA917613:LML917613 LCE917613:LCP917613 KSI917613:KST917613 KIM917613:KIX917613 JYQ917613:JZB917613 JOU917613:JPF917613 JEY917613:JFJ917613 IVC917613:IVN917613 ILG917613:ILR917613 IBK917613:IBV917613 HRO917613:HRZ917613 HHS917613:HID917613 GXW917613:GYH917613 GOA917613:GOL917613 GEE917613:GEP917613 FUI917613:FUT917613 FKM917613:FKX917613 FAQ917613:FBB917613 EQU917613:ERF917613 EGY917613:EHJ917613 DXC917613:DXN917613 DNG917613:DNR917613 DDK917613:DDV917613 CTO917613:CTZ917613 CJS917613:CKD917613 BZW917613:CAH917613 BQA917613:BQL917613 BGE917613:BGP917613 AWI917613:AWT917613 AMM917613:AMX917613 ACQ917613:ADB917613 SU917613:TF917613 IY917613:JJ917613 C917613:N917613 WVK852077:WVV852077 WLO852077:WLZ852077 WBS852077:WCD852077 VRW852077:VSH852077 VIA852077:VIL852077 UYE852077:UYP852077 UOI852077:UOT852077 UEM852077:UEX852077 TUQ852077:TVB852077 TKU852077:TLF852077 TAY852077:TBJ852077 SRC852077:SRN852077 SHG852077:SHR852077 RXK852077:RXV852077 RNO852077:RNZ852077 RDS852077:RED852077 QTW852077:QUH852077 QKA852077:QKL852077 QAE852077:QAP852077 PQI852077:PQT852077 PGM852077:PGX852077 OWQ852077:OXB852077 OMU852077:ONF852077 OCY852077:ODJ852077 NTC852077:NTN852077 NJG852077:NJR852077 MZK852077:MZV852077 MPO852077:MPZ852077 MFS852077:MGD852077 LVW852077:LWH852077 LMA852077:LML852077 LCE852077:LCP852077 KSI852077:KST852077 KIM852077:KIX852077 JYQ852077:JZB852077 JOU852077:JPF852077 JEY852077:JFJ852077 IVC852077:IVN852077 ILG852077:ILR852077 IBK852077:IBV852077 HRO852077:HRZ852077 HHS852077:HID852077 GXW852077:GYH852077 GOA852077:GOL852077 GEE852077:GEP852077 FUI852077:FUT852077 FKM852077:FKX852077 FAQ852077:FBB852077 EQU852077:ERF852077 EGY852077:EHJ852077 DXC852077:DXN852077 DNG852077:DNR852077 DDK852077:DDV852077 CTO852077:CTZ852077 CJS852077:CKD852077 BZW852077:CAH852077 BQA852077:BQL852077 BGE852077:BGP852077 AWI852077:AWT852077 AMM852077:AMX852077 ACQ852077:ADB852077 SU852077:TF852077 IY852077:JJ852077 C852077:N852077 WVK786541:WVV786541 WLO786541:WLZ786541 WBS786541:WCD786541 VRW786541:VSH786541 VIA786541:VIL786541 UYE786541:UYP786541 UOI786541:UOT786541 UEM786541:UEX786541 TUQ786541:TVB786541 TKU786541:TLF786541 TAY786541:TBJ786541 SRC786541:SRN786541 SHG786541:SHR786541 RXK786541:RXV786541 RNO786541:RNZ786541 RDS786541:RED786541 QTW786541:QUH786541 QKA786541:QKL786541 QAE786541:QAP786541 PQI786541:PQT786541 PGM786541:PGX786541 OWQ786541:OXB786541 OMU786541:ONF786541 OCY786541:ODJ786541 NTC786541:NTN786541 NJG786541:NJR786541 MZK786541:MZV786541 MPO786541:MPZ786541 MFS786541:MGD786541 LVW786541:LWH786541 LMA786541:LML786541 LCE786541:LCP786541 KSI786541:KST786541 KIM786541:KIX786541 JYQ786541:JZB786541 JOU786541:JPF786541 JEY786541:JFJ786541 IVC786541:IVN786541 ILG786541:ILR786541 IBK786541:IBV786541 HRO786541:HRZ786541 HHS786541:HID786541 GXW786541:GYH786541 GOA786541:GOL786541 GEE786541:GEP786541 FUI786541:FUT786541 FKM786541:FKX786541 FAQ786541:FBB786541 EQU786541:ERF786541 EGY786541:EHJ786541 DXC786541:DXN786541 DNG786541:DNR786541 DDK786541:DDV786541 CTO786541:CTZ786541 CJS786541:CKD786541 BZW786541:CAH786541 BQA786541:BQL786541 BGE786541:BGP786541 AWI786541:AWT786541 AMM786541:AMX786541 ACQ786541:ADB786541 SU786541:TF786541 IY786541:JJ786541 C786541:N786541 WVK721005:WVV721005 WLO721005:WLZ721005 WBS721005:WCD721005 VRW721005:VSH721005 VIA721005:VIL721005 UYE721005:UYP721005 UOI721005:UOT721005 UEM721005:UEX721005 TUQ721005:TVB721005 TKU721005:TLF721005 TAY721005:TBJ721005 SRC721005:SRN721005 SHG721005:SHR721005 RXK721005:RXV721005 RNO721005:RNZ721005 RDS721005:RED721005 QTW721005:QUH721005 QKA721005:QKL721005 QAE721005:QAP721005 PQI721005:PQT721005 PGM721005:PGX721005 OWQ721005:OXB721005 OMU721005:ONF721005 OCY721005:ODJ721005 NTC721005:NTN721005 NJG721005:NJR721005 MZK721005:MZV721005 MPO721005:MPZ721005 MFS721005:MGD721005 LVW721005:LWH721005 LMA721005:LML721005 LCE721005:LCP721005 KSI721005:KST721005 KIM721005:KIX721005 JYQ721005:JZB721005 JOU721005:JPF721005 JEY721005:JFJ721005 IVC721005:IVN721005 ILG721005:ILR721005 IBK721005:IBV721005 HRO721005:HRZ721005 HHS721005:HID721005 GXW721005:GYH721005 GOA721005:GOL721005 GEE721005:GEP721005 FUI721005:FUT721005 FKM721005:FKX721005 FAQ721005:FBB721005 EQU721005:ERF721005 EGY721005:EHJ721005 DXC721005:DXN721005 DNG721005:DNR721005 DDK721005:DDV721005 CTO721005:CTZ721005 CJS721005:CKD721005 BZW721005:CAH721005 BQA721005:BQL721005 BGE721005:BGP721005 AWI721005:AWT721005 AMM721005:AMX721005 ACQ721005:ADB721005 SU721005:TF721005 IY721005:JJ721005 C721005:N721005 WVK655469:WVV655469 WLO655469:WLZ655469 WBS655469:WCD655469 VRW655469:VSH655469 VIA655469:VIL655469 UYE655469:UYP655469 UOI655469:UOT655469 UEM655469:UEX655469 TUQ655469:TVB655469 TKU655469:TLF655469 TAY655469:TBJ655469 SRC655469:SRN655469 SHG655469:SHR655469 RXK655469:RXV655469 RNO655469:RNZ655469 RDS655469:RED655469 QTW655469:QUH655469 QKA655469:QKL655469 QAE655469:QAP655469 PQI655469:PQT655469 PGM655469:PGX655469 OWQ655469:OXB655469 OMU655469:ONF655469 OCY655469:ODJ655469 NTC655469:NTN655469 NJG655469:NJR655469 MZK655469:MZV655469 MPO655469:MPZ655469 MFS655469:MGD655469 LVW655469:LWH655469 LMA655469:LML655469 LCE655469:LCP655469 KSI655469:KST655469 KIM655469:KIX655469 JYQ655469:JZB655469 JOU655469:JPF655469 JEY655469:JFJ655469 IVC655469:IVN655469 ILG655469:ILR655469 IBK655469:IBV655469 HRO655469:HRZ655469 HHS655469:HID655469 GXW655469:GYH655469 GOA655469:GOL655469 GEE655469:GEP655469 FUI655469:FUT655469 FKM655469:FKX655469 FAQ655469:FBB655469 EQU655469:ERF655469 EGY655469:EHJ655469 DXC655469:DXN655469 DNG655469:DNR655469 DDK655469:DDV655469 CTO655469:CTZ655469 CJS655469:CKD655469 BZW655469:CAH655469 BQA655469:BQL655469 BGE655469:BGP655469 AWI655469:AWT655469 AMM655469:AMX655469 ACQ655469:ADB655469 SU655469:TF655469 IY655469:JJ655469 C655469:N655469 WVK589933:WVV589933 WLO589933:WLZ589933 WBS589933:WCD589933 VRW589933:VSH589933 VIA589933:VIL589933 UYE589933:UYP589933 UOI589933:UOT589933 UEM589933:UEX589933 TUQ589933:TVB589933 TKU589933:TLF589933 TAY589933:TBJ589933 SRC589933:SRN589933 SHG589933:SHR589933 RXK589933:RXV589933 RNO589933:RNZ589933 RDS589933:RED589933 QTW589933:QUH589933 QKA589933:QKL589933 QAE589933:QAP589933 PQI589933:PQT589933 PGM589933:PGX589933 OWQ589933:OXB589933 OMU589933:ONF589933 OCY589933:ODJ589933 NTC589933:NTN589933 NJG589933:NJR589933 MZK589933:MZV589933 MPO589933:MPZ589933 MFS589933:MGD589933 LVW589933:LWH589933 LMA589933:LML589933 LCE589933:LCP589933 KSI589933:KST589933 KIM589933:KIX589933 JYQ589933:JZB589933 JOU589933:JPF589933 JEY589933:JFJ589933 IVC589933:IVN589933 ILG589933:ILR589933 IBK589933:IBV589933 HRO589933:HRZ589933 HHS589933:HID589933 GXW589933:GYH589933 GOA589933:GOL589933 GEE589933:GEP589933 FUI589933:FUT589933 FKM589933:FKX589933 FAQ589933:FBB589933 EQU589933:ERF589933 EGY589933:EHJ589933 DXC589933:DXN589933 DNG589933:DNR589933 DDK589933:DDV589933 CTO589933:CTZ589933 CJS589933:CKD589933 BZW589933:CAH589933 BQA589933:BQL589933 BGE589933:BGP589933 AWI589933:AWT589933 AMM589933:AMX589933 ACQ589933:ADB589933 SU589933:TF589933 IY589933:JJ589933 C589933:N589933 WVK524397:WVV524397 WLO524397:WLZ524397 WBS524397:WCD524397 VRW524397:VSH524397 VIA524397:VIL524397 UYE524397:UYP524397 UOI524397:UOT524397 UEM524397:UEX524397 TUQ524397:TVB524397 TKU524397:TLF524397 TAY524397:TBJ524397 SRC524397:SRN524397 SHG524397:SHR524397 RXK524397:RXV524397 RNO524397:RNZ524397 RDS524397:RED524397 QTW524397:QUH524397 QKA524397:QKL524397 QAE524397:QAP524397 PQI524397:PQT524397 PGM524397:PGX524397 OWQ524397:OXB524397 OMU524397:ONF524397 OCY524397:ODJ524397 NTC524397:NTN524397 NJG524397:NJR524397 MZK524397:MZV524397 MPO524397:MPZ524397 MFS524397:MGD524397 LVW524397:LWH524397 LMA524397:LML524397 LCE524397:LCP524397 KSI524397:KST524397 KIM524397:KIX524397 JYQ524397:JZB524397 JOU524397:JPF524397 JEY524397:JFJ524397 IVC524397:IVN524397 ILG524397:ILR524397 IBK524397:IBV524397 HRO524397:HRZ524397 HHS524397:HID524397 GXW524397:GYH524397 GOA524397:GOL524397 GEE524397:GEP524397 FUI524397:FUT524397 FKM524397:FKX524397 FAQ524397:FBB524397 EQU524397:ERF524397 EGY524397:EHJ524397 DXC524397:DXN524397 DNG524397:DNR524397 DDK524397:DDV524397 CTO524397:CTZ524397 CJS524397:CKD524397 BZW524397:CAH524397 BQA524397:BQL524397 BGE524397:BGP524397 AWI524397:AWT524397 AMM524397:AMX524397 ACQ524397:ADB524397 SU524397:TF524397 IY524397:JJ524397 C524397:N524397 WVK458861:WVV458861 WLO458861:WLZ458861 WBS458861:WCD458861 VRW458861:VSH458861 VIA458861:VIL458861 UYE458861:UYP458861 UOI458861:UOT458861 UEM458861:UEX458861 TUQ458861:TVB458861 TKU458861:TLF458861 TAY458861:TBJ458861 SRC458861:SRN458861 SHG458861:SHR458861 RXK458861:RXV458861 RNO458861:RNZ458861 RDS458861:RED458861 QTW458861:QUH458861 QKA458861:QKL458861 QAE458861:QAP458861 PQI458861:PQT458861 PGM458861:PGX458861 OWQ458861:OXB458861 OMU458861:ONF458861 OCY458861:ODJ458861 NTC458861:NTN458861 NJG458861:NJR458861 MZK458861:MZV458861 MPO458861:MPZ458861 MFS458861:MGD458861 LVW458861:LWH458861 LMA458861:LML458861 LCE458861:LCP458861 KSI458861:KST458861 KIM458861:KIX458861 JYQ458861:JZB458861 JOU458861:JPF458861 JEY458861:JFJ458861 IVC458861:IVN458861 ILG458861:ILR458861 IBK458861:IBV458861 HRO458861:HRZ458861 HHS458861:HID458861 GXW458861:GYH458861 GOA458861:GOL458861 GEE458861:GEP458861 FUI458861:FUT458861 FKM458861:FKX458861 FAQ458861:FBB458861 EQU458861:ERF458861 EGY458861:EHJ458861 DXC458861:DXN458861 DNG458861:DNR458861 DDK458861:DDV458861 CTO458861:CTZ458861 CJS458861:CKD458861 BZW458861:CAH458861 BQA458861:BQL458861 BGE458861:BGP458861 AWI458861:AWT458861 AMM458861:AMX458861 ACQ458861:ADB458861 SU458861:TF458861 IY458861:JJ458861 C458861:N458861 WVK393325:WVV393325 WLO393325:WLZ393325 WBS393325:WCD393325 VRW393325:VSH393325 VIA393325:VIL393325 UYE393325:UYP393325 UOI393325:UOT393325 UEM393325:UEX393325 TUQ393325:TVB393325 TKU393325:TLF393325 TAY393325:TBJ393325 SRC393325:SRN393325 SHG393325:SHR393325 RXK393325:RXV393325 RNO393325:RNZ393325 RDS393325:RED393325 QTW393325:QUH393325 QKA393325:QKL393325 QAE393325:QAP393325 PQI393325:PQT393325 PGM393325:PGX393325 OWQ393325:OXB393325 OMU393325:ONF393325 OCY393325:ODJ393325 NTC393325:NTN393325 NJG393325:NJR393325 MZK393325:MZV393325 MPO393325:MPZ393325 MFS393325:MGD393325 LVW393325:LWH393325 LMA393325:LML393325 LCE393325:LCP393325 KSI393325:KST393325 KIM393325:KIX393325 JYQ393325:JZB393325 JOU393325:JPF393325 JEY393325:JFJ393325 IVC393325:IVN393325 ILG393325:ILR393325 IBK393325:IBV393325 HRO393325:HRZ393325 HHS393325:HID393325 GXW393325:GYH393325 GOA393325:GOL393325 GEE393325:GEP393325 FUI393325:FUT393325 FKM393325:FKX393325 FAQ393325:FBB393325 EQU393325:ERF393325 EGY393325:EHJ393325 DXC393325:DXN393325 DNG393325:DNR393325 DDK393325:DDV393325 CTO393325:CTZ393325 CJS393325:CKD393325 BZW393325:CAH393325 BQA393325:BQL393325 BGE393325:BGP393325 AWI393325:AWT393325 AMM393325:AMX393325 ACQ393325:ADB393325 SU393325:TF393325 IY393325:JJ393325 C393325:N393325 WVK327789:WVV327789 WLO327789:WLZ327789 WBS327789:WCD327789 VRW327789:VSH327789 VIA327789:VIL327789 UYE327789:UYP327789 UOI327789:UOT327789 UEM327789:UEX327789 TUQ327789:TVB327789 TKU327789:TLF327789 TAY327789:TBJ327789 SRC327789:SRN327789 SHG327789:SHR327789 RXK327789:RXV327789 RNO327789:RNZ327789 RDS327789:RED327789 QTW327789:QUH327789 QKA327789:QKL327789 QAE327789:QAP327789 PQI327789:PQT327789 PGM327789:PGX327789 OWQ327789:OXB327789 OMU327789:ONF327789 OCY327789:ODJ327789 NTC327789:NTN327789 NJG327789:NJR327789 MZK327789:MZV327789 MPO327789:MPZ327789 MFS327789:MGD327789 LVW327789:LWH327789 LMA327789:LML327789 LCE327789:LCP327789 KSI327789:KST327789 KIM327789:KIX327789 JYQ327789:JZB327789 JOU327789:JPF327789 JEY327789:JFJ327789 IVC327789:IVN327789 ILG327789:ILR327789 IBK327789:IBV327789 HRO327789:HRZ327789 HHS327789:HID327789 GXW327789:GYH327789 GOA327789:GOL327789 GEE327789:GEP327789 FUI327789:FUT327789 FKM327789:FKX327789 FAQ327789:FBB327789 EQU327789:ERF327789 EGY327789:EHJ327789 DXC327789:DXN327789 DNG327789:DNR327789 DDK327789:DDV327789 CTO327789:CTZ327789 CJS327789:CKD327789 BZW327789:CAH327789 BQA327789:BQL327789 BGE327789:BGP327789 AWI327789:AWT327789 AMM327789:AMX327789 ACQ327789:ADB327789 SU327789:TF327789 IY327789:JJ327789 C327789:N327789 WVK262253:WVV262253 WLO262253:WLZ262253 WBS262253:WCD262253 VRW262253:VSH262253 VIA262253:VIL262253 UYE262253:UYP262253 UOI262253:UOT262253 UEM262253:UEX262253 TUQ262253:TVB262253 TKU262253:TLF262253 TAY262253:TBJ262253 SRC262253:SRN262253 SHG262253:SHR262253 RXK262253:RXV262253 RNO262253:RNZ262253 RDS262253:RED262253 QTW262253:QUH262253 QKA262253:QKL262253 QAE262253:QAP262253 PQI262253:PQT262253 PGM262253:PGX262253 OWQ262253:OXB262253 OMU262253:ONF262253 OCY262253:ODJ262253 NTC262253:NTN262253 NJG262253:NJR262253 MZK262253:MZV262253 MPO262253:MPZ262253 MFS262253:MGD262253 LVW262253:LWH262253 LMA262253:LML262253 LCE262253:LCP262253 KSI262253:KST262253 KIM262253:KIX262253 JYQ262253:JZB262253 JOU262253:JPF262253 JEY262253:JFJ262253 IVC262253:IVN262253 ILG262253:ILR262253 IBK262253:IBV262253 HRO262253:HRZ262253 HHS262253:HID262253 GXW262253:GYH262253 GOA262253:GOL262253 GEE262253:GEP262253 FUI262253:FUT262253 FKM262253:FKX262253 FAQ262253:FBB262253 EQU262253:ERF262253 EGY262253:EHJ262253 DXC262253:DXN262253 DNG262253:DNR262253 DDK262253:DDV262253 CTO262253:CTZ262253 CJS262253:CKD262253 BZW262253:CAH262253 BQA262253:BQL262253 BGE262253:BGP262253 AWI262253:AWT262253 AMM262253:AMX262253 ACQ262253:ADB262253 SU262253:TF262253 IY262253:JJ262253 C262253:N262253 WVK196717:WVV196717 WLO196717:WLZ196717 WBS196717:WCD196717 VRW196717:VSH196717 VIA196717:VIL196717 UYE196717:UYP196717 UOI196717:UOT196717 UEM196717:UEX196717 TUQ196717:TVB196717 TKU196717:TLF196717 TAY196717:TBJ196717 SRC196717:SRN196717 SHG196717:SHR196717 RXK196717:RXV196717 RNO196717:RNZ196717 RDS196717:RED196717 QTW196717:QUH196717 QKA196717:QKL196717 QAE196717:QAP196717 PQI196717:PQT196717 PGM196717:PGX196717 OWQ196717:OXB196717 OMU196717:ONF196717 OCY196717:ODJ196717 NTC196717:NTN196717 NJG196717:NJR196717 MZK196717:MZV196717 MPO196717:MPZ196717 MFS196717:MGD196717 LVW196717:LWH196717 LMA196717:LML196717 LCE196717:LCP196717 KSI196717:KST196717 KIM196717:KIX196717 JYQ196717:JZB196717 JOU196717:JPF196717 JEY196717:JFJ196717 IVC196717:IVN196717 ILG196717:ILR196717 IBK196717:IBV196717 HRO196717:HRZ196717 HHS196717:HID196717 GXW196717:GYH196717 GOA196717:GOL196717 GEE196717:GEP196717 FUI196717:FUT196717 FKM196717:FKX196717 FAQ196717:FBB196717 EQU196717:ERF196717 EGY196717:EHJ196717 DXC196717:DXN196717 DNG196717:DNR196717 DDK196717:DDV196717 CTO196717:CTZ196717 CJS196717:CKD196717 BZW196717:CAH196717 BQA196717:BQL196717 BGE196717:BGP196717 AWI196717:AWT196717 AMM196717:AMX196717 ACQ196717:ADB196717 SU196717:TF196717 IY196717:JJ196717 C196717:N196717 WVK131181:WVV131181 WLO131181:WLZ131181 WBS131181:WCD131181 VRW131181:VSH131181 VIA131181:VIL131181 UYE131181:UYP131181 UOI131181:UOT131181 UEM131181:UEX131181 TUQ131181:TVB131181 TKU131181:TLF131181 TAY131181:TBJ131181 SRC131181:SRN131181 SHG131181:SHR131181 RXK131181:RXV131181 RNO131181:RNZ131181 RDS131181:RED131181 QTW131181:QUH131181 QKA131181:QKL131181 QAE131181:QAP131181 PQI131181:PQT131181 PGM131181:PGX131181 OWQ131181:OXB131181 OMU131181:ONF131181 OCY131181:ODJ131181 NTC131181:NTN131181 NJG131181:NJR131181 MZK131181:MZV131181 MPO131181:MPZ131181 MFS131181:MGD131181 LVW131181:LWH131181 LMA131181:LML131181 LCE131181:LCP131181 KSI131181:KST131181 KIM131181:KIX131181 JYQ131181:JZB131181 JOU131181:JPF131181 JEY131181:JFJ131181 IVC131181:IVN131181 ILG131181:ILR131181 IBK131181:IBV131181 HRO131181:HRZ131181 HHS131181:HID131181 GXW131181:GYH131181 GOA131181:GOL131181 GEE131181:GEP131181 FUI131181:FUT131181 FKM131181:FKX131181 FAQ131181:FBB131181 EQU131181:ERF131181 EGY131181:EHJ131181 DXC131181:DXN131181 DNG131181:DNR131181 DDK131181:DDV131181 CTO131181:CTZ131181 CJS131181:CKD131181 BZW131181:CAH131181 BQA131181:BQL131181 BGE131181:BGP131181 AWI131181:AWT131181 AMM131181:AMX131181 ACQ131181:ADB131181 SU131181:TF131181 IY131181:JJ131181 C131181:N131181 WVK65645:WVV65645 WLO65645:WLZ65645 WBS65645:WCD65645 VRW65645:VSH65645 VIA65645:VIL65645 UYE65645:UYP65645 UOI65645:UOT65645 UEM65645:UEX65645 TUQ65645:TVB65645 TKU65645:TLF65645 TAY65645:TBJ65645 SRC65645:SRN65645 SHG65645:SHR65645 RXK65645:RXV65645 RNO65645:RNZ65645 RDS65645:RED65645 QTW65645:QUH65645 QKA65645:QKL65645 QAE65645:QAP65645 PQI65645:PQT65645 PGM65645:PGX65645 OWQ65645:OXB65645 OMU65645:ONF65645 OCY65645:ODJ65645 NTC65645:NTN65645 NJG65645:NJR65645 MZK65645:MZV65645 MPO65645:MPZ65645 MFS65645:MGD65645 LVW65645:LWH65645 LMA65645:LML65645 LCE65645:LCP65645 KSI65645:KST65645 KIM65645:KIX65645 JYQ65645:JZB65645 JOU65645:JPF65645 JEY65645:JFJ65645 IVC65645:IVN65645 ILG65645:ILR65645 IBK65645:IBV65645 HRO65645:HRZ65645 HHS65645:HID65645 GXW65645:GYH65645 GOA65645:GOL65645 GEE65645:GEP65645 FUI65645:FUT65645 FKM65645:FKX65645 FAQ65645:FBB65645 EQU65645:ERF65645 EGY65645:EHJ65645 DXC65645:DXN65645 DNG65645:DNR65645 DDK65645:DDV65645 CTO65645:CTZ65645 CJS65645:CKD65645 BZW65645:CAH65645 BQA65645:BQL65645 BGE65645:BGP65645 AWI65645:AWT65645 AMM65645:AMX65645 ACQ65645:ADB65645 SU65645:TF65645 IY65645:JJ65645 C65645:N65645 WVK191:WVV191 WLO191:WLZ191 WBS191:WCD191 VRW191:VSH191 VIA191:VIL191 UYE191:UYP191 UOI191:UOT191 UEM191:UEX191 TUQ191:TVB191 TKU191:TLF191 TAY191:TBJ191 SRC191:SRN191 SHG191:SHR191 RXK191:RXV191 RNO191:RNZ191 RDS191:RED191 QTW191:QUH191 QKA191:QKL191 QAE191:QAP191 PQI191:PQT191 PGM191:PGX191 OWQ191:OXB191 OMU191:ONF191 OCY191:ODJ191 NTC191:NTN191 NJG191:NJR191 MZK191:MZV191 MPO191:MPZ191 MFS191:MGD191 LVW191:LWH191 LMA191:LML191 LCE191:LCP191 KSI191:KST191 KIM191:KIX191 JYQ191:JZB191 JOU191:JPF191 JEY191:JFJ191 IVC191:IVN191 ILG191:ILR191 IBK191:IBV191 HRO191:HRZ191 HHS191:HID191 GXW191:GYH191 GOA191:GOL191 GEE191:GEP191 FUI191:FUT191 FKM191:FKX191 FAQ191:FBB191 EQU191:ERF191 EGY191:EHJ191 DXC191:DXN191 DNG191:DNR191 DDK191:DDV191 CTO191:CTZ191 CJS191:CKD191 BZW191:CAH191 BQA191:BQL191 BGE191:BGP191 AWI191:AWT191 AMM191:AMX191 ACQ191:ADB191 SU191:TF191 IY191:JJ191 AMM206:AMX206 WVK983134:WVV983134 WLO983134:WLZ983134 WBS983134:WCD983134 VRW983134:VSH983134 VIA983134:VIL983134 UYE983134:UYP983134 UOI983134:UOT983134 UEM983134:UEX983134 TUQ983134:TVB983134 TKU983134:TLF983134 TAY983134:TBJ983134 SRC983134:SRN983134 SHG983134:SHR983134 RXK983134:RXV983134 RNO983134:RNZ983134 RDS983134:RED983134 QTW983134:QUH983134 QKA983134:QKL983134 QAE983134:QAP983134 PQI983134:PQT983134 PGM983134:PGX983134 OWQ983134:OXB983134 OMU983134:ONF983134 OCY983134:ODJ983134 NTC983134:NTN983134 NJG983134:NJR983134 MZK983134:MZV983134 MPO983134:MPZ983134 MFS983134:MGD983134 LVW983134:LWH983134 LMA983134:LML983134 LCE983134:LCP983134 KSI983134:KST983134 KIM983134:KIX983134 JYQ983134:JZB983134 JOU983134:JPF983134 JEY983134:JFJ983134 IVC983134:IVN983134 ILG983134:ILR983134 IBK983134:IBV983134 HRO983134:HRZ983134 HHS983134:HID983134 GXW983134:GYH983134 GOA983134:GOL983134 GEE983134:GEP983134 FUI983134:FUT983134 FKM983134:FKX983134 FAQ983134:FBB983134 EQU983134:ERF983134 EGY983134:EHJ983134 DXC983134:DXN983134 DNG983134:DNR983134 DDK983134:DDV983134 CTO983134:CTZ983134 CJS983134:CKD983134 BZW983134:CAH983134 BQA983134:BQL983134 BGE983134:BGP983134 AWI983134:AWT983134 AMM983134:AMX983134 ACQ983134:ADB983134 SU983134:TF983134 IY983134:JJ983134 C983134:N983134 WVK917598:WVV917598 WLO917598:WLZ917598 WBS917598:WCD917598 VRW917598:VSH917598 VIA917598:VIL917598 UYE917598:UYP917598 UOI917598:UOT917598 UEM917598:UEX917598 TUQ917598:TVB917598 TKU917598:TLF917598 TAY917598:TBJ917598 SRC917598:SRN917598 SHG917598:SHR917598 RXK917598:RXV917598 RNO917598:RNZ917598 RDS917598:RED917598 QTW917598:QUH917598 QKA917598:QKL917598 QAE917598:QAP917598 PQI917598:PQT917598 PGM917598:PGX917598 OWQ917598:OXB917598 OMU917598:ONF917598 OCY917598:ODJ917598 NTC917598:NTN917598 NJG917598:NJR917598 MZK917598:MZV917598 MPO917598:MPZ917598 MFS917598:MGD917598 LVW917598:LWH917598 LMA917598:LML917598 LCE917598:LCP917598 KSI917598:KST917598 KIM917598:KIX917598 JYQ917598:JZB917598 JOU917598:JPF917598 JEY917598:JFJ917598 IVC917598:IVN917598 ILG917598:ILR917598 IBK917598:IBV917598 HRO917598:HRZ917598 HHS917598:HID917598 GXW917598:GYH917598 GOA917598:GOL917598 GEE917598:GEP917598 FUI917598:FUT917598 FKM917598:FKX917598 FAQ917598:FBB917598 EQU917598:ERF917598 EGY917598:EHJ917598 DXC917598:DXN917598 DNG917598:DNR917598 DDK917598:DDV917598 CTO917598:CTZ917598 CJS917598:CKD917598 BZW917598:CAH917598 BQA917598:BQL917598 BGE917598:BGP917598 AWI917598:AWT917598 AMM917598:AMX917598 ACQ917598:ADB917598 SU917598:TF917598 IY917598:JJ917598 C917598:N917598 WVK852062:WVV852062 WLO852062:WLZ852062 WBS852062:WCD852062 VRW852062:VSH852062 VIA852062:VIL852062 UYE852062:UYP852062 UOI852062:UOT852062 UEM852062:UEX852062 TUQ852062:TVB852062 TKU852062:TLF852062 TAY852062:TBJ852062 SRC852062:SRN852062 SHG852062:SHR852062 RXK852062:RXV852062 RNO852062:RNZ852062 RDS852062:RED852062 QTW852062:QUH852062 QKA852062:QKL852062 QAE852062:QAP852062 PQI852062:PQT852062 PGM852062:PGX852062 OWQ852062:OXB852062 OMU852062:ONF852062 OCY852062:ODJ852062 NTC852062:NTN852062 NJG852062:NJR852062 MZK852062:MZV852062 MPO852062:MPZ852062 MFS852062:MGD852062 LVW852062:LWH852062 LMA852062:LML852062 LCE852062:LCP852062 KSI852062:KST852062 KIM852062:KIX852062 JYQ852062:JZB852062 JOU852062:JPF852062 JEY852062:JFJ852062 IVC852062:IVN852062 ILG852062:ILR852062 IBK852062:IBV852062 HRO852062:HRZ852062 HHS852062:HID852062 GXW852062:GYH852062 GOA852062:GOL852062 GEE852062:GEP852062 FUI852062:FUT852062 FKM852062:FKX852062 FAQ852062:FBB852062 EQU852062:ERF852062 EGY852062:EHJ852062 DXC852062:DXN852062 DNG852062:DNR852062 DDK852062:DDV852062 CTO852062:CTZ852062 CJS852062:CKD852062 BZW852062:CAH852062 BQA852062:BQL852062 BGE852062:BGP852062 AWI852062:AWT852062 AMM852062:AMX852062 ACQ852062:ADB852062 SU852062:TF852062 IY852062:JJ852062 C852062:N852062 WVK786526:WVV786526 WLO786526:WLZ786526 WBS786526:WCD786526 VRW786526:VSH786526 VIA786526:VIL786526 UYE786526:UYP786526 UOI786526:UOT786526 UEM786526:UEX786526 TUQ786526:TVB786526 TKU786526:TLF786526 TAY786526:TBJ786526 SRC786526:SRN786526 SHG786526:SHR786526 RXK786526:RXV786526 RNO786526:RNZ786526 RDS786526:RED786526 QTW786526:QUH786526 QKA786526:QKL786526 QAE786526:QAP786526 PQI786526:PQT786526 PGM786526:PGX786526 OWQ786526:OXB786526 OMU786526:ONF786526 OCY786526:ODJ786526 NTC786526:NTN786526 NJG786526:NJR786526 MZK786526:MZV786526 MPO786526:MPZ786526 MFS786526:MGD786526 LVW786526:LWH786526 LMA786526:LML786526 LCE786526:LCP786526 KSI786526:KST786526 KIM786526:KIX786526 JYQ786526:JZB786526 JOU786526:JPF786526 JEY786526:JFJ786526 IVC786526:IVN786526 ILG786526:ILR786526 IBK786526:IBV786526 HRO786526:HRZ786526 HHS786526:HID786526 GXW786526:GYH786526 GOA786526:GOL786526 GEE786526:GEP786526 FUI786526:FUT786526 FKM786526:FKX786526 FAQ786526:FBB786526 EQU786526:ERF786526 EGY786526:EHJ786526 DXC786526:DXN786526 DNG786526:DNR786526 DDK786526:DDV786526 CTO786526:CTZ786526 CJS786526:CKD786526 BZW786526:CAH786526 BQA786526:BQL786526 BGE786526:BGP786526 AWI786526:AWT786526 AMM786526:AMX786526 ACQ786526:ADB786526 SU786526:TF786526 IY786526:JJ786526 C786526:N786526 WVK720990:WVV720990 WLO720990:WLZ720990 WBS720990:WCD720990 VRW720990:VSH720990 VIA720990:VIL720990 UYE720990:UYP720990 UOI720990:UOT720990 UEM720990:UEX720990 TUQ720990:TVB720990 TKU720990:TLF720990 TAY720990:TBJ720990 SRC720990:SRN720990 SHG720990:SHR720990 RXK720990:RXV720990 RNO720990:RNZ720990 RDS720990:RED720990 QTW720990:QUH720990 QKA720990:QKL720990 QAE720990:QAP720990 PQI720990:PQT720990 PGM720990:PGX720990 OWQ720990:OXB720990 OMU720990:ONF720990 OCY720990:ODJ720990 NTC720990:NTN720990 NJG720990:NJR720990 MZK720990:MZV720990 MPO720990:MPZ720990 MFS720990:MGD720990 LVW720990:LWH720990 LMA720990:LML720990 LCE720990:LCP720990 KSI720990:KST720990 KIM720990:KIX720990 JYQ720990:JZB720990 JOU720990:JPF720990 JEY720990:JFJ720990 IVC720990:IVN720990 ILG720990:ILR720990 IBK720990:IBV720990 HRO720990:HRZ720990 HHS720990:HID720990 GXW720990:GYH720990 GOA720990:GOL720990 GEE720990:GEP720990 FUI720990:FUT720990 FKM720990:FKX720990 FAQ720990:FBB720990 EQU720990:ERF720990 EGY720990:EHJ720990 DXC720990:DXN720990 DNG720990:DNR720990 DDK720990:DDV720990 CTO720990:CTZ720990 CJS720990:CKD720990 BZW720990:CAH720990 BQA720990:BQL720990 BGE720990:BGP720990 AWI720990:AWT720990 AMM720990:AMX720990 ACQ720990:ADB720990 SU720990:TF720990 IY720990:JJ720990 C720990:N720990 WVK655454:WVV655454 WLO655454:WLZ655454 WBS655454:WCD655454 VRW655454:VSH655454 VIA655454:VIL655454 UYE655454:UYP655454 UOI655454:UOT655454 UEM655454:UEX655454 TUQ655454:TVB655454 TKU655454:TLF655454 TAY655454:TBJ655454 SRC655454:SRN655454 SHG655454:SHR655454 RXK655454:RXV655454 RNO655454:RNZ655454 RDS655454:RED655454 QTW655454:QUH655454 QKA655454:QKL655454 QAE655454:QAP655454 PQI655454:PQT655454 PGM655454:PGX655454 OWQ655454:OXB655454 OMU655454:ONF655454 OCY655454:ODJ655454 NTC655454:NTN655454 NJG655454:NJR655454 MZK655454:MZV655454 MPO655454:MPZ655454 MFS655454:MGD655454 LVW655454:LWH655454 LMA655454:LML655454 LCE655454:LCP655454 KSI655454:KST655454 KIM655454:KIX655454 JYQ655454:JZB655454 JOU655454:JPF655454 JEY655454:JFJ655454 IVC655454:IVN655454 ILG655454:ILR655454 IBK655454:IBV655454 HRO655454:HRZ655454 HHS655454:HID655454 GXW655454:GYH655454 GOA655454:GOL655454 GEE655454:GEP655454 FUI655454:FUT655454 FKM655454:FKX655454 FAQ655454:FBB655454 EQU655454:ERF655454 EGY655454:EHJ655454 DXC655454:DXN655454 DNG655454:DNR655454 DDK655454:DDV655454 CTO655454:CTZ655454 CJS655454:CKD655454 BZW655454:CAH655454 BQA655454:BQL655454 BGE655454:BGP655454 AWI655454:AWT655454 AMM655454:AMX655454 ACQ655454:ADB655454 SU655454:TF655454 IY655454:JJ655454 C655454:N655454 WVK589918:WVV589918 WLO589918:WLZ589918 WBS589918:WCD589918 VRW589918:VSH589918 VIA589918:VIL589918 UYE589918:UYP589918 UOI589918:UOT589918 UEM589918:UEX589918 TUQ589918:TVB589918 TKU589918:TLF589918 TAY589918:TBJ589918 SRC589918:SRN589918 SHG589918:SHR589918 RXK589918:RXV589918 RNO589918:RNZ589918 RDS589918:RED589918 QTW589918:QUH589918 QKA589918:QKL589918 QAE589918:QAP589918 PQI589918:PQT589918 PGM589918:PGX589918 OWQ589918:OXB589918 OMU589918:ONF589918 OCY589918:ODJ589918 NTC589918:NTN589918 NJG589918:NJR589918 MZK589918:MZV589918 MPO589918:MPZ589918 MFS589918:MGD589918 LVW589918:LWH589918 LMA589918:LML589918 LCE589918:LCP589918 KSI589918:KST589918 KIM589918:KIX589918 JYQ589918:JZB589918 JOU589918:JPF589918 JEY589918:JFJ589918 IVC589918:IVN589918 ILG589918:ILR589918 IBK589918:IBV589918 HRO589918:HRZ589918 HHS589918:HID589918 GXW589918:GYH589918 GOA589918:GOL589918 GEE589918:GEP589918 FUI589918:FUT589918 FKM589918:FKX589918 FAQ589918:FBB589918 EQU589918:ERF589918 EGY589918:EHJ589918 DXC589918:DXN589918 DNG589918:DNR589918 DDK589918:DDV589918 CTO589918:CTZ589918 CJS589918:CKD589918 BZW589918:CAH589918 BQA589918:BQL589918 BGE589918:BGP589918 AWI589918:AWT589918 AMM589918:AMX589918 ACQ589918:ADB589918 SU589918:TF589918 IY589918:JJ589918 C589918:N589918 WVK524382:WVV524382 WLO524382:WLZ524382 WBS524382:WCD524382 VRW524382:VSH524382 VIA524382:VIL524382 UYE524382:UYP524382 UOI524382:UOT524382 UEM524382:UEX524382 TUQ524382:TVB524382 TKU524382:TLF524382 TAY524382:TBJ524382 SRC524382:SRN524382 SHG524382:SHR524382 RXK524382:RXV524382 RNO524382:RNZ524382 RDS524382:RED524382 QTW524382:QUH524382 QKA524382:QKL524382 QAE524382:QAP524382 PQI524382:PQT524382 PGM524382:PGX524382 OWQ524382:OXB524382 OMU524382:ONF524382 OCY524382:ODJ524382 NTC524382:NTN524382 NJG524382:NJR524382 MZK524382:MZV524382 MPO524382:MPZ524382 MFS524382:MGD524382 LVW524382:LWH524382 LMA524382:LML524382 LCE524382:LCP524382 KSI524382:KST524382 KIM524382:KIX524382 JYQ524382:JZB524382 JOU524382:JPF524382 JEY524382:JFJ524382 IVC524382:IVN524382 ILG524382:ILR524382 IBK524382:IBV524382 HRO524382:HRZ524382 HHS524382:HID524382 GXW524382:GYH524382 GOA524382:GOL524382 GEE524382:GEP524382 FUI524382:FUT524382 FKM524382:FKX524382 FAQ524382:FBB524382 EQU524382:ERF524382 EGY524382:EHJ524382 DXC524382:DXN524382 DNG524382:DNR524382 DDK524382:DDV524382 CTO524382:CTZ524382 CJS524382:CKD524382 BZW524382:CAH524382 BQA524382:BQL524382 BGE524382:BGP524382 AWI524382:AWT524382 AMM524382:AMX524382 ACQ524382:ADB524382 SU524382:TF524382 IY524382:JJ524382 C524382:N524382 WVK458846:WVV458846 WLO458846:WLZ458846 WBS458846:WCD458846 VRW458846:VSH458846 VIA458846:VIL458846 UYE458846:UYP458846 UOI458846:UOT458846 UEM458846:UEX458846 TUQ458846:TVB458846 TKU458846:TLF458846 TAY458846:TBJ458846 SRC458846:SRN458846 SHG458846:SHR458846 RXK458846:RXV458846 RNO458846:RNZ458846 RDS458846:RED458846 QTW458846:QUH458846 QKA458846:QKL458846 QAE458846:QAP458846 PQI458846:PQT458846 PGM458846:PGX458846 OWQ458846:OXB458846 OMU458846:ONF458846 OCY458846:ODJ458846 NTC458846:NTN458846 NJG458846:NJR458846 MZK458846:MZV458846 MPO458846:MPZ458846 MFS458846:MGD458846 LVW458846:LWH458846 LMA458846:LML458846 LCE458846:LCP458846 KSI458846:KST458846 KIM458846:KIX458846 JYQ458846:JZB458846 JOU458846:JPF458846 JEY458846:JFJ458846 IVC458846:IVN458846 ILG458846:ILR458846 IBK458846:IBV458846 HRO458846:HRZ458846 HHS458846:HID458846 GXW458846:GYH458846 GOA458846:GOL458846 GEE458846:GEP458846 FUI458846:FUT458846 FKM458846:FKX458846 FAQ458846:FBB458846 EQU458846:ERF458846 EGY458846:EHJ458846 DXC458846:DXN458846 DNG458846:DNR458846 DDK458846:DDV458846 CTO458846:CTZ458846 CJS458846:CKD458846 BZW458846:CAH458846 BQA458846:BQL458846 BGE458846:BGP458846 AWI458846:AWT458846 AMM458846:AMX458846 ACQ458846:ADB458846 SU458846:TF458846 IY458846:JJ458846 C458846:N458846 WVK393310:WVV393310 WLO393310:WLZ393310 WBS393310:WCD393310 VRW393310:VSH393310 VIA393310:VIL393310 UYE393310:UYP393310 UOI393310:UOT393310 UEM393310:UEX393310 TUQ393310:TVB393310 TKU393310:TLF393310 TAY393310:TBJ393310 SRC393310:SRN393310 SHG393310:SHR393310 RXK393310:RXV393310 RNO393310:RNZ393310 RDS393310:RED393310 QTW393310:QUH393310 QKA393310:QKL393310 QAE393310:QAP393310 PQI393310:PQT393310 PGM393310:PGX393310 OWQ393310:OXB393310 OMU393310:ONF393310 OCY393310:ODJ393310 NTC393310:NTN393310 NJG393310:NJR393310 MZK393310:MZV393310 MPO393310:MPZ393310 MFS393310:MGD393310 LVW393310:LWH393310 LMA393310:LML393310 LCE393310:LCP393310 KSI393310:KST393310 KIM393310:KIX393310 JYQ393310:JZB393310 JOU393310:JPF393310 JEY393310:JFJ393310 IVC393310:IVN393310 ILG393310:ILR393310 IBK393310:IBV393310 HRO393310:HRZ393310 HHS393310:HID393310 GXW393310:GYH393310 GOA393310:GOL393310 GEE393310:GEP393310 FUI393310:FUT393310 FKM393310:FKX393310 FAQ393310:FBB393310 EQU393310:ERF393310 EGY393310:EHJ393310 DXC393310:DXN393310 DNG393310:DNR393310 DDK393310:DDV393310 CTO393310:CTZ393310 CJS393310:CKD393310 BZW393310:CAH393310 BQA393310:BQL393310 BGE393310:BGP393310 AWI393310:AWT393310 AMM393310:AMX393310 ACQ393310:ADB393310 SU393310:TF393310 IY393310:JJ393310 C393310:N393310 WVK327774:WVV327774 WLO327774:WLZ327774 WBS327774:WCD327774 VRW327774:VSH327774 VIA327774:VIL327774 UYE327774:UYP327774 UOI327774:UOT327774 UEM327774:UEX327774 TUQ327774:TVB327774 TKU327774:TLF327774 TAY327774:TBJ327774 SRC327774:SRN327774 SHG327774:SHR327774 RXK327774:RXV327774 RNO327774:RNZ327774 RDS327774:RED327774 QTW327774:QUH327774 QKA327774:QKL327774 QAE327774:QAP327774 PQI327774:PQT327774 PGM327774:PGX327774 OWQ327774:OXB327774 OMU327774:ONF327774 OCY327774:ODJ327774 NTC327774:NTN327774 NJG327774:NJR327774 MZK327774:MZV327774 MPO327774:MPZ327774 MFS327774:MGD327774 LVW327774:LWH327774 LMA327774:LML327774 LCE327774:LCP327774 KSI327774:KST327774 KIM327774:KIX327774 JYQ327774:JZB327774 JOU327774:JPF327774 JEY327774:JFJ327774 IVC327774:IVN327774 ILG327774:ILR327774 IBK327774:IBV327774 HRO327774:HRZ327774 HHS327774:HID327774 GXW327774:GYH327774 GOA327774:GOL327774 GEE327774:GEP327774 FUI327774:FUT327774 FKM327774:FKX327774 FAQ327774:FBB327774 EQU327774:ERF327774 EGY327774:EHJ327774 DXC327774:DXN327774 DNG327774:DNR327774 DDK327774:DDV327774 CTO327774:CTZ327774 CJS327774:CKD327774 BZW327774:CAH327774 BQA327774:BQL327774 BGE327774:BGP327774 AWI327774:AWT327774 AMM327774:AMX327774 ACQ327774:ADB327774 SU327774:TF327774 IY327774:JJ327774 C327774:N327774 WVK262238:WVV262238 WLO262238:WLZ262238 WBS262238:WCD262238 VRW262238:VSH262238 VIA262238:VIL262238 UYE262238:UYP262238 UOI262238:UOT262238 UEM262238:UEX262238 TUQ262238:TVB262238 TKU262238:TLF262238 TAY262238:TBJ262238 SRC262238:SRN262238 SHG262238:SHR262238 RXK262238:RXV262238 RNO262238:RNZ262238 RDS262238:RED262238 QTW262238:QUH262238 QKA262238:QKL262238 QAE262238:QAP262238 PQI262238:PQT262238 PGM262238:PGX262238 OWQ262238:OXB262238 OMU262238:ONF262238 OCY262238:ODJ262238 NTC262238:NTN262238 NJG262238:NJR262238 MZK262238:MZV262238 MPO262238:MPZ262238 MFS262238:MGD262238 LVW262238:LWH262238 LMA262238:LML262238 LCE262238:LCP262238 KSI262238:KST262238 KIM262238:KIX262238 JYQ262238:JZB262238 JOU262238:JPF262238 JEY262238:JFJ262238 IVC262238:IVN262238 ILG262238:ILR262238 IBK262238:IBV262238 HRO262238:HRZ262238 HHS262238:HID262238 GXW262238:GYH262238 GOA262238:GOL262238 GEE262238:GEP262238 FUI262238:FUT262238 FKM262238:FKX262238 FAQ262238:FBB262238 EQU262238:ERF262238 EGY262238:EHJ262238 DXC262238:DXN262238 DNG262238:DNR262238 DDK262238:DDV262238 CTO262238:CTZ262238 CJS262238:CKD262238 BZW262238:CAH262238 BQA262238:BQL262238 BGE262238:BGP262238 AWI262238:AWT262238 AMM262238:AMX262238 ACQ262238:ADB262238 SU262238:TF262238 IY262238:JJ262238 C262238:N262238 WVK196702:WVV196702 WLO196702:WLZ196702 WBS196702:WCD196702 VRW196702:VSH196702 VIA196702:VIL196702 UYE196702:UYP196702 UOI196702:UOT196702 UEM196702:UEX196702 TUQ196702:TVB196702 TKU196702:TLF196702 TAY196702:TBJ196702 SRC196702:SRN196702 SHG196702:SHR196702 RXK196702:RXV196702 RNO196702:RNZ196702 RDS196702:RED196702 QTW196702:QUH196702 QKA196702:QKL196702 QAE196702:QAP196702 PQI196702:PQT196702 PGM196702:PGX196702 OWQ196702:OXB196702 OMU196702:ONF196702 OCY196702:ODJ196702 NTC196702:NTN196702 NJG196702:NJR196702 MZK196702:MZV196702 MPO196702:MPZ196702 MFS196702:MGD196702 LVW196702:LWH196702 LMA196702:LML196702 LCE196702:LCP196702 KSI196702:KST196702 KIM196702:KIX196702 JYQ196702:JZB196702 JOU196702:JPF196702 JEY196702:JFJ196702 IVC196702:IVN196702 ILG196702:ILR196702 IBK196702:IBV196702 HRO196702:HRZ196702 HHS196702:HID196702 GXW196702:GYH196702 GOA196702:GOL196702 GEE196702:GEP196702 FUI196702:FUT196702 FKM196702:FKX196702 FAQ196702:FBB196702 EQU196702:ERF196702 EGY196702:EHJ196702 DXC196702:DXN196702 DNG196702:DNR196702 DDK196702:DDV196702 CTO196702:CTZ196702 CJS196702:CKD196702 BZW196702:CAH196702 BQA196702:BQL196702 BGE196702:BGP196702 AWI196702:AWT196702 AMM196702:AMX196702 ACQ196702:ADB196702 SU196702:TF196702 IY196702:JJ196702 C196702:N196702 WVK131166:WVV131166 WLO131166:WLZ131166 WBS131166:WCD131166 VRW131166:VSH131166 VIA131166:VIL131166 UYE131166:UYP131166 UOI131166:UOT131166 UEM131166:UEX131166 TUQ131166:TVB131166 TKU131166:TLF131166 TAY131166:TBJ131166 SRC131166:SRN131166 SHG131166:SHR131166 RXK131166:RXV131166 RNO131166:RNZ131166 RDS131166:RED131166 QTW131166:QUH131166 QKA131166:QKL131166 QAE131166:QAP131166 PQI131166:PQT131166 PGM131166:PGX131166 OWQ131166:OXB131166 OMU131166:ONF131166 OCY131166:ODJ131166 NTC131166:NTN131166 NJG131166:NJR131166 MZK131166:MZV131166 MPO131166:MPZ131166 MFS131166:MGD131166 LVW131166:LWH131166 LMA131166:LML131166 LCE131166:LCP131166 KSI131166:KST131166 KIM131166:KIX131166 JYQ131166:JZB131166 JOU131166:JPF131166 JEY131166:JFJ131166 IVC131166:IVN131166 ILG131166:ILR131166 IBK131166:IBV131166 HRO131166:HRZ131166 HHS131166:HID131166 GXW131166:GYH131166 GOA131166:GOL131166 GEE131166:GEP131166 FUI131166:FUT131166 FKM131166:FKX131166 FAQ131166:FBB131166 EQU131166:ERF131166 EGY131166:EHJ131166 DXC131166:DXN131166 DNG131166:DNR131166 DDK131166:DDV131166 CTO131166:CTZ131166 CJS131166:CKD131166 BZW131166:CAH131166 BQA131166:BQL131166 BGE131166:BGP131166 AWI131166:AWT131166 AMM131166:AMX131166 ACQ131166:ADB131166 SU131166:TF131166 IY131166:JJ131166 C131166:N131166 WVK65630:WVV65630 WLO65630:WLZ65630 WBS65630:WCD65630 VRW65630:VSH65630 VIA65630:VIL65630 UYE65630:UYP65630 UOI65630:UOT65630 UEM65630:UEX65630 TUQ65630:TVB65630 TKU65630:TLF65630 TAY65630:TBJ65630 SRC65630:SRN65630 SHG65630:SHR65630 RXK65630:RXV65630 RNO65630:RNZ65630 RDS65630:RED65630 QTW65630:QUH65630 QKA65630:QKL65630 QAE65630:QAP65630 PQI65630:PQT65630 PGM65630:PGX65630 OWQ65630:OXB65630 OMU65630:ONF65630 OCY65630:ODJ65630 NTC65630:NTN65630 NJG65630:NJR65630 MZK65630:MZV65630 MPO65630:MPZ65630 MFS65630:MGD65630 LVW65630:LWH65630 LMA65630:LML65630 LCE65630:LCP65630 KSI65630:KST65630 KIM65630:KIX65630 JYQ65630:JZB65630 JOU65630:JPF65630 JEY65630:JFJ65630 IVC65630:IVN65630 ILG65630:ILR65630 IBK65630:IBV65630 HRO65630:HRZ65630 HHS65630:HID65630 GXW65630:GYH65630 GOA65630:GOL65630 GEE65630:GEP65630 FUI65630:FUT65630 FKM65630:FKX65630 FAQ65630:FBB65630 EQU65630:ERF65630 EGY65630:EHJ65630 DXC65630:DXN65630 DNG65630:DNR65630 DDK65630:DDV65630 CTO65630:CTZ65630 CJS65630:CKD65630 BZW65630:CAH65630 BQA65630:BQL65630 BGE65630:BGP65630 AWI65630:AWT65630 AMM65630:AMX65630 ACQ65630:ADB65630 SU65630:TF65630 IY65630:JJ65630 C65630:N65630 WVK176:WVV176 WLO176:WLZ176 WBS176:WCD176 VRW176:VSH176 VIA176:VIL176 UYE176:UYP176 UOI176:UOT176 UEM176:UEX176 TUQ176:TVB176 TKU176:TLF176 TAY176:TBJ176 SRC176:SRN176 SHG176:SHR176 RXK176:RXV176 RNO176:RNZ176 RDS176:RED176 QTW176:QUH176 QKA176:QKL176 QAE176:QAP176 PQI176:PQT176 PGM176:PGX176 OWQ176:OXB176 OMU176:ONF176 OCY176:ODJ176 NTC176:NTN176 NJG176:NJR176 MZK176:MZV176 MPO176:MPZ176 MFS176:MGD176 LVW176:LWH176 LMA176:LML176 LCE176:LCP176 KSI176:KST176 KIM176:KIX176 JYQ176:JZB176 JOU176:JPF176 JEY176:JFJ176 IVC176:IVN176 ILG176:ILR176 IBK176:IBV176 HRO176:HRZ176 HHS176:HID176 GXW176:GYH176 GOA176:GOL176 GEE176:GEP176 FUI176:FUT176 FKM176:FKX176 FAQ176:FBB176 EQU176:ERF176 EGY176:EHJ176 DXC176:DXN176 DNG176:DNR176 DDK176:DDV176 CTO176:CTZ176 CJS176:CKD176 BZW176:CAH176 BQA176:BQL176 BGE176:BGP176 AWI176:AWT176 AMM176:AMX176 ACQ176:ADB176 SU176:TF176 IY176:JJ176 ACQ206:ADB206 WVK983119:WVV983119 WLO983119:WLZ983119 WBS983119:WCD983119 VRW983119:VSH983119 VIA983119:VIL983119 UYE983119:UYP983119 UOI983119:UOT983119 UEM983119:UEX983119 TUQ983119:TVB983119 TKU983119:TLF983119 TAY983119:TBJ983119 SRC983119:SRN983119 SHG983119:SHR983119 RXK983119:RXV983119 RNO983119:RNZ983119 RDS983119:RED983119 QTW983119:QUH983119 QKA983119:QKL983119 QAE983119:QAP983119 PQI983119:PQT983119 PGM983119:PGX983119 OWQ983119:OXB983119 OMU983119:ONF983119 OCY983119:ODJ983119 NTC983119:NTN983119 NJG983119:NJR983119 MZK983119:MZV983119 MPO983119:MPZ983119 MFS983119:MGD983119 LVW983119:LWH983119 LMA983119:LML983119 LCE983119:LCP983119 KSI983119:KST983119 KIM983119:KIX983119 JYQ983119:JZB983119 JOU983119:JPF983119 JEY983119:JFJ983119 IVC983119:IVN983119 ILG983119:ILR983119 IBK983119:IBV983119 HRO983119:HRZ983119 HHS983119:HID983119 GXW983119:GYH983119 GOA983119:GOL983119 GEE983119:GEP983119 FUI983119:FUT983119 FKM983119:FKX983119 FAQ983119:FBB983119 EQU983119:ERF983119 EGY983119:EHJ983119 DXC983119:DXN983119 DNG983119:DNR983119 DDK983119:DDV983119 CTO983119:CTZ983119 CJS983119:CKD983119 BZW983119:CAH983119 BQA983119:BQL983119 BGE983119:BGP983119 AWI983119:AWT983119 AMM983119:AMX983119 ACQ983119:ADB983119 SU983119:TF983119 IY983119:JJ983119 C983119:N983119 WVK917583:WVV917583 WLO917583:WLZ917583 WBS917583:WCD917583 VRW917583:VSH917583 VIA917583:VIL917583 UYE917583:UYP917583 UOI917583:UOT917583 UEM917583:UEX917583 TUQ917583:TVB917583 TKU917583:TLF917583 TAY917583:TBJ917583 SRC917583:SRN917583 SHG917583:SHR917583 RXK917583:RXV917583 RNO917583:RNZ917583 RDS917583:RED917583 QTW917583:QUH917583 QKA917583:QKL917583 QAE917583:QAP917583 PQI917583:PQT917583 PGM917583:PGX917583 OWQ917583:OXB917583 OMU917583:ONF917583 OCY917583:ODJ917583 NTC917583:NTN917583 NJG917583:NJR917583 MZK917583:MZV917583 MPO917583:MPZ917583 MFS917583:MGD917583 LVW917583:LWH917583 LMA917583:LML917583 LCE917583:LCP917583 KSI917583:KST917583 KIM917583:KIX917583 JYQ917583:JZB917583 JOU917583:JPF917583 JEY917583:JFJ917583 IVC917583:IVN917583 ILG917583:ILR917583 IBK917583:IBV917583 HRO917583:HRZ917583 HHS917583:HID917583 GXW917583:GYH917583 GOA917583:GOL917583 GEE917583:GEP917583 FUI917583:FUT917583 FKM917583:FKX917583 FAQ917583:FBB917583 EQU917583:ERF917583 EGY917583:EHJ917583 DXC917583:DXN917583 DNG917583:DNR917583 DDK917583:DDV917583 CTO917583:CTZ917583 CJS917583:CKD917583 BZW917583:CAH917583 BQA917583:BQL917583 BGE917583:BGP917583 AWI917583:AWT917583 AMM917583:AMX917583 ACQ917583:ADB917583 SU917583:TF917583 IY917583:JJ917583 C917583:N917583 WVK852047:WVV852047 WLO852047:WLZ852047 WBS852047:WCD852047 VRW852047:VSH852047 VIA852047:VIL852047 UYE852047:UYP852047 UOI852047:UOT852047 UEM852047:UEX852047 TUQ852047:TVB852047 TKU852047:TLF852047 TAY852047:TBJ852047 SRC852047:SRN852047 SHG852047:SHR852047 RXK852047:RXV852047 RNO852047:RNZ852047 RDS852047:RED852047 QTW852047:QUH852047 QKA852047:QKL852047 QAE852047:QAP852047 PQI852047:PQT852047 PGM852047:PGX852047 OWQ852047:OXB852047 OMU852047:ONF852047 OCY852047:ODJ852047 NTC852047:NTN852047 NJG852047:NJR852047 MZK852047:MZV852047 MPO852047:MPZ852047 MFS852047:MGD852047 LVW852047:LWH852047 LMA852047:LML852047 LCE852047:LCP852047 KSI852047:KST852047 KIM852047:KIX852047 JYQ852047:JZB852047 JOU852047:JPF852047 JEY852047:JFJ852047 IVC852047:IVN852047 ILG852047:ILR852047 IBK852047:IBV852047 HRO852047:HRZ852047 HHS852047:HID852047 GXW852047:GYH852047 GOA852047:GOL852047 GEE852047:GEP852047 FUI852047:FUT852047 FKM852047:FKX852047 FAQ852047:FBB852047 EQU852047:ERF852047 EGY852047:EHJ852047 DXC852047:DXN852047 DNG852047:DNR852047 DDK852047:DDV852047 CTO852047:CTZ852047 CJS852047:CKD852047 BZW852047:CAH852047 BQA852047:BQL852047 BGE852047:BGP852047 AWI852047:AWT852047 AMM852047:AMX852047 ACQ852047:ADB852047 SU852047:TF852047 IY852047:JJ852047 C852047:N852047 WVK786511:WVV786511 WLO786511:WLZ786511 WBS786511:WCD786511 VRW786511:VSH786511 VIA786511:VIL786511 UYE786511:UYP786511 UOI786511:UOT786511 UEM786511:UEX786511 TUQ786511:TVB786511 TKU786511:TLF786511 TAY786511:TBJ786511 SRC786511:SRN786511 SHG786511:SHR786511 RXK786511:RXV786511 RNO786511:RNZ786511 RDS786511:RED786511 QTW786511:QUH786511 QKA786511:QKL786511 QAE786511:QAP786511 PQI786511:PQT786511 PGM786511:PGX786511 OWQ786511:OXB786511 OMU786511:ONF786511 OCY786511:ODJ786511 NTC786511:NTN786511 NJG786511:NJR786511 MZK786511:MZV786511 MPO786511:MPZ786511 MFS786511:MGD786511 LVW786511:LWH786511 LMA786511:LML786511 LCE786511:LCP786511 KSI786511:KST786511 KIM786511:KIX786511 JYQ786511:JZB786511 JOU786511:JPF786511 JEY786511:JFJ786511 IVC786511:IVN786511 ILG786511:ILR786511 IBK786511:IBV786511 HRO786511:HRZ786511 HHS786511:HID786511 GXW786511:GYH786511 GOA786511:GOL786511 GEE786511:GEP786511 FUI786511:FUT786511 FKM786511:FKX786511 FAQ786511:FBB786511 EQU786511:ERF786511 EGY786511:EHJ786511 DXC786511:DXN786511 DNG786511:DNR786511 DDK786511:DDV786511 CTO786511:CTZ786511 CJS786511:CKD786511 BZW786511:CAH786511 BQA786511:BQL786511 BGE786511:BGP786511 AWI786511:AWT786511 AMM786511:AMX786511 ACQ786511:ADB786511 SU786511:TF786511 IY786511:JJ786511 C786511:N786511 WVK720975:WVV720975 WLO720975:WLZ720975 WBS720975:WCD720975 VRW720975:VSH720975 VIA720975:VIL720975 UYE720975:UYP720975 UOI720975:UOT720975 UEM720975:UEX720975 TUQ720975:TVB720975 TKU720975:TLF720975 TAY720975:TBJ720975 SRC720975:SRN720975 SHG720975:SHR720975 RXK720975:RXV720975 RNO720975:RNZ720975 RDS720975:RED720975 QTW720975:QUH720975 QKA720975:QKL720975 QAE720975:QAP720975 PQI720975:PQT720975 PGM720975:PGX720975 OWQ720975:OXB720975 OMU720975:ONF720975 OCY720975:ODJ720975 NTC720975:NTN720975 NJG720975:NJR720975 MZK720975:MZV720975 MPO720975:MPZ720975 MFS720975:MGD720975 LVW720975:LWH720975 LMA720975:LML720975 LCE720975:LCP720975 KSI720975:KST720975 KIM720975:KIX720975 JYQ720975:JZB720975 JOU720975:JPF720975 JEY720975:JFJ720975 IVC720975:IVN720975 ILG720975:ILR720975 IBK720975:IBV720975 HRO720975:HRZ720975 HHS720975:HID720975 GXW720975:GYH720975 GOA720975:GOL720975 GEE720975:GEP720975 FUI720975:FUT720975 FKM720975:FKX720975 FAQ720975:FBB720975 EQU720975:ERF720975 EGY720975:EHJ720975 DXC720975:DXN720975 DNG720975:DNR720975 DDK720975:DDV720975 CTO720975:CTZ720975 CJS720975:CKD720975 BZW720975:CAH720975 BQA720975:BQL720975 BGE720975:BGP720975 AWI720975:AWT720975 AMM720975:AMX720975 ACQ720975:ADB720975 SU720975:TF720975 IY720975:JJ720975 C720975:N720975 WVK655439:WVV655439 WLO655439:WLZ655439 WBS655439:WCD655439 VRW655439:VSH655439 VIA655439:VIL655439 UYE655439:UYP655439 UOI655439:UOT655439 UEM655439:UEX655439 TUQ655439:TVB655439 TKU655439:TLF655439 TAY655439:TBJ655439 SRC655439:SRN655439 SHG655439:SHR655439 RXK655439:RXV655439 RNO655439:RNZ655439 RDS655439:RED655439 QTW655439:QUH655439 QKA655439:QKL655439 QAE655439:QAP655439 PQI655439:PQT655439 PGM655439:PGX655439 OWQ655439:OXB655439 OMU655439:ONF655439 OCY655439:ODJ655439 NTC655439:NTN655439 NJG655439:NJR655439 MZK655439:MZV655439 MPO655439:MPZ655439 MFS655439:MGD655439 LVW655439:LWH655439 LMA655439:LML655439 LCE655439:LCP655439 KSI655439:KST655439 KIM655439:KIX655439 JYQ655439:JZB655439 JOU655439:JPF655439 JEY655439:JFJ655439 IVC655439:IVN655439 ILG655439:ILR655439 IBK655439:IBV655439 HRO655439:HRZ655439 HHS655439:HID655439 GXW655439:GYH655439 GOA655439:GOL655439 GEE655439:GEP655439 FUI655439:FUT655439 FKM655439:FKX655439 FAQ655439:FBB655439 EQU655439:ERF655439 EGY655439:EHJ655439 DXC655439:DXN655439 DNG655439:DNR655439 DDK655439:DDV655439 CTO655439:CTZ655439 CJS655439:CKD655439 BZW655439:CAH655439 BQA655439:BQL655439 BGE655439:BGP655439 AWI655439:AWT655439 AMM655439:AMX655439 ACQ655439:ADB655439 SU655439:TF655439 IY655439:JJ655439 C655439:N655439 WVK589903:WVV589903 WLO589903:WLZ589903 WBS589903:WCD589903 VRW589903:VSH589903 VIA589903:VIL589903 UYE589903:UYP589903 UOI589903:UOT589903 UEM589903:UEX589903 TUQ589903:TVB589903 TKU589903:TLF589903 TAY589903:TBJ589903 SRC589903:SRN589903 SHG589903:SHR589903 RXK589903:RXV589903 RNO589903:RNZ589903 RDS589903:RED589903 QTW589903:QUH589903 QKA589903:QKL589903 QAE589903:QAP589903 PQI589903:PQT589903 PGM589903:PGX589903 OWQ589903:OXB589903 OMU589903:ONF589903 OCY589903:ODJ589903 NTC589903:NTN589903 NJG589903:NJR589903 MZK589903:MZV589903 MPO589903:MPZ589903 MFS589903:MGD589903 LVW589903:LWH589903 LMA589903:LML589903 LCE589903:LCP589903 KSI589903:KST589903 KIM589903:KIX589903 JYQ589903:JZB589903 JOU589903:JPF589903 JEY589903:JFJ589903 IVC589903:IVN589903 ILG589903:ILR589903 IBK589903:IBV589903 HRO589903:HRZ589903 HHS589903:HID589903 GXW589903:GYH589903 GOA589903:GOL589903 GEE589903:GEP589903 FUI589903:FUT589903 FKM589903:FKX589903 FAQ589903:FBB589903 EQU589903:ERF589903 EGY589903:EHJ589903 DXC589903:DXN589903 DNG589903:DNR589903 DDK589903:DDV589903 CTO589903:CTZ589903 CJS589903:CKD589903 BZW589903:CAH589903 BQA589903:BQL589903 BGE589903:BGP589903 AWI589903:AWT589903 AMM589903:AMX589903 ACQ589903:ADB589903 SU589903:TF589903 IY589903:JJ589903 C589903:N589903 WVK524367:WVV524367 WLO524367:WLZ524367 WBS524367:WCD524367 VRW524367:VSH524367 VIA524367:VIL524367 UYE524367:UYP524367 UOI524367:UOT524367 UEM524367:UEX524367 TUQ524367:TVB524367 TKU524367:TLF524367 TAY524367:TBJ524367 SRC524367:SRN524367 SHG524367:SHR524367 RXK524367:RXV524367 RNO524367:RNZ524367 RDS524367:RED524367 QTW524367:QUH524367 QKA524367:QKL524367 QAE524367:QAP524367 PQI524367:PQT524367 PGM524367:PGX524367 OWQ524367:OXB524367 OMU524367:ONF524367 OCY524367:ODJ524367 NTC524367:NTN524367 NJG524367:NJR524367 MZK524367:MZV524367 MPO524367:MPZ524367 MFS524367:MGD524367 LVW524367:LWH524367 LMA524367:LML524367 LCE524367:LCP524367 KSI524367:KST524367 KIM524367:KIX524367 JYQ524367:JZB524367 JOU524367:JPF524367 JEY524367:JFJ524367 IVC524367:IVN524367 ILG524367:ILR524367 IBK524367:IBV524367 HRO524367:HRZ524367 HHS524367:HID524367 GXW524367:GYH524367 GOA524367:GOL524367 GEE524367:GEP524367 FUI524367:FUT524367 FKM524367:FKX524367 FAQ524367:FBB524367 EQU524367:ERF524367 EGY524367:EHJ524367 DXC524367:DXN524367 DNG524367:DNR524367 DDK524367:DDV524367 CTO524367:CTZ524367 CJS524367:CKD524367 BZW524367:CAH524367 BQA524367:BQL524367 BGE524367:BGP524367 AWI524367:AWT524367 AMM524367:AMX524367 ACQ524367:ADB524367 SU524367:TF524367 IY524367:JJ524367 C524367:N524367 WVK458831:WVV458831 WLO458831:WLZ458831 WBS458831:WCD458831 VRW458831:VSH458831 VIA458831:VIL458831 UYE458831:UYP458831 UOI458831:UOT458831 UEM458831:UEX458831 TUQ458831:TVB458831 TKU458831:TLF458831 TAY458831:TBJ458831 SRC458831:SRN458831 SHG458831:SHR458831 RXK458831:RXV458831 RNO458831:RNZ458831 RDS458831:RED458831 QTW458831:QUH458831 QKA458831:QKL458831 QAE458831:QAP458831 PQI458831:PQT458831 PGM458831:PGX458831 OWQ458831:OXB458831 OMU458831:ONF458831 OCY458831:ODJ458831 NTC458831:NTN458831 NJG458831:NJR458831 MZK458831:MZV458831 MPO458831:MPZ458831 MFS458831:MGD458831 LVW458831:LWH458831 LMA458831:LML458831 LCE458831:LCP458831 KSI458831:KST458831 KIM458831:KIX458831 JYQ458831:JZB458831 JOU458831:JPF458831 JEY458831:JFJ458831 IVC458831:IVN458831 ILG458831:ILR458831 IBK458831:IBV458831 HRO458831:HRZ458831 HHS458831:HID458831 GXW458831:GYH458831 GOA458831:GOL458831 GEE458831:GEP458831 FUI458831:FUT458831 FKM458831:FKX458831 FAQ458831:FBB458831 EQU458831:ERF458831 EGY458831:EHJ458831 DXC458831:DXN458831 DNG458831:DNR458831 DDK458831:DDV458831 CTO458831:CTZ458831 CJS458831:CKD458831 BZW458831:CAH458831 BQA458831:BQL458831 BGE458831:BGP458831 AWI458831:AWT458831 AMM458831:AMX458831 ACQ458831:ADB458831 SU458831:TF458831 IY458831:JJ458831 C458831:N458831 WVK393295:WVV393295 WLO393295:WLZ393295 WBS393295:WCD393295 VRW393295:VSH393295 VIA393295:VIL393295 UYE393295:UYP393295 UOI393295:UOT393295 UEM393295:UEX393295 TUQ393295:TVB393295 TKU393295:TLF393295 TAY393295:TBJ393295 SRC393295:SRN393295 SHG393295:SHR393295 RXK393295:RXV393295 RNO393295:RNZ393295 RDS393295:RED393295 QTW393295:QUH393295 QKA393295:QKL393295 QAE393295:QAP393295 PQI393295:PQT393295 PGM393295:PGX393295 OWQ393295:OXB393295 OMU393295:ONF393295 OCY393295:ODJ393295 NTC393295:NTN393295 NJG393295:NJR393295 MZK393295:MZV393295 MPO393295:MPZ393295 MFS393295:MGD393295 LVW393295:LWH393295 LMA393295:LML393295 LCE393295:LCP393295 KSI393295:KST393295 KIM393295:KIX393295 JYQ393295:JZB393295 JOU393295:JPF393295 JEY393295:JFJ393295 IVC393295:IVN393295 ILG393295:ILR393295 IBK393295:IBV393295 HRO393295:HRZ393295 HHS393295:HID393295 GXW393295:GYH393295 GOA393295:GOL393295 GEE393295:GEP393295 FUI393295:FUT393295 FKM393295:FKX393295 FAQ393295:FBB393295 EQU393295:ERF393295 EGY393295:EHJ393295 DXC393295:DXN393295 DNG393295:DNR393295 DDK393295:DDV393295 CTO393295:CTZ393295 CJS393295:CKD393295 BZW393295:CAH393295 BQA393295:BQL393295 BGE393295:BGP393295 AWI393295:AWT393295 AMM393295:AMX393295 ACQ393295:ADB393295 SU393295:TF393295 IY393295:JJ393295 C393295:N393295 WVK327759:WVV327759 WLO327759:WLZ327759 WBS327759:WCD327759 VRW327759:VSH327759 VIA327759:VIL327759 UYE327759:UYP327759 UOI327759:UOT327759 UEM327759:UEX327759 TUQ327759:TVB327759 TKU327759:TLF327759 TAY327759:TBJ327759 SRC327759:SRN327759 SHG327759:SHR327759 RXK327759:RXV327759 RNO327759:RNZ327759 RDS327759:RED327759 QTW327759:QUH327759 QKA327759:QKL327759 QAE327759:QAP327759 PQI327759:PQT327759 PGM327759:PGX327759 OWQ327759:OXB327759 OMU327759:ONF327759 OCY327759:ODJ327759 NTC327759:NTN327759 NJG327759:NJR327759 MZK327759:MZV327759 MPO327759:MPZ327759 MFS327759:MGD327759 LVW327759:LWH327759 LMA327759:LML327759 LCE327759:LCP327759 KSI327759:KST327759 KIM327759:KIX327759 JYQ327759:JZB327759 JOU327759:JPF327759 JEY327759:JFJ327759 IVC327759:IVN327759 ILG327759:ILR327759 IBK327759:IBV327759 HRO327759:HRZ327759 HHS327759:HID327759 GXW327759:GYH327759 GOA327759:GOL327759 GEE327759:GEP327759 FUI327759:FUT327759 FKM327759:FKX327759 FAQ327759:FBB327759 EQU327759:ERF327759 EGY327759:EHJ327759 DXC327759:DXN327759 DNG327759:DNR327759 DDK327759:DDV327759 CTO327759:CTZ327759 CJS327759:CKD327759 BZW327759:CAH327759 BQA327759:BQL327759 BGE327759:BGP327759 AWI327759:AWT327759 AMM327759:AMX327759 ACQ327759:ADB327759 SU327759:TF327759 IY327759:JJ327759 C327759:N327759 WVK262223:WVV262223 WLO262223:WLZ262223 WBS262223:WCD262223 VRW262223:VSH262223 VIA262223:VIL262223 UYE262223:UYP262223 UOI262223:UOT262223 UEM262223:UEX262223 TUQ262223:TVB262223 TKU262223:TLF262223 TAY262223:TBJ262223 SRC262223:SRN262223 SHG262223:SHR262223 RXK262223:RXV262223 RNO262223:RNZ262223 RDS262223:RED262223 QTW262223:QUH262223 QKA262223:QKL262223 QAE262223:QAP262223 PQI262223:PQT262223 PGM262223:PGX262223 OWQ262223:OXB262223 OMU262223:ONF262223 OCY262223:ODJ262223 NTC262223:NTN262223 NJG262223:NJR262223 MZK262223:MZV262223 MPO262223:MPZ262223 MFS262223:MGD262223 LVW262223:LWH262223 LMA262223:LML262223 LCE262223:LCP262223 KSI262223:KST262223 KIM262223:KIX262223 JYQ262223:JZB262223 JOU262223:JPF262223 JEY262223:JFJ262223 IVC262223:IVN262223 ILG262223:ILR262223 IBK262223:IBV262223 HRO262223:HRZ262223 HHS262223:HID262223 GXW262223:GYH262223 GOA262223:GOL262223 GEE262223:GEP262223 FUI262223:FUT262223 FKM262223:FKX262223 FAQ262223:FBB262223 EQU262223:ERF262223 EGY262223:EHJ262223 DXC262223:DXN262223 DNG262223:DNR262223 DDK262223:DDV262223 CTO262223:CTZ262223 CJS262223:CKD262223 BZW262223:CAH262223 BQA262223:BQL262223 BGE262223:BGP262223 AWI262223:AWT262223 AMM262223:AMX262223 ACQ262223:ADB262223 SU262223:TF262223 IY262223:JJ262223 C262223:N262223 WVK196687:WVV196687 WLO196687:WLZ196687 WBS196687:WCD196687 VRW196687:VSH196687 VIA196687:VIL196687 UYE196687:UYP196687 UOI196687:UOT196687 UEM196687:UEX196687 TUQ196687:TVB196687 TKU196687:TLF196687 TAY196687:TBJ196687 SRC196687:SRN196687 SHG196687:SHR196687 RXK196687:RXV196687 RNO196687:RNZ196687 RDS196687:RED196687 QTW196687:QUH196687 QKA196687:QKL196687 QAE196687:QAP196687 PQI196687:PQT196687 PGM196687:PGX196687 OWQ196687:OXB196687 OMU196687:ONF196687 OCY196687:ODJ196687 NTC196687:NTN196687 NJG196687:NJR196687 MZK196687:MZV196687 MPO196687:MPZ196687 MFS196687:MGD196687 LVW196687:LWH196687 LMA196687:LML196687 LCE196687:LCP196687 KSI196687:KST196687 KIM196687:KIX196687 JYQ196687:JZB196687 JOU196687:JPF196687 JEY196687:JFJ196687 IVC196687:IVN196687 ILG196687:ILR196687 IBK196687:IBV196687 HRO196687:HRZ196687 HHS196687:HID196687 GXW196687:GYH196687 GOA196687:GOL196687 GEE196687:GEP196687 FUI196687:FUT196687 FKM196687:FKX196687 FAQ196687:FBB196687 EQU196687:ERF196687 EGY196687:EHJ196687 DXC196687:DXN196687 DNG196687:DNR196687 DDK196687:DDV196687 CTO196687:CTZ196687 CJS196687:CKD196687 BZW196687:CAH196687 BQA196687:BQL196687 BGE196687:BGP196687 AWI196687:AWT196687 AMM196687:AMX196687 ACQ196687:ADB196687 SU196687:TF196687 IY196687:JJ196687 C196687:N196687 WVK131151:WVV131151 WLO131151:WLZ131151 WBS131151:WCD131151 VRW131151:VSH131151 VIA131151:VIL131151 UYE131151:UYP131151 UOI131151:UOT131151 UEM131151:UEX131151 TUQ131151:TVB131151 TKU131151:TLF131151 TAY131151:TBJ131151 SRC131151:SRN131151 SHG131151:SHR131151 RXK131151:RXV131151 RNO131151:RNZ131151 RDS131151:RED131151 QTW131151:QUH131151 QKA131151:QKL131151 QAE131151:QAP131151 PQI131151:PQT131151 PGM131151:PGX131151 OWQ131151:OXB131151 OMU131151:ONF131151 OCY131151:ODJ131151 NTC131151:NTN131151 NJG131151:NJR131151 MZK131151:MZV131151 MPO131151:MPZ131151 MFS131151:MGD131151 LVW131151:LWH131151 LMA131151:LML131151 LCE131151:LCP131151 KSI131151:KST131151 KIM131151:KIX131151 JYQ131151:JZB131151 JOU131151:JPF131151 JEY131151:JFJ131151 IVC131151:IVN131151 ILG131151:ILR131151 IBK131151:IBV131151 HRO131151:HRZ131151 HHS131151:HID131151 GXW131151:GYH131151 GOA131151:GOL131151 GEE131151:GEP131151 FUI131151:FUT131151 FKM131151:FKX131151 FAQ131151:FBB131151 EQU131151:ERF131151 EGY131151:EHJ131151 DXC131151:DXN131151 DNG131151:DNR131151 DDK131151:DDV131151 CTO131151:CTZ131151 CJS131151:CKD131151 BZW131151:CAH131151 BQA131151:BQL131151 BGE131151:BGP131151 AWI131151:AWT131151 AMM131151:AMX131151 ACQ131151:ADB131151 SU131151:TF131151 IY131151:JJ131151 C131151:N131151 WVK65615:WVV65615 WLO65615:WLZ65615 WBS65615:WCD65615 VRW65615:VSH65615 VIA65615:VIL65615 UYE65615:UYP65615 UOI65615:UOT65615 UEM65615:UEX65615 TUQ65615:TVB65615 TKU65615:TLF65615 TAY65615:TBJ65615 SRC65615:SRN65615 SHG65615:SHR65615 RXK65615:RXV65615 RNO65615:RNZ65615 RDS65615:RED65615 QTW65615:QUH65615 QKA65615:QKL65615 QAE65615:QAP65615 PQI65615:PQT65615 PGM65615:PGX65615 OWQ65615:OXB65615 OMU65615:ONF65615 OCY65615:ODJ65615 NTC65615:NTN65615 NJG65615:NJR65615 MZK65615:MZV65615 MPO65615:MPZ65615 MFS65615:MGD65615 LVW65615:LWH65615 LMA65615:LML65615 LCE65615:LCP65615 KSI65615:KST65615 KIM65615:KIX65615 JYQ65615:JZB65615 JOU65615:JPF65615 JEY65615:JFJ65615 IVC65615:IVN65615 ILG65615:ILR65615 IBK65615:IBV65615 HRO65615:HRZ65615 HHS65615:HID65615 GXW65615:GYH65615 GOA65615:GOL65615 GEE65615:GEP65615 FUI65615:FUT65615 FKM65615:FKX65615 FAQ65615:FBB65615 EQU65615:ERF65615 EGY65615:EHJ65615 DXC65615:DXN65615 DNG65615:DNR65615 DDK65615:DDV65615 CTO65615:CTZ65615 CJS65615:CKD65615 BZW65615:CAH65615 BQA65615:BQL65615 BGE65615:BGP65615 AWI65615:AWT65615 AMM65615:AMX65615 ACQ65615:ADB65615 SU65615:TF65615 IY65615:JJ65615 C65615:N65615 WVK161:WVV161 WLO161:WLZ161 WBS161:WCD161 VRW161:VSH161 VIA161:VIL161 UYE161:UYP161 UOI161:UOT161 UEM161:UEX161 TUQ161:TVB161 TKU161:TLF161 TAY161:TBJ161 SRC161:SRN161 SHG161:SHR161 RXK161:RXV161 RNO161:RNZ161 RDS161:RED161 QTW161:QUH161 QKA161:QKL161 QAE161:QAP161 PQI161:PQT161 PGM161:PGX161 OWQ161:OXB161 OMU161:ONF161 OCY161:ODJ161 NTC161:NTN161 NJG161:NJR161 MZK161:MZV161 MPO161:MPZ161 MFS161:MGD161 LVW161:LWH161 LMA161:LML161 LCE161:LCP161 KSI161:KST161 KIM161:KIX161 JYQ161:JZB161 JOU161:JPF161 JEY161:JFJ161 IVC161:IVN161 ILG161:ILR161 IBK161:IBV161 HRO161:HRZ161 HHS161:HID161 GXW161:GYH161 GOA161:GOL161 GEE161:GEP161 FUI161:FUT161 FKM161:FKX161 FAQ161:FBB161 EQU161:ERF161 EGY161:EHJ161 DXC161:DXN161 DNG161:DNR161 DDK161:DDV161 CTO161:CTZ161 CJS161:CKD161 BZW161:CAH161 BQA161:BQL161 BGE161:BGP161 AWI161:AWT161 AMM161:AMX161 ACQ161:ADB161 SU161:TF161 IY161:JJ161 SU206:TF206 WVK983269:WVV983269 WLO983269:WLZ983269 WBS983269:WCD983269 VRW983269:VSH983269 VIA983269:VIL983269 UYE983269:UYP983269 UOI983269:UOT983269 UEM983269:UEX983269 TUQ983269:TVB983269 TKU983269:TLF983269 TAY983269:TBJ983269 SRC983269:SRN983269 SHG983269:SHR983269 RXK983269:RXV983269 RNO983269:RNZ983269 RDS983269:RED983269 QTW983269:QUH983269 QKA983269:QKL983269 QAE983269:QAP983269 PQI983269:PQT983269 PGM983269:PGX983269 OWQ983269:OXB983269 OMU983269:ONF983269 OCY983269:ODJ983269 NTC983269:NTN983269 NJG983269:NJR983269 MZK983269:MZV983269 MPO983269:MPZ983269 MFS983269:MGD983269 LVW983269:LWH983269 LMA983269:LML983269 LCE983269:LCP983269 KSI983269:KST983269 KIM983269:KIX983269 JYQ983269:JZB983269 JOU983269:JPF983269 JEY983269:JFJ983269 IVC983269:IVN983269 ILG983269:ILR983269 IBK983269:IBV983269 HRO983269:HRZ983269 HHS983269:HID983269 GXW983269:GYH983269 GOA983269:GOL983269 GEE983269:GEP983269 FUI983269:FUT983269 FKM983269:FKX983269 FAQ983269:FBB983269 EQU983269:ERF983269 EGY983269:EHJ983269 DXC983269:DXN983269 DNG983269:DNR983269 DDK983269:DDV983269 CTO983269:CTZ983269 CJS983269:CKD983269 BZW983269:CAH983269 BQA983269:BQL983269 BGE983269:BGP983269 AWI983269:AWT983269 AMM983269:AMX983269 ACQ983269:ADB983269 SU983269:TF983269 IY983269:JJ983269 C983269:N983269 WVK917733:WVV917733 WLO917733:WLZ917733 WBS917733:WCD917733 VRW917733:VSH917733 VIA917733:VIL917733 UYE917733:UYP917733 UOI917733:UOT917733 UEM917733:UEX917733 TUQ917733:TVB917733 TKU917733:TLF917733 TAY917733:TBJ917733 SRC917733:SRN917733 SHG917733:SHR917733 RXK917733:RXV917733 RNO917733:RNZ917733 RDS917733:RED917733 QTW917733:QUH917733 QKA917733:QKL917733 QAE917733:QAP917733 PQI917733:PQT917733 PGM917733:PGX917733 OWQ917733:OXB917733 OMU917733:ONF917733 OCY917733:ODJ917733 NTC917733:NTN917733 NJG917733:NJR917733 MZK917733:MZV917733 MPO917733:MPZ917733 MFS917733:MGD917733 LVW917733:LWH917733 LMA917733:LML917733 LCE917733:LCP917733 KSI917733:KST917733 KIM917733:KIX917733 JYQ917733:JZB917733 JOU917733:JPF917733 JEY917733:JFJ917733 IVC917733:IVN917733 ILG917733:ILR917733 IBK917733:IBV917733 HRO917733:HRZ917733 HHS917733:HID917733 GXW917733:GYH917733 GOA917733:GOL917733 GEE917733:GEP917733 FUI917733:FUT917733 FKM917733:FKX917733 FAQ917733:FBB917733 EQU917733:ERF917733 EGY917733:EHJ917733 DXC917733:DXN917733 DNG917733:DNR917733 DDK917733:DDV917733 CTO917733:CTZ917733 CJS917733:CKD917733 BZW917733:CAH917733 BQA917733:BQL917733 BGE917733:BGP917733 AWI917733:AWT917733 AMM917733:AMX917733 ACQ917733:ADB917733 SU917733:TF917733 IY917733:JJ917733 C917733:N917733 WVK852197:WVV852197 WLO852197:WLZ852197 WBS852197:WCD852197 VRW852197:VSH852197 VIA852197:VIL852197 UYE852197:UYP852197 UOI852197:UOT852197 UEM852197:UEX852197 TUQ852197:TVB852197 TKU852197:TLF852197 TAY852197:TBJ852197 SRC852197:SRN852197 SHG852197:SHR852197 RXK852197:RXV852197 RNO852197:RNZ852197 RDS852197:RED852197 QTW852197:QUH852197 QKA852197:QKL852197 QAE852197:QAP852197 PQI852197:PQT852197 PGM852197:PGX852197 OWQ852197:OXB852197 OMU852197:ONF852197 OCY852197:ODJ852197 NTC852197:NTN852197 NJG852197:NJR852197 MZK852197:MZV852197 MPO852197:MPZ852197 MFS852197:MGD852197 LVW852197:LWH852197 LMA852197:LML852197 LCE852197:LCP852197 KSI852197:KST852197 KIM852197:KIX852197 JYQ852197:JZB852197 JOU852197:JPF852197 JEY852197:JFJ852197 IVC852197:IVN852197 ILG852197:ILR852197 IBK852197:IBV852197 HRO852197:HRZ852197 HHS852197:HID852197 GXW852197:GYH852197 GOA852197:GOL852197 GEE852197:GEP852197 FUI852197:FUT852197 FKM852197:FKX852197 FAQ852197:FBB852197 EQU852197:ERF852197 EGY852197:EHJ852197 DXC852197:DXN852197 DNG852197:DNR852197 DDK852197:DDV852197 CTO852197:CTZ852197 CJS852197:CKD852197 BZW852197:CAH852197 BQA852197:BQL852197 BGE852197:BGP852197 AWI852197:AWT852197 AMM852197:AMX852197 ACQ852197:ADB852197 SU852197:TF852197 IY852197:JJ852197 C852197:N852197 WVK786661:WVV786661 WLO786661:WLZ786661 WBS786661:WCD786661 VRW786661:VSH786661 VIA786661:VIL786661 UYE786661:UYP786661 UOI786661:UOT786661 UEM786661:UEX786661 TUQ786661:TVB786661 TKU786661:TLF786661 TAY786661:TBJ786661 SRC786661:SRN786661 SHG786661:SHR786661 RXK786661:RXV786661 RNO786661:RNZ786661 RDS786661:RED786661 QTW786661:QUH786661 QKA786661:QKL786661 QAE786661:QAP786661 PQI786661:PQT786661 PGM786661:PGX786661 OWQ786661:OXB786661 OMU786661:ONF786661 OCY786661:ODJ786661 NTC786661:NTN786661 NJG786661:NJR786661 MZK786661:MZV786661 MPO786661:MPZ786661 MFS786661:MGD786661 LVW786661:LWH786661 LMA786661:LML786661 LCE786661:LCP786661 KSI786661:KST786661 KIM786661:KIX786661 JYQ786661:JZB786661 JOU786661:JPF786661 JEY786661:JFJ786661 IVC786661:IVN786661 ILG786661:ILR786661 IBK786661:IBV786661 HRO786661:HRZ786661 HHS786661:HID786661 GXW786661:GYH786661 GOA786661:GOL786661 GEE786661:GEP786661 FUI786661:FUT786661 FKM786661:FKX786661 FAQ786661:FBB786661 EQU786661:ERF786661 EGY786661:EHJ786661 DXC786661:DXN786661 DNG786661:DNR786661 DDK786661:DDV786661 CTO786661:CTZ786661 CJS786661:CKD786661 BZW786661:CAH786661 BQA786661:BQL786661 BGE786661:BGP786661 AWI786661:AWT786661 AMM786661:AMX786661 ACQ786661:ADB786661 SU786661:TF786661 IY786661:JJ786661 C786661:N786661 WVK721125:WVV721125 WLO721125:WLZ721125 WBS721125:WCD721125 VRW721125:VSH721125 VIA721125:VIL721125 UYE721125:UYP721125 UOI721125:UOT721125 UEM721125:UEX721125 TUQ721125:TVB721125 TKU721125:TLF721125 TAY721125:TBJ721125 SRC721125:SRN721125 SHG721125:SHR721125 RXK721125:RXV721125 RNO721125:RNZ721125 RDS721125:RED721125 QTW721125:QUH721125 QKA721125:QKL721125 QAE721125:QAP721125 PQI721125:PQT721125 PGM721125:PGX721125 OWQ721125:OXB721125 OMU721125:ONF721125 OCY721125:ODJ721125 NTC721125:NTN721125 NJG721125:NJR721125 MZK721125:MZV721125 MPO721125:MPZ721125 MFS721125:MGD721125 LVW721125:LWH721125 LMA721125:LML721125 LCE721125:LCP721125 KSI721125:KST721125 KIM721125:KIX721125 JYQ721125:JZB721125 JOU721125:JPF721125 JEY721125:JFJ721125 IVC721125:IVN721125 ILG721125:ILR721125 IBK721125:IBV721125 HRO721125:HRZ721125 HHS721125:HID721125 GXW721125:GYH721125 GOA721125:GOL721125 GEE721125:GEP721125 FUI721125:FUT721125 FKM721125:FKX721125 FAQ721125:FBB721125 EQU721125:ERF721125 EGY721125:EHJ721125 DXC721125:DXN721125 DNG721125:DNR721125 DDK721125:DDV721125 CTO721125:CTZ721125 CJS721125:CKD721125 BZW721125:CAH721125 BQA721125:BQL721125 BGE721125:BGP721125 AWI721125:AWT721125 AMM721125:AMX721125 ACQ721125:ADB721125 SU721125:TF721125 IY721125:JJ721125 C721125:N721125 WVK655589:WVV655589 WLO655589:WLZ655589 WBS655589:WCD655589 VRW655589:VSH655589 VIA655589:VIL655589 UYE655589:UYP655589 UOI655589:UOT655589 UEM655589:UEX655589 TUQ655589:TVB655589 TKU655589:TLF655589 TAY655589:TBJ655589 SRC655589:SRN655589 SHG655589:SHR655589 RXK655589:RXV655589 RNO655589:RNZ655589 RDS655589:RED655589 QTW655589:QUH655589 QKA655589:QKL655589 QAE655589:QAP655589 PQI655589:PQT655589 PGM655589:PGX655589 OWQ655589:OXB655589 OMU655589:ONF655589 OCY655589:ODJ655589 NTC655589:NTN655589 NJG655589:NJR655589 MZK655589:MZV655589 MPO655589:MPZ655589 MFS655589:MGD655589 LVW655589:LWH655589 LMA655589:LML655589 LCE655589:LCP655589 KSI655589:KST655589 KIM655589:KIX655589 JYQ655589:JZB655589 JOU655589:JPF655589 JEY655589:JFJ655589 IVC655589:IVN655589 ILG655589:ILR655589 IBK655589:IBV655589 HRO655589:HRZ655589 HHS655589:HID655589 GXW655589:GYH655589 GOA655589:GOL655589 GEE655589:GEP655589 FUI655589:FUT655589 FKM655589:FKX655589 FAQ655589:FBB655589 EQU655589:ERF655589 EGY655589:EHJ655589 DXC655589:DXN655589 DNG655589:DNR655589 DDK655589:DDV655589 CTO655589:CTZ655589 CJS655589:CKD655589 BZW655589:CAH655589 BQA655589:BQL655589 BGE655589:BGP655589 AWI655589:AWT655589 AMM655589:AMX655589 ACQ655589:ADB655589 SU655589:TF655589 IY655589:JJ655589 C655589:N655589 WVK590053:WVV590053 WLO590053:WLZ590053 WBS590053:WCD590053 VRW590053:VSH590053 VIA590053:VIL590053 UYE590053:UYP590053 UOI590053:UOT590053 UEM590053:UEX590053 TUQ590053:TVB590053 TKU590053:TLF590053 TAY590053:TBJ590053 SRC590053:SRN590053 SHG590053:SHR590053 RXK590053:RXV590053 RNO590053:RNZ590053 RDS590053:RED590053 QTW590053:QUH590053 QKA590053:QKL590053 QAE590053:QAP590053 PQI590053:PQT590053 PGM590053:PGX590053 OWQ590053:OXB590053 OMU590053:ONF590053 OCY590053:ODJ590053 NTC590053:NTN590053 NJG590053:NJR590053 MZK590053:MZV590053 MPO590053:MPZ590053 MFS590053:MGD590053 LVW590053:LWH590053 LMA590053:LML590053 LCE590053:LCP590053 KSI590053:KST590053 KIM590053:KIX590053 JYQ590053:JZB590053 JOU590053:JPF590053 JEY590053:JFJ590053 IVC590053:IVN590053 ILG590053:ILR590053 IBK590053:IBV590053 HRO590053:HRZ590053 HHS590053:HID590053 GXW590053:GYH590053 GOA590053:GOL590053 GEE590053:GEP590053 FUI590053:FUT590053 FKM590053:FKX590053 FAQ590053:FBB590053 EQU590053:ERF590053 EGY590053:EHJ590053 DXC590053:DXN590053 DNG590053:DNR590053 DDK590053:DDV590053 CTO590053:CTZ590053 CJS590053:CKD590053 BZW590053:CAH590053 BQA590053:BQL590053 BGE590053:BGP590053 AWI590053:AWT590053 AMM590053:AMX590053 ACQ590053:ADB590053 SU590053:TF590053 IY590053:JJ590053 C590053:N590053 WVK524517:WVV524517 WLO524517:WLZ524517 WBS524517:WCD524517 VRW524517:VSH524517 VIA524517:VIL524517 UYE524517:UYP524517 UOI524517:UOT524517 UEM524517:UEX524517 TUQ524517:TVB524517 TKU524517:TLF524517 TAY524517:TBJ524517 SRC524517:SRN524517 SHG524517:SHR524517 RXK524517:RXV524517 RNO524517:RNZ524517 RDS524517:RED524517 QTW524517:QUH524517 QKA524517:QKL524517 QAE524517:QAP524517 PQI524517:PQT524517 PGM524517:PGX524517 OWQ524517:OXB524517 OMU524517:ONF524517 OCY524517:ODJ524517 NTC524517:NTN524517 NJG524517:NJR524517 MZK524517:MZV524517 MPO524517:MPZ524517 MFS524517:MGD524517 LVW524517:LWH524517 LMA524517:LML524517 LCE524517:LCP524517 KSI524517:KST524517 KIM524517:KIX524517 JYQ524517:JZB524517 JOU524517:JPF524517 JEY524517:JFJ524517 IVC524517:IVN524517 ILG524517:ILR524517 IBK524517:IBV524517 HRO524517:HRZ524517 HHS524517:HID524517 GXW524517:GYH524517 GOA524517:GOL524517 GEE524517:GEP524517 FUI524517:FUT524517 FKM524517:FKX524517 FAQ524517:FBB524517 EQU524517:ERF524517 EGY524517:EHJ524517 DXC524517:DXN524517 DNG524517:DNR524517 DDK524517:DDV524517 CTO524517:CTZ524517 CJS524517:CKD524517 BZW524517:CAH524517 BQA524517:BQL524517 BGE524517:BGP524517 AWI524517:AWT524517 AMM524517:AMX524517 ACQ524517:ADB524517 SU524517:TF524517 IY524517:JJ524517 C524517:N524517 WVK458981:WVV458981 WLO458981:WLZ458981 WBS458981:WCD458981 VRW458981:VSH458981 VIA458981:VIL458981 UYE458981:UYP458981 UOI458981:UOT458981 UEM458981:UEX458981 TUQ458981:TVB458981 TKU458981:TLF458981 TAY458981:TBJ458981 SRC458981:SRN458981 SHG458981:SHR458981 RXK458981:RXV458981 RNO458981:RNZ458981 RDS458981:RED458981 QTW458981:QUH458981 QKA458981:QKL458981 QAE458981:QAP458981 PQI458981:PQT458981 PGM458981:PGX458981 OWQ458981:OXB458981 OMU458981:ONF458981 OCY458981:ODJ458981 NTC458981:NTN458981 NJG458981:NJR458981 MZK458981:MZV458981 MPO458981:MPZ458981 MFS458981:MGD458981 LVW458981:LWH458981 LMA458981:LML458981 LCE458981:LCP458981 KSI458981:KST458981 KIM458981:KIX458981 JYQ458981:JZB458981 JOU458981:JPF458981 JEY458981:JFJ458981 IVC458981:IVN458981 ILG458981:ILR458981 IBK458981:IBV458981 HRO458981:HRZ458981 HHS458981:HID458981 GXW458981:GYH458981 GOA458981:GOL458981 GEE458981:GEP458981 FUI458981:FUT458981 FKM458981:FKX458981 FAQ458981:FBB458981 EQU458981:ERF458981 EGY458981:EHJ458981 DXC458981:DXN458981 DNG458981:DNR458981 DDK458981:DDV458981 CTO458981:CTZ458981 CJS458981:CKD458981 BZW458981:CAH458981 BQA458981:BQL458981 BGE458981:BGP458981 AWI458981:AWT458981 AMM458981:AMX458981 ACQ458981:ADB458981 SU458981:TF458981 IY458981:JJ458981 C458981:N458981 WVK393445:WVV393445 WLO393445:WLZ393445 WBS393445:WCD393445 VRW393445:VSH393445 VIA393445:VIL393445 UYE393445:UYP393445 UOI393445:UOT393445 UEM393445:UEX393445 TUQ393445:TVB393445 TKU393445:TLF393445 TAY393445:TBJ393445 SRC393445:SRN393445 SHG393445:SHR393445 RXK393445:RXV393445 RNO393445:RNZ393445 RDS393445:RED393445 QTW393445:QUH393445 QKA393445:QKL393445 QAE393445:QAP393445 PQI393445:PQT393445 PGM393445:PGX393445 OWQ393445:OXB393445 OMU393445:ONF393445 OCY393445:ODJ393445 NTC393445:NTN393445 NJG393445:NJR393445 MZK393445:MZV393445 MPO393445:MPZ393445 MFS393445:MGD393445 LVW393445:LWH393445 LMA393445:LML393445 LCE393445:LCP393445 KSI393445:KST393445 KIM393445:KIX393445 JYQ393445:JZB393445 JOU393445:JPF393445 JEY393445:JFJ393445 IVC393445:IVN393445 ILG393445:ILR393445 IBK393445:IBV393445 HRO393445:HRZ393445 HHS393445:HID393445 GXW393445:GYH393445 GOA393445:GOL393445 GEE393445:GEP393445 FUI393445:FUT393445 FKM393445:FKX393445 FAQ393445:FBB393445 EQU393445:ERF393445 EGY393445:EHJ393445 DXC393445:DXN393445 DNG393445:DNR393445 DDK393445:DDV393445 CTO393445:CTZ393445 CJS393445:CKD393445 BZW393445:CAH393445 BQA393445:BQL393445 BGE393445:BGP393445 AWI393445:AWT393445 AMM393445:AMX393445 ACQ393445:ADB393445 SU393445:TF393445 IY393445:JJ393445 C393445:N393445 WVK327909:WVV327909 WLO327909:WLZ327909 WBS327909:WCD327909 VRW327909:VSH327909 VIA327909:VIL327909 UYE327909:UYP327909 UOI327909:UOT327909 UEM327909:UEX327909 TUQ327909:TVB327909 TKU327909:TLF327909 TAY327909:TBJ327909 SRC327909:SRN327909 SHG327909:SHR327909 RXK327909:RXV327909 RNO327909:RNZ327909 RDS327909:RED327909 QTW327909:QUH327909 QKA327909:QKL327909 QAE327909:QAP327909 PQI327909:PQT327909 PGM327909:PGX327909 OWQ327909:OXB327909 OMU327909:ONF327909 OCY327909:ODJ327909 NTC327909:NTN327909 NJG327909:NJR327909 MZK327909:MZV327909 MPO327909:MPZ327909 MFS327909:MGD327909 LVW327909:LWH327909 LMA327909:LML327909 LCE327909:LCP327909 KSI327909:KST327909 KIM327909:KIX327909 JYQ327909:JZB327909 JOU327909:JPF327909 JEY327909:JFJ327909 IVC327909:IVN327909 ILG327909:ILR327909 IBK327909:IBV327909 HRO327909:HRZ327909 HHS327909:HID327909 GXW327909:GYH327909 GOA327909:GOL327909 GEE327909:GEP327909 FUI327909:FUT327909 FKM327909:FKX327909 FAQ327909:FBB327909 EQU327909:ERF327909 EGY327909:EHJ327909 DXC327909:DXN327909 DNG327909:DNR327909 DDK327909:DDV327909 CTO327909:CTZ327909 CJS327909:CKD327909 BZW327909:CAH327909 BQA327909:BQL327909 BGE327909:BGP327909 AWI327909:AWT327909 AMM327909:AMX327909 ACQ327909:ADB327909 SU327909:TF327909 IY327909:JJ327909 C327909:N327909 WVK262373:WVV262373 WLO262373:WLZ262373 WBS262373:WCD262373 VRW262373:VSH262373 VIA262373:VIL262373 UYE262373:UYP262373 UOI262373:UOT262373 UEM262373:UEX262373 TUQ262373:TVB262373 TKU262373:TLF262373 TAY262373:TBJ262373 SRC262373:SRN262373 SHG262373:SHR262373 RXK262373:RXV262373 RNO262373:RNZ262373 RDS262373:RED262373 QTW262373:QUH262373 QKA262373:QKL262373 QAE262373:QAP262373 PQI262373:PQT262373 PGM262373:PGX262373 OWQ262373:OXB262373 OMU262373:ONF262373 OCY262373:ODJ262373 NTC262373:NTN262373 NJG262373:NJR262373 MZK262373:MZV262373 MPO262373:MPZ262373 MFS262373:MGD262373 LVW262373:LWH262373 LMA262373:LML262373 LCE262373:LCP262373 KSI262373:KST262373 KIM262373:KIX262373 JYQ262373:JZB262373 JOU262373:JPF262373 JEY262373:JFJ262373 IVC262373:IVN262373 ILG262373:ILR262373 IBK262373:IBV262373 HRO262373:HRZ262373 HHS262373:HID262373 GXW262373:GYH262373 GOA262373:GOL262373 GEE262373:GEP262373 FUI262373:FUT262373 FKM262373:FKX262373 FAQ262373:FBB262373 EQU262373:ERF262373 EGY262373:EHJ262373 DXC262373:DXN262373 DNG262373:DNR262373 DDK262373:DDV262373 CTO262373:CTZ262373 CJS262373:CKD262373 BZW262373:CAH262373 BQA262373:BQL262373 BGE262373:BGP262373 AWI262373:AWT262373 AMM262373:AMX262373 ACQ262373:ADB262373 SU262373:TF262373 IY262373:JJ262373 C262373:N262373 WVK196837:WVV196837 WLO196837:WLZ196837 WBS196837:WCD196837 VRW196837:VSH196837 VIA196837:VIL196837 UYE196837:UYP196837 UOI196837:UOT196837 UEM196837:UEX196837 TUQ196837:TVB196837 TKU196837:TLF196837 TAY196837:TBJ196837 SRC196837:SRN196837 SHG196837:SHR196837 RXK196837:RXV196837 RNO196837:RNZ196837 RDS196837:RED196837 QTW196837:QUH196837 QKA196837:QKL196837 QAE196837:QAP196837 PQI196837:PQT196837 PGM196837:PGX196837 OWQ196837:OXB196837 OMU196837:ONF196837 OCY196837:ODJ196837 NTC196837:NTN196837 NJG196837:NJR196837 MZK196837:MZV196837 MPO196837:MPZ196837 MFS196837:MGD196837 LVW196837:LWH196837 LMA196837:LML196837 LCE196837:LCP196837 KSI196837:KST196837 KIM196837:KIX196837 JYQ196837:JZB196837 JOU196837:JPF196837 JEY196837:JFJ196837 IVC196837:IVN196837 ILG196837:ILR196837 IBK196837:IBV196837 HRO196837:HRZ196837 HHS196837:HID196837 GXW196837:GYH196837 GOA196837:GOL196837 GEE196837:GEP196837 FUI196837:FUT196837 FKM196837:FKX196837 FAQ196837:FBB196837 EQU196837:ERF196837 EGY196837:EHJ196837 DXC196837:DXN196837 DNG196837:DNR196837 DDK196837:DDV196837 CTO196837:CTZ196837 CJS196837:CKD196837 BZW196837:CAH196837 BQA196837:BQL196837 BGE196837:BGP196837 AWI196837:AWT196837 AMM196837:AMX196837 ACQ196837:ADB196837 SU196837:TF196837 IY196837:JJ196837 C196837:N196837 WVK131301:WVV131301 WLO131301:WLZ131301 WBS131301:WCD131301 VRW131301:VSH131301 VIA131301:VIL131301 UYE131301:UYP131301 UOI131301:UOT131301 UEM131301:UEX131301 TUQ131301:TVB131301 TKU131301:TLF131301 TAY131301:TBJ131301 SRC131301:SRN131301 SHG131301:SHR131301 RXK131301:RXV131301 RNO131301:RNZ131301 RDS131301:RED131301 QTW131301:QUH131301 QKA131301:QKL131301 QAE131301:QAP131301 PQI131301:PQT131301 PGM131301:PGX131301 OWQ131301:OXB131301 OMU131301:ONF131301 OCY131301:ODJ131301 NTC131301:NTN131301 NJG131301:NJR131301 MZK131301:MZV131301 MPO131301:MPZ131301 MFS131301:MGD131301 LVW131301:LWH131301 LMA131301:LML131301 LCE131301:LCP131301 KSI131301:KST131301 KIM131301:KIX131301 JYQ131301:JZB131301 JOU131301:JPF131301 JEY131301:JFJ131301 IVC131301:IVN131301 ILG131301:ILR131301 IBK131301:IBV131301 HRO131301:HRZ131301 HHS131301:HID131301 GXW131301:GYH131301 GOA131301:GOL131301 GEE131301:GEP131301 FUI131301:FUT131301 FKM131301:FKX131301 FAQ131301:FBB131301 EQU131301:ERF131301 EGY131301:EHJ131301 DXC131301:DXN131301 DNG131301:DNR131301 DDK131301:DDV131301 CTO131301:CTZ131301 CJS131301:CKD131301 BZW131301:CAH131301 BQA131301:BQL131301 BGE131301:BGP131301 AWI131301:AWT131301 AMM131301:AMX131301 ACQ131301:ADB131301 SU131301:TF131301 IY131301:JJ131301 C131301:N131301 WVK65765:WVV65765 WLO65765:WLZ65765 WBS65765:WCD65765 VRW65765:VSH65765 VIA65765:VIL65765 UYE65765:UYP65765 UOI65765:UOT65765 UEM65765:UEX65765 TUQ65765:TVB65765 TKU65765:TLF65765 TAY65765:TBJ65765 SRC65765:SRN65765 SHG65765:SHR65765 RXK65765:RXV65765 RNO65765:RNZ65765 RDS65765:RED65765 QTW65765:QUH65765 QKA65765:QKL65765 QAE65765:QAP65765 PQI65765:PQT65765 PGM65765:PGX65765 OWQ65765:OXB65765 OMU65765:ONF65765 OCY65765:ODJ65765 NTC65765:NTN65765 NJG65765:NJR65765 MZK65765:MZV65765 MPO65765:MPZ65765 MFS65765:MGD65765 LVW65765:LWH65765 LMA65765:LML65765 LCE65765:LCP65765 KSI65765:KST65765 KIM65765:KIX65765 JYQ65765:JZB65765 JOU65765:JPF65765 JEY65765:JFJ65765 IVC65765:IVN65765 ILG65765:ILR65765 IBK65765:IBV65765 HRO65765:HRZ65765 HHS65765:HID65765 GXW65765:GYH65765 GOA65765:GOL65765 GEE65765:GEP65765 FUI65765:FUT65765 FKM65765:FKX65765 FAQ65765:FBB65765 EQU65765:ERF65765 EGY65765:EHJ65765 DXC65765:DXN65765 DNG65765:DNR65765 DDK65765:DDV65765 CTO65765:CTZ65765 CJS65765:CKD65765 BZW65765:CAH65765 BQA65765:BQL65765 BGE65765:BGP65765 AWI65765:AWT65765 AMM65765:AMX65765 ACQ65765:ADB65765 SU65765:TF65765 IY65765:JJ65765 C65765:N65765 WVK983104:WVV983104 WLO983104:WLZ983104 WBS983104:WCD983104 VRW983104:VSH983104 VIA983104:VIL983104 UYE983104:UYP983104 UOI983104:UOT983104 UEM983104:UEX983104 TUQ983104:TVB983104 TKU983104:TLF983104 TAY983104:TBJ983104 SRC983104:SRN983104 SHG983104:SHR983104 RXK983104:RXV983104 RNO983104:RNZ983104 RDS983104:RED983104 QTW983104:QUH983104 QKA983104:QKL983104 QAE983104:QAP983104 PQI983104:PQT983104 PGM983104:PGX983104 OWQ983104:OXB983104 OMU983104:ONF983104 OCY983104:ODJ983104 NTC983104:NTN983104 NJG983104:NJR983104 MZK983104:MZV983104 MPO983104:MPZ983104 MFS983104:MGD983104 LVW983104:LWH983104 LMA983104:LML983104 LCE983104:LCP983104 KSI983104:KST983104 KIM983104:KIX983104 JYQ983104:JZB983104 JOU983104:JPF983104 JEY983104:JFJ983104 IVC983104:IVN983104 ILG983104:ILR983104 IBK983104:IBV983104 HRO983104:HRZ983104 HHS983104:HID983104 GXW983104:GYH983104 GOA983104:GOL983104 GEE983104:GEP983104 FUI983104:FUT983104 FKM983104:FKX983104 FAQ983104:FBB983104 EQU983104:ERF983104 EGY983104:EHJ983104 DXC983104:DXN983104 DNG983104:DNR983104 DDK983104:DDV983104 CTO983104:CTZ983104 CJS983104:CKD983104 BZW983104:CAH983104 BQA983104:BQL983104 BGE983104:BGP983104 AWI983104:AWT983104 AMM983104:AMX983104 ACQ983104:ADB983104 SU983104:TF983104 IY983104:JJ983104 C983104:N983104 WVK917568:WVV917568 WLO917568:WLZ917568 WBS917568:WCD917568 VRW917568:VSH917568 VIA917568:VIL917568 UYE917568:UYP917568 UOI917568:UOT917568 UEM917568:UEX917568 TUQ917568:TVB917568 TKU917568:TLF917568 TAY917568:TBJ917568 SRC917568:SRN917568 SHG917568:SHR917568 RXK917568:RXV917568 RNO917568:RNZ917568 RDS917568:RED917568 QTW917568:QUH917568 QKA917568:QKL917568 QAE917568:QAP917568 PQI917568:PQT917568 PGM917568:PGX917568 OWQ917568:OXB917568 OMU917568:ONF917568 OCY917568:ODJ917568 NTC917568:NTN917568 NJG917568:NJR917568 MZK917568:MZV917568 MPO917568:MPZ917568 MFS917568:MGD917568 LVW917568:LWH917568 LMA917568:LML917568 LCE917568:LCP917568 KSI917568:KST917568 KIM917568:KIX917568 JYQ917568:JZB917568 JOU917568:JPF917568 JEY917568:JFJ917568 IVC917568:IVN917568 ILG917568:ILR917568 IBK917568:IBV917568 HRO917568:HRZ917568 HHS917568:HID917568 GXW917568:GYH917568 GOA917568:GOL917568 GEE917568:GEP917568 FUI917568:FUT917568 FKM917568:FKX917568 FAQ917568:FBB917568 EQU917568:ERF917568 EGY917568:EHJ917568 DXC917568:DXN917568 DNG917568:DNR917568 DDK917568:DDV917568 CTO917568:CTZ917568 CJS917568:CKD917568 BZW917568:CAH917568 BQA917568:BQL917568 BGE917568:BGP917568 AWI917568:AWT917568 AMM917568:AMX917568 ACQ917568:ADB917568 SU917568:TF917568 IY917568:JJ917568 C917568:N917568 WVK852032:WVV852032 WLO852032:WLZ852032 WBS852032:WCD852032 VRW852032:VSH852032 VIA852032:VIL852032 UYE852032:UYP852032 UOI852032:UOT852032 UEM852032:UEX852032 TUQ852032:TVB852032 TKU852032:TLF852032 TAY852032:TBJ852032 SRC852032:SRN852032 SHG852032:SHR852032 RXK852032:RXV852032 RNO852032:RNZ852032 RDS852032:RED852032 QTW852032:QUH852032 QKA852032:QKL852032 QAE852032:QAP852032 PQI852032:PQT852032 PGM852032:PGX852032 OWQ852032:OXB852032 OMU852032:ONF852032 OCY852032:ODJ852032 NTC852032:NTN852032 NJG852032:NJR852032 MZK852032:MZV852032 MPO852032:MPZ852032 MFS852032:MGD852032 LVW852032:LWH852032 LMA852032:LML852032 LCE852032:LCP852032 KSI852032:KST852032 KIM852032:KIX852032 JYQ852032:JZB852032 JOU852032:JPF852032 JEY852032:JFJ852032 IVC852032:IVN852032 ILG852032:ILR852032 IBK852032:IBV852032 HRO852032:HRZ852032 HHS852032:HID852032 GXW852032:GYH852032 GOA852032:GOL852032 GEE852032:GEP852032 FUI852032:FUT852032 FKM852032:FKX852032 FAQ852032:FBB852032 EQU852032:ERF852032 EGY852032:EHJ852032 DXC852032:DXN852032 DNG852032:DNR852032 DDK852032:DDV852032 CTO852032:CTZ852032 CJS852032:CKD852032 BZW852032:CAH852032 BQA852032:BQL852032 BGE852032:BGP852032 AWI852032:AWT852032 AMM852032:AMX852032 ACQ852032:ADB852032 SU852032:TF852032 IY852032:JJ852032 C852032:N852032 WVK786496:WVV786496 WLO786496:WLZ786496 WBS786496:WCD786496 VRW786496:VSH786496 VIA786496:VIL786496 UYE786496:UYP786496 UOI786496:UOT786496 UEM786496:UEX786496 TUQ786496:TVB786496 TKU786496:TLF786496 TAY786496:TBJ786496 SRC786496:SRN786496 SHG786496:SHR786496 RXK786496:RXV786496 RNO786496:RNZ786496 RDS786496:RED786496 QTW786496:QUH786496 QKA786496:QKL786496 QAE786496:QAP786496 PQI786496:PQT786496 PGM786496:PGX786496 OWQ786496:OXB786496 OMU786496:ONF786496 OCY786496:ODJ786496 NTC786496:NTN786496 NJG786496:NJR786496 MZK786496:MZV786496 MPO786496:MPZ786496 MFS786496:MGD786496 LVW786496:LWH786496 LMA786496:LML786496 LCE786496:LCP786496 KSI786496:KST786496 KIM786496:KIX786496 JYQ786496:JZB786496 JOU786496:JPF786496 JEY786496:JFJ786496 IVC786496:IVN786496 ILG786496:ILR786496 IBK786496:IBV786496 HRO786496:HRZ786496 HHS786496:HID786496 GXW786496:GYH786496 GOA786496:GOL786496 GEE786496:GEP786496 FUI786496:FUT786496 FKM786496:FKX786496 FAQ786496:FBB786496 EQU786496:ERF786496 EGY786496:EHJ786496 DXC786496:DXN786496 DNG786496:DNR786496 DDK786496:DDV786496 CTO786496:CTZ786496 CJS786496:CKD786496 BZW786496:CAH786496 BQA786496:BQL786496 BGE786496:BGP786496 AWI786496:AWT786496 AMM786496:AMX786496 ACQ786496:ADB786496 SU786496:TF786496 IY786496:JJ786496 C786496:N786496 WVK720960:WVV720960 WLO720960:WLZ720960 WBS720960:WCD720960 VRW720960:VSH720960 VIA720960:VIL720960 UYE720960:UYP720960 UOI720960:UOT720960 UEM720960:UEX720960 TUQ720960:TVB720960 TKU720960:TLF720960 TAY720960:TBJ720960 SRC720960:SRN720960 SHG720960:SHR720960 RXK720960:RXV720960 RNO720960:RNZ720960 RDS720960:RED720960 QTW720960:QUH720960 QKA720960:QKL720960 QAE720960:QAP720960 PQI720960:PQT720960 PGM720960:PGX720960 OWQ720960:OXB720960 OMU720960:ONF720960 OCY720960:ODJ720960 NTC720960:NTN720960 NJG720960:NJR720960 MZK720960:MZV720960 MPO720960:MPZ720960 MFS720960:MGD720960 LVW720960:LWH720960 LMA720960:LML720960 LCE720960:LCP720960 KSI720960:KST720960 KIM720960:KIX720960 JYQ720960:JZB720960 JOU720960:JPF720960 JEY720960:JFJ720960 IVC720960:IVN720960 ILG720960:ILR720960 IBK720960:IBV720960 HRO720960:HRZ720960 HHS720960:HID720960 GXW720960:GYH720960 GOA720960:GOL720960 GEE720960:GEP720960 FUI720960:FUT720960 FKM720960:FKX720960 FAQ720960:FBB720960 EQU720960:ERF720960 EGY720960:EHJ720960 DXC720960:DXN720960 DNG720960:DNR720960 DDK720960:DDV720960 CTO720960:CTZ720960 CJS720960:CKD720960 BZW720960:CAH720960 BQA720960:BQL720960 BGE720960:BGP720960 AWI720960:AWT720960 AMM720960:AMX720960 ACQ720960:ADB720960 SU720960:TF720960 IY720960:JJ720960 C720960:N720960 WVK655424:WVV655424 WLO655424:WLZ655424 WBS655424:WCD655424 VRW655424:VSH655424 VIA655424:VIL655424 UYE655424:UYP655424 UOI655424:UOT655424 UEM655424:UEX655424 TUQ655424:TVB655424 TKU655424:TLF655424 TAY655424:TBJ655424 SRC655424:SRN655424 SHG655424:SHR655424 RXK655424:RXV655424 RNO655424:RNZ655424 RDS655424:RED655424 QTW655424:QUH655424 QKA655424:QKL655424 QAE655424:QAP655424 PQI655424:PQT655424 PGM655424:PGX655424 OWQ655424:OXB655424 OMU655424:ONF655424 OCY655424:ODJ655424 NTC655424:NTN655424 NJG655424:NJR655424 MZK655424:MZV655424 MPO655424:MPZ655424 MFS655424:MGD655424 LVW655424:LWH655424 LMA655424:LML655424 LCE655424:LCP655424 KSI655424:KST655424 KIM655424:KIX655424 JYQ655424:JZB655424 JOU655424:JPF655424 JEY655424:JFJ655424 IVC655424:IVN655424 ILG655424:ILR655424 IBK655424:IBV655424 HRO655424:HRZ655424 HHS655424:HID655424 GXW655424:GYH655424 GOA655424:GOL655424 GEE655424:GEP655424 FUI655424:FUT655424 FKM655424:FKX655424 FAQ655424:FBB655424 EQU655424:ERF655424 EGY655424:EHJ655424 DXC655424:DXN655424 DNG655424:DNR655424 DDK655424:DDV655424 CTO655424:CTZ655424 CJS655424:CKD655424 BZW655424:CAH655424 BQA655424:BQL655424 BGE655424:BGP655424 AWI655424:AWT655424 AMM655424:AMX655424 ACQ655424:ADB655424 SU655424:TF655424 IY655424:JJ655424 C655424:N655424 WVK589888:WVV589888 WLO589888:WLZ589888 WBS589888:WCD589888 VRW589888:VSH589888 VIA589888:VIL589888 UYE589888:UYP589888 UOI589888:UOT589888 UEM589888:UEX589888 TUQ589888:TVB589888 TKU589888:TLF589888 TAY589888:TBJ589888 SRC589888:SRN589888 SHG589888:SHR589888 RXK589888:RXV589888 RNO589888:RNZ589888 RDS589888:RED589888 QTW589888:QUH589888 QKA589888:QKL589888 QAE589888:QAP589888 PQI589888:PQT589888 PGM589888:PGX589888 OWQ589888:OXB589888 OMU589888:ONF589888 OCY589888:ODJ589888 NTC589888:NTN589888 NJG589888:NJR589888 MZK589888:MZV589888 MPO589888:MPZ589888 MFS589888:MGD589888 LVW589888:LWH589888 LMA589888:LML589888 LCE589888:LCP589888 KSI589888:KST589888 KIM589888:KIX589888 JYQ589888:JZB589888 JOU589888:JPF589888 JEY589888:JFJ589888 IVC589888:IVN589888 ILG589888:ILR589888 IBK589888:IBV589888 HRO589888:HRZ589888 HHS589888:HID589888 GXW589888:GYH589888 GOA589888:GOL589888 GEE589888:GEP589888 FUI589888:FUT589888 FKM589888:FKX589888 FAQ589888:FBB589888 EQU589888:ERF589888 EGY589888:EHJ589888 DXC589888:DXN589888 DNG589888:DNR589888 DDK589888:DDV589888 CTO589888:CTZ589888 CJS589888:CKD589888 BZW589888:CAH589888 BQA589888:BQL589888 BGE589888:BGP589888 AWI589888:AWT589888 AMM589888:AMX589888 ACQ589888:ADB589888 SU589888:TF589888 IY589888:JJ589888 C589888:N589888 WVK524352:WVV524352 WLO524352:WLZ524352 WBS524352:WCD524352 VRW524352:VSH524352 VIA524352:VIL524352 UYE524352:UYP524352 UOI524352:UOT524352 UEM524352:UEX524352 TUQ524352:TVB524352 TKU524352:TLF524352 TAY524352:TBJ524352 SRC524352:SRN524352 SHG524352:SHR524352 RXK524352:RXV524352 RNO524352:RNZ524352 RDS524352:RED524352 QTW524352:QUH524352 QKA524352:QKL524352 QAE524352:QAP524352 PQI524352:PQT524352 PGM524352:PGX524352 OWQ524352:OXB524352 OMU524352:ONF524352 OCY524352:ODJ524352 NTC524352:NTN524352 NJG524352:NJR524352 MZK524352:MZV524352 MPO524352:MPZ524352 MFS524352:MGD524352 LVW524352:LWH524352 LMA524352:LML524352 LCE524352:LCP524352 KSI524352:KST524352 KIM524352:KIX524352 JYQ524352:JZB524352 JOU524352:JPF524352 JEY524352:JFJ524352 IVC524352:IVN524352 ILG524352:ILR524352 IBK524352:IBV524352 HRO524352:HRZ524352 HHS524352:HID524352 GXW524352:GYH524352 GOA524352:GOL524352 GEE524352:GEP524352 FUI524352:FUT524352 FKM524352:FKX524352 FAQ524352:FBB524352 EQU524352:ERF524352 EGY524352:EHJ524352 DXC524352:DXN524352 DNG524352:DNR524352 DDK524352:DDV524352 CTO524352:CTZ524352 CJS524352:CKD524352 BZW524352:CAH524352 BQA524352:BQL524352 BGE524352:BGP524352 AWI524352:AWT524352 AMM524352:AMX524352 ACQ524352:ADB524352 SU524352:TF524352 IY524352:JJ524352 C524352:N524352 WVK458816:WVV458816 WLO458816:WLZ458816 WBS458816:WCD458816 VRW458816:VSH458816 VIA458816:VIL458816 UYE458816:UYP458816 UOI458816:UOT458816 UEM458816:UEX458816 TUQ458816:TVB458816 TKU458816:TLF458816 TAY458816:TBJ458816 SRC458816:SRN458816 SHG458816:SHR458816 RXK458816:RXV458816 RNO458816:RNZ458816 RDS458816:RED458816 QTW458816:QUH458816 QKA458816:QKL458816 QAE458816:QAP458816 PQI458816:PQT458816 PGM458816:PGX458816 OWQ458816:OXB458816 OMU458816:ONF458816 OCY458816:ODJ458816 NTC458816:NTN458816 NJG458816:NJR458816 MZK458816:MZV458816 MPO458816:MPZ458816 MFS458816:MGD458816 LVW458816:LWH458816 LMA458816:LML458816 LCE458816:LCP458816 KSI458816:KST458816 KIM458816:KIX458816 JYQ458816:JZB458816 JOU458816:JPF458816 JEY458816:JFJ458816 IVC458816:IVN458816 ILG458816:ILR458816 IBK458816:IBV458816 HRO458816:HRZ458816 HHS458816:HID458816 GXW458816:GYH458816 GOA458816:GOL458816 GEE458816:GEP458816 FUI458816:FUT458816 FKM458816:FKX458816 FAQ458816:FBB458816 EQU458816:ERF458816 EGY458816:EHJ458816 DXC458816:DXN458816 DNG458816:DNR458816 DDK458816:DDV458816 CTO458816:CTZ458816 CJS458816:CKD458816 BZW458816:CAH458816 BQA458816:BQL458816 BGE458816:BGP458816 AWI458816:AWT458816 AMM458816:AMX458816 ACQ458816:ADB458816 SU458816:TF458816 IY458816:JJ458816 C458816:N458816 WVK393280:WVV393280 WLO393280:WLZ393280 WBS393280:WCD393280 VRW393280:VSH393280 VIA393280:VIL393280 UYE393280:UYP393280 UOI393280:UOT393280 UEM393280:UEX393280 TUQ393280:TVB393280 TKU393280:TLF393280 TAY393280:TBJ393280 SRC393280:SRN393280 SHG393280:SHR393280 RXK393280:RXV393280 RNO393280:RNZ393280 RDS393280:RED393280 QTW393280:QUH393280 QKA393280:QKL393280 QAE393280:QAP393280 PQI393280:PQT393280 PGM393280:PGX393280 OWQ393280:OXB393280 OMU393280:ONF393280 OCY393280:ODJ393280 NTC393280:NTN393280 NJG393280:NJR393280 MZK393280:MZV393280 MPO393280:MPZ393280 MFS393280:MGD393280 LVW393280:LWH393280 LMA393280:LML393280 LCE393280:LCP393280 KSI393280:KST393280 KIM393280:KIX393280 JYQ393280:JZB393280 JOU393280:JPF393280 JEY393280:JFJ393280 IVC393280:IVN393280 ILG393280:ILR393280 IBK393280:IBV393280 HRO393280:HRZ393280 HHS393280:HID393280 GXW393280:GYH393280 GOA393280:GOL393280 GEE393280:GEP393280 FUI393280:FUT393280 FKM393280:FKX393280 FAQ393280:FBB393280 EQU393280:ERF393280 EGY393280:EHJ393280 DXC393280:DXN393280 DNG393280:DNR393280 DDK393280:DDV393280 CTO393280:CTZ393280 CJS393280:CKD393280 BZW393280:CAH393280 BQA393280:BQL393280 BGE393280:BGP393280 AWI393280:AWT393280 AMM393280:AMX393280 ACQ393280:ADB393280 SU393280:TF393280 IY393280:JJ393280 C393280:N393280 WVK327744:WVV327744 WLO327744:WLZ327744 WBS327744:WCD327744 VRW327744:VSH327744 VIA327744:VIL327744 UYE327744:UYP327744 UOI327744:UOT327744 UEM327744:UEX327744 TUQ327744:TVB327744 TKU327744:TLF327744 TAY327744:TBJ327744 SRC327744:SRN327744 SHG327744:SHR327744 RXK327744:RXV327744 RNO327744:RNZ327744 RDS327744:RED327744 QTW327744:QUH327744 QKA327744:QKL327744 QAE327744:QAP327744 PQI327744:PQT327744 PGM327744:PGX327744 OWQ327744:OXB327744 OMU327744:ONF327744 OCY327744:ODJ327744 NTC327744:NTN327744 NJG327744:NJR327744 MZK327744:MZV327744 MPO327744:MPZ327744 MFS327744:MGD327744 LVW327744:LWH327744 LMA327744:LML327744 LCE327744:LCP327744 KSI327744:KST327744 KIM327744:KIX327744 JYQ327744:JZB327744 JOU327744:JPF327744 JEY327744:JFJ327744 IVC327744:IVN327744 ILG327744:ILR327744 IBK327744:IBV327744 HRO327744:HRZ327744 HHS327744:HID327744 GXW327744:GYH327744 GOA327744:GOL327744 GEE327744:GEP327744 FUI327744:FUT327744 FKM327744:FKX327744 FAQ327744:FBB327744 EQU327744:ERF327744 EGY327744:EHJ327744 DXC327744:DXN327744 DNG327744:DNR327744 DDK327744:DDV327744 CTO327744:CTZ327744 CJS327744:CKD327744 BZW327744:CAH327744 BQA327744:BQL327744 BGE327744:BGP327744 AWI327744:AWT327744 AMM327744:AMX327744 ACQ327744:ADB327744 SU327744:TF327744 IY327744:JJ327744 C327744:N327744 WVK262208:WVV262208 WLO262208:WLZ262208 WBS262208:WCD262208 VRW262208:VSH262208 VIA262208:VIL262208 UYE262208:UYP262208 UOI262208:UOT262208 UEM262208:UEX262208 TUQ262208:TVB262208 TKU262208:TLF262208 TAY262208:TBJ262208 SRC262208:SRN262208 SHG262208:SHR262208 RXK262208:RXV262208 RNO262208:RNZ262208 RDS262208:RED262208 QTW262208:QUH262208 QKA262208:QKL262208 QAE262208:QAP262208 PQI262208:PQT262208 PGM262208:PGX262208 OWQ262208:OXB262208 OMU262208:ONF262208 OCY262208:ODJ262208 NTC262208:NTN262208 NJG262208:NJR262208 MZK262208:MZV262208 MPO262208:MPZ262208 MFS262208:MGD262208 LVW262208:LWH262208 LMA262208:LML262208 LCE262208:LCP262208 KSI262208:KST262208 KIM262208:KIX262208 JYQ262208:JZB262208 JOU262208:JPF262208 JEY262208:JFJ262208 IVC262208:IVN262208 ILG262208:ILR262208 IBK262208:IBV262208 HRO262208:HRZ262208 HHS262208:HID262208 GXW262208:GYH262208 GOA262208:GOL262208 GEE262208:GEP262208 FUI262208:FUT262208 FKM262208:FKX262208 FAQ262208:FBB262208 EQU262208:ERF262208 EGY262208:EHJ262208 DXC262208:DXN262208 DNG262208:DNR262208 DDK262208:DDV262208 CTO262208:CTZ262208 CJS262208:CKD262208 BZW262208:CAH262208 BQA262208:BQL262208 BGE262208:BGP262208 AWI262208:AWT262208 AMM262208:AMX262208 ACQ262208:ADB262208 SU262208:TF262208 IY262208:JJ262208 C262208:N262208 WVK196672:WVV196672 WLO196672:WLZ196672 WBS196672:WCD196672 VRW196672:VSH196672 VIA196672:VIL196672 UYE196672:UYP196672 UOI196672:UOT196672 UEM196672:UEX196672 TUQ196672:TVB196672 TKU196672:TLF196672 TAY196672:TBJ196672 SRC196672:SRN196672 SHG196672:SHR196672 RXK196672:RXV196672 RNO196672:RNZ196672 RDS196672:RED196672 QTW196672:QUH196672 QKA196672:QKL196672 QAE196672:QAP196672 PQI196672:PQT196672 PGM196672:PGX196672 OWQ196672:OXB196672 OMU196672:ONF196672 OCY196672:ODJ196672 NTC196672:NTN196672 NJG196672:NJR196672 MZK196672:MZV196672 MPO196672:MPZ196672 MFS196672:MGD196672 LVW196672:LWH196672 LMA196672:LML196672 LCE196672:LCP196672 KSI196672:KST196672 KIM196672:KIX196672 JYQ196672:JZB196672 JOU196672:JPF196672 JEY196672:JFJ196672 IVC196672:IVN196672 ILG196672:ILR196672 IBK196672:IBV196672 HRO196672:HRZ196672 HHS196672:HID196672 GXW196672:GYH196672 GOA196672:GOL196672 GEE196672:GEP196672 FUI196672:FUT196672 FKM196672:FKX196672 FAQ196672:FBB196672 EQU196672:ERF196672 EGY196672:EHJ196672 DXC196672:DXN196672 DNG196672:DNR196672 DDK196672:DDV196672 CTO196672:CTZ196672 CJS196672:CKD196672 BZW196672:CAH196672 BQA196672:BQL196672 BGE196672:BGP196672 AWI196672:AWT196672 AMM196672:AMX196672 ACQ196672:ADB196672 SU196672:TF196672 IY196672:JJ196672 C196672:N196672 WVK131136:WVV131136 WLO131136:WLZ131136 WBS131136:WCD131136 VRW131136:VSH131136 VIA131136:VIL131136 UYE131136:UYP131136 UOI131136:UOT131136 UEM131136:UEX131136 TUQ131136:TVB131136 TKU131136:TLF131136 TAY131136:TBJ131136 SRC131136:SRN131136 SHG131136:SHR131136 RXK131136:RXV131136 RNO131136:RNZ131136 RDS131136:RED131136 QTW131136:QUH131136 QKA131136:QKL131136 QAE131136:QAP131136 PQI131136:PQT131136 PGM131136:PGX131136 OWQ131136:OXB131136 OMU131136:ONF131136 OCY131136:ODJ131136 NTC131136:NTN131136 NJG131136:NJR131136 MZK131136:MZV131136 MPO131136:MPZ131136 MFS131136:MGD131136 LVW131136:LWH131136 LMA131136:LML131136 LCE131136:LCP131136 KSI131136:KST131136 KIM131136:KIX131136 JYQ131136:JZB131136 JOU131136:JPF131136 JEY131136:JFJ131136 IVC131136:IVN131136 ILG131136:ILR131136 IBK131136:IBV131136 HRO131136:HRZ131136 HHS131136:HID131136 GXW131136:GYH131136 GOA131136:GOL131136 GEE131136:GEP131136 FUI131136:FUT131136 FKM131136:FKX131136 FAQ131136:FBB131136 EQU131136:ERF131136 EGY131136:EHJ131136 DXC131136:DXN131136 DNG131136:DNR131136 DDK131136:DDV131136 CTO131136:CTZ131136 CJS131136:CKD131136 BZW131136:CAH131136 BQA131136:BQL131136 BGE131136:BGP131136 AWI131136:AWT131136 AMM131136:AMX131136 ACQ131136:ADB131136 SU131136:TF131136 IY131136:JJ131136 C131136:N131136 WVK65600:WVV65600 WLO65600:WLZ65600 WBS65600:WCD65600 VRW65600:VSH65600 VIA65600:VIL65600 UYE65600:UYP65600 UOI65600:UOT65600 UEM65600:UEX65600 TUQ65600:TVB65600 TKU65600:TLF65600 TAY65600:TBJ65600 SRC65600:SRN65600 SHG65600:SHR65600 RXK65600:RXV65600 RNO65600:RNZ65600 RDS65600:RED65600 QTW65600:QUH65600 QKA65600:QKL65600 QAE65600:QAP65600 PQI65600:PQT65600 PGM65600:PGX65600 OWQ65600:OXB65600 OMU65600:ONF65600 OCY65600:ODJ65600 NTC65600:NTN65600 NJG65600:NJR65600 MZK65600:MZV65600 MPO65600:MPZ65600 MFS65600:MGD65600 LVW65600:LWH65600 LMA65600:LML65600 LCE65600:LCP65600 KSI65600:KST65600 KIM65600:KIX65600 JYQ65600:JZB65600 JOU65600:JPF65600 JEY65600:JFJ65600 IVC65600:IVN65600 ILG65600:ILR65600 IBK65600:IBV65600 HRO65600:HRZ65600 HHS65600:HID65600 GXW65600:GYH65600 GOA65600:GOL65600 GEE65600:GEP65600 FUI65600:FUT65600 FKM65600:FKX65600 FAQ65600:FBB65600 EQU65600:ERF65600 EGY65600:EHJ65600 DXC65600:DXN65600 DNG65600:DNR65600 DDK65600:DDV65600 CTO65600:CTZ65600 CJS65600:CKD65600 BZW65600:CAH65600 BQA65600:BQL65600 BGE65600:BGP65600 AWI65600:AWT65600 AMM65600:AMX65600 ACQ65600:ADB65600 SU65600:TF65600 IY65600:JJ65600 C65600:N65600 WVK146:WVV146 WLO146:WLZ146 WBS146:WCD146 VRW146:VSH146 VIA146:VIL146 UYE146:UYP146 UOI146:UOT146 UEM146:UEX146 TUQ146:TVB146 TKU146:TLF146 TAY146:TBJ146 SRC146:SRN146 SHG146:SHR146 RXK146:RXV146 RNO146:RNZ146 RDS146:RED146 QTW146:QUH146 QKA146:QKL146 QAE146:QAP146 PQI146:PQT146 PGM146:PGX146 OWQ146:OXB146 OMU146:ONF146 OCY146:ODJ146 NTC146:NTN146 NJG146:NJR146 MZK146:MZV146 MPO146:MPZ146 MFS146:MGD146 LVW146:LWH146 LMA146:LML146 LCE146:LCP146 KSI146:KST146 KIM146:KIX146 JYQ146:JZB146 JOU146:JPF146 JEY146:JFJ146 IVC146:IVN146 ILG146:ILR146 IBK146:IBV146 HRO146:HRZ146 HHS146:HID146 GXW146:GYH146 GOA146:GOL146 GEE146:GEP146 FUI146:FUT146 FKM146:FKX146 FAQ146:FBB146 EQU146:ERF146 EGY146:EHJ146 DXC146:DXN146 DNG146:DNR146 DDK146:DDV146 CTO146:CTZ146 CJS146:CKD146 BZW146:CAH146 BQA146:BQL146 BGE146:BGP146 AWI146:AWT146 AMM146:AMX146 ACQ146:ADB146 SU146:TF146 IY146:JJ146 IY206:JJ206 WVK983164:WVV983164 WLO983164:WLZ983164 WBS983164:WCD983164 VRW983164:VSH983164 VIA983164:VIL983164 UYE983164:UYP983164 UOI983164:UOT983164 UEM983164:UEX983164 TUQ983164:TVB983164 TKU983164:TLF983164 TAY983164:TBJ983164 SRC983164:SRN983164 SHG983164:SHR983164 RXK983164:RXV983164 RNO983164:RNZ983164 RDS983164:RED983164 QTW983164:QUH983164 QKA983164:QKL983164 QAE983164:QAP983164 PQI983164:PQT983164 PGM983164:PGX983164 OWQ983164:OXB983164 OMU983164:ONF983164 OCY983164:ODJ983164 NTC983164:NTN983164 NJG983164:NJR983164 MZK983164:MZV983164 MPO983164:MPZ983164 MFS983164:MGD983164 LVW983164:LWH983164 LMA983164:LML983164 LCE983164:LCP983164 KSI983164:KST983164 KIM983164:KIX983164 JYQ983164:JZB983164 JOU983164:JPF983164 JEY983164:JFJ983164 IVC983164:IVN983164 ILG983164:ILR983164 IBK983164:IBV983164 HRO983164:HRZ983164 HHS983164:HID983164 GXW983164:GYH983164 GOA983164:GOL983164 GEE983164:GEP983164 FUI983164:FUT983164 FKM983164:FKX983164 FAQ983164:FBB983164 EQU983164:ERF983164 EGY983164:EHJ983164 DXC983164:DXN983164 DNG983164:DNR983164 DDK983164:DDV983164 CTO983164:CTZ983164 CJS983164:CKD983164 BZW983164:CAH983164 BQA983164:BQL983164 BGE983164:BGP983164 AWI983164:AWT983164 AMM983164:AMX983164 ACQ983164:ADB983164 SU983164:TF983164 IY983164:JJ983164 C983164:N983164 WVK917628:WVV917628 WLO917628:WLZ917628 WBS917628:WCD917628 VRW917628:VSH917628 VIA917628:VIL917628 UYE917628:UYP917628 UOI917628:UOT917628 UEM917628:UEX917628 TUQ917628:TVB917628 TKU917628:TLF917628 TAY917628:TBJ917628 SRC917628:SRN917628 SHG917628:SHR917628 RXK917628:RXV917628 RNO917628:RNZ917628 RDS917628:RED917628 QTW917628:QUH917628 QKA917628:QKL917628 QAE917628:QAP917628 PQI917628:PQT917628 PGM917628:PGX917628 OWQ917628:OXB917628 OMU917628:ONF917628 OCY917628:ODJ917628 NTC917628:NTN917628 NJG917628:NJR917628 MZK917628:MZV917628 MPO917628:MPZ917628 MFS917628:MGD917628 LVW917628:LWH917628 LMA917628:LML917628 LCE917628:LCP917628 KSI917628:KST917628 KIM917628:KIX917628 JYQ917628:JZB917628 JOU917628:JPF917628 JEY917628:JFJ917628 IVC917628:IVN917628 ILG917628:ILR917628 IBK917628:IBV917628 HRO917628:HRZ917628 HHS917628:HID917628 GXW917628:GYH917628 GOA917628:GOL917628 GEE917628:GEP917628 FUI917628:FUT917628 FKM917628:FKX917628 FAQ917628:FBB917628 EQU917628:ERF917628 EGY917628:EHJ917628 DXC917628:DXN917628 DNG917628:DNR917628 DDK917628:DDV917628 CTO917628:CTZ917628 CJS917628:CKD917628 BZW917628:CAH917628 BQA917628:BQL917628 BGE917628:BGP917628 AWI917628:AWT917628 AMM917628:AMX917628 ACQ917628:ADB917628 SU917628:TF917628 IY917628:JJ917628 C917628:N917628 WVK852092:WVV852092 WLO852092:WLZ852092 WBS852092:WCD852092 VRW852092:VSH852092 VIA852092:VIL852092 UYE852092:UYP852092 UOI852092:UOT852092 UEM852092:UEX852092 TUQ852092:TVB852092 TKU852092:TLF852092 TAY852092:TBJ852092 SRC852092:SRN852092 SHG852092:SHR852092 RXK852092:RXV852092 RNO852092:RNZ852092 RDS852092:RED852092 QTW852092:QUH852092 QKA852092:QKL852092 QAE852092:QAP852092 PQI852092:PQT852092 PGM852092:PGX852092 OWQ852092:OXB852092 OMU852092:ONF852092 OCY852092:ODJ852092 NTC852092:NTN852092 NJG852092:NJR852092 MZK852092:MZV852092 MPO852092:MPZ852092 MFS852092:MGD852092 LVW852092:LWH852092 LMA852092:LML852092 LCE852092:LCP852092 KSI852092:KST852092 KIM852092:KIX852092 JYQ852092:JZB852092 JOU852092:JPF852092 JEY852092:JFJ852092 IVC852092:IVN852092 ILG852092:ILR852092 IBK852092:IBV852092 HRO852092:HRZ852092 HHS852092:HID852092 GXW852092:GYH852092 GOA852092:GOL852092 GEE852092:GEP852092 FUI852092:FUT852092 FKM852092:FKX852092 FAQ852092:FBB852092 EQU852092:ERF852092 EGY852092:EHJ852092 DXC852092:DXN852092 DNG852092:DNR852092 DDK852092:DDV852092 CTO852092:CTZ852092 CJS852092:CKD852092 BZW852092:CAH852092 BQA852092:BQL852092 BGE852092:BGP852092 AWI852092:AWT852092 AMM852092:AMX852092 ACQ852092:ADB852092 SU852092:TF852092 IY852092:JJ852092 C852092:N852092 WVK786556:WVV786556 WLO786556:WLZ786556 WBS786556:WCD786556 VRW786556:VSH786556 VIA786556:VIL786556 UYE786556:UYP786556 UOI786556:UOT786556 UEM786556:UEX786556 TUQ786556:TVB786556 TKU786556:TLF786556 TAY786556:TBJ786556 SRC786556:SRN786556 SHG786556:SHR786556 RXK786556:RXV786556 RNO786556:RNZ786556 RDS786556:RED786556 QTW786556:QUH786556 QKA786556:QKL786556 QAE786556:QAP786556 PQI786556:PQT786556 PGM786556:PGX786556 OWQ786556:OXB786556 OMU786556:ONF786556 OCY786556:ODJ786556 NTC786556:NTN786556 NJG786556:NJR786556 MZK786556:MZV786556 MPO786556:MPZ786556 MFS786556:MGD786556 LVW786556:LWH786556 LMA786556:LML786556 LCE786556:LCP786556 KSI786556:KST786556 KIM786556:KIX786556 JYQ786556:JZB786556 JOU786556:JPF786556 JEY786556:JFJ786556 IVC786556:IVN786556 ILG786556:ILR786556 IBK786556:IBV786556 HRO786556:HRZ786556 HHS786556:HID786556 GXW786556:GYH786556 GOA786556:GOL786556 GEE786556:GEP786556 FUI786556:FUT786556 FKM786556:FKX786556 FAQ786556:FBB786556 EQU786556:ERF786556 EGY786556:EHJ786556 DXC786556:DXN786556 DNG786556:DNR786556 DDK786556:DDV786556 CTO786556:CTZ786556 CJS786556:CKD786556 BZW786556:CAH786556 BQA786556:BQL786556 BGE786556:BGP786556 AWI786556:AWT786556 AMM786556:AMX786556 ACQ786556:ADB786556 SU786556:TF786556 IY786556:JJ786556 C786556:N786556 WVK721020:WVV721020 WLO721020:WLZ721020 WBS721020:WCD721020 VRW721020:VSH721020 VIA721020:VIL721020 UYE721020:UYP721020 UOI721020:UOT721020 UEM721020:UEX721020 TUQ721020:TVB721020 TKU721020:TLF721020 TAY721020:TBJ721020 SRC721020:SRN721020 SHG721020:SHR721020 RXK721020:RXV721020 RNO721020:RNZ721020 RDS721020:RED721020 QTW721020:QUH721020 QKA721020:QKL721020 QAE721020:QAP721020 PQI721020:PQT721020 PGM721020:PGX721020 OWQ721020:OXB721020 OMU721020:ONF721020 OCY721020:ODJ721020 NTC721020:NTN721020 NJG721020:NJR721020 MZK721020:MZV721020 MPO721020:MPZ721020 MFS721020:MGD721020 LVW721020:LWH721020 LMA721020:LML721020 LCE721020:LCP721020 KSI721020:KST721020 KIM721020:KIX721020 JYQ721020:JZB721020 JOU721020:JPF721020 JEY721020:JFJ721020 IVC721020:IVN721020 ILG721020:ILR721020 IBK721020:IBV721020 HRO721020:HRZ721020 HHS721020:HID721020 GXW721020:GYH721020 GOA721020:GOL721020 GEE721020:GEP721020 FUI721020:FUT721020 FKM721020:FKX721020 FAQ721020:FBB721020 EQU721020:ERF721020 EGY721020:EHJ721020 DXC721020:DXN721020 DNG721020:DNR721020 DDK721020:DDV721020 CTO721020:CTZ721020 CJS721020:CKD721020 BZW721020:CAH721020 BQA721020:BQL721020 BGE721020:BGP721020 AWI721020:AWT721020 AMM721020:AMX721020 ACQ721020:ADB721020 SU721020:TF721020 IY721020:JJ721020 C721020:N721020 WVK655484:WVV655484 WLO655484:WLZ655484 WBS655484:WCD655484 VRW655484:VSH655484 VIA655484:VIL655484 UYE655484:UYP655484 UOI655484:UOT655484 UEM655484:UEX655484 TUQ655484:TVB655484 TKU655484:TLF655484 TAY655484:TBJ655484 SRC655484:SRN655484 SHG655484:SHR655484 RXK655484:RXV655484 RNO655484:RNZ655484 RDS655484:RED655484 QTW655484:QUH655484 QKA655484:QKL655484 QAE655484:QAP655484 PQI655484:PQT655484 PGM655484:PGX655484 OWQ655484:OXB655484 OMU655484:ONF655484 OCY655484:ODJ655484 NTC655484:NTN655484 NJG655484:NJR655484 MZK655484:MZV655484 MPO655484:MPZ655484 MFS655484:MGD655484 LVW655484:LWH655484 LMA655484:LML655484 LCE655484:LCP655484 KSI655484:KST655484 KIM655484:KIX655484 JYQ655484:JZB655484 JOU655484:JPF655484 JEY655484:JFJ655484 IVC655484:IVN655484 ILG655484:ILR655484 IBK655484:IBV655484 HRO655484:HRZ655484 HHS655484:HID655484 GXW655484:GYH655484 GOA655484:GOL655484 GEE655484:GEP655484 FUI655484:FUT655484 FKM655484:FKX655484 FAQ655484:FBB655484 EQU655484:ERF655484 EGY655484:EHJ655484 DXC655484:DXN655484 DNG655484:DNR655484 DDK655484:DDV655484 CTO655484:CTZ655484 CJS655484:CKD655484 BZW655484:CAH655484 BQA655484:BQL655484 BGE655484:BGP655484 AWI655484:AWT655484 AMM655484:AMX655484 ACQ655484:ADB655484 SU655484:TF655484 IY655484:JJ655484 C655484:N655484 WVK589948:WVV589948 WLO589948:WLZ589948 WBS589948:WCD589948 VRW589948:VSH589948 VIA589948:VIL589948 UYE589948:UYP589948 UOI589948:UOT589948 UEM589948:UEX589948 TUQ589948:TVB589948 TKU589948:TLF589948 TAY589948:TBJ589948 SRC589948:SRN589948 SHG589948:SHR589948 RXK589948:RXV589948 RNO589948:RNZ589948 RDS589948:RED589948 QTW589948:QUH589948 QKA589948:QKL589948 QAE589948:QAP589948 PQI589948:PQT589948 PGM589948:PGX589948 OWQ589948:OXB589948 OMU589948:ONF589948 OCY589948:ODJ589948 NTC589948:NTN589948 NJG589948:NJR589948 MZK589948:MZV589948 MPO589948:MPZ589948 MFS589948:MGD589948 LVW589948:LWH589948 LMA589948:LML589948 LCE589948:LCP589948 KSI589948:KST589948 KIM589948:KIX589948 JYQ589948:JZB589948 JOU589948:JPF589948 JEY589948:JFJ589948 IVC589948:IVN589948 ILG589948:ILR589948 IBK589948:IBV589948 HRO589948:HRZ589948 HHS589948:HID589948 GXW589948:GYH589948 GOA589948:GOL589948 GEE589948:GEP589948 FUI589948:FUT589948 FKM589948:FKX589948 FAQ589948:FBB589948 EQU589948:ERF589948 EGY589948:EHJ589948 DXC589948:DXN589948 DNG589948:DNR589948 DDK589948:DDV589948 CTO589948:CTZ589948 CJS589948:CKD589948 BZW589948:CAH589948 BQA589948:BQL589948 BGE589948:BGP589948 AWI589948:AWT589948 AMM589948:AMX589948 ACQ589948:ADB589948 SU589948:TF589948 IY589948:JJ589948 C589948:N589948 WVK524412:WVV524412 WLO524412:WLZ524412 WBS524412:WCD524412 VRW524412:VSH524412 VIA524412:VIL524412 UYE524412:UYP524412 UOI524412:UOT524412 UEM524412:UEX524412 TUQ524412:TVB524412 TKU524412:TLF524412 TAY524412:TBJ524412 SRC524412:SRN524412 SHG524412:SHR524412 RXK524412:RXV524412 RNO524412:RNZ524412 RDS524412:RED524412 QTW524412:QUH524412 QKA524412:QKL524412 QAE524412:QAP524412 PQI524412:PQT524412 PGM524412:PGX524412 OWQ524412:OXB524412 OMU524412:ONF524412 OCY524412:ODJ524412 NTC524412:NTN524412 NJG524412:NJR524412 MZK524412:MZV524412 MPO524412:MPZ524412 MFS524412:MGD524412 LVW524412:LWH524412 LMA524412:LML524412 LCE524412:LCP524412 KSI524412:KST524412 KIM524412:KIX524412 JYQ524412:JZB524412 JOU524412:JPF524412 JEY524412:JFJ524412 IVC524412:IVN524412 ILG524412:ILR524412 IBK524412:IBV524412 HRO524412:HRZ524412 HHS524412:HID524412 GXW524412:GYH524412 GOA524412:GOL524412 GEE524412:GEP524412 FUI524412:FUT524412 FKM524412:FKX524412 FAQ524412:FBB524412 EQU524412:ERF524412 EGY524412:EHJ524412 DXC524412:DXN524412 DNG524412:DNR524412 DDK524412:DDV524412 CTO524412:CTZ524412 CJS524412:CKD524412 BZW524412:CAH524412 BQA524412:BQL524412 BGE524412:BGP524412 AWI524412:AWT524412 AMM524412:AMX524412 ACQ524412:ADB524412 SU524412:TF524412 IY524412:JJ524412 C524412:N524412 WVK458876:WVV458876 WLO458876:WLZ458876 WBS458876:WCD458876 VRW458876:VSH458876 VIA458876:VIL458876 UYE458876:UYP458876 UOI458876:UOT458876 UEM458876:UEX458876 TUQ458876:TVB458876 TKU458876:TLF458876 TAY458876:TBJ458876 SRC458876:SRN458876 SHG458876:SHR458876 RXK458876:RXV458876 RNO458876:RNZ458876 RDS458876:RED458876 QTW458876:QUH458876 QKA458876:QKL458876 QAE458876:QAP458876 PQI458876:PQT458876 PGM458876:PGX458876 OWQ458876:OXB458876 OMU458876:ONF458876 OCY458876:ODJ458876 NTC458876:NTN458876 NJG458876:NJR458876 MZK458876:MZV458876 MPO458876:MPZ458876 MFS458876:MGD458876 LVW458876:LWH458876 LMA458876:LML458876 LCE458876:LCP458876 KSI458876:KST458876 KIM458876:KIX458876 JYQ458876:JZB458876 JOU458876:JPF458876 JEY458876:JFJ458876 IVC458876:IVN458876 ILG458876:ILR458876 IBK458876:IBV458876 HRO458876:HRZ458876 HHS458876:HID458876 GXW458876:GYH458876 GOA458876:GOL458876 GEE458876:GEP458876 FUI458876:FUT458876 FKM458876:FKX458876 FAQ458876:FBB458876 EQU458876:ERF458876 EGY458876:EHJ458876 DXC458876:DXN458876 DNG458876:DNR458876 DDK458876:DDV458876 CTO458876:CTZ458876 CJS458876:CKD458876 BZW458876:CAH458876 BQA458876:BQL458876 BGE458876:BGP458876 AWI458876:AWT458876 AMM458876:AMX458876 ACQ458876:ADB458876 SU458876:TF458876 IY458876:JJ458876 C458876:N458876 WVK393340:WVV393340 WLO393340:WLZ393340 WBS393340:WCD393340 VRW393340:VSH393340 VIA393340:VIL393340 UYE393340:UYP393340 UOI393340:UOT393340 UEM393340:UEX393340 TUQ393340:TVB393340 TKU393340:TLF393340 TAY393340:TBJ393340 SRC393340:SRN393340 SHG393340:SHR393340 RXK393340:RXV393340 RNO393340:RNZ393340 RDS393340:RED393340 QTW393340:QUH393340 QKA393340:QKL393340 QAE393340:QAP393340 PQI393340:PQT393340 PGM393340:PGX393340 OWQ393340:OXB393340 OMU393340:ONF393340 OCY393340:ODJ393340 NTC393340:NTN393340 NJG393340:NJR393340 MZK393340:MZV393340 MPO393340:MPZ393340 MFS393340:MGD393340 LVW393340:LWH393340 LMA393340:LML393340 LCE393340:LCP393340 KSI393340:KST393340 KIM393340:KIX393340 JYQ393340:JZB393340 JOU393340:JPF393340 JEY393340:JFJ393340 IVC393340:IVN393340 ILG393340:ILR393340 IBK393340:IBV393340 HRO393340:HRZ393340 HHS393340:HID393340 GXW393340:GYH393340 GOA393340:GOL393340 GEE393340:GEP393340 FUI393340:FUT393340 FKM393340:FKX393340 FAQ393340:FBB393340 EQU393340:ERF393340 EGY393340:EHJ393340 DXC393340:DXN393340 DNG393340:DNR393340 DDK393340:DDV393340 CTO393340:CTZ393340 CJS393340:CKD393340 BZW393340:CAH393340 BQA393340:BQL393340 BGE393340:BGP393340 AWI393340:AWT393340 AMM393340:AMX393340 ACQ393340:ADB393340 SU393340:TF393340 IY393340:JJ393340 C393340:N393340 WVK327804:WVV327804 WLO327804:WLZ327804 WBS327804:WCD327804 VRW327804:VSH327804 VIA327804:VIL327804 UYE327804:UYP327804 UOI327804:UOT327804 UEM327804:UEX327804 TUQ327804:TVB327804 TKU327804:TLF327804 TAY327804:TBJ327804 SRC327804:SRN327804 SHG327804:SHR327804 RXK327804:RXV327804 RNO327804:RNZ327804 RDS327804:RED327804 QTW327804:QUH327804 QKA327804:QKL327804 QAE327804:QAP327804 PQI327804:PQT327804 PGM327804:PGX327804 OWQ327804:OXB327804 OMU327804:ONF327804 OCY327804:ODJ327804 NTC327804:NTN327804 NJG327804:NJR327804 MZK327804:MZV327804 MPO327804:MPZ327804 MFS327804:MGD327804 LVW327804:LWH327804 LMA327804:LML327804 LCE327804:LCP327804 KSI327804:KST327804 KIM327804:KIX327804 JYQ327804:JZB327804 JOU327804:JPF327804 JEY327804:JFJ327804 IVC327804:IVN327804 ILG327804:ILR327804 IBK327804:IBV327804 HRO327804:HRZ327804 HHS327804:HID327804 GXW327804:GYH327804 GOA327804:GOL327804 GEE327804:GEP327804 FUI327804:FUT327804 FKM327804:FKX327804 FAQ327804:FBB327804 EQU327804:ERF327804 EGY327804:EHJ327804 DXC327804:DXN327804 DNG327804:DNR327804 DDK327804:DDV327804 CTO327804:CTZ327804 CJS327804:CKD327804 BZW327804:CAH327804 BQA327804:BQL327804 BGE327804:BGP327804 AWI327804:AWT327804 AMM327804:AMX327804 ACQ327804:ADB327804 SU327804:TF327804 IY327804:JJ327804 C327804:N327804 WVK262268:WVV262268 WLO262268:WLZ262268 WBS262268:WCD262268 VRW262268:VSH262268 VIA262268:VIL262268 UYE262268:UYP262268 UOI262268:UOT262268 UEM262268:UEX262268 TUQ262268:TVB262268 TKU262268:TLF262268 TAY262268:TBJ262268 SRC262268:SRN262268 SHG262268:SHR262268 RXK262268:RXV262268 RNO262268:RNZ262268 RDS262268:RED262268 QTW262268:QUH262268 QKA262268:QKL262268 QAE262268:QAP262268 PQI262268:PQT262268 PGM262268:PGX262268 OWQ262268:OXB262268 OMU262268:ONF262268 OCY262268:ODJ262268 NTC262268:NTN262268 NJG262268:NJR262268 MZK262268:MZV262268 MPO262268:MPZ262268 MFS262268:MGD262268 LVW262268:LWH262268 LMA262268:LML262268 LCE262268:LCP262268 KSI262268:KST262268 KIM262268:KIX262268 JYQ262268:JZB262268 JOU262268:JPF262268 JEY262268:JFJ262268 IVC262268:IVN262268 ILG262268:ILR262268 IBK262268:IBV262268 HRO262268:HRZ262268 HHS262268:HID262268 GXW262268:GYH262268 GOA262268:GOL262268 GEE262268:GEP262268 FUI262268:FUT262268 FKM262268:FKX262268 FAQ262268:FBB262268 EQU262268:ERF262268 EGY262268:EHJ262268 DXC262268:DXN262268 DNG262268:DNR262268 DDK262268:DDV262268 CTO262268:CTZ262268 CJS262268:CKD262268 BZW262268:CAH262268 BQA262268:BQL262268 BGE262268:BGP262268 AWI262268:AWT262268 AMM262268:AMX262268 ACQ262268:ADB262268 SU262268:TF262268 IY262268:JJ262268 C262268:N262268 WVK196732:WVV196732 WLO196732:WLZ196732 WBS196732:WCD196732 VRW196732:VSH196732 VIA196732:VIL196732 UYE196732:UYP196732 UOI196732:UOT196732 UEM196732:UEX196732 TUQ196732:TVB196732 TKU196732:TLF196732 TAY196732:TBJ196732 SRC196732:SRN196732 SHG196732:SHR196732 RXK196732:RXV196732 RNO196732:RNZ196732 RDS196732:RED196732 QTW196732:QUH196732 QKA196732:QKL196732 QAE196732:QAP196732 PQI196732:PQT196732 PGM196732:PGX196732 OWQ196732:OXB196732 OMU196732:ONF196732 OCY196732:ODJ196732 NTC196732:NTN196732 NJG196732:NJR196732 MZK196732:MZV196732 MPO196732:MPZ196732 MFS196732:MGD196732 LVW196732:LWH196732 LMA196732:LML196732 LCE196732:LCP196732 KSI196732:KST196732 KIM196732:KIX196732 JYQ196732:JZB196732 JOU196732:JPF196732 JEY196732:JFJ196732 IVC196732:IVN196732 ILG196732:ILR196732 IBK196732:IBV196732 HRO196732:HRZ196732 HHS196732:HID196732 GXW196732:GYH196732 GOA196732:GOL196732 GEE196732:GEP196732 FUI196732:FUT196732 FKM196732:FKX196732 FAQ196732:FBB196732 EQU196732:ERF196732 EGY196732:EHJ196732 DXC196732:DXN196732 DNG196732:DNR196732 DDK196732:DDV196732 CTO196732:CTZ196732 CJS196732:CKD196732 BZW196732:CAH196732 BQA196732:BQL196732 BGE196732:BGP196732 AWI196732:AWT196732 AMM196732:AMX196732 ACQ196732:ADB196732 SU196732:TF196732 IY196732:JJ196732 C196732:N196732 WVK131196:WVV131196 WLO131196:WLZ131196 WBS131196:WCD131196 VRW131196:VSH131196 VIA131196:VIL131196 UYE131196:UYP131196 UOI131196:UOT131196 UEM131196:UEX131196 TUQ131196:TVB131196 TKU131196:TLF131196 TAY131196:TBJ131196 SRC131196:SRN131196 SHG131196:SHR131196 RXK131196:RXV131196 RNO131196:RNZ131196 RDS131196:RED131196 QTW131196:QUH131196 QKA131196:QKL131196 QAE131196:QAP131196 PQI131196:PQT131196 PGM131196:PGX131196 OWQ131196:OXB131196 OMU131196:ONF131196 OCY131196:ODJ131196 NTC131196:NTN131196 NJG131196:NJR131196 MZK131196:MZV131196 MPO131196:MPZ131196 MFS131196:MGD131196 LVW131196:LWH131196 LMA131196:LML131196 LCE131196:LCP131196 KSI131196:KST131196 KIM131196:KIX131196 JYQ131196:JZB131196 JOU131196:JPF131196 JEY131196:JFJ131196 IVC131196:IVN131196 ILG131196:ILR131196 IBK131196:IBV131196 HRO131196:HRZ131196 HHS131196:HID131196 GXW131196:GYH131196 GOA131196:GOL131196 GEE131196:GEP131196 FUI131196:FUT131196 FKM131196:FKX131196 FAQ131196:FBB131196 EQU131196:ERF131196 EGY131196:EHJ131196 DXC131196:DXN131196 DNG131196:DNR131196 DDK131196:DDV131196 CTO131196:CTZ131196 CJS131196:CKD131196 BZW131196:CAH131196 BQA131196:BQL131196 BGE131196:BGP131196 AWI131196:AWT131196 AMM131196:AMX131196 ACQ131196:ADB131196 SU131196:TF131196 IY131196:JJ131196 C131196:N131196 WVK65660:WVV65660 WLO65660:WLZ65660 WBS65660:WCD65660 VRW65660:VSH65660 VIA65660:VIL65660 UYE65660:UYP65660 UOI65660:UOT65660 UEM65660:UEX65660 TUQ65660:TVB65660 TKU65660:TLF65660 TAY65660:TBJ65660 SRC65660:SRN65660 SHG65660:SHR65660 RXK65660:RXV65660 RNO65660:RNZ65660 RDS65660:RED65660 QTW65660:QUH65660 QKA65660:QKL65660 QAE65660:QAP65660 PQI65660:PQT65660 PGM65660:PGX65660 OWQ65660:OXB65660 OMU65660:ONF65660 OCY65660:ODJ65660 NTC65660:NTN65660 NJG65660:NJR65660 MZK65660:MZV65660 MPO65660:MPZ65660 MFS65660:MGD65660 LVW65660:LWH65660 LMA65660:LML65660 LCE65660:LCP65660 KSI65660:KST65660 KIM65660:KIX65660 JYQ65660:JZB65660 JOU65660:JPF65660 JEY65660:JFJ65660 IVC65660:IVN65660 ILG65660:ILR65660 IBK65660:IBV65660 HRO65660:HRZ65660 HHS65660:HID65660 GXW65660:GYH65660 GOA65660:GOL65660 GEE65660:GEP65660 FUI65660:FUT65660 FKM65660:FKX65660 FAQ65660:FBB65660 EQU65660:ERF65660 EGY65660:EHJ65660 DXC65660:DXN65660 DNG65660:DNR65660 DDK65660:DDV65660 CTO65660:CTZ65660 CJS65660:CKD65660 BZW65660:CAH65660 BQA65660:BQL65660 BGE65660:BGP65660 AWI65660:AWT65660 AMM65660:AMX65660 ACQ65660:ADB65660 SU65660:TF65660 IY65660:JJ65660 C65660:N65660 WVK206:WVV206 WLO206:WLZ206 WBS206:WCD206 VRW206:VSH206 VIA206:VIL206 UYE206:UYP206 UOI206:UOT206 UEM206:UEX206 TUQ206:TVB206 TKU206:TLF206 TAY206:TBJ206 SRC206:SRN206 SHG206:SHR206 RXK206:RXV206 RNO206:RNZ206 RDS206:RED206 QTW206:QUH206 QKA206:QKL206 QAE206:QAP206 PQI206:PQT206 PGM206:PGX206 OWQ206:OXB206 OMU206:ONF206 OCY206:ODJ206 NTC206:NTN206 NJG206:NJR206 MZK206:MZV206 MPO206:MPZ206 MFS206:MGD206 LVW206:LWH206 LMA206:LML206 LCE206:LCP206 KSI206:KST206 KIM206:KIX206 JYQ206:JZB206 JOU206:JPF206 JEY206:JFJ206 IVC206:IVN206 ILG206:ILR206 IBK206:IBV206 HRO206:HRZ206 HHS206:HID206 GXW206:GYH206 GOA206:GOL206 GEE206:GEP206 FUI206:FUT206 FKM206:FKX206 FAQ206:FBB206 EQU206:ERF206 EGY206:EHJ206 DXC206:DXN206 DNG206:DNR206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dimension ref="A7:Y339"/>
  <sheetViews>
    <sheetView zoomScaleNormal="100" workbookViewId="0">
      <selection sqref="A1:XFD1048576"/>
    </sheetView>
  </sheetViews>
  <sheetFormatPr baseColWidth="10" defaultRowHeight="15" x14ac:dyDescent="0.25"/>
  <cols>
    <col min="1" max="1" width="30.42578125" style="50" bestFit="1" customWidth="1"/>
    <col min="2" max="2" width="9.140625" style="50" customWidth="1"/>
    <col min="3" max="3" width="8.42578125" style="50" customWidth="1"/>
    <col min="4" max="4" width="9.140625" style="50" customWidth="1"/>
    <col min="5" max="5" width="8.85546875" style="50" customWidth="1"/>
    <col min="6" max="6" width="8.42578125" style="50" customWidth="1"/>
    <col min="7" max="7" width="9.140625" style="50" customWidth="1"/>
    <col min="8" max="9" width="8.5703125" style="50" customWidth="1"/>
    <col min="10" max="10" width="7.7109375" style="50" customWidth="1"/>
    <col min="11" max="11" width="7.5703125" style="50" customWidth="1"/>
    <col min="12" max="12" width="8" style="50" customWidth="1"/>
    <col min="13" max="13" width="8.140625" style="50" customWidth="1"/>
    <col min="14" max="14" width="8.85546875" style="50" customWidth="1"/>
    <col min="15" max="17" width="11.42578125" style="50"/>
    <col min="18" max="18" width="13.140625" style="50" customWidth="1"/>
    <col min="19" max="19" width="14.140625" style="50" customWidth="1"/>
    <col min="20" max="20" width="14" style="50" customWidth="1"/>
    <col min="21" max="256" width="11.42578125" style="50"/>
    <col min="257" max="257" width="20.5703125" style="50" customWidth="1"/>
    <col min="258" max="258" width="0" style="50" hidden="1" customWidth="1"/>
    <col min="259" max="259" width="8.42578125" style="50" customWidth="1"/>
    <col min="260" max="260" width="9.140625" style="50" customWidth="1"/>
    <col min="261" max="261" width="8.85546875" style="50" customWidth="1"/>
    <col min="262" max="262" width="8.42578125" style="50" customWidth="1"/>
    <col min="263" max="263" width="9.140625" style="50" customWidth="1"/>
    <col min="264" max="265" width="8.5703125" style="50" customWidth="1"/>
    <col min="266" max="266" width="7.7109375" style="50" customWidth="1"/>
    <col min="267" max="267" width="7.5703125" style="50" customWidth="1"/>
    <col min="268" max="268" width="8" style="50" customWidth="1"/>
    <col min="269" max="269" width="8.140625" style="50" customWidth="1"/>
    <col min="270" max="270" width="8.85546875" style="50" customWidth="1"/>
    <col min="271" max="273" width="11.42578125" style="50"/>
    <col min="274" max="274" width="13.140625" style="50" customWidth="1"/>
    <col min="275" max="275" width="14.140625" style="50" customWidth="1"/>
    <col min="276" max="276" width="14" style="50" customWidth="1"/>
    <col min="277" max="512" width="11.42578125" style="50"/>
    <col min="513" max="513" width="20.5703125" style="50" customWidth="1"/>
    <col min="514" max="514" width="0" style="50" hidden="1" customWidth="1"/>
    <col min="515" max="515" width="8.42578125" style="50" customWidth="1"/>
    <col min="516" max="516" width="9.140625" style="50" customWidth="1"/>
    <col min="517" max="517" width="8.85546875" style="50" customWidth="1"/>
    <col min="518" max="518" width="8.42578125" style="50" customWidth="1"/>
    <col min="519" max="519" width="9.140625" style="50" customWidth="1"/>
    <col min="520" max="521" width="8.5703125" style="50" customWidth="1"/>
    <col min="522" max="522" width="7.7109375" style="50" customWidth="1"/>
    <col min="523" max="523" width="7.5703125" style="50" customWidth="1"/>
    <col min="524" max="524" width="8" style="50" customWidth="1"/>
    <col min="525" max="525" width="8.140625" style="50" customWidth="1"/>
    <col min="526" max="526" width="8.85546875" style="50" customWidth="1"/>
    <col min="527" max="529" width="11.42578125" style="50"/>
    <col min="530" max="530" width="13.140625" style="50" customWidth="1"/>
    <col min="531" max="531" width="14.140625" style="50" customWidth="1"/>
    <col min="532" max="532" width="14" style="50" customWidth="1"/>
    <col min="533" max="768" width="11.42578125" style="50"/>
    <col min="769" max="769" width="20.5703125" style="50" customWidth="1"/>
    <col min="770" max="770" width="0" style="50" hidden="1" customWidth="1"/>
    <col min="771" max="771" width="8.42578125" style="50" customWidth="1"/>
    <col min="772" max="772" width="9.140625" style="50" customWidth="1"/>
    <col min="773" max="773" width="8.85546875" style="50" customWidth="1"/>
    <col min="774" max="774" width="8.42578125" style="50" customWidth="1"/>
    <col min="775" max="775" width="9.140625" style="50" customWidth="1"/>
    <col min="776" max="777" width="8.5703125" style="50" customWidth="1"/>
    <col min="778" max="778" width="7.7109375" style="50" customWidth="1"/>
    <col min="779" max="779" width="7.5703125" style="50" customWidth="1"/>
    <col min="780" max="780" width="8" style="50" customWidth="1"/>
    <col min="781" max="781" width="8.140625" style="50" customWidth="1"/>
    <col min="782" max="782" width="8.85546875" style="50" customWidth="1"/>
    <col min="783" max="785" width="11.42578125" style="50"/>
    <col min="786" max="786" width="13.140625" style="50" customWidth="1"/>
    <col min="787" max="787" width="14.140625" style="50" customWidth="1"/>
    <col min="788" max="788" width="14" style="50" customWidth="1"/>
    <col min="789" max="1024" width="11.42578125" style="50"/>
    <col min="1025" max="1025" width="20.5703125" style="50" customWidth="1"/>
    <col min="1026" max="1026" width="0" style="50" hidden="1" customWidth="1"/>
    <col min="1027" max="1027" width="8.42578125" style="50" customWidth="1"/>
    <col min="1028" max="1028" width="9.140625" style="50" customWidth="1"/>
    <col min="1029" max="1029" width="8.85546875" style="50" customWidth="1"/>
    <col min="1030" max="1030" width="8.42578125" style="50" customWidth="1"/>
    <col min="1031" max="1031" width="9.140625" style="50" customWidth="1"/>
    <col min="1032" max="1033" width="8.5703125" style="50" customWidth="1"/>
    <col min="1034" max="1034" width="7.7109375" style="50" customWidth="1"/>
    <col min="1035" max="1035" width="7.5703125" style="50" customWidth="1"/>
    <col min="1036" max="1036" width="8" style="50" customWidth="1"/>
    <col min="1037" max="1037" width="8.140625" style="50" customWidth="1"/>
    <col min="1038" max="1038" width="8.85546875" style="50" customWidth="1"/>
    <col min="1039" max="1041" width="11.42578125" style="50"/>
    <col min="1042" max="1042" width="13.140625" style="50" customWidth="1"/>
    <col min="1043" max="1043" width="14.140625" style="50" customWidth="1"/>
    <col min="1044" max="1044" width="14" style="50" customWidth="1"/>
    <col min="1045" max="1280" width="11.42578125" style="50"/>
    <col min="1281" max="1281" width="20.5703125" style="50" customWidth="1"/>
    <col min="1282" max="1282" width="0" style="50" hidden="1" customWidth="1"/>
    <col min="1283" max="1283" width="8.42578125" style="50" customWidth="1"/>
    <col min="1284" max="1284" width="9.140625" style="50" customWidth="1"/>
    <col min="1285" max="1285" width="8.85546875" style="50" customWidth="1"/>
    <col min="1286" max="1286" width="8.42578125" style="50" customWidth="1"/>
    <col min="1287" max="1287" width="9.140625" style="50" customWidth="1"/>
    <col min="1288" max="1289" width="8.5703125" style="50" customWidth="1"/>
    <col min="1290" max="1290" width="7.7109375" style="50" customWidth="1"/>
    <col min="1291" max="1291" width="7.5703125" style="50" customWidth="1"/>
    <col min="1292" max="1292" width="8" style="50" customWidth="1"/>
    <col min="1293" max="1293" width="8.140625" style="50" customWidth="1"/>
    <col min="1294" max="1294" width="8.85546875" style="50" customWidth="1"/>
    <col min="1295" max="1297" width="11.42578125" style="50"/>
    <col min="1298" max="1298" width="13.140625" style="50" customWidth="1"/>
    <col min="1299" max="1299" width="14.140625" style="50" customWidth="1"/>
    <col min="1300" max="1300" width="14" style="50" customWidth="1"/>
    <col min="1301" max="1536" width="11.42578125" style="50"/>
    <col min="1537" max="1537" width="20.5703125" style="50" customWidth="1"/>
    <col min="1538" max="1538" width="0" style="50" hidden="1" customWidth="1"/>
    <col min="1539" max="1539" width="8.42578125" style="50" customWidth="1"/>
    <col min="1540" max="1540" width="9.140625" style="50" customWidth="1"/>
    <col min="1541" max="1541" width="8.85546875" style="50" customWidth="1"/>
    <col min="1542" max="1542" width="8.42578125" style="50" customWidth="1"/>
    <col min="1543" max="1543" width="9.140625" style="50" customWidth="1"/>
    <col min="1544" max="1545" width="8.5703125" style="50" customWidth="1"/>
    <col min="1546" max="1546" width="7.7109375" style="50" customWidth="1"/>
    <col min="1547" max="1547" width="7.5703125" style="50" customWidth="1"/>
    <col min="1548" max="1548" width="8" style="50" customWidth="1"/>
    <col min="1549" max="1549" width="8.140625" style="50" customWidth="1"/>
    <col min="1550" max="1550" width="8.85546875" style="50" customWidth="1"/>
    <col min="1551" max="1553" width="11.42578125" style="50"/>
    <col min="1554" max="1554" width="13.140625" style="50" customWidth="1"/>
    <col min="1555" max="1555" width="14.140625" style="50" customWidth="1"/>
    <col min="1556" max="1556" width="14" style="50" customWidth="1"/>
    <col min="1557" max="1792" width="11.42578125" style="50"/>
    <col min="1793" max="1793" width="20.5703125" style="50" customWidth="1"/>
    <col min="1794" max="1794" width="0" style="50" hidden="1" customWidth="1"/>
    <col min="1795" max="1795" width="8.42578125" style="50" customWidth="1"/>
    <col min="1796" max="1796" width="9.140625" style="50" customWidth="1"/>
    <col min="1797" max="1797" width="8.85546875" style="50" customWidth="1"/>
    <col min="1798" max="1798" width="8.42578125" style="50" customWidth="1"/>
    <col min="1799" max="1799" width="9.140625" style="50" customWidth="1"/>
    <col min="1800" max="1801" width="8.5703125" style="50" customWidth="1"/>
    <col min="1802" max="1802" width="7.7109375" style="50" customWidth="1"/>
    <col min="1803" max="1803" width="7.5703125" style="50" customWidth="1"/>
    <col min="1804" max="1804" width="8" style="50" customWidth="1"/>
    <col min="1805" max="1805" width="8.140625" style="50" customWidth="1"/>
    <col min="1806" max="1806" width="8.85546875" style="50" customWidth="1"/>
    <col min="1807" max="1809" width="11.42578125" style="50"/>
    <col min="1810" max="1810" width="13.140625" style="50" customWidth="1"/>
    <col min="1811" max="1811" width="14.140625" style="50" customWidth="1"/>
    <col min="1812" max="1812" width="14" style="50" customWidth="1"/>
    <col min="1813" max="2048" width="11.42578125" style="50"/>
    <col min="2049" max="2049" width="20.5703125" style="50" customWidth="1"/>
    <col min="2050" max="2050" width="0" style="50" hidden="1" customWidth="1"/>
    <col min="2051" max="2051" width="8.42578125" style="50" customWidth="1"/>
    <col min="2052" max="2052" width="9.140625" style="50" customWidth="1"/>
    <col min="2053" max="2053" width="8.85546875" style="50" customWidth="1"/>
    <col min="2054" max="2054" width="8.42578125" style="50" customWidth="1"/>
    <col min="2055" max="2055" width="9.140625" style="50" customWidth="1"/>
    <col min="2056" max="2057" width="8.5703125" style="50" customWidth="1"/>
    <col min="2058" max="2058" width="7.7109375" style="50" customWidth="1"/>
    <col min="2059" max="2059" width="7.5703125" style="50" customWidth="1"/>
    <col min="2060" max="2060" width="8" style="50" customWidth="1"/>
    <col min="2061" max="2061" width="8.140625" style="50" customWidth="1"/>
    <col min="2062" max="2062" width="8.85546875" style="50" customWidth="1"/>
    <col min="2063" max="2065" width="11.42578125" style="50"/>
    <col min="2066" max="2066" width="13.140625" style="50" customWidth="1"/>
    <col min="2067" max="2067" width="14.140625" style="50" customWidth="1"/>
    <col min="2068" max="2068" width="14" style="50" customWidth="1"/>
    <col min="2069" max="2304" width="11.42578125" style="50"/>
    <col min="2305" max="2305" width="20.5703125" style="50" customWidth="1"/>
    <col min="2306" max="2306" width="0" style="50" hidden="1" customWidth="1"/>
    <col min="2307" max="2307" width="8.42578125" style="50" customWidth="1"/>
    <col min="2308" max="2308" width="9.140625" style="50" customWidth="1"/>
    <col min="2309" max="2309" width="8.85546875" style="50" customWidth="1"/>
    <col min="2310" max="2310" width="8.42578125" style="50" customWidth="1"/>
    <col min="2311" max="2311" width="9.140625" style="50" customWidth="1"/>
    <col min="2312" max="2313" width="8.5703125" style="50" customWidth="1"/>
    <col min="2314" max="2314" width="7.7109375" style="50" customWidth="1"/>
    <col min="2315" max="2315" width="7.5703125" style="50" customWidth="1"/>
    <col min="2316" max="2316" width="8" style="50" customWidth="1"/>
    <col min="2317" max="2317" width="8.140625" style="50" customWidth="1"/>
    <col min="2318" max="2318" width="8.85546875" style="50" customWidth="1"/>
    <col min="2319" max="2321" width="11.42578125" style="50"/>
    <col min="2322" max="2322" width="13.140625" style="50" customWidth="1"/>
    <col min="2323" max="2323" width="14.140625" style="50" customWidth="1"/>
    <col min="2324" max="2324" width="14" style="50" customWidth="1"/>
    <col min="2325" max="2560" width="11.42578125" style="50"/>
    <col min="2561" max="2561" width="20.5703125" style="50" customWidth="1"/>
    <col min="2562" max="2562" width="0" style="50" hidden="1" customWidth="1"/>
    <col min="2563" max="2563" width="8.42578125" style="50" customWidth="1"/>
    <col min="2564" max="2564" width="9.140625" style="50" customWidth="1"/>
    <col min="2565" max="2565" width="8.85546875" style="50" customWidth="1"/>
    <col min="2566" max="2566" width="8.42578125" style="50" customWidth="1"/>
    <col min="2567" max="2567" width="9.140625" style="50" customWidth="1"/>
    <col min="2568" max="2569" width="8.5703125" style="50" customWidth="1"/>
    <col min="2570" max="2570" width="7.7109375" style="50" customWidth="1"/>
    <col min="2571" max="2571" width="7.5703125" style="50" customWidth="1"/>
    <col min="2572" max="2572" width="8" style="50" customWidth="1"/>
    <col min="2573" max="2573" width="8.140625" style="50" customWidth="1"/>
    <col min="2574" max="2574" width="8.85546875" style="50" customWidth="1"/>
    <col min="2575" max="2577" width="11.42578125" style="50"/>
    <col min="2578" max="2578" width="13.140625" style="50" customWidth="1"/>
    <col min="2579" max="2579" width="14.140625" style="50" customWidth="1"/>
    <col min="2580" max="2580" width="14" style="50" customWidth="1"/>
    <col min="2581" max="2816" width="11.42578125" style="50"/>
    <col min="2817" max="2817" width="20.5703125" style="50" customWidth="1"/>
    <col min="2818" max="2818" width="0" style="50" hidden="1" customWidth="1"/>
    <col min="2819" max="2819" width="8.42578125" style="50" customWidth="1"/>
    <col min="2820" max="2820" width="9.140625" style="50" customWidth="1"/>
    <col min="2821" max="2821" width="8.85546875" style="50" customWidth="1"/>
    <col min="2822" max="2822" width="8.42578125" style="50" customWidth="1"/>
    <col min="2823" max="2823" width="9.140625" style="50" customWidth="1"/>
    <col min="2824" max="2825" width="8.5703125" style="50" customWidth="1"/>
    <col min="2826" max="2826" width="7.7109375" style="50" customWidth="1"/>
    <col min="2827" max="2827" width="7.5703125" style="50" customWidth="1"/>
    <col min="2828" max="2828" width="8" style="50" customWidth="1"/>
    <col min="2829" max="2829" width="8.140625" style="50" customWidth="1"/>
    <col min="2830" max="2830" width="8.85546875" style="50" customWidth="1"/>
    <col min="2831" max="2833" width="11.42578125" style="50"/>
    <col min="2834" max="2834" width="13.140625" style="50" customWidth="1"/>
    <col min="2835" max="2835" width="14.140625" style="50" customWidth="1"/>
    <col min="2836" max="2836" width="14" style="50" customWidth="1"/>
    <col min="2837" max="3072" width="11.42578125" style="50"/>
    <col min="3073" max="3073" width="20.5703125" style="50" customWidth="1"/>
    <col min="3074" max="3074" width="0" style="50" hidden="1" customWidth="1"/>
    <col min="3075" max="3075" width="8.42578125" style="50" customWidth="1"/>
    <col min="3076" max="3076" width="9.140625" style="50" customWidth="1"/>
    <col min="3077" max="3077" width="8.85546875" style="50" customWidth="1"/>
    <col min="3078" max="3078" width="8.42578125" style="50" customWidth="1"/>
    <col min="3079" max="3079" width="9.140625" style="50" customWidth="1"/>
    <col min="3080" max="3081" width="8.5703125" style="50" customWidth="1"/>
    <col min="3082" max="3082" width="7.7109375" style="50" customWidth="1"/>
    <col min="3083" max="3083" width="7.5703125" style="50" customWidth="1"/>
    <col min="3084" max="3084" width="8" style="50" customWidth="1"/>
    <col min="3085" max="3085" width="8.140625" style="50" customWidth="1"/>
    <col min="3086" max="3086" width="8.85546875" style="50" customWidth="1"/>
    <col min="3087" max="3089" width="11.42578125" style="50"/>
    <col min="3090" max="3090" width="13.140625" style="50" customWidth="1"/>
    <col min="3091" max="3091" width="14.140625" style="50" customWidth="1"/>
    <col min="3092" max="3092" width="14" style="50" customWidth="1"/>
    <col min="3093" max="3328" width="11.42578125" style="50"/>
    <col min="3329" max="3329" width="20.5703125" style="50" customWidth="1"/>
    <col min="3330" max="3330" width="0" style="50" hidden="1" customWidth="1"/>
    <col min="3331" max="3331" width="8.42578125" style="50" customWidth="1"/>
    <col min="3332" max="3332" width="9.140625" style="50" customWidth="1"/>
    <col min="3333" max="3333" width="8.85546875" style="50" customWidth="1"/>
    <col min="3334" max="3334" width="8.42578125" style="50" customWidth="1"/>
    <col min="3335" max="3335" width="9.140625" style="50" customWidth="1"/>
    <col min="3336" max="3337" width="8.5703125" style="50" customWidth="1"/>
    <col min="3338" max="3338" width="7.7109375" style="50" customWidth="1"/>
    <col min="3339" max="3339" width="7.5703125" style="50" customWidth="1"/>
    <col min="3340" max="3340" width="8" style="50" customWidth="1"/>
    <col min="3341" max="3341" width="8.140625" style="50" customWidth="1"/>
    <col min="3342" max="3342" width="8.85546875" style="50" customWidth="1"/>
    <col min="3343" max="3345" width="11.42578125" style="50"/>
    <col min="3346" max="3346" width="13.140625" style="50" customWidth="1"/>
    <col min="3347" max="3347" width="14.140625" style="50" customWidth="1"/>
    <col min="3348" max="3348" width="14" style="50" customWidth="1"/>
    <col min="3349" max="3584" width="11.42578125" style="50"/>
    <col min="3585" max="3585" width="20.5703125" style="50" customWidth="1"/>
    <col min="3586" max="3586" width="0" style="50" hidden="1" customWidth="1"/>
    <col min="3587" max="3587" width="8.42578125" style="50" customWidth="1"/>
    <col min="3588" max="3588" width="9.140625" style="50" customWidth="1"/>
    <col min="3589" max="3589" width="8.85546875" style="50" customWidth="1"/>
    <col min="3590" max="3590" width="8.42578125" style="50" customWidth="1"/>
    <col min="3591" max="3591" width="9.140625" style="50" customWidth="1"/>
    <col min="3592" max="3593" width="8.5703125" style="50" customWidth="1"/>
    <col min="3594" max="3594" width="7.7109375" style="50" customWidth="1"/>
    <col min="3595" max="3595" width="7.5703125" style="50" customWidth="1"/>
    <col min="3596" max="3596" width="8" style="50" customWidth="1"/>
    <col min="3597" max="3597" width="8.140625" style="50" customWidth="1"/>
    <col min="3598" max="3598" width="8.85546875" style="50" customWidth="1"/>
    <col min="3599" max="3601" width="11.42578125" style="50"/>
    <col min="3602" max="3602" width="13.140625" style="50" customWidth="1"/>
    <col min="3603" max="3603" width="14.140625" style="50" customWidth="1"/>
    <col min="3604" max="3604" width="14" style="50" customWidth="1"/>
    <col min="3605" max="3840" width="11.42578125" style="50"/>
    <col min="3841" max="3841" width="20.5703125" style="50" customWidth="1"/>
    <col min="3842" max="3842" width="0" style="50" hidden="1" customWidth="1"/>
    <col min="3843" max="3843" width="8.42578125" style="50" customWidth="1"/>
    <col min="3844" max="3844" width="9.140625" style="50" customWidth="1"/>
    <col min="3845" max="3845" width="8.85546875" style="50" customWidth="1"/>
    <col min="3846" max="3846" width="8.42578125" style="50" customWidth="1"/>
    <col min="3847" max="3847" width="9.140625" style="50" customWidth="1"/>
    <col min="3848" max="3849" width="8.5703125" style="50" customWidth="1"/>
    <col min="3850" max="3850" width="7.7109375" style="50" customWidth="1"/>
    <col min="3851" max="3851" width="7.5703125" style="50" customWidth="1"/>
    <col min="3852" max="3852" width="8" style="50" customWidth="1"/>
    <col min="3853" max="3853" width="8.140625" style="50" customWidth="1"/>
    <col min="3854" max="3854" width="8.85546875" style="50" customWidth="1"/>
    <col min="3855" max="3857" width="11.42578125" style="50"/>
    <col min="3858" max="3858" width="13.140625" style="50" customWidth="1"/>
    <col min="3859" max="3859" width="14.140625" style="50" customWidth="1"/>
    <col min="3860" max="3860" width="14" style="50" customWidth="1"/>
    <col min="3861" max="4096" width="11.42578125" style="50"/>
    <col min="4097" max="4097" width="20.5703125" style="50" customWidth="1"/>
    <col min="4098" max="4098" width="0" style="50" hidden="1" customWidth="1"/>
    <col min="4099" max="4099" width="8.42578125" style="50" customWidth="1"/>
    <col min="4100" max="4100" width="9.140625" style="50" customWidth="1"/>
    <col min="4101" max="4101" width="8.85546875" style="50" customWidth="1"/>
    <col min="4102" max="4102" width="8.42578125" style="50" customWidth="1"/>
    <col min="4103" max="4103" width="9.140625" style="50" customWidth="1"/>
    <col min="4104" max="4105" width="8.5703125" style="50" customWidth="1"/>
    <col min="4106" max="4106" width="7.7109375" style="50" customWidth="1"/>
    <col min="4107" max="4107" width="7.5703125" style="50" customWidth="1"/>
    <col min="4108" max="4108" width="8" style="50" customWidth="1"/>
    <col min="4109" max="4109" width="8.140625" style="50" customWidth="1"/>
    <col min="4110" max="4110" width="8.85546875" style="50" customWidth="1"/>
    <col min="4111" max="4113" width="11.42578125" style="50"/>
    <col min="4114" max="4114" width="13.140625" style="50" customWidth="1"/>
    <col min="4115" max="4115" width="14.140625" style="50" customWidth="1"/>
    <col min="4116" max="4116" width="14" style="50" customWidth="1"/>
    <col min="4117" max="4352" width="11.42578125" style="50"/>
    <col min="4353" max="4353" width="20.5703125" style="50" customWidth="1"/>
    <col min="4354" max="4354" width="0" style="50" hidden="1" customWidth="1"/>
    <col min="4355" max="4355" width="8.42578125" style="50" customWidth="1"/>
    <col min="4356" max="4356" width="9.140625" style="50" customWidth="1"/>
    <col min="4357" max="4357" width="8.85546875" style="50" customWidth="1"/>
    <col min="4358" max="4358" width="8.42578125" style="50" customWidth="1"/>
    <col min="4359" max="4359" width="9.140625" style="50" customWidth="1"/>
    <col min="4360" max="4361" width="8.5703125" style="50" customWidth="1"/>
    <col min="4362" max="4362" width="7.7109375" style="50" customWidth="1"/>
    <col min="4363" max="4363" width="7.5703125" style="50" customWidth="1"/>
    <col min="4364" max="4364" width="8" style="50" customWidth="1"/>
    <col min="4365" max="4365" width="8.140625" style="50" customWidth="1"/>
    <col min="4366" max="4366" width="8.85546875" style="50" customWidth="1"/>
    <col min="4367" max="4369" width="11.42578125" style="50"/>
    <col min="4370" max="4370" width="13.140625" style="50" customWidth="1"/>
    <col min="4371" max="4371" width="14.140625" style="50" customWidth="1"/>
    <col min="4372" max="4372" width="14" style="50" customWidth="1"/>
    <col min="4373" max="4608" width="11.42578125" style="50"/>
    <col min="4609" max="4609" width="20.5703125" style="50" customWidth="1"/>
    <col min="4610" max="4610" width="0" style="50" hidden="1" customWidth="1"/>
    <col min="4611" max="4611" width="8.42578125" style="50" customWidth="1"/>
    <col min="4612" max="4612" width="9.140625" style="50" customWidth="1"/>
    <col min="4613" max="4613" width="8.85546875" style="50" customWidth="1"/>
    <col min="4614" max="4614" width="8.42578125" style="50" customWidth="1"/>
    <col min="4615" max="4615" width="9.140625" style="50" customWidth="1"/>
    <col min="4616" max="4617" width="8.5703125" style="50" customWidth="1"/>
    <col min="4618" max="4618" width="7.7109375" style="50" customWidth="1"/>
    <col min="4619" max="4619" width="7.5703125" style="50" customWidth="1"/>
    <col min="4620" max="4620" width="8" style="50" customWidth="1"/>
    <col min="4621" max="4621" width="8.140625" style="50" customWidth="1"/>
    <col min="4622" max="4622" width="8.85546875" style="50" customWidth="1"/>
    <col min="4623" max="4625" width="11.42578125" style="50"/>
    <col min="4626" max="4626" width="13.140625" style="50" customWidth="1"/>
    <col min="4627" max="4627" width="14.140625" style="50" customWidth="1"/>
    <col min="4628" max="4628" width="14" style="50" customWidth="1"/>
    <col min="4629" max="4864" width="11.42578125" style="50"/>
    <col min="4865" max="4865" width="20.5703125" style="50" customWidth="1"/>
    <col min="4866" max="4866" width="0" style="50" hidden="1" customWidth="1"/>
    <col min="4867" max="4867" width="8.42578125" style="50" customWidth="1"/>
    <col min="4868" max="4868" width="9.140625" style="50" customWidth="1"/>
    <col min="4869" max="4869" width="8.85546875" style="50" customWidth="1"/>
    <col min="4870" max="4870" width="8.42578125" style="50" customWidth="1"/>
    <col min="4871" max="4871" width="9.140625" style="50" customWidth="1"/>
    <col min="4872" max="4873" width="8.5703125" style="50" customWidth="1"/>
    <col min="4874" max="4874" width="7.7109375" style="50" customWidth="1"/>
    <col min="4875" max="4875" width="7.5703125" style="50" customWidth="1"/>
    <col min="4876" max="4876" width="8" style="50" customWidth="1"/>
    <col min="4877" max="4877" width="8.140625" style="50" customWidth="1"/>
    <col min="4878" max="4878" width="8.85546875" style="50" customWidth="1"/>
    <col min="4879" max="4881" width="11.42578125" style="50"/>
    <col min="4882" max="4882" width="13.140625" style="50" customWidth="1"/>
    <col min="4883" max="4883" width="14.140625" style="50" customWidth="1"/>
    <col min="4884" max="4884" width="14" style="50" customWidth="1"/>
    <col min="4885" max="5120" width="11.42578125" style="50"/>
    <col min="5121" max="5121" width="20.5703125" style="50" customWidth="1"/>
    <col min="5122" max="5122" width="0" style="50" hidden="1" customWidth="1"/>
    <col min="5123" max="5123" width="8.42578125" style="50" customWidth="1"/>
    <col min="5124" max="5124" width="9.140625" style="50" customWidth="1"/>
    <col min="5125" max="5125" width="8.85546875" style="50" customWidth="1"/>
    <col min="5126" max="5126" width="8.42578125" style="50" customWidth="1"/>
    <col min="5127" max="5127" width="9.140625" style="50" customWidth="1"/>
    <col min="5128" max="5129" width="8.5703125" style="50" customWidth="1"/>
    <col min="5130" max="5130" width="7.7109375" style="50" customWidth="1"/>
    <col min="5131" max="5131" width="7.5703125" style="50" customWidth="1"/>
    <col min="5132" max="5132" width="8" style="50" customWidth="1"/>
    <col min="5133" max="5133" width="8.140625" style="50" customWidth="1"/>
    <col min="5134" max="5134" width="8.85546875" style="50" customWidth="1"/>
    <col min="5135" max="5137" width="11.42578125" style="50"/>
    <col min="5138" max="5138" width="13.140625" style="50" customWidth="1"/>
    <col min="5139" max="5139" width="14.140625" style="50" customWidth="1"/>
    <col min="5140" max="5140" width="14" style="50" customWidth="1"/>
    <col min="5141" max="5376" width="11.42578125" style="50"/>
    <col min="5377" max="5377" width="20.5703125" style="50" customWidth="1"/>
    <col min="5378" max="5378" width="0" style="50" hidden="1" customWidth="1"/>
    <col min="5379" max="5379" width="8.42578125" style="50" customWidth="1"/>
    <col min="5380" max="5380" width="9.140625" style="50" customWidth="1"/>
    <col min="5381" max="5381" width="8.85546875" style="50" customWidth="1"/>
    <col min="5382" max="5382" width="8.42578125" style="50" customWidth="1"/>
    <col min="5383" max="5383" width="9.140625" style="50" customWidth="1"/>
    <col min="5384" max="5385" width="8.5703125" style="50" customWidth="1"/>
    <col min="5386" max="5386" width="7.7109375" style="50" customWidth="1"/>
    <col min="5387" max="5387" width="7.5703125" style="50" customWidth="1"/>
    <col min="5388" max="5388" width="8" style="50" customWidth="1"/>
    <col min="5389" max="5389" width="8.140625" style="50" customWidth="1"/>
    <col min="5390" max="5390" width="8.85546875" style="50" customWidth="1"/>
    <col min="5391" max="5393" width="11.42578125" style="50"/>
    <col min="5394" max="5394" width="13.140625" style="50" customWidth="1"/>
    <col min="5395" max="5395" width="14.140625" style="50" customWidth="1"/>
    <col min="5396" max="5396" width="14" style="50" customWidth="1"/>
    <col min="5397" max="5632" width="11.42578125" style="50"/>
    <col min="5633" max="5633" width="20.5703125" style="50" customWidth="1"/>
    <col min="5634" max="5634" width="0" style="50" hidden="1" customWidth="1"/>
    <col min="5635" max="5635" width="8.42578125" style="50" customWidth="1"/>
    <col min="5636" max="5636" width="9.140625" style="50" customWidth="1"/>
    <col min="5637" max="5637" width="8.85546875" style="50" customWidth="1"/>
    <col min="5638" max="5638" width="8.42578125" style="50" customWidth="1"/>
    <col min="5639" max="5639" width="9.140625" style="50" customWidth="1"/>
    <col min="5640" max="5641" width="8.5703125" style="50" customWidth="1"/>
    <col min="5642" max="5642" width="7.7109375" style="50" customWidth="1"/>
    <col min="5643" max="5643" width="7.5703125" style="50" customWidth="1"/>
    <col min="5644" max="5644" width="8" style="50" customWidth="1"/>
    <col min="5645" max="5645" width="8.140625" style="50" customWidth="1"/>
    <col min="5646" max="5646" width="8.85546875" style="50" customWidth="1"/>
    <col min="5647" max="5649" width="11.42578125" style="50"/>
    <col min="5650" max="5650" width="13.140625" style="50" customWidth="1"/>
    <col min="5651" max="5651" width="14.140625" style="50" customWidth="1"/>
    <col min="5652" max="5652" width="14" style="50" customWidth="1"/>
    <col min="5653" max="5888" width="11.42578125" style="50"/>
    <col min="5889" max="5889" width="20.5703125" style="50" customWidth="1"/>
    <col min="5890" max="5890" width="0" style="50" hidden="1" customWidth="1"/>
    <col min="5891" max="5891" width="8.42578125" style="50" customWidth="1"/>
    <col min="5892" max="5892" width="9.140625" style="50" customWidth="1"/>
    <col min="5893" max="5893" width="8.85546875" style="50" customWidth="1"/>
    <col min="5894" max="5894" width="8.42578125" style="50" customWidth="1"/>
    <col min="5895" max="5895" width="9.140625" style="50" customWidth="1"/>
    <col min="5896" max="5897" width="8.5703125" style="50" customWidth="1"/>
    <col min="5898" max="5898" width="7.7109375" style="50" customWidth="1"/>
    <col min="5899" max="5899" width="7.5703125" style="50" customWidth="1"/>
    <col min="5900" max="5900" width="8" style="50" customWidth="1"/>
    <col min="5901" max="5901" width="8.140625" style="50" customWidth="1"/>
    <col min="5902" max="5902" width="8.85546875" style="50" customWidth="1"/>
    <col min="5903" max="5905" width="11.42578125" style="50"/>
    <col min="5906" max="5906" width="13.140625" style="50" customWidth="1"/>
    <col min="5907" max="5907" width="14.140625" style="50" customWidth="1"/>
    <col min="5908" max="5908" width="14" style="50" customWidth="1"/>
    <col min="5909" max="6144" width="11.42578125" style="50"/>
    <col min="6145" max="6145" width="20.5703125" style="50" customWidth="1"/>
    <col min="6146" max="6146" width="0" style="50" hidden="1" customWidth="1"/>
    <col min="6147" max="6147" width="8.42578125" style="50" customWidth="1"/>
    <col min="6148" max="6148" width="9.140625" style="50" customWidth="1"/>
    <col min="6149" max="6149" width="8.85546875" style="50" customWidth="1"/>
    <col min="6150" max="6150" width="8.42578125" style="50" customWidth="1"/>
    <col min="6151" max="6151" width="9.140625" style="50" customWidth="1"/>
    <col min="6152" max="6153" width="8.5703125" style="50" customWidth="1"/>
    <col min="6154" max="6154" width="7.7109375" style="50" customWidth="1"/>
    <col min="6155" max="6155" width="7.5703125" style="50" customWidth="1"/>
    <col min="6156" max="6156" width="8" style="50" customWidth="1"/>
    <col min="6157" max="6157" width="8.140625" style="50" customWidth="1"/>
    <col min="6158" max="6158" width="8.85546875" style="50" customWidth="1"/>
    <col min="6159" max="6161" width="11.42578125" style="50"/>
    <col min="6162" max="6162" width="13.140625" style="50" customWidth="1"/>
    <col min="6163" max="6163" width="14.140625" style="50" customWidth="1"/>
    <col min="6164" max="6164" width="14" style="50" customWidth="1"/>
    <col min="6165" max="6400" width="11.42578125" style="50"/>
    <col min="6401" max="6401" width="20.5703125" style="50" customWidth="1"/>
    <col min="6402" max="6402" width="0" style="50" hidden="1" customWidth="1"/>
    <col min="6403" max="6403" width="8.42578125" style="50" customWidth="1"/>
    <col min="6404" max="6404" width="9.140625" style="50" customWidth="1"/>
    <col min="6405" max="6405" width="8.85546875" style="50" customWidth="1"/>
    <col min="6406" max="6406" width="8.42578125" style="50" customWidth="1"/>
    <col min="6407" max="6407" width="9.140625" style="50" customWidth="1"/>
    <col min="6408" max="6409" width="8.5703125" style="50" customWidth="1"/>
    <col min="6410" max="6410" width="7.7109375" style="50" customWidth="1"/>
    <col min="6411" max="6411" width="7.5703125" style="50" customWidth="1"/>
    <col min="6412" max="6412" width="8" style="50" customWidth="1"/>
    <col min="6413" max="6413" width="8.140625" style="50" customWidth="1"/>
    <col min="6414" max="6414" width="8.85546875" style="50" customWidth="1"/>
    <col min="6415" max="6417" width="11.42578125" style="50"/>
    <col min="6418" max="6418" width="13.140625" style="50" customWidth="1"/>
    <col min="6419" max="6419" width="14.140625" style="50" customWidth="1"/>
    <col min="6420" max="6420" width="14" style="50" customWidth="1"/>
    <col min="6421" max="6656" width="11.42578125" style="50"/>
    <col min="6657" max="6657" width="20.5703125" style="50" customWidth="1"/>
    <col min="6658" max="6658" width="0" style="50" hidden="1" customWidth="1"/>
    <col min="6659" max="6659" width="8.42578125" style="50" customWidth="1"/>
    <col min="6660" max="6660" width="9.140625" style="50" customWidth="1"/>
    <col min="6661" max="6661" width="8.85546875" style="50" customWidth="1"/>
    <col min="6662" max="6662" width="8.42578125" style="50" customWidth="1"/>
    <col min="6663" max="6663" width="9.140625" style="50" customWidth="1"/>
    <col min="6664" max="6665" width="8.5703125" style="50" customWidth="1"/>
    <col min="6666" max="6666" width="7.7109375" style="50" customWidth="1"/>
    <col min="6667" max="6667" width="7.5703125" style="50" customWidth="1"/>
    <col min="6668" max="6668" width="8" style="50" customWidth="1"/>
    <col min="6669" max="6669" width="8.140625" style="50" customWidth="1"/>
    <col min="6670" max="6670" width="8.85546875" style="50" customWidth="1"/>
    <col min="6671" max="6673" width="11.42578125" style="50"/>
    <col min="6674" max="6674" width="13.140625" style="50" customWidth="1"/>
    <col min="6675" max="6675" width="14.140625" style="50" customWidth="1"/>
    <col min="6676" max="6676" width="14" style="50" customWidth="1"/>
    <col min="6677" max="6912" width="11.42578125" style="50"/>
    <col min="6913" max="6913" width="20.5703125" style="50" customWidth="1"/>
    <col min="6914" max="6914" width="0" style="50" hidden="1" customWidth="1"/>
    <col min="6915" max="6915" width="8.42578125" style="50" customWidth="1"/>
    <col min="6916" max="6916" width="9.140625" style="50" customWidth="1"/>
    <col min="6917" max="6917" width="8.85546875" style="50" customWidth="1"/>
    <col min="6918" max="6918" width="8.42578125" style="50" customWidth="1"/>
    <col min="6919" max="6919" width="9.140625" style="50" customWidth="1"/>
    <col min="6920" max="6921" width="8.5703125" style="50" customWidth="1"/>
    <col min="6922" max="6922" width="7.7109375" style="50" customWidth="1"/>
    <col min="6923" max="6923" width="7.5703125" style="50" customWidth="1"/>
    <col min="6924" max="6924" width="8" style="50" customWidth="1"/>
    <col min="6925" max="6925" width="8.140625" style="50" customWidth="1"/>
    <col min="6926" max="6926" width="8.85546875" style="50" customWidth="1"/>
    <col min="6927" max="6929" width="11.42578125" style="50"/>
    <col min="6930" max="6930" width="13.140625" style="50" customWidth="1"/>
    <col min="6931" max="6931" width="14.140625" style="50" customWidth="1"/>
    <col min="6932" max="6932" width="14" style="50" customWidth="1"/>
    <col min="6933" max="7168" width="11.42578125" style="50"/>
    <col min="7169" max="7169" width="20.5703125" style="50" customWidth="1"/>
    <col min="7170" max="7170" width="0" style="50" hidden="1" customWidth="1"/>
    <col min="7171" max="7171" width="8.42578125" style="50" customWidth="1"/>
    <col min="7172" max="7172" width="9.140625" style="50" customWidth="1"/>
    <col min="7173" max="7173" width="8.85546875" style="50" customWidth="1"/>
    <col min="7174" max="7174" width="8.42578125" style="50" customWidth="1"/>
    <col min="7175" max="7175" width="9.140625" style="50" customWidth="1"/>
    <col min="7176" max="7177" width="8.5703125" style="50" customWidth="1"/>
    <col min="7178" max="7178" width="7.7109375" style="50" customWidth="1"/>
    <col min="7179" max="7179" width="7.5703125" style="50" customWidth="1"/>
    <col min="7180" max="7180" width="8" style="50" customWidth="1"/>
    <col min="7181" max="7181" width="8.140625" style="50" customWidth="1"/>
    <col min="7182" max="7182" width="8.85546875" style="50" customWidth="1"/>
    <col min="7183" max="7185" width="11.42578125" style="50"/>
    <col min="7186" max="7186" width="13.140625" style="50" customWidth="1"/>
    <col min="7187" max="7187" width="14.140625" style="50" customWidth="1"/>
    <col min="7188" max="7188" width="14" style="50" customWidth="1"/>
    <col min="7189" max="7424" width="11.42578125" style="50"/>
    <col min="7425" max="7425" width="20.5703125" style="50" customWidth="1"/>
    <col min="7426" max="7426" width="0" style="50" hidden="1" customWidth="1"/>
    <col min="7427" max="7427" width="8.42578125" style="50" customWidth="1"/>
    <col min="7428" max="7428" width="9.140625" style="50" customWidth="1"/>
    <col min="7429" max="7429" width="8.85546875" style="50" customWidth="1"/>
    <col min="7430" max="7430" width="8.42578125" style="50" customWidth="1"/>
    <col min="7431" max="7431" width="9.140625" style="50" customWidth="1"/>
    <col min="7432" max="7433" width="8.5703125" style="50" customWidth="1"/>
    <col min="7434" max="7434" width="7.7109375" style="50" customWidth="1"/>
    <col min="7435" max="7435" width="7.5703125" style="50" customWidth="1"/>
    <col min="7436" max="7436" width="8" style="50" customWidth="1"/>
    <col min="7437" max="7437" width="8.140625" style="50" customWidth="1"/>
    <col min="7438" max="7438" width="8.85546875" style="50" customWidth="1"/>
    <col min="7439" max="7441" width="11.42578125" style="50"/>
    <col min="7442" max="7442" width="13.140625" style="50" customWidth="1"/>
    <col min="7443" max="7443" width="14.140625" style="50" customWidth="1"/>
    <col min="7444" max="7444" width="14" style="50" customWidth="1"/>
    <col min="7445" max="7680" width="11.42578125" style="50"/>
    <col min="7681" max="7681" width="20.5703125" style="50" customWidth="1"/>
    <col min="7682" max="7682" width="0" style="50" hidden="1" customWidth="1"/>
    <col min="7683" max="7683" width="8.42578125" style="50" customWidth="1"/>
    <col min="7684" max="7684" width="9.140625" style="50" customWidth="1"/>
    <col min="7685" max="7685" width="8.85546875" style="50" customWidth="1"/>
    <col min="7686" max="7686" width="8.42578125" style="50" customWidth="1"/>
    <col min="7687" max="7687" width="9.140625" style="50" customWidth="1"/>
    <col min="7688" max="7689" width="8.5703125" style="50" customWidth="1"/>
    <col min="7690" max="7690" width="7.7109375" style="50" customWidth="1"/>
    <col min="7691" max="7691" width="7.5703125" style="50" customWidth="1"/>
    <col min="7692" max="7692" width="8" style="50" customWidth="1"/>
    <col min="7693" max="7693" width="8.140625" style="50" customWidth="1"/>
    <col min="7694" max="7694" width="8.85546875" style="50" customWidth="1"/>
    <col min="7695" max="7697" width="11.42578125" style="50"/>
    <col min="7698" max="7698" width="13.140625" style="50" customWidth="1"/>
    <col min="7699" max="7699" width="14.140625" style="50" customWidth="1"/>
    <col min="7700" max="7700" width="14" style="50" customWidth="1"/>
    <col min="7701" max="7936" width="11.42578125" style="50"/>
    <col min="7937" max="7937" width="20.5703125" style="50" customWidth="1"/>
    <col min="7938" max="7938" width="0" style="50" hidden="1" customWidth="1"/>
    <col min="7939" max="7939" width="8.42578125" style="50" customWidth="1"/>
    <col min="7940" max="7940" width="9.140625" style="50" customWidth="1"/>
    <col min="7941" max="7941" width="8.85546875" style="50" customWidth="1"/>
    <col min="7942" max="7942" width="8.42578125" style="50" customWidth="1"/>
    <col min="7943" max="7943" width="9.140625" style="50" customWidth="1"/>
    <col min="7944" max="7945" width="8.5703125" style="50" customWidth="1"/>
    <col min="7946" max="7946" width="7.7109375" style="50" customWidth="1"/>
    <col min="7947" max="7947" width="7.5703125" style="50" customWidth="1"/>
    <col min="7948" max="7948" width="8" style="50" customWidth="1"/>
    <col min="7949" max="7949" width="8.140625" style="50" customWidth="1"/>
    <col min="7950" max="7950" width="8.85546875" style="50" customWidth="1"/>
    <col min="7951" max="7953" width="11.42578125" style="50"/>
    <col min="7954" max="7954" width="13.140625" style="50" customWidth="1"/>
    <col min="7955" max="7955" width="14.140625" style="50" customWidth="1"/>
    <col min="7956" max="7956" width="14" style="50" customWidth="1"/>
    <col min="7957" max="8192" width="11.42578125" style="50"/>
    <col min="8193" max="8193" width="20.5703125" style="50" customWidth="1"/>
    <col min="8194" max="8194" width="0" style="50" hidden="1" customWidth="1"/>
    <col min="8195" max="8195" width="8.42578125" style="50" customWidth="1"/>
    <col min="8196" max="8196" width="9.140625" style="50" customWidth="1"/>
    <col min="8197" max="8197" width="8.85546875" style="50" customWidth="1"/>
    <col min="8198" max="8198" width="8.42578125" style="50" customWidth="1"/>
    <col min="8199" max="8199" width="9.140625" style="50" customWidth="1"/>
    <col min="8200" max="8201" width="8.5703125" style="50" customWidth="1"/>
    <col min="8202" max="8202" width="7.7109375" style="50" customWidth="1"/>
    <col min="8203" max="8203" width="7.5703125" style="50" customWidth="1"/>
    <col min="8204" max="8204" width="8" style="50" customWidth="1"/>
    <col min="8205" max="8205" width="8.140625" style="50" customWidth="1"/>
    <col min="8206" max="8206" width="8.85546875" style="50" customWidth="1"/>
    <col min="8207" max="8209" width="11.42578125" style="50"/>
    <col min="8210" max="8210" width="13.140625" style="50" customWidth="1"/>
    <col min="8211" max="8211" width="14.140625" style="50" customWidth="1"/>
    <col min="8212" max="8212" width="14" style="50" customWidth="1"/>
    <col min="8213" max="8448" width="11.42578125" style="50"/>
    <col min="8449" max="8449" width="20.5703125" style="50" customWidth="1"/>
    <col min="8450" max="8450" width="0" style="50" hidden="1" customWidth="1"/>
    <col min="8451" max="8451" width="8.42578125" style="50" customWidth="1"/>
    <col min="8452" max="8452" width="9.140625" style="50" customWidth="1"/>
    <col min="8453" max="8453" width="8.85546875" style="50" customWidth="1"/>
    <col min="8454" max="8454" width="8.42578125" style="50" customWidth="1"/>
    <col min="8455" max="8455" width="9.140625" style="50" customWidth="1"/>
    <col min="8456" max="8457" width="8.5703125" style="50" customWidth="1"/>
    <col min="8458" max="8458" width="7.7109375" style="50" customWidth="1"/>
    <col min="8459" max="8459" width="7.5703125" style="50" customWidth="1"/>
    <col min="8460" max="8460" width="8" style="50" customWidth="1"/>
    <col min="8461" max="8461" width="8.140625" style="50" customWidth="1"/>
    <col min="8462" max="8462" width="8.85546875" style="50" customWidth="1"/>
    <col min="8463" max="8465" width="11.42578125" style="50"/>
    <col min="8466" max="8466" width="13.140625" style="50" customWidth="1"/>
    <col min="8467" max="8467" width="14.140625" style="50" customWidth="1"/>
    <col min="8468" max="8468" width="14" style="50" customWidth="1"/>
    <col min="8469" max="8704" width="11.42578125" style="50"/>
    <col min="8705" max="8705" width="20.5703125" style="50" customWidth="1"/>
    <col min="8706" max="8706" width="0" style="50" hidden="1" customWidth="1"/>
    <col min="8707" max="8707" width="8.42578125" style="50" customWidth="1"/>
    <col min="8708" max="8708" width="9.140625" style="50" customWidth="1"/>
    <col min="8709" max="8709" width="8.85546875" style="50" customWidth="1"/>
    <col min="8710" max="8710" width="8.42578125" style="50" customWidth="1"/>
    <col min="8711" max="8711" width="9.140625" style="50" customWidth="1"/>
    <col min="8712" max="8713" width="8.5703125" style="50" customWidth="1"/>
    <col min="8714" max="8714" width="7.7109375" style="50" customWidth="1"/>
    <col min="8715" max="8715" width="7.5703125" style="50" customWidth="1"/>
    <col min="8716" max="8716" width="8" style="50" customWidth="1"/>
    <col min="8717" max="8717" width="8.140625" style="50" customWidth="1"/>
    <col min="8718" max="8718" width="8.85546875" style="50" customWidth="1"/>
    <col min="8719" max="8721" width="11.42578125" style="50"/>
    <col min="8722" max="8722" width="13.140625" style="50" customWidth="1"/>
    <col min="8723" max="8723" width="14.140625" style="50" customWidth="1"/>
    <col min="8724" max="8724" width="14" style="50" customWidth="1"/>
    <col min="8725" max="8960" width="11.42578125" style="50"/>
    <col min="8961" max="8961" width="20.5703125" style="50" customWidth="1"/>
    <col min="8962" max="8962" width="0" style="50" hidden="1" customWidth="1"/>
    <col min="8963" max="8963" width="8.42578125" style="50" customWidth="1"/>
    <col min="8964" max="8964" width="9.140625" style="50" customWidth="1"/>
    <col min="8965" max="8965" width="8.85546875" style="50" customWidth="1"/>
    <col min="8966" max="8966" width="8.42578125" style="50" customWidth="1"/>
    <col min="8967" max="8967" width="9.140625" style="50" customWidth="1"/>
    <col min="8968" max="8969" width="8.5703125" style="50" customWidth="1"/>
    <col min="8970" max="8970" width="7.7109375" style="50" customWidth="1"/>
    <col min="8971" max="8971" width="7.5703125" style="50" customWidth="1"/>
    <col min="8972" max="8972" width="8" style="50" customWidth="1"/>
    <col min="8973" max="8973" width="8.140625" style="50" customWidth="1"/>
    <col min="8974" max="8974" width="8.85546875" style="50" customWidth="1"/>
    <col min="8975" max="8977" width="11.42578125" style="50"/>
    <col min="8978" max="8978" width="13.140625" style="50" customWidth="1"/>
    <col min="8979" max="8979" width="14.140625" style="50" customWidth="1"/>
    <col min="8980" max="8980" width="14" style="50" customWidth="1"/>
    <col min="8981" max="9216" width="11.42578125" style="50"/>
    <col min="9217" max="9217" width="20.5703125" style="50" customWidth="1"/>
    <col min="9218" max="9218" width="0" style="50" hidden="1" customWidth="1"/>
    <col min="9219" max="9219" width="8.42578125" style="50" customWidth="1"/>
    <col min="9220" max="9220" width="9.140625" style="50" customWidth="1"/>
    <col min="9221" max="9221" width="8.85546875" style="50" customWidth="1"/>
    <col min="9222" max="9222" width="8.42578125" style="50" customWidth="1"/>
    <col min="9223" max="9223" width="9.140625" style="50" customWidth="1"/>
    <col min="9224" max="9225" width="8.5703125" style="50" customWidth="1"/>
    <col min="9226" max="9226" width="7.7109375" style="50" customWidth="1"/>
    <col min="9227" max="9227" width="7.5703125" style="50" customWidth="1"/>
    <col min="9228" max="9228" width="8" style="50" customWidth="1"/>
    <col min="9229" max="9229" width="8.140625" style="50" customWidth="1"/>
    <col min="9230" max="9230" width="8.85546875" style="50" customWidth="1"/>
    <col min="9231" max="9233" width="11.42578125" style="50"/>
    <col min="9234" max="9234" width="13.140625" style="50" customWidth="1"/>
    <col min="9235" max="9235" width="14.140625" style="50" customWidth="1"/>
    <col min="9236" max="9236" width="14" style="50" customWidth="1"/>
    <col min="9237" max="9472" width="11.42578125" style="50"/>
    <col min="9473" max="9473" width="20.5703125" style="50" customWidth="1"/>
    <col min="9474" max="9474" width="0" style="50" hidden="1" customWidth="1"/>
    <col min="9475" max="9475" width="8.42578125" style="50" customWidth="1"/>
    <col min="9476" max="9476" width="9.140625" style="50" customWidth="1"/>
    <col min="9477" max="9477" width="8.85546875" style="50" customWidth="1"/>
    <col min="9478" max="9478" width="8.42578125" style="50" customWidth="1"/>
    <col min="9479" max="9479" width="9.140625" style="50" customWidth="1"/>
    <col min="9480" max="9481" width="8.5703125" style="50" customWidth="1"/>
    <col min="9482" max="9482" width="7.7109375" style="50" customWidth="1"/>
    <col min="9483" max="9483" width="7.5703125" style="50" customWidth="1"/>
    <col min="9484" max="9484" width="8" style="50" customWidth="1"/>
    <col min="9485" max="9485" width="8.140625" style="50" customWidth="1"/>
    <col min="9486" max="9486" width="8.85546875" style="50" customWidth="1"/>
    <col min="9487" max="9489" width="11.42578125" style="50"/>
    <col min="9490" max="9490" width="13.140625" style="50" customWidth="1"/>
    <col min="9491" max="9491" width="14.140625" style="50" customWidth="1"/>
    <col min="9492" max="9492" width="14" style="50" customWidth="1"/>
    <col min="9493" max="9728" width="11.42578125" style="50"/>
    <col min="9729" max="9729" width="20.5703125" style="50" customWidth="1"/>
    <col min="9730" max="9730" width="0" style="50" hidden="1" customWidth="1"/>
    <col min="9731" max="9731" width="8.42578125" style="50" customWidth="1"/>
    <col min="9732" max="9732" width="9.140625" style="50" customWidth="1"/>
    <col min="9733" max="9733" width="8.85546875" style="50" customWidth="1"/>
    <col min="9734" max="9734" width="8.42578125" style="50" customWidth="1"/>
    <col min="9735" max="9735" width="9.140625" style="50" customWidth="1"/>
    <col min="9736" max="9737" width="8.5703125" style="50" customWidth="1"/>
    <col min="9738" max="9738" width="7.7109375" style="50" customWidth="1"/>
    <col min="9739" max="9739" width="7.5703125" style="50" customWidth="1"/>
    <col min="9740" max="9740" width="8" style="50" customWidth="1"/>
    <col min="9741" max="9741" width="8.140625" style="50" customWidth="1"/>
    <col min="9742" max="9742" width="8.85546875" style="50" customWidth="1"/>
    <col min="9743" max="9745" width="11.42578125" style="50"/>
    <col min="9746" max="9746" width="13.140625" style="50" customWidth="1"/>
    <col min="9747" max="9747" width="14.140625" style="50" customWidth="1"/>
    <col min="9748" max="9748" width="14" style="50" customWidth="1"/>
    <col min="9749" max="9984" width="11.42578125" style="50"/>
    <col min="9985" max="9985" width="20.5703125" style="50" customWidth="1"/>
    <col min="9986" max="9986" width="0" style="50" hidden="1" customWidth="1"/>
    <col min="9987" max="9987" width="8.42578125" style="50" customWidth="1"/>
    <col min="9988" max="9988" width="9.140625" style="50" customWidth="1"/>
    <col min="9989" max="9989" width="8.85546875" style="50" customWidth="1"/>
    <col min="9990" max="9990" width="8.42578125" style="50" customWidth="1"/>
    <col min="9991" max="9991" width="9.140625" style="50" customWidth="1"/>
    <col min="9992" max="9993" width="8.5703125" style="50" customWidth="1"/>
    <col min="9994" max="9994" width="7.7109375" style="50" customWidth="1"/>
    <col min="9995" max="9995" width="7.5703125" style="50" customWidth="1"/>
    <col min="9996" max="9996" width="8" style="50" customWidth="1"/>
    <col min="9997" max="9997" width="8.140625" style="50" customWidth="1"/>
    <col min="9998" max="9998" width="8.85546875" style="50" customWidth="1"/>
    <col min="9999" max="10001" width="11.42578125" style="50"/>
    <col min="10002" max="10002" width="13.140625" style="50" customWidth="1"/>
    <col min="10003" max="10003" width="14.140625" style="50" customWidth="1"/>
    <col min="10004" max="10004" width="14" style="50" customWidth="1"/>
    <col min="10005" max="10240" width="11.42578125" style="50"/>
    <col min="10241" max="10241" width="20.5703125" style="50" customWidth="1"/>
    <col min="10242" max="10242" width="0" style="50" hidden="1" customWidth="1"/>
    <col min="10243" max="10243" width="8.42578125" style="50" customWidth="1"/>
    <col min="10244" max="10244" width="9.140625" style="50" customWidth="1"/>
    <col min="10245" max="10245" width="8.85546875" style="50" customWidth="1"/>
    <col min="10246" max="10246" width="8.42578125" style="50" customWidth="1"/>
    <col min="10247" max="10247" width="9.140625" style="50" customWidth="1"/>
    <col min="10248" max="10249" width="8.5703125" style="50" customWidth="1"/>
    <col min="10250" max="10250" width="7.7109375" style="50" customWidth="1"/>
    <col min="10251" max="10251" width="7.5703125" style="50" customWidth="1"/>
    <col min="10252" max="10252" width="8" style="50" customWidth="1"/>
    <col min="10253" max="10253" width="8.140625" style="50" customWidth="1"/>
    <col min="10254" max="10254" width="8.85546875" style="50" customWidth="1"/>
    <col min="10255" max="10257" width="11.42578125" style="50"/>
    <col min="10258" max="10258" width="13.140625" style="50" customWidth="1"/>
    <col min="10259" max="10259" width="14.140625" style="50" customWidth="1"/>
    <col min="10260" max="10260" width="14" style="50" customWidth="1"/>
    <col min="10261" max="10496" width="11.42578125" style="50"/>
    <col min="10497" max="10497" width="20.5703125" style="50" customWidth="1"/>
    <col min="10498" max="10498" width="0" style="50" hidden="1" customWidth="1"/>
    <col min="10499" max="10499" width="8.42578125" style="50" customWidth="1"/>
    <col min="10500" max="10500" width="9.140625" style="50" customWidth="1"/>
    <col min="10501" max="10501" width="8.85546875" style="50" customWidth="1"/>
    <col min="10502" max="10502" width="8.42578125" style="50" customWidth="1"/>
    <col min="10503" max="10503" width="9.140625" style="50" customWidth="1"/>
    <col min="10504" max="10505" width="8.5703125" style="50" customWidth="1"/>
    <col min="10506" max="10506" width="7.7109375" style="50" customWidth="1"/>
    <col min="10507" max="10507" width="7.5703125" style="50" customWidth="1"/>
    <col min="10508" max="10508" width="8" style="50" customWidth="1"/>
    <col min="10509" max="10509" width="8.140625" style="50" customWidth="1"/>
    <col min="10510" max="10510" width="8.85546875" style="50" customWidth="1"/>
    <col min="10511" max="10513" width="11.42578125" style="50"/>
    <col min="10514" max="10514" width="13.140625" style="50" customWidth="1"/>
    <col min="10515" max="10515" width="14.140625" style="50" customWidth="1"/>
    <col min="10516" max="10516" width="14" style="50" customWidth="1"/>
    <col min="10517" max="10752" width="11.42578125" style="50"/>
    <col min="10753" max="10753" width="20.5703125" style="50" customWidth="1"/>
    <col min="10754" max="10754" width="0" style="50" hidden="1" customWidth="1"/>
    <col min="10755" max="10755" width="8.42578125" style="50" customWidth="1"/>
    <col min="10756" max="10756" width="9.140625" style="50" customWidth="1"/>
    <col min="10757" max="10757" width="8.85546875" style="50" customWidth="1"/>
    <col min="10758" max="10758" width="8.42578125" style="50" customWidth="1"/>
    <col min="10759" max="10759" width="9.140625" style="50" customWidth="1"/>
    <col min="10760" max="10761" width="8.5703125" style="50" customWidth="1"/>
    <col min="10762" max="10762" width="7.7109375" style="50" customWidth="1"/>
    <col min="10763" max="10763" width="7.5703125" style="50" customWidth="1"/>
    <col min="10764" max="10764" width="8" style="50" customWidth="1"/>
    <col min="10765" max="10765" width="8.140625" style="50" customWidth="1"/>
    <col min="10766" max="10766" width="8.85546875" style="50" customWidth="1"/>
    <col min="10767" max="10769" width="11.42578125" style="50"/>
    <col min="10770" max="10770" width="13.140625" style="50" customWidth="1"/>
    <col min="10771" max="10771" width="14.140625" style="50" customWidth="1"/>
    <col min="10772" max="10772" width="14" style="50" customWidth="1"/>
    <col min="10773" max="11008" width="11.42578125" style="50"/>
    <col min="11009" max="11009" width="20.5703125" style="50" customWidth="1"/>
    <col min="11010" max="11010" width="0" style="50" hidden="1" customWidth="1"/>
    <col min="11011" max="11011" width="8.42578125" style="50" customWidth="1"/>
    <col min="11012" max="11012" width="9.140625" style="50" customWidth="1"/>
    <col min="11013" max="11013" width="8.85546875" style="50" customWidth="1"/>
    <col min="11014" max="11014" width="8.42578125" style="50" customWidth="1"/>
    <col min="11015" max="11015" width="9.140625" style="50" customWidth="1"/>
    <col min="11016" max="11017" width="8.5703125" style="50" customWidth="1"/>
    <col min="11018" max="11018" width="7.7109375" style="50" customWidth="1"/>
    <col min="11019" max="11019" width="7.5703125" style="50" customWidth="1"/>
    <col min="11020" max="11020" width="8" style="50" customWidth="1"/>
    <col min="11021" max="11021" width="8.140625" style="50" customWidth="1"/>
    <col min="11022" max="11022" width="8.85546875" style="50" customWidth="1"/>
    <col min="11023" max="11025" width="11.42578125" style="50"/>
    <col min="11026" max="11026" width="13.140625" style="50" customWidth="1"/>
    <col min="11027" max="11027" width="14.140625" style="50" customWidth="1"/>
    <col min="11028" max="11028" width="14" style="50" customWidth="1"/>
    <col min="11029" max="11264" width="11.42578125" style="50"/>
    <col min="11265" max="11265" width="20.5703125" style="50" customWidth="1"/>
    <col min="11266" max="11266" width="0" style="50" hidden="1" customWidth="1"/>
    <col min="11267" max="11267" width="8.42578125" style="50" customWidth="1"/>
    <col min="11268" max="11268" width="9.140625" style="50" customWidth="1"/>
    <col min="11269" max="11269" width="8.85546875" style="50" customWidth="1"/>
    <col min="11270" max="11270" width="8.42578125" style="50" customWidth="1"/>
    <col min="11271" max="11271" width="9.140625" style="50" customWidth="1"/>
    <col min="11272" max="11273" width="8.5703125" style="50" customWidth="1"/>
    <col min="11274" max="11274" width="7.7109375" style="50" customWidth="1"/>
    <col min="11275" max="11275" width="7.5703125" style="50" customWidth="1"/>
    <col min="11276" max="11276" width="8" style="50" customWidth="1"/>
    <col min="11277" max="11277" width="8.140625" style="50" customWidth="1"/>
    <col min="11278" max="11278" width="8.85546875" style="50" customWidth="1"/>
    <col min="11279" max="11281" width="11.42578125" style="50"/>
    <col min="11282" max="11282" width="13.140625" style="50" customWidth="1"/>
    <col min="11283" max="11283" width="14.140625" style="50" customWidth="1"/>
    <col min="11284" max="11284" width="14" style="50" customWidth="1"/>
    <col min="11285" max="11520" width="11.42578125" style="50"/>
    <col min="11521" max="11521" width="20.5703125" style="50" customWidth="1"/>
    <col min="11522" max="11522" width="0" style="50" hidden="1" customWidth="1"/>
    <col min="11523" max="11523" width="8.42578125" style="50" customWidth="1"/>
    <col min="11524" max="11524" width="9.140625" style="50" customWidth="1"/>
    <col min="11525" max="11525" width="8.85546875" style="50" customWidth="1"/>
    <col min="11526" max="11526" width="8.42578125" style="50" customWidth="1"/>
    <col min="11527" max="11527" width="9.140625" style="50" customWidth="1"/>
    <col min="11528" max="11529" width="8.5703125" style="50" customWidth="1"/>
    <col min="11530" max="11530" width="7.7109375" style="50" customWidth="1"/>
    <col min="11531" max="11531" width="7.5703125" style="50" customWidth="1"/>
    <col min="11532" max="11532" width="8" style="50" customWidth="1"/>
    <col min="11533" max="11533" width="8.140625" style="50" customWidth="1"/>
    <col min="11534" max="11534" width="8.85546875" style="50" customWidth="1"/>
    <col min="11535" max="11537" width="11.42578125" style="50"/>
    <col min="11538" max="11538" width="13.140625" style="50" customWidth="1"/>
    <col min="11539" max="11539" width="14.140625" style="50" customWidth="1"/>
    <col min="11540" max="11540" width="14" style="50" customWidth="1"/>
    <col min="11541" max="11776" width="11.42578125" style="50"/>
    <col min="11777" max="11777" width="20.5703125" style="50" customWidth="1"/>
    <col min="11778" max="11778" width="0" style="50" hidden="1" customWidth="1"/>
    <col min="11779" max="11779" width="8.42578125" style="50" customWidth="1"/>
    <col min="11780" max="11780" width="9.140625" style="50" customWidth="1"/>
    <col min="11781" max="11781" width="8.85546875" style="50" customWidth="1"/>
    <col min="11782" max="11782" width="8.42578125" style="50" customWidth="1"/>
    <col min="11783" max="11783" width="9.140625" style="50" customWidth="1"/>
    <col min="11784" max="11785" width="8.5703125" style="50" customWidth="1"/>
    <col min="11786" max="11786" width="7.7109375" style="50" customWidth="1"/>
    <col min="11787" max="11787" width="7.5703125" style="50" customWidth="1"/>
    <col min="11788" max="11788" width="8" style="50" customWidth="1"/>
    <col min="11789" max="11789" width="8.140625" style="50" customWidth="1"/>
    <col min="11790" max="11790" width="8.85546875" style="50" customWidth="1"/>
    <col min="11791" max="11793" width="11.42578125" style="50"/>
    <col min="11794" max="11794" width="13.140625" style="50" customWidth="1"/>
    <col min="11795" max="11795" width="14.140625" style="50" customWidth="1"/>
    <col min="11796" max="11796" width="14" style="50" customWidth="1"/>
    <col min="11797" max="12032" width="11.42578125" style="50"/>
    <col min="12033" max="12033" width="20.5703125" style="50" customWidth="1"/>
    <col min="12034" max="12034" width="0" style="50" hidden="1" customWidth="1"/>
    <col min="12035" max="12035" width="8.42578125" style="50" customWidth="1"/>
    <col min="12036" max="12036" width="9.140625" style="50" customWidth="1"/>
    <col min="12037" max="12037" width="8.85546875" style="50" customWidth="1"/>
    <col min="12038" max="12038" width="8.42578125" style="50" customWidth="1"/>
    <col min="12039" max="12039" width="9.140625" style="50" customWidth="1"/>
    <col min="12040" max="12041" width="8.5703125" style="50" customWidth="1"/>
    <col min="12042" max="12042" width="7.7109375" style="50" customWidth="1"/>
    <col min="12043" max="12043" width="7.5703125" style="50" customWidth="1"/>
    <col min="12044" max="12044" width="8" style="50" customWidth="1"/>
    <col min="12045" max="12045" width="8.140625" style="50" customWidth="1"/>
    <col min="12046" max="12046" width="8.85546875" style="50" customWidth="1"/>
    <col min="12047" max="12049" width="11.42578125" style="50"/>
    <col min="12050" max="12050" width="13.140625" style="50" customWidth="1"/>
    <col min="12051" max="12051" width="14.140625" style="50" customWidth="1"/>
    <col min="12052" max="12052" width="14" style="50" customWidth="1"/>
    <col min="12053" max="12288" width="11.42578125" style="50"/>
    <col min="12289" max="12289" width="20.5703125" style="50" customWidth="1"/>
    <col min="12290" max="12290" width="0" style="50" hidden="1" customWidth="1"/>
    <col min="12291" max="12291" width="8.42578125" style="50" customWidth="1"/>
    <col min="12292" max="12292" width="9.140625" style="50" customWidth="1"/>
    <col min="12293" max="12293" width="8.85546875" style="50" customWidth="1"/>
    <col min="12294" max="12294" width="8.42578125" style="50" customWidth="1"/>
    <col min="12295" max="12295" width="9.140625" style="50" customWidth="1"/>
    <col min="12296" max="12297" width="8.5703125" style="50" customWidth="1"/>
    <col min="12298" max="12298" width="7.7109375" style="50" customWidth="1"/>
    <col min="12299" max="12299" width="7.5703125" style="50" customWidth="1"/>
    <col min="12300" max="12300" width="8" style="50" customWidth="1"/>
    <col min="12301" max="12301" width="8.140625" style="50" customWidth="1"/>
    <col min="12302" max="12302" width="8.85546875" style="50" customWidth="1"/>
    <col min="12303" max="12305" width="11.42578125" style="50"/>
    <col min="12306" max="12306" width="13.140625" style="50" customWidth="1"/>
    <col min="12307" max="12307" width="14.140625" style="50" customWidth="1"/>
    <col min="12308" max="12308" width="14" style="50" customWidth="1"/>
    <col min="12309" max="12544" width="11.42578125" style="50"/>
    <col min="12545" max="12545" width="20.5703125" style="50" customWidth="1"/>
    <col min="12546" max="12546" width="0" style="50" hidden="1" customWidth="1"/>
    <col min="12547" max="12547" width="8.42578125" style="50" customWidth="1"/>
    <col min="12548" max="12548" width="9.140625" style="50" customWidth="1"/>
    <col min="12549" max="12549" width="8.85546875" style="50" customWidth="1"/>
    <col min="12550" max="12550" width="8.42578125" style="50" customWidth="1"/>
    <col min="12551" max="12551" width="9.140625" style="50" customWidth="1"/>
    <col min="12552" max="12553" width="8.5703125" style="50" customWidth="1"/>
    <col min="12554" max="12554" width="7.7109375" style="50" customWidth="1"/>
    <col min="12555" max="12555" width="7.5703125" style="50" customWidth="1"/>
    <col min="12556" max="12556" width="8" style="50" customWidth="1"/>
    <col min="12557" max="12557" width="8.140625" style="50" customWidth="1"/>
    <col min="12558" max="12558" width="8.85546875" style="50" customWidth="1"/>
    <col min="12559" max="12561" width="11.42578125" style="50"/>
    <col min="12562" max="12562" width="13.140625" style="50" customWidth="1"/>
    <col min="12563" max="12563" width="14.140625" style="50" customWidth="1"/>
    <col min="12564" max="12564" width="14" style="50" customWidth="1"/>
    <col min="12565" max="12800" width="11.42578125" style="50"/>
    <col min="12801" max="12801" width="20.5703125" style="50" customWidth="1"/>
    <col min="12802" max="12802" width="0" style="50" hidden="1" customWidth="1"/>
    <col min="12803" max="12803" width="8.42578125" style="50" customWidth="1"/>
    <col min="12804" max="12804" width="9.140625" style="50" customWidth="1"/>
    <col min="12805" max="12805" width="8.85546875" style="50" customWidth="1"/>
    <col min="12806" max="12806" width="8.42578125" style="50" customWidth="1"/>
    <col min="12807" max="12807" width="9.140625" style="50" customWidth="1"/>
    <col min="12808" max="12809" width="8.5703125" style="50" customWidth="1"/>
    <col min="12810" max="12810" width="7.7109375" style="50" customWidth="1"/>
    <col min="12811" max="12811" width="7.5703125" style="50" customWidth="1"/>
    <col min="12812" max="12812" width="8" style="50" customWidth="1"/>
    <col min="12813" max="12813" width="8.140625" style="50" customWidth="1"/>
    <col min="12814" max="12814" width="8.85546875" style="50" customWidth="1"/>
    <col min="12815" max="12817" width="11.42578125" style="50"/>
    <col min="12818" max="12818" width="13.140625" style="50" customWidth="1"/>
    <col min="12819" max="12819" width="14.140625" style="50" customWidth="1"/>
    <col min="12820" max="12820" width="14" style="50" customWidth="1"/>
    <col min="12821" max="13056" width="11.42578125" style="50"/>
    <col min="13057" max="13057" width="20.5703125" style="50" customWidth="1"/>
    <col min="13058" max="13058" width="0" style="50" hidden="1" customWidth="1"/>
    <col min="13059" max="13059" width="8.42578125" style="50" customWidth="1"/>
    <col min="13060" max="13060" width="9.140625" style="50" customWidth="1"/>
    <col min="13061" max="13061" width="8.85546875" style="50" customWidth="1"/>
    <col min="13062" max="13062" width="8.42578125" style="50" customWidth="1"/>
    <col min="13063" max="13063" width="9.140625" style="50" customWidth="1"/>
    <col min="13064" max="13065" width="8.5703125" style="50" customWidth="1"/>
    <col min="13066" max="13066" width="7.7109375" style="50" customWidth="1"/>
    <col min="13067" max="13067" width="7.5703125" style="50" customWidth="1"/>
    <col min="13068" max="13068" width="8" style="50" customWidth="1"/>
    <col min="13069" max="13069" width="8.140625" style="50" customWidth="1"/>
    <col min="13070" max="13070" width="8.85546875" style="50" customWidth="1"/>
    <col min="13071" max="13073" width="11.42578125" style="50"/>
    <col min="13074" max="13074" width="13.140625" style="50" customWidth="1"/>
    <col min="13075" max="13075" width="14.140625" style="50" customWidth="1"/>
    <col min="13076" max="13076" width="14" style="50" customWidth="1"/>
    <col min="13077" max="13312" width="11.42578125" style="50"/>
    <col min="13313" max="13313" width="20.5703125" style="50" customWidth="1"/>
    <col min="13314" max="13314" width="0" style="50" hidden="1" customWidth="1"/>
    <col min="13315" max="13315" width="8.42578125" style="50" customWidth="1"/>
    <col min="13316" max="13316" width="9.140625" style="50" customWidth="1"/>
    <col min="13317" max="13317" width="8.85546875" style="50" customWidth="1"/>
    <col min="13318" max="13318" width="8.42578125" style="50" customWidth="1"/>
    <col min="13319" max="13319" width="9.140625" style="50" customWidth="1"/>
    <col min="13320" max="13321" width="8.5703125" style="50" customWidth="1"/>
    <col min="13322" max="13322" width="7.7109375" style="50" customWidth="1"/>
    <col min="13323" max="13323" width="7.5703125" style="50" customWidth="1"/>
    <col min="13324" max="13324" width="8" style="50" customWidth="1"/>
    <col min="13325" max="13325" width="8.140625" style="50" customWidth="1"/>
    <col min="13326" max="13326" width="8.85546875" style="50" customWidth="1"/>
    <col min="13327" max="13329" width="11.42578125" style="50"/>
    <col min="13330" max="13330" width="13.140625" style="50" customWidth="1"/>
    <col min="13331" max="13331" width="14.140625" style="50" customWidth="1"/>
    <col min="13332" max="13332" width="14" style="50" customWidth="1"/>
    <col min="13333" max="13568" width="11.42578125" style="50"/>
    <col min="13569" max="13569" width="20.5703125" style="50" customWidth="1"/>
    <col min="13570" max="13570" width="0" style="50" hidden="1" customWidth="1"/>
    <col min="13571" max="13571" width="8.42578125" style="50" customWidth="1"/>
    <col min="13572" max="13572" width="9.140625" style="50" customWidth="1"/>
    <col min="13573" max="13573" width="8.85546875" style="50" customWidth="1"/>
    <col min="13574" max="13574" width="8.42578125" style="50" customWidth="1"/>
    <col min="13575" max="13575" width="9.140625" style="50" customWidth="1"/>
    <col min="13576" max="13577" width="8.5703125" style="50" customWidth="1"/>
    <col min="13578" max="13578" width="7.7109375" style="50" customWidth="1"/>
    <col min="13579" max="13579" width="7.5703125" style="50" customWidth="1"/>
    <col min="13580" max="13580" width="8" style="50" customWidth="1"/>
    <col min="13581" max="13581" width="8.140625" style="50" customWidth="1"/>
    <col min="13582" max="13582" width="8.85546875" style="50" customWidth="1"/>
    <col min="13583" max="13585" width="11.42578125" style="50"/>
    <col min="13586" max="13586" width="13.140625" style="50" customWidth="1"/>
    <col min="13587" max="13587" width="14.140625" style="50" customWidth="1"/>
    <col min="13588" max="13588" width="14" style="50" customWidth="1"/>
    <col min="13589" max="13824" width="11.42578125" style="50"/>
    <col min="13825" max="13825" width="20.5703125" style="50" customWidth="1"/>
    <col min="13826" max="13826" width="0" style="50" hidden="1" customWidth="1"/>
    <col min="13827" max="13827" width="8.42578125" style="50" customWidth="1"/>
    <col min="13828" max="13828" width="9.140625" style="50" customWidth="1"/>
    <col min="13829" max="13829" width="8.85546875" style="50" customWidth="1"/>
    <col min="13830" max="13830" width="8.42578125" style="50" customWidth="1"/>
    <col min="13831" max="13831" width="9.140625" style="50" customWidth="1"/>
    <col min="13832" max="13833" width="8.5703125" style="50" customWidth="1"/>
    <col min="13834" max="13834" width="7.7109375" style="50" customWidth="1"/>
    <col min="13835" max="13835" width="7.5703125" style="50" customWidth="1"/>
    <col min="13836" max="13836" width="8" style="50" customWidth="1"/>
    <col min="13837" max="13837" width="8.140625" style="50" customWidth="1"/>
    <col min="13838" max="13838" width="8.85546875" style="50" customWidth="1"/>
    <col min="13839" max="13841" width="11.42578125" style="50"/>
    <col min="13842" max="13842" width="13.140625" style="50" customWidth="1"/>
    <col min="13843" max="13843" width="14.140625" style="50" customWidth="1"/>
    <col min="13844" max="13844" width="14" style="50" customWidth="1"/>
    <col min="13845" max="14080" width="11.42578125" style="50"/>
    <col min="14081" max="14081" width="20.5703125" style="50" customWidth="1"/>
    <col min="14082" max="14082" width="0" style="50" hidden="1" customWidth="1"/>
    <col min="14083" max="14083" width="8.42578125" style="50" customWidth="1"/>
    <col min="14084" max="14084" width="9.140625" style="50" customWidth="1"/>
    <col min="14085" max="14085" width="8.85546875" style="50" customWidth="1"/>
    <col min="14086" max="14086" width="8.42578125" style="50" customWidth="1"/>
    <col min="14087" max="14087" width="9.140625" style="50" customWidth="1"/>
    <col min="14088" max="14089" width="8.5703125" style="50" customWidth="1"/>
    <col min="14090" max="14090" width="7.7109375" style="50" customWidth="1"/>
    <col min="14091" max="14091" width="7.5703125" style="50" customWidth="1"/>
    <col min="14092" max="14092" width="8" style="50" customWidth="1"/>
    <col min="14093" max="14093" width="8.140625" style="50" customWidth="1"/>
    <col min="14094" max="14094" width="8.85546875" style="50" customWidth="1"/>
    <col min="14095" max="14097" width="11.42578125" style="50"/>
    <col min="14098" max="14098" width="13.140625" style="50" customWidth="1"/>
    <col min="14099" max="14099" width="14.140625" style="50" customWidth="1"/>
    <col min="14100" max="14100" width="14" style="50" customWidth="1"/>
    <col min="14101" max="14336" width="11.42578125" style="50"/>
    <col min="14337" max="14337" width="20.5703125" style="50" customWidth="1"/>
    <col min="14338" max="14338" width="0" style="50" hidden="1" customWidth="1"/>
    <col min="14339" max="14339" width="8.42578125" style="50" customWidth="1"/>
    <col min="14340" max="14340" width="9.140625" style="50" customWidth="1"/>
    <col min="14341" max="14341" width="8.85546875" style="50" customWidth="1"/>
    <col min="14342" max="14342" width="8.42578125" style="50" customWidth="1"/>
    <col min="14343" max="14343" width="9.140625" style="50" customWidth="1"/>
    <col min="14344" max="14345" width="8.5703125" style="50" customWidth="1"/>
    <col min="14346" max="14346" width="7.7109375" style="50" customWidth="1"/>
    <col min="14347" max="14347" width="7.5703125" style="50" customWidth="1"/>
    <col min="14348" max="14348" width="8" style="50" customWidth="1"/>
    <col min="14349" max="14349" width="8.140625" style="50" customWidth="1"/>
    <col min="14350" max="14350" width="8.85546875" style="50" customWidth="1"/>
    <col min="14351" max="14353" width="11.42578125" style="50"/>
    <col min="14354" max="14354" width="13.140625" style="50" customWidth="1"/>
    <col min="14355" max="14355" width="14.140625" style="50" customWidth="1"/>
    <col min="14356" max="14356" width="14" style="50" customWidth="1"/>
    <col min="14357" max="14592" width="11.42578125" style="50"/>
    <col min="14593" max="14593" width="20.5703125" style="50" customWidth="1"/>
    <col min="14594" max="14594" width="0" style="50" hidden="1" customWidth="1"/>
    <col min="14595" max="14595" width="8.42578125" style="50" customWidth="1"/>
    <col min="14596" max="14596" width="9.140625" style="50" customWidth="1"/>
    <col min="14597" max="14597" width="8.85546875" style="50" customWidth="1"/>
    <col min="14598" max="14598" width="8.42578125" style="50" customWidth="1"/>
    <col min="14599" max="14599" width="9.140625" style="50" customWidth="1"/>
    <col min="14600" max="14601" width="8.5703125" style="50" customWidth="1"/>
    <col min="14602" max="14602" width="7.7109375" style="50" customWidth="1"/>
    <col min="14603" max="14603" width="7.5703125" style="50" customWidth="1"/>
    <col min="14604" max="14604" width="8" style="50" customWidth="1"/>
    <col min="14605" max="14605" width="8.140625" style="50" customWidth="1"/>
    <col min="14606" max="14606" width="8.85546875" style="50" customWidth="1"/>
    <col min="14607" max="14609" width="11.42578125" style="50"/>
    <col min="14610" max="14610" width="13.140625" style="50" customWidth="1"/>
    <col min="14611" max="14611" width="14.140625" style="50" customWidth="1"/>
    <col min="14612" max="14612" width="14" style="50" customWidth="1"/>
    <col min="14613" max="14848" width="11.42578125" style="50"/>
    <col min="14849" max="14849" width="20.5703125" style="50" customWidth="1"/>
    <col min="14850" max="14850" width="0" style="50" hidden="1" customWidth="1"/>
    <col min="14851" max="14851" width="8.42578125" style="50" customWidth="1"/>
    <col min="14852" max="14852" width="9.140625" style="50" customWidth="1"/>
    <col min="14853" max="14853" width="8.85546875" style="50" customWidth="1"/>
    <col min="14854" max="14854" width="8.42578125" style="50" customWidth="1"/>
    <col min="14855" max="14855" width="9.140625" style="50" customWidth="1"/>
    <col min="14856" max="14857" width="8.5703125" style="50" customWidth="1"/>
    <col min="14858" max="14858" width="7.7109375" style="50" customWidth="1"/>
    <col min="14859" max="14859" width="7.5703125" style="50" customWidth="1"/>
    <col min="14860" max="14860" width="8" style="50" customWidth="1"/>
    <col min="14861" max="14861" width="8.140625" style="50" customWidth="1"/>
    <col min="14862" max="14862" width="8.85546875" style="50" customWidth="1"/>
    <col min="14863" max="14865" width="11.42578125" style="50"/>
    <col min="14866" max="14866" width="13.140625" style="50" customWidth="1"/>
    <col min="14867" max="14867" width="14.140625" style="50" customWidth="1"/>
    <col min="14868" max="14868" width="14" style="50" customWidth="1"/>
    <col min="14869" max="15104" width="11.42578125" style="50"/>
    <col min="15105" max="15105" width="20.5703125" style="50" customWidth="1"/>
    <col min="15106" max="15106" width="0" style="50" hidden="1" customWidth="1"/>
    <col min="15107" max="15107" width="8.42578125" style="50" customWidth="1"/>
    <col min="15108" max="15108" width="9.140625" style="50" customWidth="1"/>
    <col min="15109" max="15109" width="8.85546875" style="50" customWidth="1"/>
    <col min="15110" max="15110" width="8.42578125" style="50" customWidth="1"/>
    <col min="15111" max="15111" width="9.140625" style="50" customWidth="1"/>
    <col min="15112" max="15113" width="8.5703125" style="50" customWidth="1"/>
    <col min="15114" max="15114" width="7.7109375" style="50" customWidth="1"/>
    <col min="15115" max="15115" width="7.5703125" style="50" customWidth="1"/>
    <col min="15116" max="15116" width="8" style="50" customWidth="1"/>
    <col min="15117" max="15117" width="8.140625" style="50" customWidth="1"/>
    <col min="15118" max="15118" width="8.85546875" style="50" customWidth="1"/>
    <col min="15119" max="15121" width="11.42578125" style="50"/>
    <col min="15122" max="15122" width="13.140625" style="50" customWidth="1"/>
    <col min="15123" max="15123" width="14.140625" style="50" customWidth="1"/>
    <col min="15124" max="15124" width="14" style="50" customWidth="1"/>
    <col min="15125" max="15360" width="11.42578125" style="50"/>
    <col min="15361" max="15361" width="20.5703125" style="50" customWidth="1"/>
    <col min="15362" max="15362" width="0" style="50" hidden="1" customWidth="1"/>
    <col min="15363" max="15363" width="8.42578125" style="50" customWidth="1"/>
    <col min="15364" max="15364" width="9.140625" style="50" customWidth="1"/>
    <col min="15365" max="15365" width="8.85546875" style="50" customWidth="1"/>
    <col min="15366" max="15366" width="8.42578125" style="50" customWidth="1"/>
    <col min="15367" max="15367" width="9.140625" style="50" customWidth="1"/>
    <col min="15368" max="15369" width="8.5703125" style="50" customWidth="1"/>
    <col min="15370" max="15370" width="7.7109375" style="50" customWidth="1"/>
    <col min="15371" max="15371" width="7.5703125" style="50" customWidth="1"/>
    <col min="15372" max="15372" width="8" style="50" customWidth="1"/>
    <col min="15373" max="15373" width="8.140625" style="50" customWidth="1"/>
    <col min="15374" max="15374" width="8.85546875" style="50" customWidth="1"/>
    <col min="15375" max="15377" width="11.42578125" style="50"/>
    <col min="15378" max="15378" width="13.140625" style="50" customWidth="1"/>
    <col min="15379" max="15379" width="14.140625" style="50" customWidth="1"/>
    <col min="15380" max="15380" width="14" style="50" customWidth="1"/>
    <col min="15381" max="15616" width="11.42578125" style="50"/>
    <col min="15617" max="15617" width="20.5703125" style="50" customWidth="1"/>
    <col min="15618" max="15618" width="0" style="50" hidden="1" customWidth="1"/>
    <col min="15619" max="15619" width="8.42578125" style="50" customWidth="1"/>
    <col min="15620" max="15620" width="9.140625" style="50" customWidth="1"/>
    <col min="15621" max="15621" width="8.85546875" style="50" customWidth="1"/>
    <col min="15622" max="15622" width="8.42578125" style="50" customWidth="1"/>
    <col min="15623" max="15623" width="9.140625" style="50" customWidth="1"/>
    <col min="15624" max="15625" width="8.5703125" style="50" customWidth="1"/>
    <col min="15626" max="15626" width="7.7109375" style="50" customWidth="1"/>
    <col min="15627" max="15627" width="7.5703125" style="50" customWidth="1"/>
    <col min="15628" max="15628" width="8" style="50" customWidth="1"/>
    <col min="15629" max="15629" width="8.140625" style="50" customWidth="1"/>
    <col min="15630" max="15630" width="8.85546875" style="50" customWidth="1"/>
    <col min="15631" max="15633" width="11.42578125" style="50"/>
    <col min="15634" max="15634" width="13.140625" style="50" customWidth="1"/>
    <col min="15635" max="15635" width="14.140625" style="50" customWidth="1"/>
    <col min="15636" max="15636" width="14" style="50" customWidth="1"/>
    <col min="15637" max="15872" width="11.42578125" style="50"/>
    <col min="15873" max="15873" width="20.5703125" style="50" customWidth="1"/>
    <col min="15874" max="15874" width="0" style="50" hidden="1" customWidth="1"/>
    <col min="15875" max="15875" width="8.42578125" style="50" customWidth="1"/>
    <col min="15876" max="15876" width="9.140625" style="50" customWidth="1"/>
    <col min="15877" max="15877" width="8.85546875" style="50" customWidth="1"/>
    <col min="15878" max="15878" width="8.42578125" style="50" customWidth="1"/>
    <col min="15879" max="15879" width="9.140625" style="50" customWidth="1"/>
    <col min="15880" max="15881" width="8.5703125" style="50" customWidth="1"/>
    <col min="15882" max="15882" width="7.7109375" style="50" customWidth="1"/>
    <col min="15883" max="15883" width="7.5703125" style="50" customWidth="1"/>
    <col min="15884" max="15884" width="8" style="50" customWidth="1"/>
    <col min="15885" max="15885" width="8.140625" style="50" customWidth="1"/>
    <col min="15886" max="15886" width="8.85546875" style="50" customWidth="1"/>
    <col min="15887" max="15889" width="11.42578125" style="50"/>
    <col min="15890" max="15890" width="13.140625" style="50" customWidth="1"/>
    <col min="15891" max="15891" width="14.140625" style="50" customWidth="1"/>
    <col min="15892" max="15892" width="14" style="50" customWidth="1"/>
    <col min="15893" max="16128" width="11.42578125" style="50"/>
    <col min="16129" max="16129" width="20.5703125" style="50" customWidth="1"/>
    <col min="16130" max="16130" width="0" style="50" hidden="1" customWidth="1"/>
    <col min="16131" max="16131" width="8.42578125" style="50" customWidth="1"/>
    <col min="16132" max="16132" width="9.140625" style="50" customWidth="1"/>
    <col min="16133" max="16133" width="8.85546875" style="50" customWidth="1"/>
    <col min="16134" max="16134" width="8.42578125" style="50" customWidth="1"/>
    <col min="16135" max="16135" width="9.140625" style="50" customWidth="1"/>
    <col min="16136" max="16137" width="8.5703125" style="50" customWidth="1"/>
    <col min="16138" max="16138" width="7.7109375" style="50" customWidth="1"/>
    <col min="16139" max="16139" width="7.5703125" style="50" customWidth="1"/>
    <col min="16140" max="16140" width="8" style="50" customWidth="1"/>
    <col min="16141" max="16141" width="8.140625" style="50" customWidth="1"/>
    <col min="16142" max="16142" width="8.85546875" style="50" customWidth="1"/>
    <col min="16143" max="16145" width="11.42578125" style="50"/>
    <col min="16146" max="16146" width="13.140625" style="50" customWidth="1"/>
    <col min="16147" max="16147" width="14.140625" style="50" customWidth="1"/>
    <col min="16148" max="16148" width="14" style="50" customWidth="1"/>
    <col min="16149" max="16384" width="11.42578125" style="50"/>
  </cols>
  <sheetData>
    <row r="7" spans="1:14" ht="15.75" x14ac:dyDescent="0.25">
      <c r="A7" s="1991" t="s">
        <v>5117</v>
      </c>
      <c r="B7" s="1991"/>
      <c r="C7" s="1991"/>
      <c r="D7" s="1991"/>
      <c r="E7" s="1991"/>
      <c r="F7" s="1991"/>
      <c r="G7" s="1991"/>
      <c r="H7" s="1991"/>
      <c r="I7" s="1991"/>
      <c r="J7" s="1991"/>
      <c r="K7" s="1991"/>
      <c r="L7" s="1991"/>
      <c r="M7" s="1991"/>
      <c r="N7" s="1991"/>
    </row>
    <row r="8" spans="1:14" ht="15.75" thickBot="1" x14ac:dyDescent="0.3"/>
    <row r="9" spans="1:14" x14ac:dyDescent="0.25">
      <c r="A9" s="810" t="s">
        <v>5084</v>
      </c>
      <c r="B9" s="848" t="s">
        <v>5085</v>
      </c>
      <c r="C9" s="848" t="s">
        <v>5062</v>
      </c>
      <c r="D9" s="848" t="s">
        <v>5063</v>
      </c>
      <c r="E9" s="848" t="s">
        <v>5064</v>
      </c>
      <c r="F9" s="848" t="s">
        <v>5065</v>
      </c>
      <c r="G9" s="848" t="s">
        <v>5066</v>
      </c>
      <c r="H9" s="848" t="s">
        <v>5067</v>
      </c>
      <c r="I9" s="848" t="s">
        <v>5068</v>
      </c>
      <c r="J9" s="848" t="s">
        <v>5069</v>
      </c>
      <c r="K9" s="848" t="s">
        <v>5070</v>
      </c>
      <c r="L9" s="848" t="s">
        <v>5071</v>
      </c>
      <c r="M9" s="848" t="s">
        <v>5072</v>
      </c>
      <c r="N9" s="849" t="s">
        <v>5073</v>
      </c>
    </row>
    <row r="10" spans="1:14" x14ac:dyDescent="0.25">
      <c r="A10" s="850" t="str">
        <f>IF(ReporteBalance!G101="","",ReporteBalance!G101)</f>
        <v/>
      </c>
      <c r="B10" s="851" t="str">
        <f>IF(ReporteBalance!K101="","",ReporteBalance!K101)</f>
        <v/>
      </c>
      <c r="C10" s="852" t="str">
        <f>IF(C145="","",C149)</f>
        <v/>
      </c>
      <c r="D10" s="852" t="str">
        <f t="shared" ref="D10:N10" si="0">IF(D145="","",D149)</f>
        <v/>
      </c>
      <c r="E10" s="852" t="str">
        <f t="shared" si="0"/>
        <v/>
      </c>
      <c r="F10" s="852" t="str">
        <f t="shared" si="0"/>
        <v/>
      </c>
      <c r="G10" s="852" t="str">
        <f t="shared" si="0"/>
        <v/>
      </c>
      <c r="H10" s="852" t="str">
        <f t="shared" si="0"/>
        <v/>
      </c>
      <c r="I10" s="852" t="str">
        <f t="shared" si="0"/>
        <v/>
      </c>
      <c r="J10" s="852" t="str">
        <f t="shared" si="0"/>
        <v/>
      </c>
      <c r="K10" s="852" t="str">
        <f t="shared" si="0"/>
        <v/>
      </c>
      <c r="L10" s="852" t="str">
        <f t="shared" si="0"/>
        <v/>
      </c>
      <c r="M10" s="852" t="str">
        <f t="shared" si="0"/>
        <v/>
      </c>
      <c r="N10" s="853" t="str">
        <f t="shared" si="0"/>
        <v/>
      </c>
    </row>
    <row r="11" spans="1:14" x14ac:dyDescent="0.25">
      <c r="A11" s="850" t="str">
        <f>IF(ReporteBalance!G102="","",ReporteBalance!G102)</f>
        <v/>
      </c>
      <c r="B11" s="851" t="str">
        <f>IF(ReporteBalance!K102="","",ReporteBalance!K102)</f>
        <v/>
      </c>
      <c r="C11" s="852" t="str">
        <f>IF(C160="","",C164)</f>
        <v/>
      </c>
      <c r="D11" s="852" t="str">
        <f t="shared" ref="D11:N11" si="1">IF(D160="","",D164)</f>
        <v/>
      </c>
      <c r="E11" s="852" t="str">
        <f t="shared" si="1"/>
        <v/>
      </c>
      <c r="F11" s="852" t="str">
        <f t="shared" si="1"/>
        <v/>
      </c>
      <c r="G11" s="852" t="str">
        <f t="shared" si="1"/>
        <v/>
      </c>
      <c r="H11" s="852" t="str">
        <f t="shared" si="1"/>
        <v/>
      </c>
      <c r="I11" s="852" t="str">
        <f t="shared" si="1"/>
        <v/>
      </c>
      <c r="J11" s="852" t="str">
        <f t="shared" si="1"/>
        <v/>
      </c>
      <c r="K11" s="852" t="str">
        <f t="shared" si="1"/>
        <v/>
      </c>
      <c r="L11" s="852" t="str">
        <f t="shared" si="1"/>
        <v/>
      </c>
      <c r="M11" s="852" t="str">
        <f t="shared" si="1"/>
        <v/>
      </c>
      <c r="N11" s="854" t="str">
        <f t="shared" si="1"/>
        <v/>
      </c>
    </row>
    <row r="12" spans="1:14" x14ac:dyDescent="0.25">
      <c r="A12" s="850" t="str">
        <f>IF(ReporteBalance!G103="","",ReporteBalance!G103)</f>
        <v/>
      </c>
      <c r="B12" s="851" t="str">
        <f>IF(ReporteBalance!K103="","",ReporteBalance!K103)</f>
        <v/>
      </c>
      <c r="C12" s="852" t="str">
        <f>IF(C178="","",C179)</f>
        <v/>
      </c>
      <c r="D12" s="852" t="str">
        <f t="shared" ref="D12:N12" si="2">IF(D178="","",D179)</f>
        <v/>
      </c>
      <c r="E12" s="852" t="str">
        <f t="shared" si="2"/>
        <v/>
      </c>
      <c r="F12" s="852" t="str">
        <f t="shared" si="2"/>
        <v/>
      </c>
      <c r="G12" s="852" t="str">
        <f t="shared" si="2"/>
        <v/>
      </c>
      <c r="H12" s="852" t="str">
        <f t="shared" si="2"/>
        <v/>
      </c>
      <c r="I12" s="852" t="str">
        <f t="shared" si="2"/>
        <v/>
      </c>
      <c r="J12" s="852" t="str">
        <f t="shared" si="2"/>
        <v/>
      </c>
      <c r="K12" s="852" t="str">
        <f t="shared" si="2"/>
        <v/>
      </c>
      <c r="L12" s="852" t="str">
        <f t="shared" si="2"/>
        <v/>
      </c>
      <c r="M12" s="852" t="str">
        <f t="shared" si="2"/>
        <v/>
      </c>
      <c r="N12" s="854" t="str">
        <f t="shared" si="2"/>
        <v/>
      </c>
    </row>
    <row r="13" spans="1:14" x14ac:dyDescent="0.25">
      <c r="A13" s="850" t="str">
        <f>IF(ReporteBalance!G104="","",ReporteBalance!G104)</f>
        <v/>
      </c>
      <c r="B13" s="851" t="str">
        <f>IF(ReporteBalance!K104="","",ReporteBalance!K104)</f>
        <v/>
      </c>
      <c r="C13" s="852" t="str">
        <f>IF(C193="","",C194)</f>
        <v/>
      </c>
      <c r="D13" s="852" t="str">
        <f t="shared" ref="D13:N13" si="3">IF(D193="","",D194)</f>
        <v/>
      </c>
      <c r="E13" s="852" t="str">
        <f t="shared" si="3"/>
        <v/>
      </c>
      <c r="F13" s="852" t="str">
        <f t="shared" si="3"/>
        <v/>
      </c>
      <c r="G13" s="852" t="str">
        <f t="shared" si="3"/>
        <v/>
      </c>
      <c r="H13" s="852" t="str">
        <f t="shared" si="3"/>
        <v/>
      </c>
      <c r="I13" s="852" t="str">
        <f t="shared" si="3"/>
        <v/>
      </c>
      <c r="J13" s="852" t="str">
        <f t="shared" si="3"/>
        <v/>
      </c>
      <c r="K13" s="852" t="str">
        <f t="shared" si="3"/>
        <v/>
      </c>
      <c r="L13" s="852" t="str">
        <f t="shared" si="3"/>
        <v/>
      </c>
      <c r="M13" s="852" t="str">
        <f t="shared" si="3"/>
        <v/>
      </c>
      <c r="N13" s="854" t="str">
        <f t="shared" si="3"/>
        <v/>
      </c>
    </row>
    <row r="14" spans="1:14" x14ac:dyDescent="0.25">
      <c r="A14" s="850" t="str">
        <f>IF(ReporteBalance!G105="","",ReporteBalance!G105)</f>
        <v/>
      </c>
      <c r="B14" s="851" t="str">
        <f>IF(ReporteBalance!K105="","",ReporteBalance!K105)</f>
        <v/>
      </c>
      <c r="C14" s="852" t="str">
        <f>IF(C208="","",C209)</f>
        <v/>
      </c>
      <c r="D14" s="852" t="str">
        <f t="shared" ref="D14:N14" si="4">IF(D208="","",D209)</f>
        <v/>
      </c>
      <c r="E14" s="852" t="str">
        <f t="shared" si="4"/>
        <v/>
      </c>
      <c r="F14" s="852" t="str">
        <f t="shared" si="4"/>
        <v/>
      </c>
      <c r="G14" s="852" t="str">
        <f t="shared" si="4"/>
        <v/>
      </c>
      <c r="H14" s="852" t="str">
        <f t="shared" si="4"/>
        <v/>
      </c>
      <c r="I14" s="852" t="str">
        <f t="shared" si="4"/>
        <v/>
      </c>
      <c r="J14" s="852" t="str">
        <f t="shared" si="4"/>
        <v/>
      </c>
      <c r="K14" s="852" t="str">
        <f t="shared" si="4"/>
        <v/>
      </c>
      <c r="L14" s="852" t="str">
        <f t="shared" si="4"/>
        <v/>
      </c>
      <c r="M14" s="852" t="str">
        <f t="shared" si="4"/>
        <v/>
      </c>
      <c r="N14" s="854" t="str">
        <f t="shared" si="4"/>
        <v/>
      </c>
    </row>
    <row r="15" spans="1:14" x14ac:dyDescent="0.25">
      <c r="A15" s="850" t="str">
        <f>IF(ReporteBalance!G106="","",ReporteBalance!G106)</f>
        <v/>
      </c>
      <c r="B15" s="851" t="str">
        <f>IF(ReporteBalance!K106="","",ReporteBalance!K106)</f>
        <v/>
      </c>
      <c r="C15" s="852" t="str">
        <f>IF(C223="","",C224)</f>
        <v/>
      </c>
      <c r="D15" s="852" t="str">
        <f t="shared" ref="D15:N15" si="5">IF(D223="","",D224)</f>
        <v/>
      </c>
      <c r="E15" s="852" t="str">
        <f t="shared" si="5"/>
        <v/>
      </c>
      <c r="F15" s="852" t="str">
        <f t="shared" si="5"/>
        <v/>
      </c>
      <c r="G15" s="852" t="str">
        <f t="shared" si="5"/>
        <v/>
      </c>
      <c r="H15" s="852" t="str">
        <f t="shared" si="5"/>
        <v/>
      </c>
      <c r="I15" s="852" t="str">
        <f t="shared" si="5"/>
        <v/>
      </c>
      <c r="J15" s="852" t="str">
        <f t="shared" si="5"/>
        <v/>
      </c>
      <c r="K15" s="852" t="str">
        <f t="shared" si="5"/>
        <v/>
      </c>
      <c r="L15" s="852" t="str">
        <f t="shared" si="5"/>
        <v/>
      </c>
      <c r="M15" s="852" t="str">
        <f t="shared" si="5"/>
        <v/>
      </c>
      <c r="N15" s="854" t="str">
        <f t="shared" si="5"/>
        <v/>
      </c>
    </row>
    <row r="16" spans="1:14" x14ac:dyDescent="0.25">
      <c r="A16" s="850" t="str">
        <f>IF(ReporteBalance!G107="","",ReporteBalance!G107)</f>
        <v/>
      </c>
      <c r="B16" s="851" t="str">
        <f>IF(ReporteBalance!K107="","",ReporteBalance!K107)</f>
        <v/>
      </c>
      <c r="C16" s="852" t="str">
        <f>IF(C238="","",C239)</f>
        <v/>
      </c>
      <c r="D16" s="852" t="str">
        <f t="shared" ref="D16:N16" si="6">IF(D238="","",D239)</f>
        <v/>
      </c>
      <c r="E16" s="852" t="str">
        <f t="shared" si="6"/>
        <v/>
      </c>
      <c r="F16" s="852" t="str">
        <f t="shared" si="6"/>
        <v/>
      </c>
      <c r="G16" s="852" t="str">
        <f t="shared" si="6"/>
        <v/>
      </c>
      <c r="H16" s="852" t="str">
        <f t="shared" si="6"/>
        <v/>
      </c>
      <c r="I16" s="852" t="str">
        <f t="shared" si="6"/>
        <v/>
      </c>
      <c r="J16" s="852" t="str">
        <f t="shared" si="6"/>
        <v/>
      </c>
      <c r="K16" s="852" t="str">
        <f t="shared" si="6"/>
        <v/>
      </c>
      <c r="L16" s="852" t="str">
        <f t="shared" si="6"/>
        <v/>
      </c>
      <c r="M16" s="852" t="str">
        <f t="shared" si="6"/>
        <v/>
      </c>
      <c r="N16" s="854" t="str">
        <f t="shared" si="6"/>
        <v/>
      </c>
    </row>
    <row r="17" spans="1:15" x14ac:dyDescent="0.25">
      <c r="A17" s="850" t="str">
        <f>IF(ReporteBalance!G108="","",ReporteBalance!G108)</f>
        <v/>
      </c>
      <c r="B17" s="851" t="str">
        <f>IF(ReporteBalance!K108="","",ReporteBalance!K108)</f>
        <v/>
      </c>
      <c r="C17" s="852" t="str">
        <f>IF(C253="","",C254)</f>
        <v/>
      </c>
      <c r="D17" s="852" t="str">
        <f t="shared" ref="D17:N17" si="7">IF(D253="","",D254)</f>
        <v/>
      </c>
      <c r="E17" s="852" t="str">
        <f t="shared" si="7"/>
        <v/>
      </c>
      <c r="F17" s="852" t="str">
        <f t="shared" si="7"/>
        <v/>
      </c>
      <c r="G17" s="852" t="str">
        <f t="shared" si="7"/>
        <v/>
      </c>
      <c r="H17" s="852" t="str">
        <f t="shared" si="7"/>
        <v/>
      </c>
      <c r="I17" s="852" t="str">
        <f t="shared" si="7"/>
        <v/>
      </c>
      <c r="J17" s="852" t="str">
        <f t="shared" si="7"/>
        <v/>
      </c>
      <c r="K17" s="852" t="str">
        <f t="shared" si="7"/>
        <v/>
      </c>
      <c r="L17" s="852" t="str">
        <f t="shared" si="7"/>
        <v/>
      </c>
      <c r="M17" s="852" t="str">
        <f t="shared" si="7"/>
        <v/>
      </c>
      <c r="N17" s="854" t="str">
        <f t="shared" si="7"/>
        <v/>
      </c>
    </row>
    <row r="18" spans="1:15" x14ac:dyDescent="0.25">
      <c r="A18" s="850" t="str">
        <f>IF(ReporteBalance!G109="","",ReporteBalance!G109)</f>
        <v/>
      </c>
      <c r="B18" s="851" t="str">
        <f>IF(ReporteBalance!K109="","",ReporteBalance!K109)</f>
        <v/>
      </c>
      <c r="C18" s="852" t="str">
        <f>IF(C268="","",C269)</f>
        <v/>
      </c>
      <c r="D18" s="852" t="str">
        <f t="shared" ref="D18:N18" si="8">IF(D268="","",D269)</f>
        <v/>
      </c>
      <c r="E18" s="852" t="str">
        <f t="shared" si="8"/>
        <v/>
      </c>
      <c r="F18" s="852" t="str">
        <f t="shared" si="8"/>
        <v/>
      </c>
      <c r="G18" s="852" t="str">
        <f t="shared" si="8"/>
        <v/>
      </c>
      <c r="H18" s="852" t="str">
        <f t="shared" si="8"/>
        <v/>
      </c>
      <c r="I18" s="852" t="str">
        <f t="shared" si="8"/>
        <v/>
      </c>
      <c r="J18" s="852" t="str">
        <f t="shared" si="8"/>
        <v/>
      </c>
      <c r="K18" s="852" t="str">
        <f t="shared" si="8"/>
        <v/>
      </c>
      <c r="L18" s="852" t="str">
        <f t="shared" si="8"/>
        <v/>
      </c>
      <c r="M18" s="852" t="str">
        <f t="shared" si="8"/>
        <v/>
      </c>
      <c r="N18" s="854" t="str">
        <f t="shared" si="8"/>
        <v/>
      </c>
    </row>
    <row r="19" spans="1:15" x14ac:dyDescent="0.25">
      <c r="A19" s="850" t="str">
        <f>IF(ReporteBalance!G110="","",ReporteBalance!G110)</f>
        <v/>
      </c>
      <c r="B19" s="851" t="str">
        <f>IF(ReporteBalance!K110="","",ReporteBalance!K110)</f>
        <v/>
      </c>
      <c r="C19" s="852" t="str">
        <f>IF(C283="","",C284)</f>
        <v/>
      </c>
      <c r="D19" s="852" t="str">
        <f t="shared" ref="D19:N19" si="9">IF(D283="","",D284)</f>
        <v/>
      </c>
      <c r="E19" s="852" t="str">
        <f t="shared" si="9"/>
        <v/>
      </c>
      <c r="F19" s="852" t="str">
        <f t="shared" si="9"/>
        <v/>
      </c>
      <c r="G19" s="852" t="str">
        <f t="shared" si="9"/>
        <v/>
      </c>
      <c r="H19" s="852" t="str">
        <f t="shared" si="9"/>
        <v/>
      </c>
      <c r="I19" s="852" t="str">
        <f t="shared" si="9"/>
        <v/>
      </c>
      <c r="J19" s="852" t="str">
        <f t="shared" si="9"/>
        <v/>
      </c>
      <c r="K19" s="852" t="str">
        <f t="shared" si="9"/>
        <v/>
      </c>
      <c r="L19" s="852" t="str">
        <f t="shared" si="9"/>
        <v/>
      </c>
      <c r="M19" s="852" t="str">
        <f t="shared" si="9"/>
        <v/>
      </c>
      <c r="N19" s="854" t="str">
        <f t="shared" si="9"/>
        <v/>
      </c>
    </row>
    <row r="20" spans="1:15" x14ac:dyDescent="0.25">
      <c r="A20" s="850" t="str">
        <f>IF(ReporteBalance!G111="","",ReporteBalance!G111)</f>
        <v/>
      </c>
      <c r="B20" s="851" t="str">
        <f>IF(ReporteBalance!K111="","",ReporteBalance!K111)</f>
        <v/>
      </c>
      <c r="C20" s="852" t="str">
        <f>IF(C298="","",C299)</f>
        <v/>
      </c>
      <c r="D20" s="852" t="str">
        <f t="shared" ref="D20:N20" si="10">IF(D298="","",D299)</f>
        <v/>
      </c>
      <c r="E20" s="852" t="str">
        <f t="shared" si="10"/>
        <v/>
      </c>
      <c r="F20" s="852" t="str">
        <f t="shared" si="10"/>
        <v/>
      </c>
      <c r="G20" s="852" t="str">
        <f t="shared" si="10"/>
        <v/>
      </c>
      <c r="H20" s="852" t="str">
        <f t="shared" si="10"/>
        <v/>
      </c>
      <c r="I20" s="852" t="str">
        <f t="shared" si="10"/>
        <v/>
      </c>
      <c r="J20" s="852" t="str">
        <f t="shared" si="10"/>
        <v/>
      </c>
      <c r="K20" s="852" t="str">
        <f t="shared" si="10"/>
        <v/>
      </c>
      <c r="L20" s="852" t="str">
        <f t="shared" si="10"/>
        <v/>
      </c>
      <c r="M20" s="852" t="str">
        <f t="shared" si="10"/>
        <v/>
      </c>
      <c r="N20" s="854" t="str">
        <f t="shared" si="10"/>
        <v/>
      </c>
    </row>
    <row r="21" spans="1:15" ht="15.75" thickBot="1" x14ac:dyDescent="0.3">
      <c r="A21" s="855" t="s">
        <v>5086</v>
      </c>
      <c r="B21" s="856">
        <f t="shared" ref="B21:N21" si="11">SUM(B10:B20)</f>
        <v>0</v>
      </c>
      <c r="C21" s="856">
        <f t="shared" si="11"/>
        <v>0</v>
      </c>
      <c r="D21" s="856">
        <f t="shared" si="11"/>
        <v>0</v>
      </c>
      <c r="E21" s="856">
        <f t="shared" si="11"/>
        <v>0</v>
      </c>
      <c r="F21" s="856">
        <f t="shared" si="11"/>
        <v>0</v>
      </c>
      <c r="G21" s="856">
        <f t="shared" si="11"/>
        <v>0</v>
      </c>
      <c r="H21" s="856">
        <f t="shared" si="11"/>
        <v>0</v>
      </c>
      <c r="I21" s="856">
        <f t="shared" si="11"/>
        <v>0</v>
      </c>
      <c r="J21" s="856">
        <f t="shared" si="11"/>
        <v>0</v>
      </c>
      <c r="K21" s="856">
        <f t="shared" si="11"/>
        <v>0</v>
      </c>
      <c r="L21" s="856">
        <f t="shared" si="11"/>
        <v>0</v>
      </c>
      <c r="M21" s="856">
        <f t="shared" si="11"/>
        <v>0</v>
      </c>
      <c r="N21" s="857">
        <f t="shared" si="11"/>
        <v>0</v>
      </c>
    </row>
    <row r="22" spans="1:15" ht="15.75" thickBot="1" x14ac:dyDescent="0.3">
      <c r="A22" s="858" t="s">
        <v>5087</v>
      </c>
      <c r="B22" s="859"/>
      <c r="C22" s="860">
        <f>C21*31*3600*24/1000000000</f>
        <v>0</v>
      </c>
      <c r="D22" s="860">
        <f>D21*28*3600*24/1000000000</f>
        <v>0</v>
      </c>
      <c r="E22" s="860">
        <f>E21*31*3600*24/1000000000</f>
        <v>0</v>
      </c>
      <c r="F22" s="860">
        <f>F21*30*3600*24/1000000000</f>
        <v>0</v>
      </c>
      <c r="G22" s="860">
        <f>G21*31*3600*24/1000000000</f>
        <v>0</v>
      </c>
      <c r="H22" s="860">
        <f>H21*30*3600*24/1000000000</f>
        <v>0</v>
      </c>
      <c r="I22" s="860">
        <f>I21*31*3600*24/1000000000</f>
        <v>0</v>
      </c>
      <c r="J22" s="860">
        <f>J21*31*3600*24/1000000000</f>
        <v>0</v>
      </c>
      <c r="K22" s="860">
        <f>K21*30*3600*24/1000000000</f>
        <v>0</v>
      </c>
      <c r="L22" s="860">
        <f>L21*31*3600*24/1000000000</f>
        <v>0</v>
      </c>
      <c r="M22" s="860">
        <f>M21*30*3600*24/1000000000</f>
        <v>0</v>
      </c>
      <c r="N22" s="861">
        <f>N21*31*3600*24/1000000000</f>
        <v>0</v>
      </c>
      <c r="O22" s="862">
        <f>SUM(C22:N22)</f>
        <v>0</v>
      </c>
    </row>
    <row r="23" spans="1:15" x14ac:dyDescent="0.25">
      <c r="C23" s="863">
        <f>C21/1000</f>
        <v>0</v>
      </c>
      <c r="D23" s="863">
        <f t="shared" ref="D23:N23" si="12">D21/1000</f>
        <v>0</v>
      </c>
      <c r="E23" s="863">
        <f t="shared" si="12"/>
        <v>0</v>
      </c>
      <c r="F23" s="863">
        <f t="shared" si="12"/>
        <v>0</v>
      </c>
      <c r="G23" s="863">
        <f t="shared" si="12"/>
        <v>0</v>
      </c>
      <c r="H23" s="863">
        <f t="shared" si="12"/>
        <v>0</v>
      </c>
      <c r="I23" s="863">
        <f t="shared" si="12"/>
        <v>0</v>
      </c>
      <c r="J23" s="863">
        <f t="shared" si="12"/>
        <v>0</v>
      </c>
      <c r="K23" s="863">
        <f t="shared" si="12"/>
        <v>0</v>
      </c>
      <c r="L23" s="863">
        <f t="shared" si="12"/>
        <v>0</v>
      </c>
      <c r="M23" s="863">
        <f t="shared" si="12"/>
        <v>0</v>
      </c>
      <c r="N23" s="863">
        <f t="shared" si="12"/>
        <v>0</v>
      </c>
    </row>
    <row r="26" spans="1:15" x14ac:dyDescent="0.25">
      <c r="I26" s="864"/>
      <c r="J26" s="864"/>
      <c r="K26" s="864"/>
      <c r="L26" s="864"/>
      <c r="M26" s="864"/>
      <c r="N26" s="864"/>
    </row>
    <row r="49" spans="1:16" x14ac:dyDescent="0.25">
      <c r="C49" s="864"/>
      <c r="D49" s="864"/>
      <c r="E49" s="864"/>
      <c r="F49" s="864"/>
      <c r="G49" s="864"/>
      <c r="H49" s="864"/>
      <c r="I49" s="864"/>
      <c r="J49" s="864"/>
      <c r="K49" s="864"/>
      <c r="L49" s="864"/>
      <c r="M49" s="864"/>
      <c r="N49" s="864"/>
      <c r="O49" s="864"/>
    </row>
    <row r="50" spans="1:16" ht="18.75" x14ac:dyDescent="0.25">
      <c r="A50" s="1991" t="s">
        <v>5088</v>
      </c>
      <c r="B50" s="1991"/>
      <c r="C50" s="1991"/>
      <c r="D50" s="1991"/>
      <c r="E50" s="1991"/>
      <c r="F50" s="1991"/>
      <c r="G50" s="1991"/>
      <c r="H50" s="1991"/>
      <c r="I50" s="1991"/>
      <c r="J50" s="1991"/>
      <c r="K50" s="1991"/>
      <c r="L50" s="1991"/>
      <c r="M50" s="1991"/>
      <c r="N50" s="1991"/>
    </row>
    <row r="51" spans="1:16" ht="15.75" thickBot="1" x14ac:dyDescent="0.3"/>
    <row r="52" spans="1:16" x14ac:dyDescent="0.25">
      <c r="A52" s="810" t="s">
        <v>5089</v>
      </c>
      <c r="B52" s="848" t="s">
        <v>5085</v>
      </c>
      <c r="C52" s="848" t="s">
        <v>5062</v>
      </c>
      <c r="D52" s="848" t="s">
        <v>5063</v>
      </c>
      <c r="E52" s="848" t="s">
        <v>5064</v>
      </c>
      <c r="F52" s="848" t="s">
        <v>5065</v>
      </c>
      <c r="G52" s="848" t="s">
        <v>5066</v>
      </c>
      <c r="H52" s="848" t="s">
        <v>5067</v>
      </c>
      <c r="I52" s="848" t="s">
        <v>5068</v>
      </c>
      <c r="J52" s="848" t="s">
        <v>5069</v>
      </c>
      <c r="K52" s="848" t="s">
        <v>5070</v>
      </c>
      <c r="L52" s="848" t="s">
        <v>5071</v>
      </c>
      <c r="M52" s="848" t="s">
        <v>5072</v>
      </c>
      <c r="N52" s="849" t="s">
        <v>5073</v>
      </c>
    </row>
    <row r="53" spans="1:16" x14ac:dyDescent="0.25">
      <c r="A53" s="850"/>
      <c r="B53" s="865"/>
      <c r="C53" s="865"/>
      <c r="D53" s="865"/>
      <c r="E53" s="865"/>
      <c r="F53" s="865"/>
      <c r="G53" s="865"/>
      <c r="H53" s="865"/>
      <c r="I53" s="865"/>
      <c r="J53" s="865"/>
      <c r="K53" s="865"/>
      <c r="L53" s="865"/>
      <c r="M53" s="865"/>
      <c r="N53" s="866"/>
    </row>
    <row r="54" spans="1:16" x14ac:dyDescent="0.25">
      <c r="A54" s="850" t="str">
        <f>IF(ReporteBalance!C4="","",ReporteBalance!C4)</f>
        <v/>
      </c>
      <c r="B54" s="865"/>
      <c r="C54" s="867">
        <f t="array" ref="C54:N54">TRANSPOSE(ReporteBalance!B20:B31)</f>
        <v>0</v>
      </c>
      <c r="D54" s="867">
        <v>0</v>
      </c>
      <c r="E54" s="867">
        <v>0</v>
      </c>
      <c r="F54" s="867">
        <v>0</v>
      </c>
      <c r="G54" s="867">
        <v>0</v>
      </c>
      <c r="H54" s="867">
        <v>0</v>
      </c>
      <c r="I54" s="867">
        <v>0</v>
      </c>
      <c r="J54" s="867">
        <v>0</v>
      </c>
      <c r="K54" s="867">
        <v>0</v>
      </c>
      <c r="L54" s="867">
        <v>0</v>
      </c>
      <c r="M54" s="867">
        <v>0</v>
      </c>
      <c r="N54" s="868">
        <v>0</v>
      </c>
      <c r="O54" s="869"/>
    </row>
    <row r="55" spans="1:16" x14ac:dyDescent="0.25">
      <c r="A55" s="870" t="s">
        <v>5090</v>
      </c>
      <c r="B55" s="865"/>
      <c r="C55" s="867">
        <v>0</v>
      </c>
      <c r="D55" s="867">
        <v>0</v>
      </c>
      <c r="E55" s="867">
        <v>0</v>
      </c>
      <c r="F55" s="867">
        <v>0</v>
      </c>
      <c r="G55" s="867">
        <v>0</v>
      </c>
      <c r="H55" s="867">
        <v>0</v>
      </c>
      <c r="I55" s="867">
        <v>0</v>
      </c>
      <c r="J55" s="867">
        <v>0</v>
      </c>
      <c r="K55" s="867">
        <v>0</v>
      </c>
      <c r="L55" s="867">
        <v>0</v>
      </c>
      <c r="M55" s="867">
        <v>0</v>
      </c>
      <c r="N55" s="868">
        <v>0</v>
      </c>
    </row>
    <row r="56" spans="1:16" x14ac:dyDescent="0.25">
      <c r="A56" s="850"/>
      <c r="B56" s="865"/>
      <c r="C56" s="865"/>
      <c r="D56" s="865"/>
      <c r="E56" s="865"/>
      <c r="F56" s="865"/>
      <c r="G56" s="865"/>
      <c r="H56" s="865"/>
      <c r="I56" s="865"/>
      <c r="J56" s="865"/>
      <c r="K56" s="865"/>
      <c r="L56" s="865"/>
      <c r="M56" s="865"/>
      <c r="N56" s="866"/>
    </row>
    <row r="57" spans="1:16" ht="15.75" thickBot="1" x14ac:dyDescent="0.3">
      <c r="A57" s="871" t="s">
        <v>5091</v>
      </c>
      <c r="B57" s="872">
        <f t="shared" ref="B57:N57" si="13">SUM(B53:B56)</f>
        <v>0</v>
      </c>
      <c r="C57" s="873">
        <f t="shared" si="13"/>
        <v>0</v>
      </c>
      <c r="D57" s="873">
        <f t="shared" si="13"/>
        <v>0</v>
      </c>
      <c r="E57" s="873">
        <f t="shared" si="13"/>
        <v>0</v>
      </c>
      <c r="F57" s="873">
        <f t="shared" si="13"/>
        <v>0</v>
      </c>
      <c r="G57" s="873">
        <f t="shared" si="13"/>
        <v>0</v>
      </c>
      <c r="H57" s="873">
        <f t="shared" si="13"/>
        <v>0</v>
      </c>
      <c r="I57" s="873">
        <f t="shared" si="13"/>
        <v>0</v>
      </c>
      <c r="J57" s="873">
        <f t="shared" si="13"/>
        <v>0</v>
      </c>
      <c r="K57" s="873">
        <f t="shared" si="13"/>
        <v>0</v>
      </c>
      <c r="L57" s="873">
        <f t="shared" si="13"/>
        <v>0</v>
      </c>
      <c r="M57" s="873">
        <f t="shared" si="13"/>
        <v>0</v>
      </c>
      <c r="N57" s="874">
        <f t="shared" si="13"/>
        <v>0</v>
      </c>
      <c r="P57" s="875"/>
    </row>
    <row r="58" spans="1:16" ht="15.75" thickBot="1" x14ac:dyDescent="0.3">
      <c r="A58" s="806" t="s">
        <v>5092</v>
      </c>
      <c r="B58" s="807"/>
      <c r="C58" s="876">
        <f>C57*31*86400/1000000</f>
        <v>0</v>
      </c>
      <c r="D58" s="876">
        <f>D57*28*86400/1000000</f>
        <v>0</v>
      </c>
      <c r="E58" s="876">
        <f>E57*31*86400/1000000</f>
        <v>0</v>
      </c>
      <c r="F58" s="876">
        <f>F57*30*86400/1000000</f>
        <v>0</v>
      </c>
      <c r="G58" s="876">
        <f>G57*31*86400/1000000</f>
        <v>0</v>
      </c>
      <c r="H58" s="876">
        <f>H57*30*86400/1000000</f>
        <v>0</v>
      </c>
      <c r="I58" s="876">
        <f>I57*31*86400/1000000</f>
        <v>0</v>
      </c>
      <c r="J58" s="876">
        <f>J57*31*86400/1000000</f>
        <v>0</v>
      </c>
      <c r="K58" s="876">
        <f>K57*30*86400/1000000</f>
        <v>0</v>
      </c>
      <c r="L58" s="876">
        <f>L57*31*86400/1000000</f>
        <v>0</v>
      </c>
      <c r="M58" s="876">
        <f>M57*30*86400/1000000</f>
        <v>0</v>
      </c>
      <c r="N58" s="877">
        <f>N57*31*86400/1000000</f>
        <v>0</v>
      </c>
      <c r="O58" s="878">
        <f>SUM(C58:N58)</f>
        <v>0</v>
      </c>
    </row>
    <row r="85" spans="1:14" ht="15.75" x14ac:dyDescent="0.25">
      <c r="A85" s="1992" t="s">
        <v>5118</v>
      </c>
      <c r="B85" s="1992"/>
      <c r="C85" s="1992"/>
      <c r="D85" s="1992"/>
      <c r="E85" s="1992"/>
      <c r="F85" s="1992"/>
      <c r="G85" s="1992"/>
      <c r="H85" s="1992"/>
      <c r="I85" s="1992"/>
      <c r="J85" s="1992"/>
      <c r="K85" s="1992"/>
      <c r="L85" s="1992"/>
      <c r="M85" s="1992"/>
      <c r="N85" s="1992"/>
    </row>
    <row r="86" spans="1:14" ht="15.75" thickBot="1" x14ac:dyDescent="0.3"/>
    <row r="87" spans="1:14" x14ac:dyDescent="0.25">
      <c r="A87" s="810" t="s">
        <v>5089</v>
      </c>
      <c r="B87" s="848" t="s">
        <v>5085</v>
      </c>
      <c r="C87" s="848" t="s">
        <v>5062</v>
      </c>
      <c r="D87" s="848" t="s">
        <v>5063</v>
      </c>
      <c r="E87" s="848" t="s">
        <v>5064</v>
      </c>
      <c r="F87" s="848" t="s">
        <v>5065</v>
      </c>
      <c r="G87" s="848" t="s">
        <v>5066</v>
      </c>
      <c r="H87" s="848" t="s">
        <v>5067</v>
      </c>
      <c r="I87" s="848" t="s">
        <v>5068</v>
      </c>
      <c r="J87" s="848" t="s">
        <v>5069</v>
      </c>
      <c r="K87" s="848" t="s">
        <v>5070</v>
      </c>
      <c r="L87" s="848" t="s">
        <v>5071</v>
      </c>
      <c r="M87" s="848" t="s">
        <v>5072</v>
      </c>
      <c r="N87" s="849" t="s">
        <v>5073</v>
      </c>
    </row>
    <row r="88" spans="1:14" x14ac:dyDescent="0.25">
      <c r="A88" s="805" t="s">
        <v>5094</v>
      </c>
      <c r="B88" s="880"/>
      <c r="C88" s="881">
        <f>C57</f>
        <v>0</v>
      </c>
      <c r="D88" s="881">
        <f t="shared" ref="D88:N88" si="14">D57</f>
        <v>0</v>
      </c>
      <c r="E88" s="881">
        <f t="shared" si="14"/>
        <v>0</v>
      </c>
      <c r="F88" s="881">
        <f t="shared" si="14"/>
        <v>0</v>
      </c>
      <c r="G88" s="881">
        <f t="shared" si="14"/>
        <v>0</v>
      </c>
      <c r="H88" s="881">
        <f t="shared" si="14"/>
        <v>0</v>
      </c>
      <c r="I88" s="881">
        <f t="shared" si="14"/>
        <v>0</v>
      </c>
      <c r="J88" s="881">
        <f t="shared" si="14"/>
        <v>0</v>
      </c>
      <c r="K88" s="881">
        <f t="shared" si="14"/>
        <v>0</v>
      </c>
      <c r="L88" s="881">
        <f t="shared" si="14"/>
        <v>0</v>
      </c>
      <c r="M88" s="881">
        <f t="shared" si="14"/>
        <v>0</v>
      </c>
      <c r="N88" s="882">
        <f t="shared" si="14"/>
        <v>0</v>
      </c>
    </row>
    <row r="89" spans="1:14" x14ac:dyDescent="0.25">
      <c r="A89" s="805" t="s">
        <v>5095</v>
      </c>
      <c r="B89" s="880"/>
      <c r="C89" s="881">
        <f>C23</f>
        <v>0</v>
      </c>
      <c r="D89" s="881">
        <f t="shared" ref="D89:M89" si="15">D23</f>
        <v>0</v>
      </c>
      <c r="E89" s="881">
        <f t="shared" si="15"/>
        <v>0</v>
      </c>
      <c r="F89" s="881">
        <f t="shared" si="15"/>
        <v>0</v>
      </c>
      <c r="G89" s="881">
        <f t="shared" si="15"/>
        <v>0</v>
      </c>
      <c r="H89" s="881">
        <f t="shared" si="15"/>
        <v>0</v>
      </c>
      <c r="I89" s="881">
        <f t="shared" si="15"/>
        <v>0</v>
      </c>
      <c r="J89" s="881">
        <f t="shared" si="15"/>
        <v>0</v>
      </c>
      <c r="K89" s="881">
        <f t="shared" si="15"/>
        <v>0</v>
      </c>
      <c r="L89" s="881">
        <f t="shared" si="15"/>
        <v>0</v>
      </c>
      <c r="M89" s="881">
        <f t="shared" si="15"/>
        <v>0</v>
      </c>
      <c r="N89" s="882">
        <f>N23</f>
        <v>0</v>
      </c>
    </row>
    <row r="90" spans="1:14" x14ac:dyDescent="0.25">
      <c r="A90" s="944" t="s">
        <v>5096</v>
      </c>
      <c r="B90" s="945"/>
      <c r="C90" s="946">
        <f>C88-C89</f>
        <v>0</v>
      </c>
      <c r="D90" s="946">
        <f t="shared" ref="D90:N90" si="16">D88-D89</f>
        <v>0</v>
      </c>
      <c r="E90" s="946">
        <f t="shared" si="16"/>
        <v>0</v>
      </c>
      <c r="F90" s="946">
        <f t="shared" si="16"/>
        <v>0</v>
      </c>
      <c r="G90" s="946">
        <f t="shared" si="16"/>
        <v>0</v>
      </c>
      <c r="H90" s="946">
        <f t="shared" si="16"/>
        <v>0</v>
      </c>
      <c r="I90" s="946">
        <f t="shared" si="16"/>
        <v>0</v>
      </c>
      <c r="J90" s="946">
        <f t="shared" si="16"/>
        <v>0</v>
      </c>
      <c r="K90" s="946">
        <f t="shared" si="16"/>
        <v>0</v>
      </c>
      <c r="L90" s="946">
        <f t="shared" si="16"/>
        <v>0</v>
      </c>
      <c r="M90" s="946">
        <f t="shared" si="16"/>
        <v>0</v>
      </c>
      <c r="N90" s="947">
        <f t="shared" si="16"/>
        <v>0</v>
      </c>
    </row>
    <row r="91" spans="1:14" x14ac:dyDescent="0.25">
      <c r="A91" s="805" t="s">
        <v>5097</v>
      </c>
      <c r="B91" s="880"/>
      <c r="C91" s="887">
        <f>C58</f>
        <v>0</v>
      </c>
      <c r="D91" s="887">
        <f t="shared" ref="D91:N91" si="17">D58</f>
        <v>0</v>
      </c>
      <c r="E91" s="887">
        <f t="shared" si="17"/>
        <v>0</v>
      </c>
      <c r="F91" s="887">
        <f t="shared" si="17"/>
        <v>0</v>
      </c>
      <c r="G91" s="887">
        <f t="shared" si="17"/>
        <v>0</v>
      </c>
      <c r="H91" s="887">
        <f t="shared" si="17"/>
        <v>0</v>
      </c>
      <c r="I91" s="887">
        <f t="shared" si="17"/>
        <v>0</v>
      </c>
      <c r="J91" s="887">
        <f t="shared" si="17"/>
        <v>0</v>
      </c>
      <c r="K91" s="887">
        <f t="shared" si="17"/>
        <v>0</v>
      </c>
      <c r="L91" s="887">
        <f t="shared" si="17"/>
        <v>0</v>
      </c>
      <c r="M91" s="887">
        <f t="shared" si="17"/>
        <v>0</v>
      </c>
      <c r="N91" s="888">
        <f t="shared" si="17"/>
        <v>0</v>
      </c>
    </row>
    <row r="92" spans="1:14" x14ac:dyDescent="0.25">
      <c r="A92" s="805" t="s">
        <v>5098</v>
      </c>
      <c r="B92" s="880"/>
      <c r="C92" s="887">
        <f>C22</f>
        <v>0</v>
      </c>
      <c r="D92" s="887">
        <f t="shared" ref="D92:M92" si="18">D22</f>
        <v>0</v>
      </c>
      <c r="E92" s="887">
        <f t="shared" si="18"/>
        <v>0</v>
      </c>
      <c r="F92" s="887">
        <f t="shared" si="18"/>
        <v>0</v>
      </c>
      <c r="G92" s="887">
        <f t="shared" si="18"/>
        <v>0</v>
      </c>
      <c r="H92" s="887">
        <f t="shared" si="18"/>
        <v>0</v>
      </c>
      <c r="I92" s="887">
        <f t="shared" si="18"/>
        <v>0</v>
      </c>
      <c r="J92" s="887">
        <f t="shared" si="18"/>
        <v>0</v>
      </c>
      <c r="K92" s="887">
        <f t="shared" si="18"/>
        <v>0</v>
      </c>
      <c r="L92" s="887">
        <f t="shared" si="18"/>
        <v>0</v>
      </c>
      <c r="M92" s="887">
        <f t="shared" si="18"/>
        <v>0</v>
      </c>
      <c r="N92" s="888">
        <f>N22</f>
        <v>0</v>
      </c>
    </row>
    <row r="93" spans="1:14" ht="15.75" thickBot="1" x14ac:dyDescent="0.3">
      <c r="A93" s="948" t="s">
        <v>5099</v>
      </c>
      <c r="B93" s="949"/>
      <c r="C93" s="950">
        <f>C91-C92</f>
        <v>0</v>
      </c>
      <c r="D93" s="950">
        <f t="shared" ref="D93:N93" si="19">D91-D92</f>
        <v>0</v>
      </c>
      <c r="E93" s="950">
        <f t="shared" si="19"/>
        <v>0</v>
      </c>
      <c r="F93" s="950">
        <f t="shared" si="19"/>
        <v>0</v>
      </c>
      <c r="G93" s="950">
        <f t="shared" si="19"/>
        <v>0</v>
      </c>
      <c r="H93" s="950">
        <f t="shared" si="19"/>
        <v>0</v>
      </c>
      <c r="I93" s="950">
        <f t="shared" si="19"/>
        <v>0</v>
      </c>
      <c r="J93" s="950">
        <f t="shared" si="19"/>
        <v>0</v>
      </c>
      <c r="K93" s="950">
        <f t="shared" si="19"/>
        <v>0</v>
      </c>
      <c r="L93" s="950">
        <f t="shared" si="19"/>
        <v>0</v>
      </c>
      <c r="M93" s="950">
        <f t="shared" si="19"/>
        <v>0</v>
      </c>
      <c r="N93" s="951">
        <f t="shared" si="19"/>
        <v>0</v>
      </c>
    </row>
    <row r="100" spans="10:25" x14ac:dyDescent="0.25">
      <c r="J100" s="494"/>
      <c r="K100" s="321"/>
      <c r="L100" s="321"/>
      <c r="M100" s="321"/>
      <c r="N100" s="321"/>
      <c r="O100" s="321"/>
      <c r="P100" s="321"/>
      <c r="Q100" s="321"/>
      <c r="R100" s="321"/>
      <c r="S100" s="321"/>
      <c r="T100" s="321"/>
      <c r="U100" s="321"/>
      <c r="V100" s="321"/>
      <c r="W100" s="321"/>
      <c r="X100" s="321"/>
      <c r="Y100" s="321"/>
    </row>
    <row r="101" spans="10:25" x14ac:dyDescent="0.25">
      <c r="J101" s="321"/>
      <c r="K101" s="321"/>
      <c r="L101" s="321"/>
      <c r="M101" s="321"/>
      <c r="N101" s="321"/>
      <c r="O101" s="321"/>
      <c r="P101" s="321"/>
      <c r="Q101" s="321"/>
      <c r="R101" s="321"/>
      <c r="S101" s="321"/>
      <c r="T101" s="321"/>
      <c r="U101" s="321"/>
      <c r="V101" s="321"/>
      <c r="W101" s="321"/>
      <c r="X101" s="321"/>
      <c r="Y101" s="321"/>
    </row>
    <row r="102" spans="10:25" x14ac:dyDescent="0.25">
      <c r="J102" s="597"/>
      <c r="K102" s="597"/>
      <c r="L102" s="597"/>
      <c r="M102" s="597"/>
      <c r="N102" s="597"/>
      <c r="O102" s="597"/>
      <c r="P102" s="893"/>
      <c r="Q102" s="894"/>
      <c r="R102" s="894"/>
      <c r="S102" s="894"/>
      <c r="T102" s="894"/>
      <c r="U102" s="894"/>
      <c r="V102" s="894"/>
      <c r="W102" s="894"/>
      <c r="X102" s="321"/>
      <c r="Y102" s="321"/>
    </row>
    <row r="103" spans="10:25" x14ac:dyDescent="0.25">
      <c r="J103" s="597"/>
      <c r="K103" s="597"/>
      <c r="L103" s="597"/>
      <c r="M103" s="597"/>
      <c r="N103" s="597"/>
      <c r="O103" s="597"/>
      <c r="P103" s="597"/>
      <c r="Q103" s="321"/>
      <c r="R103" s="321"/>
      <c r="S103" s="321"/>
      <c r="T103" s="321"/>
      <c r="U103" s="321"/>
      <c r="V103" s="321"/>
      <c r="W103" s="321"/>
      <c r="X103" s="321"/>
      <c r="Y103" s="321"/>
    </row>
    <row r="104" spans="10:25" x14ac:dyDescent="0.25">
      <c r="J104" s="597"/>
      <c r="K104" s="895"/>
      <c r="L104" s="895"/>
      <c r="M104" s="895"/>
      <c r="N104" s="895"/>
      <c r="O104" s="597"/>
      <c r="P104" s="597"/>
      <c r="Q104" s="896"/>
      <c r="R104" s="896"/>
      <c r="S104" s="896"/>
      <c r="T104" s="896"/>
      <c r="U104" s="896"/>
      <c r="V104" s="896"/>
      <c r="W104" s="896"/>
      <c r="X104" s="321"/>
      <c r="Y104" s="321"/>
    </row>
    <row r="105" spans="10:25" x14ac:dyDescent="0.25">
      <c r="J105" s="597"/>
      <c r="K105" s="897"/>
      <c r="L105" s="893"/>
      <c r="M105" s="893"/>
      <c r="N105" s="893"/>
      <c r="O105" s="898"/>
      <c r="P105" s="597"/>
      <c r="Q105" s="899"/>
      <c r="R105" s="899"/>
      <c r="S105" s="899"/>
      <c r="T105" s="899"/>
      <c r="U105" s="899"/>
      <c r="V105" s="899"/>
      <c r="W105" s="899"/>
      <c r="X105" s="321"/>
      <c r="Y105" s="321"/>
    </row>
    <row r="106" spans="10:25" x14ac:dyDescent="0.25">
      <c r="J106" s="597"/>
      <c r="K106" s="897"/>
      <c r="L106" s="893"/>
      <c r="M106" s="893"/>
      <c r="N106" s="893"/>
      <c r="O106" s="898"/>
      <c r="P106" s="597"/>
      <c r="Q106" s="321"/>
      <c r="R106" s="321"/>
      <c r="S106" s="321"/>
      <c r="T106" s="321"/>
      <c r="U106" s="321"/>
      <c r="V106" s="321"/>
      <c r="W106" s="321"/>
      <c r="X106" s="321"/>
      <c r="Y106" s="321"/>
    </row>
    <row r="107" spans="10:25" x14ac:dyDescent="0.25">
      <c r="J107" s="900"/>
      <c r="K107" s="897"/>
      <c r="L107" s="893"/>
      <c r="M107" s="893"/>
      <c r="N107" s="893"/>
      <c r="O107" s="898"/>
      <c r="P107" s="597"/>
      <c r="Q107" s="901"/>
      <c r="R107" s="901"/>
      <c r="S107" s="901"/>
      <c r="T107" s="901"/>
      <c r="U107" s="901"/>
      <c r="V107" s="901"/>
      <c r="W107" s="901"/>
      <c r="X107" s="902"/>
      <c r="Y107" s="321"/>
    </row>
    <row r="108" spans="10:25" x14ac:dyDescent="0.25">
      <c r="J108" s="597"/>
      <c r="K108" s="897"/>
      <c r="L108" s="893"/>
      <c r="M108" s="893"/>
      <c r="N108" s="893"/>
      <c r="O108" s="898"/>
      <c r="P108" s="597"/>
      <c r="Q108" s="903"/>
      <c r="R108" s="903"/>
      <c r="S108" s="903"/>
      <c r="T108" s="903"/>
      <c r="U108" s="903"/>
      <c r="V108" s="903"/>
      <c r="W108" s="903"/>
      <c r="X108" s="902"/>
      <c r="Y108" s="903"/>
    </row>
    <row r="109" spans="10:25" x14ac:dyDescent="0.25">
      <c r="J109" s="597"/>
      <c r="K109" s="897"/>
      <c r="L109" s="893"/>
      <c r="M109" s="893"/>
      <c r="N109" s="893"/>
      <c r="O109" s="898"/>
      <c r="P109" s="597"/>
      <c r="Q109" s="903"/>
      <c r="R109" s="903"/>
      <c r="S109" s="903"/>
      <c r="T109" s="903"/>
      <c r="U109" s="903"/>
      <c r="V109" s="903"/>
      <c r="W109" s="903"/>
      <c r="X109" s="903"/>
      <c r="Y109" s="321"/>
    </row>
    <row r="110" spans="10:25" x14ac:dyDescent="0.25">
      <c r="J110" s="597"/>
      <c r="K110" s="897"/>
      <c r="L110" s="893"/>
      <c r="M110" s="893"/>
      <c r="N110" s="893"/>
      <c r="O110" s="898"/>
      <c r="P110" s="597"/>
      <c r="Q110" s="904"/>
      <c r="R110" s="904"/>
      <c r="S110" s="904"/>
      <c r="T110" s="904"/>
      <c r="U110" s="904"/>
      <c r="V110" s="904"/>
      <c r="W110" s="904"/>
      <c r="X110" s="904"/>
      <c r="Y110" s="321"/>
    </row>
    <row r="111" spans="10:25" x14ac:dyDescent="0.25">
      <c r="J111" s="597"/>
      <c r="K111" s="897"/>
      <c r="L111" s="893"/>
      <c r="M111" s="893"/>
      <c r="N111" s="893"/>
      <c r="O111" s="898"/>
      <c r="P111" s="597"/>
      <c r="Q111" s="904"/>
      <c r="R111" s="904"/>
      <c r="S111" s="904"/>
      <c r="T111" s="904"/>
      <c r="U111" s="904"/>
      <c r="V111" s="904"/>
      <c r="W111" s="904"/>
      <c r="X111" s="904"/>
      <c r="Y111" s="321"/>
    </row>
    <row r="112" spans="10:25" x14ac:dyDescent="0.25">
      <c r="J112" s="597"/>
      <c r="K112" s="897"/>
      <c r="L112" s="893"/>
      <c r="M112" s="893"/>
      <c r="N112" s="893"/>
      <c r="O112" s="898"/>
      <c r="P112" s="597"/>
      <c r="Q112" s="904"/>
      <c r="R112" s="904"/>
      <c r="S112" s="904"/>
      <c r="T112" s="904"/>
      <c r="U112" s="904"/>
      <c r="V112" s="904"/>
      <c r="W112" s="904"/>
      <c r="X112" s="904"/>
      <c r="Y112" s="321"/>
    </row>
    <row r="113" spans="1:23" x14ac:dyDescent="0.25">
      <c r="J113" s="597"/>
      <c r="K113" s="897"/>
      <c r="L113" s="893"/>
      <c r="M113" s="893"/>
      <c r="N113" s="893"/>
      <c r="O113" s="898"/>
      <c r="P113" s="597"/>
    </row>
    <row r="114" spans="1:23" x14ac:dyDescent="0.25">
      <c r="J114" s="597"/>
      <c r="K114" s="897"/>
      <c r="L114" s="893"/>
      <c r="M114" s="893"/>
      <c r="N114" s="893"/>
      <c r="O114" s="898"/>
      <c r="P114" s="597"/>
      <c r="W114" s="879"/>
    </row>
    <row r="115" spans="1:23" x14ac:dyDescent="0.25">
      <c r="J115" s="597"/>
      <c r="K115" s="897"/>
      <c r="L115" s="893"/>
      <c r="M115" s="893"/>
      <c r="N115" s="893"/>
      <c r="O115" s="898"/>
      <c r="P115" s="597"/>
    </row>
    <row r="116" spans="1:23" x14ac:dyDescent="0.25">
      <c r="J116" s="597"/>
      <c r="K116" s="897"/>
      <c r="L116" s="893"/>
      <c r="M116" s="893"/>
      <c r="N116" s="893"/>
      <c r="O116" s="898"/>
      <c r="P116" s="597"/>
    </row>
    <row r="120" spans="1:23" ht="15.75" x14ac:dyDescent="0.25">
      <c r="A120" s="1991" t="s">
        <v>5100</v>
      </c>
      <c r="B120" s="1991"/>
      <c r="C120" s="1991"/>
      <c r="D120" s="1991"/>
      <c r="E120" s="1991"/>
      <c r="F120" s="1991"/>
      <c r="G120" s="1991"/>
      <c r="H120" s="1991"/>
      <c r="I120" s="1991"/>
      <c r="J120" s="1991"/>
      <c r="K120" s="1991"/>
      <c r="L120" s="1991"/>
      <c r="M120" s="1991"/>
      <c r="N120" s="1991"/>
      <c r="O120" s="708"/>
    </row>
    <row r="121" spans="1:23" ht="15.75" thickBot="1" x14ac:dyDescent="0.3">
      <c r="A121" s="708"/>
      <c r="B121" s="708"/>
      <c r="C121" s="708"/>
      <c r="D121" s="708"/>
      <c r="E121" s="708"/>
      <c r="F121" s="708"/>
      <c r="G121" s="708"/>
      <c r="H121" s="708"/>
      <c r="I121" s="708"/>
      <c r="J121" s="708"/>
      <c r="K121" s="708"/>
      <c r="L121" s="708"/>
      <c r="M121" s="708"/>
      <c r="N121" s="708"/>
      <c r="O121" s="708"/>
    </row>
    <row r="122" spans="1:23" x14ac:dyDescent="0.25">
      <c r="A122" s="905" t="s">
        <v>5084</v>
      </c>
      <c r="B122" s="906" t="s">
        <v>5085</v>
      </c>
      <c r="C122" s="906" t="s">
        <v>5062</v>
      </c>
      <c r="D122" s="906" t="s">
        <v>5063</v>
      </c>
      <c r="E122" s="906" t="s">
        <v>5064</v>
      </c>
      <c r="F122" s="906" t="s">
        <v>5065</v>
      </c>
      <c r="G122" s="906" t="s">
        <v>5066</v>
      </c>
      <c r="H122" s="906" t="s">
        <v>5067</v>
      </c>
      <c r="I122" s="906" t="s">
        <v>5068</v>
      </c>
      <c r="J122" s="906" t="s">
        <v>5069</v>
      </c>
      <c r="K122" s="906" t="s">
        <v>5070</v>
      </c>
      <c r="L122" s="906" t="s">
        <v>5071</v>
      </c>
      <c r="M122" s="907" t="s">
        <v>5072</v>
      </c>
      <c r="N122" s="908" t="s">
        <v>5073</v>
      </c>
      <c r="O122" s="708"/>
    </row>
    <row r="123" spans="1:23" x14ac:dyDescent="0.25">
      <c r="A123" s="850" t="str">
        <f>IF(A10="","",A10)</f>
        <v/>
      </c>
      <c r="B123" s="851" t="str">
        <f>IF(B10="","",B10)</f>
        <v/>
      </c>
      <c r="C123" s="952" t="str">
        <f>IF(ReporteBalance!B182="","",ReporteBalance!B182)</f>
        <v/>
      </c>
      <c r="D123" s="952" t="str">
        <f>IF(ReporteBalance!C182="","",ReporteBalance!C182)</f>
        <v/>
      </c>
      <c r="E123" s="952" t="str">
        <f>IF(ReporteBalance!D182="","",ReporteBalance!D182)</f>
        <v/>
      </c>
      <c r="F123" s="952" t="str">
        <f>IF(ReporteBalance!E182="","",ReporteBalance!E182)</f>
        <v/>
      </c>
      <c r="G123" s="952" t="str">
        <f>IF(ReporteBalance!F182="","",ReporteBalance!F182)</f>
        <v/>
      </c>
      <c r="H123" s="952" t="str">
        <f>IF(ReporteBalance!G182="","",ReporteBalance!G182)</f>
        <v/>
      </c>
      <c r="I123" s="952" t="str">
        <f>IF(ReporteBalance!H182="","",ReporteBalance!H182)</f>
        <v/>
      </c>
      <c r="J123" s="952" t="str">
        <f>IF(ReporteBalance!I182="","",ReporteBalance!I182)</f>
        <v/>
      </c>
      <c r="K123" s="952" t="str">
        <f>IF(ReporteBalance!J182="","",ReporteBalance!J182)</f>
        <v/>
      </c>
      <c r="L123" s="952" t="str">
        <f>IF(ReporteBalance!K182="","",ReporteBalance!K182)</f>
        <v/>
      </c>
      <c r="M123" s="952" t="str">
        <f>IF(ReporteBalance!L182="","",ReporteBalance!L182)</f>
        <v/>
      </c>
      <c r="N123" s="910" t="str">
        <f>IF(ReporteBalance!M182="","",ReporteBalance!M182)</f>
        <v/>
      </c>
      <c r="O123" s="911"/>
      <c r="P123" s="912"/>
    </row>
    <row r="124" spans="1:23" x14ac:dyDescent="0.25">
      <c r="A124" s="913" t="str">
        <f t="shared" ref="A124:B132" si="20">IF(A11="","",A11)</f>
        <v/>
      </c>
      <c r="B124" s="914" t="str">
        <f t="shared" si="20"/>
        <v/>
      </c>
      <c r="C124" s="909" t="str">
        <f>IF(ReporteBalance!B183="","",ReporteBalance!B183)</f>
        <v/>
      </c>
      <c r="D124" s="909" t="str">
        <f>IF(ReporteBalance!C183="","",ReporteBalance!C183)</f>
        <v/>
      </c>
      <c r="E124" s="909" t="str">
        <f>IF(ReporteBalance!D183="","",ReporteBalance!D183)</f>
        <v/>
      </c>
      <c r="F124" s="909" t="str">
        <f>IF(ReporteBalance!E183="","",ReporteBalance!E183)</f>
        <v/>
      </c>
      <c r="G124" s="909" t="str">
        <f>IF(ReporteBalance!F183="","",ReporteBalance!F183)</f>
        <v/>
      </c>
      <c r="H124" s="909" t="str">
        <f>IF(ReporteBalance!G183="","",ReporteBalance!G183)</f>
        <v/>
      </c>
      <c r="I124" s="909" t="str">
        <f>IF(ReporteBalance!H183="","",ReporteBalance!H183)</f>
        <v/>
      </c>
      <c r="J124" s="909" t="str">
        <f>IF(ReporteBalance!I183="","",ReporteBalance!I183)</f>
        <v/>
      </c>
      <c r="K124" s="909" t="str">
        <f>IF(ReporteBalance!J183="","",ReporteBalance!J183)</f>
        <v/>
      </c>
      <c r="L124" s="909" t="str">
        <f>IF(ReporteBalance!K183="","",ReporteBalance!K183)</f>
        <v/>
      </c>
      <c r="M124" s="909" t="str">
        <f>IF(ReporteBalance!L183="","",ReporteBalance!L183)</f>
        <v/>
      </c>
      <c r="N124" s="915" t="str">
        <f>IF(ReporteBalance!M183="","",ReporteBalance!M183)</f>
        <v/>
      </c>
      <c r="O124" s="911"/>
      <c r="P124" s="916"/>
    </row>
    <row r="125" spans="1:23" x14ac:dyDescent="0.25">
      <c r="A125" s="913" t="str">
        <f t="shared" si="20"/>
        <v/>
      </c>
      <c r="B125" s="914" t="str">
        <f t="shared" si="20"/>
        <v/>
      </c>
      <c r="C125" s="909" t="str">
        <f>IF(ReporteBalance!B184="","",ReporteBalance!B184)</f>
        <v/>
      </c>
      <c r="D125" s="909" t="str">
        <f>IF(ReporteBalance!C184="","",ReporteBalance!C184)</f>
        <v/>
      </c>
      <c r="E125" s="909" t="str">
        <f>IF(ReporteBalance!D184="","",ReporteBalance!D184)</f>
        <v/>
      </c>
      <c r="F125" s="909" t="str">
        <f>IF(ReporteBalance!E184="","",ReporteBalance!E184)</f>
        <v/>
      </c>
      <c r="G125" s="909" t="str">
        <f>IF(ReporteBalance!F184="","",ReporteBalance!F184)</f>
        <v/>
      </c>
      <c r="H125" s="909" t="str">
        <f>IF(ReporteBalance!G184="","",ReporteBalance!G184)</f>
        <v/>
      </c>
      <c r="I125" s="909" t="str">
        <f>IF(ReporteBalance!H184="","",ReporteBalance!H184)</f>
        <v/>
      </c>
      <c r="J125" s="909" t="str">
        <f>IF(ReporteBalance!I184="","",ReporteBalance!I184)</f>
        <v/>
      </c>
      <c r="K125" s="909" t="str">
        <f>IF(ReporteBalance!J184="","",ReporteBalance!J184)</f>
        <v/>
      </c>
      <c r="L125" s="909" t="str">
        <f>IF(ReporteBalance!K184="","",ReporteBalance!K184)</f>
        <v/>
      </c>
      <c r="M125" s="909" t="str">
        <f>IF(ReporteBalance!L184="","",ReporteBalance!L184)</f>
        <v/>
      </c>
      <c r="N125" s="915" t="str">
        <f>IF(ReporteBalance!M184="","",ReporteBalance!M184)</f>
        <v/>
      </c>
      <c r="O125" s="911"/>
      <c r="P125" s="916"/>
    </row>
    <row r="126" spans="1:23" x14ac:dyDescent="0.25">
      <c r="A126" s="913" t="str">
        <f t="shared" si="20"/>
        <v/>
      </c>
      <c r="B126" s="914" t="str">
        <f t="shared" si="20"/>
        <v/>
      </c>
      <c r="C126" s="909" t="str">
        <f>IF(ReporteBalance!B185="","",ReporteBalance!B185)</f>
        <v/>
      </c>
      <c r="D126" s="909" t="str">
        <f>IF(ReporteBalance!C185="","",ReporteBalance!C185)</f>
        <v/>
      </c>
      <c r="E126" s="909" t="str">
        <f>IF(ReporteBalance!D185="","",ReporteBalance!D185)</f>
        <v/>
      </c>
      <c r="F126" s="909" t="str">
        <f>IF(ReporteBalance!E185="","",ReporteBalance!E185)</f>
        <v/>
      </c>
      <c r="G126" s="909" t="str">
        <f>IF(ReporteBalance!F185="","",ReporteBalance!F185)</f>
        <v/>
      </c>
      <c r="H126" s="909" t="str">
        <f>IF(ReporteBalance!G185="","",ReporteBalance!G185)</f>
        <v/>
      </c>
      <c r="I126" s="909" t="str">
        <f>IF(ReporteBalance!H185="","",ReporteBalance!H185)</f>
        <v/>
      </c>
      <c r="J126" s="909" t="str">
        <f>IF(ReporteBalance!I185="","",ReporteBalance!I185)</f>
        <v/>
      </c>
      <c r="K126" s="909" t="str">
        <f>IF(ReporteBalance!J185="","",ReporteBalance!J185)</f>
        <v/>
      </c>
      <c r="L126" s="909" t="str">
        <f>IF(ReporteBalance!K185="","",ReporteBalance!K185)</f>
        <v/>
      </c>
      <c r="M126" s="909" t="str">
        <f>IF(ReporteBalance!L185="","",ReporteBalance!L185)</f>
        <v/>
      </c>
      <c r="N126" s="915" t="str">
        <f>IF(ReporteBalance!M185="","",ReporteBalance!M185)</f>
        <v/>
      </c>
      <c r="O126" s="911"/>
    </row>
    <row r="127" spans="1:23" x14ac:dyDescent="0.25">
      <c r="A127" s="913" t="str">
        <f t="shared" si="20"/>
        <v/>
      </c>
      <c r="B127" s="914" t="str">
        <f t="shared" si="20"/>
        <v/>
      </c>
      <c r="C127" s="909" t="str">
        <f>IF(ReporteBalance!B186="","",ReporteBalance!B186)</f>
        <v/>
      </c>
      <c r="D127" s="909" t="str">
        <f>IF(ReporteBalance!C186="","",ReporteBalance!C186)</f>
        <v/>
      </c>
      <c r="E127" s="909" t="str">
        <f>IF(ReporteBalance!D186="","",ReporteBalance!D186)</f>
        <v/>
      </c>
      <c r="F127" s="909" t="str">
        <f>IF(ReporteBalance!E186="","",ReporteBalance!E186)</f>
        <v/>
      </c>
      <c r="G127" s="909" t="str">
        <f>IF(ReporteBalance!F186="","",ReporteBalance!F186)</f>
        <v/>
      </c>
      <c r="H127" s="909" t="str">
        <f>IF(ReporteBalance!G186="","",ReporteBalance!G186)</f>
        <v/>
      </c>
      <c r="I127" s="909" t="str">
        <f>IF(ReporteBalance!H186="","",ReporteBalance!H186)</f>
        <v/>
      </c>
      <c r="J127" s="909" t="str">
        <f>IF(ReporteBalance!I186="","",ReporteBalance!I186)</f>
        <v/>
      </c>
      <c r="K127" s="909" t="str">
        <f>IF(ReporteBalance!J186="","",ReporteBalance!J186)</f>
        <v/>
      </c>
      <c r="L127" s="909" t="str">
        <f>IF(ReporteBalance!K186="","",ReporteBalance!K186)</f>
        <v/>
      </c>
      <c r="M127" s="909" t="str">
        <f>IF(ReporteBalance!L186="","",ReporteBalance!L186)</f>
        <v/>
      </c>
      <c r="N127" s="915" t="str">
        <f>IF(ReporteBalance!M186="","",ReporteBalance!M186)</f>
        <v/>
      </c>
      <c r="O127" s="911"/>
      <c r="P127" s="917"/>
      <c r="Q127" s="917"/>
      <c r="R127" s="917"/>
    </row>
    <row r="128" spans="1:23" x14ac:dyDescent="0.25">
      <c r="A128" s="913" t="str">
        <f t="shared" si="20"/>
        <v/>
      </c>
      <c r="B128" s="914" t="str">
        <f t="shared" si="20"/>
        <v/>
      </c>
      <c r="C128" s="909" t="str">
        <f>IF(ReporteBalance!B187="","",ReporteBalance!B187)</f>
        <v/>
      </c>
      <c r="D128" s="909" t="str">
        <f>IF(ReporteBalance!C187="","",ReporteBalance!C187)</f>
        <v/>
      </c>
      <c r="E128" s="909" t="str">
        <f>IF(ReporteBalance!D187="","",ReporteBalance!D187)</f>
        <v/>
      </c>
      <c r="F128" s="909" t="str">
        <f>IF(ReporteBalance!E187="","",ReporteBalance!E187)</f>
        <v/>
      </c>
      <c r="G128" s="909" t="str">
        <f>IF(ReporteBalance!F187="","",ReporteBalance!F187)</f>
        <v/>
      </c>
      <c r="H128" s="909" t="str">
        <f>IF(ReporteBalance!G187="","",ReporteBalance!G187)</f>
        <v/>
      </c>
      <c r="I128" s="909" t="str">
        <f>IF(ReporteBalance!H187="","",ReporteBalance!H187)</f>
        <v/>
      </c>
      <c r="J128" s="909" t="str">
        <f>IF(ReporteBalance!I187="","",ReporteBalance!I187)</f>
        <v/>
      </c>
      <c r="K128" s="909" t="str">
        <f>IF(ReporteBalance!J187="","",ReporteBalance!J187)</f>
        <v/>
      </c>
      <c r="L128" s="909" t="str">
        <f>IF(ReporteBalance!K187="","",ReporteBalance!K187)</f>
        <v/>
      </c>
      <c r="M128" s="909" t="str">
        <f>IF(ReporteBalance!L187="","",ReporteBalance!L187)</f>
        <v/>
      </c>
      <c r="N128" s="915" t="str">
        <f>IF(ReporteBalance!M187="","",ReporteBalance!M187)</f>
        <v/>
      </c>
      <c r="O128" s="911"/>
    </row>
    <row r="129" spans="1:16" x14ac:dyDescent="0.25">
      <c r="A129" s="913" t="str">
        <f t="shared" si="20"/>
        <v/>
      </c>
      <c r="B129" s="914" t="str">
        <f t="shared" si="20"/>
        <v/>
      </c>
      <c r="C129" s="909" t="str">
        <f>IF(ReporteBalance!B188="","",ReporteBalance!B188)</f>
        <v/>
      </c>
      <c r="D129" s="909" t="str">
        <f>IF(ReporteBalance!C188="","",ReporteBalance!C188)</f>
        <v/>
      </c>
      <c r="E129" s="909" t="str">
        <f>IF(ReporteBalance!D188="","",ReporteBalance!D188)</f>
        <v/>
      </c>
      <c r="F129" s="909" t="str">
        <f>IF(ReporteBalance!E188="","",ReporteBalance!E188)</f>
        <v/>
      </c>
      <c r="G129" s="909" t="str">
        <f>IF(ReporteBalance!F188="","",ReporteBalance!F188)</f>
        <v/>
      </c>
      <c r="H129" s="909" t="str">
        <f>IF(ReporteBalance!G188="","",ReporteBalance!G188)</f>
        <v/>
      </c>
      <c r="I129" s="909" t="str">
        <f>IF(ReporteBalance!H188="","",ReporteBalance!H188)</f>
        <v/>
      </c>
      <c r="J129" s="909" t="str">
        <f>IF(ReporteBalance!I188="","",ReporteBalance!I188)</f>
        <v/>
      </c>
      <c r="K129" s="909" t="str">
        <f>IF(ReporteBalance!J188="","",ReporteBalance!J188)</f>
        <v/>
      </c>
      <c r="L129" s="909" t="str">
        <f>IF(ReporteBalance!K188="","",ReporteBalance!K188)</f>
        <v/>
      </c>
      <c r="M129" s="909" t="str">
        <f>IF(ReporteBalance!L188="","",ReporteBalance!L188)</f>
        <v/>
      </c>
      <c r="N129" s="915" t="str">
        <f>IF(ReporteBalance!M188="","",ReporteBalance!M188)</f>
        <v/>
      </c>
      <c r="O129" s="911"/>
    </row>
    <row r="130" spans="1:16" x14ac:dyDescent="0.25">
      <c r="A130" s="913" t="str">
        <f t="shared" si="20"/>
        <v/>
      </c>
      <c r="B130" s="914" t="str">
        <f t="shared" si="20"/>
        <v/>
      </c>
      <c r="C130" s="909" t="str">
        <f>IF(ReporteBalance!B189="","",ReporteBalance!B189)</f>
        <v/>
      </c>
      <c r="D130" s="909" t="str">
        <f>IF(ReporteBalance!C189="","",ReporteBalance!C189)</f>
        <v/>
      </c>
      <c r="E130" s="909" t="str">
        <f>IF(ReporteBalance!D189="","",ReporteBalance!D189)</f>
        <v/>
      </c>
      <c r="F130" s="909" t="str">
        <f>IF(ReporteBalance!E189="","",ReporteBalance!E189)</f>
        <v/>
      </c>
      <c r="G130" s="909" t="str">
        <f>IF(ReporteBalance!F189="","",ReporteBalance!F189)</f>
        <v/>
      </c>
      <c r="H130" s="909" t="str">
        <f>IF(ReporteBalance!G189="","",ReporteBalance!G189)</f>
        <v/>
      </c>
      <c r="I130" s="909" t="str">
        <f>IF(ReporteBalance!H189="","",ReporteBalance!H189)</f>
        <v/>
      </c>
      <c r="J130" s="909" t="str">
        <f>IF(ReporteBalance!I189="","",ReporteBalance!I189)</f>
        <v/>
      </c>
      <c r="K130" s="909" t="str">
        <f>IF(ReporteBalance!J189="","",ReporteBalance!J189)</f>
        <v/>
      </c>
      <c r="L130" s="909" t="str">
        <f>IF(ReporteBalance!K189="","",ReporteBalance!K189)</f>
        <v/>
      </c>
      <c r="M130" s="909" t="str">
        <f>IF(ReporteBalance!L189="","",ReporteBalance!L189)</f>
        <v/>
      </c>
      <c r="N130" s="915" t="str">
        <f>IF(ReporteBalance!M189="","",ReporteBalance!M189)</f>
        <v/>
      </c>
      <c r="O130" s="911"/>
    </row>
    <row r="131" spans="1:16" x14ac:dyDescent="0.25">
      <c r="A131" s="913" t="str">
        <f t="shared" si="20"/>
        <v/>
      </c>
      <c r="B131" s="914" t="str">
        <f t="shared" si="20"/>
        <v/>
      </c>
      <c r="C131" s="909" t="str">
        <f>IF(ReporteBalance!B190="","",ReporteBalance!B190)</f>
        <v/>
      </c>
      <c r="D131" s="909" t="str">
        <f>IF(ReporteBalance!C190="","",ReporteBalance!C190)</f>
        <v/>
      </c>
      <c r="E131" s="909" t="str">
        <f>IF(ReporteBalance!D190="","",ReporteBalance!D190)</f>
        <v/>
      </c>
      <c r="F131" s="909" t="str">
        <f>IF(ReporteBalance!E190="","",ReporteBalance!E190)</f>
        <v/>
      </c>
      <c r="G131" s="909" t="str">
        <f>IF(ReporteBalance!F190="","",ReporteBalance!F190)</f>
        <v/>
      </c>
      <c r="H131" s="909" t="str">
        <f>IF(ReporteBalance!G190="","",ReporteBalance!G190)</f>
        <v/>
      </c>
      <c r="I131" s="909" t="str">
        <f>IF(ReporteBalance!H190="","",ReporteBalance!H190)</f>
        <v/>
      </c>
      <c r="J131" s="909" t="str">
        <f>IF(ReporteBalance!I190="","",ReporteBalance!I190)</f>
        <v/>
      </c>
      <c r="K131" s="909" t="str">
        <f>IF(ReporteBalance!J190="","",ReporteBalance!J190)</f>
        <v/>
      </c>
      <c r="L131" s="909" t="str">
        <f>IF(ReporteBalance!K190="","",ReporteBalance!K190)</f>
        <v/>
      </c>
      <c r="M131" s="909" t="str">
        <f>IF(ReporteBalance!L190="","",ReporteBalance!L190)</f>
        <v/>
      </c>
      <c r="N131" s="915" t="str">
        <f>IF(ReporteBalance!M190="","",ReporteBalance!M190)</f>
        <v/>
      </c>
      <c r="O131" s="708"/>
    </row>
    <row r="132" spans="1:16" x14ac:dyDescent="0.25">
      <c r="A132" s="913" t="str">
        <f t="shared" si="20"/>
        <v/>
      </c>
      <c r="B132" s="914" t="str">
        <f t="shared" si="20"/>
        <v/>
      </c>
      <c r="C132" s="909" t="str">
        <f>IF(ReporteBalance!B191="","",ReporteBalance!B191)</f>
        <v/>
      </c>
      <c r="D132" s="909" t="str">
        <f>IF(ReporteBalance!C191="","",ReporteBalance!C191)</f>
        <v/>
      </c>
      <c r="E132" s="909" t="str">
        <f>IF(ReporteBalance!D191="","",ReporteBalance!D191)</f>
        <v/>
      </c>
      <c r="F132" s="909" t="str">
        <f>IF(ReporteBalance!E191="","",ReporteBalance!E191)</f>
        <v/>
      </c>
      <c r="G132" s="909" t="str">
        <f>IF(ReporteBalance!F191="","",ReporteBalance!F191)</f>
        <v/>
      </c>
      <c r="H132" s="909" t="str">
        <f>IF(ReporteBalance!G191="","",ReporteBalance!G191)</f>
        <v/>
      </c>
      <c r="I132" s="909" t="str">
        <f>IF(ReporteBalance!H191="","",ReporteBalance!H191)</f>
        <v/>
      </c>
      <c r="J132" s="909" t="str">
        <f>IF(ReporteBalance!I191="","",ReporteBalance!I191)</f>
        <v/>
      </c>
      <c r="K132" s="909" t="str">
        <f>IF(ReporteBalance!J191="","",ReporteBalance!J191)</f>
        <v/>
      </c>
      <c r="L132" s="909" t="str">
        <f>IF(ReporteBalance!K191="","",ReporteBalance!K191)</f>
        <v/>
      </c>
      <c r="M132" s="909" t="str">
        <f>IF(ReporteBalance!L191="","",ReporteBalance!L191)</f>
        <v/>
      </c>
      <c r="N132" s="915" t="str">
        <f>IF(ReporteBalance!M191="","",ReporteBalance!M191)</f>
        <v/>
      </c>
      <c r="O132" s="708"/>
    </row>
    <row r="133" spans="1:16" ht="15.75" thickBot="1" x14ac:dyDescent="0.3">
      <c r="A133" s="918" t="str">
        <f>IF(A20="","",A20)</f>
        <v/>
      </c>
      <c r="B133" s="919" t="str">
        <f>IF(B20="","",B20)</f>
        <v/>
      </c>
      <c r="C133" s="920" t="str">
        <f>IF(ReporteBalance!B192="","",ReporteBalance!B192)</f>
        <v/>
      </c>
      <c r="D133" s="920" t="str">
        <f>IF(ReporteBalance!C192="","",ReporteBalance!C192)</f>
        <v/>
      </c>
      <c r="E133" s="920" t="str">
        <f>IF(ReporteBalance!D192="","",ReporteBalance!D192)</f>
        <v/>
      </c>
      <c r="F133" s="920" t="str">
        <f>IF(ReporteBalance!E192="","",ReporteBalance!E192)</f>
        <v/>
      </c>
      <c r="G133" s="920" t="str">
        <f>IF(ReporteBalance!F192="","",ReporteBalance!F192)</f>
        <v/>
      </c>
      <c r="H133" s="920" t="str">
        <f>IF(ReporteBalance!G192="","",ReporteBalance!G192)</f>
        <v/>
      </c>
      <c r="I133" s="920" t="str">
        <f>IF(ReporteBalance!H192="","",ReporteBalance!H192)</f>
        <v/>
      </c>
      <c r="J133" s="920" t="str">
        <f>IF(ReporteBalance!I192="","",ReporteBalance!I192)</f>
        <v/>
      </c>
      <c r="K133" s="920" t="str">
        <f>IF(ReporteBalance!J192="","",ReporteBalance!J192)</f>
        <v/>
      </c>
      <c r="L133" s="920" t="str">
        <f>IF(ReporteBalance!K192="","",ReporteBalance!K192)</f>
        <v/>
      </c>
      <c r="M133" s="920" t="str">
        <f>IF(ReporteBalance!L192="","",ReporteBalance!L192)</f>
        <v/>
      </c>
      <c r="N133" s="921" t="str">
        <f>IF(ReporteBalance!M192="","",ReporteBalance!M192)</f>
        <v/>
      </c>
      <c r="O133" s="708"/>
    </row>
    <row r="134" spans="1:16" x14ac:dyDescent="0.25">
      <c r="A134" s="816"/>
      <c r="B134" s="922">
        <f>SUM(B123:B133)</f>
        <v>0</v>
      </c>
      <c r="C134" s="816"/>
      <c r="D134" s="816"/>
      <c r="E134" s="816"/>
      <c r="F134" s="816"/>
      <c r="G134" s="816"/>
      <c r="H134" s="816"/>
      <c r="I134" s="816"/>
      <c r="J134" s="816"/>
      <c r="K134" s="816"/>
      <c r="L134" s="816"/>
      <c r="M134" s="816"/>
      <c r="N134" s="816"/>
      <c r="O134" s="708"/>
      <c r="P134" s="923"/>
    </row>
    <row r="135" spans="1:16" x14ac:dyDescent="0.25">
      <c r="A135" s="708"/>
      <c r="B135" s="708"/>
      <c r="C135" s="708"/>
      <c r="D135" s="708"/>
      <c r="E135" s="708"/>
      <c r="F135" s="708"/>
      <c r="G135" s="708"/>
      <c r="H135" s="708"/>
      <c r="I135" s="708"/>
      <c r="J135" s="708"/>
      <c r="K135" s="708"/>
      <c r="L135" s="708"/>
      <c r="M135" s="708"/>
      <c r="N135" s="708"/>
      <c r="O135" s="708"/>
    </row>
    <row r="136" spans="1:16" ht="15.75" x14ac:dyDescent="0.25">
      <c r="A136" s="1991" t="s">
        <v>5101</v>
      </c>
      <c r="B136" s="1991"/>
      <c r="C136" s="1991"/>
      <c r="D136" s="1991"/>
      <c r="E136" s="1991"/>
      <c r="F136" s="1991"/>
      <c r="G136" s="1991"/>
      <c r="H136" s="1991"/>
      <c r="I136" s="1991"/>
      <c r="J136" s="1991"/>
      <c r="K136" s="1991"/>
      <c r="L136" s="1991"/>
      <c r="M136" s="1991"/>
      <c r="N136" s="1991"/>
      <c r="O136" s="708"/>
    </row>
    <row r="137" spans="1:16" ht="15.75" thickBot="1" x14ac:dyDescent="0.3">
      <c r="A137" s="924" t="s">
        <v>5102</v>
      </c>
      <c r="B137" s="925" t="str">
        <f>IF(A123="","",A123)</f>
        <v/>
      </c>
      <c r="C137" s="708"/>
      <c r="D137" s="708"/>
      <c r="E137" s="708"/>
      <c r="F137" s="708"/>
      <c r="G137" s="708"/>
      <c r="H137" s="708"/>
      <c r="I137" s="708"/>
      <c r="J137" s="708"/>
      <c r="K137" s="708"/>
      <c r="L137" s="708"/>
      <c r="M137" s="708"/>
      <c r="N137" s="708"/>
      <c r="O137" s="708"/>
    </row>
    <row r="138" spans="1:16" x14ac:dyDescent="0.25">
      <c r="A138" s="926"/>
      <c r="B138" s="906" t="s">
        <v>4646</v>
      </c>
      <c r="C138" s="906" t="s">
        <v>5062</v>
      </c>
      <c r="D138" s="906" t="s">
        <v>5063</v>
      </c>
      <c r="E138" s="906" t="s">
        <v>5064</v>
      </c>
      <c r="F138" s="906" t="s">
        <v>5065</v>
      </c>
      <c r="G138" s="906" t="s">
        <v>5066</v>
      </c>
      <c r="H138" s="906" t="s">
        <v>5067</v>
      </c>
      <c r="I138" s="906" t="s">
        <v>5068</v>
      </c>
      <c r="J138" s="906" t="s">
        <v>5069</v>
      </c>
      <c r="K138" s="906" t="s">
        <v>5070</v>
      </c>
      <c r="L138" s="906" t="s">
        <v>5071</v>
      </c>
      <c r="M138" s="906" t="s">
        <v>5072</v>
      </c>
      <c r="N138" s="908" t="s">
        <v>5073</v>
      </c>
      <c r="O138" s="708"/>
    </row>
    <row r="139" spans="1:16" x14ac:dyDescent="0.25">
      <c r="A139" s="927" t="s">
        <v>5103</v>
      </c>
      <c r="B139" s="928" t="s">
        <v>5104</v>
      </c>
      <c r="C139" s="929" t="str">
        <f>IF(ReporteBalance!J59="","",ReporteBalance!J59*31)</f>
        <v/>
      </c>
      <c r="D139" s="929" t="str">
        <f>IF(ReporteBalance!J60="","",ReporteBalance!J60*28)</f>
        <v/>
      </c>
      <c r="E139" s="929" t="str">
        <f>IF(ReporteBalance!J61="","",ReporteBalance!J61*31)</f>
        <v/>
      </c>
      <c r="F139" s="929" t="str">
        <f>IF(ReporteBalance!J62="","",ReporteBalance!J62*30)</f>
        <v/>
      </c>
      <c r="G139" s="929" t="str">
        <f>IF(ReporteBalance!J63="","",ReporteBalance!J63*31)</f>
        <v/>
      </c>
      <c r="H139" s="929" t="str">
        <f>IF(ReporteBalance!J64="","",ReporteBalance!J64*30)</f>
        <v/>
      </c>
      <c r="I139" s="929" t="str">
        <f>IF(ReporteBalance!J65="","",ReporteBalance!J65*31)</f>
        <v/>
      </c>
      <c r="J139" s="929" t="str">
        <f>IF(ReporteBalance!J66="","",ReporteBalance!J66*31)</f>
        <v/>
      </c>
      <c r="K139" s="929" t="str">
        <f>IF(ReporteBalance!J67="","",ReporteBalance!J67*30)</f>
        <v/>
      </c>
      <c r="L139" s="929" t="str">
        <f>IF(ReporteBalance!J68="","",ReporteBalance!J68*31)</f>
        <v/>
      </c>
      <c r="M139" s="929" t="str">
        <f>IF(ReporteBalance!J69="","",ReporteBalance!J69*30)</f>
        <v/>
      </c>
      <c r="N139" s="930" t="str">
        <f>IF(ReporteBalance!J70="","",ReporteBalance!J70*31)</f>
        <v/>
      </c>
      <c r="O139" s="708"/>
    </row>
    <row r="140" spans="1:16" x14ac:dyDescent="0.25">
      <c r="A140" s="850" t="s">
        <v>5105</v>
      </c>
      <c r="B140" s="928"/>
      <c r="C140" s="929" t="str">
        <f>IF(INDEX($A$123:$N$133,MATCH($B137,$A$123:$A$133,0),3)=0,"",INDEX($A$123:$N$133,MATCH($B137,$A$123:$A$133,0),3))</f>
        <v/>
      </c>
      <c r="D140" s="929" t="str">
        <f>IF(INDEX($A$123:$N$133,MATCH($B137,$A$123:$A$133,0),4)=0,"",INDEX($A$123:$N$133,MATCH($B137,$A$123:$A$133,0),4))</f>
        <v/>
      </c>
      <c r="E140" s="929" t="str">
        <f>IF(INDEX($A$123:$N$133,MATCH($B137,$A$123:$A$133,0),5)=0,"",INDEX($A$123:$N$133,MATCH($B137,$A$123:$A$133,0),5))</f>
        <v/>
      </c>
      <c r="F140" s="929" t="str">
        <f>IF(INDEX($A$123:$N$133,MATCH($B137,$A$123:$A$133,0),6)=0,"",INDEX($A$123:$N$133,MATCH($B137,$A$123:$A$133,0),6))</f>
        <v/>
      </c>
      <c r="G140" s="929" t="str">
        <f>IF(INDEX($A$123:$N$133,MATCH($B137,$A$123:$A$133,0),7)=0,"",INDEX($A$123:$N$133,MATCH($B137,$A$123:$A$133,0),7))</f>
        <v/>
      </c>
      <c r="H140" s="929" t="str">
        <f>IF(INDEX($A$123:$N$133,MATCH($B137,$A$123:$A$133,0),8)=0,"",INDEX($A$123:$N$133,MATCH($B137,$A$123:$A$133,0),8))</f>
        <v/>
      </c>
      <c r="I140" s="929" t="str">
        <f>IF(INDEX($A$123:$N$133,MATCH($B137,$A$123:$A$133,0),9)=0,"",INDEX($A$123:$N$133,MATCH($B137,$A$123:$A$133,0),9))</f>
        <v/>
      </c>
      <c r="J140" s="929" t="str">
        <f>IF(INDEX($A$123:$N$133,MATCH($B137,$A$123:$A$133,0),10)=0,"",INDEX($A$123:$N$133,MATCH($B137,$A$123:$A$133,0),10))</f>
        <v/>
      </c>
      <c r="K140" s="929" t="str">
        <f>IF(INDEX($A$123:$N$133,MATCH($B137,$A$123:$A$133,0),11)=0,"",INDEX($A$123:$N$133,MATCH($B137,$A$123:$A$133,0),11))</f>
        <v/>
      </c>
      <c r="L140" s="929" t="str">
        <f>IF(INDEX($A$123:$N$133,MATCH($B137,$A$123:$A$133,0),12)=0,"",INDEX($A$123:$N$133,MATCH($B137,$A$123:$A$133,0),12))</f>
        <v/>
      </c>
      <c r="M140" s="929" t="str">
        <f>IF(INDEX($A$123:$N$133,MATCH($B137,$A$123:$A$133,0),13)=0,"",INDEX($A$123:$N$133,MATCH($B137,$A$123:$A$133,0),13))</f>
        <v/>
      </c>
      <c r="N140" s="930" t="str">
        <f>IF(INDEX($A$123:$N$133,MATCH($B137,$A$123:$A$133,0),14)=0,"",INDEX($A$123:$N$133,MATCH($B137,$A$123:$A$133,0),14))</f>
        <v/>
      </c>
      <c r="O140" s="708"/>
    </row>
    <row r="141" spans="1:16" x14ac:dyDescent="0.25">
      <c r="A141" s="850" t="s">
        <v>5106</v>
      </c>
      <c r="B141" s="928" t="s">
        <v>5104</v>
      </c>
      <c r="C141" s="929" t="str">
        <f>IF(C139="","",IF(C140="","",C139*C140))</f>
        <v/>
      </c>
      <c r="D141" s="929" t="str">
        <f t="shared" ref="D141:N141" si="21">IF(D139="","",IF(D140="","",D139*D140))</f>
        <v/>
      </c>
      <c r="E141" s="929" t="str">
        <f t="shared" si="21"/>
        <v/>
      </c>
      <c r="F141" s="929" t="str">
        <f t="shared" si="21"/>
        <v/>
      </c>
      <c r="G141" s="929" t="str">
        <f t="shared" si="21"/>
        <v/>
      </c>
      <c r="H141" s="929" t="str">
        <f t="shared" si="21"/>
        <v/>
      </c>
      <c r="I141" s="929" t="str">
        <f t="shared" si="21"/>
        <v/>
      </c>
      <c r="J141" s="929" t="str">
        <f t="shared" si="21"/>
        <v/>
      </c>
      <c r="K141" s="929" t="str">
        <f t="shared" si="21"/>
        <v/>
      </c>
      <c r="L141" s="929" t="str">
        <f t="shared" si="21"/>
        <v/>
      </c>
      <c r="M141" s="929" t="str">
        <f t="shared" si="21"/>
        <v/>
      </c>
      <c r="N141" s="930" t="str">
        <f t="shared" si="21"/>
        <v/>
      </c>
      <c r="O141" s="708"/>
    </row>
    <row r="142" spans="1:16" x14ac:dyDescent="0.25">
      <c r="A142" s="927" t="s">
        <v>5035</v>
      </c>
      <c r="B142" s="928" t="s">
        <v>5104</v>
      </c>
      <c r="C142" s="929">
        <f t="array" ref="C142:N142">TRANSPOSE(ReporteBalance!E80:E91)</f>
        <v>0</v>
      </c>
      <c r="D142" s="929">
        <v>0</v>
      </c>
      <c r="E142" s="929">
        <v>0</v>
      </c>
      <c r="F142" s="929">
        <v>0</v>
      </c>
      <c r="G142" s="929">
        <v>0</v>
      </c>
      <c r="H142" s="929">
        <v>0</v>
      </c>
      <c r="I142" s="929">
        <v>0</v>
      </c>
      <c r="J142" s="929">
        <v>0</v>
      </c>
      <c r="K142" s="929">
        <v>0</v>
      </c>
      <c r="L142" s="929">
        <v>0</v>
      </c>
      <c r="M142" s="929">
        <v>0</v>
      </c>
      <c r="N142" s="930">
        <v>0</v>
      </c>
      <c r="O142" s="708"/>
    </row>
    <row r="143" spans="1:16" x14ac:dyDescent="0.25">
      <c r="A143" s="850" t="s">
        <v>5107</v>
      </c>
      <c r="B143" s="928" t="s">
        <v>5104</v>
      </c>
      <c r="C143" s="929" t="str">
        <f>IF(C141="","",C141-C142)</f>
        <v/>
      </c>
      <c r="D143" s="929" t="str">
        <f t="shared" ref="D143:N143" si="22">IF(D141="","",D141-D142)</f>
        <v/>
      </c>
      <c r="E143" s="929" t="str">
        <f t="shared" si="22"/>
        <v/>
      </c>
      <c r="F143" s="929" t="str">
        <f t="shared" si="22"/>
        <v/>
      </c>
      <c r="G143" s="929" t="str">
        <f t="shared" si="22"/>
        <v/>
      </c>
      <c r="H143" s="929" t="str">
        <f t="shared" si="22"/>
        <v/>
      </c>
      <c r="I143" s="929" t="str">
        <f t="shared" si="22"/>
        <v/>
      </c>
      <c r="J143" s="929" t="str">
        <f t="shared" si="22"/>
        <v/>
      </c>
      <c r="K143" s="929" t="str">
        <f t="shared" si="22"/>
        <v/>
      </c>
      <c r="L143" s="929" t="str">
        <f t="shared" si="22"/>
        <v/>
      </c>
      <c r="M143" s="929" t="str">
        <f t="shared" si="22"/>
        <v/>
      </c>
      <c r="N143" s="930" t="str">
        <f t="shared" si="22"/>
        <v/>
      </c>
      <c r="O143" s="708"/>
    </row>
    <row r="144" spans="1:16" x14ac:dyDescent="0.25">
      <c r="A144" s="850" t="s">
        <v>5108</v>
      </c>
      <c r="B144" s="928" t="s">
        <v>5109</v>
      </c>
      <c r="C144" s="929" t="str">
        <f t="shared" ref="C144:N144" si="23">IF(C143="","",IF(C143&lt;0,0,C143*10))</f>
        <v/>
      </c>
      <c r="D144" s="929" t="str">
        <f t="shared" si="23"/>
        <v/>
      </c>
      <c r="E144" s="929" t="str">
        <f t="shared" si="23"/>
        <v/>
      </c>
      <c r="F144" s="929" t="str">
        <f t="shared" si="23"/>
        <v/>
      </c>
      <c r="G144" s="929" t="str">
        <f t="shared" si="23"/>
        <v/>
      </c>
      <c r="H144" s="929" t="str">
        <f t="shared" si="23"/>
        <v/>
      </c>
      <c r="I144" s="929" t="str">
        <f t="shared" si="23"/>
        <v/>
      </c>
      <c r="J144" s="929" t="str">
        <f t="shared" si="23"/>
        <v/>
      </c>
      <c r="K144" s="929" t="str">
        <f t="shared" si="23"/>
        <v/>
      </c>
      <c r="L144" s="929" t="str">
        <f t="shared" si="23"/>
        <v/>
      </c>
      <c r="M144" s="929" t="str">
        <f t="shared" si="23"/>
        <v/>
      </c>
      <c r="N144" s="930" t="str">
        <f t="shared" si="23"/>
        <v/>
      </c>
      <c r="O144" s="931"/>
    </row>
    <row r="145" spans="1:23" x14ac:dyDescent="0.25">
      <c r="A145" s="927" t="s">
        <v>5081</v>
      </c>
      <c r="B145" s="928"/>
      <c r="C145" s="929" t="str">
        <f>IF(ReporteBalance!I159="","",ReporteBalance!I159)</f>
        <v/>
      </c>
      <c r="D145" s="929" t="str">
        <f>C145</f>
        <v/>
      </c>
      <c r="E145" s="929" t="str">
        <f t="shared" ref="E145:M146" si="24">D145</f>
        <v/>
      </c>
      <c r="F145" s="929" t="str">
        <f t="shared" si="24"/>
        <v/>
      </c>
      <c r="G145" s="929" t="str">
        <f t="shared" si="24"/>
        <v/>
      </c>
      <c r="H145" s="929" t="str">
        <f t="shared" si="24"/>
        <v/>
      </c>
      <c r="I145" s="929" t="str">
        <f t="shared" si="24"/>
        <v/>
      </c>
      <c r="J145" s="929" t="str">
        <f t="shared" si="24"/>
        <v/>
      </c>
      <c r="K145" s="929" t="str">
        <f t="shared" si="24"/>
        <v/>
      </c>
      <c r="L145" s="929" t="str">
        <f t="shared" si="24"/>
        <v/>
      </c>
      <c r="M145" s="929" t="str">
        <f t="shared" si="24"/>
        <v/>
      </c>
      <c r="N145" s="930" t="str">
        <f>M145</f>
        <v/>
      </c>
      <c r="O145" s="708"/>
    </row>
    <row r="146" spans="1:23" x14ac:dyDescent="0.25">
      <c r="A146" s="927" t="s">
        <v>5110</v>
      </c>
      <c r="B146" s="928" t="s">
        <v>5111</v>
      </c>
      <c r="C146" s="929" t="str">
        <f>IF(ReporteBalance!I155="","",ReporteBalance!I155)</f>
        <v/>
      </c>
      <c r="D146" s="929" t="str">
        <f>C146</f>
        <v/>
      </c>
      <c r="E146" s="929" t="str">
        <f t="shared" si="24"/>
        <v/>
      </c>
      <c r="F146" s="929" t="str">
        <f t="shared" si="24"/>
        <v/>
      </c>
      <c r="G146" s="929" t="str">
        <f t="shared" si="24"/>
        <v/>
      </c>
      <c r="H146" s="929" t="str">
        <f t="shared" si="24"/>
        <v/>
      </c>
      <c r="I146" s="929" t="str">
        <f t="shared" si="24"/>
        <v/>
      </c>
      <c r="J146" s="929" t="str">
        <f t="shared" si="24"/>
        <v/>
      </c>
      <c r="K146" s="929" t="str">
        <f t="shared" si="24"/>
        <v/>
      </c>
      <c r="L146" s="929" t="str">
        <f t="shared" si="24"/>
        <v/>
      </c>
      <c r="M146" s="929" t="str">
        <f t="shared" si="24"/>
        <v/>
      </c>
      <c r="N146" s="930" t="str">
        <f>M146</f>
        <v/>
      </c>
      <c r="O146" s="708"/>
    </row>
    <row r="147" spans="1:23" x14ac:dyDescent="0.25">
      <c r="A147" s="850" t="s">
        <v>5112</v>
      </c>
      <c r="B147" s="928" t="s">
        <v>5113</v>
      </c>
      <c r="C147" s="929" t="str">
        <f>IF(C145="","",IF(C144="","",IF(C146="","",C144*(1000/(3600*31*C146))/C145)))</f>
        <v/>
      </c>
      <c r="D147" s="929" t="str">
        <f t="shared" ref="D147:N147" si="25">IF(D145="","",IF(D144="","",IF(D146="","",D144*(1000/(3600*31*D146))/D145)))</f>
        <v/>
      </c>
      <c r="E147" s="929" t="str">
        <f t="shared" si="25"/>
        <v/>
      </c>
      <c r="F147" s="929" t="str">
        <f t="shared" si="25"/>
        <v/>
      </c>
      <c r="G147" s="929" t="str">
        <f t="shared" si="25"/>
        <v/>
      </c>
      <c r="H147" s="929" t="str">
        <f t="shared" si="25"/>
        <v/>
      </c>
      <c r="I147" s="929" t="str">
        <f t="shared" si="25"/>
        <v/>
      </c>
      <c r="J147" s="929" t="str">
        <f t="shared" si="25"/>
        <v/>
      </c>
      <c r="K147" s="929" t="str">
        <f t="shared" si="25"/>
        <v/>
      </c>
      <c r="L147" s="929" t="str">
        <f t="shared" si="25"/>
        <v/>
      </c>
      <c r="M147" s="929" t="str">
        <f t="shared" si="25"/>
        <v/>
      </c>
      <c r="N147" s="930" t="str">
        <f t="shared" si="25"/>
        <v/>
      </c>
      <c r="O147" s="708"/>
    </row>
    <row r="148" spans="1:23" ht="15.75" thickBot="1" x14ac:dyDescent="0.3">
      <c r="A148" s="850" t="s">
        <v>5114</v>
      </c>
      <c r="B148" s="928" t="s">
        <v>5115</v>
      </c>
      <c r="C148" s="929" t="str">
        <f t="shared" ref="C148:N148" si="26">IF(C140="","",INDEX($A$123:$B$133,MATCH($B137,$A$123:$A$133,0),2))</f>
        <v/>
      </c>
      <c r="D148" s="929" t="str">
        <f t="shared" si="26"/>
        <v/>
      </c>
      <c r="E148" s="929" t="str">
        <f t="shared" si="26"/>
        <v/>
      </c>
      <c r="F148" s="929" t="str">
        <f t="shared" si="26"/>
        <v/>
      </c>
      <c r="G148" s="929" t="str">
        <f t="shared" si="26"/>
        <v/>
      </c>
      <c r="H148" s="929" t="str">
        <f t="shared" si="26"/>
        <v/>
      </c>
      <c r="I148" s="929" t="str">
        <f t="shared" si="26"/>
        <v/>
      </c>
      <c r="J148" s="929" t="str">
        <f t="shared" si="26"/>
        <v/>
      </c>
      <c r="K148" s="929" t="str">
        <f t="shared" si="26"/>
        <v/>
      </c>
      <c r="L148" s="929" t="str">
        <f t="shared" si="26"/>
        <v/>
      </c>
      <c r="M148" s="929" t="str">
        <f t="shared" si="26"/>
        <v/>
      </c>
      <c r="N148" s="932" t="str">
        <f t="shared" si="26"/>
        <v/>
      </c>
      <c r="O148" s="708"/>
    </row>
    <row r="149" spans="1:23" ht="15.75" thickBot="1" x14ac:dyDescent="0.3">
      <c r="A149" s="933" t="s">
        <v>5116</v>
      </c>
      <c r="B149" s="934" t="s">
        <v>5113</v>
      </c>
      <c r="C149" s="935" t="str">
        <f>IF(C147="","",C147*C148)</f>
        <v/>
      </c>
      <c r="D149" s="935" t="str">
        <f>IF(D147="","",D147*D148)</f>
        <v/>
      </c>
      <c r="E149" s="935" t="str">
        <f t="shared" ref="E149:N149" si="27">IF(E147="","",E147*E148)</f>
        <v/>
      </c>
      <c r="F149" s="935" t="str">
        <f t="shared" si="27"/>
        <v/>
      </c>
      <c r="G149" s="935" t="str">
        <f t="shared" si="27"/>
        <v/>
      </c>
      <c r="H149" s="935" t="str">
        <f t="shared" si="27"/>
        <v/>
      </c>
      <c r="I149" s="935" t="str">
        <f t="shared" si="27"/>
        <v/>
      </c>
      <c r="J149" s="935" t="str">
        <f t="shared" si="27"/>
        <v/>
      </c>
      <c r="K149" s="935" t="str">
        <f t="shared" si="27"/>
        <v/>
      </c>
      <c r="L149" s="935" t="str">
        <f t="shared" si="27"/>
        <v/>
      </c>
      <c r="M149" s="935" t="str">
        <f t="shared" si="27"/>
        <v/>
      </c>
      <c r="N149" s="936" t="str">
        <f t="shared" si="27"/>
        <v/>
      </c>
      <c r="O149" s="931"/>
    </row>
    <row r="150" spans="1:23" x14ac:dyDescent="0.25">
      <c r="A150" s="708"/>
      <c r="B150" s="708"/>
      <c r="C150" s="708"/>
      <c r="D150" s="708"/>
      <c r="E150" s="708"/>
      <c r="F150" s="708"/>
      <c r="G150" s="708"/>
      <c r="H150" s="708"/>
      <c r="I150" s="708"/>
      <c r="J150" s="708"/>
      <c r="K150" s="708"/>
      <c r="L150" s="708"/>
      <c r="M150" s="708"/>
      <c r="N150" s="708"/>
      <c r="O150" s="708"/>
    </row>
    <row r="151" spans="1:23" ht="15.75" x14ac:dyDescent="0.25">
      <c r="A151" s="1991" t="s">
        <v>5101</v>
      </c>
      <c r="B151" s="1991"/>
      <c r="C151" s="1991"/>
      <c r="D151" s="1991"/>
      <c r="E151" s="1991"/>
      <c r="F151" s="1991"/>
      <c r="G151" s="1991"/>
      <c r="H151" s="1991"/>
      <c r="I151" s="1991"/>
      <c r="J151" s="1991"/>
      <c r="K151" s="1991"/>
      <c r="L151" s="1991"/>
      <c r="M151" s="1991"/>
      <c r="N151" s="1991"/>
      <c r="O151" s="708"/>
    </row>
    <row r="152" spans="1:23" ht="15.75" thickBot="1" x14ac:dyDescent="0.3">
      <c r="A152" s="924" t="s">
        <v>5102</v>
      </c>
      <c r="B152" s="925" t="str">
        <f>IF(A124="","",A124)</f>
        <v/>
      </c>
      <c r="C152" s="708"/>
      <c r="D152" s="708"/>
      <c r="E152" s="708"/>
      <c r="F152" s="708"/>
      <c r="G152" s="708"/>
      <c r="H152" s="708"/>
      <c r="I152" s="708"/>
      <c r="J152" s="708"/>
      <c r="K152" s="708"/>
      <c r="L152" s="708"/>
      <c r="M152" s="708"/>
      <c r="N152" s="708"/>
      <c r="O152" s="708"/>
    </row>
    <row r="153" spans="1:23" x14ac:dyDescent="0.25">
      <c r="A153" s="926"/>
      <c r="B153" s="906" t="s">
        <v>4646</v>
      </c>
      <c r="C153" s="906" t="s">
        <v>5062</v>
      </c>
      <c r="D153" s="906" t="s">
        <v>5063</v>
      </c>
      <c r="E153" s="906" t="s">
        <v>5064</v>
      </c>
      <c r="F153" s="906" t="s">
        <v>5065</v>
      </c>
      <c r="G153" s="906" t="s">
        <v>5066</v>
      </c>
      <c r="H153" s="906" t="s">
        <v>5067</v>
      </c>
      <c r="I153" s="906" t="s">
        <v>5068</v>
      </c>
      <c r="J153" s="906" t="s">
        <v>5069</v>
      </c>
      <c r="K153" s="906" t="s">
        <v>5070</v>
      </c>
      <c r="L153" s="906" t="s">
        <v>5071</v>
      </c>
      <c r="M153" s="906" t="s">
        <v>5072</v>
      </c>
      <c r="N153" s="908" t="s">
        <v>5073</v>
      </c>
      <c r="O153" s="708"/>
    </row>
    <row r="154" spans="1:23" x14ac:dyDescent="0.25">
      <c r="A154" s="927" t="s">
        <v>5103</v>
      </c>
      <c r="B154" s="928" t="s">
        <v>5104</v>
      </c>
      <c r="C154" s="929" t="str">
        <f>C139</f>
        <v/>
      </c>
      <c r="D154" s="929" t="str">
        <f t="shared" ref="D154:N154" si="28">D139</f>
        <v/>
      </c>
      <c r="E154" s="929" t="str">
        <f t="shared" si="28"/>
        <v/>
      </c>
      <c r="F154" s="929" t="str">
        <f t="shared" si="28"/>
        <v/>
      </c>
      <c r="G154" s="929" t="str">
        <f t="shared" si="28"/>
        <v/>
      </c>
      <c r="H154" s="929" t="str">
        <f t="shared" si="28"/>
        <v/>
      </c>
      <c r="I154" s="929" t="str">
        <f t="shared" si="28"/>
        <v/>
      </c>
      <c r="J154" s="929" t="str">
        <f t="shared" si="28"/>
        <v/>
      </c>
      <c r="K154" s="929" t="str">
        <f t="shared" si="28"/>
        <v/>
      </c>
      <c r="L154" s="929" t="str">
        <f t="shared" si="28"/>
        <v/>
      </c>
      <c r="M154" s="929" t="str">
        <f t="shared" si="28"/>
        <v/>
      </c>
      <c r="N154" s="937" t="str">
        <f t="shared" si="28"/>
        <v/>
      </c>
      <c r="O154" s="708"/>
    </row>
    <row r="155" spans="1:23" x14ac:dyDescent="0.25">
      <c r="A155" s="850" t="s">
        <v>5105</v>
      </c>
      <c r="B155" s="928"/>
      <c r="C155" s="929" t="str">
        <f>IF(INDEX($A$123:$N$133,MATCH($B152,$A$123:$A$133,0),3)=0,"",INDEX($A$123:$N$133,MATCH($B152,$A$123:$A$133,0),3))</f>
        <v/>
      </c>
      <c r="D155" s="929" t="str">
        <f>IF(INDEX($A$123:$N$133,MATCH($B152,$A$123:$A$133,0),4)=0,"",INDEX($A$123:$N$133,MATCH($B152,$A$123:$A$133,0),4))</f>
        <v/>
      </c>
      <c r="E155" s="929" t="str">
        <f>IF(INDEX($A$123:$N$133,MATCH($B152,$A$123:$A$133,0),5)=0,"",INDEX($A$123:$N$133,MATCH($B152,$A$123:$A$133,0),5))</f>
        <v/>
      </c>
      <c r="F155" s="929" t="str">
        <f>IF(INDEX($A$123:$N$133,MATCH($B152,$A$123:$A$133,0),6)=0,"",INDEX($A$123:$N$133,MATCH($B152,$A$123:$A$133,0),6))</f>
        <v/>
      </c>
      <c r="G155" s="929" t="str">
        <f>IF(INDEX($A$123:$N$133,MATCH($B152,$A$123:$A$133,0),7)=0,"",INDEX($A$123:$N$133,MATCH($B152,$A$123:$A$133,0),7))</f>
        <v/>
      </c>
      <c r="H155" s="929" t="str">
        <f>IF(INDEX($A$123:$N$133,MATCH($B152,$A$123:$A$133,0),8)=0,"",INDEX($A$123:$N$133,MATCH($B152,$A$123:$A$133,0),8))</f>
        <v/>
      </c>
      <c r="I155" s="929" t="str">
        <f>IF(INDEX($A$123:$N$133,MATCH($B152,$A$123:$A$133,0),9)=0,"",INDEX($A$123:$N$133,MATCH($B152,$A$123:$A$133,0),9))</f>
        <v/>
      </c>
      <c r="J155" s="929" t="str">
        <f>IF(INDEX($A$123:$N$133,MATCH($B152,$A$123:$A$133,0),10)=0,"",INDEX($A$123:$N$133,MATCH($B152,$A$123:$A$133,0),10))</f>
        <v/>
      </c>
      <c r="K155" s="929" t="str">
        <f>IF(INDEX($A$123:$N$133,MATCH($B152,$A$123:$A$133,0),11)=0,"",INDEX($A$123:$N$133,MATCH($B152,$A$123:$A$133,0),11))</f>
        <v/>
      </c>
      <c r="L155" s="929" t="str">
        <f>IF(INDEX($A$123:$N$133,MATCH($B152,$A$123:$A$133,0),12)=0,"",INDEX($A$123:$N$133,MATCH($B152,$A$123:$A$133,0),12))</f>
        <v/>
      </c>
      <c r="M155" s="929" t="str">
        <f>IF(INDEX($A$123:$N$133,MATCH($B152,$A$123:$A$133,0),13)=0,"",INDEX($A$123:$N$133,MATCH($B152,$A$123:$A$133,0),13))</f>
        <v/>
      </c>
      <c r="N155" s="930" t="str">
        <f>IF(INDEX($A$123:$N$133,MATCH($B152,$A$123:$A$133,0),14)=0,"",INDEX($A$123:$N$133,MATCH($B152,$A$123:$A$133,0),14))</f>
        <v/>
      </c>
      <c r="O155" s="708"/>
    </row>
    <row r="156" spans="1:23" x14ac:dyDescent="0.25">
      <c r="A156" s="850" t="s">
        <v>5106</v>
      </c>
      <c r="B156" s="928" t="s">
        <v>5104</v>
      </c>
      <c r="C156" s="929" t="str">
        <f t="shared" ref="C156:N156" si="29">IF(C154="","",IF(C155="","",C154*C155))</f>
        <v/>
      </c>
      <c r="D156" s="929" t="str">
        <f t="shared" si="29"/>
        <v/>
      </c>
      <c r="E156" s="929" t="str">
        <f t="shared" si="29"/>
        <v/>
      </c>
      <c r="F156" s="929" t="str">
        <f t="shared" si="29"/>
        <v/>
      </c>
      <c r="G156" s="929" t="str">
        <f t="shared" si="29"/>
        <v/>
      </c>
      <c r="H156" s="929" t="str">
        <f t="shared" si="29"/>
        <v/>
      </c>
      <c r="I156" s="929" t="str">
        <f t="shared" si="29"/>
        <v/>
      </c>
      <c r="J156" s="929" t="str">
        <f t="shared" si="29"/>
        <v/>
      </c>
      <c r="K156" s="929" t="str">
        <f t="shared" si="29"/>
        <v/>
      </c>
      <c r="L156" s="929" t="str">
        <f t="shared" si="29"/>
        <v/>
      </c>
      <c r="M156" s="929" t="str">
        <f t="shared" si="29"/>
        <v/>
      </c>
      <c r="N156" s="930" t="str">
        <f t="shared" si="29"/>
        <v/>
      </c>
      <c r="O156" s="708"/>
    </row>
    <row r="157" spans="1:23" x14ac:dyDescent="0.25">
      <c r="A157" s="927" t="s">
        <v>5035</v>
      </c>
      <c r="B157" s="928" t="s">
        <v>5104</v>
      </c>
      <c r="C157" s="929">
        <f>C142</f>
        <v>0</v>
      </c>
      <c r="D157" s="929">
        <f t="shared" ref="D157:M157" si="30">D142</f>
        <v>0</v>
      </c>
      <c r="E157" s="929">
        <f t="shared" si="30"/>
        <v>0</v>
      </c>
      <c r="F157" s="929">
        <f t="shared" si="30"/>
        <v>0</v>
      </c>
      <c r="G157" s="929">
        <f t="shared" si="30"/>
        <v>0</v>
      </c>
      <c r="H157" s="929">
        <f t="shared" si="30"/>
        <v>0</v>
      </c>
      <c r="I157" s="929">
        <f t="shared" si="30"/>
        <v>0</v>
      </c>
      <c r="J157" s="929">
        <f t="shared" si="30"/>
        <v>0</v>
      </c>
      <c r="K157" s="929">
        <f t="shared" si="30"/>
        <v>0</v>
      </c>
      <c r="L157" s="929">
        <f t="shared" si="30"/>
        <v>0</v>
      </c>
      <c r="M157" s="929">
        <f t="shared" si="30"/>
        <v>0</v>
      </c>
      <c r="N157" s="930">
        <f>N142</f>
        <v>0</v>
      </c>
      <c r="O157" s="708"/>
      <c r="U157" s="953"/>
      <c r="V157" s="953"/>
      <c r="W157" s="953"/>
    </row>
    <row r="158" spans="1:23" x14ac:dyDescent="0.25">
      <c r="A158" s="850" t="s">
        <v>5107</v>
      </c>
      <c r="B158" s="928" t="s">
        <v>5104</v>
      </c>
      <c r="C158" s="929" t="str">
        <f t="shared" ref="C158:N158" si="31">IF(C156="","",C156-C157)</f>
        <v/>
      </c>
      <c r="D158" s="929" t="str">
        <f t="shared" si="31"/>
        <v/>
      </c>
      <c r="E158" s="929" t="str">
        <f t="shared" si="31"/>
        <v/>
      </c>
      <c r="F158" s="929" t="str">
        <f t="shared" si="31"/>
        <v/>
      </c>
      <c r="G158" s="929" t="str">
        <f t="shared" si="31"/>
        <v/>
      </c>
      <c r="H158" s="929" t="str">
        <f t="shared" si="31"/>
        <v/>
      </c>
      <c r="I158" s="929" t="str">
        <f t="shared" si="31"/>
        <v/>
      </c>
      <c r="J158" s="929" t="str">
        <f t="shared" si="31"/>
        <v/>
      </c>
      <c r="K158" s="929" t="str">
        <f t="shared" si="31"/>
        <v/>
      </c>
      <c r="L158" s="929" t="str">
        <f t="shared" si="31"/>
        <v/>
      </c>
      <c r="M158" s="929" t="str">
        <f t="shared" si="31"/>
        <v/>
      </c>
      <c r="N158" s="930" t="str">
        <f t="shared" si="31"/>
        <v/>
      </c>
      <c r="O158" s="708"/>
    </row>
    <row r="159" spans="1:23" x14ac:dyDescent="0.25">
      <c r="A159" s="850" t="s">
        <v>5108</v>
      </c>
      <c r="B159" s="928" t="s">
        <v>5109</v>
      </c>
      <c r="C159" s="929" t="str">
        <f t="shared" ref="C159:N159" si="32">IF(C158="","",IF(C158&lt;0,0,C158*10))</f>
        <v/>
      </c>
      <c r="D159" s="929" t="str">
        <f t="shared" si="32"/>
        <v/>
      </c>
      <c r="E159" s="929" t="str">
        <f t="shared" si="32"/>
        <v/>
      </c>
      <c r="F159" s="929" t="str">
        <f t="shared" si="32"/>
        <v/>
      </c>
      <c r="G159" s="929" t="str">
        <f t="shared" si="32"/>
        <v/>
      </c>
      <c r="H159" s="929" t="str">
        <f t="shared" si="32"/>
        <v/>
      </c>
      <c r="I159" s="929" t="str">
        <f t="shared" si="32"/>
        <v/>
      </c>
      <c r="J159" s="929" t="str">
        <f t="shared" si="32"/>
        <v/>
      </c>
      <c r="K159" s="929" t="str">
        <f t="shared" si="32"/>
        <v/>
      </c>
      <c r="L159" s="929" t="str">
        <f t="shared" si="32"/>
        <v/>
      </c>
      <c r="M159" s="929" t="str">
        <f t="shared" si="32"/>
        <v/>
      </c>
      <c r="N159" s="930" t="str">
        <f t="shared" si="32"/>
        <v/>
      </c>
      <c r="O159" s="931"/>
    </row>
    <row r="160" spans="1:23" x14ac:dyDescent="0.25">
      <c r="A160" s="927" t="s">
        <v>5081</v>
      </c>
      <c r="B160" s="928"/>
      <c r="C160" s="929" t="str">
        <f>C145</f>
        <v/>
      </c>
      <c r="D160" s="929" t="str">
        <f>C160</f>
        <v/>
      </c>
      <c r="E160" s="929" t="str">
        <f t="shared" ref="E160:M161" si="33">D160</f>
        <v/>
      </c>
      <c r="F160" s="929" t="str">
        <f t="shared" si="33"/>
        <v/>
      </c>
      <c r="G160" s="929" t="str">
        <f t="shared" si="33"/>
        <v/>
      </c>
      <c r="H160" s="929" t="str">
        <f t="shared" si="33"/>
        <v/>
      </c>
      <c r="I160" s="929" t="str">
        <f t="shared" si="33"/>
        <v/>
      </c>
      <c r="J160" s="929" t="str">
        <f t="shared" si="33"/>
        <v/>
      </c>
      <c r="K160" s="929" t="str">
        <f t="shared" si="33"/>
        <v/>
      </c>
      <c r="L160" s="929" t="str">
        <f t="shared" si="33"/>
        <v/>
      </c>
      <c r="M160" s="929" t="str">
        <f t="shared" si="33"/>
        <v/>
      </c>
      <c r="N160" s="930" t="str">
        <f>M160</f>
        <v/>
      </c>
      <c r="O160" s="708"/>
    </row>
    <row r="161" spans="1:15" x14ac:dyDescent="0.25">
      <c r="A161" s="927" t="s">
        <v>5110</v>
      </c>
      <c r="B161" s="928" t="s">
        <v>5111</v>
      </c>
      <c r="C161" s="929" t="str">
        <f>C146</f>
        <v/>
      </c>
      <c r="D161" s="929" t="str">
        <f>C161</f>
        <v/>
      </c>
      <c r="E161" s="929" t="str">
        <f t="shared" si="33"/>
        <v/>
      </c>
      <c r="F161" s="929" t="str">
        <f t="shared" si="33"/>
        <v/>
      </c>
      <c r="G161" s="929" t="str">
        <f t="shared" si="33"/>
        <v/>
      </c>
      <c r="H161" s="929" t="str">
        <f t="shared" si="33"/>
        <v/>
      </c>
      <c r="I161" s="929" t="str">
        <f t="shared" si="33"/>
        <v/>
      </c>
      <c r="J161" s="929" t="str">
        <f t="shared" si="33"/>
        <v/>
      </c>
      <c r="K161" s="929" t="str">
        <f t="shared" si="33"/>
        <v/>
      </c>
      <c r="L161" s="929" t="str">
        <f t="shared" si="33"/>
        <v/>
      </c>
      <c r="M161" s="929" t="str">
        <f t="shared" si="33"/>
        <v/>
      </c>
      <c r="N161" s="930" t="str">
        <f>M161</f>
        <v/>
      </c>
      <c r="O161" s="708"/>
    </row>
    <row r="162" spans="1:15" x14ac:dyDescent="0.25">
      <c r="A162" s="850" t="s">
        <v>5112</v>
      </c>
      <c r="B162" s="928" t="s">
        <v>5113</v>
      </c>
      <c r="C162" s="929" t="str">
        <f t="shared" ref="C162:N162" si="34">IF(C160="","",IF(C159="","",IF(C161="","",C159*(1000/(3600*31*C161))/C160)))</f>
        <v/>
      </c>
      <c r="D162" s="929" t="str">
        <f t="shared" si="34"/>
        <v/>
      </c>
      <c r="E162" s="929" t="str">
        <f t="shared" si="34"/>
        <v/>
      </c>
      <c r="F162" s="929" t="str">
        <f t="shared" si="34"/>
        <v/>
      </c>
      <c r="G162" s="929" t="str">
        <f t="shared" si="34"/>
        <v/>
      </c>
      <c r="H162" s="929" t="str">
        <f t="shared" si="34"/>
        <v/>
      </c>
      <c r="I162" s="929" t="str">
        <f t="shared" si="34"/>
        <v/>
      </c>
      <c r="J162" s="929" t="str">
        <f t="shared" si="34"/>
        <v/>
      </c>
      <c r="K162" s="929" t="str">
        <f t="shared" si="34"/>
        <v/>
      </c>
      <c r="L162" s="929" t="str">
        <f t="shared" si="34"/>
        <v/>
      </c>
      <c r="M162" s="929" t="str">
        <f t="shared" si="34"/>
        <v/>
      </c>
      <c r="N162" s="930" t="str">
        <f t="shared" si="34"/>
        <v/>
      </c>
      <c r="O162" s="708"/>
    </row>
    <row r="163" spans="1:15" ht="15.75" thickBot="1" x14ac:dyDescent="0.3">
      <c r="A163" s="850" t="s">
        <v>5114</v>
      </c>
      <c r="B163" s="928" t="s">
        <v>5115</v>
      </c>
      <c r="C163" s="929" t="str">
        <f t="shared" ref="C163:N163" si="35">IF(C155="","",INDEX($A$123:$B$133,MATCH($B152,$A$123:$A$133,0),2))</f>
        <v/>
      </c>
      <c r="D163" s="929" t="str">
        <f t="shared" si="35"/>
        <v/>
      </c>
      <c r="E163" s="929" t="str">
        <f t="shared" si="35"/>
        <v/>
      </c>
      <c r="F163" s="929" t="str">
        <f t="shared" si="35"/>
        <v/>
      </c>
      <c r="G163" s="929" t="str">
        <f t="shared" si="35"/>
        <v/>
      </c>
      <c r="H163" s="929" t="str">
        <f t="shared" si="35"/>
        <v/>
      </c>
      <c r="I163" s="929" t="str">
        <f t="shared" si="35"/>
        <v/>
      </c>
      <c r="J163" s="929" t="str">
        <f t="shared" si="35"/>
        <v/>
      </c>
      <c r="K163" s="929" t="str">
        <f t="shared" si="35"/>
        <v/>
      </c>
      <c r="L163" s="929" t="str">
        <f t="shared" si="35"/>
        <v/>
      </c>
      <c r="M163" s="929" t="str">
        <f t="shared" si="35"/>
        <v/>
      </c>
      <c r="N163" s="932" t="str">
        <f t="shared" si="35"/>
        <v/>
      </c>
      <c r="O163" s="708"/>
    </row>
    <row r="164" spans="1:15" ht="15.75" thickBot="1" x14ac:dyDescent="0.3">
      <c r="A164" s="933" t="s">
        <v>5116</v>
      </c>
      <c r="B164" s="934" t="s">
        <v>5113</v>
      </c>
      <c r="C164" s="935" t="str">
        <f t="shared" ref="C164:N164" si="36">IF(C162="","",C162*C163)</f>
        <v/>
      </c>
      <c r="D164" s="935" t="str">
        <f t="shared" si="36"/>
        <v/>
      </c>
      <c r="E164" s="935" t="str">
        <f t="shared" si="36"/>
        <v/>
      </c>
      <c r="F164" s="935" t="str">
        <f t="shared" si="36"/>
        <v/>
      </c>
      <c r="G164" s="935" t="str">
        <f t="shared" si="36"/>
        <v/>
      </c>
      <c r="H164" s="935" t="str">
        <f t="shared" si="36"/>
        <v/>
      </c>
      <c r="I164" s="935" t="str">
        <f t="shared" si="36"/>
        <v/>
      </c>
      <c r="J164" s="935" t="str">
        <f t="shared" si="36"/>
        <v/>
      </c>
      <c r="K164" s="935" t="str">
        <f t="shared" si="36"/>
        <v/>
      </c>
      <c r="L164" s="935" t="str">
        <f t="shared" si="36"/>
        <v/>
      </c>
      <c r="M164" s="935" t="str">
        <f t="shared" si="36"/>
        <v/>
      </c>
      <c r="N164" s="936" t="str">
        <f t="shared" si="36"/>
        <v/>
      </c>
      <c r="O164" s="708"/>
    </row>
    <row r="165" spans="1:15" x14ac:dyDescent="0.25">
      <c r="A165" s="708"/>
      <c r="B165" s="708"/>
      <c r="C165" s="708"/>
      <c r="D165" s="708"/>
      <c r="E165" s="708"/>
      <c r="F165" s="708"/>
      <c r="G165" s="708"/>
      <c r="H165" s="708"/>
      <c r="I165" s="708"/>
      <c r="J165" s="708"/>
      <c r="K165" s="708"/>
      <c r="L165" s="708"/>
      <c r="M165" s="708"/>
      <c r="N165" s="708"/>
      <c r="O165" s="708"/>
    </row>
    <row r="166" spans="1:15" ht="15.75" x14ac:dyDescent="0.25">
      <c r="A166" s="1991" t="s">
        <v>5101</v>
      </c>
      <c r="B166" s="1991"/>
      <c r="C166" s="1991"/>
      <c r="D166" s="1991"/>
      <c r="E166" s="1991"/>
      <c r="F166" s="1991"/>
      <c r="G166" s="1991"/>
      <c r="H166" s="1991"/>
      <c r="I166" s="1991"/>
      <c r="J166" s="1991"/>
      <c r="K166" s="1991"/>
      <c r="L166" s="1991"/>
      <c r="M166" s="1991"/>
      <c r="N166" s="1991"/>
      <c r="O166" s="708"/>
    </row>
    <row r="167" spans="1:15" ht="15.75" thickBot="1" x14ac:dyDescent="0.3">
      <c r="A167" s="924" t="s">
        <v>5102</v>
      </c>
      <c r="B167" s="925" t="str">
        <f>IF(A125="","",A125)</f>
        <v/>
      </c>
      <c r="C167" s="708"/>
      <c r="D167" s="708"/>
      <c r="E167" s="708"/>
      <c r="F167" s="708"/>
      <c r="G167" s="708"/>
      <c r="H167" s="708"/>
      <c r="I167" s="708"/>
      <c r="J167" s="708"/>
      <c r="K167" s="708"/>
      <c r="L167" s="708"/>
      <c r="M167" s="708"/>
      <c r="N167" s="708"/>
      <c r="O167" s="708"/>
    </row>
    <row r="168" spans="1:15" x14ac:dyDescent="0.25">
      <c r="A168" s="926"/>
      <c r="B168" s="906" t="s">
        <v>4646</v>
      </c>
      <c r="C168" s="906" t="s">
        <v>5062</v>
      </c>
      <c r="D168" s="906" t="s">
        <v>5063</v>
      </c>
      <c r="E168" s="906" t="s">
        <v>5064</v>
      </c>
      <c r="F168" s="906" t="s">
        <v>5065</v>
      </c>
      <c r="G168" s="906" t="s">
        <v>5066</v>
      </c>
      <c r="H168" s="906" t="s">
        <v>5067</v>
      </c>
      <c r="I168" s="906" t="s">
        <v>5068</v>
      </c>
      <c r="J168" s="906" t="s">
        <v>5069</v>
      </c>
      <c r="K168" s="906" t="s">
        <v>5070</v>
      </c>
      <c r="L168" s="906" t="s">
        <v>5071</v>
      </c>
      <c r="M168" s="906" t="s">
        <v>5072</v>
      </c>
      <c r="N168" s="908" t="s">
        <v>5073</v>
      </c>
      <c r="O168" s="708"/>
    </row>
    <row r="169" spans="1:15" x14ac:dyDescent="0.25">
      <c r="A169" s="927" t="s">
        <v>5103</v>
      </c>
      <c r="B169" s="928" t="s">
        <v>5104</v>
      </c>
      <c r="C169" s="929" t="str">
        <f>C154</f>
        <v/>
      </c>
      <c r="D169" s="929" t="str">
        <f t="shared" ref="D169:N169" si="37">D154</f>
        <v/>
      </c>
      <c r="E169" s="929" t="str">
        <f t="shared" si="37"/>
        <v/>
      </c>
      <c r="F169" s="929" t="str">
        <f t="shared" si="37"/>
        <v/>
      </c>
      <c r="G169" s="929" t="str">
        <f t="shared" si="37"/>
        <v/>
      </c>
      <c r="H169" s="929" t="str">
        <f t="shared" si="37"/>
        <v/>
      </c>
      <c r="I169" s="929" t="str">
        <f t="shared" si="37"/>
        <v/>
      </c>
      <c r="J169" s="929" t="str">
        <f t="shared" si="37"/>
        <v/>
      </c>
      <c r="K169" s="929" t="str">
        <f t="shared" si="37"/>
        <v/>
      </c>
      <c r="L169" s="929" t="str">
        <f t="shared" si="37"/>
        <v/>
      </c>
      <c r="M169" s="929" t="str">
        <f t="shared" si="37"/>
        <v/>
      </c>
      <c r="N169" s="937" t="str">
        <f t="shared" si="37"/>
        <v/>
      </c>
      <c r="O169" s="708"/>
    </row>
    <row r="170" spans="1:15" x14ac:dyDescent="0.25">
      <c r="A170" s="850" t="s">
        <v>5105</v>
      </c>
      <c r="B170" s="928"/>
      <c r="C170" s="929" t="str">
        <f>IF(INDEX($A$123:$N$133,MATCH($B167,$A$123:$A$133,0),3)=0,"",INDEX($A$123:$N$133,MATCH($B167,$A$123:$A$133,0),3))</f>
        <v/>
      </c>
      <c r="D170" s="929" t="str">
        <f>IF(INDEX($A$123:$N$133,MATCH($B167,$A$123:$A$133,0),4)=0,"",INDEX($A$123:$N$133,MATCH($B167,$A$123:$A$133,0),4))</f>
        <v/>
      </c>
      <c r="E170" s="929" t="str">
        <f>IF(INDEX($A$123:$N$133,MATCH($B167,$A$123:$A$133,0),5)=0,"",INDEX($A$123:$N$133,MATCH($B167,$A$123:$A$133,0),5))</f>
        <v/>
      </c>
      <c r="F170" s="929" t="str">
        <f>IF(INDEX($A$123:$N$133,MATCH($B167,$A$123:$A$133,0),6)=0,"",INDEX($A$123:$N$133,MATCH($B167,$A$123:$A$133,0),6))</f>
        <v/>
      </c>
      <c r="G170" s="929" t="str">
        <f>IF(INDEX($A$123:$N$133,MATCH($B167,$A$123:$A$133,0),7)=0,"",INDEX($A$123:$N$133,MATCH($B167,$A$123:$A$133,0),7))</f>
        <v/>
      </c>
      <c r="H170" s="929" t="str">
        <f>IF(INDEX($A$123:$N$133,MATCH($B167,$A$123:$A$133,0),8)=0,"",INDEX($A$123:$N$133,MATCH($B167,$A$123:$A$133,0),8))</f>
        <v/>
      </c>
      <c r="I170" s="929" t="str">
        <f>IF(INDEX($A$123:$N$133,MATCH($B167,$A$123:$A$133,0),9)=0,"",INDEX($A$123:$N$133,MATCH($B167,$A$123:$A$133,0),9))</f>
        <v/>
      </c>
      <c r="J170" s="929" t="str">
        <f>IF(INDEX($A$123:$N$133,MATCH($B167,$A$123:$A$133,0),10)=0,"",INDEX($A$123:$N$133,MATCH($B167,$A$123:$A$133,0),10))</f>
        <v/>
      </c>
      <c r="K170" s="929" t="str">
        <f>IF(INDEX($A$123:$N$133,MATCH($B167,$A$123:$A$133,0),11)=0,"",INDEX($A$123:$N$133,MATCH($B167,$A$123:$A$133,0),11))</f>
        <v/>
      </c>
      <c r="L170" s="929" t="str">
        <f>IF(INDEX($A$123:$N$133,MATCH($B167,$A$123:$A$133,0),12)=0,"",INDEX($A$123:$N$133,MATCH($B167,$A$123:$A$133,0),12))</f>
        <v/>
      </c>
      <c r="M170" s="929" t="str">
        <f>IF(INDEX($A$123:$N$133,MATCH($B167,$A$123:$A$133,0),13)=0,"",INDEX($A$123:$N$133,MATCH($B167,$A$123:$A$133,0),13))</f>
        <v/>
      </c>
      <c r="N170" s="930" t="str">
        <f>IF(INDEX($A$123:$N$133,MATCH($B167,$A$123:$A$133,0),14)=0,"",INDEX($A$123:$N$133,MATCH($B167,$A$123:$A$133,0),14))</f>
        <v/>
      </c>
      <c r="O170" s="708"/>
    </row>
    <row r="171" spans="1:15" x14ac:dyDescent="0.25">
      <c r="A171" s="850" t="s">
        <v>5106</v>
      </c>
      <c r="B171" s="928" t="s">
        <v>5104</v>
      </c>
      <c r="C171" s="929" t="str">
        <f t="shared" ref="C171:N171" si="38">IF(C169="","",IF(C170="","",C169*C170))</f>
        <v/>
      </c>
      <c r="D171" s="929" t="str">
        <f t="shared" si="38"/>
        <v/>
      </c>
      <c r="E171" s="929" t="str">
        <f t="shared" si="38"/>
        <v/>
      </c>
      <c r="F171" s="929" t="str">
        <f t="shared" si="38"/>
        <v/>
      </c>
      <c r="G171" s="929" t="str">
        <f t="shared" si="38"/>
        <v/>
      </c>
      <c r="H171" s="929" t="str">
        <f t="shared" si="38"/>
        <v/>
      </c>
      <c r="I171" s="929" t="str">
        <f t="shared" si="38"/>
        <v/>
      </c>
      <c r="J171" s="929" t="str">
        <f t="shared" si="38"/>
        <v/>
      </c>
      <c r="K171" s="929" t="str">
        <f t="shared" si="38"/>
        <v/>
      </c>
      <c r="L171" s="929" t="str">
        <f t="shared" si="38"/>
        <v/>
      </c>
      <c r="M171" s="929" t="str">
        <f t="shared" si="38"/>
        <v/>
      </c>
      <c r="N171" s="930" t="str">
        <f t="shared" si="38"/>
        <v/>
      </c>
      <c r="O171" s="708"/>
    </row>
    <row r="172" spans="1:15" x14ac:dyDescent="0.25">
      <c r="A172" s="927" t="s">
        <v>5035</v>
      </c>
      <c r="B172" s="928" t="s">
        <v>5104</v>
      </c>
      <c r="C172" s="929">
        <f>C157</f>
        <v>0</v>
      </c>
      <c r="D172" s="929">
        <f t="shared" ref="D172:M172" si="39">D157</f>
        <v>0</v>
      </c>
      <c r="E172" s="929">
        <f t="shared" si="39"/>
        <v>0</v>
      </c>
      <c r="F172" s="929">
        <f t="shared" si="39"/>
        <v>0</v>
      </c>
      <c r="G172" s="929">
        <f t="shared" si="39"/>
        <v>0</v>
      </c>
      <c r="H172" s="929">
        <f t="shared" si="39"/>
        <v>0</v>
      </c>
      <c r="I172" s="929">
        <f t="shared" si="39"/>
        <v>0</v>
      </c>
      <c r="J172" s="929">
        <f t="shared" si="39"/>
        <v>0</v>
      </c>
      <c r="K172" s="929">
        <f t="shared" si="39"/>
        <v>0</v>
      </c>
      <c r="L172" s="929">
        <f t="shared" si="39"/>
        <v>0</v>
      </c>
      <c r="M172" s="929">
        <f t="shared" si="39"/>
        <v>0</v>
      </c>
      <c r="N172" s="930">
        <f>N157</f>
        <v>0</v>
      </c>
      <c r="O172" s="708"/>
    </row>
    <row r="173" spans="1:15" x14ac:dyDescent="0.25">
      <c r="A173" s="850" t="s">
        <v>5107</v>
      </c>
      <c r="B173" s="928" t="s">
        <v>5104</v>
      </c>
      <c r="C173" s="929" t="str">
        <f t="shared" ref="C173:N173" si="40">IF(C171="","",C171-C172)</f>
        <v/>
      </c>
      <c r="D173" s="929" t="str">
        <f t="shared" si="40"/>
        <v/>
      </c>
      <c r="E173" s="929" t="str">
        <f t="shared" si="40"/>
        <v/>
      </c>
      <c r="F173" s="929" t="str">
        <f t="shared" si="40"/>
        <v/>
      </c>
      <c r="G173" s="929" t="str">
        <f t="shared" si="40"/>
        <v/>
      </c>
      <c r="H173" s="929" t="str">
        <f t="shared" si="40"/>
        <v/>
      </c>
      <c r="I173" s="929" t="str">
        <f t="shared" si="40"/>
        <v/>
      </c>
      <c r="J173" s="929" t="str">
        <f t="shared" si="40"/>
        <v/>
      </c>
      <c r="K173" s="929" t="str">
        <f t="shared" si="40"/>
        <v/>
      </c>
      <c r="L173" s="929" t="str">
        <f t="shared" si="40"/>
        <v/>
      </c>
      <c r="M173" s="929" t="str">
        <f t="shared" si="40"/>
        <v/>
      </c>
      <c r="N173" s="930" t="str">
        <f t="shared" si="40"/>
        <v/>
      </c>
      <c r="O173" s="708"/>
    </row>
    <row r="174" spans="1:15" x14ac:dyDescent="0.25">
      <c r="A174" s="850" t="s">
        <v>5108</v>
      </c>
      <c r="B174" s="928" t="s">
        <v>5109</v>
      </c>
      <c r="C174" s="929" t="str">
        <f t="shared" ref="C174:N174" si="41">IF(C173="","",IF(C173&lt;0,0,C173*10))</f>
        <v/>
      </c>
      <c r="D174" s="929" t="str">
        <f t="shared" si="41"/>
        <v/>
      </c>
      <c r="E174" s="929" t="str">
        <f t="shared" si="41"/>
        <v/>
      </c>
      <c r="F174" s="929" t="str">
        <f t="shared" si="41"/>
        <v/>
      </c>
      <c r="G174" s="929" t="str">
        <f t="shared" si="41"/>
        <v/>
      </c>
      <c r="H174" s="929" t="str">
        <f t="shared" si="41"/>
        <v/>
      </c>
      <c r="I174" s="929" t="str">
        <f t="shared" si="41"/>
        <v/>
      </c>
      <c r="J174" s="929" t="str">
        <f t="shared" si="41"/>
        <v/>
      </c>
      <c r="K174" s="929" t="str">
        <f t="shared" si="41"/>
        <v/>
      </c>
      <c r="L174" s="929" t="str">
        <f t="shared" si="41"/>
        <v/>
      </c>
      <c r="M174" s="929" t="str">
        <f t="shared" si="41"/>
        <v/>
      </c>
      <c r="N174" s="930" t="str">
        <f t="shared" si="41"/>
        <v/>
      </c>
      <c r="O174" s="931"/>
    </row>
    <row r="175" spans="1:15" x14ac:dyDescent="0.25">
      <c r="A175" s="927" t="s">
        <v>5081</v>
      </c>
      <c r="B175" s="928"/>
      <c r="C175" s="929" t="str">
        <f>C160</f>
        <v/>
      </c>
      <c r="D175" s="929" t="str">
        <f>C175</f>
        <v/>
      </c>
      <c r="E175" s="929" t="str">
        <f t="shared" ref="E175:M176" si="42">D175</f>
        <v/>
      </c>
      <c r="F175" s="929" t="str">
        <f t="shared" si="42"/>
        <v/>
      </c>
      <c r="G175" s="929" t="str">
        <f t="shared" si="42"/>
        <v/>
      </c>
      <c r="H175" s="929" t="str">
        <f t="shared" si="42"/>
        <v/>
      </c>
      <c r="I175" s="929" t="str">
        <f t="shared" si="42"/>
        <v/>
      </c>
      <c r="J175" s="929" t="str">
        <f t="shared" si="42"/>
        <v/>
      </c>
      <c r="K175" s="929" t="str">
        <f t="shared" si="42"/>
        <v/>
      </c>
      <c r="L175" s="929" t="str">
        <f t="shared" si="42"/>
        <v/>
      </c>
      <c r="M175" s="929" t="str">
        <f t="shared" si="42"/>
        <v/>
      </c>
      <c r="N175" s="930" t="str">
        <f>M175</f>
        <v/>
      </c>
      <c r="O175" s="708"/>
    </row>
    <row r="176" spans="1:15" x14ac:dyDescent="0.25">
      <c r="A176" s="927" t="s">
        <v>5110</v>
      </c>
      <c r="B176" s="928" t="s">
        <v>5111</v>
      </c>
      <c r="C176" s="929" t="str">
        <f>C161</f>
        <v/>
      </c>
      <c r="D176" s="929" t="str">
        <f>C176</f>
        <v/>
      </c>
      <c r="E176" s="929" t="str">
        <f t="shared" si="42"/>
        <v/>
      </c>
      <c r="F176" s="929" t="str">
        <f t="shared" si="42"/>
        <v/>
      </c>
      <c r="G176" s="929" t="str">
        <f t="shared" si="42"/>
        <v/>
      </c>
      <c r="H176" s="929" t="str">
        <f t="shared" si="42"/>
        <v/>
      </c>
      <c r="I176" s="929" t="str">
        <f t="shared" si="42"/>
        <v/>
      </c>
      <c r="J176" s="929" t="str">
        <f t="shared" si="42"/>
        <v/>
      </c>
      <c r="K176" s="929" t="str">
        <f t="shared" si="42"/>
        <v/>
      </c>
      <c r="L176" s="929" t="str">
        <f t="shared" si="42"/>
        <v/>
      </c>
      <c r="M176" s="929" t="str">
        <f t="shared" si="42"/>
        <v/>
      </c>
      <c r="N176" s="930" t="str">
        <f>M176</f>
        <v/>
      </c>
      <c r="O176" s="708"/>
    </row>
    <row r="177" spans="1:15" x14ac:dyDescent="0.25">
      <c r="A177" s="850" t="s">
        <v>5112</v>
      </c>
      <c r="B177" s="928" t="s">
        <v>5113</v>
      </c>
      <c r="C177" s="929" t="str">
        <f t="shared" ref="C177:N177" si="43">IF(C175="","",IF(C174="","",IF(C176="","",C174*(1000/(3600*31*C176))/C175)))</f>
        <v/>
      </c>
      <c r="D177" s="929" t="str">
        <f t="shared" si="43"/>
        <v/>
      </c>
      <c r="E177" s="929" t="str">
        <f t="shared" si="43"/>
        <v/>
      </c>
      <c r="F177" s="929" t="str">
        <f t="shared" si="43"/>
        <v/>
      </c>
      <c r="G177" s="929" t="str">
        <f t="shared" si="43"/>
        <v/>
      </c>
      <c r="H177" s="929" t="str">
        <f t="shared" si="43"/>
        <v/>
      </c>
      <c r="I177" s="929" t="str">
        <f t="shared" si="43"/>
        <v/>
      </c>
      <c r="J177" s="929" t="str">
        <f t="shared" si="43"/>
        <v/>
      </c>
      <c r="K177" s="929" t="str">
        <f t="shared" si="43"/>
        <v/>
      </c>
      <c r="L177" s="929" t="str">
        <f t="shared" si="43"/>
        <v/>
      </c>
      <c r="M177" s="929" t="str">
        <f t="shared" si="43"/>
        <v/>
      </c>
      <c r="N177" s="930" t="str">
        <f t="shared" si="43"/>
        <v/>
      </c>
      <c r="O177" s="708"/>
    </row>
    <row r="178" spans="1:15" ht="15.75" thickBot="1" x14ac:dyDescent="0.3">
      <c r="A178" s="850" t="s">
        <v>5114</v>
      </c>
      <c r="B178" s="928" t="s">
        <v>5115</v>
      </c>
      <c r="C178" s="929" t="str">
        <f t="shared" ref="C178:N178" si="44">IF(C170="","",INDEX($A$123:$B$133,MATCH($B167,$A$123:$A$133,0),2))</f>
        <v/>
      </c>
      <c r="D178" s="929" t="str">
        <f t="shared" si="44"/>
        <v/>
      </c>
      <c r="E178" s="929" t="str">
        <f t="shared" si="44"/>
        <v/>
      </c>
      <c r="F178" s="929" t="str">
        <f t="shared" si="44"/>
        <v/>
      </c>
      <c r="G178" s="929" t="str">
        <f t="shared" si="44"/>
        <v/>
      </c>
      <c r="H178" s="929" t="str">
        <f t="shared" si="44"/>
        <v/>
      </c>
      <c r="I178" s="929" t="str">
        <f t="shared" si="44"/>
        <v/>
      </c>
      <c r="J178" s="929" t="str">
        <f t="shared" si="44"/>
        <v/>
      </c>
      <c r="K178" s="929" t="str">
        <f t="shared" si="44"/>
        <v/>
      </c>
      <c r="L178" s="929" t="str">
        <f t="shared" si="44"/>
        <v/>
      </c>
      <c r="M178" s="929" t="str">
        <f t="shared" si="44"/>
        <v/>
      </c>
      <c r="N178" s="932" t="str">
        <f t="shared" si="44"/>
        <v/>
      </c>
      <c r="O178" s="708"/>
    </row>
    <row r="179" spans="1:15" ht="15.75" thickBot="1" x14ac:dyDescent="0.3">
      <c r="A179" s="933" t="s">
        <v>5116</v>
      </c>
      <c r="B179" s="934" t="s">
        <v>5113</v>
      </c>
      <c r="C179" s="935" t="str">
        <f t="shared" ref="C179:N179" si="45">IF(C177="","",C177*C178)</f>
        <v/>
      </c>
      <c r="D179" s="935" t="str">
        <f t="shared" si="45"/>
        <v/>
      </c>
      <c r="E179" s="935" t="str">
        <f t="shared" si="45"/>
        <v/>
      </c>
      <c r="F179" s="935" t="str">
        <f t="shared" si="45"/>
        <v/>
      </c>
      <c r="G179" s="935" t="str">
        <f t="shared" si="45"/>
        <v/>
      </c>
      <c r="H179" s="935" t="str">
        <f t="shared" si="45"/>
        <v/>
      </c>
      <c r="I179" s="935" t="str">
        <f t="shared" si="45"/>
        <v/>
      </c>
      <c r="J179" s="935" t="str">
        <f t="shared" si="45"/>
        <v/>
      </c>
      <c r="K179" s="935" t="str">
        <f t="shared" si="45"/>
        <v/>
      </c>
      <c r="L179" s="935" t="str">
        <f t="shared" si="45"/>
        <v/>
      </c>
      <c r="M179" s="935" t="str">
        <f t="shared" si="45"/>
        <v/>
      </c>
      <c r="N179" s="938" t="str">
        <f t="shared" si="45"/>
        <v/>
      </c>
      <c r="O179" s="708"/>
    </row>
    <row r="180" spans="1:15" x14ac:dyDescent="0.25">
      <c r="A180" s="708"/>
      <c r="B180" s="708"/>
      <c r="C180" s="708"/>
      <c r="D180" s="708"/>
      <c r="E180" s="708"/>
      <c r="F180" s="708"/>
      <c r="G180" s="708"/>
      <c r="H180" s="708"/>
      <c r="I180" s="708"/>
      <c r="J180" s="708"/>
      <c r="K180" s="708"/>
      <c r="L180" s="708"/>
      <c r="M180" s="708"/>
      <c r="N180" s="708"/>
      <c r="O180" s="708"/>
    </row>
    <row r="181" spans="1:15" ht="15.75" x14ac:dyDescent="0.25">
      <c r="A181" s="1991" t="s">
        <v>5101</v>
      </c>
      <c r="B181" s="1991"/>
      <c r="C181" s="1991"/>
      <c r="D181" s="1991"/>
      <c r="E181" s="1991"/>
      <c r="F181" s="1991"/>
      <c r="G181" s="1991"/>
      <c r="H181" s="1991"/>
      <c r="I181" s="1991"/>
      <c r="J181" s="1991"/>
      <c r="K181" s="1991"/>
      <c r="L181" s="1991"/>
      <c r="M181" s="1991"/>
      <c r="N181" s="1991"/>
      <c r="O181" s="708"/>
    </row>
    <row r="182" spans="1:15" ht="15.75" thickBot="1" x14ac:dyDescent="0.3">
      <c r="A182" s="924" t="s">
        <v>5102</v>
      </c>
      <c r="B182" s="925" t="str">
        <f>IF(A126="","",A126)</f>
        <v/>
      </c>
      <c r="C182" s="708"/>
      <c r="D182" s="708"/>
      <c r="E182" s="708"/>
      <c r="F182" s="708"/>
      <c r="G182" s="708"/>
      <c r="H182" s="708"/>
      <c r="I182" s="708"/>
      <c r="J182" s="708"/>
      <c r="K182" s="708"/>
      <c r="L182" s="708"/>
      <c r="M182" s="708"/>
      <c r="N182" s="708"/>
      <c r="O182" s="708"/>
    </row>
    <row r="183" spans="1:15" x14ac:dyDescent="0.25">
      <c r="A183" s="926"/>
      <c r="B183" s="906" t="s">
        <v>4646</v>
      </c>
      <c r="C183" s="906" t="s">
        <v>5062</v>
      </c>
      <c r="D183" s="906" t="s">
        <v>5063</v>
      </c>
      <c r="E183" s="906" t="s">
        <v>5064</v>
      </c>
      <c r="F183" s="906" t="s">
        <v>5065</v>
      </c>
      <c r="G183" s="906" t="s">
        <v>5066</v>
      </c>
      <c r="H183" s="906" t="s">
        <v>5067</v>
      </c>
      <c r="I183" s="906" t="s">
        <v>5068</v>
      </c>
      <c r="J183" s="906" t="s">
        <v>5069</v>
      </c>
      <c r="K183" s="906" t="s">
        <v>5070</v>
      </c>
      <c r="L183" s="906" t="s">
        <v>5071</v>
      </c>
      <c r="M183" s="906" t="s">
        <v>5072</v>
      </c>
      <c r="N183" s="908" t="s">
        <v>5073</v>
      </c>
      <c r="O183" s="708"/>
    </row>
    <row r="184" spans="1:15" x14ac:dyDescent="0.25">
      <c r="A184" s="927" t="s">
        <v>5103</v>
      </c>
      <c r="B184" s="928" t="s">
        <v>5104</v>
      </c>
      <c r="C184" s="929" t="str">
        <f>C169</f>
        <v/>
      </c>
      <c r="D184" s="929" t="str">
        <f t="shared" ref="D184:N184" si="46">D169</f>
        <v/>
      </c>
      <c r="E184" s="929" t="str">
        <f t="shared" si="46"/>
        <v/>
      </c>
      <c r="F184" s="929" t="str">
        <f t="shared" si="46"/>
        <v/>
      </c>
      <c r="G184" s="929" t="str">
        <f t="shared" si="46"/>
        <v/>
      </c>
      <c r="H184" s="929" t="str">
        <f t="shared" si="46"/>
        <v/>
      </c>
      <c r="I184" s="929" t="str">
        <f t="shared" si="46"/>
        <v/>
      </c>
      <c r="J184" s="929" t="str">
        <f t="shared" si="46"/>
        <v/>
      </c>
      <c r="K184" s="929" t="str">
        <f t="shared" si="46"/>
        <v/>
      </c>
      <c r="L184" s="929" t="str">
        <f t="shared" si="46"/>
        <v/>
      </c>
      <c r="M184" s="929" t="str">
        <f t="shared" si="46"/>
        <v/>
      </c>
      <c r="N184" s="937" t="str">
        <f t="shared" si="46"/>
        <v/>
      </c>
      <c r="O184" s="708"/>
    </row>
    <row r="185" spans="1:15" x14ac:dyDescent="0.25">
      <c r="A185" s="850" t="s">
        <v>5105</v>
      </c>
      <c r="B185" s="928"/>
      <c r="C185" s="929" t="str">
        <f>IF(INDEX($A$123:$N$133,MATCH($B182,$A$123:$A$133,0),3)=0,"",INDEX($A$123:$N$133,MATCH($B182,$A$123:$A$133,0),3))</f>
        <v/>
      </c>
      <c r="D185" s="929" t="str">
        <f>IF(INDEX($A$123:$N$133,MATCH($B182,$A$123:$A$133,0),4)=0,"",INDEX($A$123:$N$133,MATCH($B182,$A$123:$A$133,0),4))</f>
        <v/>
      </c>
      <c r="E185" s="929" t="str">
        <f>IF(INDEX($A$123:$N$133,MATCH($B182,$A$123:$A$133,0),5)=0,"",INDEX($A$123:$N$133,MATCH($B182,$A$123:$A$133,0),5))</f>
        <v/>
      </c>
      <c r="F185" s="929" t="str">
        <f>IF(INDEX($A$123:$N$133,MATCH($B182,$A$123:$A$133,0),6)=0,"",INDEX($A$123:$N$133,MATCH($B182,$A$123:$A$133,0),6))</f>
        <v/>
      </c>
      <c r="G185" s="929" t="str">
        <f>IF(INDEX($A$123:$N$133,MATCH($B182,$A$123:$A$133,0),7)=0,"",INDEX($A$123:$N$133,MATCH($B182,$A$123:$A$133,0),7))</f>
        <v/>
      </c>
      <c r="H185" s="929" t="str">
        <f>IF(INDEX($A$123:$N$133,MATCH($B182,$A$123:$A$133,0),8)=0,"",INDEX($A$123:$N$133,MATCH($B182,$A$123:$A$133,0),8))</f>
        <v/>
      </c>
      <c r="I185" s="929" t="str">
        <f>IF(INDEX($A$123:$N$133,MATCH($B182,$A$123:$A$133,0),9)=0,"",INDEX($A$123:$N$133,MATCH($B182,$A$123:$A$133,0),9))</f>
        <v/>
      </c>
      <c r="J185" s="929" t="str">
        <f>IF(INDEX($A$123:$N$133,MATCH($B182,$A$123:$A$133,0),10)=0,"",INDEX($A$123:$N$133,MATCH($B182,$A$123:$A$133,0),10))</f>
        <v/>
      </c>
      <c r="K185" s="929" t="str">
        <f>IF(INDEX($A$123:$N$133,MATCH($B182,$A$123:$A$133,0),11)=0,"",INDEX($A$123:$N$133,MATCH($B182,$A$123:$A$133,0),11))</f>
        <v/>
      </c>
      <c r="L185" s="929" t="str">
        <f>IF(INDEX($A$123:$N$133,MATCH($B182,$A$123:$A$133,0),12)=0,"",INDEX($A$123:$N$133,MATCH($B182,$A$123:$A$133,0),12))</f>
        <v/>
      </c>
      <c r="M185" s="929" t="str">
        <f>IF(INDEX($A$123:$N$133,MATCH($B182,$A$123:$A$133,0),13)=0,"",INDEX($A$123:$N$133,MATCH($B182,$A$123:$A$133,0),13))</f>
        <v/>
      </c>
      <c r="N185" s="930" t="str">
        <f>IF(INDEX($A$123:$N$133,MATCH($B182,$A$123:$A$133,0),14)=0,"",INDEX($A$123:$N$133,MATCH($B182,$A$123:$A$133,0),14))</f>
        <v/>
      </c>
      <c r="O185" s="708"/>
    </row>
    <row r="186" spans="1:15" x14ac:dyDescent="0.25">
      <c r="A186" s="850" t="s">
        <v>5106</v>
      </c>
      <c r="B186" s="928" t="s">
        <v>5104</v>
      </c>
      <c r="C186" s="929" t="str">
        <f t="shared" ref="C186:N186" si="47">IF(C184="","",IF(C185="","",C184*C185))</f>
        <v/>
      </c>
      <c r="D186" s="929" t="str">
        <f t="shared" si="47"/>
        <v/>
      </c>
      <c r="E186" s="929" t="str">
        <f t="shared" si="47"/>
        <v/>
      </c>
      <c r="F186" s="929" t="str">
        <f t="shared" si="47"/>
        <v/>
      </c>
      <c r="G186" s="929" t="str">
        <f t="shared" si="47"/>
        <v/>
      </c>
      <c r="H186" s="929" t="str">
        <f t="shared" si="47"/>
        <v/>
      </c>
      <c r="I186" s="929" t="str">
        <f t="shared" si="47"/>
        <v/>
      </c>
      <c r="J186" s="929" t="str">
        <f t="shared" si="47"/>
        <v/>
      </c>
      <c r="K186" s="929" t="str">
        <f t="shared" si="47"/>
        <v/>
      </c>
      <c r="L186" s="929" t="str">
        <f t="shared" si="47"/>
        <v/>
      </c>
      <c r="M186" s="929" t="str">
        <f t="shared" si="47"/>
        <v/>
      </c>
      <c r="N186" s="930" t="str">
        <f t="shared" si="47"/>
        <v/>
      </c>
      <c r="O186" s="708"/>
    </row>
    <row r="187" spans="1:15" x14ac:dyDescent="0.25">
      <c r="A187" s="927" t="s">
        <v>5035</v>
      </c>
      <c r="B187" s="928" t="s">
        <v>5104</v>
      </c>
      <c r="C187" s="929">
        <f>C172</f>
        <v>0</v>
      </c>
      <c r="D187" s="929">
        <f t="shared" ref="D187:M187" si="48">D172</f>
        <v>0</v>
      </c>
      <c r="E187" s="929">
        <f t="shared" si="48"/>
        <v>0</v>
      </c>
      <c r="F187" s="929">
        <f t="shared" si="48"/>
        <v>0</v>
      </c>
      <c r="G187" s="929">
        <f t="shared" si="48"/>
        <v>0</v>
      </c>
      <c r="H187" s="929">
        <f t="shared" si="48"/>
        <v>0</v>
      </c>
      <c r="I187" s="929">
        <f t="shared" si="48"/>
        <v>0</v>
      </c>
      <c r="J187" s="929">
        <f t="shared" si="48"/>
        <v>0</v>
      </c>
      <c r="K187" s="929">
        <f t="shared" si="48"/>
        <v>0</v>
      </c>
      <c r="L187" s="929">
        <f t="shared" si="48"/>
        <v>0</v>
      </c>
      <c r="M187" s="929">
        <f t="shared" si="48"/>
        <v>0</v>
      </c>
      <c r="N187" s="930">
        <f>N172</f>
        <v>0</v>
      </c>
      <c r="O187" s="708"/>
    </row>
    <row r="188" spans="1:15" x14ac:dyDescent="0.25">
      <c r="A188" s="850" t="s">
        <v>5107</v>
      </c>
      <c r="B188" s="928" t="s">
        <v>5104</v>
      </c>
      <c r="C188" s="929" t="str">
        <f t="shared" ref="C188:N188" si="49">IF(C186="","",C186-C187)</f>
        <v/>
      </c>
      <c r="D188" s="929" t="str">
        <f t="shared" si="49"/>
        <v/>
      </c>
      <c r="E188" s="929" t="str">
        <f t="shared" si="49"/>
        <v/>
      </c>
      <c r="F188" s="929" t="str">
        <f t="shared" si="49"/>
        <v/>
      </c>
      <c r="G188" s="929" t="str">
        <f t="shared" si="49"/>
        <v/>
      </c>
      <c r="H188" s="929" t="str">
        <f t="shared" si="49"/>
        <v/>
      </c>
      <c r="I188" s="929" t="str">
        <f t="shared" si="49"/>
        <v/>
      </c>
      <c r="J188" s="929" t="str">
        <f t="shared" si="49"/>
        <v/>
      </c>
      <c r="K188" s="929" t="str">
        <f t="shared" si="49"/>
        <v/>
      </c>
      <c r="L188" s="929" t="str">
        <f t="shared" si="49"/>
        <v/>
      </c>
      <c r="M188" s="929" t="str">
        <f t="shared" si="49"/>
        <v/>
      </c>
      <c r="N188" s="930" t="str">
        <f t="shared" si="49"/>
        <v/>
      </c>
      <c r="O188" s="708"/>
    </row>
    <row r="189" spans="1:15" x14ac:dyDescent="0.25">
      <c r="A189" s="850" t="s">
        <v>5108</v>
      </c>
      <c r="B189" s="928" t="s">
        <v>5109</v>
      </c>
      <c r="C189" s="929" t="str">
        <f t="shared" ref="C189:N189" si="50">IF(C188="","",IF(C188&lt;0,0,C188*10))</f>
        <v/>
      </c>
      <c r="D189" s="929" t="str">
        <f t="shared" si="50"/>
        <v/>
      </c>
      <c r="E189" s="929" t="str">
        <f t="shared" si="50"/>
        <v/>
      </c>
      <c r="F189" s="929" t="str">
        <f t="shared" si="50"/>
        <v/>
      </c>
      <c r="G189" s="929" t="str">
        <f t="shared" si="50"/>
        <v/>
      </c>
      <c r="H189" s="929" t="str">
        <f t="shared" si="50"/>
        <v/>
      </c>
      <c r="I189" s="929" t="str">
        <f t="shared" si="50"/>
        <v/>
      </c>
      <c r="J189" s="929" t="str">
        <f t="shared" si="50"/>
        <v/>
      </c>
      <c r="K189" s="929" t="str">
        <f t="shared" si="50"/>
        <v/>
      </c>
      <c r="L189" s="929" t="str">
        <f t="shared" si="50"/>
        <v/>
      </c>
      <c r="M189" s="929" t="str">
        <f t="shared" si="50"/>
        <v/>
      </c>
      <c r="N189" s="930" t="str">
        <f t="shared" si="50"/>
        <v/>
      </c>
      <c r="O189" s="931"/>
    </row>
    <row r="190" spans="1:15" x14ac:dyDescent="0.25">
      <c r="A190" s="927" t="s">
        <v>5081</v>
      </c>
      <c r="B190" s="928"/>
      <c r="C190" s="929" t="str">
        <f>C175</f>
        <v/>
      </c>
      <c r="D190" s="929" t="str">
        <f>C190</f>
        <v/>
      </c>
      <c r="E190" s="929" t="str">
        <f t="shared" ref="E190:M191" si="51">D190</f>
        <v/>
      </c>
      <c r="F190" s="929" t="str">
        <f t="shared" si="51"/>
        <v/>
      </c>
      <c r="G190" s="929" t="str">
        <f t="shared" si="51"/>
        <v/>
      </c>
      <c r="H190" s="929" t="str">
        <f t="shared" si="51"/>
        <v/>
      </c>
      <c r="I190" s="929" t="str">
        <f t="shared" si="51"/>
        <v/>
      </c>
      <c r="J190" s="929" t="str">
        <f t="shared" si="51"/>
        <v/>
      </c>
      <c r="K190" s="929" t="str">
        <f t="shared" si="51"/>
        <v/>
      </c>
      <c r="L190" s="929" t="str">
        <f t="shared" si="51"/>
        <v/>
      </c>
      <c r="M190" s="929" t="str">
        <f t="shared" si="51"/>
        <v/>
      </c>
      <c r="N190" s="930" t="str">
        <f>M190</f>
        <v/>
      </c>
      <c r="O190" s="708"/>
    </row>
    <row r="191" spans="1:15" x14ac:dyDescent="0.25">
      <c r="A191" s="927" t="s">
        <v>5110</v>
      </c>
      <c r="B191" s="928" t="s">
        <v>5111</v>
      </c>
      <c r="C191" s="929" t="str">
        <f>C176</f>
        <v/>
      </c>
      <c r="D191" s="929" t="str">
        <f>C191</f>
        <v/>
      </c>
      <c r="E191" s="929" t="str">
        <f t="shared" si="51"/>
        <v/>
      </c>
      <c r="F191" s="929" t="str">
        <f t="shared" si="51"/>
        <v/>
      </c>
      <c r="G191" s="929" t="str">
        <f t="shared" si="51"/>
        <v/>
      </c>
      <c r="H191" s="929" t="str">
        <f t="shared" si="51"/>
        <v/>
      </c>
      <c r="I191" s="929" t="str">
        <f t="shared" si="51"/>
        <v/>
      </c>
      <c r="J191" s="929" t="str">
        <f t="shared" si="51"/>
        <v/>
      </c>
      <c r="K191" s="929" t="str">
        <f t="shared" si="51"/>
        <v/>
      </c>
      <c r="L191" s="929" t="str">
        <f t="shared" si="51"/>
        <v/>
      </c>
      <c r="M191" s="929" t="str">
        <f t="shared" si="51"/>
        <v/>
      </c>
      <c r="N191" s="930" t="str">
        <f>M191</f>
        <v/>
      </c>
      <c r="O191" s="708"/>
    </row>
    <row r="192" spans="1:15" x14ac:dyDescent="0.25">
      <c r="A192" s="850" t="s">
        <v>5112</v>
      </c>
      <c r="B192" s="928" t="s">
        <v>5113</v>
      </c>
      <c r="C192" s="929" t="str">
        <f t="shared" ref="C192:N192" si="52">IF(C190="","",IF(C189="","",IF(C191="","",C189*(1000/(3600*31*C191))/C190)))</f>
        <v/>
      </c>
      <c r="D192" s="929" t="str">
        <f t="shared" si="52"/>
        <v/>
      </c>
      <c r="E192" s="929" t="str">
        <f t="shared" si="52"/>
        <v/>
      </c>
      <c r="F192" s="929" t="str">
        <f t="shared" si="52"/>
        <v/>
      </c>
      <c r="G192" s="929" t="str">
        <f t="shared" si="52"/>
        <v/>
      </c>
      <c r="H192" s="929" t="str">
        <f t="shared" si="52"/>
        <v/>
      </c>
      <c r="I192" s="929" t="str">
        <f t="shared" si="52"/>
        <v/>
      </c>
      <c r="J192" s="929" t="str">
        <f t="shared" si="52"/>
        <v/>
      </c>
      <c r="K192" s="929" t="str">
        <f t="shared" si="52"/>
        <v/>
      </c>
      <c r="L192" s="929" t="str">
        <f t="shared" si="52"/>
        <v/>
      </c>
      <c r="M192" s="929" t="str">
        <f t="shared" si="52"/>
        <v/>
      </c>
      <c r="N192" s="930" t="str">
        <f t="shared" si="52"/>
        <v/>
      </c>
      <c r="O192" s="708"/>
    </row>
    <row r="193" spans="1:15" ht="15.75" thickBot="1" x14ac:dyDescent="0.3">
      <c r="A193" s="850" t="s">
        <v>5114</v>
      </c>
      <c r="B193" s="928" t="s">
        <v>5115</v>
      </c>
      <c r="C193" s="929" t="str">
        <f t="shared" ref="C193:N193" si="53">IF(C185="","",INDEX($A$123:$B$133,MATCH($B182,$A$123:$A$133,0),2))</f>
        <v/>
      </c>
      <c r="D193" s="929" t="str">
        <f t="shared" si="53"/>
        <v/>
      </c>
      <c r="E193" s="929" t="str">
        <f t="shared" si="53"/>
        <v/>
      </c>
      <c r="F193" s="929" t="str">
        <f t="shared" si="53"/>
        <v/>
      </c>
      <c r="G193" s="929" t="str">
        <f t="shared" si="53"/>
        <v/>
      </c>
      <c r="H193" s="929" t="str">
        <f t="shared" si="53"/>
        <v/>
      </c>
      <c r="I193" s="929" t="str">
        <f t="shared" si="53"/>
        <v/>
      </c>
      <c r="J193" s="929" t="str">
        <f t="shared" si="53"/>
        <v/>
      </c>
      <c r="K193" s="929" t="str">
        <f t="shared" si="53"/>
        <v/>
      </c>
      <c r="L193" s="929" t="str">
        <f t="shared" si="53"/>
        <v/>
      </c>
      <c r="M193" s="929" t="str">
        <f t="shared" si="53"/>
        <v/>
      </c>
      <c r="N193" s="932" t="str">
        <f t="shared" si="53"/>
        <v/>
      </c>
      <c r="O193" s="708"/>
    </row>
    <row r="194" spans="1:15" ht="15.75" thickBot="1" x14ac:dyDescent="0.3">
      <c r="A194" s="933" t="s">
        <v>5116</v>
      </c>
      <c r="B194" s="934" t="s">
        <v>5113</v>
      </c>
      <c r="C194" s="935" t="str">
        <f t="shared" ref="C194:N194" si="54">IF(C192="","",C192*C193)</f>
        <v/>
      </c>
      <c r="D194" s="935" t="str">
        <f t="shared" si="54"/>
        <v/>
      </c>
      <c r="E194" s="935" t="str">
        <f t="shared" si="54"/>
        <v/>
      </c>
      <c r="F194" s="935" t="str">
        <f t="shared" si="54"/>
        <v/>
      </c>
      <c r="G194" s="935" t="str">
        <f t="shared" si="54"/>
        <v/>
      </c>
      <c r="H194" s="935" t="str">
        <f t="shared" si="54"/>
        <v/>
      </c>
      <c r="I194" s="935" t="str">
        <f t="shared" si="54"/>
        <v/>
      </c>
      <c r="J194" s="935" t="str">
        <f t="shared" si="54"/>
        <v/>
      </c>
      <c r="K194" s="935" t="str">
        <f t="shared" si="54"/>
        <v/>
      </c>
      <c r="L194" s="935" t="str">
        <f t="shared" si="54"/>
        <v/>
      </c>
      <c r="M194" s="935" t="str">
        <f t="shared" si="54"/>
        <v/>
      </c>
      <c r="N194" s="936" t="str">
        <f t="shared" si="54"/>
        <v/>
      </c>
      <c r="O194" s="708"/>
    </row>
    <row r="195" spans="1:15" x14ac:dyDescent="0.25">
      <c r="A195" s="708"/>
      <c r="B195" s="708"/>
      <c r="C195" s="708"/>
      <c r="D195" s="708"/>
      <c r="E195" s="708"/>
      <c r="F195" s="708"/>
      <c r="G195" s="708"/>
      <c r="H195" s="708"/>
      <c r="I195" s="708"/>
      <c r="J195" s="708"/>
      <c r="K195" s="708"/>
      <c r="L195" s="708"/>
      <c r="M195" s="708"/>
      <c r="N195" s="708"/>
      <c r="O195" s="708"/>
    </row>
    <row r="196" spans="1:15" ht="15.75" x14ac:dyDescent="0.25">
      <c r="A196" s="1991" t="s">
        <v>5101</v>
      </c>
      <c r="B196" s="1991"/>
      <c r="C196" s="1991"/>
      <c r="D196" s="1991"/>
      <c r="E196" s="1991"/>
      <c r="F196" s="1991"/>
      <c r="G196" s="1991"/>
      <c r="H196" s="1991"/>
      <c r="I196" s="1991"/>
      <c r="J196" s="1991"/>
      <c r="K196" s="1991"/>
      <c r="L196" s="1991"/>
      <c r="M196" s="1991"/>
      <c r="N196" s="1991"/>
      <c r="O196" s="708"/>
    </row>
    <row r="197" spans="1:15" ht="15.75" thickBot="1" x14ac:dyDescent="0.3">
      <c r="A197" s="924" t="s">
        <v>5102</v>
      </c>
      <c r="B197" s="925" t="str">
        <f>IF(A127="","",A127)</f>
        <v/>
      </c>
      <c r="C197" s="708"/>
      <c r="D197" s="708"/>
      <c r="E197" s="708"/>
      <c r="F197" s="708"/>
      <c r="G197" s="708"/>
      <c r="H197" s="708"/>
      <c r="I197" s="708"/>
      <c r="J197" s="708"/>
      <c r="K197" s="708"/>
      <c r="L197" s="708"/>
      <c r="M197" s="708"/>
      <c r="N197" s="708"/>
      <c r="O197" s="708"/>
    </row>
    <row r="198" spans="1:15" x14ac:dyDescent="0.25">
      <c r="A198" s="926"/>
      <c r="B198" s="906" t="s">
        <v>4646</v>
      </c>
      <c r="C198" s="906" t="s">
        <v>5062</v>
      </c>
      <c r="D198" s="906" t="s">
        <v>5063</v>
      </c>
      <c r="E198" s="906" t="s">
        <v>5064</v>
      </c>
      <c r="F198" s="906" t="s">
        <v>5065</v>
      </c>
      <c r="G198" s="906" t="s">
        <v>5066</v>
      </c>
      <c r="H198" s="906" t="s">
        <v>5067</v>
      </c>
      <c r="I198" s="906" t="s">
        <v>5068</v>
      </c>
      <c r="J198" s="906" t="s">
        <v>5069</v>
      </c>
      <c r="K198" s="906" t="s">
        <v>5070</v>
      </c>
      <c r="L198" s="906" t="s">
        <v>5071</v>
      </c>
      <c r="M198" s="906" t="s">
        <v>5072</v>
      </c>
      <c r="N198" s="908" t="s">
        <v>5073</v>
      </c>
      <c r="O198" s="708"/>
    </row>
    <row r="199" spans="1:15" x14ac:dyDescent="0.25">
      <c r="A199" s="927" t="s">
        <v>5103</v>
      </c>
      <c r="B199" s="928" t="s">
        <v>5104</v>
      </c>
      <c r="C199" s="929" t="str">
        <f>C184</f>
        <v/>
      </c>
      <c r="D199" s="929" t="str">
        <f t="shared" ref="D199:N199" si="55">D184</f>
        <v/>
      </c>
      <c r="E199" s="929" t="str">
        <f t="shared" si="55"/>
        <v/>
      </c>
      <c r="F199" s="929" t="str">
        <f t="shared" si="55"/>
        <v/>
      </c>
      <c r="G199" s="929" t="str">
        <f t="shared" si="55"/>
        <v/>
      </c>
      <c r="H199" s="929" t="str">
        <f t="shared" si="55"/>
        <v/>
      </c>
      <c r="I199" s="929" t="str">
        <f t="shared" si="55"/>
        <v/>
      </c>
      <c r="J199" s="929" t="str">
        <f t="shared" si="55"/>
        <v/>
      </c>
      <c r="K199" s="929" t="str">
        <f t="shared" si="55"/>
        <v/>
      </c>
      <c r="L199" s="929" t="str">
        <f t="shared" si="55"/>
        <v/>
      </c>
      <c r="M199" s="929" t="str">
        <f t="shared" si="55"/>
        <v/>
      </c>
      <c r="N199" s="937" t="str">
        <f t="shared" si="55"/>
        <v/>
      </c>
      <c r="O199" s="708"/>
    </row>
    <row r="200" spans="1:15" x14ac:dyDescent="0.25">
      <c r="A200" s="850" t="s">
        <v>5105</v>
      </c>
      <c r="B200" s="928"/>
      <c r="C200" s="929" t="str">
        <f>IF(INDEX($A$123:$N$133,MATCH($B197,$A$123:$A$133,0),3)=0,"",INDEX($A$123:$N$133,MATCH($B197,$A$123:$A$133,0),3))</f>
        <v/>
      </c>
      <c r="D200" s="929" t="str">
        <f>IF(INDEX($A$123:$N$133,MATCH($B197,$A$123:$A$133,0),4)=0,"",INDEX($A$123:$N$133,MATCH($B197,$A$123:$A$133,0),4))</f>
        <v/>
      </c>
      <c r="E200" s="929" t="str">
        <f>IF(INDEX($A$123:$N$133,MATCH($B197,$A$123:$A$133,0),5)=0,"",INDEX($A$123:$N$133,MATCH($B197,$A$123:$A$133,0),5))</f>
        <v/>
      </c>
      <c r="F200" s="929" t="str">
        <f>IF(INDEX($A$123:$N$133,MATCH($B197,$A$123:$A$133,0),6)=0,"",INDEX($A$123:$N$133,MATCH($B197,$A$123:$A$133,0),6))</f>
        <v/>
      </c>
      <c r="G200" s="929" t="str">
        <f>IF(INDEX($A$123:$N$133,MATCH($B197,$A$123:$A$133,0),7)=0,"",INDEX($A$123:$N$133,MATCH($B197,$A$123:$A$133,0),7))</f>
        <v/>
      </c>
      <c r="H200" s="929" t="str">
        <f>IF(INDEX($A$123:$N$133,MATCH($B197,$A$123:$A$133,0),8)=0,"",INDEX($A$123:$N$133,MATCH($B197,$A$123:$A$133,0),8))</f>
        <v/>
      </c>
      <c r="I200" s="929" t="str">
        <f>IF(INDEX($A$123:$N$133,MATCH($B197,$A$123:$A$133,0),9)=0,"",INDEX($A$123:$N$133,MATCH($B197,$A$123:$A$133,0),9))</f>
        <v/>
      </c>
      <c r="J200" s="929" t="str">
        <f>IF(INDEX($A$123:$N$133,MATCH($B197,$A$123:$A$133,0),10)=0,"",INDEX($A$123:$N$133,MATCH($B197,$A$123:$A$133,0),10))</f>
        <v/>
      </c>
      <c r="K200" s="929" t="str">
        <f>IF(INDEX($A$123:$N$133,MATCH($B197,$A$123:$A$133,0),11)=0,"",INDEX($A$123:$N$133,MATCH($B197,$A$123:$A$133,0),11))</f>
        <v/>
      </c>
      <c r="L200" s="929" t="str">
        <f>IF(INDEX($A$123:$N$133,MATCH($B197,$A$123:$A$133,0),12)=0,"",INDEX($A$123:$N$133,MATCH($B197,$A$123:$A$133,0),12))</f>
        <v/>
      </c>
      <c r="M200" s="929" t="str">
        <f>IF(INDEX($A$123:$N$133,MATCH($B197,$A$123:$A$133,0),13)=0,"",INDEX($A$123:$N$133,MATCH($B197,$A$123:$A$133,0),13))</f>
        <v/>
      </c>
      <c r="N200" s="930" t="str">
        <f>IF(INDEX($A$123:$N$133,MATCH($B197,$A$123:$A$133,0),14)=0,"",INDEX($A$123:$N$133,MATCH($B197,$A$123:$A$133,0),14))</f>
        <v/>
      </c>
      <c r="O200" s="708"/>
    </row>
    <row r="201" spans="1:15" x14ac:dyDescent="0.25">
      <c r="A201" s="850" t="s">
        <v>5106</v>
      </c>
      <c r="B201" s="928" t="s">
        <v>5104</v>
      </c>
      <c r="C201" s="929" t="str">
        <f t="shared" ref="C201:N201" si="56">IF(C199="","",IF(C200="","",C199*C200))</f>
        <v/>
      </c>
      <c r="D201" s="929" t="str">
        <f t="shared" si="56"/>
        <v/>
      </c>
      <c r="E201" s="929" t="str">
        <f t="shared" si="56"/>
        <v/>
      </c>
      <c r="F201" s="929" t="str">
        <f t="shared" si="56"/>
        <v/>
      </c>
      <c r="G201" s="929" t="str">
        <f t="shared" si="56"/>
        <v/>
      </c>
      <c r="H201" s="929" t="str">
        <f t="shared" si="56"/>
        <v/>
      </c>
      <c r="I201" s="929" t="str">
        <f t="shared" si="56"/>
        <v/>
      </c>
      <c r="J201" s="929" t="str">
        <f t="shared" si="56"/>
        <v/>
      </c>
      <c r="K201" s="929" t="str">
        <f t="shared" si="56"/>
        <v/>
      </c>
      <c r="L201" s="929" t="str">
        <f t="shared" si="56"/>
        <v/>
      </c>
      <c r="M201" s="929" t="str">
        <f t="shared" si="56"/>
        <v/>
      </c>
      <c r="N201" s="930" t="str">
        <f t="shared" si="56"/>
        <v/>
      </c>
      <c r="O201" s="708"/>
    </row>
    <row r="202" spans="1:15" x14ac:dyDescent="0.25">
      <c r="A202" s="927" t="s">
        <v>5035</v>
      </c>
      <c r="B202" s="928" t="s">
        <v>5104</v>
      </c>
      <c r="C202" s="929">
        <f>C187</f>
        <v>0</v>
      </c>
      <c r="D202" s="929">
        <f t="shared" ref="D202:M202" si="57">D187</f>
        <v>0</v>
      </c>
      <c r="E202" s="929">
        <f t="shared" si="57"/>
        <v>0</v>
      </c>
      <c r="F202" s="929">
        <f t="shared" si="57"/>
        <v>0</v>
      </c>
      <c r="G202" s="929">
        <f t="shared" si="57"/>
        <v>0</v>
      </c>
      <c r="H202" s="929">
        <f t="shared" si="57"/>
        <v>0</v>
      </c>
      <c r="I202" s="929">
        <f t="shared" si="57"/>
        <v>0</v>
      </c>
      <c r="J202" s="929">
        <f t="shared" si="57"/>
        <v>0</v>
      </c>
      <c r="K202" s="929">
        <f t="shared" si="57"/>
        <v>0</v>
      </c>
      <c r="L202" s="929">
        <f t="shared" si="57"/>
        <v>0</v>
      </c>
      <c r="M202" s="929">
        <f t="shared" si="57"/>
        <v>0</v>
      </c>
      <c r="N202" s="930">
        <f>N187</f>
        <v>0</v>
      </c>
      <c r="O202" s="708"/>
    </row>
    <row r="203" spans="1:15" x14ac:dyDescent="0.25">
      <c r="A203" s="850" t="s">
        <v>5107</v>
      </c>
      <c r="B203" s="928" t="s">
        <v>5104</v>
      </c>
      <c r="C203" s="929" t="str">
        <f t="shared" ref="C203:N203" si="58">IF(C201="","",C201-C202)</f>
        <v/>
      </c>
      <c r="D203" s="929" t="str">
        <f t="shared" si="58"/>
        <v/>
      </c>
      <c r="E203" s="929" t="str">
        <f t="shared" si="58"/>
        <v/>
      </c>
      <c r="F203" s="929" t="str">
        <f t="shared" si="58"/>
        <v/>
      </c>
      <c r="G203" s="929" t="str">
        <f t="shared" si="58"/>
        <v/>
      </c>
      <c r="H203" s="929" t="str">
        <f t="shared" si="58"/>
        <v/>
      </c>
      <c r="I203" s="929" t="str">
        <f t="shared" si="58"/>
        <v/>
      </c>
      <c r="J203" s="929" t="str">
        <f t="shared" si="58"/>
        <v/>
      </c>
      <c r="K203" s="929" t="str">
        <f t="shared" si="58"/>
        <v/>
      </c>
      <c r="L203" s="929" t="str">
        <f t="shared" si="58"/>
        <v/>
      </c>
      <c r="M203" s="929" t="str">
        <f t="shared" si="58"/>
        <v/>
      </c>
      <c r="N203" s="930" t="str">
        <f t="shared" si="58"/>
        <v/>
      </c>
      <c r="O203" s="708"/>
    </row>
    <row r="204" spans="1:15" x14ac:dyDescent="0.25">
      <c r="A204" s="850" t="s">
        <v>5108</v>
      </c>
      <c r="B204" s="928" t="s">
        <v>5109</v>
      </c>
      <c r="C204" s="929" t="str">
        <f t="shared" ref="C204:N204" si="59">IF(C203="","",IF(C203&lt;0,0,C203*10))</f>
        <v/>
      </c>
      <c r="D204" s="929" t="str">
        <f t="shared" si="59"/>
        <v/>
      </c>
      <c r="E204" s="929" t="str">
        <f t="shared" si="59"/>
        <v/>
      </c>
      <c r="F204" s="929" t="str">
        <f t="shared" si="59"/>
        <v/>
      </c>
      <c r="G204" s="929" t="str">
        <f t="shared" si="59"/>
        <v/>
      </c>
      <c r="H204" s="929" t="str">
        <f t="shared" si="59"/>
        <v/>
      </c>
      <c r="I204" s="929" t="str">
        <f t="shared" si="59"/>
        <v/>
      </c>
      <c r="J204" s="929" t="str">
        <f t="shared" si="59"/>
        <v/>
      </c>
      <c r="K204" s="929" t="str">
        <f t="shared" si="59"/>
        <v/>
      </c>
      <c r="L204" s="929" t="str">
        <f t="shared" si="59"/>
        <v/>
      </c>
      <c r="M204" s="929" t="str">
        <f t="shared" si="59"/>
        <v/>
      </c>
      <c r="N204" s="930" t="str">
        <f t="shared" si="59"/>
        <v/>
      </c>
      <c r="O204" s="931"/>
    </row>
    <row r="205" spans="1:15" x14ac:dyDescent="0.25">
      <c r="A205" s="927" t="s">
        <v>5081</v>
      </c>
      <c r="B205" s="928"/>
      <c r="C205" s="929" t="str">
        <f>C190</f>
        <v/>
      </c>
      <c r="D205" s="929" t="str">
        <f>C205</f>
        <v/>
      </c>
      <c r="E205" s="929" t="str">
        <f t="shared" ref="E205:M206" si="60">D205</f>
        <v/>
      </c>
      <c r="F205" s="929" t="str">
        <f t="shared" si="60"/>
        <v/>
      </c>
      <c r="G205" s="929" t="str">
        <f t="shared" si="60"/>
        <v/>
      </c>
      <c r="H205" s="929" t="str">
        <f t="shared" si="60"/>
        <v/>
      </c>
      <c r="I205" s="929" t="str">
        <f t="shared" si="60"/>
        <v/>
      </c>
      <c r="J205" s="929" t="str">
        <f t="shared" si="60"/>
        <v/>
      </c>
      <c r="K205" s="929" t="str">
        <f t="shared" si="60"/>
        <v/>
      </c>
      <c r="L205" s="929" t="str">
        <f t="shared" si="60"/>
        <v/>
      </c>
      <c r="M205" s="929" t="str">
        <f t="shared" si="60"/>
        <v/>
      </c>
      <c r="N205" s="930" t="str">
        <f>M205</f>
        <v/>
      </c>
      <c r="O205" s="708"/>
    </row>
    <row r="206" spans="1:15" x14ac:dyDescent="0.25">
      <c r="A206" s="927" t="s">
        <v>5110</v>
      </c>
      <c r="B206" s="928" t="s">
        <v>5111</v>
      </c>
      <c r="C206" s="929" t="str">
        <f>C191</f>
        <v/>
      </c>
      <c r="D206" s="929" t="str">
        <f>C206</f>
        <v/>
      </c>
      <c r="E206" s="929" t="str">
        <f t="shared" si="60"/>
        <v/>
      </c>
      <c r="F206" s="929" t="str">
        <f t="shared" si="60"/>
        <v/>
      </c>
      <c r="G206" s="929" t="str">
        <f t="shared" si="60"/>
        <v/>
      </c>
      <c r="H206" s="929" t="str">
        <f t="shared" si="60"/>
        <v/>
      </c>
      <c r="I206" s="929" t="str">
        <f t="shared" si="60"/>
        <v/>
      </c>
      <c r="J206" s="929" t="str">
        <f t="shared" si="60"/>
        <v/>
      </c>
      <c r="K206" s="929" t="str">
        <f t="shared" si="60"/>
        <v/>
      </c>
      <c r="L206" s="929" t="str">
        <f t="shared" si="60"/>
        <v/>
      </c>
      <c r="M206" s="929" t="str">
        <f t="shared" si="60"/>
        <v/>
      </c>
      <c r="N206" s="930" t="str">
        <f>M206</f>
        <v/>
      </c>
      <c r="O206" s="708"/>
    </row>
    <row r="207" spans="1:15" x14ac:dyDescent="0.25">
      <c r="A207" s="850" t="s">
        <v>5112</v>
      </c>
      <c r="B207" s="928" t="s">
        <v>5113</v>
      </c>
      <c r="C207" s="929" t="str">
        <f t="shared" ref="C207:N207" si="61">IF(C205="","",IF(C204="","",IF(C206="","",C204*(1000/(3600*31*C206))/C205)))</f>
        <v/>
      </c>
      <c r="D207" s="929" t="str">
        <f t="shared" si="61"/>
        <v/>
      </c>
      <c r="E207" s="929" t="str">
        <f t="shared" si="61"/>
        <v/>
      </c>
      <c r="F207" s="929" t="str">
        <f t="shared" si="61"/>
        <v/>
      </c>
      <c r="G207" s="929" t="str">
        <f t="shared" si="61"/>
        <v/>
      </c>
      <c r="H207" s="929" t="str">
        <f t="shared" si="61"/>
        <v/>
      </c>
      <c r="I207" s="929" t="str">
        <f t="shared" si="61"/>
        <v/>
      </c>
      <c r="J207" s="929" t="str">
        <f t="shared" si="61"/>
        <v/>
      </c>
      <c r="K207" s="929" t="str">
        <f t="shared" si="61"/>
        <v/>
      </c>
      <c r="L207" s="929" t="str">
        <f t="shared" si="61"/>
        <v/>
      </c>
      <c r="M207" s="929" t="str">
        <f t="shared" si="61"/>
        <v/>
      </c>
      <c r="N207" s="930" t="str">
        <f t="shared" si="61"/>
        <v/>
      </c>
      <c r="O207" s="708"/>
    </row>
    <row r="208" spans="1:15" ht="15.75" thickBot="1" x14ac:dyDescent="0.3">
      <c r="A208" s="850" t="s">
        <v>5114</v>
      </c>
      <c r="B208" s="928" t="s">
        <v>5115</v>
      </c>
      <c r="C208" s="929" t="str">
        <f t="shared" ref="C208:N208" si="62">IF(C200="","",INDEX($A$123:$B$133,MATCH($B197,$A$123:$A$133,0),2))</f>
        <v/>
      </c>
      <c r="D208" s="929" t="str">
        <f t="shared" si="62"/>
        <v/>
      </c>
      <c r="E208" s="929" t="str">
        <f t="shared" si="62"/>
        <v/>
      </c>
      <c r="F208" s="929" t="str">
        <f t="shared" si="62"/>
        <v/>
      </c>
      <c r="G208" s="929" t="str">
        <f t="shared" si="62"/>
        <v/>
      </c>
      <c r="H208" s="929" t="str">
        <f t="shared" si="62"/>
        <v/>
      </c>
      <c r="I208" s="929" t="str">
        <f t="shared" si="62"/>
        <v/>
      </c>
      <c r="J208" s="929" t="str">
        <f t="shared" si="62"/>
        <v/>
      </c>
      <c r="K208" s="929" t="str">
        <f t="shared" si="62"/>
        <v/>
      </c>
      <c r="L208" s="929" t="str">
        <f t="shared" si="62"/>
        <v/>
      </c>
      <c r="M208" s="929" t="str">
        <f t="shared" si="62"/>
        <v/>
      </c>
      <c r="N208" s="932" t="str">
        <f t="shared" si="62"/>
        <v/>
      </c>
      <c r="O208" s="708"/>
    </row>
    <row r="209" spans="1:15" ht="15.75" thickBot="1" x14ac:dyDescent="0.3">
      <c r="A209" s="933" t="s">
        <v>5116</v>
      </c>
      <c r="B209" s="934" t="s">
        <v>5113</v>
      </c>
      <c r="C209" s="935" t="str">
        <f t="shared" ref="C209:N209" si="63">IF(C207="","",C207*C208)</f>
        <v/>
      </c>
      <c r="D209" s="935" t="str">
        <f t="shared" si="63"/>
        <v/>
      </c>
      <c r="E209" s="935" t="str">
        <f t="shared" si="63"/>
        <v/>
      </c>
      <c r="F209" s="935" t="str">
        <f t="shared" si="63"/>
        <v/>
      </c>
      <c r="G209" s="935" t="str">
        <f t="shared" si="63"/>
        <v/>
      </c>
      <c r="H209" s="935" t="str">
        <f t="shared" si="63"/>
        <v/>
      </c>
      <c r="I209" s="935" t="str">
        <f t="shared" si="63"/>
        <v/>
      </c>
      <c r="J209" s="935" t="str">
        <f t="shared" si="63"/>
        <v/>
      </c>
      <c r="K209" s="935" t="str">
        <f t="shared" si="63"/>
        <v/>
      </c>
      <c r="L209" s="935" t="str">
        <f t="shared" si="63"/>
        <v/>
      </c>
      <c r="M209" s="935" t="str">
        <f t="shared" si="63"/>
        <v/>
      </c>
      <c r="N209" s="936" t="str">
        <f t="shared" si="63"/>
        <v/>
      </c>
      <c r="O209" s="931"/>
    </row>
    <row r="210" spans="1:15" x14ac:dyDescent="0.25">
      <c r="A210" s="708"/>
      <c r="B210" s="708"/>
      <c r="C210" s="708"/>
      <c r="D210" s="708"/>
      <c r="E210" s="708"/>
      <c r="F210" s="708"/>
      <c r="G210" s="708"/>
      <c r="H210" s="708"/>
      <c r="I210" s="708"/>
      <c r="J210" s="708"/>
      <c r="K210" s="708"/>
      <c r="L210" s="708"/>
      <c r="M210" s="708"/>
      <c r="N210" s="708"/>
      <c r="O210" s="708"/>
    </row>
    <row r="211" spans="1:15" ht="15.75" x14ac:dyDescent="0.25">
      <c r="A211" s="1991" t="s">
        <v>5101</v>
      </c>
      <c r="B211" s="1991"/>
      <c r="C211" s="1991"/>
      <c r="D211" s="1991"/>
      <c r="E211" s="1991"/>
      <c r="F211" s="1991"/>
      <c r="G211" s="1991"/>
      <c r="H211" s="1991"/>
      <c r="I211" s="1991"/>
      <c r="J211" s="1991"/>
      <c r="K211" s="1991"/>
      <c r="L211" s="1991"/>
      <c r="M211" s="1991"/>
      <c r="N211" s="1991"/>
      <c r="O211" s="708"/>
    </row>
    <row r="212" spans="1:15" ht="15.75" thickBot="1" x14ac:dyDescent="0.3">
      <c r="A212" s="924" t="s">
        <v>5102</v>
      </c>
      <c r="B212" s="925" t="str">
        <f>IF(A128="","",A128)</f>
        <v/>
      </c>
      <c r="C212" s="708"/>
      <c r="D212" s="708"/>
      <c r="E212" s="708"/>
      <c r="F212" s="708"/>
      <c r="G212" s="708"/>
      <c r="H212" s="708"/>
      <c r="I212" s="708"/>
      <c r="J212" s="708"/>
      <c r="K212" s="708"/>
      <c r="L212" s="708"/>
      <c r="M212" s="708"/>
      <c r="N212" s="708"/>
      <c r="O212" s="708"/>
    </row>
    <row r="213" spans="1:15" x14ac:dyDescent="0.25">
      <c r="A213" s="926"/>
      <c r="B213" s="906" t="s">
        <v>4646</v>
      </c>
      <c r="C213" s="906" t="s">
        <v>5062</v>
      </c>
      <c r="D213" s="906" t="s">
        <v>5063</v>
      </c>
      <c r="E213" s="906" t="s">
        <v>5064</v>
      </c>
      <c r="F213" s="906" t="s">
        <v>5065</v>
      </c>
      <c r="G213" s="906" t="s">
        <v>5066</v>
      </c>
      <c r="H213" s="906" t="s">
        <v>5067</v>
      </c>
      <c r="I213" s="906" t="s">
        <v>5068</v>
      </c>
      <c r="J213" s="906" t="s">
        <v>5069</v>
      </c>
      <c r="K213" s="906" t="s">
        <v>5070</v>
      </c>
      <c r="L213" s="906" t="s">
        <v>5071</v>
      </c>
      <c r="M213" s="906" t="s">
        <v>5072</v>
      </c>
      <c r="N213" s="908" t="s">
        <v>5073</v>
      </c>
      <c r="O213" s="708"/>
    </row>
    <row r="214" spans="1:15" x14ac:dyDescent="0.25">
      <c r="A214" s="927" t="s">
        <v>5103</v>
      </c>
      <c r="B214" s="928" t="s">
        <v>5104</v>
      </c>
      <c r="C214" s="929" t="str">
        <f>C199</f>
        <v/>
      </c>
      <c r="D214" s="929" t="str">
        <f t="shared" ref="D214:N214" si="64">D199</f>
        <v/>
      </c>
      <c r="E214" s="929" t="str">
        <f t="shared" si="64"/>
        <v/>
      </c>
      <c r="F214" s="929" t="str">
        <f t="shared" si="64"/>
        <v/>
      </c>
      <c r="G214" s="929" t="str">
        <f t="shared" si="64"/>
        <v/>
      </c>
      <c r="H214" s="929" t="str">
        <f t="shared" si="64"/>
        <v/>
      </c>
      <c r="I214" s="929" t="str">
        <f t="shared" si="64"/>
        <v/>
      </c>
      <c r="J214" s="929" t="str">
        <f t="shared" si="64"/>
        <v/>
      </c>
      <c r="K214" s="929" t="str">
        <f t="shared" si="64"/>
        <v/>
      </c>
      <c r="L214" s="929" t="str">
        <f t="shared" si="64"/>
        <v/>
      </c>
      <c r="M214" s="929" t="str">
        <f t="shared" si="64"/>
        <v/>
      </c>
      <c r="N214" s="937" t="str">
        <f t="shared" si="64"/>
        <v/>
      </c>
      <c r="O214" s="708"/>
    </row>
    <row r="215" spans="1:15" x14ac:dyDescent="0.25">
      <c r="A215" s="850" t="s">
        <v>5105</v>
      </c>
      <c r="B215" s="928"/>
      <c r="C215" s="929" t="str">
        <f>IF(INDEX($A$123:$N$133,MATCH($B212,$A$123:$A$133,0),3)=0,"",INDEX($A$123:$N$133,MATCH($B212,$A$123:$A$133,0),3))</f>
        <v/>
      </c>
      <c r="D215" s="929" t="str">
        <f>IF(INDEX($A$123:$N$133,MATCH($B212,$A$123:$A$133,0),4)=0,"",INDEX($A$123:$N$133,MATCH($B212,$A$123:$A$133,0),4))</f>
        <v/>
      </c>
      <c r="E215" s="929" t="str">
        <f>IF(INDEX($A$123:$N$133,MATCH($B212,$A$123:$A$133,0),5)=0,"",INDEX($A$123:$N$133,MATCH($B212,$A$123:$A$133,0),5))</f>
        <v/>
      </c>
      <c r="F215" s="929" t="str">
        <f>IF(INDEX($A$123:$N$133,MATCH($B212,$A$123:$A$133,0),6)=0,"",INDEX($A$123:$N$133,MATCH($B212,$A$123:$A$133,0),6))</f>
        <v/>
      </c>
      <c r="G215" s="929" t="str">
        <f>IF(INDEX($A$123:$N$133,MATCH($B212,$A$123:$A$133,0),7)=0,"",INDEX($A$123:$N$133,MATCH($B212,$A$123:$A$133,0),7))</f>
        <v/>
      </c>
      <c r="H215" s="929" t="str">
        <f>IF(INDEX($A$123:$N$133,MATCH($B212,$A$123:$A$133,0),8)=0,"",INDEX($A$123:$N$133,MATCH($B212,$A$123:$A$133,0),8))</f>
        <v/>
      </c>
      <c r="I215" s="929" t="str">
        <f>IF(INDEX($A$123:$N$133,MATCH($B212,$A$123:$A$133,0),9)=0,"",INDEX($A$123:$N$133,MATCH($B212,$A$123:$A$133,0),9))</f>
        <v/>
      </c>
      <c r="J215" s="929" t="str">
        <f>IF(INDEX($A$123:$N$133,MATCH($B212,$A$123:$A$133,0),10)=0,"",INDEX($A$123:$N$133,MATCH($B212,$A$123:$A$133,0),10))</f>
        <v/>
      </c>
      <c r="K215" s="929" t="str">
        <f>IF(INDEX($A$123:$N$133,MATCH($B212,$A$123:$A$133,0),11)=0,"",INDEX($A$123:$N$133,MATCH($B212,$A$123:$A$133,0),11))</f>
        <v/>
      </c>
      <c r="L215" s="929" t="str">
        <f>IF(INDEX($A$123:$N$133,MATCH($B212,$A$123:$A$133,0),12)=0,"",INDEX($A$123:$N$133,MATCH($B212,$A$123:$A$133,0),12))</f>
        <v/>
      </c>
      <c r="M215" s="929" t="str">
        <f>IF(INDEX($A$123:$N$133,MATCH($B212,$A$123:$A$133,0),13)=0,"",INDEX($A$123:$N$133,MATCH($B212,$A$123:$A$133,0),13))</f>
        <v/>
      </c>
      <c r="N215" s="930" t="str">
        <f>IF(INDEX($A$123:$N$133,MATCH($B212,$A$123:$A$133,0),14)=0,"",INDEX($A$123:$N$133,MATCH($B212,$A$123:$A$133,0),14))</f>
        <v/>
      </c>
      <c r="O215" s="708"/>
    </row>
    <row r="216" spans="1:15" x14ac:dyDescent="0.25">
      <c r="A216" s="850" t="s">
        <v>5106</v>
      </c>
      <c r="B216" s="928" t="s">
        <v>5104</v>
      </c>
      <c r="C216" s="929" t="str">
        <f t="shared" ref="C216:N216" si="65">IF(C214="","",IF(C215="","",C214*C215))</f>
        <v/>
      </c>
      <c r="D216" s="929" t="str">
        <f t="shared" si="65"/>
        <v/>
      </c>
      <c r="E216" s="929" t="str">
        <f t="shared" si="65"/>
        <v/>
      </c>
      <c r="F216" s="929" t="str">
        <f t="shared" si="65"/>
        <v/>
      </c>
      <c r="G216" s="929" t="str">
        <f t="shared" si="65"/>
        <v/>
      </c>
      <c r="H216" s="929" t="str">
        <f t="shared" si="65"/>
        <v/>
      </c>
      <c r="I216" s="929" t="str">
        <f t="shared" si="65"/>
        <v/>
      </c>
      <c r="J216" s="929" t="str">
        <f t="shared" si="65"/>
        <v/>
      </c>
      <c r="K216" s="929" t="str">
        <f t="shared" si="65"/>
        <v/>
      </c>
      <c r="L216" s="929" t="str">
        <f t="shared" si="65"/>
        <v/>
      </c>
      <c r="M216" s="929" t="str">
        <f t="shared" si="65"/>
        <v/>
      </c>
      <c r="N216" s="930" t="str">
        <f t="shared" si="65"/>
        <v/>
      </c>
      <c r="O216" s="708"/>
    </row>
    <row r="217" spans="1:15" x14ac:dyDescent="0.25">
      <c r="A217" s="927" t="s">
        <v>5035</v>
      </c>
      <c r="B217" s="928" t="s">
        <v>5104</v>
      </c>
      <c r="C217" s="929">
        <f>C202</f>
        <v>0</v>
      </c>
      <c r="D217" s="929">
        <f t="shared" ref="D217:M217" si="66">D202</f>
        <v>0</v>
      </c>
      <c r="E217" s="929">
        <f t="shared" si="66"/>
        <v>0</v>
      </c>
      <c r="F217" s="929">
        <f t="shared" si="66"/>
        <v>0</v>
      </c>
      <c r="G217" s="929">
        <f t="shared" si="66"/>
        <v>0</v>
      </c>
      <c r="H217" s="929">
        <f t="shared" si="66"/>
        <v>0</v>
      </c>
      <c r="I217" s="929">
        <f t="shared" si="66"/>
        <v>0</v>
      </c>
      <c r="J217" s="929">
        <f t="shared" si="66"/>
        <v>0</v>
      </c>
      <c r="K217" s="929">
        <f t="shared" si="66"/>
        <v>0</v>
      </c>
      <c r="L217" s="929">
        <f t="shared" si="66"/>
        <v>0</v>
      </c>
      <c r="M217" s="929">
        <f t="shared" si="66"/>
        <v>0</v>
      </c>
      <c r="N217" s="930">
        <f>N202</f>
        <v>0</v>
      </c>
      <c r="O217" s="708"/>
    </row>
    <row r="218" spans="1:15" x14ac:dyDescent="0.25">
      <c r="A218" s="850" t="s">
        <v>5107</v>
      </c>
      <c r="B218" s="928" t="s">
        <v>5104</v>
      </c>
      <c r="C218" s="929" t="str">
        <f t="shared" ref="C218:N218" si="67">IF(C216="","",C216-C217)</f>
        <v/>
      </c>
      <c r="D218" s="929" t="str">
        <f t="shared" si="67"/>
        <v/>
      </c>
      <c r="E218" s="929" t="str">
        <f t="shared" si="67"/>
        <v/>
      </c>
      <c r="F218" s="929" t="str">
        <f t="shared" si="67"/>
        <v/>
      </c>
      <c r="G218" s="929" t="str">
        <f t="shared" si="67"/>
        <v/>
      </c>
      <c r="H218" s="929" t="str">
        <f t="shared" si="67"/>
        <v/>
      </c>
      <c r="I218" s="929" t="str">
        <f t="shared" si="67"/>
        <v/>
      </c>
      <c r="J218" s="929" t="str">
        <f t="shared" si="67"/>
        <v/>
      </c>
      <c r="K218" s="929" t="str">
        <f t="shared" si="67"/>
        <v/>
      </c>
      <c r="L218" s="929" t="str">
        <f t="shared" si="67"/>
        <v/>
      </c>
      <c r="M218" s="929" t="str">
        <f t="shared" si="67"/>
        <v/>
      </c>
      <c r="N218" s="930" t="str">
        <f t="shared" si="67"/>
        <v/>
      </c>
      <c r="O218" s="708"/>
    </row>
    <row r="219" spans="1:15" x14ac:dyDescent="0.25">
      <c r="A219" s="850" t="s">
        <v>5108</v>
      </c>
      <c r="B219" s="928" t="s">
        <v>5109</v>
      </c>
      <c r="C219" s="929" t="str">
        <f t="shared" ref="C219:N219" si="68">IF(C218="","",IF(C218&lt;0,0,C218*10))</f>
        <v/>
      </c>
      <c r="D219" s="929" t="str">
        <f t="shared" si="68"/>
        <v/>
      </c>
      <c r="E219" s="929" t="str">
        <f t="shared" si="68"/>
        <v/>
      </c>
      <c r="F219" s="929" t="str">
        <f t="shared" si="68"/>
        <v/>
      </c>
      <c r="G219" s="929" t="str">
        <f t="shared" si="68"/>
        <v/>
      </c>
      <c r="H219" s="929" t="str">
        <f t="shared" si="68"/>
        <v/>
      </c>
      <c r="I219" s="929" t="str">
        <f t="shared" si="68"/>
        <v/>
      </c>
      <c r="J219" s="929" t="str">
        <f t="shared" si="68"/>
        <v/>
      </c>
      <c r="K219" s="929" t="str">
        <f t="shared" si="68"/>
        <v/>
      </c>
      <c r="L219" s="929" t="str">
        <f t="shared" si="68"/>
        <v/>
      </c>
      <c r="M219" s="929" t="str">
        <f t="shared" si="68"/>
        <v/>
      </c>
      <c r="N219" s="930" t="str">
        <f t="shared" si="68"/>
        <v/>
      </c>
      <c r="O219" s="931"/>
    </row>
    <row r="220" spans="1:15" x14ac:dyDescent="0.25">
      <c r="A220" s="927" t="s">
        <v>5081</v>
      </c>
      <c r="B220" s="928"/>
      <c r="C220" s="929" t="str">
        <f>C205</f>
        <v/>
      </c>
      <c r="D220" s="929" t="str">
        <f>C220</f>
        <v/>
      </c>
      <c r="E220" s="929" t="str">
        <f t="shared" ref="E220:M221" si="69">D220</f>
        <v/>
      </c>
      <c r="F220" s="929" t="str">
        <f t="shared" si="69"/>
        <v/>
      </c>
      <c r="G220" s="929" t="str">
        <f t="shared" si="69"/>
        <v/>
      </c>
      <c r="H220" s="929" t="str">
        <f t="shared" si="69"/>
        <v/>
      </c>
      <c r="I220" s="929" t="str">
        <f t="shared" si="69"/>
        <v/>
      </c>
      <c r="J220" s="929" t="str">
        <f t="shared" si="69"/>
        <v/>
      </c>
      <c r="K220" s="929" t="str">
        <f t="shared" si="69"/>
        <v/>
      </c>
      <c r="L220" s="929" t="str">
        <f t="shared" si="69"/>
        <v/>
      </c>
      <c r="M220" s="929" t="str">
        <f t="shared" si="69"/>
        <v/>
      </c>
      <c r="N220" s="930" t="str">
        <f>M220</f>
        <v/>
      </c>
      <c r="O220" s="708"/>
    </row>
    <row r="221" spans="1:15" x14ac:dyDescent="0.25">
      <c r="A221" s="927" t="s">
        <v>5110</v>
      </c>
      <c r="B221" s="928" t="s">
        <v>5111</v>
      </c>
      <c r="C221" s="929" t="str">
        <f>C206</f>
        <v/>
      </c>
      <c r="D221" s="929" t="str">
        <f>C221</f>
        <v/>
      </c>
      <c r="E221" s="929" t="str">
        <f t="shared" si="69"/>
        <v/>
      </c>
      <c r="F221" s="929" t="str">
        <f t="shared" si="69"/>
        <v/>
      </c>
      <c r="G221" s="929" t="str">
        <f t="shared" si="69"/>
        <v/>
      </c>
      <c r="H221" s="929" t="str">
        <f t="shared" si="69"/>
        <v/>
      </c>
      <c r="I221" s="929" t="str">
        <f t="shared" si="69"/>
        <v/>
      </c>
      <c r="J221" s="929" t="str">
        <f t="shared" si="69"/>
        <v/>
      </c>
      <c r="K221" s="929" t="str">
        <f t="shared" si="69"/>
        <v/>
      </c>
      <c r="L221" s="929" t="str">
        <f t="shared" si="69"/>
        <v/>
      </c>
      <c r="M221" s="929" t="str">
        <f t="shared" si="69"/>
        <v/>
      </c>
      <c r="N221" s="930" t="str">
        <f>M221</f>
        <v/>
      </c>
      <c r="O221" s="708"/>
    </row>
    <row r="222" spans="1:15" x14ac:dyDescent="0.25">
      <c r="A222" s="850" t="s">
        <v>5112</v>
      </c>
      <c r="B222" s="928" t="s">
        <v>5113</v>
      </c>
      <c r="C222" s="929" t="str">
        <f t="shared" ref="C222:N222" si="70">IF(C220="","",IF(C219="","",IF(C221="","",C219*(1000/(3600*31*C221))/C220)))</f>
        <v/>
      </c>
      <c r="D222" s="929" t="str">
        <f t="shared" si="70"/>
        <v/>
      </c>
      <c r="E222" s="929" t="str">
        <f t="shared" si="70"/>
        <v/>
      </c>
      <c r="F222" s="929" t="str">
        <f t="shared" si="70"/>
        <v/>
      </c>
      <c r="G222" s="929" t="str">
        <f t="shared" si="70"/>
        <v/>
      </c>
      <c r="H222" s="929" t="str">
        <f t="shared" si="70"/>
        <v/>
      </c>
      <c r="I222" s="929" t="str">
        <f t="shared" si="70"/>
        <v/>
      </c>
      <c r="J222" s="929" t="str">
        <f t="shared" si="70"/>
        <v/>
      </c>
      <c r="K222" s="929" t="str">
        <f t="shared" si="70"/>
        <v/>
      </c>
      <c r="L222" s="929" t="str">
        <f t="shared" si="70"/>
        <v/>
      </c>
      <c r="M222" s="929" t="str">
        <f t="shared" si="70"/>
        <v/>
      </c>
      <c r="N222" s="930" t="str">
        <f t="shared" si="70"/>
        <v/>
      </c>
      <c r="O222" s="708"/>
    </row>
    <row r="223" spans="1:15" ht="15.75" thickBot="1" x14ac:dyDescent="0.3">
      <c r="A223" s="850" t="s">
        <v>5114</v>
      </c>
      <c r="B223" s="928" t="s">
        <v>5115</v>
      </c>
      <c r="C223" s="929" t="str">
        <f t="shared" ref="C223:N223" si="71">IF(C215="","",INDEX($A$123:$B$133,MATCH($B212,$A$123:$A$133,0),2))</f>
        <v/>
      </c>
      <c r="D223" s="929" t="str">
        <f t="shared" si="71"/>
        <v/>
      </c>
      <c r="E223" s="929" t="str">
        <f t="shared" si="71"/>
        <v/>
      </c>
      <c r="F223" s="929" t="str">
        <f t="shared" si="71"/>
        <v/>
      </c>
      <c r="G223" s="929" t="str">
        <f t="shared" si="71"/>
        <v/>
      </c>
      <c r="H223" s="929" t="str">
        <f t="shared" si="71"/>
        <v/>
      </c>
      <c r="I223" s="929" t="str">
        <f t="shared" si="71"/>
        <v/>
      </c>
      <c r="J223" s="929" t="str">
        <f t="shared" si="71"/>
        <v/>
      </c>
      <c r="K223" s="929" t="str">
        <f t="shared" si="71"/>
        <v/>
      </c>
      <c r="L223" s="929" t="str">
        <f t="shared" si="71"/>
        <v/>
      </c>
      <c r="M223" s="929" t="str">
        <f t="shared" si="71"/>
        <v/>
      </c>
      <c r="N223" s="932" t="str">
        <f t="shared" si="71"/>
        <v/>
      </c>
      <c r="O223" s="708"/>
    </row>
    <row r="224" spans="1:15" ht="15.75" thickBot="1" x14ac:dyDescent="0.3">
      <c r="A224" s="933" t="s">
        <v>5116</v>
      </c>
      <c r="B224" s="934" t="s">
        <v>5113</v>
      </c>
      <c r="C224" s="935" t="str">
        <f t="shared" ref="C224:N224" si="72">IF(C222="","",C222*C223)</f>
        <v/>
      </c>
      <c r="D224" s="935" t="str">
        <f t="shared" si="72"/>
        <v/>
      </c>
      <c r="E224" s="935" t="str">
        <f t="shared" si="72"/>
        <v/>
      </c>
      <c r="F224" s="935" t="str">
        <f t="shared" si="72"/>
        <v/>
      </c>
      <c r="G224" s="935" t="str">
        <f t="shared" si="72"/>
        <v/>
      </c>
      <c r="H224" s="935" t="str">
        <f t="shared" si="72"/>
        <v/>
      </c>
      <c r="I224" s="935" t="str">
        <f t="shared" si="72"/>
        <v/>
      </c>
      <c r="J224" s="935" t="str">
        <f t="shared" si="72"/>
        <v/>
      </c>
      <c r="K224" s="935" t="str">
        <f t="shared" si="72"/>
        <v/>
      </c>
      <c r="L224" s="935" t="str">
        <f t="shared" si="72"/>
        <v/>
      </c>
      <c r="M224" s="935" t="str">
        <f t="shared" si="72"/>
        <v/>
      </c>
      <c r="N224" s="936" t="str">
        <f t="shared" si="72"/>
        <v/>
      </c>
      <c r="O224" s="708"/>
    </row>
    <row r="225" spans="1:15" x14ac:dyDescent="0.25">
      <c r="A225" s="708"/>
      <c r="B225" s="708"/>
      <c r="C225" s="708"/>
      <c r="D225" s="708"/>
      <c r="E225" s="708"/>
      <c r="F225" s="708"/>
      <c r="G225" s="708"/>
      <c r="H225" s="708"/>
      <c r="I225" s="708"/>
      <c r="J225" s="708"/>
      <c r="K225" s="708"/>
      <c r="L225" s="708"/>
      <c r="M225" s="708"/>
      <c r="N225" s="708"/>
      <c r="O225" s="708"/>
    </row>
    <row r="226" spans="1:15" ht="15.75" x14ac:dyDescent="0.25">
      <c r="A226" s="1991" t="s">
        <v>5101</v>
      </c>
      <c r="B226" s="1991"/>
      <c r="C226" s="1991"/>
      <c r="D226" s="1991"/>
      <c r="E226" s="1991"/>
      <c r="F226" s="1991"/>
      <c r="G226" s="1991"/>
      <c r="H226" s="1991"/>
      <c r="I226" s="1991"/>
      <c r="J226" s="1991"/>
      <c r="K226" s="1991"/>
      <c r="L226" s="1991"/>
      <c r="M226" s="1991"/>
      <c r="N226" s="1991"/>
      <c r="O226" s="708"/>
    </row>
    <row r="227" spans="1:15" ht="15.75" thickBot="1" x14ac:dyDescent="0.3">
      <c r="A227" s="924" t="s">
        <v>5102</v>
      </c>
      <c r="B227" s="925" t="str">
        <f>IF(A129="","",A129)</f>
        <v/>
      </c>
      <c r="C227" s="708"/>
      <c r="D227" s="708"/>
      <c r="E227" s="708"/>
      <c r="F227" s="708"/>
      <c r="G227" s="708"/>
      <c r="H227" s="708"/>
      <c r="I227" s="708"/>
      <c r="J227" s="708"/>
      <c r="K227" s="708"/>
      <c r="L227" s="708"/>
      <c r="M227" s="708"/>
      <c r="N227" s="708"/>
      <c r="O227" s="708"/>
    </row>
    <row r="228" spans="1:15" x14ac:dyDescent="0.25">
      <c r="A228" s="926"/>
      <c r="B228" s="906" t="s">
        <v>4646</v>
      </c>
      <c r="C228" s="906" t="s">
        <v>5062</v>
      </c>
      <c r="D228" s="906" t="s">
        <v>5063</v>
      </c>
      <c r="E228" s="906" t="s">
        <v>5064</v>
      </c>
      <c r="F228" s="906" t="s">
        <v>5065</v>
      </c>
      <c r="G228" s="906" t="s">
        <v>5066</v>
      </c>
      <c r="H228" s="906" t="s">
        <v>5067</v>
      </c>
      <c r="I228" s="906" t="s">
        <v>5068</v>
      </c>
      <c r="J228" s="906" t="s">
        <v>5069</v>
      </c>
      <c r="K228" s="906" t="s">
        <v>5070</v>
      </c>
      <c r="L228" s="906" t="s">
        <v>5071</v>
      </c>
      <c r="M228" s="906" t="s">
        <v>5072</v>
      </c>
      <c r="N228" s="908" t="s">
        <v>5073</v>
      </c>
      <c r="O228" s="708"/>
    </row>
    <row r="229" spans="1:15" x14ac:dyDescent="0.25">
      <c r="A229" s="927" t="s">
        <v>5103</v>
      </c>
      <c r="B229" s="928" t="s">
        <v>5104</v>
      </c>
      <c r="C229" s="929" t="str">
        <f>C214</f>
        <v/>
      </c>
      <c r="D229" s="929" t="str">
        <f t="shared" ref="D229:N229" si="73">D214</f>
        <v/>
      </c>
      <c r="E229" s="929" t="str">
        <f t="shared" si="73"/>
        <v/>
      </c>
      <c r="F229" s="929" t="str">
        <f t="shared" si="73"/>
        <v/>
      </c>
      <c r="G229" s="929" t="str">
        <f t="shared" si="73"/>
        <v/>
      </c>
      <c r="H229" s="929" t="str">
        <f t="shared" si="73"/>
        <v/>
      </c>
      <c r="I229" s="929" t="str">
        <f t="shared" si="73"/>
        <v/>
      </c>
      <c r="J229" s="929" t="str">
        <f t="shared" si="73"/>
        <v/>
      </c>
      <c r="K229" s="929" t="str">
        <f t="shared" si="73"/>
        <v/>
      </c>
      <c r="L229" s="929" t="str">
        <f t="shared" si="73"/>
        <v/>
      </c>
      <c r="M229" s="929" t="str">
        <f t="shared" si="73"/>
        <v/>
      </c>
      <c r="N229" s="937" t="str">
        <f t="shared" si="73"/>
        <v/>
      </c>
      <c r="O229" s="708"/>
    </row>
    <row r="230" spans="1:15" x14ac:dyDescent="0.25">
      <c r="A230" s="850" t="s">
        <v>5105</v>
      </c>
      <c r="B230" s="928"/>
      <c r="C230" s="929" t="str">
        <f>IF(INDEX($A$123:$N$133,MATCH($B227,$A$123:$A$133,0),3)=0,"",INDEX($A$123:$N$133,MATCH($B227,$A$123:$A$133,0),3))</f>
        <v/>
      </c>
      <c r="D230" s="929" t="str">
        <f>IF(INDEX($A$123:$N$133,MATCH($B227,$A$123:$A$133,0),4)=0,"",INDEX($A$123:$N$133,MATCH($B227,$A$123:$A$133,0),4))</f>
        <v/>
      </c>
      <c r="E230" s="929" t="str">
        <f>IF(INDEX($A$123:$N$133,MATCH($B227,$A$123:$A$133,0),5)=0,"",INDEX($A$123:$N$133,MATCH($B227,$A$123:$A$133,0),5))</f>
        <v/>
      </c>
      <c r="F230" s="929" t="str">
        <f>IF(INDEX($A$123:$N$133,MATCH($B227,$A$123:$A$133,0),6)=0,"",INDEX($A$123:$N$133,MATCH($B227,$A$123:$A$133,0),6))</f>
        <v/>
      </c>
      <c r="G230" s="929" t="str">
        <f>IF(INDEX($A$123:$N$133,MATCH($B227,$A$123:$A$133,0),7)=0,"",INDEX($A$123:$N$133,MATCH($B227,$A$123:$A$133,0),7))</f>
        <v/>
      </c>
      <c r="H230" s="929" t="str">
        <f>IF(INDEX($A$123:$N$133,MATCH($B227,$A$123:$A$133,0),8)=0,"",INDEX($A$123:$N$133,MATCH($B227,$A$123:$A$133,0),8))</f>
        <v/>
      </c>
      <c r="I230" s="929" t="str">
        <f>IF(INDEX($A$123:$N$133,MATCH($B227,$A$123:$A$133,0),9)=0,"",INDEX($A$123:$N$133,MATCH($B227,$A$123:$A$133,0),9))</f>
        <v/>
      </c>
      <c r="J230" s="929" t="str">
        <f>IF(INDEX($A$123:$N$133,MATCH($B227,$A$123:$A$133,0),10)=0,"",INDEX($A$123:$N$133,MATCH($B227,$A$123:$A$133,0),10))</f>
        <v/>
      </c>
      <c r="K230" s="929" t="str">
        <f>IF(INDEX($A$123:$N$133,MATCH($B227,$A$123:$A$133,0),11)=0,"",INDEX($A$123:$N$133,MATCH($B227,$A$123:$A$133,0),11))</f>
        <v/>
      </c>
      <c r="L230" s="929" t="str">
        <f>IF(INDEX($A$123:$N$133,MATCH($B227,$A$123:$A$133,0),12)=0,"",INDEX($A$123:$N$133,MATCH($B227,$A$123:$A$133,0),12))</f>
        <v/>
      </c>
      <c r="M230" s="929" t="str">
        <f>IF(INDEX($A$123:$N$133,MATCH($B227,$A$123:$A$133,0),13)=0,"",INDEX($A$123:$N$133,MATCH($B227,$A$123:$A$133,0),13))</f>
        <v/>
      </c>
      <c r="N230" s="930" t="str">
        <f>IF(INDEX($A$123:$N$133,MATCH($B227,$A$123:$A$133,0),14)=0,"",INDEX($A$123:$N$133,MATCH($B227,$A$123:$A$133,0),14))</f>
        <v/>
      </c>
      <c r="O230" s="708"/>
    </row>
    <row r="231" spans="1:15" x14ac:dyDescent="0.25">
      <c r="A231" s="850" t="s">
        <v>5106</v>
      </c>
      <c r="B231" s="928" t="s">
        <v>5104</v>
      </c>
      <c r="C231" s="929" t="str">
        <f t="shared" ref="C231:N231" si="74">IF(C229="","",IF(C230="","",C229*C230))</f>
        <v/>
      </c>
      <c r="D231" s="929" t="str">
        <f t="shared" si="74"/>
        <v/>
      </c>
      <c r="E231" s="929" t="str">
        <f t="shared" si="74"/>
        <v/>
      </c>
      <c r="F231" s="929" t="str">
        <f t="shared" si="74"/>
        <v/>
      </c>
      <c r="G231" s="929" t="str">
        <f t="shared" si="74"/>
        <v/>
      </c>
      <c r="H231" s="929" t="str">
        <f t="shared" si="74"/>
        <v/>
      </c>
      <c r="I231" s="929" t="str">
        <f t="shared" si="74"/>
        <v/>
      </c>
      <c r="J231" s="929" t="str">
        <f t="shared" si="74"/>
        <v/>
      </c>
      <c r="K231" s="929" t="str">
        <f t="shared" si="74"/>
        <v/>
      </c>
      <c r="L231" s="929" t="str">
        <f t="shared" si="74"/>
        <v/>
      </c>
      <c r="M231" s="929" t="str">
        <f t="shared" si="74"/>
        <v/>
      </c>
      <c r="N231" s="930" t="str">
        <f t="shared" si="74"/>
        <v/>
      </c>
      <c r="O231" s="708"/>
    </row>
    <row r="232" spans="1:15" x14ac:dyDescent="0.25">
      <c r="A232" s="927" t="s">
        <v>5035</v>
      </c>
      <c r="B232" s="928" t="s">
        <v>5104</v>
      </c>
      <c r="C232" s="929">
        <f>C217</f>
        <v>0</v>
      </c>
      <c r="D232" s="929">
        <f t="shared" ref="D232:M232" si="75">D217</f>
        <v>0</v>
      </c>
      <c r="E232" s="929">
        <f t="shared" si="75"/>
        <v>0</v>
      </c>
      <c r="F232" s="929">
        <f t="shared" si="75"/>
        <v>0</v>
      </c>
      <c r="G232" s="929">
        <f t="shared" si="75"/>
        <v>0</v>
      </c>
      <c r="H232" s="929">
        <f t="shared" si="75"/>
        <v>0</v>
      </c>
      <c r="I232" s="929">
        <f t="shared" si="75"/>
        <v>0</v>
      </c>
      <c r="J232" s="929">
        <f t="shared" si="75"/>
        <v>0</v>
      </c>
      <c r="K232" s="929">
        <f t="shared" si="75"/>
        <v>0</v>
      </c>
      <c r="L232" s="929">
        <f t="shared" si="75"/>
        <v>0</v>
      </c>
      <c r="M232" s="929">
        <f t="shared" si="75"/>
        <v>0</v>
      </c>
      <c r="N232" s="930">
        <f>N217</f>
        <v>0</v>
      </c>
      <c r="O232" s="708"/>
    </row>
    <row r="233" spans="1:15" x14ac:dyDescent="0.25">
      <c r="A233" s="850" t="s">
        <v>5107</v>
      </c>
      <c r="B233" s="928" t="s">
        <v>5104</v>
      </c>
      <c r="C233" s="929" t="str">
        <f t="shared" ref="C233:N233" si="76">IF(C231="","",C231-C232)</f>
        <v/>
      </c>
      <c r="D233" s="929" t="str">
        <f t="shared" si="76"/>
        <v/>
      </c>
      <c r="E233" s="929" t="str">
        <f t="shared" si="76"/>
        <v/>
      </c>
      <c r="F233" s="929" t="str">
        <f t="shared" si="76"/>
        <v/>
      </c>
      <c r="G233" s="929" t="str">
        <f t="shared" si="76"/>
        <v/>
      </c>
      <c r="H233" s="929" t="str">
        <f t="shared" si="76"/>
        <v/>
      </c>
      <c r="I233" s="929" t="str">
        <f t="shared" si="76"/>
        <v/>
      </c>
      <c r="J233" s="929" t="str">
        <f t="shared" si="76"/>
        <v/>
      </c>
      <c r="K233" s="929" t="str">
        <f t="shared" si="76"/>
        <v/>
      </c>
      <c r="L233" s="929" t="str">
        <f t="shared" si="76"/>
        <v/>
      </c>
      <c r="M233" s="929" t="str">
        <f t="shared" si="76"/>
        <v/>
      </c>
      <c r="N233" s="930" t="str">
        <f t="shared" si="76"/>
        <v/>
      </c>
      <c r="O233" s="708"/>
    </row>
    <row r="234" spans="1:15" x14ac:dyDescent="0.25">
      <c r="A234" s="850" t="s">
        <v>5108</v>
      </c>
      <c r="B234" s="928" t="s">
        <v>5109</v>
      </c>
      <c r="C234" s="929" t="str">
        <f t="shared" ref="C234:N234" si="77">IF(C233="","",IF(C233&lt;0,0,C233*10))</f>
        <v/>
      </c>
      <c r="D234" s="929" t="str">
        <f t="shared" si="77"/>
        <v/>
      </c>
      <c r="E234" s="929" t="str">
        <f t="shared" si="77"/>
        <v/>
      </c>
      <c r="F234" s="929" t="str">
        <f t="shared" si="77"/>
        <v/>
      </c>
      <c r="G234" s="929" t="str">
        <f t="shared" si="77"/>
        <v/>
      </c>
      <c r="H234" s="929" t="str">
        <f t="shared" si="77"/>
        <v/>
      </c>
      <c r="I234" s="929" t="str">
        <f t="shared" si="77"/>
        <v/>
      </c>
      <c r="J234" s="929" t="str">
        <f t="shared" si="77"/>
        <v/>
      </c>
      <c r="K234" s="929" t="str">
        <f t="shared" si="77"/>
        <v/>
      </c>
      <c r="L234" s="929" t="str">
        <f t="shared" si="77"/>
        <v/>
      </c>
      <c r="M234" s="929" t="str">
        <f t="shared" si="77"/>
        <v/>
      </c>
      <c r="N234" s="930" t="str">
        <f t="shared" si="77"/>
        <v/>
      </c>
      <c r="O234" s="931"/>
    </row>
    <row r="235" spans="1:15" x14ac:dyDescent="0.25">
      <c r="A235" s="927" t="s">
        <v>5081</v>
      </c>
      <c r="B235" s="928"/>
      <c r="C235" s="929" t="str">
        <f>C220</f>
        <v/>
      </c>
      <c r="D235" s="929" t="str">
        <f>C235</f>
        <v/>
      </c>
      <c r="E235" s="929" t="str">
        <f t="shared" ref="E235:M236" si="78">D235</f>
        <v/>
      </c>
      <c r="F235" s="929" t="str">
        <f t="shared" si="78"/>
        <v/>
      </c>
      <c r="G235" s="929" t="str">
        <f t="shared" si="78"/>
        <v/>
      </c>
      <c r="H235" s="929" t="str">
        <f t="shared" si="78"/>
        <v/>
      </c>
      <c r="I235" s="929" t="str">
        <f t="shared" si="78"/>
        <v/>
      </c>
      <c r="J235" s="929" t="str">
        <f t="shared" si="78"/>
        <v/>
      </c>
      <c r="K235" s="929" t="str">
        <f t="shared" si="78"/>
        <v/>
      </c>
      <c r="L235" s="929" t="str">
        <f t="shared" si="78"/>
        <v/>
      </c>
      <c r="M235" s="929" t="str">
        <f t="shared" si="78"/>
        <v/>
      </c>
      <c r="N235" s="930" t="str">
        <f>M235</f>
        <v/>
      </c>
      <c r="O235" s="708"/>
    </row>
    <row r="236" spans="1:15" x14ac:dyDescent="0.25">
      <c r="A236" s="927" t="s">
        <v>5110</v>
      </c>
      <c r="B236" s="928" t="s">
        <v>5111</v>
      </c>
      <c r="C236" s="929" t="str">
        <f>C221</f>
        <v/>
      </c>
      <c r="D236" s="929" t="str">
        <f>C236</f>
        <v/>
      </c>
      <c r="E236" s="929" t="str">
        <f t="shared" si="78"/>
        <v/>
      </c>
      <c r="F236" s="929" t="str">
        <f t="shared" si="78"/>
        <v/>
      </c>
      <c r="G236" s="929" t="str">
        <f t="shared" si="78"/>
        <v/>
      </c>
      <c r="H236" s="929" t="str">
        <f t="shared" si="78"/>
        <v/>
      </c>
      <c r="I236" s="929" t="str">
        <f t="shared" si="78"/>
        <v/>
      </c>
      <c r="J236" s="929" t="str">
        <f t="shared" si="78"/>
        <v/>
      </c>
      <c r="K236" s="929" t="str">
        <f t="shared" si="78"/>
        <v/>
      </c>
      <c r="L236" s="929" t="str">
        <f t="shared" si="78"/>
        <v/>
      </c>
      <c r="M236" s="929" t="str">
        <f t="shared" si="78"/>
        <v/>
      </c>
      <c r="N236" s="930" t="str">
        <f>M236</f>
        <v/>
      </c>
      <c r="O236" s="708"/>
    </row>
    <row r="237" spans="1:15" x14ac:dyDescent="0.25">
      <c r="A237" s="850" t="s">
        <v>5112</v>
      </c>
      <c r="B237" s="928" t="s">
        <v>5113</v>
      </c>
      <c r="C237" s="929" t="str">
        <f t="shared" ref="C237:N237" si="79">IF(C235="","",IF(C234="","",IF(C236="","",C234*(1000/(3600*31*C236))/C235)))</f>
        <v/>
      </c>
      <c r="D237" s="929" t="str">
        <f t="shared" si="79"/>
        <v/>
      </c>
      <c r="E237" s="929" t="str">
        <f t="shared" si="79"/>
        <v/>
      </c>
      <c r="F237" s="929" t="str">
        <f t="shared" si="79"/>
        <v/>
      </c>
      <c r="G237" s="929" t="str">
        <f t="shared" si="79"/>
        <v/>
      </c>
      <c r="H237" s="929" t="str">
        <f t="shared" si="79"/>
        <v/>
      </c>
      <c r="I237" s="929" t="str">
        <f t="shared" si="79"/>
        <v/>
      </c>
      <c r="J237" s="929" t="str">
        <f t="shared" si="79"/>
        <v/>
      </c>
      <c r="K237" s="929" t="str">
        <f t="shared" si="79"/>
        <v/>
      </c>
      <c r="L237" s="929" t="str">
        <f t="shared" si="79"/>
        <v/>
      </c>
      <c r="M237" s="929" t="str">
        <f t="shared" si="79"/>
        <v/>
      </c>
      <c r="N237" s="930" t="str">
        <f t="shared" si="79"/>
        <v/>
      </c>
      <c r="O237" s="708"/>
    </row>
    <row r="238" spans="1:15" ht="15.75" thickBot="1" x14ac:dyDescent="0.3">
      <c r="A238" s="850" t="s">
        <v>5114</v>
      </c>
      <c r="B238" s="928" t="s">
        <v>5115</v>
      </c>
      <c r="C238" s="929" t="str">
        <f t="shared" ref="C238:N238" si="80">IF(C230="","",INDEX($A$123:$B$133,MATCH($B227,$A$123:$A$133,0),2))</f>
        <v/>
      </c>
      <c r="D238" s="929" t="str">
        <f t="shared" si="80"/>
        <v/>
      </c>
      <c r="E238" s="929" t="str">
        <f t="shared" si="80"/>
        <v/>
      </c>
      <c r="F238" s="929" t="str">
        <f t="shared" si="80"/>
        <v/>
      </c>
      <c r="G238" s="929" t="str">
        <f t="shared" si="80"/>
        <v/>
      </c>
      <c r="H238" s="929" t="str">
        <f t="shared" si="80"/>
        <v/>
      </c>
      <c r="I238" s="929" t="str">
        <f t="shared" si="80"/>
        <v/>
      </c>
      <c r="J238" s="929" t="str">
        <f t="shared" si="80"/>
        <v/>
      </c>
      <c r="K238" s="929" t="str">
        <f t="shared" si="80"/>
        <v/>
      </c>
      <c r="L238" s="929" t="str">
        <f t="shared" si="80"/>
        <v/>
      </c>
      <c r="M238" s="929" t="str">
        <f t="shared" si="80"/>
        <v/>
      </c>
      <c r="N238" s="932" t="str">
        <f t="shared" si="80"/>
        <v/>
      </c>
      <c r="O238" s="708"/>
    </row>
    <row r="239" spans="1:15" ht="15.75" thickBot="1" x14ac:dyDescent="0.3">
      <c r="A239" s="933" t="s">
        <v>5116</v>
      </c>
      <c r="B239" s="934" t="s">
        <v>5113</v>
      </c>
      <c r="C239" s="935" t="str">
        <f t="shared" ref="C239:N239" si="81">IF(C237="","",C237*C238)</f>
        <v/>
      </c>
      <c r="D239" s="935" t="str">
        <f t="shared" si="81"/>
        <v/>
      </c>
      <c r="E239" s="935" t="str">
        <f t="shared" si="81"/>
        <v/>
      </c>
      <c r="F239" s="935" t="str">
        <f t="shared" si="81"/>
        <v/>
      </c>
      <c r="G239" s="935" t="str">
        <f t="shared" si="81"/>
        <v/>
      </c>
      <c r="H239" s="935" t="str">
        <f t="shared" si="81"/>
        <v/>
      </c>
      <c r="I239" s="935" t="str">
        <f t="shared" si="81"/>
        <v/>
      </c>
      <c r="J239" s="935" t="str">
        <f t="shared" si="81"/>
        <v/>
      </c>
      <c r="K239" s="935" t="str">
        <f t="shared" si="81"/>
        <v/>
      </c>
      <c r="L239" s="935" t="str">
        <f t="shared" si="81"/>
        <v/>
      </c>
      <c r="M239" s="935" t="str">
        <f t="shared" si="81"/>
        <v/>
      </c>
      <c r="N239" s="936" t="str">
        <f t="shared" si="81"/>
        <v/>
      </c>
      <c r="O239" s="708"/>
    </row>
    <row r="240" spans="1:15" x14ac:dyDescent="0.25">
      <c r="A240" s="708"/>
      <c r="B240" s="708"/>
      <c r="C240" s="708"/>
      <c r="D240" s="708"/>
      <c r="E240" s="708"/>
      <c r="F240" s="708"/>
      <c r="G240" s="708"/>
      <c r="H240" s="708"/>
      <c r="I240" s="708"/>
      <c r="J240" s="708"/>
      <c r="K240" s="708"/>
      <c r="L240" s="708"/>
      <c r="M240" s="708"/>
      <c r="N240" s="708"/>
      <c r="O240" s="708"/>
    </row>
    <row r="241" spans="1:15" ht="15.75" x14ac:dyDescent="0.25">
      <c r="A241" s="1991" t="s">
        <v>5101</v>
      </c>
      <c r="B241" s="1991"/>
      <c r="C241" s="1991"/>
      <c r="D241" s="1991"/>
      <c r="E241" s="1991"/>
      <c r="F241" s="1991"/>
      <c r="G241" s="1991"/>
      <c r="H241" s="1991"/>
      <c r="I241" s="1991"/>
      <c r="J241" s="1991"/>
      <c r="K241" s="1991"/>
      <c r="L241" s="1991"/>
      <c r="M241" s="1991"/>
      <c r="N241" s="1991"/>
      <c r="O241" s="708"/>
    </row>
    <row r="242" spans="1:15" ht="15.75" thickBot="1" x14ac:dyDescent="0.3">
      <c r="A242" s="924" t="s">
        <v>5102</v>
      </c>
      <c r="B242" s="925" t="str">
        <f>IF(A130="","",A130)</f>
        <v/>
      </c>
      <c r="C242" s="708"/>
      <c r="D242" s="708"/>
      <c r="E242" s="708"/>
      <c r="F242" s="708"/>
      <c r="G242" s="708"/>
      <c r="H242" s="708"/>
      <c r="I242" s="708"/>
      <c r="J242" s="708"/>
      <c r="K242" s="708"/>
      <c r="L242" s="708"/>
      <c r="M242" s="708"/>
      <c r="N242" s="708"/>
      <c r="O242" s="708"/>
    </row>
    <row r="243" spans="1:15" x14ac:dyDescent="0.25">
      <c r="A243" s="926"/>
      <c r="B243" s="906" t="s">
        <v>4646</v>
      </c>
      <c r="C243" s="906" t="s">
        <v>5062</v>
      </c>
      <c r="D243" s="906" t="s">
        <v>5063</v>
      </c>
      <c r="E243" s="906" t="s">
        <v>5064</v>
      </c>
      <c r="F243" s="906" t="s">
        <v>5065</v>
      </c>
      <c r="G243" s="906" t="s">
        <v>5066</v>
      </c>
      <c r="H243" s="906" t="s">
        <v>5067</v>
      </c>
      <c r="I243" s="906" t="s">
        <v>5068</v>
      </c>
      <c r="J243" s="906" t="s">
        <v>5069</v>
      </c>
      <c r="K243" s="906" t="s">
        <v>5070</v>
      </c>
      <c r="L243" s="906" t="s">
        <v>5071</v>
      </c>
      <c r="M243" s="906" t="s">
        <v>5072</v>
      </c>
      <c r="N243" s="908" t="s">
        <v>5073</v>
      </c>
      <c r="O243" s="708"/>
    </row>
    <row r="244" spans="1:15" x14ac:dyDescent="0.25">
      <c r="A244" s="927" t="s">
        <v>5103</v>
      </c>
      <c r="B244" s="928" t="s">
        <v>5104</v>
      </c>
      <c r="C244" s="929" t="str">
        <f>C229</f>
        <v/>
      </c>
      <c r="D244" s="929" t="str">
        <f t="shared" ref="D244:N244" si="82">D229</f>
        <v/>
      </c>
      <c r="E244" s="929" t="str">
        <f t="shared" si="82"/>
        <v/>
      </c>
      <c r="F244" s="929" t="str">
        <f t="shared" si="82"/>
        <v/>
      </c>
      <c r="G244" s="929" t="str">
        <f t="shared" si="82"/>
        <v/>
      </c>
      <c r="H244" s="929" t="str">
        <f t="shared" si="82"/>
        <v/>
      </c>
      <c r="I244" s="929" t="str">
        <f t="shared" si="82"/>
        <v/>
      </c>
      <c r="J244" s="929" t="str">
        <f t="shared" si="82"/>
        <v/>
      </c>
      <c r="K244" s="929" t="str">
        <f t="shared" si="82"/>
        <v/>
      </c>
      <c r="L244" s="929" t="str">
        <f t="shared" si="82"/>
        <v/>
      </c>
      <c r="M244" s="929" t="str">
        <f t="shared" si="82"/>
        <v/>
      </c>
      <c r="N244" s="937" t="str">
        <f t="shared" si="82"/>
        <v/>
      </c>
      <c r="O244" s="708"/>
    </row>
    <row r="245" spans="1:15" x14ac:dyDescent="0.25">
      <c r="A245" s="850" t="s">
        <v>5105</v>
      </c>
      <c r="B245" s="928"/>
      <c r="C245" s="929" t="str">
        <f>IF(INDEX($A$123:$N$133,MATCH($B242,$A$123:$A$133,0),3)=0,"",INDEX($A$123:$N$133,MATCH($B242,$A$123:$A$133,0),3))</f>
        <v/>
      </c>
      <c r="D245" s="929" t="str">
        <f>IF(INDEX($A$123:$N$133,MATCH($B242,$A$123:$A$133,0),4)=0,"",INDEX($A$123:$N$133,MATCH($B242,$A$123:$A$133,0),4))</f>
        <v/>
      </c>
      <c r="E245" s="929" t="str">
        <f>IF(INDEX($A$123:$N$133,MATCH($B242,$A$123:$A$133,0),5)=0,"",INDEX($A$123:$N$133,MATCH($B242,$A$123:$A$133,0),5))</f>
        <v/>
      </c>
      <c r="F245" s="929" t="str">
        <f>IF(INDEX($A$123:$N$133,MATCH($B242,$A$123:$A$133,0),6)=0,"",INDEX($A$123:$N$133,MATCH($B242,$A$123:$A$133,0),6))</f>
        <v/>
      </c>
      <c r="G245" s="929" t="str">
        <f>IF(INDEX($A$123:$N$133,MATCH($B242,$A$123:$A$133,0),7)=0,"",INDEX($A$123:$N$133,MATCH($B242,$A$123:$A$133,0),7))</f>
        <v/>
      </c>
      <c r="H245" s="929" t="str">
        <f>IF(INDEX($A$123:$N$133,MATCH($B242,$A$123:$A$133,0),8)=0,"",INDEX($A$123:$N$133,MATCH($B242,$A$123:$A$133,0),8))</f>
        <v/>
      </c>
      <c r="I245" s="929" t="str">
        <f>IF(INDEX($A$123:$N$133,MATCH($B242,$A$123:$A$133,0),9)=0,"",INDEX($A$123:$N$133,MATCH($B242,$A$123:$A$133,0),9))</f>
        <v/>
      </c>
      <c r="J245" s="929" t="str">
        <f>IF(INDEX($A$123:$N$133,MATCH($B242,$A$123:$A$133,0),10)=0,"",INDEX($A$123:$N$133,MATCH($B242,$A$123:$A$133,0),10))</f>
        <v/>
      </c>
      <c r="K245" s="929" t="str">
        <f>IF(INDEX($A$123:$N$133,MATCH($B242,$A$123:$A$133,0),11)=0,"",INDEX($A$123:$N$133,MATCH($B242,$A$123:$A$133,0),11))</f>
        <v/>
      </c>
      <c r="L245" s="929" t="str">
        <f>IF(INDEX($A$123:$N$133,MATCH($B242,$A$123:$A$133,0),12)=0,"",INDEX($A$123:$N$133,MATCH($B242,$A$123:$A$133,0),12))</f>
        <v/>
      </c>
      <c r="M245" s="929" t="str">
        <f>IF(INDEX($A$123:$N$133,MATCH($B242,$A$123:$A$133,0),13)=0,"",INDEX($A$123:$N$133,MATCH($B242,$A$123:$A$133,0),13))</f>
        <v/>
      </c>
      <c r="N245" s="930" t="str">
        <f>IF(INDEX($A$123:$N$133,MATCH($B242,$A$123:$A$133,0),14)=0,"",INDEX($A$123:$N$133,MATCH($B242,$A$123:$A$133,0),14))</f>
        <v/>
      </c>
      <c r="O245" s="708"/>
    </row>
    <row r="246" spans="1:15" x14ac:dyDescent="0.25">
      <c r="A246" s="850" t="s">
        <v>5106</v>
      </c>
      <c r="B246" s="928" t="s">
        <v>5104</v>
      </c>
      <c r="C246" s="929" t="str">
        <f t="shared" ref="C246:N246" si="83">IF(C244="","",IF(C245="","",C244*C245))</f>
        <v/>
      </c>
      <c r="D246" s="929" t="str">
        <f t="shared" si="83"/>
        <v/>
      </c>
      <c r="E246" s="929" t="str">
        <f t="shared" si="83"/>
        <v/>
      </c>
      <c r="F246" s="929" t="str">
        <f t="shared" si="83"/>
        <v/>
      </c>
      <c r="G246" s="929" t="str">
        <f t="shared" si="83"/>
        <v/>
      </c>
      <c r="H246" s="929" t="str">
        <f t="shared" si="83"/>
        <v/>
      </c>
      <c r="I246" s="929" t="str">
        <f t="shared" si="83"/>
        <v/>
      </c>
      <c r="J246" s="929" t="str">
        <f t="shared" si="83"/>
        <v/>
      </c>
      <c r="K246" s="929" t="str">
        <f t="shared" si="83"/>
        <v/>
      </c>
      <c r="L246" s="929" t="str">
        <f t="shared" si="83"/>
        <v/>
      </c>
      <c r="M246" s="929" t="str">
        <f t="shared" si="83"/>
        <v/>
      </c>
      <c r="N246" s="930" t="str">
        <f t="shared" si="83"/>
        <v/>
      </c>
      <c r="O246" s="708"/>
    </row>
    <row r="247" spans="1:15" x14ac:dyDescent="0.25">
      <c r="A247" s="927" t="s">
        <v>5035</v>
      </c>
      <c r="B247" s="928" t="s">
        <v>5104</v>
      </c>
      <c r="C247" s="929">
        <f>C232</f>
        <v>0</v>
      </c>
      <c r="D247" s="929">
        <f t="shared" ref="D247:M247" si="84">D232</f>
        <v>0</v>
      </c>
      <c r="E247" s="929">
        <f t="shared" si="84"/>
        <v>0</v>
      </c>
      <c r="F247" s="929">
        <f t="shared" si="84"/>
        <v>0</v>
      </c>
      <c r="G247" s="929">
        <f t="shared" si="84"/>
        <v>0</v>
      </c>
      <c r="H247" s="929">
        <f t="shared" si="84"/>
        <v>0</v>
      </c>
      <c r="I247" s="929">
        <f t="shared" si="84"/>
        <v>0</v>
      </c>
      <c r="J247" s="929">
        <f t="shared" si="84"/>
        <v>0</v>
      </c>
      <c r="K247" s="929">
        <f t="shared" si="84"/>
        <v>0</v>
      </c>
      <c r="L247" s="929">
        <f t="shared" si="84"/>
        <v>0</v>
      </c>
      <c r="M247" s="929">
        <f t="shared" si="84"/>
        <v>0</v>
      </c>
      <c r="N247" s="930">
        <f>N232</f>
        <v>0</v>
      </c>
      <c r="O247" s="708"/>
    </row>
    <row r="248" spans="1:15" x14ac:dyDescent="0.25">
      <c r="A248" s="850" t="s">
        <v>5107</v>
      </c>
      <c r="B248" s="928" t="s">
        <v>5104</v>
      </c>
      <c r="C248" s="929" t="str">
        <f t="shared" ref="C248:N248" si="85">IF(C246="","",C246-C247)</f>
        <v/>
      </c>
      <c r="D248" s="929" t="str">
        <f t="shared" si="85"/>
        <v/>
      </c>
      <c r="E248" s="929" t="str">
        <f t="shared" si="85"/>
        <v/>
      </c>
      <c r="F248" s="929" t="str">
        <f t="shared" si="85"/>
        <v/>
      </c>
      <c r="G248" s="929" t="str">
        <f t="shared" si="85"/>
        <v/>
      </c>
      <c r="H248" s="929" t="str">
        <f t="shared" si="85"/>
        <v/>
      </c>
      <c r="I248" s="929" t="str">
        <f t="shared" si="85"/>
        <v/>
      </c>
      <c r="J248" s="929" t="str">
        <f t="shared" si="85"/>
        <v/>
      </c>
      <c r="K248" s="929" t="str">
        <f t="shared" si="85"/>
        <v/>
      </c>
      <c r="L248" s="929" t="str">
        <f t="shared" si="85"/>
        <v/>
      </c>
      <c r="M248" s="929" t="str">
        <f t="shared" si="85"/>
        <v/>
      </c>
      <c r="N248" s="930" t="str">
        <f t="shared" si="85"/>
        <v/>
      </c>
      <c r="O248" s="708"/>
    </row>
    <row r="249" spans="1:15" x14ac:dyDescent="0.25">
      <c r="A249" s="850" t="s">
        <v>5108</v>
      </c>
      <c r="B249" s="928" t="s">
        <v>5109</v>
      </c>
      <c r="C249" s="929" t="str">
        <f t="shared" ref="C249:N249" si="86">IF(C248="","",IF(C248&lt;0,0,C248*10))</f>
        <v/>
      </c>
      <c r="D249" s="929" t="str">
        <f t="shared" si="86"/>
        <v/>
      </c>
      <c r="E249" s="929" t="str">
        <f t="shared" si="86"/>
        <v/>
      </c>
      <c r="F249" s="929" t="str">
        <f t="shared" si="86"/>
        <v/>
      </c>
      <c r="G249" s="929" t="str">
        <f t="shared" si="86"/>
        <v/>
      </c>
      <c r="H249" s="929" t="str">
        <f t="shared" si="86"/>
        <v/>
      </c>
      <c r="I249" s="929" t="str">
        <f t="shared" si="86"/>
        <v/>
      </c>
      <c r="J249" s="929" t="str">
        <f t="shared" si="86"/>
        <v/>
      </c>
      <c r="K249" s="929" t="str">
        <f t="shared" si="86"/>
        <v/>
      </c>
      <c r="L249" s="929" t="str">
        <f t="shared" si="86"/>
        <v/>
      </c>
      <c r="M249" s="929" t="str">
        <f t="shared" si="86"/>
        <v/>
      </c>
      <c r="N249" s="930" t="str">
        <f t="shared" si="86"/>
        <v/>
      </c>
      <c r="O249" s="708"/>
    </row>
    <row r="250" spans="1:15" x14ac:dyDescent="0.25">
      <c r="A250" s="927" t="s">
        <v>5081</v>
      </c>
      <c r="B250" s="928"/>
      <c r="C250" s="929" t="str">
        <f>C235</f>
        <v/>
      </c>
      <c r="D250" s="929" t="str">
        <f>C250</f>
        <v/>
      </c>
      <c r="E250" s="929" t="str">
        <f t="shared" ref="E250:M251" si="87">D250</f>
        <v/>
      </c>
      <c r="F250" s="929" t="str">
        <f t="shared" si="87"/>
        <v/>
      </c>
      <c r="G250" s="929" t="str">
        <f t="shared" si="87"/>
        <v/>
      </c>
      <c r="H250" s="929" t="str">
        <f t="shared" si="87"/>
        <v/>
      </c>
      <c r="I250" s="929" t="str">
        <f t="shared" si="87"/>
        <v/>
      </c>
      <c r="J250" s="929" t="str">
        <f t="shared" si="87"/>
        <v/>
      </c>
      <c r="K250" s="929" t="str">
        <f t="shared" si="87"/>
        <v/>
      </c>
      <c r="L250" s="929" t="str">
        <f t="shared" si="87"/>
        <v/>
      </c>
      <c r="M250" s="929" t="str">
        <f t="shared" si="87"/>
        <v/>
      </c>
      <c r="N250" s="930" t="str">
        <f>M250</f>
        <v/>
      </c>
      <c r="O250" s="708"/>
    </row>
    <row r="251" spans="1:15" x14ac:dyDescent="0.25">
      <c r="A251" s="927" t="s">
        <v>5110</v>
      </c>
      <c r="B251" s="928" t="s">
        <v>5111</v>
      </c>
      <c r="C251" s="929" t="str">
        <f>C236</f>
        <v/>
      </c>
      <c r="D251" s="929" t="str">
        <f>C251</f>
        <v/>
      </c>
      <c r="E251" s="929" t="str">
        <f t="shared" si="87"/>
        <v/>
      </c>
      <c r="F251" s="929" t="str">
        <f t="shared" si="87"/>
        <v/>
      </c>
      <c r="G251" s="929" t="str">
        <f t="shared" si="87"/>
        <v/>
      </c>
      <c r="H251" s="929" t="str">
        <f t="shared" si="87"/>
        <v/>
      </c>
      <c r="I251" s="929" t="str">
        <f t="shared" si="87"/>
        <v/>
      </c>
      <c r="J251" s="929" t="str">
        <f t="shared" si="87"/>
        <v/>
      </c>
      <c r="K251" s="929" t="str">
        <f t="shared" si="87"/>
        <v/>
      </c>
      <c r="L251" s="929" t="str">
        <f t="shared" si="87"/>
        <v/>
      </c>
      <c r="M251" s="929" t="str">
        <f t="shared" si="87"/>
        <v/>
      </c>
      <c r="N251" s="930" t="str">
        <f>M251</f>
        <v/>
      </c>
      <c r="O251" s="708"/>
    </row>
    <row r="252" spans="1:15" x14ac:dyDescent="0.25">
      <c r="A252" s="850" t="s">
        <v>5112</v>
      </c>
      <c r="B252" s="928" t="s">
        <v>5113</v>
      </c>
      <c r="C252" s="929" t="str">
        <f t="shared" ref="C252:N252" si="88">IF(C250="","",IF(C249="","",IF(C251="","",C249*(1000/(3600*31*C251))/C250)))</f>
        <v/>
      </c>
      <c r="D252" s="929" t="str">
        <f t="shared" si="88"/>
        <v/>
      </c>
      <c r="E252" s="929" t="str">
        <f t="shared" si="88"/>
        <v/>
      </c>
      <c r="F252" s="929" t="str">
        <f t="shared" si="88"/>
        <v/>
      </c>
      <c r="G252" s="929" t="str">
        <f t="shared" si="88"/>
        <v/>
      </c>
      <c r="H252" s="929" t="str">
        <f t="shared" si="88"/>
        <v/>
      </c>
      <c r="I252" s="929" t="str">
        <f t="shared" si="88"/>
        <v/>
      </c>
      <c r="J252" s="929" t="str">
        <f t="shared" si="88"/>
        <v/>
      </c>
      <c r="K252" s="929" t="str">
        <f t="shared" si="88"/>
        <v/>
      </c>
      <c r="L252" s="929" t="str">
        <f t="shared" si="88"/>
        <v/>
      </c>
      <c r="M252" s="929" t="str">
        <f t="shared" si="88"/>
        <v/>
      </c>
      <c r="N252" s="930" t="str">
        <f t="shared" si="88"/>
        <v/>
      </c>
      <c r="O252" s="708"/>
    </row>
    <row r="253" spans="1:15" ht="15.75" thickBot="1" x14ac:dyDescent="0.3">
      <c r="A253" s="850" t="s">
        <v>5114</v>
      </c>
      <c r="B253" s="928" t="s">
        <v>5115</v>
      </c>
      <c r="C253" s="929" t="str">
        <f t="shared" ref="C253:N253" si="89">IF(C245="","",INDEX($A$123:$B$133,MATCH($B242,$A$123:$A$133,0),2))</f>
        <v/>
      </c>
      <c r="D253" s="929" t="str">
        <f t="shared" si="89"/>
        <v/>
      </c>
      <c r="E253" s="929" t="str">
        <f t="shared" si="89"/>
        <v/>
      </c>
      <c r="F253" s="929" t="str">
        <f t="shared" si="89"/>
        <v/>
      </c>
      <c r="G253" s="929" t="str">
        <f t="shared" si="89"/>
        <v/>
      </c>
      <c r="H253" s="929" t="str">
        <f t="shared" si="89"/>
        <v/>
      </c>
      <c r="I253" s="929" t="str">
        <f t="shared" si="89"/>
        <v/>
      </c>
      <c r="J253" s="929" t="str">
        <f t="shared" si="89"/>
        <v/>
      </c>
      <c r="K253" s="929" t="str">
        <f t="shared" si="89"/>
        <v/>
      </c>
      <c r="L253" s="929" t="str">
        <f t="shared" si="89"/>
        <v/>
      </c>
      <c r="M253" s="929" t="str">
        <f t="shared" si="89"/>
        <v/>
      </c>
      <c r="N253" s="932" t="str">
        <f t="shared" si="89"/>
        <v/>
      </c>
      <c r="O253" s="708"/>
    </row>
    <row r="254" spans="1:15" ht="15.75" thickBot="1" x14ac:dyDescent="0.3">
      <c r="A254" s="933" t="s">
        <v>5116</v>
      </c>
      <c r="B254" s="934" t="s">
        <v>5113</v>
      </c>
      <c r="C254" s="935" t="str">
        <f t="shared" ref="C254:N254" si="90">IF(C252="","",C252*C253)</f>
        <v/>
      </c>
      <c r="D254" s="935" t="str">
        <f t="shared" si="90"/>
        <v/>
      </c>
      <c r="E254" s="935" t="str">
        <f t="shared" si="90"/>
        <v/>
      </c>
      <c r="F254" s="935" t="str">
        <f t="shared" si="90"/>
        <v/>
      </c>
      <c r="G254" s="935" t="str">
        <f t="shared" si="90"/>
        <v/>
      </c>
      <c r="H254" s="935" t="str">
        <f t="shared" si="90"/>
        <v/>
      </c>
      <c r="I254" s="935" t="str">
        <f t="shared" si="90"/>
        <v/>
      </c>
      <c r="J254" s="935" t="str">
        <f t="shared" si="90"/>
        <v/>
      </c>
      <c r="K254" s="935" t="str">
        <f t="shared" si="90"/>
        <v/>
      </c>
      <c r="L254" s="935" t="str">
        <f t="shared" si="90"/>
        <v/>
      </c>
      <c r="M254" s="935" t="str">
        <f t="shared" si="90"/>
        <v/>
      </c>
      <c r="N254" s="936" t="str">
        <f t="shared" si="90"/>
        <v/>
      </c>
      <c r="O254" s="708"/>
    </row>
    <row r="255" spans="1:15" x14ac:dyDescent="0.25">
      <c r="A255" s="708"/>
      <c r="B255" s="708"/>
      <c r="C255" s="708"/>
      <c r="D255" s="708"/>
      <c r="E255" s="708"/>
      <c r="F255" s="708"/>
      <c r="G255" s="708"/>
      <c r="H255" s="708"/>
      <c r="I255" s="708"/>
      <c r="J255" s="708"/>
      <c r="K255" s="708"/>
      <c r="L255" s="708"/>
      <c r="M255" s="708"/>
      <c r="N255" s="708"/>
      <c r="O255" s="708"/>
    </row>
    <row r="256" spans="1:15" ht="15.75" x14ac:dyDescent="0.25">
      <c r="A256" s="1991" t="s">
        <v>5101</v>
      </c>
      <c r="B256" s="1991"/>
      <c r="C256" s="1991"/>
      <c r="D256" s="1991"/>
      <c r="E256" s="1991"/>
      <c r="F256" s="1991"/>
      <c r="G256" s="1991"/>
      <c r="H256" s="1991"/>
      <c r="I256" s="1991"/>
      <c r="J256" s="1991"/>
      <c r="K256" s="1991"/>
      <c r="L256" s="1991"/>
      <c r="M256" s="1991"/>
      <c r="N256" s="1991"/>
      <c r="O256" s="708"/>
    </row>
    <row r="257" spans="1:15" ht="15.75" thickBot="1" x14ac:dyDescent="0.3">
      <c r="A257" s="924" t="s">
        <v>5102</v>
      </c>
      <c r="B257" s="925" t="str">
        <f>IF(A131="","",A131)</f>
        <v/>
      </c>
      <c r="C257" s="708"/>
      <c r="D257" s="708"/>
      <c r="E257" s="708"/>
      <c r="F257" s="708"/>
      <c r="G257" s="708"/>
      <c r="H257" s="708"/>
      <c r="I257" s="708"/>
      <c r="J257" s="708"/>
      <c r="K257" s="708"/>
      <c r="L257" s="708"/>
      <c r="M257" s="708"/>
      <c r="N257" s="708"/>
      <c r="O257" s="708"/>
    </row>
    <row r="258" spans="1:15" x14ac:dyDescent="0.25">
      <c r="A258" s="939"/>
      <c r="B258" s="940" t="s">
        <v>4646</v>
      </c>
      <c r="C258" s="940" t="s">
        <v>5062</v>
      </c>
      <c r="D258" s="940" t="s">
        <v>5063</v>
      </c>
      <c r="E258" s="940" t="s">
        <v>5064</v>
      </c>
      <c r="F258" s="940" t="s">
        <v>5065</v>
      </c>
      <c r="G258" s="940" t="s">
        <v>5066</v>
      </c>
      <c r="H258" s="940" t="s">
        <v>5067</v>
      </c>
      <c r="I258" s="940" t="s">
        <v>5068</v>
      </c>
      <c r="J258" s="940" t="s">
        <v>5069</v>
      </c>
      <c r="K258" s="940" t="s">
        <v>5070</v>
      </c>
      <c r="L258" s="940" t="s">
        <v>5071</v>
      </c>
      <c r="M258" s="940" t="s">
        <v>5072</v>
      </c>
      <c r="N258" s="941" t="s">
        <v>5073</v>
      </c>
      <c r="O258" s="708"/>
    </row>
    <row r="259" spans="1:15" x14ac:dyDescent="0.25">
      <c r="A259" s="927" t="s">
        <v>5103</v>
      </c>
      <c r="B259" s="928" t="s">
        <v>5104</v>
      </c>
      <c r="C259" s="929" t="str">
        <f>C244</f>
        <v/>
      </c>
      <c r="D259" s="929" t="str">
        <f t="shared" ref="D259:N259" si="91">D244</f>
        <v/>
      </c>
      <c r="E259" s="929" t="str">
        <f t="shared" si="91"/>
        <v/>
      </c>
      <c r="F259" s="929" t="str">
        <f t="shared" si="91"/>
        <v/>
      </c>
      <c r="G259" s="929" t="str">
        <f t="shared" si="91"/>
        <v/>
      </c>
      <c r="H259" s="929" t="str">
        <f t="shared" si="91"/>
        <v/>
      </c>
      <c r="I259" s="929" t="str">
        <f t="shared" si="91"/>
        <v/>
      </c>
      <c r="J259" s="929" t="str">
        <f t="shared" si="91"/>
        <v/>
      </c>
      <c r="K259" s="929" t="str">
        <f t="shared" si="91"/>
        <v/>
      </c>
      <c r="L259" s="929" t="str">
        <f t="shared" si="91"/>
        <v/>
      </c>
      <c r="M259" s="929" t="str">
        <f t="shared" si="91"/>
        <v/>
      </c>
      <c r="N259" s="937" t="str">
        <f t="shared" si="91"/>
        <v/>
      </c>
      <c r="O259" s="708"/>
    </row>
    <row r="260" spans="1:15" x14ac:dyDescent="0.25">
      <c r="A260" s="850" t="s">
        <v>5105</v>
      </c>
      <c r="B260" s="928"/>
      <c r="C260" s="929" t="str">
        <f>IF(INDEX($A$123:$N$133,MATCH($B257,$A$123:$A$133,0),3)=0,"",INDEX($A$123:$N$133,MATCH($B257,$A$123:$A$133,0),3))</f>
        <v/>
      </c>
      <c r="D260" s="929" t="str">
        <f>IF(INDEX($A$123:$N$133,MATCH($B257,$A$123:$A$133,0),4)=0,"",INDEX($A$123:$N$133,MATCH($B257,$A$123:$A$133,0),4))</f>
        <v/>
      </c>
      <c r="E260" s="929" t="str">
        <f>IF(INDEX($A$123:$N$133,MATCH($B257,$A$123:$A$133,0),5)=0,"",INDEX($A$123:$N$133,MATCH($B257,$A$123:$A$133,0),5))</f>
        <v/>
      </c>
      <c r="F260" s="929" t="str">
        <f>IF(INDEX($A$123:$N$133,MATCH($B257,$A$123:$A$133,0),6)=0,"",INDEX($A$123:$N$133,MATCH($B257,$A$123:$A$133,0),6))</f>
        <v/>
      </c>
      <c r="G260" s="929" t="str">
        <f>IF(INDEX($A$123:$N$133,MATCH($B257,$A$123:$A$133,0),7)=0,"",INDEX($A$123:$N$133,MATCH($B257,$A$123:$A$133,0),7))</f>
        <v/>
      </c>
      <c r="H260" s="929" t="str">
        <f>IF(INDEX($A$123:$N$133,MATCH($B257,$A$123:$A$133,0),8)=0,"",INDEX($A$123:$N$133,MATCH($B257,$A$123:$A$133,0),8))</f>
        <v/>
      </c>
      <c r="I260" s="929" t="str">
        <f>IF(INDEX($A$123:$N$133,MATCH($B257,$A$123:$A$133,0),9)=0,"",INDEX($A$123:$N$133,MATCH($B257,$A$123:$A$133,0),9))</f>
        <v/>
      </c>
      <c r="J260" s="929" t="str">
        <f>IF(INDEX($A$123:$N$133,MATCH($B257,$A$123:$A$133,0),10)=0,"",INDEX($A$123:$N$133,MATCH($B257,$A$123:$A$133,0),10))</f>
        <v/>
      </c>
      <c r="K260" s="929" t="str">
        <f>IF(INDEX($A$123:$N$133,MATCH($B257,$A$123:$A$133,0),11)=0,"",INDEX($A$123:$N$133,MATCH($B257,$A$123:$A$133,0),11))</f>
        <v/>
      </c>
      <c r="L260" s="929" t="str">
        <f>IF(INDEX($A$123:$N$133,MATCH($B257,$A$123:$A$133,0),12)=0,"",INDEX($A$123:$N$133,MATCH($B257,$A$123:$A$133,0),12))</f>
        <v/>
      </c>
      <c r="M260" s="929" t="str">
        <f>IF(INDEX($A$123:$N$133,MATCH($B257,$A$123:$A$133,0),13)=0,"",INDEX($A$123:$N$133,MATCH($B257,$A$123:$A$133,0),13))</f>
        <v/>
      </c>
      <c r="N260" s="930" t="str">
        <f>IF(INDEX($A$123:$N$133,MATCH($B257,$A$123:$A$133,0),14)=0,"",INDEX($A$123:$N$133,MATCH($B257,$A$123:$A$133,0),14))</f>
        <v/>
      </c>
      <c r="O260" s="708"/>
    </row>
    <row r="261" spans="1:15" x14ac:dyDescent="0.25">
      <c r="A261" s="850" t="s">
        <v>5106</v>
      </c>
      <c r="B261" s="928" t="s">
        <v>5104</v>
      </c>
      <c r="C261" s="929" t="str">
        <f t="shared" ref="C261:N261" si="92">IF(C259="","",IF(C260="","",C259*C260))</f>
        <v/>
      </c>
      <c r="D261" s="929" t="str">
        <f t="shared" si="92"/>
        <v/>
      </c>
      <c r="E261" s="929" t="str">
        <f t="shared" si="92"/>
        <v/>
      </c>
      <c r="F261" s="929" t="str">
        <f t="shared" si="92"/>
        <v/>
      </c>
      <c r="G261" s="929" t="str">
        <f t="shared" si="92"/>
        <v/>
      </c>
      <c r="H261" s="929" t="str">
        <f t="shared" si="92"/>
        <v/>
      </c>
      <c r="I261" s="929" t="str">
        <f t="shared" si="92"/>
        <v/>
      </c>
      <c r="J261" s="929" t="str">
        <f t="shared" si="92"/>
        <v/>
      </c>
      <c r="K261" s="929" t="str">
        <f t="shared" si="92"/>
        <v/>
      </c>
      <c r="L261" s="929" t="str">
        <f t="shared" si="92"/>
        <v/>
      </c>
      <c r="M261" s="929" t="str">
        <f t="shared" si="92"/>
        <v/>
      </c>
      <c r="N261" s="930" t="str">
        <f t="shared" si="92"/>
        <v/>
      </c>
      <c r="O261" s="708"/>
    </row>
    <row r="262" spans="1:15" x14ac:dyDescent="0.25">
      <c r="A262" s="927" t="s">
        <v>5035</v>
      </c>
      <c r="B262" s="928" t="s">
        <v>5104</v>
      </c>
      <c r="C262" s="929">
        <f>C247</f>
        <v>0</v>
      </c>
      <c r="D262" s="929">
        <f t="shared" ref="D262:M262" si="93">D247</f>
        <v>0</v>
      </c>
      <c r="E262" s="929">
        <f t="shared" si="93"/>
        <v>0</v>
      </c>
      <c r="F262" s="929">
        <f t="shared" si="93"/>
        <v>0</v>
      </c>
      <c r="G262" s="929">
        <f t="shared" si="93"/>
        <v>0</v>
      </c>
      <c r="H262" s="929">
        <f t="shared" si="93"/>
        <v>0</v>
      </c>
      <c r="I262" s="929">
        <f t="shared" si="93"/>
        <v>0</v>
      </c>
      <c r="J262" s="929">
        <f t="shared" si="93"/>
        <v>0</v>
      </c>
      <c r="K262" s="929">
        <f t="shared" si="93"/>
        <v>0</v>
      </c>
      <c r="L262" s="929">
        <f t="shared" si="93"/>
        <v>0</v>
      </c>
      <c r="M262" s="929">
        <f t="shared" si="93"/>
        <v>0</v>
      </c>
      <c r="N262" s="930">
        <f>N247</f>
        <v>0</v>
      </c>
      <c r="O262" s="708"/>
    </row>
    <row r="263" spans="1:15" x14ac:dyDescent="0.25">
      <c r="A263" s="850" t="s">
        <v>5107</v>
      </c>
      <c r="B263" s="928" t="s">
        <v>5104</v>
      </c>
      <c r="C263" s="929" t="str">
        <f t="shared" ref="C263:N263" si="94">IF(C261="","",C261-C262)</f>
        <v/>
      </c>
      <c r="D263" s="929" t="str">
        <f t="shared" si="94"/>
        <v/>
      </c>
      <c r="E263" s="929" t="str">
        <f t="shared" si="94"/>
        <v/>
      </c>
      <c r="F263" s="929" t="str">
        <f t="shared" si="94"/>
        <v/>
      </c>
      <c r="G263" s="929" t="str">
        <f t="shared" si="94"/>
        <v/>
      </c>
      <c r="H263" s="929" t="str">
        <f t="shared" si="94"/>
        <v/>
      </c>
      <c r="I263" s="929" t="str">
        <f t="shared" si="94"/>
        <v/>
      </c>
      <c r="J263" s="929" t="str">
        <f t="shared" si="94"/>
        <v/>
      </c>
      <c r="K263" s="929" t="str">
        <f t="shared" si="94"/>
        <v/>
      </c>
      <c r="L263" s="929" t="str">
        <f t="shared" si="94"/>
        <v/>
      </c>
      <c r="M263" s="929" t="str">
        <f t="shared" si="94"/>
        <v/>
      </c>
      <c r="N263" s="930" t="str">
        <f t="shared" si="94"/>
        <v/>
      </c>
      <c r="O263" s="708"/>
    </row>
    <row r="264" spans="1:15" x14ac:dyDescent="0.25">
      <c r="A264" s="850" t="s">
        <v>5108</v>
      </c>
      <c r="B264" s="928" t="s">
        <v>5109</v>
      </c>
      <c r="C264" s="929" t="str">
        <f t="shared" ref="C264:N264" si="95">IF(C263="","",IF(C263&lt;0,0,C263*10))</f>
        <v/>
      </c>
      <c r="D264" s="929" t="str">
        <f t="shared" si="95"/>
        <v/>
      </c>
      <c r="E264" s="929" t="str">
        <f t="shared" si="95"/>
        <v/>
      </c>
      <c r="F264" s="929" t="str">
        <f t="shared" si="95"/>
        <v/>
      </c>
      <c r="G264" s="929" t="str">
        <f t="shared" si="95"/>
        <v/>
      </c>
      <c r="H264" s="929" t="str">
        <f t="shared" si="95"/>
        <v/>
      </c>
      <c r="I264" s="929" t="str">
        <f t="shared" si="95"/>
        <v/>
      </c>
      <c r="J264" s="929" t="str">
        <f t="shared" si="95"/>
        <v/>
      </c>
      <c r="K264" s="929" t="str">
        <f t="shared" si="95"/>
        <v/>
      </c>
      <c r="L264" s="929" t="str">
        <f t="shared" si="95"/>
        <v/>
      </c>
      <c r="M264" s="929" t="str">
        <f t="shared" si="95"/>
        <v/>
      </c>
      <c r="N264" s="930" t="str">
        <f t="shared" si="95"/>
        <v/>
      </c>
      <c r="O264" s="708"/>
    </row>
    <row r="265" spans="1:15" x14ac:dyDescent="0.25">
      <c r="A265" s="927" t="s">
        <v>5081</v>
      </c>
      <c r="B265" s="928"/>
      <c r="C265" s="929" t="str">
        <f>C250</f>
        <v/>
      </c>
      <c r="D265" s="929" t="str">
        <f>C265</f>
        <v/>
      </c>
      <c r="E265" s="929" t="str">
        <f t="shared" ref="E265:M266" si="96">D265</f>
        <v/>
      </c>
      <c r="F265" s="929" t="str">
        <f t="shared" si="96"/>
        <v/>
      </c>
      <c r="G265" s="929" t="str">
        <f t="shared" si="96"/>
        <v/>
      </c>
      <c r="H265" s="929" t="str">
        <f t="shared" si="96"/>
        <v/>
      </c>
      <c r="I265" s="929" t="str">
        <f t="shared" si="96"/>
        <v/>
      </c>
      <c r="J265" s="929" t="str">
        <f t="shared" si="96"/>
        <v/>
      </c>
      <c r="K265" s="929" t="str">
        <f t="shared" si="96"/>
        <v/>
      </c>
      <c r="L265" s="929" t="str">
        <f t="shared" si="96"/>
        <v/>
      </c>
      <c r="M265" s="929" t="str">
        <f t="shared" si="96"/>
        <v/>
      </c>
      <c r="N265" s="930" t="str">
        <f>M265</f>
        <v/>
      </c>
      <c r="O265" s="708"/>
    </row>
    <row r="266" spans="1:15" x14ac:dyDescent="0.25">
      <c r="A266" s="927" t="s">
        <v>5110</v>
      </c>
      <c r="B266" s="928" t="s">
        <v>5111</v>
      </c>
      <c r="C266" s="929" t="str">
        <f>C251</f>
        <v/>
      </c>
      <c r="D266" s="929" t="str">
        <f>C266</f>
        <v/>
      </c>
      <c r="E266" s="929" t="str">
        <f t="shared" si="96"/>
        <v/>
      </c>
      <c r="F266" s="929" t="str">
        <f t="shared" si="96"/>
        <v/>
      </c>
      <c r="G266" s="929" t="str">
        <f t="shared" si="96"/>
        <v/>
      </c>
      <c r="H266" s="929" t="str">
        <f t="shared" si="96"/>
        <v/>
      </c>
      <c r="I266" s="929" t="str">
        <f t="shared" si="96"/>
        <v/>
      </c>
      <c r="J266" s="929" t="str">
        <f t="shared" si="96"/>
        <v/>
      </c>
      <c r="K266" s="929" t="str">
        <f t="shared" si="96"/>
        <v/>
      </c>
      <c r="L266" s="929" t="str">
        <f t="shared" si="96"/>
        <v/>
      </c>
      <c r="M266" s="929" t="str">
        <f t="shared" si="96"/>
        <v/>
      </c>
      <c r="N266" s="930" t="str">
        <f>M266</f>
        <v/>
      </c>
      <c r="O266" s="708"/>
    </row>
    <row r="267" spans="1:15" x14ac:dyDescent="0.25">
      <c r="A267" s="850" t="s">
        <v>5112</v>
      </c>
      <c r="B267" s="928" t="s">
        <v>5113</v>
      </c>
      <c r="C267" s="929" t="str">
        <f t="shared" ref="C267:N267" si="97">IF(C265="","",IF(C264="","",IF(C266="","",C264*(1000/(3600*31*C266))/C265)))</f>
        <v/>
      </c>
      <c r="D267" s="929" t="str">
        <f t="shared" si="97"/>
        <v/>
      </c>
      <c r="E267" s="929" t="str">
        <f t="shared" si="97"/>
        <v/>
      </c>
      <c r="F267" s="929" t="str">
        <f t="shared" si="97"/>
        <v/>
      </c>
      <c r="G267" s="929" t="str">
        <f t="shared" si="97"/>
        <v/>
      </c>
      <c r="H267" s="929" t="str">
        <f t="shared" si="97"/>
        <v/>
      </c>
      <c r="I267" s="929" t="str">
        <f t="shared" si="97"/>
        <v/>
      </c>
      <c r="J267" s="929" t="str">
        <f t="shared" si="97"/>
        <v/>
      </c>
      <c r="K267" s="929" t="str">
        <f t="shared" si="97"/>
        <v/>
      </c>
      <c r="L267" s="929" t="str">
        <f t="shared" si="97"/>
        <v/>
      </c>
      <c r="M267" s="929" t="str">
        <f t="shared" si="97"/>
        <v/>
      </c>
      <c r="N267" s="930" t="str">
        <f t="shared" si="97"/>
        <v/>
      </c>
      <c r="O267" s="708"/>
    </row>
    <row r="268" spans="1:15" ht="15.75" thickBot="1" x14ac:dyDescent="0.3">
      <c r="A268" s="850" t="s">
        <v>5114</v>
      </c>
      <c r="B268" s="928" t="s">
        <v>5115</v>
      </c>
      <c r="C268" s="929" t="str">
        <f t="shared" ref="C268:N268" si="98">IF(C260="","",INDEX($A$123:$B$133,MATCH($B257,$A$123:$A$133,0),2))</f>
        <v/>
      </c>
      <c r="D268" s="929" t="str">
        <f t="shared" si="98"/>
        <v/>
      </c>
      <c r="E268" s="929" t="str">
        <f t="shared" si="98"/>
        <v/>
      </c>
      <c r="F268" s="929" t="str">
        <f t="shared" si="98"/>
        <v/>
      </c>
      <c r="G268" s="929" t="str">
        <f t="shared" si="98"/>
        <v/>
      </c>
      <c r="H268" s="929" t="str">
        <f t="shared" si="98"/>
        <v/>
      </c>
      <c r="I268" s="929" t="str">
        <f t="shared" si="98"/>
        <v/>
      </c>
      <c r="J268" s="929" t="str">
        <f t="shared" si="98"/>
        <v/>
      </c>
      <c r="K268" s="929" t="str">
        <f t="shared" si="98"/>
        <v/>
      </c>
      <c r="L268" s="929" t="str">
        <f t="shared" si="98"/>
        <v/>
      </c>
      <c r="M268" s="929" t="str">
        <f t="shared" si="98"/>
        <v/>
      </c>
      <c r="N268" s="932" t="str">
        <f t="shared" si="98"/>
        <v/>
      </c>
      <c r="O268" s="708"/>
    </row>
    <row r="269" spans="1:15" ht="15.75" thickBot="1" x14ac:dyDescent="0.3">
      <c r="A269" s="933" t="s">
        <v>5116</v>
      </c>
      <c r="B269" s="934" t="s">
        <v>5113</v>
      </c>
      <c r="C269" s="935" t="str">
        <f t="shared" ref="C269:N269" si="99">IF(C267="","",C267*C268)</f>
        <v/>
      </c>
      <c r="D269" s="935" t="str">
        <f t="shared" si="99"/>
        <v/>
      </c>
      <c r="E269" s="935" t="str">
        <f t="shared" si="99"/>
        <v/>
      </c>
      <c r="F269" s="935" t="str">
        <f t="shared" si="99"/>
        <v/>
      </c>
      <c r="G269" s="935" t="str">
        <f t="shared" si="99"/>
        <v/>
      </c>
      <c r="H269" s="935" t="str">
        <f t="shared" si="99"/>
        <v/>
      </c>
      <c r="I269" s="935" t="str">
        <f t="shared" si="99"/>
        <v/>
      </c>
      <c r="J269" s="935" t="str">
        <f t="shared" si="99"/>
        <v/>
      </c>
      <c r="K269" s="935" t="str">
        <f t="shared" si="99"/>
        <v/>
      </c>
      <c r="L269" s="935" t="str">
        <f t="shared" si="99"/>
        <v/>
      </c>
      <c r="M269" s="935" t="str">
        <f t="shared" si="99"/>
        <v/>
      </c>
      <c r="N269" s="936" t="str">
        <f t="shared" si="99"/>
        <v/>
      </c>
      <c r="O269" s="708"/>
    </row>
    <row r="270" spans="1:15" x14ac:dyDescent="0.25">
      <c r="A270" s="708"/>
      <c r="B270" s="708"/>
      <c r="C270" s="708"/>
      <c r="D270" s="708"/>
      <c r="E270" s="708"/>
      <c r="F270" s="708"/>
      <c r="G270" s="708"/>
      <c r="H270" s="708"/>
      <c r="I270" s="708"/>
      <c r="J270" s="708"/>
      <c r="K270" s="708"/>
      <c r="L270" s="708"/>
      <c r="M270" s="708"/>
      <c r="N270" s="708"/>
      <c r="O270" s="708"/>
    </row>
    <row r="271" spans="1:15" ht="15.75" x14ac:dyDescent="0.25">
      <c r="A271" s="1991" t="s">
        <v>5101</v>
      </c>
      <c r="B271" s="1991"/>
      <c r="C271" s="1991"/>
      <c r="D271" s="1991"/>
      <c r="E271" s="1991"/>
      <c r="F271" s="1991"/>
      <c r="G271" s="1991"/>
      <c r="H271" s="1991"/>
      <c r="I271" s="1991"/>
      <c r="J271" s="1991"/>
      <c r="K271" s="1991"/>
      <c r="L271" s="1991"/>
      <c r="M271" s="1991"/>
      <c r="N271" s="1991"/>
      <c r="O271" s="708"/>
    </row>
    <row r="272" spans="1:15" ht="15.75" thickBot="1" x14ac:dyDescent="0.3">
      <c r="A272" s="924" t="s">
        <v>5102</v>
      </c>
      <c r="B272" s="925" t="str">
        <f>IF(A132="","",A132)</f>
        <v/>
      </c>
      <c r="C272" s="708"/>
      <c r="D272" s="708"/>
      <c r="E272" s="708"/>
      <c r="F272" s="708"/>
      <c r="G272" s="708"/>
      <c r="H272" s="708"/>
      <c r="I272" s="708"/>
      <c r="J272" s="708"/>
      <c r="K272" s="708"/>
      <c r="L272" s="708"/>
      <c r="M272" s="708"/>
      <c r="N272" s="708"/>
      <c r="O272" s="708"/>
    </row>
    <row r="273" spans="1:15" x14ac:dyDescent="0.25">
      <c r="A273" s="939"/>
      <c r="B273" s="940" t="s">
        <v>4646</v>
      </c>
      <c r="C273" s="940" t="s">
        <v>5062</v>
      </c>
      <c r="D273" s="940" t="s">
        <v>5063</v>
      </c>
      <c r="E273" s="940" t="s">
        <v>5064</v>
      </c>
      <c r="F273" s="940" t="s">
        <v>5065</v>
      </c>
      <c r="G273" s="940" t="s">
        <v>5066</v>
      </c>
      <c r="H273" s="940" t="s">
        <v>5067</v>
      </c>
      <c r="I273" s="940" t="s">
        <v>5068</v>
      </c>
      <c r="J273" s="940" t="s">
        <v>5069</v>
      </c>
      <c r="K273" s="940" t="s">
        <v>5070</v>
      </c>
      <c r="L273" s="940" t="s">
        <v>5071</v>
      </c>
      <c r="M273" s="940" t="s">
        <v>5072</v>
      </c>
      <c r="N273" s="941" t="s">
        <v>5073</v>
      </c>
      <c r="O273" s="708"/>
    </row>
    <row r="274" spans="1:15" x14ac:dyDescent="0.25">
      <c r="A274" s="927" t="s">
        <v>5103</v>
      </c>
      <c r="B274" s="928" t="s">
        <v>5104</v>
      </c>
      <c r="C274" s="929" t="str">
        <f>C259</f>
        <v/>
      </c>
      <c r="D274" s="929" t="str">
        <f t="shared" ref="D274:N274" si="100">D259</f>
        <v/>
      </c>
      <c r="E274" s="929" t="str">
        <f t="shared" si="100"/>
        <v/>
      </c>
      <c r="F274" s="929" t="str">
        <f t="shared" si="100"/>
        <v/>
      </c>
      <c r="G274" s="929" t="str">
        <f t="shared" si="100"/>
        <v/>
      </c>
      <c r="H274" s="929" t="str">
        <f t="shared" si="100"/>
        <v/>
      </c>
      <c r="I274" s="929" t="str">
        <f t="shared" si="100"/>
        <v/>
      </c>
      <c r="J274" s="929" t="str">
        <f t="shared" si="100"/>
        <v/>
      </c>
      <c r="K274" s="929" t="str">
        <f t="shared" si="100"/>
        <v/>
      </c>
      <c r="L274" s="929" t="str">
        <f t="shared" si="100"/>
        <v/>
      </c>
      <c r="M274" s="929" t="str">
        <f t="shared" si="100"/>
        <v/>
      </c>
      <c r="N274" s="937" t="str">
        <f t="shared" si="100"/>
        <v/>
      </c>
      <c r="O274" s="708"/>
    </row>
    <row r="275" spans="1:15" x14ac:dyDescent="0.25">
      <c r="A275" s="850" t="s">
        <v>5105</v>
      </c>
      <c r="B275" s="928"/>
      <c r="C275" s="929" t="str">
        <f>IF(INDEX($A$123:$N$133,MATCH($B272,$A$123:$A$133,0),3)=0,"",INDEX($A$123:$N$133,MATCH($B272,$A$123:$A$133,0),3))</f>
        <v/>
      </c>
      <c r="D275" s="929" t="str">
        <f>IF(INDEX($A$123:$N$133,MATCH($B272,$A$123:$A$133,0),4)=0,"",INDEX($A$123:$N$133,MATCH($B272,$A$123:$A$133,0),4))</f>
        <v/>
      </c>
      <c r="E275" s="929" t="str">
        <f>IF(INDEX($A$123:$N$133,MATCH($B272,$A$123:$A$133,0),5)=0,"",INDEX($A$123:$N$133,MATCH($B272,$A$123:$A$133,0),5))</f>
        <v/>
      </c>
      <c r="F275" s="929" t="str">
        <f>IF(INDEX($A$123:$N$133,MATCH($B272,$A$123:$A$133,0),6)=0,"",INDEX($A$123:$N$133,MATCH($B272,$A$123:$A$133,0),6))</f>
        <v/>
      </c>
      <c r="G275" s="929" t="str">
        <f>IF(INDEX($A$123:$N$133,MATCH($B272,$A$123:$A$133,0),7)=0,"",INDEX($A$123:$N$133,MATCH($B272,$A$123:$A$133,0),7))</f>
        <v/>
      </c>
      <c r="H275" s="929" t="str">
        <f>IF(INDEX($A$123:$N$133,MATCH($B272,$A$123:$A$133,0),8)=0,"",INDEX($A$123:$N$133,MATCH($B272,$A$123:$A$133,0),8))</f>
        <v/>
      </c>
      <c r="I275" s="929" t="str">
        <f>IF(INDEX($A$123:$N$133,MATCH($B272,$A$123:$A$133,0),9)=0,"",INDEX($A$123:$N$133,MATCH($B272,$A$123:$A$133,0),9))</f>
        <v/>
      </c>
      <c r="J275" s="929" t="str">
        <f>IF(INDEX($A$123:$N$133,MATCH($B272,$A$123:$A$133,0),10)=0,"",INDEX($A$123:$N$133,MATCH($B272,$A$123:$A$133,0),10))</f>
        <v/>
      </c>
      <c r="K275" s="929" t="str">
        <f>IF(INDEX($A$123:$N$133,MATCH($B272,$A$123:$A$133,0),11)=0,"",INDEX($A$123:$N$133,MATCH($B272,$A$123:$A$133,0),11))</f>
        <v/>
      </c>
      <c r="L275" s="929" t="str">
        <f>IF(INDEX($A$123:$N$133,MATCH($B272,$A$123:$A$133,0),12)=0,"",INDEX($A$123:$N$133,MATCH($B272,$A$123:$A$133,0),12))</f>
        <v/>
      </c>
      <c r="M275" s="929" t="str">
        <f>IF(INDEX($A$123:$N$133,MATCH($B272,$A$123:$A$133,0),13)=0,"",INDEX($A$123:$N$133,MATCH($B272,$A$123:$A$133,0),13))</f>
        <v/>
      </c>
      <c r="N275" s="930" t="str">
        <f>IF(INDEX($A$123:$N$133,MATCH($B272,$A$123:$A$133,0),14)=0,"",INDEX($A$123:$N$133,MATCH($B272,$A$123:$A$133,0),14))</f>
        <v/>
      </c>
      <c r="O275" s="708"/>
    </row>
    <row r="276" spans="1:15" x14ac:dyDescent="0.25">
      <c r="A276" s="850" t="s">
        <v>5106</v>
      </c>
      <c r="B276" s="928" t="s">
        <v>5104</v>
      </c>
      <c r="C276" s="929" t="str">
        <f t="shared" ref="C276:N276" si="101">IF(C274="","",IF(C275="","",C274*C275))</f>
        <v/>
      </c>
      <c r="D276" s="929" t="str">
        <f t="shared" si="101"/>
        <v/>
      </c>
      <c r="E276" s="929" t="str">
        <f t="shared" si="101"/>
        <v/>
      </c>
      <c r="F276" s="929" t="str">
        <f t="shared" si="101"/>
        <v/>
      </c>
      <c r="G276" s="929" t="str">
        <f t="shared" si="101"/>
        <v/>
      </c>
      <c r="H276" s="929" t="str">
        <f t="shared" si="101"/>
        <v/>
      </c>
      <c r="I276" s="929" t="str">
        <f t="shared" si="101"/>
        <v/>
      </c>
      <c r="J276" s="929" t="str">
        <f t="shared" si="101"/>
        <v/>
      </c>
      <c r="K276" s="929" t="str">
        <f t="shared" si="101"/>
        <v/>
      </c>
      <c r="L276" s="929" t="str">
        <f t="shared" si="101"/>
        <v/>
      </c>
      <c r="M276" s="929" t="str">
        <f t="shared" si="101"/>
        <v/>
      </c>
      <c r="N276" s="930" t="str">
        <f t="shared" si="101"/>
        <v/>
      </c>
      <c r="O276" s="708"/>
    </row>
    <row r="277" spans="1:15" x14ac:dyDescent="0.25">
      <c r="A277" s="927" t="s">
        <v>5035</v>
      </c>
      <c r="B277" s="928" t="s">
        <v>5104</v>
      </c>
      <c r="C277" s="929">
        <f>C262</f>
        <v>0</v>
      </c>
      <c r="D277" s="929">
        <f t="shared" ref="D277:M277" si="102">D262</f>
        <v>0</v>
      </c>
      <c r="E277" s="929">
        <f t="shared" si="102"/>
        <v>0</v>
      </c>
      <c r="F277" s="929">
        <f t="shared" si="102"/>
        <v>0</v>
      </c>
      <c r="G277" s="929">
        <f t="shared" si="102"/>
        <v>0</v>
      </c>
      <c r="H277" s="929">
        <f t="shared" si="102"/>
        <v>0</v>
      </c>
      <c r="I277" s="929">
        <f t="shared" si="102"/>
        <v>0</v>
      </c>
      <c r="J277" s="929">
        <f t="shared" si="102"/>
        <v>0</v>
      </c>
      <c r="K277" s="929">
        <f t="shared" si="102"/>
        <v>0</v>
      </c>
      <c r="L277" s="929">
        <f t="shared" si="102"/>
        <v>0</v>
      </c>
      <c r="M277" s="929">
        <f t="shared" si="102"/>
        <v>0</v>
      </c>
      <c r="N277" s="930">
        <f>N262</f>
        <v>0</v>
      </c>
      <c r="O277" s="708"/>
    </row>
    <row r="278" spans="1:15" x14ac:dyDescent="0.25">
      <c r="A278" s="850" t="s">
        <v>5107</v>
      </c>
      <c r="B278" s="928" t="s">
        <v>5104</v>
      </c>
      <c r="C278" s="929" t="str">
        <f t="shared" ref="C278:N278" si="103">IF(C276="","",C276-C277)</f>
        <v/>
      </c>
      <c r="D278" s="929" t="str">
        <f t="shared" si="103"/>
        <v/>
      </c>
      <c r="E278" s="929" t="str">
        <f t="shared" si="103"/>
        <v/>
      </c>
      <c r="F278" s="929" t="str">
        <f t="shared" si="103"/>
        <v/>
      </c>
      <c r="G278" s="929" t="str">
        <f t="shared" si="103"/>
        <v/>
      </c>
      <c r="H278" s="929" t="str">
        <f t="shared" si="103"/>
        <v/>
      </c>
      <c r="I278" s="929" t="str">
        <f t="shared" si="103"/>
        <v/>
      </c>
      <c r="J278" s="929" t="str">
        <f t="shared" si="103"/>
        <v/>
      </c>
      <c r="K278" s="929" t="str">
        <f t="shared" si="103"/>
        <v/>
      </c>
      <c r="L278" s="929" t="str">
        <f t="shared" si="103"/>
        <v/>
      </c>
      <c r="M278" s="929" t="str">
        <f t="shared" si="103"/>
        <v/>
      </c>
      <c r="N278" s="930" t="str">
        <f t="shared" si="103"/>
        <v/>
      </c>
      <c r="O278" s="708"/>
    </row>
    <row r="279" spans="1:15" x14ac:dyDescent="0.25">
      <c r="A279" s="850" t="s">
        <v>5108</v>
      </c>
      <c r="B279" s="928" t="s">
        <v>5109</v>
      </c>
      <c r="C279" s="929" t="str">
        <f t="shared" ref="C279:N279" si="104">IF(C278="","",IF(C278&lt;0,0,C278*10))</f>
        <v/>
      </c>
      <c r="D279" s="929" t="str">
        <f t="shared" si="104"/>
        <v/>
      </c>
      <c r="E279" s="929" t="str">
        <f t="shared" si="104"/>
        <v/>
      </c>
      <c r="F279" s="929" t="str">
        <f t="shared" si="104"/>
        <v/>
      </c>
      <c r="G279" s="929" t="str">
        <f t="shared" si="104"/>
        <v/>
      </c>
      <c r="H279" s="929" t="str">
        <f t="shared" si="104"/>
        <v/>
      </c>
      <c r="I279" s="929" t="str">
        <f t="shared" si="104"/>
        <v/>
      </c>
      <c r="J279" s="929" t="str">
        <f t="shared" si="104"/>
        <v/>
      </c>
      <c r="K279" s="929" t="str">
        <f t="shared" si="104"/>
        <v/>
      </c>
      <c r="L279" s="929" t="str">
        <f t="shared" si="104"/>
        <v/>
      </c>
      <c r="M279" s="929" t="str">
        <f t="shared" si="104"/>
        <v/>
      </c>
      <c r="N279" s="930" t="str">
        <f t="shared" si="104"/>
        <v/>
      </c>
      <c r="O279" s="708"/>
    </row>
    <row r="280" spans="1:15" x14ac:dyDescent="0.25">
      <c r="A280" s="927" t="s">
        <v>5081</v>
      </c>
      <c r="B280" s="928"/>
      <c r="C280" s="929" t="str">
        <f>C265</f>
        <v/>
      </c>
      <c r="D280" s="929" t="str">
        <f>C280</f>
        <v/>
      </c>
      <c r="E280" s="929" t="str">
        <f t="shared" ref="E280:M281" si="105">D280</f>
        <v/>
      </c>
      <c r="F280" s="929" t="str">
        <f t="shared" si="105"/>
        <v/>
      </c>
      <c r="G280" s="929" t="str">
        <f t="shared" si="105"/>
        <v/>
      </c>
      <c r="H280" s="929" t="str">
        <f t="shared" si="105"/>
        <v/>
      </c>
      <c r="I280" s="929" t="str">
        <f t="shared" si="105"/>
        <v/>
      </c>
      <c r="J280" s="929" t="str">
        <f t="shared" si="105"/>
        <v/>
      </c>
      <c r="K280" s="929" t="str">
        <f t="shared" si="105"/>
        <v/>
      </c>
      <c r="L280" s="929" t="str">
        <f t="shared" si="105"/>
        <v/>
      </c>
      <c r="M280" s="929" t="str">
        <f t="shared" si="105"/>
        <v/>
      </c>
      <c r="N280" s="930" t="str">
        <f>M280</f>
        <v/>
      </c>
      <c r="O280" s="708"/>
    </row>
    <row r="281" spans="1:15" x14ac:dyDescent="0.25">
      <c r="A281" s="927" t="s">
        <v>5110</v>
      </c>
      <c r="B281" s="928" t="s">
        <v>5111</v>
      </c>
      <c r="C281" s="929" t="str">
        <f>C266</f>
        <v/>
      </c>
      <c r="D281" s="929" t="str">
        <f>C281</f>
        <v/>
      </c>
      <c r="E281" s="929" t="str">
        <f t="shared" si="105"/>
        <v/>
      </c>
      <c r="F281" s="929" t="str">
        <f t="shared" si="105"/>
        <v/>
      </c>
      <c r="G281" s="929" t="str">
        <f t="shared" si="105"/>
        <v/>
      </c>
      <c r="H281" s="929" t="str">
        <f t="shared" si="105"/>
        <v/>
      </c>
      <c r="I281" s="929" t="str">
        <f t="shared" si="105"/>
        <v/>
      </c>
      <c r="J281" s="929" t="str">
        <f t="shared" si="105"/>
        <v/>
      </c>
      <c r="K281" s="929" t="str">
        <f t="shared" si="105"/>
        <v/>
      </c>
      <c r="L281" s="929" t="str">
        <f t="shared" si="105"/>
        <v/>
      </c>
      <c r="M281" s="929" t="str">
        <f t="shared" si="105"/>
        <v/>
      </c>
      <c r="N281" s="930" t="str">
        <f>M281</f>
        <v/>
      </c>
      <c r="O281" s="708"/>
    </row>
    <row r="282" spans="1:15" x14ac:dyDescent="0.25">
      <c r="A282" s="850" t="s">
        <v>5112</v>
      </c>
      <c r="B282" s="928" t="s">
        <v>5113</v>
      </c>
      <c r="C282" s="929" t="str">
        <f t="shared" ref="C282:N282" si="106">IF(C280="","",IF(C279="","",IF(C281="","",C279*(1000/(3600*31*C281))/C280)))</f>
        <v/>
      </c>
      <c r="D282" s="929" t="str">
        <f t="shared" si="106"/>
        <v/>
      </c>
      <c r="E282" s="929" t="str">
        <f t="shared" si="106"/>
        <v/>
      </c>
      <c r="F282" s="929" t="str">
        <f t="shared" si="106"/>
        <v/>
      </c>
      <c r="G282" s="929" t="str">
        <f t="shared" si="106"/>
        <v/>
      </c>
      <c r="H282" s="929" t="str">
        <f t="shared" si="106"/>
        <v/>
      </c>
      <c r="I282" s="929" t="str">
        <f t="shared" si="106"/>
        <v/>
      </c>
      <c r="J282" s="929" t="str">
        <f t="shared" si="106"/>
        <v/>
      </c>
      <c r="K282" s="929" t="str">
        <f t="shared" si="106"/>
        <v/>
      </c>
      <c r="L282" s="929" t="str">
        <f t="shared" si="106"/>
        <v/>
      </c>
      <c r="M282" s="929" t="str">
        <f t="shared" si="106"/>
        <v/>
      </c>
      <c r="N282" s="930" t="str">
        <f t="shared" si="106"/>
        <v/>
      </c>
      <c r="O282" s="708"/>
    </row>
    <row r="283" spans="1:15" ht="15.75" thickBot="1" x14ac:dyDescent="0.3">
      <c r="A283" s="850" t="s">
        <v>5114</v>
      </c>
      <c r="B283" s="928" t="s">
        <v>5115</v>
      </c>
      <c r="C283" s="929" t="str">
        <f t="shared" ref="C283:N283" si="107">IF(C275="","",INDEX($A$123:$B$133,MATCH($B272,$A$123:$A$133,0),2))</f>
        <v/>
      </c>
      <c r="D283" s="929" t="str">
        <f t="shared" si="107"/>
        <v/>
      </c>
      <c r="E283" s="929" t="str">
        <f t="shared" si="107"/>
        <v/>
      </c>
      <c r="F283" s="929" t="str">
        <f t="shared" si="107"/>
        <v/>
      </c>
      <c r="G283" s="929" t="str">
        <f t="shared" si="107"/>
        <v/>
      </c>
      <c r="H283" s="929" t="str">
        <f t="shared" si="107"/>
        <v/>
      </c>
      <c r="I283" s="929" t="str">
        <f t="shared" si="107"/>
        <v/>
      </c>
      <c r="J283" s="929" t="str">
        <f t="shared" si="107"/>
        <v/>
      </c>
      <c r="K283" s="929" t="str">
        <f t="shared" si="107"/>
        <v/>
      </c>
      <c r="L283" s="929" t="str">
        <f t="shared" si="107"/>
        <v/>
      </c>
      <c r="M283" s="929" t="str">
        <f t="shared" si="107"/>
        <v/>
      </c>
      <c r="N283" s="932" t="str">
        <f t="shared" si="107"/>
        <v/>
      </c>
      <c r="O283" s="708"/>
    </row>
    <row r="284" spans="1:15" ht="15.75" thickBot="1" x14ac:dyDescent="0.3">
      <c r="A284" s="933" t="s">
        <v>5116</v>
      </c>
      <c r="B284" s="934" t="s">
        <v>5113</v>
      </c>
      <c r="C284" s="935" t="str">
        <f t="shared" ref="C284:N284" si="108">IF(C282="","",C282*C283)</f>
        <v/>
      </c>
      <c r="D284" s="935" t="str">
        <f t="shared" si="108"/>
        <v/>
      </c>
      <c r="E284" s="935" t="str">
        <f t="shared" si="108"/>
        <v/>
      </c>
      <c r="F284" s="935" t="str">
        <f t="shared" si="108"/>
        <v/>
      </c>
      <c r="G284" s="935" t="str">
        <f t="shared" si="108"/>
        <v/>
      </c>
      <c r="H284" s="935" t="str">
        <f t="shared" si="108"/>
        <v/>
      </c>
      <c r="I284" s="935" t="str">
        <f t="shared" si="108"/>
        <v/>
      </c>
      <c r="J284" s="935" t="str">
        <f t="shared" si="108"/>
        <v/>
      </c>
      <c r="K284" s="935" t="str">
        <f t="shared" si="108"/>
        <v/>
      </c>
      <c r="L284" s="935" t="str">
        <f t="shared" si="108"/>
        <v/>
      </c>
      <c r="M284" s="935" t="str">
        <f t="shared" si="108"/>
        <v/>
      </c>
      <c r="N284" s="936" t="str">
        <f t="shared" si="108"/>
        <v/>
      </c>
      <c r="O284" s="708"/>
    </row>
    <row r="285" spans="1:15" x14ac:dyDescent="0.25">
      <c r="A285" s="708"/>
      <c r="B285" s="708"/>
      <c r="C285" s="708"/>
      <c r="D285" s="708"/>
      <c r="E285" s="708"/>
      <c r="F285" s="708"/>
      <c r="G285" s="708"/>
      <c r="H285" s="708"/>
      <c r="I285" s="708"/>
      <c r="J285" s="708"/>
      <c r="K285" s="708"/>
      <c r="L285" s="708"/>
      <c r="M285" s="708"/>
      <c r="N285" s="708"/>
      <c r="O285" s="708"/>
    </row>
    <row r="286" spans="1:15" ht="15.75" x14ac:dyDescent="0.25">
      <c r="A286" s="1991" t="s">
        <v>5101</v>
      </c>
      <c r="B286" s="1991"/>
      <c r="C286" s="1991"/>
      <c r="D286" s="1991"/>
      <c r="E286" s="1991"/>
      <c r="F286" s="1991"/>
      <c r="G286" s="1991"/>
      <c r="H286" s="1991"/>
      <c r="I286" s="1991"/>
      <c r="J286" s="1991"/>
      <c r="K286" s="1991"/>
      <c r="L286" s="1991"/>
      <c r="M286" s="1991"/>
      <c r="N286" s="1991"/>
      <c r="O286" s="708"/>
    </row>
    <row r="287" spans="1:15" ht="15.75" thickBot="1" x14ac:dyDescent="0.3">
      <c r="A287" s="924" t="s">
        <v>5102</v>
      </c>
      <c r="B287" s="925" t="str">
        <f>IF(A133="","",A133)</f>
        <v/>
      </c>
      <c r="C287" s="708"/>
      <c r="D287" s="708"/>
      <c r="E287" s="708"/>
      <c r="F287" s="708"/>
      <c r="G287" s="708"/>
      <c r="H287" s="708"/>
      <c r="I287" s="708"/>
      <c r="J287" s="708"/>
      <c r="K287" s="708"/>
      <c r="L287" s="708"/>
      <c r="M287" s="708"/>
      <c r="N287" s="708"/>
      <c r="O287" s="708"/>
    </row>
    <row r="288" spans="1:15" x14ac:dyDescent="0.25">
      <c r="A288" s="939"/>
      <c r="B288" s="940" t="s">
        <v>4646</v>
      </c>
      <c r="C288" s="940" t="s">
        <v>5062</v>
      </c>
      <c r="D288" s="940" t="s">
        <v>5063</v>
      </c>
      <c r="E288" s="940" t="s">
        <v>5064</v>
      </c>
      <c r="F288" s="940" t="s">
        <v>5065</v>
      </c>
      <c r="G288" s="940" t="s">
        <v>5066</v>
      </c>
      <c r="H288" s="940" t="s">
        <v>5067</v>
      </c>
      <c r="I288" s="940" t="s">
        <v>5068</v>
      </c>
      <c r="J288" s="940" t="s">
        <v>5069</v>
      </c>
      <c r="K288" s="940" t="s">
        <v>5070</v>
      </c>
      <c r="L288" s="940" t="s">
        <v>5071</v>
      </c>
      <c r="M288" s="940" t="s">
        <v>5072</v>
      </c>
      <c r="N288" s="941" t="s">
        <v>5073</v>
      </c>
      <c r="O288" s="708"/>
    </row>
    <row r="289" spans="1:15" x14ac:dyDescent="0.25">
      <c r="A289" s="927" t="s">
        <v>5103</v>
      </c>
      <c r="B289" s="928" t="s">
        <v>5104</v>
      </c>
      <c r="C289" s="929" t="str">
        <f>C274</f>
        <v/>
      </c>
      <c r="D289" s="929" t="str">
        <f t="shared" ref="D289:N289" si="109">D274</f>
        <v/>
      </c>
      <c r="E289" s="929" t="str">
        <f t="shared" si="109"/>
        <v/>
      </c>
      <c r="F289" s="929" t="str">
        <f t="shared" si="109"/>
        <v/>
      </c>
      <c r="G289" s="929" t="str">
        <f t="shared" si="109"/>
        <v/>
      </c>
      <c r="H289" s="929" t="str">
        <f t="shared" si="109"/>
        <v/>
      </c>
      <c r="I289" s="929" t="str">
        <f t="shared" si="109"/>
        <v/>
      </c>
      <c r="J289" s="929" t="str">
        <f t="shared" si="109"/>
        <v/>
      </c>
      <c r="K289" s="929" t="str">
        <f t="shared" si="109"/>
        <v/>
      </c>
      <c r="L289" s="929" t="str">
        <f t="shared" si="109"/>
        <v/>
      </c>
      <c r="M289" s="929" t="str">
        <f t="shared" si="109"/>
        <v/>
      </c>
      <c r="N289" s="937" t="str">
        <f t="shared" si="109"/>
        <v/>
      </c>
      <c r="O289" s="708"/>
    </row>
    <row r="290" spans="1:15" x14ac:dyDescent="0.25">
      <c r="A290" s="850" t="s">
        <v>5105</v>
      </c>
      <c r="B290" s="928"/>
      <c r="C290" s="929" t="str">
        <f>IF(INDEX($A$123:$N$133,MATCH($B287,$A$123:$A$133,0),3)=0,"",INDEX($A$123:$N$133,MATCH($B287,$A$123:$A$133,0),3))</f>
        <v/>
      </c>
      <c r="D290" s="929" t="str">
        <f>IF(INDEX($A$123:$N$133,MATCH($B287,$A$123:$A$133,0),4)=0,"",INDEX($A$123:$N$133,MATCH($B287,$A$123:$A$133,0),4))</f>
        <v/>
      </c>
      <c r="E290" s="929" t="str">
        <f>IF(INDEX($A$123:$N$133,MATCH($B287,$A$123:$A$133,0),5)=0,"",INDEX($A$123:$N$133,MATCH($B287,$A$123:$A$133,0),5))</f>
        <v/>
      </c>
      <c r="F290" s="929" t="str">
        <f>IF(INDEX($A$123:$N$133,MATCH($B287,$A$123:$A$133,0),6)=0,"",INDEX($A$123:$N$133,MATCH($B287,$A$123:$A$133,0),6))</f>
        <v/>
      </c>
      <c r="G290" s="929" t="str">
        <f>IF(INDEX($A$123:$N$133,MATCH($B287,$A$123:$A$133,0),7)=0,"",INDEX($A$123:$N$133,MATCH($B287,$A$123:$A$133,0),7))</f>
        <v/>
      </c>
      <c r="H290" s="929" t="str">
        <f>IF(INDEX($A$123:$N$133,MATCH($B287,$A$123:$A$133,0),8)=0,"",INDEX($A$123:$N$133,MATCH($B287,$A$123:$A$133,0),8))</f>
        <v/>
      </c>
      <c r="I290" s="929" t="str">
        <f>IF(INDEX($A$123:$N$133,MATCH($B287,$A$123:$A$133,0),9)=0,"",INDEX($A$123:$N$133,MATCH($B287,$A$123:$A$133,0),9))</f>
        <v/>
      </c>
      <c r="J290" s="929" t="str">
        <f>IF(INDEX($A$123:$N$133,MATCH($B287,$A$123:$A$133,0),10)=0,"",INDEX($A$123:$N$133,MATCH($B287,$A$123:$A$133,0),10))</f>
        <v/>
      </c>
      <c r="K290" s="929" t="str">
        <f>IF(INDEX($A$123:$N$133,MATCH($B287,$A$123:$A$133,0),11)=0,"",INDEX($A$123:$N$133,MATCH($B287,$A$123:$A$133,0),11))</f>
        <v/>
      </c>
      <c r="L290" s="929" t="str">
        <f>IF(INDEX($A$123:$N$133,MATCH($B287,$A$123:$A$133,0),12)=0,"",INDEX($A$123:$N$133,MATCH($B287,$A$123:$A$133,0),12))</f>
        <v/>
      </c>
      <c r="M290" s="929" t="str">
        <f>IF(INDEX($A$123:$N$133,MATCH($B287,$A$123:$A$133,0),13)=0,"",INDEX($A$123:$N$133,MATCH($B287,$A$123:$A$133,0),13))</f>
        <v/>
      </c>
      <c r="N290" s="930" t="str">
        <f>IF(INDEX($A$123:$N$133,MATCH($B287,$A$123:$A$133,0),14)=0,"",INDEX($A$123:$N$133,MATCH($B287,$A$123:$A$133,0),14))</f>
        <v/>
      </c>
      <c r="O290" s="708"/>
    </row>
    <row r="291" spans="1:15" x14ac:dyDescent="0.25">
      <c r="A291" s="850" t="s">
        <v>5106</v>
      </c>
      <c r="B291" s="928" t="s">
        <v>5104</v>
      </c>
      <c r="C291" s="929" t="str">
        <f t="shared" ref="C291:N291" si="110">IF(C289="","",IF(C290="","",C289*C290))</f>
        <v/>
      </c>
      <c r="D291" s="929" t="str">
        <f t="shared" si="110"/>
        <v/>
      </c>
      <c r="E291" s="929" t="str">
        <f t="shared" si="110"/>
        <v/>
      </c>
      <c r="F291" s="929" t="str">
        <f t="shared" si="110"/>
        <v/>
      </c>
      <c r="G291" s="929" t="str">
        <f t="shared" si="110"/>
        <v/>
      </c>
      <c r="H291" s="929" t="str">
        <f t="shared" si="110"/>
        <v/>
      </c>
      <c r="I291" s="929" t="str">
        <f t="shared" si="110"/>
        <v/>
      </c>
      <c r="J291" s="929" t="str">
        <f t="shared" si="110"/>
        <v/>
      </c>
      <c r="K291" s="929" t="str">
        <f t="shared" si="110"/>
        <v/>
      </c>
      <c r="L291" s="929" t="str">
        <f t="shared" si="110"/>
        <v/>
      </c>
      <c r="M291" s="929" t="str">
        <f t="shared" si="110"/>
        <v/>
      </c>
      <c r="N291" s="930" t="str">
        <f t="shared" si="110"/>
        <v/>
      </c>
      <c r="O291" s="708"/>
    </row>
    <row r="292" spans="1:15" x14ac:dyDescent="0.25">
      <c r="A292" s="927" t="s">
        <v>5035</v>
      </c>
      <c r="B292" s="928" t="s">
        <v>5104</v>
      </c>
      <c r="C292" s="929">
        <f>C277</f>
        <v>0</v>
      </c>
      <c r="D292" s="929">
        <f t="shared" ref="D292:M292" si="111">D277</f>
        <v>0</v>
      </c>
      <c r="E292" s="929">
        <f t="shared" si="111"/>
        <v>0</v>
      </c>
      <c r="F292" s="929">
        <f t="shared" si="111"/>
        <v>0</v>
      </c>
      <c r="G292" s="929">
        <f t="shared" si="111"/>
        <v>0</v>
      </c>
      <c r="H292" s="929">
        <f t="shared" si="111"/>
        <v>0</v>
      </c>
      <c r="I292" s="929">
        <f t="shared" si="111"/>
        <v>0</v>
      </c>
      <c r="J292" s="929">
        <f t="shared" si="111"/>
        <v>0</v>
      </c>
      <c r="K292" s="929">
        <f t="shared" si="111"/>
        <v>0</v>
      </c>
      <c r="L292" s="929">
        <f t="shared" si="111"/>
        <v>0</v>
      </c>
      <c r="M292" s="929">
        <f t="shared" si="111"/>
        <v>0</v>
      </c>
      <c r="N292" s="930">
        <f>N277</f>
        <v>0</v>
      </c>
      <c r="O292" s="708"/>
    </row>
    <row r="293" spans="1:15" x14ac:dyDescent="0.25">
      <c r="A293" s="850" t="s">
        <v>5107</v>
      </c>
      <c r="B293" s="928" t="s">
        <v>5104</v>
      </c>
      <c r="C293" s="929" t="str">
        <f t="shared" ref="C293:N293" si="112">IF(C291="","",C291-C292)</f>
        <v/>
      </c>
      <c r="D293" s="929" t="str">
        <f t="shared" si="112"/>
        <v/>
      </c>
      <c r="E293" s="929" t="str">
        <f t="shared" si="112"/>
        <v/>
      </c>
      <c r="F293" s="929" t="str">
        <f t="shared" si="112"/>
        <v/>
      </c>
      <c r="G293" s="929" t="str">
        <f t="shared" si="112"/>
        <v/>
      </c>
      <c r="H293" s="929" t="str">
        <f t="shared" si="112"/>
        <v/>
      </c>
      <c r="I293" s="929" t="str">
        <f t="shared" si="112"/>
        <v/>
      </c>
      <c r="J293" s="929" t="str">
        <f t="shared" si="112"/>
        <v/>
      </c>
      <c r="K293" s="929" t="str">
        <f t="shared" si="112"/>
        <v/>
      </c>
      <c r="L293" s="929" t="str">
        <f t="shared" si="112"/>
        <v/>
      </c>
      <c r="M293" s="929" t="str">
        <f t="shared" si="112"/>
        <v/>
      </c>
      <c r="N293" s="930" t="str">
        <f t="shared" si="112"/>
        <v/>
      </c>
      <c r="O293" s="708"/>
    </row>
    <row r="294" spans="1:15" x14ac:dyDescent="0.25">
      <c r="A294" s="850" t="s">
        <v>5108</v>
      </c>
      <c r="B294" s="928" t="s">
        <v>5109</v>
      </c>
      <c r="C294" s="929" t="str">
        <f t="shared" ref="C294:N294" si="113">IF(C293="","",IF(C293&lt;0,0,C293*10))</f>
        <v/>
      </c>
      <c r="D294" s="929" t="str">
        <f t="shared" si="113"/>
        <v/>
      </c>
      <c r="E294" s="929" t="str">
        <f t="shared" si="113"/>
        <v/>
      </c>
      <c r="F294" s="929" t="str">
        <f t="shared" si="113"/>
        <v/>
      </c>
      <c r="G294" s="929" t="str">
        <f t="shared" si="113"/>
        <v/>
      </c>
      <c r="H294" s="929" t="str">
        <f t="shared" si="113"/>
        <v/>
      </c>
      <c r="I294" s="929" t="str">
        <f t="shared" si="113"/>
        <v/>
      </c>
      <c r="J294" s="929" t="str">
        <f t="shared" si="113"/>
        <v/>
      </c>
      <c r="K294" s="929" t="str">
        <f t="shared" si="113"/>
        <v/>
      </c>
      <c r="L294" s="929" t="str">
        <f t="shared" si="113"/>
        <v/>
      </c>
      <c r="M294" s="929" t="str">
        <f t="shared" si="113"/>
        <v/>
      </c>
      <c r="N294" s="930" t="str">
        <f t="shared" si="113"/>
        <v/>
      </c>
      <c r="O294" s="708"/>
    </row>
    <row r="295" spans="1:15" x14ac:dyDescent="0.25">
      <c r="A295" s="927" t="s">
        <v>5081</v>
      </c>
      <c r="B295" s="928"/>
      <c r="C295" s="929" t="str">
        <f>C280</f>
        <v/>
      </c>
      <c r="D295" s="929" t="str">
        <f>C295</f>
        <v/>
      </c>
      <c r="E295" s="929" t="str">
        <f t="shared" ref="E295:M296" si="114">D295</f>
        <v/>
      </c>
      <c r="F295" s="929" t="str">
        <f t="shared" si="114"/>
        <v/>
      </c>
      <c r="G295" s="929" t="str">
        <f t="shared" si="114"/>
        <v/>
      </c>
      <c r="H295" s="929" t="str">
        <f t="shared" si="114"/>
        <v/>
      </c>
      <c r="I295" s="929" t="str">
        <f t="shared" si="114"/>
        <v/>
      </c>
      <c r="J295" s="929" t="str">
        <f t="shared" si="114"/>
        <v/>
      </c>
      <c r="K295" s="929" t="str">
        <f t="shared" si="114"/>
        <v/>
      </c>
      <c r="L295" s="929" t="str">
        <f t="shared" si="114"/>
        <v/>
      </c>
      <c r="M295" s="929" t="str">
        <f t="shared" si="114"/>
        <v/>
      </c>
      <c r="N295" s="930" t="str">
        <f>M295</f>
        <v/>
      </c>
      <c r="O295" s="708"/>
    </row>
    <row r="296" spans="1:15" x14ac:dyDescent="0.25">
      <c r="A296" s="927" t="s">
        <v>5110</v>
      </c>
      <c r="B296" s="928" t="s">
        <v>5111</v>
      </c>
      <c r="C296" s="929" t="str">
        <f>C281</f>
        <v/>
      </c>
      <c r="D296" s="929" t="str">
        <f>C296</f>
        <v/>
      </c>
      <c r="E296" s="929" t="str">
        <f t="shared" si="114"/>
        <v/>
      </c>
      <c r="F296" s="929" t="str">
        <f t="shared" si="114"/>
        <v/>
      </c>
      <c r="G296" s="929" t="str">
        <f t="shared" si="114"/>
        <v/>
      </c>
      <c r="H296" s="929" t="str">
        <f t="shared" si="114"/>
        <v/>
      </c>
      <c r="I296" s="929" t="str">
        <f t="shared" si="114"/>
        <v/>
      </c>
      <c r="J296" s="929" t="str">
        <f t="shared" si="114"/>
        <v/>
      </c>
      <c r="K296" s="929" t="str">
        <f t="shared" si="114"/>
        <v/>
      </c>
      <c r="L296" s="929" t="str">
        <f t="shared" si="114"/>
        <v/>
      </c>
      <c r="M296" s="929" t="str">
        <f t="shared" si="114"/>
        <v/>
      </c>
      <c r="N296" s="930" t="str">
        <f>M296</f>
        <v/>
      </c>
      <c r="O296" s="708"/>
    </row>
    <row r="297" spans="1:15" x14ac:dyDescent="0.25">
      <c r="A297" s="850" t="s">
        <v>5112</v>
      </c>
      <c r="B297" s="928" t="s">
        <v>5113</v>
      </c>
      <c r="C297" s="929" t="str">
        <f t="shared" ref="C297:N297" si="115">IF(C295="","",IF(C294="","",IF(C296="","",C294*(1000/(3600*31*C296))/C295)))</f>
        <v/>
      </c>
      <c r="D297" s="929" t="str">
        <f t="shared" si="115"/>
        <v/>
      </c>
      <c r="E297" s="929" t="str">
        <f t="shared" si="115"/>
        <v/>
      </c>
      <c r="F297" s="929" t="str">
        <f t="shared" si="115"/>
        <v/>
      </c>
      <c r="G297" s="929" t="str">
        <f t="shared" si="115"/>
        <v/>
      </c>
      <c r="H297" s="929" t="str">
        <f t="shared" si="115"/>
        <v/>
      </c>
      <c r="I297" s="929" t="str">
        <f t="shared" si="115"/>
        <v/>
      </c>
      <c r="J297" s="929" t="str">
        <f t="shared" si="115"/>
        <v/>
      </c>
      <c r="K297" s="929" t="str">
        <f t="shared" si="115"/>
        <v/>
      </c>
      <c r="L297" s="929" t="str">
        <f t="shared" si="115"/>
        <v/>
      </c>
      <c r="M297" s="929" t="str">
        <f t="shared" si="115"/>
        <v/>
      </c>
      <c r="N297" s="930" t="str">
        <f t="shared" si="115"/>
        <v/>
      </c>
      <c r="O297" s="708"/>
    </row>
    <row r="298" spans="1:15" ht="15.75" thickBot="1" x14ac:dyDescent="0.3">
      <c r="A298" s="850" t="s">
        <v>5114</v>
      </c>
      <c r="B298" s="928" t="s">
        <v>5115</v>
      </c>
      <c r="C298" s="929" t="str">
        <f t="shared" ref="C298:N298" si="116">IF(C290="","",INDEX($A$123:$B$133,MATCH($B287,$A$123:$A$133,0),2))</f>
        <v/>
      </c>
      <c r="D298" s="929" t="str">
        <f t="shared" si="116"/>
        <v/>
      </c>
      <c r="E298" s="929" t="str">
        <f t="shared" si="116"/>
        <v/>
      </c>
      <c r="F298" s="929" t="str">
        <f t="shared" si="116"/>
        <v/>
      </c>
      <c r="G298" s="929" t="str">
        <f t="shared" si="116"/>
        <v/>
      </c>
      <c r="H298" s="929" t="str">
        <f t="shared" si="116"/>
        <v/>
      </c>
      <c r="I298" s="929" t="str">
        <f t="shared" si="116"/>
        <v/>
      </c>
      <c r="J298" s="929" t="str">
        <f t="shared" si="116"/>
        <v/>
      </c>
      <c r="K298" s="929" t="str">
        <f t="shared" si="116"/>
        <v/>
      </c>
      <c r="L298" s="929" t="str">
        <f t="shared" si="116"/>
        <v/>
      </c>
      <c r="M298" s="929" t="str">
        <f t="shared" si="116"/>
        <v/>
      </c>
      <c r="N298" s="932" t="str">
        <f t="shared" si="116"/>
        <v/>
      </c>
      <c r="O298" s="708"/>
    </row>
    <row r="299" spans="1:15" ht="15.75" thickBot="1" x14ac:dyDescent="0.3">
      <c r="A299" s="933" t="s">
        <v>5116</v>
      </c>
      <c r="B299" s="934" t="s">
        <v>5113</v>
      </c>
      <c r="C299" s="935" t="str">
        <f t="shared" ref="C299:N299" si="117">IF(C297="","",C297*C298)</f>
        <v/>
      </c>
      <c r="D299" s="935" t="str">
        <f t="shared" si="117"/>
        <v/>
      </c>
      <c r="E299" s="935" t="str">
        <f t="shared" si="117"/>
        <v/>
      </c>
      <c r="F299" s="935" t="str">
        <f t="shared" si="117"/>
        <v/>
      </c>
      <c r="G299" s="935" t="str">
        <f t="shared" si="117"/>
        <v/>
      </c>
      <c r="H299" s="935" t="str">
        <f t="shared" si="117"/>
        <v/>
      </c>
      <c r="I299" s="935" t="str">
        <f t="shared" si="117"/>
        <v/>
      </c>
      <c r="J299" s="935" t="str">
        <f t="shared" si="117"/>
        <v/>
      </c>
      <c r="K299" s="935" t="str">
        <f t="shared" si="117"/>
        <v/>
      </c>
      <c r="L299" s="935" t="str">
        <f t="shared" si="117"/>
        <v/>
      </c>
      <c r="M299" s="935" t="str">
        <f t="shared" si="117"/>
        <v/>
      </c>
      <c r="N299" s="936" t="str">
        <f t="shared" si="117"/>
        <v/>
      </c>
      <c r="O299" s="708"/>
    </row>
    <row r="300" spans="1:15" x14ac:dyDescent="0.25">
      <c r="A300" s="708"/>
      <c r="B300" s="708"/>
      <c r="C300" s="708"/>
      <c r="D300" s="708"/>
      <c r="E300" s="708"/>
      <c r="F300" s="708"/>
      <c r="G300" s="708"/>
      <c r="H300" s="708"/>
      <c r="I300" s="708"/>
      <c r="J300" s="708"/>
      <c r="K300" s="708"/>
      <c r="L300" s="708"/>
      <c r="M300" s="708"/>
      <c r="N300" s="708"/>
      <c r="O300" s="708"/>
    </row>
    <row r="301" spans="1:15" x14ac:dyDescent="0.25">
      <c r="A301" s="708"/>
      <c r="B301" s="708"/>
      <c r="C301" s="708"/>
      <c r="D301" s="708"/>
      <c r="E301" s="708"/>
      <c r="F301" s="708"/>
      <c r="G301" s="708"/>
      <c r="H301" s="708"/>
      <c r="I301" s="708"/>
      <c r="J301" s="708"/>
      <c r="K301" s="708"/>
      <c r="L301" s="708"/>
      <c r="M301" s="708"/>
      <c r="N301" s="708"/>
      <c r="O301" s="708"/>
    </row>
    <row r="302" spans="1:15" x14ac:dyDescent="0.25">
      <c r="A302" s="708"/>
      <c r="B302" s="708"/>
      <c r="C302" s="708"/>
      <c r="D302" s="708"/>
      <c r="E302" s="708"/>
      <c r="F302" s="708"/>
      <c r="G302" s="708"/>
      <c r="H302" s="708"/>
      <c r="I302" s="708"/>
      <c r="J302" s="708"/>
      <c r="K302" s="708"/>
      <c r="L302" s="708"/>
      <c r="M302" s="708"/>
      <c r="N302" s="708"/>
      <c r="O302" s="708"/>
    </row>
    <row r="303" spans="1:15" x14ac:dyDescent="0.25">
      <c r="A303" s="708"/>
      <c r="B303" s="708"/>
      <c r="C303" s="708"/>
      <c r="D303" s="708"/>
      <c r="E303" s="708"/>
      <c r="F303" s="708"/>
      <c r="G303" s="708"/>
      <c r="H303" s="708"/>
      <c r="I303" s="708"/>
      <c r="J303" s="708"/>
      <c r="K303" s="708"/>
      <c r="L303" s="708"/>
      <c r="M303" s="708"/>
      <c r="N303" s="708"/>
      <c r="O303" s="708"/>
    </row>
    <row r="304" spans="1:15" x14ac:dyDescent="0.25">
      <c r="A304" s="708"/>
      <c r="B304" s="708"/>
      <c r="C304" s="942"/>
      <c r="D304" s="942"/>
      <c r="E304" s="942"/>
      <c r="F304" s="942"/>
      <c r="G304" s="942"/>
      <c r="H304" s="942"/>
      <c r="I304" s="942"/>
      <c r="J304" s="942"/>
      <c r="K304" s="942"/>
      <c r="L304" s="942"/>
      <c r="M304" s="942"/>
      <c r="N304" s="942"/>
      <c r="O304" s="708"/>
    </row>
    <row r="305" spans="1:16" x14ac:dyDescent="0.25">
      <c r="A305" s="708"/>
      <c r="B305" s="708"/>
      <c r="C305" s="708"/>
      <c r="D305" s="708"/>
      <c r="E305" s="708"/>
      <c r="F305" s="708"/>
      <c r="G305" s="708"/>
      <c r="H305" s="708"/>
      <c r="I305" s="708"/>
      <c r="J305" s="708"/>
      <c r="K305" s="708"/>
      <c r="L305" s="708"/>
      <c r="M305" s="708"/>
      <c r="N305" s="708"/>
      <c r="O305" s="708"/>
    </row>
    <row r="306" spans="1:16" x14ac:dyDescent="0.25">
      <c r="A306" s="708"/>
      <c r="B306" s="708"/>
      <c r="C306" s="708"/>
      <c r="D306" s="708"/>
      <c r="E306" s="708"/>
      <c r="F306" s="708"/>
      <c r="G306" s="708"/>
      <c r="H306" s="708"/>
      <c r="I306" s="708"/>
      <c r="J306" s="708"/>
      <c r="K306" s="708"/>
      <c r="L306" s="708"/>
      <c r="M306" s="708"/>
      <c r="N306" s="708"/>
      <c r="O306" s="708"/>
      <c r="P306" s="864"/>
    </row>
    <row r="307" spans="1:16" x14ac:dyDescent="0.25">
      <c r="A307" s="708"/>
      <c r="B307" s="708"/>
      <c r="C307" s="708"/>
      <c r="D307" s="708"/>
      <c r="E307" s="708"/>
      <c r="F307" s="708"/>
      <c r="G307" s="708"/>
      <c r="H307" s="708"/>
      <c r="I307" s="708"/>
      <c r="J307" s="708"/>
      <c r="K307" s="708"/>
      <c r="L307" s="708"/>
      <c r="M307" s="708"/>
      <c r="N307" s="708"/>
      <c r="O307" s="708"/>
    </row>
    <row r="308" spans="1:16" x14ac:dyDescent="0.25">
      <c r="A308" s="943"/>
      <c r="B308" s="943"/>
      <c r="C308" s="943"/>
      <c r="D308" s="943"/>
      <c r="E308" s="943"/>
      <c r="F308" s="943"/>
      <c r="G308" s="943"/>
      <c r="H308" s="943"/>
      <c r="I308" s="943"/>
      <c r="J308" s="943"/>
      <c r="K308" s="943"/>
      <c r="L308" s="943"/>
      <c r="M308" s="943"/>
      <c r="N308" s="708"/>
      <c r="O308" s="708"/>
    </row>
    <row r="309" spans="1:16" x14ac:dyDescent="0.25">
      <c r="A309" s="708"/>
      <c r="B309" s="708"/>
      <c r="C309" s="708"/>
      <c r="D309" s="708"/>
      <c r="E309" s="708"/>
      <c r="F309" s="708"/>
      <c r="G309" s="708"/>
      <c r="H309" s="708"/>
      <c r="I309" s="708"/>
      <c r="J309" s="708"/>
      <c r="K309" s="708"/>
      <c r="L309" s="708"/>
      <c r="M309" s="708"/>
      <c r="N309" s="708"/>
      <c r="O309" s="708"/>
    </row>
    <row r="310" spans="1:16" x14ac:dyDescent="0.25">
      <c r="A310" s="708"/>
      <c r="B310" s="708"/>
      <c r="C310" s="708"/>
      <c r="D310" s="708"/>
      <c r="E310" s="708"/>
      <c r="F310" s="708"/>
      <c r="G310" s="708"/>
      <c r="H310" s="708"/>
      <c r="I310" s="708"/>
      <c r="J310" s="708"/>
      <c r="K310" s="708"/>
      <c r="L310" s="708"/>
      <c r="M310" s="708"/>
      <c r="N310" s="708"/>
      <c r="O310" s="708"/>
    </row>
    <row r="311" spans="1:16" x14ac:dyDescent="0.25">
      <c r="A311" s="708"/>
      <c r="B311" s="708"/>
      <c r="C311" s="708"/>
      <c r="D311" s="708"/>
      <c r="E311" s="708"/>
      <c r="F311" s="708"/>
      <c r="G311" s="708"/>
      <c r="H311" s="708"/>
      <c r="I311" s="708"/>
      <c r="J311" s="708"/>
      <c r="K311" s="708"/>
      <c r="L311" s="708"/>
      <c r="M311" s="708"/>
      <c r="N311" s="708"/>
      <c r="O311" s="708"/>
    </row>
    <row r="312" spans="1:16" x14ac:dyDescent="0.25">
      <c r="A312" s="708"/>
      <c r="B312" s="708"/>
      <c r="C312" s="708"/>
      <c r="D312" s="708"/>
      <c r="E312" s="708"/>
      <c r="F312" s="708"/>
      <c r="G312" s="708"/>
      <c r="H312" s="708"/>
      <c r="I312" s="708"/>
      <c r="J312" s="708"/>
      <c r="K312" s="708"/>
      <c r="L312" s="708"/>
      <c r="M312" s="708"/>
      <c r="N312" s="708"/>
      <c r="O312" s="708"/>
    </row>
    <row r="313" spans="1:16" x14ac:dyDescent="0.25">
      <c r="A313" s="708"/>
      <c r="B313" s="708"/>
      <c r="C313" s="708"/>
      <c r="D313" s="708"/>
      <c r="E313" s="708"/>
      <c r="F313" s="708"/>
      <c r="G313" s="708"/>
      <c r="H313" s="708"/>
      <c r="I313" s="708"/>
      <c r="J313" s="708"/>
      <c r="K313" s="708"/>
      <c r="L313" s="708"/>
      <c r="M313" s="708"/>
      <c r="N313" s="708"/>
      <c r="O313" s="708"/>
    </row>
    <row r="314" spans="1:16" x14ac:dyDescent="0.25">
      <c r="A314" s="708"/>
      <c r="B314" s="708"/>
      <c r="C314" s="708"/>
      <c r="D314" s="708"/>
      <c r="E314" s="708"/>
      <c r="F314" s="708"/>
      <c r="G314" s="708"/>
      <c r="H314" s="708"/>
      <c r="I314" s="708"/>
      <c r="J314" s="708"/>
      <c r="K314" s="708"/>
      <c r="L314" s="708"/>
      <c r="M314" s="708"/>
      <c r="N314" s="708"/>
      <c r="O314" s="708"/>
    </row>
    <row r="315" spans="1:16" x14ac:dyDescent="0.25">
      <c r="A315" s="708"/>
      <c r="B315" s="708"/>
      <c r="C315" s="708"/>
      <c r="D315" s="708"/>
      <c r="E315" s="708"/>
      <c r="F315" s="708"/>
      <c r="G315" s="708"/>
      <c r="H315" s="708"/>
      <c r="I315" s="708"/>
      <c r="J315" s="708"/>
      <c r="K315" s="708"/>
      <c r="L315" s="708"/>
      <c r="M315" s="708"/>
      <c r="N315" s="708"/>
      <c r="O315" s="708"/>
    </row>
    <row r="316" spans="1:16" x14ac:dyDescent="0.25">
      <c r="A316" s="708"/>
      <c r="B316" s="708"/>
      <c r="C316" s="708"/>
      <c r="D316" s="708"/>
      <c r="E316" s="708"/>
      <c r="F316" s="708"/>
      <c r="G316" s="708"/>
      <c r="H316" s="708"/>
      <c r="I316" s="708"/>
      <c r="J316" s="708"/>
      <c r="K316" s="708"/>
      <c r="L316" s="708"/>
      <c r="M316" s="708"/>
      <c r="N316" s="708"/>
      <c r="O316" s="708"/>
    </row>
    <row r="317" spans="1:16" x14ac:dyDescent="0.25">
      <c r="A317" s="708"/>
      <c r="B317" s="708"/>
      <c r="C317" s="708"/>
      <c r="D317" s="708"/>
      <c r="E317" s="708"/>
      <c r="F317" s="708"/>
      <c r="G317" s="708"/>
      <c r="H317" s="708"/>
      <c r="I317" s="708"/>
      <c r="J317" s="708"/>
      <c r="K317" s="708"/>
      <c r="L317" s="708"/>
      <c r="M317" s="708"/>
      <c r="N317" s="708"/>
      <c r="O317" s="708"/>
    </row>
    <row r="318" spans="1:16" x14ac:dyDescent="0.25">
      <c r="A318" s="708"/>
      <c r="B318" s="708"/>
      <c r="C318" s="708"/>
      <c r="D318" s="708"/>
      <c r="E318" s="708"/>
      <c r="F318" s="708"/>
      <c r="G318" s="708"/>
      <c r="H318" s="708"/>
      <c r="I318" s="708"/>
      <c r="J318" s="708"/>
      <c r="K318" s="708"/>
      <c r="L318" s="708"/>
      <c r="M318" s="708"/>
      <c r="N318" s="708"/>
      <c r="O318" s="708"/>
    </row>
    <row r="319" spans="1:16" x14ac:dyDescent="0.25">
      <c r="A319" s="708"/>
      <c r="B319" s="708"/>
      <c r="C319" s="708"/>
      <c r="D319" s="708"/>
      <c r="E319" s="708"/>
      <c r="F319" s="708"/>
      <c r="G319" s="708"/>
      <c r="H319" s="708"/>
      <c r="I319" s="708"/>
      <c r="J319" s="708"/>
      <c r="K319" s="708"/>
      <c r="L319" s="708"/>
      <c r="M319" s="708"/>
      <c r="N319" s="708"/>
      <c r="O319" s="708"/>
    </row>
    <row r="320" spans="1:16" x14ac:dyDescent="0.25">
      <c r="A320" s="708"/>
      <c r="B320" s="708"/>
      <c r="C320" s="708"/>
      <c r="D320" s="708"/>
      <c r="E320" s="708"/>
      <c r="F320" s="708"/>
      <c r="G320" s="708"/>
      <c r="H320" s="708"/>
      <c r="I320" s="708"/>
      <c r="J320" s="708"/>
      <c r="K320" s="708"/>
      <c r="L320" s="708"/>
      <c r="M320" s="708"/>
      <c r="N320" s="708"/>
      <c r="O320" s="708"/>
    </row>
    <row r="321" spans="1:15" x14ac:dyDescent="0.25">
      <c r="A321" s="708"/>
      <c r="B321" s="708"/>
      <c r="C321" s="708"/>
      <c r="D321" s="708"/>
      <c r="E321" s="708"/>
      <c r="F321" s="708"/>
      <c r="G321" s="708"/>
      <c r="H321" s="708"/>
      <c r="I321" s="708"/>
      <c r="J321" s="708"/>
      <c r="K321" s="708"/>
      <c r="L321" s="708"/>
      <c r="M321" s="708"/>
      <c r="N321" s="708"/>
      <c r="O321" s="708"/>
    </row>
    <row r="322" spans="1:15" x14ac:dyDescent="0.25">
      <c r="A322" s="708"/>
      <c r="B322" s="708"/>
      <c r="C322" s="708"/>
      <c r="D322" s="708"/>
      <c r="E322" s="708"/>
      <c r="F322" s="708"/>
      <c r="G322" s="708"/>
      <c r="H322" s="708"/>
      <c r="I322" s="708"/>
      <c r="J322" s="708"/>
      <c r="K322" s="708"/>
      <c r="L322" s="708"/>
      <c r="M322" s="708"/>
      <c r="N322" s="708"/>
      <c r="O322" s="708"/>
    </row>
    <row r="323" spans="1:15" x14ac:dyDescent="0.25">
      <c r="A323" s="708"/>
      <c r="B323" s="708"/>
      <c r="C323" s="708"/>
      <c r="D323" s="708"/>
      <c r="E323" s="708"/>
      <c r="F323" s="708"/>
      <c r="G323" s="708"/>
      <c r="H323" s="708"/>
      <c r="I323" s="708"/>
      <c r="J323" s="708"/>
      <c r="K323" s="708"/>
      <c r="L323" s="708"/>
      <c r="M323" s="708"/>
      <c r="N323" s="708"/>
      <c r="O323" s="708"/>
    </row>
    <row r="324" spans="1:15" x14ac:dyDescent="0.25">
      <c r="A324" s="708"/>
      <c r="B324" s="708"/>
      <c r="C324" s="708"/>
      <c r="D324" s="708"/>
      <c r="E324" s="708"/>
      <c r="F324" s="708"/>
      <c r="G324" s="708"/>
      <c r="H324" s="708"/>
      <c r="I324" s="708"/>
      <c r="J324" s="708"/>
      <c r="K324" s="708"/>
      <c r="L324" s="708"/>
      <c r="M324" s="708"/>
      <c r="N324" s="708"/>
      <c r="O324" s="708"/>
    </row>
    <row r="325" spans="1:15" x14ac:dyDescent="0.25">
      <c r="A325" s="708"/>
      <c r="B325" s="708"/>
      <c r="C325" s="708"/>
      <c r="D325" s="708"/>
      <c r="E325" s="708"/>
      <c r="F325" s="708"/>
      <c r="G325" s="708"/>
      <c r="H325" s="708"/>
      <c r="I325" s="708"/>
      <c r="J325" s="708"/>
      <c r="K325" s="708"/>
      <c r="L325" s="708"/>
      <c r="M325" s="708"/>
      <c r="N325" s="708"/>
      <c r="O325" s="708"/>
    </row>
    <row r="326" spans="1:15" x14ac:dyDescent="0.25">
      <c r="A326" s="708"/>
      <c r="B326" s="708"/>
      <c r="C326" s="708"/>
      <c r="D326" s="708"/>
      <c r="E326" s="708"/>
      <c r="F326" s="708"/>
      <c r="G326" s="708"/>
      <c r="H326" s="708"/>
      <c r="I326" s="708"/>
      <c r="J326" s="708"/>
      <c r="K326" s="708"/>
      <c r="L326" s="708"/>
      <c r="M326" s="708"/>
      <c r="N326" s="708"/>
      <c r="O326" s="708"/>
    </row>
    <row r="327" spans="1:15" x14ac:dyDescent="0.25">
      <c r="A327" s="708"/>
      <c r="B327" s="708"/>
      <c r="C327" s="708"/>
      <c r="D327" s="708"/>
      <c r="E327" s="708"/>
      <c r="F327" s="708"/>
      <c r="G327" s="708"/>
      <c r="H327" s="708"/>
      <c r="I327" s="708"/>
      <c r="J327" s="708"/>
      <c r="K327" s="708"/>
      <c r="L327" s="708"/>
      <c r="M327" s="708"/>
      <c r="N327" s="708"/>
      <c r="O327" s="708"/>
    </row>
    <row r="328" spans="1:15" x14ac:dyDescent="0.25">
      <c r="A328" s="708"/>
      <c r="B328" s="708"/>
      <c r="C328" s="708"/>
      <c r="D328" s="708"/>
      <c r="E328" s="708"/>
      <c r="F328" s="708"/>
      <c r="G328" s="708"/>
      <c r="H328" s="708"/>
      <c r="I328" s="708"/>
      <c r="J328" s="708"/>
      <c r="K328" s="708"/>
      <c r="L328" s="708"/>
      <c r="M328" s="708"/>
      <c r="N328" s="708"/>
      <c r="O328" s="708"/>
    </row>
    <row r="329" spans="1:15" x14ac:dyDescent="0.25">
      <c r="A329" s="708"/>
      <c r="B329" s="708"/>
      <c r="C329" s="708"/>
      <c r="D329" s="708"/>
      <c r="E329" s="708"/>
      <c r="F329" s="708"/>
      <c r="G329" s="708"/>
      <c r="H329" s="708"/>
      <c r="I329" s="708"/>
      <c r="J329" s="708"/>
      <c r="K329" s="708"/>
      <c r="L329" s="708"/>
      <c r="M329" s="708"/>
      <c r="N329" s="708"/>
      <c r="O329" s="708"/>
    </row>
    <row r="330" spans="1:15" x14ac:dyDescent="0.25">
      <c r="A330" s="708"/>
      <c r="B330" s="708"/>
      <c r="C330" s="708"/>
      <c r="D330" s="708"/>
      <c r="E330" s="708"/>
      <c r="F330" s="708"/>
      <c r="G330" s="708"/>
      <c r="H330" s="708"/>
      <c r="I330" s="708"/>
      <c r="J330" s="708"/>
      <c r="K330" s="708"/>
      <c r="L330" s="708"/>
      <c r="M330" s="708"/>
      <c r="N330" s="708"/>
      <c r="O330" s="708"/>
    </row>
    <row r="331" spans="1:15" x14ac:dyDescent="0.25">
      <c r="A331" s="708"/>
      <c r="B331" s="708"/>
      <c r="C331" s="708"/>
      <c r="D331" s="708"/>
      <c r="E331" s="708"/>
      <c r="F331" s="708"/>
      <c r="G331" s="708"/>
      <c r="H331" s="708"/>
      <c r="I331" s="708"/>
      <c r="J331" s="708"/>
      <c r="K331" s="708"/>
      <c r="L331" s="708"/>
      <c r="M331" s="708"/>
      <c r="N331" s="708"/>
      <c r="O331" s="708"/>
    </row>
    <row r="332" spans="1:15" x14ac:dyDescent="0.25">
      <c r="A332" s="708"/>
      <c r="B332" s="708"/>
      <c r="C332" s="708"/>
      <c r="D332" s="708"/>
      <c r="E332" s="708"/>
      <c r="F332" s="708"/>
      <c r="G332" s="708"/>
      <c r="H332" s="708"/>
      <c r="I332" s="708"/>
      <c r="J332" s="708"/>
      <c r="K332" s="708"/>
      <c r="L332" s="708"/>
      <c r="M332" s="708"/>
      <c r="N332" s="708"/>
      <c r="O332" s="708"/>
    </row>
    <row r="333" spans="1:15" x14ac:dyDescent="0.25">
      <c r="A333" s="708"/>
      <c r="B333" s="708"/>
      <c r="C333" s="708"/>
      <c r="D333" s="708"/>
      <c r="E333" s="708"/>
      <c r="F333" s="708"/>
      <c r="G333" s="708"/>
      <c r="H333" s="708"/>
      <c r="I333" s="708"/>
      <c r="J333" s="708"/>
      <c r="K333" s="708"/>
      <c r="L333" s="708"/>
      <c r="M333" s="708"/>
      <c r="N333" s="708"/>
      <c r="O333" s="708"/>
    </row>
    <row r="334" spans="1:15" x14ac:dyDescent="0.25">
      <c r="A334" s="708"/>
      <c r="B334" s="708"/>
      <c r="C334" s="708"/>
      <c r="D334" s="708"/>
      <c r="E334" s="708"/>
      <c r="F334" s="708"/>
      <c r="G334" s="708"/>
      <c r="H334" s="708"/>
      <c r="I334" s="708"/>
      <c r="J334" s="708"/>
      <c r="K334" s="708"/>
      <c r="L334" s="708"/>
      <c r="M334" s="708"/>
      <c r="N334" s="708"/>
      <c r="O334" s="708"/>
    </row>
    <row r="335" spans="1:15" x14ac:dyDescent="0.25">
      <c r="A335" s="708"/>
      <c r="B335" s="708"/>
      <c r="C335" s="708"/>
      <c r="D335" s="708"/>
      <c r="E335" s="708"/>
      <c r="F335" s="708"/>
      <c r="G335" s="708"/>
      <c r="H335" s="708"/>
      <c r="I335" s="708"/>
      <c r="J335" s="708"/>
      <c r="K335" s="708"/>
      <c r="L335" s="708"/>
      <c r="M335" s="708"/>
      <c r="N335" s="708"/>
      <c r="O335" s="708"/>
    </row>
    <row r="336" spans="1:15" x14ac:dyDescent="0.25">
      <c r="A336" s="708"/>
      <c r="B336" s="708"/>
      <c r="C336" s="708"/>
      <c r="D336" s="708"/>
      <c r="E336" s="708"/>
      <c r="F336" s="708"/>
      <c r="G336" s="708"/>
      <c r="H336" s="708"/>
      <c r="I336" s="708"/>
      <c r="J336" s="708"/>
      <c r="K336" s="708"/>
      <c r="L336" s="708"/>
      <c r="M336" s="708"/>
      <c r="N336" s="708"/>
      <c r="O336" s="708"/>
    </row>
    <row r="337" spans="1:15" x14ac:dyDescent="0.25">
      <c r="A337" s="708"/>
      <c r="B337" s="708"/>
      <c r="C337" s="708"/>
      <c r="D337" s="708"/>
      <c r="E337" s="708"/>
      <c r="F337" s="708"/>
      <c r="G337" s="708"/>
      <c r="H337" s="708"/>
      <c r="I337" s="708"/>
      <c r="J337" s="708"/>
      <c r="K337" s="708"/>
      <c r="L337" s="708"/>
      <c r="M337" s="708"/>
      <c r="N337" s="708"/>
      <c r="O337" s="708"/>
    </row>
    <row r="338" spans="1:15" x14ac:dyDescent="0.25">
      <c r="A338" s="708"/>
      <c r="B338" s="708"/>
      <c r="C338" s="708"/>
      <c r="D338" s="708"/>
      <c r="E338" s="708"/>
      <c r="F338" s="708"/>
      <c r="G338" s="708"/>
      <c r="H338" s="708"/>
      <c r="I338" s="708"/>
      <c r="J338" s="708"/>
      <c r="K338" s="708"/>
      <c r="L338" s="708"/>
      <c r="M338" s="708"/>
      <c r="N338" s="708"/>
      <c r="O338" s="708"/>
    </row>
    <row r="339" spans="1:15" x14ac:dyDescent="0.25">
      <c r="A339" s="708"/>
      <c r="B339" s="708"/>
      <c r="C339" s="708"/>
      <c r="D339" s="708"/>
      <c r="E339" s="708"/>
      <c r="F339" s="708"/>
      <c r="G339" s="708"/>
      <c r="H339" s="708"/>
      <c r="I339" s="708"/>
      <c r="J339" s="708"/>
      <c r="K339" s="708"/>
      <c r="L339" s="708"/>
      <c r="M339" s="708"/>
      <c r="N339" s="708"/>
      <c r="O339" s="708"/>
    </row>
  </sheetData>
  <sheetProtection password="9AA6" sheet="1" objects="1" scenarios="1"/>
  <mergeCells count="15">
    <mergeCell ref="A256:N256"/>
    <mergeCell ref="A271:N271"/>
    <mergeCell ref="A286:N286"/>
    <mergeCell ref="A166:N166"/>
    <mergeCell ref="A181:N181"/>
    <mergeCell ref="A196:N196"/>
    <mergeCell ref="A211:N211"/>
    <mergeCell ref="A226:N226"/>
    <mergeCell ref="A241:N241"/>
    <mergeCell ref="A151:N151"/>
    <mergeCell ref="A7:N7"/>
    <mergeCell ref="A50:N50"/>
    <mergeCell ref="A85:N85"/>
    <mergeCell ref="A120:N120"/>
    <mergeCell ref="A136:N136"/>
  </mergeCells>
  <pageMargins left="0.70866141732283472" right="0.70866141732283472" top="0.74803149606299213" bottom="0.74803149606299213" header="0.31496062992125984" footer="0.31496062992125984"/>
  <pageSetup paperSize="9" scale="55" orientation="portrait" r:id="rId1"/>
  <headerFooter>
    <oddHeader>&amp;L&amp;"Arial,Negrita"&amp;9MINISTERIO DE DESARROLLO AGRARIO Y RIEGO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legacyDrawing r:id="rId3"/>
  <controls>
    <mc:AlternateContent xmlns:mc="http://schemas.openxmlformats.org/markup-compatibility/2006">
      <mc:Choice Requires="x14">
        <control shapeId="84993" r:id="rId4" name="Btn_Ir_a_BrechaServicio">
          <controlPr defaultSize="0" autoLine="0" r:id="rId5">
            <anchor moveWithCells="1">
              <from>
                <xdr:col>12</xdr:col>
                <xdr:colOff>161925</xdr:colOff>
                <xdr:row>3</xdr:row>
                <xdr:rowOff>76200</xdr:rowOff>
              </from>
              <to>
                <xdr:col>15</xdr:col>
                <xdr:colOff>19050</xdr:colOff>
                <xdr:row>5</xdr:row>
                <xdr:rowOff>19050</xdr:rowOff>
              </to>
            </anchor>
          </controlPr>
        </control>
      </mc:Choice>
      <mc:Fallback>
        <control shapeId="84993" r:id="rId4" name="Btn_Ir_a_BrechaServicio"/>
      </mc:Fallback>
    </mc:AlternateContent>
    <mc:AlternateContent xmlns:mc="http://schemas.openxmlformats.org/markup-compatibility/2006">
      <mc:Choice Requires="x14">
        <control shapeId="84994" r:id="rId6" name="Btn_Ir_a_BalanceHSP">
          <controlPr defaultSize="0" autoLine="0" r:id="rId7">
            <anchor moveWithCells="1">
              <from>
                <xdr:col>12</xdr:col>
                <xdr:colOff>161925</xdr:colOff>
                <xdr:row>0</xdr:row>
                <xdr:rowOff>0</xdr:rowOff>
              </from>
              <to>
                <xdr:col>15</xdr:col>
                <xdr:colOff>19050</xdr:colOff>
                <xdr:row>1</xdr:row>
                <xdr:rowOff>133350</xdr:rowOff>
              </to>
            </anchor>
          </controlPr>
        </control>
      </mc:Choice>
      <mc:Fallback>
        <control shapeId="84994" r:id="rId6" name="Btn_Ir_a_BalanceHSP"/>
      </mc:Fallback>
    </mc:AlternateContent>
    <mc:AlternateContent xmlns:mc="http://schemas.openxmlformats.org/markup-compatibility/2006">
      <mc:Choice Requires="x14">
        <control shapeId="84996" r:id="rId8" name="Btn_Formulario_Balance">
          <controlPr defaultSize="0" autoLine="0" r:id="rId9">
            <anchor moveWithCells="1">
              <from>
                <xdr:col>12</xdr:col>
                <xdr:colOff>161925</xdr:colOff>
                <xdr:row>1</xdr:row>
                <xdr:rowOff>133350</xdr:rowOff>
              </from>
              <to>
                <xdr:col>15</xdr:col>
                <xdr:colOff>19050</xdr:colOff>
                <xdr:row>3</xdr:row>
                <xdr:rowOff>76200</xdr:rowOff>
              </to>
            </anchor>
          </controlPr>
        </control>
      </mc:Choice>
      <mc:Fallback>
        <control shapeId="84996" r:id="rId8" name="Btn_Formulario_Balanc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$T$144:$T$168</xm:f>
          </x14:formula1>
          <xm:sqref>AWI206:AWT206 WVK983299:WVV983299 WLO983299:WLZ983299 WBS983299:WCD983299 VRW983299:VSH983299 VIA983299:VIL983299 UYE983299:UYP983299 UOI983299:UOT983299 UEM983299:UEX983299 TUQ983299:TVB983299 TKU983299:TLF983299 TAY983299:TBJ983299 SRC983299:SRN983299 SHG983299:SHR983299 RXK983299:RXV983299 RNO983299:RNZ983299 RDS983299:RED983299 QTW983299:QUH983299 QKA983299:QKL983299 QAE983299:QAP983299 PQI983299:PQT983299 PGM983299:PGX983299 OWQ983299:OXB983299 OMU983299:ONF983299 OCY983299:ODJ983299 NTC983299:NTN983299 NJG983299:NJR983299 MZK983299:MZV983299 MPO983299:MPZ983299 MFS983299:MGD983299 LVW983299:LWH983299 LMA983299:LML983299 LCE983299:LCP983299 KSI983299:KST983299 KIM983299:KIX983299 JYQ983299:JZB983299 JOU983299:JPF983299 JEY983299:JFJ983299 IVC983299:IVN983299 ILG983299:ILR983299 IBK983299:IBV983299 HRO983299:HRZ983299 HHS983299:HID983299 GXW983299:GYH983299 GOA983299:GOL983299 GEE983299:GEP983299 FUI983299:FUT983299 FKM983299:FKX983299 FAQ983299:FBB983299 EQU983299:ERF983299 EGY983299:EHJ983299 DXC983299:DXN983299 DNG983299:DNR983299 DDK983299:DDV983299 CTO983299:CTZ983299 CJS983299:CKD983299 BZW983299:CAH983299 BQA983299:BQL983299 BGE983299:BGP983299 AWI983299:AWT983299 AMM983299:AMX983299 ACQ983299:ADB983299 SU983299:TF983299 IY983299:JJ983299 C983299:N983299 WVK917763:WVV917763 WLO917763:WLZ917763 WBS917763:WCD917763 VRW917763:VSH917763 VIA917763:VIL917763 UYE917763:UYP917763 UOI917763:UOT917763 UEM917763:UEX917763 TUQ917763:TVB917763 TKU917763:TLF917763 TAY917763:TBJ917763 SRC917763:SRN917763 SHG917763:SHR917763 RXK917763:RXV917763 RNO917763:RNZ917763 RDS917763:RED917763 QTW917763:QUH917763 QKA917763:QKL917763 QAE917763:QAP917763 PQI917763:PQT917763 PGM917763:PGX917763 OWQ917763:OXB917763 OMU917763:ONF917763 OCY917763:ODJ917763 NTC917763:NTN917763 NJG917763:NJR917763 MZK917763:MZV917763 MPO917763:MPZ917763 MFS917763:MGD917763 LVW917763:LWH917763 LMA917763:LML917763 LCE917763:LCP917763 KSI917763:KST917763 KIM917763:KIX917763 JYQ917763:JZB917763 JOU917763:JPF917763 JEY917763:JFJ917763 IVC917763:IVN917763 ILG917763:ILR917763 IBK917763:IBV917763 HRO917763:HRZ917763 HHS917763:HID917763 GXW917763:GYH917763 GOA917763:GOL917763 GEE917763:GEP917763 FUI917763:FUT917763 FKM917763:FKX917763 FAQ917763:FBB917763 EQU917763:ERF917763 EGY917763:EHJ917763 DXC917763:DXN917763 DNG917763:DNR917763 DDK917763:DDV917763 CTO917763:CTZ917763 CJS917763:CKD917763 BZW917763:CAH917763 BQA917763:BQL917763 BGE917763:BGP917763 AWI917763:AWT917763 AMM917763:AMX917763 ACQ917763:ADB917763 SU917763:TF917763 IY917763:JJ917763 C917763:N917763 WVK852227:WVV852227 WLO852227:WLZ852227 WBS852227:WCD852227 VRW852227:VSH852227 VIA852227:VIL852227 UYE852227:UYP852227 UOI852227:UOT852227 UEM852227:UEX852227 TUQ852227:TVB852227 TKU852227:TLF852227 TAY852227:TBJ852227 SRC852227:SRN852227 SHG852227:SHR852227 RXK852227:RXV852227 RNO852227:RNZ852227 RDS852227:RED852227 QTW852227:QUH852227 QKA852227:QKL852227 QAE852227:QAP852227 PQI852227:PQT852227 PGM852227:PGX852227 OWQ852227:OXB852227 OMU852227:ONF852227 OCY852227:ODJ852227 NTC852227:NTN852227 NJG852227:NJR852227 MZK852227:MZV852227 MPO852227:MPZ852227 MFS852227:MGD852227 LVW852227:LWH852227 LMA852227:LML852227 LCE852227:LCP852227 KSI852227:KST852227 KIM852227:KIX852227 JYQ852227:JZB852227 JOU852227:JPF852227 JEY852227:JFJ852227 IVC852227:IVN852227 ILG852227:ILR852227 IBK852227:IBV852227 HRO852227:HRZ852227 HHS852227:HID852227 GXW852227:GYH852227 GOA852227:GOL852227 GEE852227:GEP852227 FUI852227:FUT852227 FKM852227:FKX852227 FAQ852227:FBB852227 EQU852227:ERF852227 EGY852227:EHJ852227 DXC852227:DXN852227 DNG852227:DNR852227 DDK852227:DDV852227 CTO852227:CTZ852227 CJS852227:CKD852227 BZW852227:CAH852227 BQA852227:BQL852227 BGE852227:BGP852227 AWI852227:AWT852227 AMM852227:AMX852227 ACQ852227:ADB852227 SU852227:TF852227 IY852227:JJ852227 C852227:N852227 WVK786691:WVV786691 WLO786691:WLZ786691 WBS786691:WCD786691 VRW786691:VSH786691 VIA786691:VIL786691 UYE786691:UYP786691 UOI786691:UOT786691 UEM786691:UEX786691 TUQ786691:TVB786691 TKU786691:TLF786691 TAY786691:TBJ786691 SRC786691:SRN786691 SHG786691:SHR786691 RXK786691:RXV786691 RNO786691:RNZ786691 RDS786691:RED786691 QTW786691:QUH786691 QKA786691:QKL786691 QAE786691:QAP786691 PQI786691:PQT786691 PGM786691:PGX786691 OWQ786691:OXB786691 OMU786691:ONF786691 OCY786691:ODJ786691 NTC786691:NTN786691 NJG786691:NJR786691 MZK786691:MZV786691 MPO786691:MPZ786691 MFS786691:MGD786691 LVW786691:LWH786691 LMA786691:LML786691 LCE786691:LCP786691 KSI786691:KST786691 KIM786691:KIX786691 JYQ786691:JZB786691 JOU786691:JPF786691 JEY786691:JFJ786691 IVC786691:IVN786691 ILG786691:ILR786691 IBK786691:IBV786691 HRO786691:HRZ786691 HHS786691:HID786691 GXW786691:GYH786691 GOA786691:GOL786691 GEE786691:GEP786691 FUI786691:FUT786691 FKM786691:FKX786691 FAQ786691:FBB786691 EQU786691:ERF786691 EGY786691:EHJ786691 DXC786691:DXN786691 DNG786691:DNR786691 DDK786691:DDV786691 CTO786691:CTZ786691 CJS786691:CKD786691 BZW786691:CAH786691 BQA786691:BQL786691 BGE786691:BGP786691 AWI786691:AWT786691 AMM786691:AMX786691 ACQ786691:ADB786691 SU786691:TF786691 IY786691:JJ786691 C786691:N786691 WVK721155:WVV721155 WLO721155:WLZ721155 WBS721155:WCD721155 VRW721155:VSH721155 VIA721155:VIL721155 UYE721155:UYP721155 UOI721155:UOT721155 UEM721155:UEX721155 TUQ721155:TVB721155 TKU721155:TLF721155 TAY721155:TBJ721155 SRC721155:SRN721155 SHG721155:SHR721155 RXK721155:RXV721155 RNO721155:RNZ721155 RDS721155:RED721155 QTW721155:QUH721155 QKA721155:QKL721155 QAE721155:QAP721155 PQI721155:PQT721155 PGM721155:PGX721155 OWQ721155:OXB721155 OMU721155:ONF721155 OCY721155:ODJ721155 NTC721155:NTN721155 NJG721155:NJR721155 MZK721155:MZV721155 MPO721155:MPZ721155 MFS721155:MGD721155 LVW721155:LWH721155 LMA721155:LML721155 LCE721155:LCP721155 KSI721155:KST721155 KIM721155:KIX721155 JYQ721155:JZB721155 JOU721155:JPF721155 JEY721155:JFJ721155 IVC721155:IVN721155 ILG721155:ILR721155 IBK721155:IBV721155 HRO721155:HRZ721155 HHS721155:HID721155 GXW721155:GYH721155 GOA721155:GOL721155 GEE721155:GEP721155 FUI721155:FUT721155 FKM721155:FKX721155 FAQ721155:FBB721155 EQU721155:ERF721155 EGY721155:EHJ721155 DXC721155:DXN721155 DNG721155:DNR721155 DDK721155:DDV721155 CTO721155:CTZ721155 CJS721155:CKD721155 BZW721155:CAH721155 BQA721155:BQL721155 BGE721155:BGP721155 AWI721155:AWT721155 AMM721155:AMX721155 ACQ721155:ADB721155 SU721155:TF721155 IY721155:JJ721155 C721155:N721155 WVK655619:WVV655619 WLO655619:WLZ655619 WBS655619:WCD655619 VRW655619:VSH655619 VIA655619:VIL655619 UYE655619:UYP655619 UOI655619:UOT655619 UEM655619:UEX655619 TUQ655619:TVB655619 TKU655619:TLF655619 TAY655619:TBJ655619 SRC655619:SRN655619 SHG655619:SHR655619 RXK655619:RXV655619 RNO655619:RNZ655619 RDS655619:RED655619 QTW655619:QUH655619 QKA655619:QKL655619 QAE655619:QAP655619 PQI655619:PQT655619 PGM655619:PGX655619 OWQ655619:OXB655619 OMU655619:ONF655619 OCY655619:ODJ655619 NTC655619:NTN655619 NJG655619:NJR655619 MZK655619:MZV655619 MPO655619:MPZ655619 MFS655619:MGD655619 LVW655619:LWH655619 LMA655619:LML655619 LCE655619:LCP655619 KSI655619:KST655619 KIM655619:KIX655619 JYQ655619:JZB655619 JOU655619:JPF655619 JEY655619:JFJ655619 IVC655619:IVN655619 ILG655619:ILR655619 IBK655619:IBV655619 HRO655619:HRZ655619 HHS655619:HID655619 GXW655619:GYH655619 GOA655619:GOL655619 GEE655619:GEP655619 FUI655619:FUT655619 FKM655619:FKX655619 FAQ655619:FBB655619 EQU655619:ERF655619 EGY655619:EHJ655619 DXC655619:DXN655619 DNG655619:DNR655619 DDK655619:DDV655619 CTO655619:CTZ655619 CJS655619:CKD655619 BZW655619:CAH655619 BQA655619:BQL655619 BGE655619:BGP655619 AWI655619:AWT655619 AMM655619:AMX655619 ACQ655619:ADB655619 SU655619:TF655619 IY655619:JJ655619 C655619:N655619 WVK590083:WVV590083 WLO590083:WLZ590083 WBS590083:WCD590083 VRW590083:VSH590083 VIA590083:VIL590083 UYE590083:UYP590083 UOI590083:UOT590083 UEM590083:UEX590083 TUQ590083:TVB590083 TKU590083:TLF590083 TAY590083:TBJ590083 SRC590083:SRN590083 SHG590083:SHR590083 RXK590083:RXV590083 RNO590083:RNZ590083 RDS590083:RED590083 QTW590083:QUH590083 QKA590083:QKL590083 QAE590083:QAP590083 PQI590083:PQT590083 PGM590083:PGX590083 OWQ590083:OXB590083 OMU590083:ONF590083 OCY590083:ODJ590083 NTC590083:NTN590083 NJG590083:NJR590083 MZK590083:MZV590083 MPO590083:MPZ590083 MFS590083:MGD590083 LVW590083:LWH590083 LMA590083:LML590083 LCE590083:LCP590083 KSI590083:KST590083 KIM590083:KIX590083 JYQ590083:JZB590083 JOU590083:JPF590083 JEY590083:JFJ590083 IVC590083:IVN590083 ILG590083:ILR590083 IBK590083:IBV590083 HRO590083:HRZ590083 HHS590083:HID590083 GXW590083:GYH590083 GOA590083:GOL590083 GEE590083:GEP590083 FUI590083:FUT590083 FKM590083:FKX590083 FAQ590083:FBB590083 EQU590083:ERF590083 EGY590083:EHJ590083 DXC590083:DXN590083 DNG590083:DNR590083 DDK590083:DDV590083 CTO590083:CTZ590083 CJS590083:CKD590083 BZW590083:CAH590083 BQA590083:BQL590083 BGE590083:BGP590083 AWI590083:AWT590083 AMM590083:AMX590083 ACQ590083:ADB590083 SU590083:TF590083 IY590083:JJ590083 C590083:N590083 WVK524547:WVV524547 WLO524547:WLZ524547 WBS524547:WCD524547 VRW524547:VSH524547 VIA524547:VIL524547 UYE524547:UYP524547 UOI524547:UOT524547 UEM524547:UEX524547 TUQ524547:TVB524547 TKU524547:TLF524547 TAY524547:TBJ524547 SRC524547:SRN524547 SHG524547:SHR524547 RXK524547:RXV524547 RNO524547:RNZ524547 RDS524547:RED524547 QTW524547:QUH524547 QKA524547:QKL524547 QAE524547:QAP524547 PQI524547:PQT524547 PGM524547:PGX524547 OWQ524547:OXB524547 OMU524547:ONF524547 OCY524547:ODJ524547 NTC524547:NTN524547 NJG524547:NJR524547 MZK524547:MZV524547 MPO524547:MPZ524547 MFS524547:MGD524547 LVW524547:LWH524547 LMA524547:LML524547 LCE524547:LCP524547 KSI524547:KST524547 KIM524547:KIX524547 JYQ524547:JZB524547 JOU524547:JPF524547 JEY524547:JFJ524547 IVC524547:IVN524547 ILG524547:ILR524547 IBK524547:IBV524547 HRO524547:HRZ524547 HHS524547:HID524547 GXW524547:GYH524547 GOA524547:GOL524547 GEE524547:GEP524547 FUI524547:FUT524547 FKM524547:FKX524547 FAQ524547:FBB524547 EQU524547:ERF524547 EGY524547:EHJ524547 DXC524547:DXN524547 DNG524547:DNR524547 DDK524547:DDV524547 CTO524547:CTZ524547 CJS524547:CKD524547 BZW524547:CAH524547 BQA524547:BQL524547 BGE524547:BGP524547 AWI524547:AWT524547 AMM524547:AMX524547 ACQ524547:ADB524547 SU524547:TF524547 IY524547:JJ524547 C524547:N524547 WVK459011:WVV459011 WLO459011:WLZ459011 WBS459011:WCD459011 VRW459011:VSH459011 VIA459011:VIL459011 UYE459011:UYP459011 UOI459011:UOT459011 UEM459011:UEX459011 TUQ459011:TVB459011 TKU459011:TLF459011 TAY459011:TBJ459011 SRC459011:SRN459011 SHG459011:SHR459011 RXK459011:RXV459011 RNO459011:RNZ459011 RDS459011:RED459011 QTW459011:QUH459011 QKA459011:QKL459011 QAE459011:QAP459011 PQI459011:PQT459011 PGM459011:PGX459011 OWQ459011:OXB459011 OMU459011:ONF459011 OCY459011:ODJ459011 NTC459011:NTN459011 NJG459011:NJR459011 MZK459011:MZV459011 MPO459011:MPZ459011 MFS459011:MGD459011 LVW459011:LWH459011 LMA459011:LML459011 LCE459011:LCP459011 KSI459011:KST459011 KIM459011:KIX459011 JYQ459011:JZB459011 JOU459011:JPF459011 JEY459011:JFJ459011 IVC459011:IVN459011 ILG459011:ILR459011 IBK459011:IBV459011 HRO459011:HRZ459011 HHS459011:HID459011 GXW459011:GYH459011 GOA459011:GOL459011 GEE459011:GEP459011 FUI459011:FUT459011 FKM459011:FKX459011 FAQ459011:FBB459011 EQU459011:ERF459011 EGY459011:EHJ459011 DXC459011:DXN459011 DNG459011:DNR459011 DDK459011:DDV459011 CTO459011:CTZ459011 CJS459011:CKD459011 BZW459011:CAH459011 BQA459011:BQL459011 BGE459011:BGP459011 AWI459011:AWT459011 AMM459011:AMX459011 ACQ459011:ADB459011 SU459011:TF459011 IY459011:JJ459011 C459011:N459011 WVK393475:WVV393475 WLO393475:WLZ393475 WBS393475:WCD393475 VRW393475:VSH393475 VIA393475:VIL393475 UYE393475:UYP393475 UOI393475:UOT393475 UEM393475:UEX393475 TUQ393475:TVB393475 TKU393475:TLF393475 TAY393475:TBJ393475 SRC393475:SRN393475 SHG393475:SHR393475 RXK393475:RXV393475 RNO393475:RNZ393475 RDS393475:RED393475 QTW393475:QUH393475 QKA393475:QKL393475 QAE393475:QAP393475 PQI393475:PQT393475 PGM393475:PGX393475 OWQ393475:OXB393475 OMU393475:ONF393475 OCY393475:ODJ393475 NTC393475:NTN393475 NJG393475:NJR393475 MZK393475:MZV393475 MPO393475:MPZ393475 MFS393475:MGD393475 LVW393475:LWH393475 LMA393475:LML393475 LCE393475:LCP393475 KSI393475:KST393475 KIM393475:KIX393475 JYQ393475:JZB393475 JOU393475:JPF393475 JEY393475:JFJ393475 IVC393475:IVN393475 ILG393475:ILR393475 IBK393475:IBV393475 HRO393475:HRZ393475 HHS393475:HID393475 GXW393475:GYH393475 GOA393475:GOL393475 GEE393475:GEP393475 FUI393475:FUT393475 FKM393475:FKX393475 FAQ393475:FBB393475 EQU393475:ERF393475 EGY393475:EHJ393475 DXC393475:DXN393475 DNG393475:DNR393475 DDK393475:DDV393475 CTO393475:CTZ393475 CJS393475:CKD393475 BZW393475:CAH393475 BQA393475:BQL393475 BGE393475:BGP393475 AWI393475:AWT393475 AMM393475:AMX393475 ACQ393475:ADB393475 SU393475:TF393475 IY393475:JJ393475 C393475:N393475 WVK327939:WVV327939 WLO327939:WLZ327939 WBS327939:WCD327939 VRW327939:VSH327939 VIA327939:VIL327939 UYE327939:UYP327939 UOI327939:UOT327939 UEM327939:UEX327939 TUQ327939:TVB327939 TKU327939:TLF327939 TAY327939:TBJ327939 SRC327939:SRN327939 SHG327939:SHR327939 RXK327939:RXV327939 RNO327939:RNZ327939 RDS327939:RED327939 QTW327939:QUH327939 QKA327939:QKL327939 QAE327939:QAP327939 PQI327939:PQT327939 PGM327939:PGX327939 OWQ327939:OXB327939 OMU327939:ONF327939 OCY327939:ODJ327939 NTC327939:NTN327939 NJG327939:NJR327939 MZK327939:MZV327939 MPO327939:MPZ327939 MFS327939:MGD327939 LVW327939:LWH327939 LMA327939:LML327939 LCE327939:LCP327939 KSI327939:KST327939 KIM327939:KIX327939 JYQ327939:JZB327939 JOU327939:JPF327939 JEY327939:JFJ327939 IVC327939:IVN327939 ILG327939:ILR327939 IBK327939:IBV327939 HRO327939:HRZ327939 HHS327939:HID327939 GXW327939:GYH327939 GOA327939:GOL327939 GEE327939:GEP327939 FUI327939:FUT327939 FKM327939:FKX327939 FAQ327939:FBB327939 EQU327939:ERF327939 EGY327939:EHJ327939 DXC327939:DXN327939 DNG327939:DNR327939 DDK327939:DDV327939 CTO327939:CTZ327939 CJS327939:CKD327939 BZW327939:CAH327939 BQA327939:BQL327939 BGE327939:BGP327939 AWI327939:AWT327939 AMM327939:AMX327939 ACQ327939:ADB327939 SU327939:TF327939 IY327939:JJ327939 C327939:N327939 WVK262403:WVV262403 WLO262403:WLZ262403 WBS262403:WCD262403 VRW262403:VSH262403 VIA262403:VIL262403 UYE262403:UYP262403 UOI262403:UOT262403 UEM262403:UEX262403 TUQ262403:TVB262403 TKU262403:TLF262403 TAY262403:TBJ262403 SRC262403:SRN262403 SHG262403:SHR262403 RXK262403:RXV262403 RNO262403:RNZ262403 RDS262403:RED262403 QTW262403:QUH262403 QKA262403:QKL262403 QAE262403:QAP262403 PQI262403:PQT262403 PGM262403:PGX262403 OWQ262403:OXB262403 OMU262403:ONF262403 OCY262403:ODJ262403 NTC262403:NTN262403 NJG262403:NJR262403 MZK262403:MZV262403 MPO262403:MPZ262403 MFS262403:MGD262403 LVW262403:LWH262403 LMA262403:LML262403 LCE262403:LCP262403 KSI262403:KST262403 KIM262403:KIX262403 JYQ262403:JZB262403 JOU262403:JPF262403 JEY262403:JFJ262403 IVC262403:IVN262403 ILG262403:ILR262403 IBK262403:IBV262403 HRO262403:HRZ262403 HHS262403:HID262403 GXW262403:GYH262403 GOA262403:GOL262403 GEE262403:GEP262403 FUI262403:FUT262403 FKM262403:FKX262403 FAQ262403:FBB262403 EQU262403:ERF262403 EGY262403:EHJ262403 DXC262403:DXN262403 DNG262403:DNR262403 DDK262403:DDV262403 CTO262403:CTZ262403 CJS262403:CKD262403 BZW262403:CAH262403 BQA262403:BQL262403 BGE262403:BGP262403 AWI262403:AWT262403 AMM262403:AMX262403 ACQ262403:ADB262403 SU262403:TF262403 IY262403:JJ262403 C262403:N262403 WVK196867:WVV196867 WLO196867:WLZ196867 WBS196867:WCD196867 VRW196867:VSH196867 VIA196867:VIL196867 UYE196867:UYP196867 UOI196867:UOT196867 UEM196867:UEX196867 TUQ196867:TVB196867 TKU196867:TLF196867 TAY196867:TBJ196867 SRC196867:SRN196867 SHG196867:SHR196867 RXK196867:RXV196867 RNO196867:RNZ196867 RDS196867:RED196867 QTW196867:QUH196867 QKA196867:QKL196867 QAE196867:QAP196867 PQI196867:PQT196867 PGM196867:PGX196867 OWQ196867:OXB196867 OMU196867:ONF196867 OCY196867:ODJ196867 NTC196867:NTN196867 NJG196867:NJR196867 MZK196867:MZV196867 MPO196867:MPZ196867 MFS196867:MGD196867 LVW196867:LWH196867 LMA196867:LML196867 LCE196867:LCP196867 KSI196867:KST196867 KIM196867:KIX196867 JYQ196867:JZB196867 JOU196867:JPF196867 JEY196867:JFJ196867 IVC196867:IVN196867 ILG196867:ILR196867 IBK196867:IBV196867 HRO196867:HRZ196867 HHS196867:HID196867 GXW196867:GYH196867 GOA196867:GOL196867 GEE196867:GEP196867 FUI196867:FUT196867 FKM196867:FKX196867 FAQ196867:FBB196867 EQU196867:ERF196867 EGY196867:EHJ196867 DXC196867:DXN196867 DNG196867:DNR196867 DDK196867:DDV196867 CTO196867:CTZ196867 CJS196867:CKD196867 BZW196867:CAH196867 BQA196867:BQL196867 BGE196867:BGP196867 AWI196867:AWT196867 AMM196867:AMX196867 ACQ196867:ADB196867 SU196867:TF196867 IY196867:JJ196867 C196867:N196867 WVK131331:WVV131331 WLO131331:WLZ131331 WBS131331:WCD131331 VRW131331:VSH131331 VIA131331:VIL131331 UYE131331:UYP131331 UOI131331:UOT131331 UEM131331:UEX131331 TUQ131331:TVB131331 TKU131331:TLF131331 TAY131331:TBJ131331 SRC131331:SRN131331 SHG131331:SHR131331 RXK131331:RXV131331 RNO131331:RNZ131331 RDS131331:RED131331 QTW131331:QUH131331 QKA131331:QKL131331 QAE131331:QAP131331 PQI131331:PQT131331 PGM131331:PGX131331 OWQ131331:OXB131331 OMU131331:ONF131331 OCY131331:ODJ131331 NTC131331:NTN131331 NJG131331:NJR131331 MZK131331:MZV131331 MPO131331:MPZ131331 MFS131331:MGD131331 LVW131331:LWH131331 LMA131331:LML131331 LCE131331:LCP131331 KSI131331:KST131331 KIM131331:KIX131331 JYQ131331:JZB131331 JOU131331:JPF131331 JEY131331:JFJ131331 IVC131331:IVN131331 ILG131331:ILR131331 IBK131331:IBV131331 HRO131331:HRZ131331 HHS131331:HID131331 GXW131331:GYH131331 GOA131331:GOL131331 GEE131331:GEP131331 FUI131331:FUT131331 FKM131331:FKX131331 FAQ131331:FBB131331 EQU131331:ERF131331 EGY131331:EHJ131331 DXC131331:DXN131331 DNG131331:DNR131331 DDK131331:DDV131331 CTO131331:CTZ131331 CJS131331:CKD131331 BZW131331:CAH131331 BQA131331:BQL131331 BGE131331:BGP131331 AWI131331:AWT131331 AMM131331:AMX131331 ACQ131331:ADB131331 SU131331:TF131331 IY131331:JJ131331 C131331:N131331 WVK65795:WVV65795 WLO65795:WLZ65795 WBS65795:WCD65795 VRW65795:VSH65795 VIA65795:VIL65795 UYE65795:UYP65795 UOI65795:UOT65795 UEM65795:UEX65795 TUQ65795:TVB65795 TKU65795:TLF65795 TAY65795:TBJ65795 SRC65795:SRN65795 SHG65795:SHR65795 RXK65795:RXV65795 RNO65795:RNZ65795 RDS65795:RED65795 QTW65795:QUH65795 QKA65795:QKL65795 QAE65795:QAP65795 PQI65795:PQT65795 PGM65795:PGX65795 OWQ65795:OXB65795 OMU65795:ONF65795 OCY65795:ODJ65795 NTC65795:NTN65795 NJG65795:NJR65795 MZK65795:MZV65795 MPO65795:MPZ65795 MFS65795:MGD65795 LVW65795:LWH65795 LMA65795:LML65795 LCE65795:LCP65795 KSI65795:KST65795 KIM65795:KIX65795 JYQ65795:JZB65795 JOU65795:JPF65795 JEY65795:JFJ65795 IVC65795:IVN65795 ILG65795:ILR65795 IBK65795:IBV65795 HRO65795:HRZ65795 HHS65795:HID65795 GXW65795:GYH65795 GOA65795:GOL65795 GEE65795:GEP65795 FUI65795:FUT65795 FKM65795:FKX65795 FAQ65795:FBB65795 EQU65795:ERF65795 EGY65795:EHJ65795 DXC65795:DXN65795 DNG65795:DNR65795 DDK65795:DDV65795 CTO65795:CTZ65795 CJS65795:CKD65795 BZW65795:CAH65795 BQA65795:BQL65795 BGE65795:BGP65795 AWI65795:AWT65795 AMM65795:AMX65795 ACQ65795:ADB65795 SU65795:TF65795 IY65795:JJ65795 C65795:N65795 WVK983284:WVV983284 WLO983284:WLZ983284 WBS983284:WCD983284 VRW983284:VSH983284 VIA983284:VIL983284 UYE983284:UYP983284 UOI983284:UOT983284 UEM983284:UEX983284 TUQ983284:TVB983284 TKU983284:TLF983284 TAY983284:TBJ983284 SRC983284:SRN983284 SHG983284:SHR983284 RXK983284:RXV983284 RNO983284:RNZ983284 RDS983284:RED983284 QTW983284:QUH983284 QKA983284:QKL983284 QAE983284:QAP983284 PQI983284:PQT983284 PGM983284:PGX983284 OWQ983284:OXB983284 OMU983284:ONF983284 OCY983284:ODJ983284 NTC983284:NTN983284 NJG983284:NJR983284 MZK983284:MZV983284 MPO983284:MPZ983284 MFS983284:MGD983284 LVW983284:LWH983284 LMA983284:LML983284 LCE983284:LCP983284 KSI983284:KST983284 KIM983284:KIX983284 JYQ983284:JZB983284 JOU983284:JPF983284 JEY983284:JFJ983284 IVC983284:IVN983284 ILG983284:ILR983284 IBK983284:IBV983284 HRO983284:HRZ983284 HHS983284:HID983284 GXW983284:GYH983284 GOA983284:GOL983284 GEE983284:GEP983284 FUI983284:FUT983284 FKM983284:FKX983284 FAQ983284:FBB983284 EQU983284:ERF983284 EGY983284:EHJ983284 DXC983284:DXN983284 DNG983284:DNR983284 DDK983284:DDV983284 CTO983284:CTZ983284 CJS983284:CKD983284 BZW983284:CAH983284 BQA983284:BQL983284 BGE983284:BGP983284 AWI983284:AWT983284 AMM983284:AMX983284 ACQ983284:ADB983284 SU983284:TF983284 IY983284:JJ983284 C983284:N983284 WVK917748:WVV917748 WLO917748:WLZ917748 WBS917748:WCD917748 VRW917748:VSH917748 VIA917748:VIL917748 UYE917748:UYP917748 UOI917748:UOT917748 UEM917748:UEX917748 TUQ917748:TVB917748 TKU917748:TLF917748 TAY917748:TBJ917748 SRC917748:SRN917748 SHG917748:SHR917748 RXK917748:RXV917748 RNO917748:RNZ917748 RDS917748:RED917748 QTW917748:QUH917748 QKA917748:QKL917748 QAE917748:QAP917748 PQI917748:PQT917748 PGM917748:PGX917748 OWQ917748:OXB917748 OMU917748:ONF917748 OCY917748:ODJ917748 NTC917748:NTN917748 NJG917748:NJR917748 MZK917748:MZV917748 MPO917748:MPZ917748 MFS917748:MGD917748 LVW917748:LWH917748 LMA917748:LML917748 LCE917748:LCP917748 KSI917748:KST917748 KIM917748:KIX917748 JYQ917748:JZB917748 JOU917748:JPF917748 JEY917748:JFJ917748 IVC917748:IVN917748 ILG917748:ILR917748 IBK917748:IBV917748 HRO917748:HRZ917748 HHS917748:HID917748 GXW917748:GYH917748 GOA917748:GOL917748 GEE917748:GEP917748 FUI917748:FUT917748 FKM917748:FKX917748 FAQ917748:FBB917748 EQU917748:ERF917748 EGY917748:EHJ917748 DXC917748:DXN917748 DNG917748:DNR917748 DDK917748:DDV917748 CTO917748:CTZ917748 CJS917748:CKD917748 BZW917748:CAH917748 BQA917748:BQL917748 BGE917748:BGP917748 AWI917748:AWT917748 AMM917748:AMX917748 ACQ917748:ADB917748 SU917748:TF917748 IY917748:JJ917748 C917748:N917748 WVK852212:WVV852212 WLO852212:WLZ852212 WBS852212:WCD852212 VRW852212:VSH852212 VIA852212:VIL852212 UYE852212:UYP852212 UOI852212:UOT852212 UEM852212:UEX852212 TUQ852212:TVB852212 TKU852212:TLF852212 TAY852212:TBJ852212 SRC852212:SRN852212 SHG852212:SHR852212 RXK852212:RXV852212 RNO852212:RNZ852212 RDS852212:RED852212 QTW852212:QUH852212 QKA852212:QKL852212 QAE852212:QAP852212 PQI852212:PQT852212 PGM852212:PGX852212 OWQ852212:OXB852212 OMU852212:ONF852212 OCY852212:ODJ852212 NTC852212:NTN852212 NJG852212:NJR852212 MZK852212:MZV852212 MPO852212:MPZ852212 MFS852212:MGD852212 LVW852212:LWH852212 LMA852212:LML852212 LCE852212:LCP852212 KSI852212:KST852212 KIM852212:KIX852212 JYQ852212:JZB852212 JOU852212:JPF852212 JEY852212:JFJ852212 IVC852212:IVN852212 ILG852212:ILR852212 IBK852212:IBV852212 HRO852212:HRZ852212 HHS852212:HID852212 GXW852212:GYH852212 GOA852212:GOL852212 GEE852212:GEP852212 FUI852212:FUT852212 FKM852212:FKX852212 FAQ852212:FBB852212 EQU852212:ERF852212 EGY852212:EHJ852212 DXC852212:DXN852212 DNG852212:DNR852212 DDK852212:DDV852212 CTO852212:CTZ852212 CJS852212:CKD852212 BZW852212:CAH852212 BQA852212:BQL852212 BGE852212:BGP852212 AWI852212:AWT852212 AMM852212:AMX852212 ACQ852212:ADB852212 SU852212:TF852212 IY852212:JJ852212 C852212:N852212 WVK786676:WVV786676 WLO786676:WLZ786676 WBS786676:WCD786676 VRW786676:VSH786676 VIA786676:VIL786676 UYE786676:UYP786676 UOI786676:UOT786676 UEM786676:UEX786676 TUQ786676:TVB786676 TKU786676:TLF786676 TAY786676:TBJ786676 SRC786676:SRN786676 SHG786676:SHR786676 RXK786676:RXV786676 RNO786676:RNZ786676 RDS786676:RED786676 QTW786676:QUH786676 QKA786676:QKL786676 QAE786676:QAP786676 PQI786676:PQT786676 PGM786676:PGX786676 OWQ786676:OXB786676 OMU786676:ONF786676 OCY786676:ODJ786676 NTC786676:NTN786676 NJG786676:NJR786676 MZK786676:MZV786676 MPO786676:MPZ786676 MFS786676:MGD786676 LVW786676:LWH786676 LMA786676:LML786676 LCE786676:LCP786676 KSI786676:KST786676 KIM786676:KIX786676 JYQ786676:JZB786676 JOU786676:JPF786676 JEY786676:JFJ786676 IVC786676:IVN786676 ILG786676:ILR786676 IBK786676:IBV786676 HRO786676:HRZ786676 HHS786676:HID786676 GXW786676:GYH786676 GOA786676:GOL786676 GEE786676:GEP786676 FUI786676:FUT786676 FKM786676:FKX786676 FAQ786676:FBB786676 EQU786676:ERF786676 EGY786676:EHJ786676 DXC786676:DXN786676 DNG786676:DNR786676 DDK786676:DDV786676 CTO786676:CTZ786676 CJS786676:CKD786676 BZW786676:CAH786676 BQA786676:BQL786676 BGE786676:BGP786676 AWI786676:AWT786676 AMM786676:AMX786676 ACQ786676:ADB786676 SU786676:TF786676 IY786676:JJ786676 C786676:N786676 WVK721140:WVV721140 WLO721140:WLZ721140 WBS721140:WCD721140 VRW721140:VSH721140 VIA721140:VIL721140 UYE721140:UYP721140 UOI721140:UOT721140 UEM721140:UEX721140 TUQ721140:TVB721140 TKU721140:TLF721140 TAY721140:TBJ721140 SRC721140:SRN721140 SHG721140:SHR721140 RXK721140:RXV721140 RNO721140:RNZ721140 RDS721140:RED721140 QTW721140:QUH721140 QKA721140:QKL721140 QAE721140:QAP721140 PQI721140:PQT721140 PGM721140:PGX721140 OWQ721140:OXB721140 OMU721140:ONF721140 OCY721140:ODJ721140 NTC721140:NTN721140 NJG721140:NJR721140 MZK721140:MZV721140 MPO721140:MPZ721140 MFS721140:MGD721140 LVW721140:LWH721140 LMA721140:LML721140 LCE721140:LCP721140 KSI721140:KST721140 KIM721140:KIX721140 JYQ721140:JZB721140 JOU721140:JPF721140 JEY721140:JFJ721140 IVC721140:IVN721140 ILG721140:ILR721140 IBK721140:IBV721140 HRO721140:HRZ721140 HHS721140:HID721140 GXW721140:GYH721140 GOA721140:GOL721140 GEE721140:GEP721140 FUI721140:FUT721140 FKM721140:FKX721140 FAQ721140:FBB721140 EQU721140:ERF721140 EGY721140:EHJ721140 DXC721140:DXN721140 DNG721140:DNR721140 DDK721140:DDV721140 CTO721140:CTZ721140 CJS721140:CKD721140 BZW721140:CAH721140 BQA721140:BQL721140 BGE721140:BGP721140 AWI721140:AWT721140 AMM721140:AMX721140 ACQ721140:ADB721140 SU721140:TF721140 IY721140:JJ721140 C721140:N721140 WVK655604:WVV655604 WLO655604:WLZ655604 WBS655604:WCD655604 VRW655604:VSH655604 VIA655604:VIL655604 UYE655604:UYP655604 UOI655604:UOT655604 UEM655604:UEX655604 TUQ655604:TVB655604 TKU655604:TLF655604 TAY655604:TBJ655604 SRC655604:SRN655604 SHG655604:SHR655604 RXK655604:RXV655604 RNO655604:RNZ655604 RDS655604:RED655604 QTW655604:QUH655604 QKA655604:QKL655604 QAE655604:QAP655604 PQI655604:PQT655604 PGM655604:PGX655604 OWQ655604:OXB655604 OMU655604:ONF655604 OCY655604:ODJ655604 NTC655604:NTN655604 NJG655604:NJR655604 MZK655604:MZV655604 MPO655604:MPZ655604 MFS655604:MGD655604 LVW655604:LWH655604 LMA655604:LML655604 LCE655604:LCP655604 KSI655604:KST655604 KIM655604:KIX655604 JYQ655604:JZB655604 JOU655604:JPF655604 JEY655604:JFJ655604 IVC655604:IVN655604 ILG655604:ILR655604 IBK655604:IBV655604 HRO655604:HRZ655604 HHS655604:HID655604 GXW655604:GYH655604 GOA655604:GOL655604 GEE655604:GEP655604 FUI655604:FUT655604 FKM655604:FKX655604 FAQ655604:FBB655604 EQU655604:ERF655604 EGY655604:EHJ655604 DXC655604:DXN655604 DNG655604:DNR655604 DDK655604:DDV655604 CTO655604:CTZ655604 CJS655604:CKD655604 BZW655604:CAH655604 BQA655604:BQL655604 BGE655604:BGP655604 AWI655604:AWT655604 AMM655604:AMX655604 ACQ655604:ADB655604 SU655604:TF655604 IY655604:JJ655604 C655604:N655604 WVK590068:WVV590068 WLO590068:WLZ590068 WBS590068:WCD590068 VRW590068:VSH590068 VIA590068:VIL590068 UYE590068:UYP590068 UOI590068:UOT590068 UEM590068:UEX590068 TUQ590068:TVB590068 TKU590068:TLF590068 TAY590068:TBJ590068 SRC590068:SRN590068 SHG590068:SHR590068 RXK590068:RXV590068 RNO590068:RNZ590068 RDS590068:RED590068 QTW590068:QUH590068 QKA590068:QKL590068 QAE590068:QAP590068 PQI590068:PQT590068 PGM590068:PGX590068 OWQ590068:OXB590068 OMU590068:ONF590068 OCY590068:ODJ590068 NTC590068:NTN590068 NJG590068:NJR590068 MZK590068:MZV590068 MPO590068:MPZ590068 MFS590068:MGD590068 LVW590068:LWH590068 LMA590068:LML590068 LCE590068:LCP590068 KSI590068:KST590068 KIM590068:KIX590068 JYQ590068:JZB590068 JOU590068:JPF590068 JEY590068:JFJ590068 IVC590068:IVN590068 ILG590068:ILR590068 IBK590068:IBV590068 HRO590068:HRZ590068 HHS590068:HID590068 GXW590068:GYH590068 GOA590068:GOL590068 GEE590068:GEP590068 FUI590068:FUT590068 FKM590068:FKX590068 FAQ590068:FBB590068 EQU590068:ERF590068 EGY590068:EHJ590068 DXC590068:DXN590068 DNG590068:DNR590068 DDK590068:DDV590068 CTO590068:CTZ590068 CJS590068:CKD590068 BZW590068:CAH590068 BQA590068:BQL590068 BGE590068:BGP590068 AWI590068:AWT590068 AMM590068:AMX590068 ACQ590068:ADB590068 SU590068:TF590068 IY590068:JJ590068 C590068:N590068 WVK524532:WVV524532 WLO524532:WLZ524532 WBS524532:WCD524532 VRW524532:VSH524532 VIA524532:VIL524532 UYE524532:UYP524532 UOI524532:UOT524532 UEM524532:UEX524532 TUQ524532:TVB524532 TKU524532:TLF524532 TAY524532:TBJ524532 SRC524532:SRN524532 SHG524532:SHR524532 RXK524532:RXV524532 RNO524532:RNZ524532 RDS524532:RED524532 QTW524532:QUH524532 QKA524532:QKL524532 QAE524532:QAP524532 PQI524532:PQT524532 PGM524532:PGX524532 OWQ524532:OXB524532 OMU524532:ONF524532 OCY524532:ODJ524532 NTC524532:NTN524532 NJG524532:NJR524532 MZK524532:MZV524532 MPO524532:MPZ524532 MFS524532:MGD524532 LVW524532:LWH524532 LMA524532:LML524532 LCE524532:LCP524532 KSI524532:KST524532 KIM524532:KIX524532 JYQ524532:JZB524532 JOU524532:JPF524532 JEY524532:JFJ524532 IVC524532:IVN524532 ILG524532:ILR524532 IBK524532:IBV524532 HRO524532:HRZ524532 HHS524532:HID524532 GXW524532:GYH524532 GOA524532:GOL524532 GEE524532:GEP524532 FUI524532:FUT524532 FKM524532:FKX524532 FAQ524532:FBB524532 EQU524532:ERF524532 EGY524532:EHJ524532 DXC524532:DXN524532 DNG524532:DNR524532 DDK524532:DDV524532 CTO524532:CTZ524532 CJS524532:CKD524532 BZW524532:CAH524532 BQA524532:BQL524532 BGE524532:BGP524532 AWI524532:AWT524532 AMM524532:AMX524532 ACQ524532:ADB524532 SU524532:TF524532 IY524532:JJ524532 C524532:N524532 WVK458996:WVV458996 WLO458996:WLZ458996 WBS458996:WCD458996 VRW458996:VSH458996 VIA458996:VIL458996 UYE458996:UYP458996 UOI458996:UOT458996 UEM458996:UEX458996 TUQ458996:TVB458996 TKU458996:TLF458996 TAY458996:TBJ458996 SRC458996:SRN458996 SHG458996:SHR458996 RXK458996:RXV458996 RNO458996:RNZ458996 RDS458996:RED458996 QTW458996:QUH458996 QKA458996:QKL458996 QAE458996:QAP458996 PQI458996:PQT458996 PGM458996:PGX458996 OWQ458996:OXB458996 OMU458996:ONF458996 OCY458996:ODJ458996 NTC458996:NTN458996 NJG458996:NJR458996 MZK458996:MZV458996 MPO458996:MPZ458996 MFS458996:MGD458996 LVW458996:LWH458996 LMA458996:LML458996 LCE458996:LCP458996 KSI458996:KST458996 KIM458996:KIX458996 JYQ458996:JZB458996 JOU458996:JPF458996 JEY458996:JFJ458996 IVC458996:IVN458996 ILG458996:ILR458996 IBK458996:IBV458996 HRO458996:HRZ458996 HHS458996:HID458996 GXW458996:GYH458996 GOA458996:GOL458996 GEE458996:GEP458996 FUI458996:FUT458996 FKM458996:FKX458996 FAQ458996:FBB458996 EQU458996:ERF458996 EGY458996:EHJ458996 DXC458996:DXN458996 DNG458996:DNR458996 DDK458996:DDV458996 CTO458996:CTZ458996 CJS458996:CKD458996 BZW458996:CAH458996 BQA458996:BQL458996 BGE458996:BGP458996 AWI458996:AWT458996 AMM458996:AMX458996 ACQ458996:ADB458996 SU458996:TF458996 IY458996:JJ458996 C458996:N458996 WVK393460:WVV393460 WLO393460:WLZ393460 WBS393460:WCD393460 VRW393460:VSH393460 VIA393460:VIL393460 UYE393460:UYP393460 UOI393460:UOT393460 UEM393460:UEX393460 TUQ393460:TVB393460 TKU393460:TLF393460 TAY393460:TBJ393460 SRC393460:SRN393460 SHG393460:SHR393460 RXK393460:RXV393460 RNO393460:RNZ393460 RDS393460:RED393460 QTW393460:QUH393460 QKA393460:QKL393460 QAE393460:QAP393460 PQI393460:PQT393460 PGM393460:PGX393460 OWQ393460:OXB393460 OMU393460:ONF393460 OCY393460:ODJ393460 NTC393460:NTN393460 NJG393460:NJR393460 MZK393460:MZV393460 MPO393460:MPZ393460 MFS393460:MGD393460 LVW393460:LWH393460 LMA393460:LML393460 LCE393460:LCP393460 KSI393460:KST393460 KIM393460:KIX393460 JYQ393460:JZB393460 JOU393460:JPF393460 JEY393460:JFJ393460 IVC393460:IVN393460 ILG393460:ILR393460 IBK393460:IBV393460 HRO393460:HRZ393460 HHS393460:HID393460 GXW393460:GYH393460 GOA393460:GOL393460 GEE393460:GEP393460 FUI393460:FUT393460 FKM393460:FKX393460 FAQ393460:FBB393460 EQU393460:ERF393460 EGY393460:EHJ393460 DXC393460:DXN393460 DNG393460:DNR393460 DDK393460:DDV393460 CTO393460:CTZ393460 CJS393460:CKD393460 BZW393460:CAH393460 BQA393460:BQL393460 BGE393460:BGP393460 AWI393460:AWT393460 AMM393460:AMX393460 ACQ393460:ADB393460 SU393460:TF393460 IY393460:JJ393460 C393460:N393460 WVK327924:WVV327924 WLO327924:WLZ327924 WBS327924:WCD327924 VRW327924:VSH327924 VIA327924:VIL327924 UYE327924:UYP327924 UOI327924:UOT327924 UEM327924:UEX327924 TUQ327924:TVB327924 TKU327924:TLF327924 TAY327924:TBJ327924 SRC327924:SRN327924 SHG327924:SHR327924 RXK327924:RXV327924 RNO327924:RNZ327924 RDS327924:RED327924 QTW327924:QUH327924 QKA327924:QKL327924 QAE327924:QAP327924 PQI327924:PQT327924 PGM327924:PGX327924 OWQ327924:OXB327924 OMU327924:ONF327924 OCY327924:ODJ327924 NTC327924:NTN327924 NJG327924:NJR327924 MZK327924:MZV327924 MPO327924:MPZ327924 MFS327924:MGD327924 LVW327924:LWH327924 LMA327924:LML327924 LCE327924:LCP327924 KSI327924:KST327924 KIM327924:KIX327924 JYQ327924:JZB327924 JOU327924:JPF327924 JEY327924:JFJ327924 IVC327924:IVN327924 ILG327924:ILR327924 IBK327924:IBV327924 HRO327924:HRZ327924 HHS327924:HID327924 GXW327924:GYH327924 GOA327924:GOL327924 GEE327924:GEP327924 FUI327924:FUT327924 FKM327924:FKX327924 FAQ327924:FBB327924 EQU327924:ERF327924 EGY327924:EHJ327924 DXC327924:DXN327924 DNG327924:DNR327924 DDK327924:DDV327924 CTO327924:CTZ327924 CJS327924:CKD327924 BZW327924:CAH327924 BQA327924:BQL327924 BGE327924:BGP327924 AWI327924:AWT327924 AMM327924:AMX327924 ACQ327924:ADB327924 SU327924:TF327924 IY327924:JJ327924 C327924:N327924 WVK262388:WVV262388 WLO262388:WLZ262388 WBS262388:WCD262388 VRW262388:VSH262388 VIA262388:VIL262388 UYE262388:UYP262388 UOI262388:UOT262388 UEM262388:UEX262388 TUQ262388:TVB262388 TKU262388:TLF262388 TAY262388:TBJ262388 SRC262388:SRN262388 SHG262388:SHR262388 RXK262388:RXV262388 RNO262388:RNZ262388 RDS262388:RED262388 QTW262388:QUH262388 QKA262388:QKL262388 QAE262388:QAP262388 PQI262388:PQT262388 PGM262388:PGX262388 OWQ262388:OXB262388 OMU262388:ONF262388 OCY262388:ODJ262388 NTC262388:NTN262388 NJG262388:NJR262388 MZK262388:MZV262388 MPO262388:MPZ262388 MFS262388:MGD262388 LVW262388:LWH262388 LMA262388:LML262388 LCE262388:LCP262388 KSI262388:KST262388 KIM262388:KIX262388 JYQ262388:JZB262388 JOU262388:JPF262388 JEY262388:JFJ262388 IVC262388:IVN262388 ILG262388:ILR262388 IBK262388:IBV262388 HRO262388:HRZ262388 HHS262388:HID262388 GXW262388:GYH262388 GOA262388:GOL262388 GEE262388:GEP262388 FUI262388:FUT262388 FKM262388:FKX262388 FAQ262388:FBB262388 EQU262388:ERF262388 EGY262388:EHJ262388 DXC262388:DXN262388 DNG262388:DNR262388 DDK262388:DDV262388 CTO262388:CTZ262388 CJS262388:CKD262388 BZW262388:CAH262388 BQA262388:BQL262388 BGE262388:BGP262388 AWI262388:AWT262388 AMM262388:AMX262388 ACQ262388:ADB262388 SU262388:TF262388 IY262388:JJ262388 C262388:N262388 WVK196852:WVV196852 WLO196852:WLZ196852 WBS196852:WCD196852 VRW196852:VSH196852 VIA196852:VIL196852 UYE196852:UYP196852 UOI196852:UOT196852 UEM196852:UEX196852 TUQ196852:TVB196852 TKU196852:TLF196852 TAY196852:TBJ196852 SRC196852:SRN196852 SHG196852:SHR196852 RXK196852:RXV196852 RNO196852:RNZ196852 RDS196852:RED196852 QTW196852:QUH196852 QKA196852:QKL196852 QAE196852:QAP196852 PQI196852:PQT196852 PGM196852:PGX196852 OWQ196852:OXB196852 OMU196852:ONF196852 OCY196852:ODJ196852 NTC196852:NTN196852 NJG196852:NJR196852 MZK196852:MZV196852 MPO196852:MPZ196852 MFS196852:MGD196852 LVW196852:LWH196852 LMA196852:LML196852 LCE196852:LCP196852 KSI196852:KST196852 KIM196852:KIX196852 JYQ196852:JZB196852 JOU196852:JPF196852 JEY196852:JFJ196852 IVC196852:IVN196852 ILG196852:ILR196852 IBK196852:IBV196852 HRO196852:HRZ196852 HHS196852:HID196852 GXW196852:GYH196852 GOA196852:GOL196852 GEE196852:GEP196852 FUI196852:FUT196852 FKM196852:FKX196852 FAQ196852:FBB196852 EQU196852:ERF196852 EGY196852:EHJ196852 DXC196852:DXN196852 DNG196852:DNR196852 DDK196852:DDV196852 CTO196852:CTZ196852 CJS196852:CKD196852 BZW196852:CAH196852 BQA196852:BQL196852 BGE196852:BGP196852 AWI196852:AWT196852 AMM196852:AMX196852 ACQ196852:ADB196852 SU196852:TF196852 IY196852:JJ196852 C196852:N196852 WVK131316:WVV131316 WLO131316:WLZ131316 WBS131316:WCD131316 VRW131316:VSH131316 VIA131316:VIL131316 UYE131316:UYP131316 UOI131316:UOT131316 UEM131316:UEX131316 TUQ131316:TVB131316 TKU131316:TLF131316 TAY131316:TBJ131316 SRC131316:SRN131316 SHG131316:SHR131316 RXK131316:RXV131316 RNO131316:RNZ131316 RDS131316:RED131316 QTW131316:QUH131316 QKA131316:QKL131316 QAE131316:QAP131316 PQI131316:PQT131316 PGM131316:PGX131316 OWQ131316:OXB131316 OMU131316:ONF131316 OCY131316:ODJ131316 NTC131316:NTN131316 NJG131316:NJR131316 MZK131316:MZV131316 MPO131316:MPZ131316 MFS131316:MGD131316 LVW131316:LWH131316 LMA131316:LML131316 LCE131316:LCP131316 KSI131316:KST131316 KIM131316:KIX131316 JYQ131316:JZB131316 JOU131316:JPF131316 JEY131316:JFJ131316 IVC131316:IVN131316 ILG131316:ILR131316 IBK131316:IBV131316 HRO131316:HRZ131316 HHS131316:HID131316 GXW131316:GYH131316 GOA131316:GOL131316 GEE131316:GEP131316 FUI131316:FUT131316 FKM131316:FKX131316 FAQ131316:FBB131316 EQU131316:ERF131316 EGY131316:EHJ131316 DXC131316:DXN131316 DNG131316:DNR131316 DDK131316:DDV131316 CTO131316:CTZ131316 CJS131316:CKD131316 BZW131316:CAH131316 BQA131316:BQL131316 BGE131316:BGP131316 AWI131316:AWT131316 AMM131316:AMX131316 ACQ131316:ADB131316 SU131316:TF131316 IY131316:JJ131316 C131316:N131316 WVK65780:WVV65780 WLO65780:WLZ65780 WBS65780:WCD65780 VRW65780:VSH65780 VIA65780:VIL65780 UYE65780:UYP65780 UOI65780:UOT65780 UEM65780:UEX65780 TUQ65780:TVB65780 TKU65780:TLF65780 TAY65780:TBJ65780 SRC65780:SRN65780 SHG65780:SHR65780 RXK65780:RXV65780 RNO65780:RNZ65780 RDS65780:RED65780 QTW65780:QUH65780 QKA65780:QKL65780 QAE65780:QAP65780 PQI65780:PQT65780 PGM65780:PGX65780 OWQ65780:OXB65780 OMU65780:ONF65780 OCY65780:ODJ65780 NTC65780:NTN65780 NJG65780:NJR65780 MZK65780:MZV65780 MPO65780:MPZ65780 MFS65780:MGD65780 LVW65780:LWH65780 LMA65780:LML65780 LCE65780:LCP65780 KSI65780:KST65780 KIM65780:KIX65780 JYQ65780:JZB65780 JOU65780:JPF65780 JEY65780:JFJ65780 IVC65780:IVN65780 ILG65780:ILR65780 IBK65780:IBV65780 HRO65780:HRZ65780 HHS65780:HID65780 GXW65780:GYH65780 GOA65780:GOL65780 GEE65780:GEP65780 FUI65780:FUT65780 FKM65780:FKX65780 FAQ65780:FBB65780 EQU65780:ERF65780 EGY65780:EHJ65780 DXC65780:DXN65780 DNG65780:DNR65780 DDK65780:DDV65780 CTO65780:CTZ65780 CJS65780:CKD65780 BZW65780:CAH65780 BQA65780:BQL65780 BGE65780:BGP65780 AWI65780:AWT65780 AMM65780:AMX65780 ACQ65780:ADB65780 SU65780:TF65780 IY65780:JJ65780 C65780:N65780 WVK983254:WVV983254 WLO983254:WLZ983254 WBS983254:WCD983254 VRW983254:VSH983254 VIA983254:VIL983254 UYE983254:UYP983254 UOI983254:UOT983254 UEM983254:UEX983254 TUQ983254:TVB983254 TKU983254:TLF983254 TAY983254:TBJ983254 SRC983254:SRN983254 SHG983254:SHR983254 RXK983254:RXV983254 RNO983254:RNZ983254 RDS983254:RED983254 QTW983254:QUH983254 QKA983254:QKL983254 QAE983254:QAP983254 PQI983254:PQT983254 PGM983254:PGX983254 OWQ983254:OXB983254 OMU983254:ONF983254 OCY983254:ODJ983254 NTC983254:NTN983254 NJG983254:NJR983254 MZK983254:MZV983254 MPO983254:MPZ983254 MFS983254:MGD983254 LVW983254:LWH983254 LMA983254:LML983254 LCE983254:LCP983254 KSI983254:KST983254 KIM983254:KIX983254 JYQ983254:JZB983254 JOU983254:JPF983254 JEY983254:JFJ983254 IVC983254:IVN983254 ILG983254:ILR983254 IBK983254:IBV983254 HRO983254:HRZ983254 HHS983254:HID983254 GXW983254:GYH983254 GOA983254:GOL983254 GEE983254:GEP983254 FUI983254:FUT983254 FKM983254:FKX983254 FAQ983254:FBB983254 EQU983254:ERF983254 EGY983254:EHJ983254 DXC983254:DXN983254 DNG983254:DNR983254 DDK983254:DDV983254 CTO983254:CTZ983254 CJS983254:CKD983254 BZW983254:CAH983254 BQA983254:BQL983254 BGE983254:BGP983254 AWI983254:AWT983254 AMM983254:AMX983254 ACQ983254:ADB983254 SU983254:TF983254 IY983254:JJ983254 C983254:N983254 WVK917718:WVV917718 WLO917718:WLZ917718 WBS917718:WCD917718 VRW917718:VSH917718 VIA917718:VIL917718 UYE917718:UYP917718 UOI917718:UOT917718 UEM917718:UEX917718 TUQ917718:TVB917718 TKU917718:TLF917718 TAY917718:TBJ917718 SRC917718:SRN917718 SHG917718:SHR917718 RXK917718:RXV917718 RNO917718:RNZ917718 RDS917718:RED917718 QTW917718:QUH917718 QKA917718:QKL917718 QAE917718:QAP917718 PQI917718:PQT917718 PGM917718:PGX917718 OWQ917718:OXB917718 OMU917718:ONF917718 OCY917718:ODJ917718 NTC917718:NTN917718 NJG917718:NJR917718 MZK917718:MZV917718 MPO917718:MPZ917718 MFS917718:MGD917718 LVW917718:LWH917718 LMA917718:LML917718 LCE917718:LCP917718 KSI917718:KST917718 KIM917718:KIX917718 JYQ917718:JZB917718 JOU917718:JPF917718 JEY917718:JFJ917718 IVC917718:IVN917718 ILG917718:ILR917718 IBK917718:IBV917718 HRO917718:HRZ917718 HHS917718:HID917718 GXW917718:GYH917718 GOA917718:GOL917718 GEE917718:GEP917718 FUI917718:FUT917718 FKM917718:FKX917718 FAQ917718:FBB917718 EQU917718:ERF917718 EGY917718:EHJ917718 DXC917718:DXN917718 DNG917718:DNR917718 DDK917718:DDV917718 CTO917718:CTZ917718 CJS917718:CKD917718 BZW917718:CAH917718 BQA917718:BQL917718 BGE917718:BGP917718 AWI917718:AWT917718 AMM917718:AMX917718 ACQ917718:ADB917718 SU917718:TF917718 IY917718:JJ917718 C917718:N917718 WVK852182:WVV852182 WLO852182:WLZ852182 WBS852182:WCD852182 VRW852182:VSH852182 VIA852182:VIL852182 UYE852182:UYP852182 UOI852182:UOT852182 UEM852182:UEX852182 TUQ852182:TVB852182 TKU852182:TLF852182 TAY852182:TBJ852182 SRC852182:SRN852182 SHG852182:SHR852182 RXK852182:RXV852182 RNO852182:RNZ852182 RDS852182:RED852182 QTW852182:QUH852182 QKA852182:QKL852182 QAE852182:QAP852182 PQI852182:PQT852182 PGM852182:PGX852182 OWQ852182:OXB852182 OMU852182:ONF852182 OCY852182:ODJ852182 NTC852182:NTN852182 NJG852182:NJR852182 MZK852182:MZV852182 MPO852182:MPZ852182 MFS852182:MGD852182 LVW852182:LWH852182 LMA852182:LML852182 LCE852182:LCP852182 KSI852182:KST852182 KIM852182:KIX852182 JYQ852182:JZB852182 JOU852182:JPF852182 JEY852182:JFJ852182 IVC852182:IVN852182 ILG852182:ILR852182 IBK852182:IBV852182 HRO852182:HRZ852182 HHS852182:HID852182 GXW852182:GYH852182 GOA852182:GOL852182 GEE852182:GEP852182 FUI852182:FUT852182 FKM852182:FKX852182 FAQ852182:FBB852182 EQU852182:ERF852182 EGY852182:EHJ852182 DXC852182:DXN852182 DNG852182:DNR852182 DDK852182:DDV852182 CTO852182:CTZ852182 CJS852182:CKD852182 BZW852182:CAH852182 BQA852182:BQL852182 BGE852182:BGP852182 AWI852182:AWT852182 AMM852182:AMX852182 ACQ852182:ADB852182 SU852182:TF852182 IY852182:JJ852182 C852182:N852182 WVK786646:WVV786646 WLO786646:WLZ786646 WBS786646:WCD786646 VRW786646:VSH786646 VIA786646:VIL786646 UYE786646:UYP786646 UOI786646:UOT786646 UEM786646:UEX786646 TUQ786646:TVB786646 TKU786646:TLF786646 TAY786646:TBJ786646 SRC786646:SRN786646 SHG786646:SHR786646 RXK786646:RXV786646 RNO786646:RNZ786646 RDS786646:RED786646 QTW786646:QUH786646 QKA786646:QKL786646 QAE786646:QAP786646 PQI786646:PQT786646 PGM786646:PGX786646 OWQ786646:OXB786646 OMU786646:ONF786646 OCY786646:ODJ786646 NTC786646:NTN786646 NJG786646:NJR786646 MZK786646:MZV786646 MPO786646:MPZ786646 MFS786646:MGD786646 LVW786646:LWH786646 LMA786646:LML786646 LCE786646:LCP786646 KSI786646:KST786646 KIM786646:KIX786646 JYQ786646:JZB786646 JOU786646:JPF786646 JEY786646:JFJ786646 IVC786646:IVN786646 ILG786646:ILR786646 IBK786646:IBV786646 HRO786646:HRZ786646 HHS786646:HID786646 GXW786646:GYH786646 GOA786646:GOL786646 GEE786646:GEP786646 FUI786646:FUT786646 FKM786646:FKX786646 FAQ786646:FBB786646 EQU786646:ERF786646 EGY786646:EHJ786646 DXC786646:DXN786646 DNG786646:DNR786646 DDK786646:DDV786646 CTO786646:CTZ786646 CJS786646:CKD786646 BZW786646:CAH786646 BQA786646:BQL786646 BGE786646:BGP786646 AWI786646:AWT786646 AMM786646:AMX786646 ACQ786646:ADB786646 SU786646:TF786646 IY786646:JJ786646 C786646:N786646 WVK721110:WVV721110 WLO721110:WLZ721110 WBS721110:WCD721110 VRW721110:VSH721110 VIA721110:VIL721110 UYE721110:UYP721110 UOI721110:UOT721110 UEM721110:UEX721110 TUQ721110:TVB721110 TKU721110:TLF721110 TAY721110:TBJ721110 SRC721110:SRN721110 SHG721110:SHR721110 RXK721110:RXV721110 RNO721110:RNZ721110 RDS721110:RED721110 QTW721110:QUH721110 QKA721110:QKL721110 QAE721110:QAP721110 PQI721110:PQT721110 PGM721110:PGX721110 OWQ721110:OXB721110 OMU721110:ONF721110 OCY721110:ODJ721110 NTC721110:NTN721110 NJG721110:NJR721110 MZK721110:MZV721110 MPO721110:MPZ721110 MFS721110:MGD721110 LVW721110:LWH721110 LMA721110:LML721110 LCE721110:LCP721110 KSI721110:KST721110 KIM721110:KIX721110 JYQ721110:JZB721110 JOU721110:JPF721110 JEY721110:JFJ721110 IVC721110:IVN721110 ILG721110:ILR721110 IBK721110:IBV721110 HRO721110:HRZ721110 HHS721110:HID721110 GXW721110:GYH721110 GOA721110:GOL721110 GEE721110:GEP721110 FUI721110:FUT721110 FKM721110:FKX721110 FAQ721110:FBB721110 EQU721110:ERF721110 EGY721110:EHJ721110 DXC721110:DXN721110 DNG721110:DNR721110 DDK721110:DDV721110 CTO721110:CTZ721110 CJS721110:CKD721110 BZW721110:CAH721110 BQA721110:BQL721110 BGE721110:BGP721110 AWI721110:AWT721110 AMM721110:AMX721110 ACQ721110:ADB721110 SU721110:TF721110 IY721110:JJ721110 C721110:N721110 WVK655574:WVV655574 WLO655574:WLZ655574 WBS655574:WCD655574 VRW655574:VSH655574 VIA655574:VIL655574 UYE655574:UYP655574 UOI655574:UOT655574 UEM655574:UEX655574 TUQ655574:TVB655574 TKU655574:TLF655574 TAY655574:TBJ655574 SRC655574:SRN655574 SHG655574:SHR655574 RXK655574:RXV655574 RNO655574:RNZ655574 RDS655574:RED655574 QTW655574:QUH655574 QKA655574:QKL655574 QAE655574:QAP655574 PQI655574:PQT655574 PGM655574:PGX655574 OWQ655574:OXB655574 OMU655574:ONF655574 OCY655574:ODJ655574 NTC655574:NTN655574 NJG655574:NJR655574 MZK655574:MZV655574 MPO655574:MPZ655574 MFS655574:MGD655574 LVW655574:LWH655574 LMA655574:LML655574 LCE655574:LCP655574 KSI655574:KST655574 KIM655574:KIX655574 JYQ655574:JZB655574 JOU655574:JPF655574 JEY655574:JFJ655574 IVC655574:IVN655574 ILG655574:ILR655574 IBK655574:IBV655574 HRO655574:HRZ655574 HHS655574:HID655574 GXW655574:GYH655574 GOA655574:GOL655574 GEE655574:GEP655574 FUI655574:FUT655574 FKM655574:FKX655574 FAQ655574:FBB655574 EQU655574:ERF655574 EGY655574:EHJ655574 DXC655574:DXN655574 DNG655574:DNR655574 DDK655574:DDV655574 CTO655574:CTZ655574 CJS655574:CKD655574 BZW655574:CAH655574 BQA655574:BQL655574 BGE655574:BGP655574 AWI655574:AWT655574 AMM655574:AMX655574 ACQ655574:ADB655574 SU655574:TF655574 IY655574:JJ655574 C655574:N655574 WVK590038:WVV590038 WLO590038:WLZ590038 WBS590038:WCD590038 VRW590038:VSH590038 VIA590038:VIL590038 UYE590038:UYP590038 UOI590038:UOT590038 UEM590038:UEX590038 TUQ590038:TVB590038 TKU590038:TLF590038 TAY590038:TBJ590038 SRC590038:SRN590038 SHG590038:SHR590038 RXK590038:RXV590038 RNO590038:RNZ590038 RDS590038:RED590038 QTW590038:QUH590038 QKA590038:QKL590038 QAE590038:QAP590038 PQI590038:PQT590038 PGM590038:PGX590038 OWQ590038:OXB590038 OMU590038:ONF590038 OCY590038:ODJ590038 NTC590038:NTN590038 NJG590038:NJR590038 MZK590038:MZV590038 MPO590038:MPZ590038 MFS590038:MGD590038 LVW590038:LWH590038 LMA590038:LML590038 LCE590038:LCP590038 KSI590038:KST590038 KIM590038:KIX590038 JYQ590038:JZB590038 JOU590038:JPF590038 JEY590038:JFJ590038 IVC590038:IVN590038 ILG590038:ILR590038 IBK590038:IBV590038 HRO590038:HRZ590038 HHS590038:HID590038 GXW590038:GYH590038 GOA590038:GOL590038 GEE590038:GEP590038 FUI590038:FUT590038 FKM590038:FKX590038 FAQ590038:FBB590038 EQU590038:ERF590038 EGY590038:EHJ590038 DXC590038:DXN590038 DNG590038:DNR590038 DDK590038:DDV590038 CTO590038:CTZ590038 CJS590038:CKD590038 BZW590038:CAH590038 BQA590038:BQL590038 BGE590038:BGP590038 AWI590038:AWT590038 AMM590038:AMX590038 ACQ590038:ADB590038 SU590038:TF590038 IY590038:JJ590038 C590038:N590038 WVK524502:WVV524502 WLO524502:WLZ524502 WBS524502:WCD524502 VRW524502:VSH524502 VIA524502:VIL524502 UYE524502:UYP524502 UOI524502:UOT524502 UEM524502:UEX524502 TUQ524502:TVB524502 TKU524502:TLF524502 TAY524502:TBJ524502 SRC524502:SRN524502 SHG524502:SHR524502 RXK524502:RXV524502 RNO524502:RNZ524502 RDS524502:RED524502 QTW524502:QUH524502 QKA524502:QKL524502 QAE524502:QAP524502 PQI524502:PQT524502 PGM524502:PGX524502 OWQ524502:OXB524502 OMU524502:ONF524502 OCY524502:ODJ524502 NTC524502:NTN524502 NJG524502:NJR524502 MZK524502:MZV524502 MPO524502:MPZ524502 MFS524502:MGD524502 LVW524502:LWH524502 LMA524502:LML524502 LCE524502:LCP524502 KSI524502:KST524502 KIM524502:KIX524502 JYQ524502:JZB524502 JOU524502:JPF524502 JEY524502:JFJ524502 IVC524502:IVN524502 ILG524502:ILR524502 IBK524502:IBV524502 HRO524502:HRZ524502 HHS524502:HID524502 GXW524502:GYH524502 GOA524502:GOL524502 GEE524502:GEP524502 FUI524502:FUT524502 FKM524502:FKX524502 FAQ524502:FBB524502 EQU524502:ERF524502 EGY524502:EHJ524502 DXC524502:DXN524502 DNG524502:DNR524502 DDK524502:DDV524502 CTO524502:CTZ524502 CJS524502:CKD524502 BZW524502:CAH524502 BQA524502:BQL524502 BGE524502:BGP524502 AWI524502:AWT524502 AMM524502:AMX524502 ACQ524502:ADB524502 SU524502:TF524502 IY524502:JJ524502 C524502:N524502 WVK458966:WVV458966 WLO458966:WLZ458966 WBS458966:WCD458966 VRW458966:VSH458966 VIA458966:VIL458966 UYE458966:UYP458966 UOI458966:UOT458966 UEM458966:UEX458966 TUQ458966:TVB458966 TKU458966:TLF458966 TAY458966:TBJ458966 SRC458966:SRN458966 SHG458966:SHR458966 RXK458966:RXV458966 RNO458966:RNZ458966 RDS458966:RED458966 QTW458966:QUH458966 QKA458966:QKL458966 QAE458966:QAP458966 PQI458966:PQT458966 PGM458966:PGX458966 OWQ458966:OXB458966 OMU458966:ONF458966 OCY458966:ODJ458966 NTC458966:NTN458966 NJG458966:NJR458966 MZK458966:MZV458966 MPO458966:MPZ458966 MFS458966:MGD458966 LVW458966:LWH458966 LMA458966:LML458966 LCE458966:LCP458966 KSI458966:KST458966 KIM458966:KIX458966 JYQ458966:JZB458966 JOU458966:JPF458966 JEY458966:JFJ458966 IVC458966:IVN458966 ILG458966:ILR458966 IBK458966:IBV458966 HRO458966:HRZ458966 HHS458966:HID458966 GXW458966:GYH458966 GOA458966:GOL458966 GEE458966:GEP458966 FUI458966:FUT458966 FKM458966:FKX458966 FAQ458966:FBB458966 EQU458966:ERF458966 EGY458966:EHJ458966 DXC458966:DXN458966 DNG458966:DNR458966 DDK458966:DDV458966 CTO458966:CTZ458966 CJS458966:CKD458966 BZW458966:CAH458966 BQA458966:BQL458966 BGE458966:BGP458966 AWI458966:AWT458966 AMM458966:AMX458966 ACQ458966:ADB458966 SU458966:TF458966 IY458966:JJ458966 C458966:N458966 WVK393430:WVV393430 WLO393430:WLZ393430 WBS393430:WCD393430 VRW393430:VSH393430 VIA393430:VIL393430 UYE393430:UYP393430 UOI393430:UOT393430 UEM393430:UEX393430 TUQ393430:TVB393430 TKU393430:TLF393430 TAY393430:TBJ393430 SRC393430:SRN393430 SHG393430:SHR393430 RXK393430:RXV393430 RNO393430:RNZ393430 RDS393430:RED393430 QTW393430:QUH393430 QKA393430:QKL393430 QAE393430:QAP393430 PQI393430:PQT393430 PGM393430:PGX393430 OWQ393430:OXB393430 OMU393430:ONF393430 OCY393430:ODJ393430 NTC393430:NTN393430 NJG393430:NJR393430 MZK393430:MZV393430 MPO393430:MPZ393430 MFS393430:MGD393430 LVW393430:LWH393430 LMA393430:LML393430 LCE393430:LCP393430 KSI393430:KST393430 KIM393430:KIX393430 JYQ393430:JZB393430 JOU393430:JPF393430 JEY393430:JFJ393430 IVC393430:IVN393430 ILG393430:ILR393430 IBK393430:IBV393430 HRO393430:HRZ393430 HHS393430:HID393430 GXW393430:GYH393430 GOA393430:GOL393430 GEE393430:GEP393430 FUI393430:FUT393430 FKM393430:FKX393430 FAQ393430:FBB393430 EQU393430:ERF393430 EGY393430:EHJ393430 DXC393430:DXN393430 DNG393430:DNR393430 DDK393430:DDV393430 CTO393430:CTZ393430 CJS393430:CKD393430 BZW393430:CAH393430 BQA393430:BQL393430 BGE393430:BGP393430 AWI393430:AWT393430 AMM393430:AMX393430 ACQ393430:ADB393430 SU393430:TF393430 IY393430:JJ393430 C393430:N393430 WVK327894:WVV327894 WLO327894:WLZ327894 WBS327894:WCD327894 VRW327894:VSH327894 VIA327894:VIL327894 UYE327894:UYP327894 UOI327894:UOT327894 UEM327894:UEX327894 TUQ327894:TVB327894 TKU327894:TLF327894 TAY327894:TBJ327894 SRC327894:SRN327894 SHG327894:SHR327894 RXK327894:RXV327894 RNO327894:RNZ327894 RDS327894:RED327894 QTW327894:QUH327894 QKA327894:QKL327894 QAE327894:QAP327894 PQI327894:PQT327894 PGM327894:PGX327894 OWQ327894:OXB327894 OMU327894:ONF327894 OCY327894:ODJ327894 NTC327894:NTN327894 NJG327894:NJR327894 MZK327894:MZV327894 MPO327894:MPZ327894 MFS327894:MGD327894 LVW327894:LWH327894 LMA327894:LML327894 LCE327894:LCP327894 KSI327894:KST327894 KIM327894:KIX327894 JYQ327894:JZB327894 JOU327894:JPF327894 JEY327894:JFJ327894 IVC327894:IVN327894 ILG327894:ILR327894 IBK327894:IBV327894 HRO327894:HRZ327894 HHS327894:HID327894 GXW327894:GYH327894 GOA327894:GOL327894 GEE327894:GEP327894 FUI327894:FUT327894 FKM327894:FKX327894 FAQ327894:FBB327894 EQU327894:ERF327894 EGY327894:EHJ327894 DXC327894:DXN327894 DNG327894:DNR327894 DDK327894:DDV327894 CTO327894:CTZ327894 CJS327894:CKD327894 BZW327894:CAH327894 BQA327894:BQL327894 BGE327894:BGP327894 AWI327894:AWT327894 AMM327894:AMX327894 ACQ327894:ADB327894 SU327894:TF327894 IY327894:JJ327894 C327894:N327894 WVK262358:WVV262358 WLO262358:WLZ262358 WBS262358:WCD262358 VRW262358:VSH262358 VIA262358:VIL262358 UYE262358:UYP262358 UOI262358:UOT262358 UEM262358:UEX262358 TUQ262358:TVB262358 TKU262358:TLF262358 TAY262358:TBJ262358 SRC262358:SRN262358 SHG262358:SHR262358 RXK262358:RXV262358 RNO262358:RNZ262358 RDS262358:RED262358 QTW262358:QUH262358 QKA262358:QKL262358 QAE262358:QAP262358 PQI262358:PQT262358 PGM262358:PGX262358 OWQ262358:OXB262358 OMU262358:ONF262358 OCY262358:ODJ262358 NTC262358:NTN262358 NJG262358:NJR262358 MZK262358:MZV262358 MPO262358:MPZ262358 MFS262358:MGD262358 LVW262358:LWH262358 LMA262358:LML262358 LCE262358:LCP262358 KSI262358:KST262358 KIM262358:KIX262358 JYQ262358:JZB262358 JOU262358:JPF262358 JEY262358:JFJ262358 IVC262358:IVN262358 ILG262358:ILR262358 IBK262358:IBV262358 HRO262358:HRZ262358 HHS262358:HID262358 GXW262358:GYH262358 GOA262358:GOL262358 GEE262358:GEP262358 FUI262358:FUT262358 FKM262358:FKX262358 FAQ262358:FBB262358 EQU262358:ERF262358 EGY262358:EHJ262358 DXC262358:DXN262358 DNG262358:DNR262358 DDK262358:DDV262358 CTO262358:CTZ262358 CJS262358:CKD262358 BZW262358:CAH262358 BQA262358:BQL262358 BGE262358:BGP262358 AWI262358:AWT262358 AMM262358:AMX262358 ACQ262358:ADB262358 SU262358:TF262358 IY262358:JJ262358 C262358:N262358 WVK196822:WVV196822 WLO196822:WLZ196822 WBS196822:WCD196822 VRW196822:VSH196822 VIA196822:VIL196822 UYE196822:UYP196822 UOI196822:UOT196822 UEM196822:UEX196822 TUQ196822:TVB196822 TKU196822:TLF196822 TAY196822:TBJ196822 SRC196822:SRN196822 SHG196822:SHR196822 RXK196822:RXV196822 RNO196822:RNZ196822 RDS196822:RED196822 QTW196822:QUH196822 QKA196822:QKL196822 QAE196822:QAP196822 PQI196822:PQT196822 PGM196822:PGX196822 OWQ196822:OXB196822 OMU196822:ONF196822 OCY196822:ODJ196822 NTC196822:NTN196822 NJG196822:NJR196822 MZK196822:MZV196822 MPO196822:MPZ196822 MFS196822:MGD196822 LVW196822:LWH196822 LMA196822:LML196822 LCE196822:LCP196822 KSI196822:KST196822 KIM196822:KIX196822 JYQ196822:JZB196822 JOU196822:JPF196822 JEY196822:JFJ196822 IVC196822:IVN196822 ILG196822:ILR196822 IBK196822:IBV196822 HRO196822:HRZ196822 HHS196822:HID196822 GXW196822:GYH196822 GOA196822:GOL196822 GEE196822:GEP196822 FUI196822:FUT196822 FKM196822:FKX196822 FAQ196822:FBB196822 EQU196822:ERF196822 EGY196822:EHJ196822 DXC196822:DXN196822 DNG196822:DNR196822 DDK196822:DDV196822 CTO196822:CTZ196822 CJS196822:CKD196822 BZW196822:CAH196822 BQA196822:BQL196822 BGE196822:BGP196822 AWI196822:AWT196822 AMM196822:AMX196822 ACQ196822:ADB196822 SU196822:TF196822 IY196822:JJ196822 C196822:N196822 WVK131286:WVV131286 WLO131286:WLZ131286 WBS131286:WCD131286 VRW131286:VSH131286 VIA131286:VIL131286 UYE131286:UYP131286 UOI131286:UOT131286 UEM131286:UEX131286 TUQ131286:TVB131286 TKU131286:TLF131286 TAY131286:TBJ131286 SRC131286:SRN131286 SHG131286:SHR131286 RXK131286:RXV131286 RNO131286:RNZ131286 RDS131286:RED131286 QTW131286:QUH131286 QKA131286:QKL131286 QAE131286:QAP131286 PQI131286:PQT131286 PGM131286:PGX131286 OWQ131286:OXB131286 OMU131286:ONF131286 OCY131286:ODJ131286 NTC131286:NTN131286 NJG131286:NJR131286 MZK131286:MZV131286 MPO131286:MPZ131286 MFS131286:MGD131286 LVW131286:LWH131286 LMA131286:LML131286 LCE131286:LCP131286 KSI131286:KST131286 KIM131286:KIX131286 JYQ131286:JZB131286 JOU131286:JPF131286 JEY131286:JFJ131286 IVC131286:IVN131286 ILG131286:ILR131286 IBK131286:IBV131286 HRO131286:HRZ131286 HHS131286:HID131286 GXW131286:GYH131286 GOA131286:GOL131286 GEE131286:GEP131286 FUI131286:FUT131286 FKM131286:FKX131286 FAQ131286:FBB131286 EQU131286:ERF131286 EGY131286:EHJ131286 DXC131286:DXN131286 DNG131286:DNR131286 DDK131286:DDV131286 CTO131286:CTZ131286 CJS131286:CKD131286 BZW131286:CAH131286 BQA131286:BQL131286 BGE131286:BGP131286 AWI131286:AWT131286 AMM131286:AMX131286 ACQ131286:ADB131286 SU131286:TF131286 IY131286:JJ131286 C131286:N131286 WVK65750:WVV65750 WLO65750:WLZ65750 WBS65750:WCD65750 VRW65750:VSH65750 VIA65750:VIL65750 UYE65750:UYP65750 UOI65750:UOT65750 UEM65750:UEX65750 TUQ65750:TVB65750 TKU65750:TLF65750 TAY65750:TBJ65750 SRC65750:SRN65750 SHG65750:SHR65750 RXK65750:RXV65750 RNO65750:RNZ65750 RDS65750:RED65750 QTW65750:QUH65750 QKA65750:QKL65750 QAE65750:QAP65750 PQI65750:PQT65750 PGM65750:PGX65750 OWQ65750:OXB65750 OMU65750:ONF65750 OCY65750:ODJ65750 NTC65750:NTN65750 NJG65750:NJR65750 MZK65750:MZV65750 MPO65750:MPZ65750 MFS65750:MGD65750 LVW65750:LWH65750 LMA65750:LML65750 LCE65750:LCP65750 KSI65750:KST65750 KIM65750:KIX65750 JYQ65750:JZB65750 JOU65750:JPF65750 JEY65750:JFJ65750 IVC65750:IVN65750 ILG65750:ILR65750 IBK65750:IBV65750 HRO65750:HRZ65750 HHS65750:HID65750 GXW65750:GYH65750 GOA65750:GOL65750 GEE65750:GEP65750 FUI65750:FUT65750 FKM65750:FKX65750 FAQ65750:FBB65750 EQU65750:ERF65750 EGY65750:EHJ65750 DXC65750:DXN65750 DNG65750:DNR65750 DDK65750:DDV65750 CTO65750:CTZ65750 CJS65750:CKD65750 BZW65750:CAH65750 BQA65750:BQL65750 BGE65750:BGP65750 AWI65750:AWT65750 AMM65750:AMX65750 ACQ65750:ADB65750 SU65750:TF65750 IY65750:JJ65750 C65750:N65750 WVK296:WVV296 WLO296:WLZ296 WBS296:WCD296 VRW296:VSH296 VIA296:VIL296 UYE296:UYP296 UOI296:UOT296 UEM296:UEX296 TUQ296:TVB296 TKU296:TLF296 TAY296:TBJ296 SRC296:SRN296 SHG296:SHR296 RXK296:RXV296 RNO296:RNZ296 RDS296:RED296 QTW296:QUH296 QKA296:QKL296 QAE296:QAP296 PQI296:PQT296 PGM296:PGX296 OWQ296:OXB296 OMU296:ONF296 OCY296:ODJ296 NTC296:NTN296 NJG296:NJR296 MZK296:MZV296 MPO296:MPZ296 MFS296:MGD296 LVW296:LWH296 LMA296:LML296 LCE296:LCP296 KSI296:KST296 KIM296:KIX296 JYQ296:JZB296 JOU296:JPF296 JEY296:JFJ296 IVC296:IVN296 ILG296:ILR296 IBK296:IBV296 HRO296:HRZ296 HHS296:HID296 GXW296:GYH296 GOA296:GOL296 GEE296:GEP296 FUI296:FUT296 FKM296:FKX296 FAQ296:FBB296 EQU296:ERF296 EGY296:EHJ296 DXC296:DXN296 DNG296:DNR296 DDK296:DDV296 CTO296:CTZ296 CJS296:CKD296 BZW296:CAH296 BQA296:BQL296 BGE296:BGP296 AWI296:AWT296 AMM296:AMX296 ACQ296:ADB296 SU296:TF296 IY296:JJ296 DDK206:DDV206 WVK983239:WVV983239 WLO983239:WLZ983239 WBS983239:WCD983239 VRW983239:VSH983239 VIA983239:VIL983239 UYE983239:UYP983239 UOI983239:UOT983239 UEM983239:UEX983239 TUQ983239:TVB983239 TKU983239:TLF983239 TAY983239:TBJ983239 SRC983239:SRN983239 SHG983239:SHR983239 RXK983239:RXV983239 RNO983239:RNZ983239 RDS983239:RED983239 QTW983239:QUH983239 QKA983239:QKL983239 QAE983239:QAP983239 PQI983239:PQT983239 PGM983239:PGX983239 OWQ983239:OXB983239 OMU983239:ONF983239 OCY983239:ODJ983239 NTC983239:NTN983239 NJG983239:NJR983239 MZK983239:MZV983239 MPO983239:MPZ983239 MFS983239:MGD983239 LVW983239:LWH983239 LMA983239:LML983239 LCE983239:LCP983239 KSI983239:KST983239 KIM983239:KIX983239 JYQ983239:JZB983239 JOU983239:JPF983239 JEY983239:JFJ983239 IVC983239:IVN983239 ILG983239:ILR983239 IBK983239:IBV983239 HRO983239:HRZ983239 HHS983239:HID983239 GXW983239:GYH983239 GOA983239:GOL983239 GEE983239:GEP983239 FUI983239:FUT983239 FKM983239:FKX983239 FAQ983239:FBB983239 EQU983239:ERF983239 EGY983239:EHJ983239 DXC983239:DXN983239 DNG983239:DNR983239 DDK983239:DDV983239 CTO983239:CTZ983239 CJS983239:CKD983239 BZW983239:CAH983239 BQA983239:BQL983239 BGE983239:BGP983239 AWI983239:AWT983239 AMM983239:AMX983239 ACQ983239:ADB983239 SU983239:TF983239 IY983239:JJ983239 C983239:N983239 WVK917703:WVV917703 WLO917703:WLZ917703 WBS917703:WCD917703 VRW917703:VSH917703 VIA917703:VIL917703 UYE917703:UYP917703 UOI917703:UOT917703 UEM917703:UEX917703 TUQ917703:TVB917703 TKU917703:TLF917703 TAY917703:TBJ917703 SRC917703:SRN917703 SHG917703:SHR917703 RXK917703:RXV917703 RNO917703:RNZ917703 RDS917703:RED917703 QTW917703:QUH917703 QKA917703:QKL917703 QAE917703:QAP917703 PQI917703:PQT917703 PGM917703:PGX917703 OWQ917703:OXB917703 OMU917703:ONF917703 OCY917703:ODJ917703 NTC917703:NTN917703 NJG917703:NJR917703 MZK917703:MZV917703 MPO917703:MPZ917703 MFS917703:MGD917703 LVW917703:LWH917703 LMA917703:LML917703 LCE917703:LCP917703 KSI917703:KST917703 KIM917703:KIX917703 JYQ917703:JZB917703 JOU917703:JPF917703 JEY917703:JFJ917703 IVC917703:IVN917703 ILG917703:ILR917703 IBK917703:IBV917703 HRO917703:HRZ917703 HHS917703:HID917703 GXW917703:GYH917703 GOA917703:GOL917703 GEE917703:GEP917703 FUI917703:FUT917703 FKM917703:FKX917703 FAQ917703:FBB917703 EQU917703:ERF917703 EGY917703:EHJ917703 DXC917703:DXN917703 DNG917703:DNR917703 DDK917703:DDV917703 CTO917703:CTZ917703 CJS917703:CKD917703 BZW917703:CAH917703 BQA917703:BQL917703 BGE917703:BGP917703 AWI917703:AWT917703 AMM917703:AMX917703 ACQ917703:ADB917703 SU917703:TF917703 IY917703:JJ917703 C917703:N917703 WVK852167:WVV852167 WLO852167:WLZ852167 WBS852167:WCD852167 VRW852167:VSH852167 VIA852167:VIL852167 UYE852167:UYP852167 UOI852167:UOT852167 UEM852167:UEX852167 TUQ852167:TVB852167 TKU852167:TLF852167 TAY852167:TBJ852167 SRC852167:SRN852167 SHG852167:SHR852167 RXK852167:RXV852167 RNO852167:RNZ852167 RDS852167:RED852167 QTW852167:QUH852167 QKA852167:QKL852167 QAE852167:QAP852167 PQI852167:PQT852167 PGM852167:PGX852167 OWQ852167:OXB852167 OMU852167:ONF852167 OCY852167:ODJ852167 NTC852167:NTN852167 NJG852167:NJR852167 MZK852167:MZV852167 MPO852167:MPZ852167 MFS852167:MGD852167 LVW852167:LWH852167 LMA852167:LML852167 LCE852167:LCP852167 KSI852167:KST852167 KIM852167:KIX852167 JYQ852167:JZB852167 JOU852167:JPF852167 JEY852167:JFJ852167 IVC852167:IVN852167 ILG852167:ILR852167 IBK852167:IBV852167 HRO852167:HRZ852167 HHS852167:HID852167 GXW852167:GYH852167 GOA852167:GOL852167 GEE852167:GEP852167 FUI852167:FUT852167 FKM852167:FKX852167 FAQ852167:FBB852167 EQU852167:ERF852167 EGY852167:EHJ852167 DXC852167:DXN852167 DNG852167:DNR852167 DDK852167:DDV852167 CTO852167:CTZ852167 CJS852167:CKD852167 BZW852167:CAH852167 BQA852167:BQL852167 BGE852167:BGP852167 AWI852167:AWT852167 AMM852167:AMX852167 ACQ852167:ADB852167 SU852167:TF852167 IY852167:JJ852167 C852167:N852167 WVK786631:WVV786631 WLO786631:WLZ786631 WBS786631:WCD786631 VRW786631:VSH786631 VIA786631:VIL786631 UYE786631:UYP786631 UOI786631:UOT786631 UEM786631:UEX786631 TUQ786631:TVB786631 TKU786631:TLF786631 TAY786631:TBJ786631 SRC786631:SRN786631 SHG786631:SHR786631 RXK786631:RXV786631 RNO786631:RNZ786631 RDS786631:RED786631 QTW786631:QUH786631 QKA786631:QKL786631 QAE786631:QAP786631 PQI786631:PQT786631 PGM786631:PGX786631 OWQ786631:OXB786631 OMU786631:ONF786631 OCY786631:ODJ786631 NTC786631:NTN786631 NJG786631:NJR786631 MZK786631:MZV786631 MPO786631:MPZ786631 MFS786631:MGD786631 LVW786631:LWH786631 LMA786631:LML786631 LCE786631:LCP786631 KSI786631:KST786631 KIM786631:KIX786631 JYQ786631:JZB786631 JOU786631:JPF786631 JEY786631:JFJ786631 IVC786631:IVN786631 ILG786631:ILR786631 IBK786631:IBV786631 HRO786631:HRZ786631 HHS786631:HID786631 GXW786631:GYH786631 GOA786631:GOL786631 GEE786631:GEP786631 FUI786631:FUT786631 FKM786631:FKX786631 FAQ786631:FBB786631 EQU786631:ERF786631 EGY786631:EHJ786631 DXC786631:DXN786631 DNG786631:DNR786631 DDK786631:DDV786631 CTO786631:CTZ786631 CJS786631:CKD786631 BZW786631:CAH786631 BQA786631:BQL786631 BGE786631:BGP786631 AWI786631:AWT786631 AMM786631:AMX786631 ACQ786631:ADB786631 SU786631:TF786631 IY786631:JJ786631 C786631:N786631 WVK721095:WVV721095 WLO721095:WLZ721095 WBS721095:WCD721095 VRW721095:VSH721095 VIA721095:VIL721095 UYE721095:UYP721095 UOI721095:UOT721095 UEM721095:UEX721095 TUQ721095:TVB721095 TKU721095:TLF721095 TAY721095:TBJ721095 SRC721095:SRN721095 SHG721095:SHR721095 RXK721095:RXV721095 RNO721095:RNZ721095 RDS721095:RED721095 QTW721095:QUH721095 QKA721095:QKL721095 QAE721095:QAP721095 PQI721095:PQT721095 PGM721095:PGX721095 OWQ721095:OXB721095 OMU721095:ONF721095 OCY721095:ODJ721095 NTC721095:NTN721095 NJG721095:NJR721095 MZK721095:MZV721095 MPO721095:MPZ721095 MFS721095:MGD721095 LVW721095:LWH721095 LMA721095:LML721095 LCE721095:LCP721095 KSI721095:KST721095 KIM721095:KIX721095 JYQ721095:JZB721095 JOU721095:JPF721095 JEY721095:JFJ721095 IVC721095:IVN721095 ILG721095:ILR721095 IBK721095:IBV721095 HRO721095:HRZ721095 HHS721095:HID721095 GXW721095:GYH721095 GOA721095:GOL721095 GEE721095:GEP721095 FUI721095:FUT721095 FKM721095:FKX721095 FAQ721095:FBB721095 EQU721095:ERF721095 EGY721095:EHJ721095 DXC721095:DXN721095 DNG721095:DNR721095 DDK721095:DDV721095 CTO721095:CTZ721095 CJS721095:CKD721095 BZW721095:CAH721095 BQA721095:BQL721095 BGE721095:BGP721095 AWI721095:AWT721095 AMM721095:AMX721095 ACQ721095:ADB721095 SU721095:TF721095 IY721095:JJ721095 C721095:N721095 WVK655559:WVV655559 WLO655559:WLZ655559 WBS655559:WCD655559 VRW655559:VSH655559 VIA655559:VIL655559 UYE655559:UYP655559 UOI655559:UOT655559 UEM655559:UEX655559 TUQ655559:TVB655559 TKU655559:TLF655559 TAY655559:TBJ655559 SRC655559:SRN655559 SHG655559:SHR655559 RXK655559:RXV655559 RNO655559:RNZ655559 RDS655559:RED655559 QTW655559:QUH655559 QKA655559:QKL655559 QAE655559:QAP655559 PQI655559:PQT655559 PGM655559:PGX655559 OWQ655559:OXB655559 OMU655559:ONF655559 OCY655559:ODJ655559 NTC655559:NTN655559 NJG655559:NJR655559 MZK655559:MZV655559 MPO655559:MPZ655559 MFS655559:MGD655559 LVW655559:LWH655559 LMA655559:LML655559 LCE655559:LCP655559 KSI655559:KST655559 KIM655559:KIX655559 JYQ655559:JZB655559 JOU655559:JPF655559 JEY655559:JFJ655559 IVC655559:IVN655559 ILG655559:ILR655559 IBK655559:IBV655559 HRO655559:HRZ655559 HHS655559:HID655559 GXW655559:GYH655559 GOA655559:GOL655559 GEE655559:GEP655559 FUI655559:FUT655559 FKM655559:FKX655559 FAQ655559:FBB655559 EQU655559:ERF655559 EGY655559:EHJ655559 DXC655559:DXN655559 DNG655559:DNR655559 DDK655559:DDV655559 CTO655559:CTZ655559 CJS655559:CKD655559 BZW655559:CAH655559 BQA655559:BQL655559 BGE655559:BGP655559 AWI655559:AWT655559 AMM655559:AMX655559 ACQ655559:ADB655559 SU655559:TF655559 IY655559:JJ655559 C655559:N655559 WVK590023:WVV590023 WLO590023:WLZ590023 WBS590023:WCD590023 VRW590023:VSH590023 VIA590023:VIL590023 UYE590023:UYP590023 UOI590023:UOT590023 UEM590023:UEX590023 TUQ590023:TVB590023 TKU590023:TLF590023 TAY590023:TBJ590023 SRC590023:SRN590023 SHG590023:SHR590023 RXK590023:RXV590023 RNO590023:RNZ590023 RDS590023:RED590023 QTW590023:QUH590023 QKA590023:QKL590023 QAE590023:QAP590023 PQI590023:PQT590023 PGM590023:PGX590023 OWQ590023:OXB590023 OMU590023:ONF590023 OCY590023:ODJ590023 NTC590023:NTN590023 NJG590023:NJR590023 MZK590023:MZV590023 MPO590023:MPZ590023 MFS590023:MGD590023 LVW590023:LWH590023 LMA590023:LML590023 LCE590023:LCP590023 KSI590023:KST590023 KIM590023:KIX590023 JYQ590023:JZB590023 JOU590023:JPF590023 JEY590023:JFJ590023 IVC590023:IVN590023 ILG590023:ILR590023 IBK590023:IBV590023 HRO590023:HRZ590023 HHS590023:HID590023 GXW590023:GYH590023 GOA590023:GOL590023 GEE590023:GEP590023 FUI590023:FUT590023 FKM590023:FKX590023 FAQ590023:FBB590023 EQU590023:ERF590023 EGY590023:EHJ590023 DXC590023:DXN590023 DNG590023:DNR590023 DDK590023:DDV590023 CTO590023:CTZ590023 CJS590023:CKD590023 BZW590023:CAH590023 BQA590023:BQL590023 BGE590023:BGP590023 AWI590023:AWT590023 AMM590023:AMX590023 ACQ590023:ADB590023 SU590023:TF590023 IY590023:JJ590023 C590023:N590023 WVK524487:WVV524487 WLO524487:WLZ524487 WBS524487:WCD524487 VRW524487:VSH524487 VIA524487:VIL524487 UYE524487:UYP524487 UOI524487:UOT524487 UEM524487:UEX524487 TUQ524487:TVB524487 TKU524487:TLF524487 TAY524487:TBJ524487 SRC524487:SRN524487 SHG524487:SHR524487 RXK524487:RXV524487 RNO524487:RNZ524487 RDS524487:RED524487 QTW524487:QUH524487 QKA524487:QKL524487 QAE524487:QAP524487 PQI524487:PQT524487 PGM524487:PGX524487 OWQ524487:OXB524487 OMU524487:ONF524487 OCY524487:ODJ524487 NTC524487:NTN524487 NJG524487:NJR524487 MZK524487:MZV524487 MPO524487:MPZ524487 MFS524487:MGD524487 LVW524487:LWH524487 LMA524487:LML524487 LCE524487:LCP524487 KSI524487:KST524487 KIM524487:KIX524487 JYQ524487:JZB524487 JOU524487:JPF524487 JEY524487:JFJ524487 IVC524487:IVN524487 ILG524487:ILR524487 IBK524487:IBV524487 HRO524487:HRZ524487 HHS524487:HID524487 GXW524487:GYH524487 GOA524487:GOL524487 GEE524487:GEP524487 FUI524487:FUT524487 FKM524487:FKX524487 FAQ524487:FBB524487 EQU524487:ERF524487 EGY524487:EHJ524487 DXC524487:DXN524487 DNG524487:DNR524487 DDK524487:DDV524487 CTO524487:CTZ524487 CJS524487:CKD524487 BZW524487:CAH524487 BQA524487:BQL524487 BGE524487:BGP524487 AWI524487:AWT524487 AMM524487:AMX524487 ACQ524487:ADB524487 SU524487:TF524487 IY524487:JJ524487 C524487:N524487 WVK458951:WVV458951 WLO458951:WLZ458951 WBS458951:WCD458951 VRW458951:VSH458951 VIA458951:VIL458951 UYE458951:UYP458951 UOI458951:UOT458951 UEM458951:UEX458951 TUQ458951:TVB458951 TKU458951:TLF458951 TAY458951:TBJ458951 SRC458951:SRN458951 SHG458951:SHR458951 RXK458951:RXV458951 RNO458951:RNZ458951 RDS458951:RED458951 QTW458951:QUH458951 QKA458951:QKL458951 QAE458951:QAP458951 PQI458951:PQT458951 PGM458951:PGX458951 OWQ458951:OXB458951 OMU458951:ONF458951 OCY458951:ODJ458951 NTC458951:NTN458951 NJG458951:NJR458951 MZK458951:MZV458951 MPO458951:MPZ458951 MFS458951:MGD458951 LVW458951:LWH458951 LMA458951:LML458951 LCE458951:LCP458951 KSI458951:KST458951 KIM458951:KIX458951 JYQ458951:JZB458951 JOU458951:JPF458951 JEY458951:JFJ458951 IVC458951:IVN458951 ILG458951:ILR458951 IBK458951:IBV458951 HRO458951:HRZ458951 HHS458951:HID458951 GXW458951:GYH458951 GOA458951:GOL458951 GEE458951:GEP458951 FUI458951:FUT458951 FKM458951:FKX458951 FAQ458951:FBB458951 EQU458951:ERF458951 EGY458951:EHJ458951 DXC458951:DXN458951 DNG458951:DNR458951 DDK458951:DDV458951 CTO458951:CTZ458951 CJS458951:CKD458951 BZW458951:CAH458951 BQA458951:BQL458951 BGE458951:BGP458951 AWI458951:AWT458951 AMM458951:AMX458951 ACQ458951:ADB458951 SU458951:TF458951 IY458951:JJ458951 C458951:N458951 WVK393415:WVV393415 WLO393415:WLZ393415 WBS393415:WCD393415 VRW393415:VSH393415 VIA393415:VIL393415 UYE393415:UYP393415 UOI393415:UOT393415 UEM393415:UEX393415 TUQ393415:TVB393415 TKU393415:TLF393415 TAY393415:TBJ393415 SRC393415:SRN393415 SHG393415:SHR393415 RXK393415:RXV393415 RNO393415:RNZ393415 RDS393415:RED393415 QTW393415:QUH393415 QKA393415:QKL393415 QAE393415:QAP393415 PQI393415:PQT393415 PGM393415:PGX393415 OWQ393415:OXB393415 OMU393415:ONF393415 OCY393415:ODJ393415 NTC393415:NTN393415 NJG393415:NJR393415 MZK393415:MZV393415 MPO393415:MPZ393415 MFS393415:MGD393415 LVW393415:LWH393415 LMA393415:LML393415 LCE393415:LCP393415 KSI393415:KST393415 KIM393415:KIX393415 JYQ393415:JZB393415 JOU393415:JPF393415 JEY393415:JFJ393415 IVC393415:IVN393415 ILG393415:ILR393415 IBK393415:IBV393415 HRO393415:HRZ393415 HHS393415:HID393415 GXW393415:GYH393415 GOA393415:GOL393415 GEE393415:GEP393415 FUI393415:FUT393415 FKM393415:FKX393415 FAQ393415:FBB393415 EQU393415:ERF393415 EGY393415:EHJ393415 DXC393415:DXN393415 DNG393415:DNR393415 DDK393415:DDV393415 CTO393415:CTZ393415 CJS393415:CKD393415 BZW393415:CAH393415 BQA393415:BQL393415 BGE393415:BGP393415 AWI393415:AWT393415 AMM393415:AMX393415 ACQ393415:ADB393415 SU393415:TF393415 IY393415:JJ393415 C393415:N393415 WVK327879:WVV327879 WLO327879:WLZ327879 WBS327879:WCD327879 VRW327879:VSH327879 VIA327879:VIL327879 UYE327879:UYP327879 UOI327879:UOT327879 UEM327879:UEX327879 TUQ327879:TVB327879 TKU327879:TLF327879 TAY327879:TBJ327879 SRC327879:SRN327879 SHG327879:SHR327879 RXK327879:RXV327879 RNO327879:RNZ327879 RDS327879:RED327879 QTW327879:QUH327879 QKA327879:QKL327879 QAE327879:QAP327879 PQI327879:PQT327879 PGM327879:PGX327879 OWQ327879:OXB327879 OMU327879:ONF327879 OCY327879:ODJ327879 NTC327879:NTN327879 NJG327879:NJR327879 MZK327879:MZV327879 MPO327879:MPZ327879 MFS327879:MGD327879 LVW327879:LWH327879 LMA327879:LML327879 LCE327879:LCP327879 KSI327879:KST327879 KIM327879:KIX327879 JYQ327879:JZB327879 JOU327879:JPF327879 JEY327879:JFJ327879 IVC327879:IVN327879 ILG327879:ILR327879 IBK327879:IBV327879 HRO327879:HRZ327879 HHS327879:HID327879 GXW327879:GYH327879 GOA327879:GOL327879 GEE327879:GEP327879 FUI327879:FUT327879 FKM327879:FKX327879 FAQ327879:FBB327879 EQU327879:ERF327879 EGY327879:EHJ327879 DXC327879:DXN327879 DNG327879:DNR327879 DDK327879:DDV327879 CTO327879:CTZ327879 CJS327879:CKD327879 BZW327879:CAH327879 BQA327879:BQL327879 BGE327879:BGP327879 AWI327879:AWT327879 AMM327879:AMX327879 ACQ327879:ADB327879 SU327879:TF327879 IY327879:JJ327879 C327879:N327879 WVK262343:WVV262343 WLO262343:WLZ262343 WBS262343:WCD262343 VRW262343:VSH262343 VIA262343:VIL262343 UYE262343:UYP262343 UOI262343:UOT262343 UEM262343:UEX262343 TUQ262343:TVB262343 TKU262343:TLF262343 TAY262343:TBJ262343 SRC262343:SRN262343 SHG262343:SHR262343 RXK262343:RXV262343 RNO262343:RNZ262343 RDS262343:RED262343 QTW262343:QUH262343 QKA262343:QKL262343 QAE262343:QAP262343 PQI262343:PQT262343 PGM262343:PGX262343 OWQ262343:OXB262343 OMU262343:ONF262343 OCY262343:ODJ262343 NTC262343:NTN262343 NJG262343:NJR262343 MZK262343:MZV262343 MPO262343:MPZ262343 MFS262343:MGD262343 LVW262343:LWH262343 LMA262343:LML262343 LCE262343:LCP262343 KSI262343:KST262343 KIM262343:KIX262343 JYQ262343:JZB262343 JOU262343:JPF262343 JEY262343:JFJ262343 IVC262343:IVN262343 ILG262343:ILR262343 IBK262343:IBV262343 HRO262343:HRZ262343 HHS262343:HID262343 GXW262343:GYH262343 GOA262343:GOL262343 GEE262343:GEP262343 FUI262343:FUT262343 FKM262343:FKX262343 FAQ262343:FBB262343 EQU262343:ERF262343 EGY262343:EHJ262343 DXC262343:DXN262343 DNG262343:DNR262343 DDK262343:DDV262343 CTO262343:CTZ262343 CJS262343:CKD262343 BZW262343:CAH262343 BQA262343:BQL262343 BGE262343:BGP262343 AWI262343:AWT262343 AMM262343:AMX262343 ACQ262343:ADB262343 SU262343:TF262343 IY262343:JJ262343 C262343:N262343 WVK196807:WVV196807 WLO196807:WLZ196807 WBS196807:WCD196807 VRW196807:VSH196807 VIA196807:VIL196807 UYE196807:UYP196807 UOI196807:UOT196807 UEM196807:UEX196807 TUQ196807:TVB196807 TKU196807:TLF196807 TAY196807:TBJ196807 SRC196807:SRN196807 SHG196807:SHR196807 RXK196807:RXV196807 RNO196807:RNZ196807 RDS196807:RED196807 QTW196807:QUH196807 QKA196807:QKL196807 QAE196807:QAP196807 PQI196807:PQT196807 PGM196807:PGX196807 OWQ196807:OXB196807 OMU196807:ONF196807 OCY196807:ODJ196807 NTC196807:NTN196807 NJG196807:NJR196807 MZK196807:MZV196807 MPO196807:MPZ196807 MFS196807:MGD196807 LVW196807:LWH196807 LMA196807:LML196807 LCE196807:LCP196807 KSI196807:KST196807 KIM196807:KIX196807 JYQ196807:JZB196807 JOU196807:JPF196807 JEY196807:JFJ196807 IVC196807:IVN196807 ILG196807:ILR196807 IBK196807:IBV196807 HRO196807:HRZ196807 HHS196807:HID196807 GXW196807:GYH196807 GOA196807:GOL196807 GEE196807:GEP196807 FUI196807:FUT196807 FKM196807:FKX196807 FAQ196807:FBB196807 EQU196807:ERF196807 EGY196807:EHJ196807 DXC196807:DXN196807 DNG196807:DNR196807 DDK196807:DDV196807 CTO196807:CTZ196807 CJS196807:CKD196807 BZW196807:CAH196807 BQA196807:BQL196807 BGE196807:BGP196807 AWI196807:AWT196807 AMM196807:AMX196807 ACQ196807:ADB196807 SU196807:TF196807 IY196807:JJ196807 C196807:N196807 WVK131271:WVV131271 WLO131271:WLZ131271 WBS131271:WCD131271 VRW131271:VSH131271 VIA131271:VIL131271 UYE131271:UYP131271 UOI131271:UOT131271 UEM131271:UEX131271 TUQ131271:TVB131271 TKU131271:TLF131271 TAY131271:TBJ131271 SRC131271:SRN131271 SHG131271:SHR131271 RXK131271:RXV131271 RNO131271:RNZ131271 RDS131271:RED131271 QTW131271:QUH131271 QKA131271:QKL131271 QAE131271:QAP131271 PQI131271:PQT131271 PGM131271:PGX131271 OWQ131271:OXB131271 OMU131271:ONF131271 OCY131271:ODJ131271 NTC131271:NTN131271 NJG131271:NJR131271 MZK131271:MZV131271 MPO131271:MPZ131271 MFS131271:MGD131271 LVW131271:LWH131271 LMA131271:LML131271 LCE131271:LCP131271 KSI131271:KST131271 KIM131271:KIX131271 JYQ131271:JZB131271 JOU131271:JPF131271 JEY131271:JFJ131271 IVC131271:IVN131271 ILG131271:ILR131271 IBK131271:IBV131271 HRO131271:HRZ131271 HHS131271:HID131271 GXW131271:GYH131271 GOA131271:GOL131271 GEE131271:GEP131271 FUI131271:FUT131271 FKM131271:FKX131271 FAQ131271:FBB131271 EQU131271:ERF131271 EGY131271:EHJ131271 DXC131271:DXN131271 DNG131271:DNR131271 DDK131271:DDV131271 CTO131271:CTZ131271 CJS131271:CKD131271 BZW131271:CAH131271 BQA131271:BQL131271 BGE131271:BGP131271 AWI131271:AWT131271 AMM131271:AMX131271 ACQ131271:ADB131271 SU131271:TF131271 IY131271:JJ131271 C131271:N131271 WVK65735:WVV65735 WLO65735:WLZ65735 WBS65735:WCD65735 VRW65735:VSH65735 VIA65735:VIL65735 UYE65735:UYP65735 UOI65735:UOT65735 UEM65735:UEX65735 TUQ65735:TVB65735 TKU65735:TLF65735 TAY65735:TBJ65735 SRC65735:SRN65735 SHG65735:SHR65735 RXK65735:RXV65735 RNO65735:RNZ65735 RDS65735:RED65735 QTW65735:QUH65735 QKA65735:QKL65735 QAE65735:QAP65735 PQI65735:PQT65735 PGM65735:PGX65735 OWQ65735:OXB65735 OMU65735:ONF65735 OCY65735:ODJ65735 NTC65735:NTN65735 NJG65735:NJR65735 MZK65735:MZV65735 MPO65735:MPZ65735 MFS65735:MGD65735 LVW65735:LWH65735 LMA65735:LML65735 LCE65735:LCP65735 KSI65735:KST65735 KIM65735:KIX65735 JYQ65735:JZB65735 JOU65735:JPF65735 JEY65735:JFJ65735 IVC65735:IVN65735 ILG65735:ILR65735 IBK65735:IBV65735 HRO65735:HRZ65735 HHS65735:HID65735 GXW65735:GYH65735 GOA65735:GOL65735 GEE65735:GEP65735 FUI65735:FUT65735 FKM65735:FKX65735 FAQ65735:FBB65735 EQU65735:ERF65735 EGY65735:EHJ65735 DXC65735:DXN65735 DNG65735:DNR65735 DDK65735:DDV65735 CTO65735:CTZ65735 CJS65735:CKD65735 BZW65735:CAH65735 BQA65735:BQL65735 BGE65735:BGP65735 AWI65735:AWT65735 AMM65735:AMX65735 ACQ65735:ADB65735 SU65735:TF65735 IY65735:JJ65735 C65735:N65735 WVK281:WVV281 WLO281:WLZ281 WBS281:WCD281 VRW281:VSH281 VIA281:VIL281 UYE281:UYP281 UOI281:UOT281 UEM281:UEX281 TUQ281:TVB281 TKU281:TLF281 TAY281:TBJ281 SRC281:SRN281 SHG281:SHR281 RXK281:RXV281 RNO281:RNZ281 RDS281:RED281 QTW281:QUH281 QKA281:QKL281 QAE281:QAP281 PQI281:PQT281 PGM281:PGX281 OWQ281:OXB281 OMU281:ONF281 OCY281:ODJ281 NTC281:NTN281 NJG281:NJR281 MZK281:MZV281 MPO281:MPZ281 MFS281:MGD281 LVW281:LWH281 LMA281:LML281 LCE281:LCP281 KSI281:KST281 KIM281:KIX281 JYQ281:JZB281 JOU281:JPF281 JEY281:JFJ281 IVC281:IVN281 ILG281:ILR281 IBK281:IBV281 HRO281:HRZ281 HHS281:HID281 GXW281:GYH281 GOA281:GOL281 GEE281:GEP281 FUI281:FUT281 FKM281:FKX281 FAQ281:FBB281 EQU281:ERF281 EGY281:EHJ281 DXC281:DXN281 DNG281:DNR281 DDK281:DDV281 CTO281:CTZ281 CJS281:CKD281 BZW281:CAH281 BQA281:BQL281 BGE281:BGP281 AWI281:AWT281 AMM281:AMX281 ACQ281:ADB281 SU281:TF281 IY281:JJ281 CTO206:CTZ206 WVK983224:WVV983224 WLO983224:WLZ983224 WBS983224:WCD983224 VRW983224:VSH983224 VIA983224:VIL983224 UYE983224:UYP983224 UOI983224:UOT983224 UEM983224:UEX983224 TUQ983224:TVB983224 TKU983224:TLF983224 TAY983224:TBJ983224 SRC983224:SRN983224 SHG983224:SHR983224 RXK983224:RXV983224 RNO983224:RNZ983224 RDS983224:RED983224 QTW983224:QUH983224 QKA983224:QKL983224 QAE983224:QAP983224 PQI983224:PQT983224 PGM983224:PGX983224 OWQ983224:OXB983224 OMU983224:ONF983224 OCY983224:ODJ983224 NTC983224:NTN983224 NJG983224:NJR983224 MZK983224:MZV983224 MPO983224:MPZ983224 MFS983224:MGD983224 LVW983224:LWH983224 LMA983224:LML983224 LCE983224:LCP983224 KSI983224:KST983224 KIM983224:KIX983224 JYQ983224:JZB983224 JOU983224:JPF983224 JEY983224:JFJ983224 IVC983224:IVN983224 ILG983224:ILR983224 IBK983224:IBV983224 HRO983224:HRZ983224 HHS983224:HID983224 GXW983224:GYH983224 GOA983224:GOL983224 GEE983224:GEP983224 FUI983224:FUT983224 FKM983224:FKX983224 FAQ983224:FBB983224 EQU983224:ERF983224 EGY983224:EHJ983224 DXC983224:DXN983224 DNG983224:DNR983224 DDK983224:DDV983224 CTO983224:CTZ983224 CJS983224:CKD983224 BZW983224:CAH983224 BQA983224:BQL983224 BGE983224:BGP983224 AWI983224:AWT983224 AMM983224:AMX983224 ACQ983224:ADB983224 SU983224:TF983224 IY983224:JJ983224 C983224:N983224 WVK917688:WVV917688 WLO917688:WLZ917688 WBS917688:WCD917688 VRW917688:VSH917688 VIA917688:VIL917688 UYE917688:UYP917688 UOI917688:UOT917688 UEM917688:UEX917688 TUQ917688:TVB917688 TKU917688:TLF917688 TAY917688:TBJ917688 SRC917688:SRN917688 SHG917688:SHR917688 RXK917688:RXV917688 RNO917688:RNZ917688 RDS917688:RED917688 QTW917688:QUH917688 QKA917688:QKL917688 QAE917688:QAP917688 PQI917688:PQT917688 PGM917688:PGX917688 OWQ917688:OXB917688 OMU917688:ONF917688 OCY917688:ODJ917688 NTC917688:NTN917688 NJG917688:NJR917688 MZK917688:MZV917688 MPO917688:MPZ917688 MFS917688:MGD917688 LVW917688:LWH917688 LMA917688:LML917688 LCE917688:LCP917688 KSI917688:KST917688 KIM917688:KIX917688 JYQ917688:JZB917688 JOU917688:JPF917688 JEY917688:JFJ917688 IVC917688:IVN917688 ILG917688:ILR917688 IBK917688:IBV917688 HRO917688:HRZ917688 HHS917688:HID917688 GXW917688:GYH917688 GOA917688:GOL917688 GEE917688:GEP917688 FUI917688:FUT917688 FKM917688:FKX917688 FAQ917688:FBB917688 EQU917688:ERF917688 EGY917688:EHJ917688 DXC917688:DXN917688 DNG917688:DNR917688 DDK917688:DDV917688 CTO917688:CTZ917688 CJS917688:CKD917688 BZW917688:CAH917688 BQA917688:BQL917688 BGE917688:BGP917688 AWI917688:AWT917688 AMM917688:AMX917688 ACQ917688:ADB917688 SU917688:TF917688 IY917688:JJ917688 C917688:N917688 WVK852152:WVV852152 WLO852152:WLZ852152 WBS852152:WCD852152 VRW852152:VSH852152 VIA852152:VIL852152 UYE852152:UYP852152 UOI852152:UOT852152 UEM852152:UEX852152 TUQ852152:TVB852152 TKU852152:TLF852152 TAY852152:TBJ852152 SRC852152:SRN852152 SHG852152:SHR852152 RXK852152:RXV852152 RNO852152:RNZ852152 RDS852152:RED852152 QTW852152:QUH852152 QKA852152:QKL852152 QAE852152:QAP852152 PQI852152:PQT852152 PGM852152:PGX852152 OWQ852152:OXB852152 OMU852152:ONF852152 OCY852152:ODJ852152 NTC852152:NTN852152 NJG852152:NJR852152 MZK852152:MZV852152 MPO852152:MPZ852152 MFS852152:MGD852152 LVW852152:LWH852152 LMA852152:LML852152 LCE852152:LCP852152 KSI852152:KST852152 KIM852152:KIX852152 JYQ852152:JZB852152 JOU852152:JPF852152 JEY852152:JFJ852152 IVC852152:IVN852152 ILG852152:ILR852152 IBK852152:IBV852152 HRO852152:HRZ852152 HHS852152:HID852152 GXW852152:GYH852152 GOA852152:GOL852152 GEE852152:GEP852152 FUI852152:FUT852152 FKM852152:FKX852152 FAQ852152:FBB852152 EQU852152:ERF852152 EGY852152:EHJ852152 DXC852152:DXN852152 DNG852152:DNR852152 DDK852152:DDV852152 CTO852152:CTZ852152 CJS852152:CKD852152 BZW852152:CAH852152 BQA852152:BQL852152 BGE852152:BGP852152 AWI852152:AWT852152 AMM852152:AMX852152 ACQ852152:ADB852152 SU852152:TF852152 IY852152:JJ852152 C852152:N852152 WVK786616:WVV786616 WLO786616:WLZ786616 WBS786616:WCD786616 VRW786616:VSH786616 VIA786616:VIL786616 UYE786616:UYP786616 UOI786616:UOT786616 UEM786616:UEX786616 TUQ786616:TVB786616 TKU786616:TLF786616 TAY786616:TBJ786616 SRC786616:SRN786616 SHG786616:SHR786616 RXK786616:RXV786616 RNO786616:RNZ786616 RDS786616:RED786616 QTW786616:QUH786616 QKA786616:QKL786616 QAE786616:QAP786616 PQI786616:PQT786616 PGM786616:PGX786616 OWQ786616:OXB786616 OMU786616:ONF786616 OCY786616:ODJ786616 NTC786616:NTN786616 NJG786616:NJR786616 MZK786616:MZV786616 MPO786616:MPZ786616 MFS786616:MGD786616 LVW786616:LWH786616 LMA786616:LML786616 LCE786616:LCP786616 KSI786616:KST786616 KIM786616:KIX786616 JYQ786616:JZB786616 JOU786616:JPF786616 JEY786616:JFJ786616 IVC786616:IVN786616 ILG786616:ILR786616 IBK786616:IBV786616 HRO786616:HRZ786616 HHS786616:HID786616 GXW786616:GYH786616 GOA786616:GOL786616 GEE786616:GEP786616 FUI786616:FUT786616 FKM786616:FKX786616 FAQ786616:FBB786616 EQU786616:ERF786616 EGY786616:EHJ786616 DXC786616:DXN786616 DNG786616:DNR786616 DDK786616:DDV786616 CTO786616:CTZ786616 CJS786616:CKD786616 BZW786616:CAH786616 BQA786616:BQL786616 BGE786616:BGP786616 AWI786616:AWT786616 AMM786616:AMX786616 ACQ786616:ADB786616 SU786616:TF786616 IY786616:JJ786616 C786616:N786616 WVK721080:WVV721080 WLO721080:WLZ721080 WBS721080:WCD721080 VRW721080:VSH721080 VIA721080:VIL721080 UYE721080:UYP721080 UOI721080:UOT721080 UEM721080:UEX721080 TUQ721080:TVB721080 TKU721080:TLF721080 TAY721080:TBJ721080 SRC721080:SRN721080 SHG721080:SHR721080 RXK721080:RXV721080 RNO721080:RNZ721080 RDS721080:RED721080 QTW721080:QUH721080 QKA721080:QKL721080 QAE721080:QAP721080 PQI721080:PQT721080 PGM721080:PGX721080 OWQ721080:OXB721080 OMU721080:ONF721080 OCY721080:ODJ721080 NTC721080:NTN721080 NJG721080:NJR721080 MZK721080:MZV721080 MPO721080:MPZ721080 MFS721080:MGD721080 LVW721080:LWH721080 LMA721080:LML721080 LCE721080:LCP721080 KSI721080:KST721080 KIM721080:KIX721080 JYQ721080:JZB721080 JOU721080:JPF721080 JEY721080:JFJ721080 IVC721080:IVN721080 ILG721080:ILR721080 IBK721080:IBV721080 HRO721080:HRZ721080 HHS721080:HID721080 GXW721080:GYH721080 GOA721080:GOL721080 GEE721080:GEP721080 FUI721080:FUT721080 FKM721080:FKX721080 FAQ721080:FBB721080 EQU721080:ERF721080 EGY721080:EHJ721080 DXC721080:DXN721080 DNG721080:DNR721080 DDK721080:DDV721080 CTO721080:CTZ721080 CJS721080:CKD721080 BZW721080:CAH721080 BQA721080:BQL721080 BGE721080:BGP721080 AWI721080:AWT721080 AMM721080:AMX721080 ACQ721080:ADB721080 SU721080:TF721080 IY721080:JJ721080 C721080:N721080 WVK655544:WVV655544 WLO655544:WLZ655544 WBS655544:WCD655544 VRW655544:VSH655544 VIA655544:VIL655544 UYE655544:UYP655544 UOI655544:UOT655544 UEM655544:UEX655544 TUQ655544:TVB655544 TKU655544:TLF655544 TAY655544:TBJ655544 SRC655544:SRN655544 SHG655544:SHR655544 RXK655544:RXV655544 RNO655544:RNZ655544 RDS655544:RED655544 QTW655544:QUH655544 QKA655544:QKL655544 QAE655544:QAP655544 PQI655544:PQT655544 PGM655544:PGX655544 OWQ655544:OXB655544 OMU655544:ONF655544 OCY655544:ODJ655544 NTC655544:NTN655544 NJG655544:NJR655544 MZK655544:MZV655544 MPO655544:MPZ655544 MFS655544:MGD655544 LVW655544:LWH655544 LMA655544:LML655544 LCE655544:LCP655544 KSI655544:KST655544 KIM655544:KIX655544 JYQ655544:JZB655544 JOU655544:JPF655544 JEY655544:JFJ655544 IVC655544:IVN655544 ILG655544:ILR655544 IBK655544:IBV655544 HRO655544:HRZ655544 HHS655544:HID655544 GXW655544:GYH655544 GOA655544:GOL655544 GEE655544:GEP655544 FUI655544:FUT655544 FKM655544:FKX655544 FAQ655544:FBB655544 EQU655544:ERF655544 EGY655544:EHJ655544 DXC655544:DXN655544 DNG655544:DNR655544 DDK655544:DDV655544 CTO655544:CTZ655544 CJS655544:CKD655544 BZW655544:CAH655544 BQA655544:BQL655544 BGE655544:BGP655544 AWI655544:AWT655544 AMM655544:AMX655544 ACQ655544:ADB655544 SU655544:TF655544 IY655544:JJ655544 C655544:N655544 WVK590008:WVV590008 WLO590008:WLZ590008 WBS590008:WCD590008 VRW590008:VSH590008 VIA590008:VIL590008 UYE590008:UYP590008 UOI590008:UOT590008 UEM590008:UEX590008 TUQ590008:TVB590008 TKU590008:TLF590008 TAY590008:TBJ590008 SRC590008:SRN590008 SHG590008:SHR590008 RXK590008:RXV590008 RNO590008:RNZ590008 RDS590008:RED590008 QTW590008:QUH590008 QKA590008:QKL590008 QAE590008:QAP590008 PQI590008:PQT590008 PGM590008:PGX590008 OWQ590008:OXB590008 OMU590008:ONF590008 OCY590008:ODJ590008 NTC590008:NTN590008 NJG590008:NJR590008 MZK590008:MZV590008 MPO590008:MPZ590008 MFS590008:MGD590008 LVW590008:LWH590008 LMA590008:LML590008 LCE590008:LCP590008 KSI590008:KST590008 KIM590008:KIX590008 JYQ590008:JZB590008 JOU590008:JPF590008 JEY590008:JFJ590008 IVC590008:IVN590008 ILG590008:ILR590008 IBK590008:IBV590008 HRO590008:HRZ590008 HHS590008:HID590008 GXW590008:GYH590008 GOA590008:GOL590008 GEE590008:GEP590008 FUI590008:FUT590008 FKM590008:FKX590008 FAQ590008:FBB590008 EQU590008:ERF590008 EGY590008:EHJ590008 DXC590008:DXN590008 DNG590008:DNR590008 DDK590008:DDV590008 CTO590008:CTZ590008 CJS590008:CKD590008 BZW590008:CAH590008 BQA590008:BQL590008 BGE590008:BGP590008 AWI590008:AWT590008 AMM590008:AMX590008 ACQ590008:ADB590008 SU590008:TF590008 IY590008:JJ590008 C590008:N590008 WVK524472:WVV524472 WLO524472:WLZ524472 WBS524472:WCD524472 VRW524472:VSH524472 VIA524472:VIL524472 UYE524472:UYP524472 UOI524472:UOT524472 UEM524472:UEX524472 TUQ524472:TVB524472 TKU524472:TLF524472 TAY524472:TBJ524472 SRC524472:SRN524472 SHG524472:SHR524472 RXK524472:RXV524472 RNO524472:RNZ524472 RDS524472:RED524472 QTW524472:QUH524472 QKA524472:QKL524472 QAE524472:QAP524472 PQI524472:PQT524472 PGM524472:PGX524472 OWQ524472:OXB524472 OMU524472:ONF524472 OCY524472:ODJ524472 NTC524472:NTN524472 NJG524472:NJR524472 MZK524472:MZV524472 MPO524472:MPZ524472 MFS524472:MGD524472 LVW524472:LWH524472 LMA524472:LML524472 LCE524472:LCP524472 KSI524472:KST524472 KIM524472:KIX524472 JYQ524472:JZB524472 JOU524472:JPF524472 JEY524472:JFJ524472 IVC524472:IVN524472 ILG524472:ILR524472 IBK524472:IBV524472 HRO524472:HRZ524472 HHS524472:HID524472 GXW524472:GYH524472 GOA524472:GOL524472 GEE524472:GEP524472 FUI524472:FUT524472 FKM524472:FKX524472 FAQ524472:FBB524472 EQU524472:ERF524472 EGY524472:EHJ524472 DXC524472:DXN524472 DNG524472:DNR524472 DDK524472:DDV524472 CTO524472:CTZ524472 CJS524472:CKD524472 BZW524472:CAH524472 BQA524472:BQL524472 BGE524472:BGP524472 AWI524472:AWT524472 AMM524472:AMX524472 ACQ524472:ADB524472 SU524472:TF524472 IY524472:JJ524472 C524472:N524472 WVK458936:WVV458936 WLO458936:WLZ458936 WBS458936:WCD458936 VRW458936:VSH458936 VIA458936:VIL458936 UYE458936:UYP458936 UOI458936:UOT458936 UEM458936:UEX458936 TUQ458936:TVB458936 TKU458936:TLF458936 TAY458936:TBJ458936 SRC458936:SRN458936 SHG458936:SHR458936 RXK458936:RXV458936 RNO458936:RNZ458936 RDS458936:RED458936 QTW458936:QUH458936 QKA458936:QKL458936 QAE458936:QAP458936 PQI458936:PQT458936 PGM458936:PGX458936 OWQ458936:OXB458936 OMU458936:ONF458936 OCY458936:ODJ458936 NTC458936:NTN458936 NJG458936:NJR458936 MZK458936:MZV458936 MPO458936:MPZ458936 MFS458936:MGD458936 LVW458936:LWH458936 LMA458936:LML458936 LCE458936:LCP458936 KSI458936:KST458936 KIM458936:KIX458936 JYQ458936:JZB458936 JOU458936:JPF458936 JEY458936:JFJ458936 IVC458936:IVN458936 ILG458936:ILR458936 IBK458936:IBV458936 HRO458936:HRZ458936 HHS458936:HID458936 GXW458936:GYH458936 GOA458936:GOL458936 GEE458936:GEP458936 FUI458936:FUT458936 FKM458936:FKX458936 FAQ458936:FBB458936 EQU458936:ERF458936 EGY458936:EHJ458936 DXC458936:DXN458936 DNG458936:DNR458936 DDK458936:DDV458936 CTO458936:CTZ458936 CJS458936:CKD458936 BZW458936:CAH458936 BQA458936:BQL458936 BGE458936:BGP458936 AWI458936:AWT458936 AMM458936:AMX458936 ACQ458936:ADB458936 SU458936:TF458936 IY458936:JJ458936 C458936:N458936 WVK393400:WVV393400 WLO393400:WLZ393400 WBS393400:WCD393400 VRW393400:VSH393400 VIA393400:VIL393400 UYE393400:UYP393400 UOI393400:UOT393400 UEM393400:UEX393400 TUQ393400:TVB393400 TKU393400:TLF393400 TAY393400:TBJ393400 SRC393400:SRN393400 SHG393400:SHR393400 RXK393400:RXV393400 RNO393400:RNZ393400 RDS393400:RED393400 QTW393400:QUH393400 QKA393400:QKL393400 QAE393400:QAP393400 PQI393400:PQT393400 PGM393400:PGX393400 OWQ393400:OXB393400 OMU393400:ONF393400 OCY393400:ODJ393400 NTC393400:NTN393400 NJG393400:NJR393400 MZK393400:MZV393400 MPO393400:MPZ393400 MFS393400:MGD393400 LVW393400:LWH393400 LMA393400:LML393400 LCE393400:LCP393400 KSI393400:KST393400 KIM393400:KIX393400 JYQ393400:JZB393400 JOU393400:JPF393400 JEY393400:JFJ393400 IVC393400:IVN393400 ILG393400:ILR393400 IBK393400:IBV393400 HRO393400:HRZ393400 HHS393400:HID393400 GXW393400:GYH393400 GOA393400:GOL393400 GEE393400:GEP393400 FUI393400:FUT393400 FKM393400:FKX393400 FAQ393400:FBB393400 EQU393400:ERF393400 EGY393400:EHJ393400 DXC393400:DXN393400 DNG393400:DNR393400 DDK393400:DDV393400 CTO393400:CTZ393400 CJS393400:CKD393400 BZW393400:CAH393400 BQA393400:BQL393400 BGE393400:BGP393400 AWI393400:AWT393400 AMM393400:AMX393400 ACQ393400:ADB393400 SU393400:TF393400 IY393400:JJ393400 C393400:N393400 WVK327864:WVV327864 WLO327864:WLZ327864 WBS327864:WCD327864 VRW327864:VSH327864 VIA327864:VIL327864 UYE327864:UYP327864 UOI327864:UOT327864 UEM327864:UEX327864 TUQ327864:TVB327864 TKU327864:TLF327864 TAY327864:TBJ327864 SRC327864:SRN327864 SHG327864:SHR327864 RXK327864:RXV327864 RNO327864:RNZ327864 RDS327864:RED327864 QTW327864:QUH327864 QKA327864:QKL327864 QAE327864:QAP327864 PQI327864:PQT327864 PGM327864:PGX327864 OWQ327864:OXB327864 OMU327864:ONF327864 OCY327864:ODJ327864 NTC327864:NTN327864 NJG327864:NJR327864 MZK327864:MZV327864 MPO327864:MPZ327864 MFS327864:MGD327864 LVW327864:LWH327864 LMA327864:LML327864 LCE327864:LCP327864 KSI327864:KST327864 KIM327864:KIX327864 JYQ327864:JZB327864 JOU327864:JPF327864 JEY327864:JFJ327864 IVC327864:IVN327864 ILG327864:ILR327864 IBK327864:IBV327864 HRO327864:HRZ327864 HHS327864:HID327864 GXW327864:GYH327864 GOA327864:GOL327864 GEE327864:GEP327864 FUI327864:FUT327864 FKM327864:FKX327864 FAQ327864:FBB327864 EQU327864:ERF327864 EGY327864:EHJ327864 DXC327864:DXN327864 DNG327864:DNR327864 DDK327864:DDV327864 CTO327864:CTZ327864 CJS327864:CKD327864 BZW327864:CAH327864 BQA327864:BQL327864 BGE327864:BGP327864 AWI327864:AWT327864 AMM327864:AMX327864 ACQ327864:ADB327864 SU327864:TF327864 IY327864:JJ327864 C327864:N327864 WVK262328:WVV262328 WLO262328:WLZ262328 WBS262328:WCD262328 VRW262328:VSH262328 VIA262328:VIL262328 UYE262328:UYP262328 UOI262328:UOT262328 UEM262328:UEX262328 TUQ262328:TVB262328 TKU262328:TLF262328 TAY262328:TBJ262328 SRC262328:SRN262328 SHG262328:SHR262328 RXK262328:RXV262328 RNO262328:RNZ262328 RDS262328:RED262328 QTW262328:QUH262328 QKA262328:QKL262328 QAE262328:QAP262328 PQI262328:PQT262328 PGM262328:PGX262328 OWQ262328:OXB262328 OMU262328:ONF262328 OCY262328:ODJ262328 NTC262328:NTN262328 NJG262328:NJR262328 MZK262328:MZV262328 MPO262328:MPZ262328 MFS262328:MGD262328 LVW262328:LWH262328 LMA262328:LML262328 LCE262328:LCP262328 KSI262328:KST262328 KIM262328:KIX262328 JYQ262328:JZB262328 JOU262328:JPF262328 JEY262328:JFJ262328 IVC262328:IVN262328 ILG262328:ILR262328 IBK262328:IBV262328 HRO262328:HRZ262328 HHS262328:HID262328 GXW262328:GYH262328 GOA262328:GOL262328 GEE262328:GEP262328 FUI262328:FUT262328 FKM262328:FKX262328 FAQ262328:FBB262328 EQU262328:ERF262328 EGY262328:EHJ262328 DXC262328:DXN262328 DNG262328:DNR262328 DDK262328:DDV262328 CTO262328:CTZ262328 CJS262328:CKD262328 BZW262328:CAH262328 BQA262328:BQL262328 BGE262328:BGP262328 AWI262328:AWT262328 AMM262328:AMX262328 ACQ262328:ADB262328 SU262328:TF262328 IY262328:JJ262328 C262328:N262328 WVK196792:WVV196792 WLO196792:WLZ196792 WBS196792:WCD196792 VRW196792:VSH196792 VIA196792:VIL196792 UYE196792:UYP196792 UOI196792:UOT196792 UEM196792:UEX196792 TUQ196792:TVB196792 TKU196792:TLF196792 TAY196792:TBJ196792 SRC196792:SRN196792 SHG196792:SHR196792 RXK196792:RXV196792 RNO196792:RNZ196792 RDS196792:RED196792 QTW196792:QUH196792 QKA196792:QKL196792 QAE196792:QAP196792 PQI196792:PQT196792 PGM196792:PGX196792 OWQ196792:OXB196792 OMU196792:ONF196792 OCY196792:ODJ196792 NTC196792:NTN196792 NJG196792:NJR196792 MZK196792:MZV196792 MPO196792:MPZ196792 MFS196792:MGD196792 LVW196792:LWH196792 LMA196792:LML196792 LCE196792:LCP196792 KSI196792:KST196792 KIM196792:KIX196792 JYQ196792:JZB196792 JOU196792:JPF196792 JEY196792:JFJ196792 IVC196792:IVN196792 ILG196792:ILR196792 IBK196792:IBV196792 HRO196792:HRZ196792 HHS196792:HID196792 GXW196792:GYH196792 GOA196792:GOL196792 GEE196792:GEP196792 FUI196792:FUT196792 FKM196792:FKX196792 FAQ196792:FBB196792 EQU196792:ERF196792 EGY196792:EHJ196792 DXC196792:DXN196792 DNG196792:DNR196792 DDK196792:DDV196792 CTO196792:CTZ196792 CJS196792:CKD196792 BZW196792:CAH196792 BQA196792:BQL196792 BGE196792:BGP196792 AWI196792:AWT196792 AMM196792:AMX196792 ACQ196792:ADB196792 SU196792:TF196792 IY196792:JJ196792 C196792:N196792 WVK131256:WVV131256 WLO131256:WLZ131256 WBS131256:WCD131256 VRW131256:VSH131256 VIA131256:VIL131256 UYE131256:UYP131256 UOI131256:UOT131256 UEM131256:UEX131256 TUQ131256:TVB131256 TKU131256:TLF131256 TAY131256:TBJ131256 SRC131256:SRN131256 SHG131256:SHR131256 RXK131256:RXV131256 RNO131256:RNZ131256 RDS131256:RED131256 QTW131256:QUH131256 QKA131256:QKL131256 QAE131256:QAP131256 PQI131256:PQT131256 PGM131256:PGX131256 OWQ131256:OXB131256 OMU131256:ONF131256 OCY131256:ODJ131256 NTC131256:NTN131256 NJG131256:NJR131256 MZK131256:MZV131256 MPO131256:MPZ131256 MFS131256:MGD131256 LVW131256:LWH131256 LMA131256:LML131256 LCE131256:LCP131256 KSI131256:KST131256 KIM131256:KIX131256 JYQ131256:JZB131256 JOU131256:JPF131256 JEY131256:JFJ131256 IVC131256:IVN131256 ILG131256:ILR131256 IBK131256:IBV131256 HRO131256:HRZ131256 HHS131256:HID131256 GXW131256:GYH131256 GOA131256:GOL131256 GEE131256:GEP131256 FUI131256:FUT131256 FKM131256:FKX131256 FAQ131256:FBB131256 EQU131256:ERF131256 EGY131256:EHJ131256 DXC131256:DXN131256 DNG131256:DNR131256 DDK131256:DDV131256 CTO131256:CTZ131256 CJS131256:CKD131256 BZW131256:CAH131256 BQA131256:BQL131256 BGE131256:BGP131256 AWI131256:AWT131256 AMM131256:AMX131256 ACQ131256:ADB131256 SU131256:TF131256 IY131256:JJ131256 C131256:N131256 WVK65720:WVV65720 WLO65720:WLZ65720 WBS65720:WCD65720 VRW65720:VSH65720 VIA65720:VIL65720 UYE65720:UYP65720 UOI65720:UOT65720 UEM65720:UEX65720 TUQ65720:TVB65720 TKU65720:TLF65720 TAY65720:TBJ65720 SRC65720:SRN65720 SHG65720:SHR65720 RXK65720:RXV65720 RNO65720:RNZ65720 RDS65720:RED65720 QTW65720:QUH65720 QKA65720:QKL65720 QAE65720:QAP65720 PQI65720:PQT65720 PGM65720:PGX65720 OWQ65720:OXB65720 OMU65720:ONF65720 OCY65720:ODJ65720 NTC65720:NTN65720 NJG65720:NJR65720 MZK65720:MZV65720 MPO65720:MPZ65720 MFS65720:MGD65720 LVW65720:LWH65720 LMA65720:LML65720 LCE65720:LCP65720 KSI65720:KST65720 KIM65720:KIX65720 JYQ65720:JZB65720 JOU65720:JPF65720 JEY65720:JFJ65720 IVC65720:IVN65720 ILG65720:ILR65720 IBK65720:IBV65720 HRO65720:HRZ65720 HHS65720:HID65720 GXW65720:GYH65720 GOA65720:GOL65720 GEE65720:GEP65720 FUI65720:FUT65720 FKM65720:FKX65720 FAQ65720:FBB65720 EQU65720:ERF65720 EGY65720:EHJ65720 DXC65720:DXN65720 DNG65720:DNR65720 DDK65720:DDV65720 CTO65720:CTZ65720 CJS65720:CKD65720 BZW65720:CAH65720 BQA65720:BQL65720 BGE65720:BGP65720 AWI65720:AWT65720 AMM65720:AMX65720 ACQ65720:ADB65720 SU65720:TF65720 IY65720:JJ65720 C65720:N65720 WVK266:WVV266 WLO266:WLZ266 WBS266:WCD266 VRW266:VSH266 VIA266:VIL266 UYE266:UYP266 UOI266:UOT266 UEM266:UEX266 TUQ266:TVB266 TKU266:TLF266 TAY266:TBJ266 SRC266:SRN266 SHG266:SHR266 RXK266:RXV266 RNO266:RNZ266 RDS266:RED266 QTW266:QUH266 QKA266:QKL266 QAE266:QAP266 PQI266:PQT266 PGM266:PGX266 OWQ266:OXB266 OMU266:ONF266 OCY266:ODJ266 NTC266:NTN266 NJG266:NJR266 MZK266:MZV266 MPO266:MPZ266 MFS266:MGD266 LVW266:LWH266 LMA266:LML266 LCE266:LCP266 KSI266:KST266 KIM266:KIX266 JYQ266:JZB266 JOU266:JPF266 JEY266:JFJ266 IVC266:IVN266 ILG266:ILR266 IBK266:IBV266 HRO266:HRZ266 HHS266:HID266 GXW266:GYH266 GOA266:GOL266 GEE266:GEP266 FUI266:FUT266 FKM266:FKX266 FAQ266:FBB266 EQU266:ERF266 EGY266:EHJ266 DXC266:DXN266 DNG266:DNR266 DDK266:DDV266 CTO266:CTZ266 CJS266:CKD266 BZW266:CAH266 BQA266:BQL266 BGE266:BGP266 AWI266:AWT266 AMM266:AMX266 ACQ266:ADB266 SU266:TF266 IY266:JJ266 CJS206:CKD206 WVK983194:WVV983194 WLO983194:WLZ983194 WBS983194:WCD983194 VRW983194:VSH983194 VIA983194:VIL983194 UYE983194:UYP983194 UOI983194:UOT983194 UEM983194:UEX983194 TUQ983194:TVB983194 TKU983194:TLF983194 TAY983194:TBJ983194 SRC983194:SRN983194 SHG983194:SHR983194 RXK983194:RXV983194 RNO983194:RNZ983194 RDS983194:RED983194 QTW983194:QUH983194 QKA983194:QKL983194 QAE983194:QAP983194 PQI983194:PQT983194 PGM983194:PGX983194 OWQ983194:OXB983194 OMU983194:ONF983194 OCY983194:ODJ983194 NTC983194:NTN983194 NJG983194:NJR983194 MZK983194:MZV983194 MPO983194:MPZ983194 MFS983194:MGD983194 LVW983194:LWH983194 LMA983194:LML983194 LCE983194:LCP983194 KSI983194:KST983194 KIM983194:KIX983194 JYQ983194:JZB983194 JOU983194:JPF983194 JEY983194:JFJ983194 IVC983194:IVN983194 ILG983194:ILR983194 IBK983194:IBV983194 HRO983194:HRZ983194 HHS983194:HID983194 GXW983194:GYH983194 GOA983194:GOL983194 GEE983194:GEP983194 FUI983194:FUT983194 FKM983194:FKX983194 FAQ983194:FBB983194 EQU983194:ERF983194 EGY983194:EHJ983194 DXC983194:DXN983194 DNG983194:DNR983194 DDK983194:DDV983194 CTO983194:CTZ983194 CJS983194:CKD983194 BZW983194:CAH983194 BQA983194:BQL983194 BGE983194:BGP983194 AWI983194:AWT983194 AMM983194:AMX983194 ACQ983194:ADB983194 SU983194:TF983194 IY983194:JJ983194 C983194:N983194 WVK917658:WVV917658 WLO917658:WLZ917658 WBS917658:WCD917658 VRW917658:VSH917658 VIA917658:VIL917658 UYE917658:UYP917658 UOI917658:UOT917658 UEM917658:UEX917658 TUQ917658:TVB917658 TKU917658:TLF917658 TAY917658:TBJ917658 SRC917658:SRN917658 SHG917658:SHR917658 RXK917658:RXV917658 RNO917658:RNZ917658 RDS917658:RED917658 QTW917658:QUH917658 QKA917658:QKL917658 QAE917658:QAP917658 PQI917658:PQT917658 PGM917658:PGX917658 OWQ917658:OXB917658 OMU917658:ONF917658 OCY917658:ODJ917658 NTC917658:NTN917658 NJG917658:NJR917658 MZK917658:MZV917658 MPO917658:MPZ917658 MFS917658:MGD917658 LVW917658:LWH917658 LMA917658:LML917658 LCE917658:LCP917658 KSI917658:KST917658 KIM917658:KIX917658 JYQ917658:JZB917658 JOU917658:JPF917658 JEY917658:JFJ917658 IVC917658:IVN917658 ILG917658:ILR917658 IBK917658:IBV917658 HRO917658:HRZ917658 HHS917658:HID917658 GXW917658:GYH917658 GOA917658:GOL917658 GEE917658:GEP917658 FUI917658:FUT917658 FKM917658:FKX917658 FAQ917658:FBB917658 EQU917658:ERF917658 EGY917658:EHJ917658 DXC917658:DXN917658 DNG917658:DNR917658 DDK917658:DDV917658 CTO917658:CTZ917658 CJS917658:CKD917658 BZW917658:CAH917658 BQA917658:BQL917658 BGE917658:BGP917658 AWI917658:AWT917658 AMM917658:AMX917658 ACQ917658:ADB917658 SU917658:TF917658 IY917658:JJ917658 C917658:N917658 WVK852122:WVV852122 WLO852122:WLZ852122 WBS852122:WCD852122 VRW852122:VSH852122 VIA852122:VIL852122 UYE852122:UYP852122 UOI852122:UOT852122 UEM852122:UEX852122 TUQ852122:TVB852122 TKU852122:TLF852122 TAY852122:TBJ852122 SRC852122:SRN852122 SHG852122:SHR852122 RXK852122:RXV852122 RNO852122:RNZ852122 RDS852122:RED852122 QTW852122:QUH852122 QKA852122:QKL852122 QAE852122:QAP852122 PQI852122:PQT852122 PGM852122:PGX852122 OWQ852122:OXB852122 OMU852122:ONF852122 OCY852122:ODJ852122 NTC852122:NTN852122 NJG852122:NJR852122 MZK852122:MZV852122 MPO852122:MPZ852122 MFS852122:MGD852122 LVW852122:LWH852122 LMA852122:LML852122 LCE852122:LCP852122 KSI852122:KST852122 KIM852122:KIX852122 JYQ852122:JZB852122 JOU852122:JPF852122 JEY852122:JFJ852122 IVC852122:IVN852122 ILG852122:ILR852122 IBK852122:IBV852122 HRO852122:HRZ852122 HHS852122:HID852122 GXW852122:GYH852122 GOA852122:GOL852122 GEE852122:GEP852122 FUI852122:FUT852122 FKM852122:FKX852122 FAQ852122:FBB852122 EQU852122:ERF852122 EGY852122:EHJ852122 DXC852122:DXN852122 DNG852122:DNR852122 DDK852122:DDV852122 CTO852122:CTZ852122 CJS852122:CKD852122 BZW852122:CAH852122 BQA852122:BQL852122 BGE852122:BGP852122 AWI852122:AWT852122 AMM852122:AMX852122 ACQ852122:ADB852122 SU852122:TF852122 IY852122:JJ852122 C852122:N852122 WVK786586:WVV786586 WLO786586:WLZ786586 WBS786586:WCD786586 VRW786586:VSH786586 VIA786586:VIL786586 UYE786586:UYP786586 UOI786586:UOT786586 UEM786586:UEX786586 TUQ786586:TVB786586 TKU786586:TLF786586 TAY786586:TBJ786586 SRC786586:SRN786586 SHG786586:SHR786586 RXK786586:RXV786586 RNO786586:RNZ786586 RDS786586:RED786586 QTW786586:QUH786586 QKA786586:QKL786586 QAE786586:QAP786586 PQI786586:PQT786586 PGM786586:PGX786586 OWQ786586:OXB786586 OMU786586:ONF786586 OCY786586:ODJ786586 NTC786586:NTN786586 NJG786586:NJR786586 MZK786586:MZV786586 MPO786586:MPZ786586 MFS786586:MGD786586 LVW786586:LWH786586 LMA786586:LML786586 LCE786586:LCP786586 KSI786586:KST786586 KIM786586:KIX786586 JYQ786586:JZB786586 JOU786586:JPF786586 JEY786586:JFJ786586 IVC786586:IVN786586 ILG786586:ILR786586 IBK786586:IBV786586 HRO786586:HRZ786586 HHS786586:HID786586 GXW786586:GYH786586 GOA786586:GOL786586 GEE786586:GEP786586 FUI786586:FUT786586 FKM786586:FKX786586 FAQ786586:FBB786586 EQU786586:ERF786586 EGY786586:EHJ786586 DXC786586:DXN786586 DNG786586:DNR786586 DDK786586:DDV786586 CTO786586:CTZ786586 CJS786586:CKD786586 BZW786586:CAH786586 BQA786586:BQL786586 BGE786586:BGP786586 AWI786586:AWT786586 AMM786586:AMX786586 ACQ786586:ADB786586 SU786586:TF786586 IY786586:JJ786586 C786586:N786586 WVK721050:WVV721050 WLO721050:WLZ721050 WBS721050:WCD721050 VRW721050:VSH721050 VIA721050:VIL721050 UYE721050:UYP721050 UOI721050:UOT721050 UEM721050:UEX721050 TUQ721050:TVB721050 TKU721050:TLF721050 TAY721050:TBJ721050 SRC721050:SRN721050 SHG721050:SHR721050 RXK721050:RXV721050 RNO721050:RNZ721050 RDS721050:RED721050 QTW721050:QUH721050 QKA721050:QKL721050 QAE721050:QAP721050 PQI721050:PQT721050 PGM721050:PGX721050 OWQ721050:OXB721050 OMU721050:ONF721050 OCY721050:ODJ721050 NTC721050:NTN721050 NJG721050:NJR721050 MZK721050:MZV721050 MPO721050:MPZ721050 MFS721050:MGD721050 LVW721050:LWH721050 LMA721050:LML721050 LCE721050:LCP721050 KSI721050:KST721050 KIM721050:KIX721050 JYQ721050:JZB721050 JOU721050:JPF721050 JEY721050:JFJ721050 IVC721050:IVN721050 ILG721050:ILR721050 IBK721050:IBV721050 HRO721050:HRZ721050 HHS721050:HID721050 GXW721050:GYH721050 GOA721050:GOL721050 GEE721050:GEP721050 FUI721050:FUT721050 FKM721050:FKX721050 FAQ721050:FBB721050 EQU721050:ERF721050 EGY721050:EHJ721050 DXC721050:DXN721050 DNG721050:DNR721050 DDK721050:DDV721050 CTO721050:CTZ721050 CJS721050:CKD721050 BZW721050:CAH721050 BQA721050:BQL721050 BGE721050:BGP721050 AWI721050:AWT721050 AMM721050:AMX721050 ACQ721050:ADB721050 SU721050:TF721050 IY721050:JJ721050 C721050:N721050 WVK655514:WVV655514 WLO655514:WLZ655514 WBS655514:WCD655514 VRW655514:VSH655514 VIA655514:VIL655514 UYE655514:UYP655514 UOI655514:UOT655514 UEM655514:UEX655514 TUQ655514:TVB655514 TKU655514:TLF655514 TAY655514:TBJ655514 SRC655514:SRN655514 SHG655514:SHR655514 RXK655514:RXV655514 RNO655514:RNZ655514 RDS655514:RED655514 QTW655514:QUH655514 QKA655514:QKL655514 QAE655514:QAP655514 PQI655514:PQT655514 PGM655514:PGX655514 OWQ655514:OXB655514 OMU655514:ONF655514 OCY655514:ODJ655514 NTC655514:NTN655514 NJG655514:NJR655514 MZK655514:MZV655514 MPO655514:MPZ655514 MFS655514:MGD655514 LVW655514:LWH655514 LMA655514:LML655514 LCE655514:LCP655514 KSI655514:KST655514 KIM655514:KIX655514 JYQ655514:JZB655514 JOU655514:JPF655514 JEY655514:JFJ655514 IVC655514:IVN655514 ILG655514:ILR655514 IBK655514:IBV655514 HRO655514:HRZ655514 HHS655514:HID655514 GXW655514:GYH655514 GOA655514:GOL655514 GEE655514:GEP655514 FUI655514:FUT655514 FKM655514:FKX655514 FAQ655514:FBB655514 EQU655514:ERF655514 EGY655514:EHJ655514 DXC655514:DXN655514 DNG655514:DNR655514 DDK655514:DDV655514 CTO655514:CTZ655514 CJS655514:CKD655514 BZW655514:CAH655514 BQA655514:BQL655514 BGE655514:BGP655514 AWI655514:AWT655514 AMM655514:AMX655514 ACQ655514:ADB655514 SU655514:TF655514 IY655514:JJ655514 C655514:N655514 WVK589978:WVV589978 WLO589978:WLZ589978 WBS589978:WCD589978 VRW589978:VSH589978 VIA589978:VIL589978 UYE589978:UYP589978 UOI589978:UOT589978 UEM589978:UEX589978 TUQ589978:TVB589978 TKU589978:TLF589978 TAY589978:TBJ589978 SRC589978:SRN589978 SHG589978:SHR589978 RXK589978:RXV589978 RNO589978:RNZ589978 RDS589978:RED589978 QTW589978:QUH589978 QKA589978:QKL589978 QAE589978:QAP589978 PQI589978:PQT589978 PGM589978:PGX589978 OWQ589978:OXB589978 OMU589978:ONF589978 OCY589978:ODJ589978 NTC589978:NTN589978 NJG589978:NJR589978 MZK589978:MZV589978 MPO589978:MPZ589978 MFS589978:MGD589978 LVW589978:LWH589978 LMA589978:LML589978 LCE589978:LCP589978 KSI589978:KST589978 KIM589978:KIX589978 JYQ589978:JZB589978 JOU589978:JPF589978 JEY589978:JFJ589978 IVC589978:IVN589978 ILG589978:ILR589978 IBK589978:IBV589978 HRO589978:HRZ589978 HHS589978:HID589978 GXW589978:GYH589978 GOA589978:GOL589978 GEE589978:GEP589978 FUI589978:FUT589978 FKM589978:FKX589978 FAQ589978:FBB589978 EQU589978:ERF589978 EGY589978:EHJ589978 DXC589978:DXN589978 DNG589978:DNR589978 DDK589978:DDV589978 CTO589978:CTZ589978 CJS589978:CKD589978 BZW589978:CAH589978 BQA589978:BQL589978 BGE589978:BGP589978 AWI589978:AWT589978 AMM589978:AMX589978 ACQ589978:ADB589978 SU589978:TF589978 IY589978:JJ589978 C589978:N589978 WVK524442:WVV524442 WLO524442:WLZ524442 WBS524442:WCD524442 VRW524442:VSH524442 VIA524442:VIL524442 UYE524442:UYP524442 UOI524442:UOT524442 UEM524442:UEX524442 TUQ524442:TVB524442 TKU524442:TLF524442 TAY524442:TBJ524442 SRC524442:SRN524442 SHG524442:SHR524442 RXK524442:RXV524442 RNO524442:RNZ524442 RDS524442:RED524442 QTW524442:QUH524442 QKA524442:QKL524442 QAE524442:QAP524442 PQI524442:PQT524442 PGM524442:PGX524442 OWQ524442:OXB524442 OMU524442:ONF524442 OCY524442:ODJ524442 NTC524442:NTN524442 NJG524442:NJR524442 MZK524442:MZV524442 MPO524442:MPZ524442 MFS524442:MGD524442 LVW524442:LWH524442 LMA524442:LML524442 LCE524442:LCP524442 KSI524442:KST524442 KIM524442:KIX524442 JYQ524442:JZB524442 JOU524442:JPF524442 JEY524442:JFJ524442 IVC524442:IVN524442 ILG524442:ILR524442 IBK524442:IBV524442 HRO524442:HRZ524442 HHS524442:HID524442 GXW524442:GYH524442 GOA524442:GOL524442 GEE524442:GEP524442 FUI524442:FUT524442 FKM524442:FKX524442 FAQ524442:FBB524442 EQU524442:ERF524442 EGY524442:EHJ524442 DXC524442:DXN524442 DNG524442:DNR524442 DDK524442:DDV524442 CTO524442:CTZ524442 CJS524442:CKD524442 BZW524442:CAH524442 BQA524442:BQL524442 BGE524442:BGP524442 AWI524442:AWT524442 AMM524442:AMX524442 ACQ524442:ADB524442 SU524442:TF524442 IY524442:JJ524442 C524442:N524442 WVK458906:WVV458906 WLO458906:WLZ458906 WBS458906:WCD458906 VRW458906:VSH458906 VIA458906:VIL458906 UYE458906:UYP458906 UOI458906:UOT458906 UEM458906:UEX458906 TUQ458906:TVB458906 TKU458906:TLF458906 TAY458906:TBJ458906 SRC458906:SRN458906 SHG458906:SHR458906 RXK458906:RXV458906 RNO458906:RNZ458906 RDS458906:RED458906 QTW458906:QUH458906 QKA458906:QKL458906 QAE458906:QAP458906 PQI458906:PQT458906 PGM458906:PGX458906 OWQ458906:OXB458906 OMU458906:ONF458906 OCY458906:ODJ458906 NTC458906:NTN458906 NJG458906:NJR458906 MZK458906:MZV458906 MPO458906:MPZ458906 MFS458906:MGD458906 LVW458906:LWH458906 LMA458906:LML458906 LCE458906:LCP458906 KSI458906:KST458906 KIM458906:KIX458906 JYQ458906:JZB458906 JOU458906:JPF458906 JEY458906:JFJ458906 IVC458906:IVN458906 ILG458906:ILR458906 IBK458906:IBV458906 HRO458906:HRZ458906 HHS458906:HID458906 GXW458906:GYH458906 GOA458906:GOL458906 GEE458906:GEP458906 FUI458906:FUT458906 FKM458906:FKX458906 FAQ458906:FBB458906 EQU458906:ERF458906 EGY458906:EHJ458906 DXC458906:DXN458906 DNG458906:DNR458906 DDK458906:DDV458906 CTO458906:CTZ458906 CJS458906:CKD458906 BZW458906:CAH458906 BQA458906:BQL458906 BGE458906:BGP458906 AWI458906:AWT458906 AMM458906:AMX458906 ACQ458906:ADB458906 SU458906:TF458906 IY458906:JJ458906 C458906:N458906 WVK393370:WVV393370 WLO393370:WLZ393370 WBS393370:WCD393370 VRW393370:VSH393370 VIA393370:VIL393370 UYE393370:UYP393370 UOI393370:UOT393370 UEM393370:UEX393370 TUQ393370:TVB393370 TKU393370:TLF393370 TAY393370:TBJ393370 SRC393370:SRN393370 SHG393370:SHR393370 RXK393370:RXV393370 RNO393370:RNZ393370 RDS393370:RED393370 QTW393370:QUH393370 QKA393370:QKL393370 QAE393370:QAP393370 PQI393370:PQT393370 PGM393370:PGX393370 OWQ393370:OXB393370 OMU393370:ONF393370 OCY393370:ODJ393370 NTC393370:NTN393370 NJG393370:NJR393370 MZK393370:MZV393370 MPO393370:MPZ393370 MFS393370:MGD393370 LVW393370:LWH393370 LMA393370:LML393370 LCE393370:LCP393370 KSI393370:KST393370 KIM393370:KIX393370 JYQ393370:JZB393370 JOU393370:JPF393370 JEY393370:JFJ393370 IVC393370:IVN393370 ILG393370:ILR393370 IBK393370:IBV393370 HRO393370:HRZ393370 HHS393370:HID393370 GXW393370:GYH393370 GOA393370:GOL393370 GEE393370:GEP393370 FUI393370:FUT393370 FKM393370:FKX393370 FAQ393370:FBB393370 EQU393370:ERF393370 EGY393370:EHJ393370 DXC393370:DXN393370 DNG393370:DNR393370 DDK393370:DDV393370 CTO393370:CTZ393370 CJS393370:CKD393370 BZW393370:CAH393370 BQA393370:BQL393370 BGE393370:BGP393370 AWI393370:AWT393370 AMM393370:AMX393370 ACQ393370:ADB393370 SU393370:TF393370 IY393370:JJ393370 C393370:N393370 WVK327834:WVV327834 WLO327834:WLZ327834 WBS327834:WCD327834 VRW327834:VSH327834 VIA327834:VIL327834 UYE327834:UYP327834 UOI327834:UOT327834 UEM327834:UEX327834 TUQ327834:TVB327834 TKU327834:TLF327834 TAY327834:TBJ327834 SRC327834:SRN327834 SHG327834:SHR327834 RXK327834:RXV327834 RNO327834:RNZ327834 RDS327834:RED327834 QTW327834:QUH327834 QKA327834:QKL327834 QAE327834:QAP327834 PQI327834:PQT327834 PGM327834:PGX327834 OWQ327834:OXB327834 OMU327834:ONF327834 OCY327834:ODJ327834 NTC327834:NTN327834 NJG327834:NJR327834 MZK327834:MZV327834 MPO327834:MPZ327834 MFS327834:MGD327834 LVW327834:LWH327834 LMA327834:LML327834 LCE327834:LCP327834 KSI327834:KST327834 KIM327834:KIX327834 JYQ327834:JZB327834 JOU327834:JPF327834 JEY327834:JFJ327834 IVC327834:IVN327834 ILG327834:ILR327834 IBK327834:IBV327834 HRO327834:HRZ327834 HHS327834:HID327834 GXW327834:GYH327834 GOA327834:GOL327834 GEE327834:GEP327834 FUI327834:FUT327834 FKM327834:FKX327834 FAQ327834:FBB327834 EQU327834:ERF327834 EGY327834:EHJ327834 DXC327834:DXN327834 DNG327834:DNR327834 DDK327834:DDV327834 CTO327834:CTZ327834 CJS327834:CKD327834 BZW327834:CAH327834 BQA327834:BQL327834 BGE327834:BGP327834 AWI327834:AWT327834 AMM327834:AMX327834 ACQ327834:ADB327834 SU327834:TF327834 IY327834:JJ327834 C327834:N327834 WVK262298:WVV262298 WLO262298:WLZ262298 WBS262298:WCD262298 VRW262298:VSH262298 VIA262298:VIL262298 UYE262298:UYP262298 UOI262298:UOT262298 UEM262298:UEX262298 TUQ262298:TVB262298 TKU262298:TLF262298 TAY262298:TBJ262298 SRC262298:SRN262298 SHG262298:SHR262298 RXK262298:RXV262298 RNO262298:RNZ262298 RDS262298:RED262298 QTW262298:QUH262298 QKA262298:QKL262298 QAE262298:QAP262298 PQI262298:PQT262298 PGM262298:PGX262298 OWQ262298:OXB262298 OMU262298:ONF262298 OCY262298:ODJ262298 NTC262298:NTN262298 NJG262298:NJR262298 MZK262298:MZV262298 MPO262298:MPZ262298 MFS262298:MGD262298 LVW262298:LWH262298 LMA262298:LML262298 LCE262298:LCP262298 KSI262298:KST262298 KIM262298:KIX262298 JYQ262298:JZB262298 JOU262298:JPF262298 JEY262298:JFJ262298 IVC262298:IVN262298 ILG262298:ILR262298 IBK262298:IBV262298 HRO262298:HRZ262298 HHS262298:HID262298 GXW262298:GYH262298 GOA262298:GOL262298 GEE262298:GEP262298 FUI262298:FUT262298 FKM262298:FKX262298 FAQ262298:FBB262298 EQU262298:ERF262298 EGY262298:EHJ262298 DXC262298:DXN262298 DNG262298:DNR262298 DDK262298:DDV262298 CTO262298:CTZ262298 CJS262298:CKD262298 BZW262298:CAH262298 BQA262298:BQL262298 BGE262298:BGP262298 AWI262298:AWT262298 AMM262298:AMX262298 ACQ262298:ADB262298 SU262298:TF262298 IY262298:JJ262298 C262298:N262298 WVK196762:WVV196762 WLO196762:WLZ196762 WBS196762:WCD196762 VRW196762:VSH196762 VIA196762:VIL196762 UYE196762:UYP196762 UOI196762:UOT196762 UEM196762:UEX196762 TUQ196762:TVB196762 TKU196762:TLF196762 TAY196762:TBJ196762 SRC196762:SRN196762 SHG196762:SHR196762 RXK196762:RXV196762 RNO196762:RNZ196762 RDS196762:RED196762 QTW196762:QUH196762 QKA196762:QKL196762 QAE196762:QAP196762 PQI196762:PQT196762 PGM196762:PGX196762 OWQ196762:OXB196762 OMU196762:ONF196762 OCY196762:ODJ196762 NTC196762:NTN196762 NJG196762:NJR196762 MZK196762:MZV196762 MPO196762:MPZ196762 MFS196762:MGD196762 LVW196762:LWH196762 LMA196762:LML196762 LCE196762:LCP196762 KSI196762:KST196762 KIM196762:KIX196762 JYQ196762:JZB196762 JOU196762:JPF196762 JEY196762:JFJ196762 IVC196762:IVN196762 ILG196762:ILR196762 IBK196762:IBV196762 HRO196762:HRZ196762 HHS196762:HID196762 GXW196762:GYH196762 GOA196762:GOL196762 GEE196762:GEP196762 FUI196762:FUT196762 FKM196762:FKX196762 FAQ196762:FBB196762 EQU196762:ERF196762 EGY196762:EHJ196762 DXC196762:DXN196762 DNG196762:DNR196762 DDK196762:DDV196762 CTO196762:CTZ196762 CJS196762:CKD196762 BZW196762:CAH196762 BQA196762:BQL196762 BGE196762:BGP196762 AWI196762:AWT196762 AMM196762:AMX196762 ACQ196762:ADB196762 SU196762:TF196762 IY196762:JJ196762 C196762:N196762 WVK131226:WVV131226 WLO131226:WLZ131226 WBS131226:WCD131226 VRW131226:VSH131226 VIA131226:VIL131226 UYE131226:UYP131226 UOI131226:UOT131226 UEM131226:UEX131226 TUQ131226:TVB131226 TKU131226:TLF131226 TAY131226:TBJ131226 SRC131226:SRN131226 SHG131226:SHR131226 RXK131226:RXV131226 RNO131226:RNZ131226 RDS131226:RED131226 QTW131226:QUH131226 QKA131226:QKL131226 QAE131226:QAP131226 PQI131226:PQT131226 PGM131226:PGX131226 OWQ131226:OXB131226 OMU131226:ONF131226 OCY131226:ODJ131226 NTC131226:NTN131226 NJG131226:NJR131226 MZK131226:MZV131226 MPO131226:MPZ131226 MFS131226:MGD131226 LVW131226:LWH131226 LMA131226:LML131226 LCE131226:LCP131226 KSI131226:KST131226 KIM131226:KIX131226 JYQ131226:JZB131226 JOU131226:JPF131226 JEY131226:JFJ131226 IVC131226:IVN131226 ILG131226:ILR131226 IBK131226:IBV131226 HRO131226:HRZ131226 HHS131226:HID131226 GXW131226:GYH131226 GOA131226:GOL131226 GEE131226:GEP131226 FUI131226:FUT131226 FKM131226:FKX131226 FAQ131226:FBB131226 EQU131226:ERF131226 EGY131226:EHJ131226 DXC131226:DXN131226 DNG131226:DNR131226 DDK131226:DDV131226 CTO131226:CTZ131226 CJS131226:CKD131226 BZW131226:CAH131226 BQA131226:BQL131226 BGE131226:BGP131226 AWI131226:AWT131226 AMM131226:AMX131226 ACQ131226:ADB131226 SU131226:TF131226 IY131226:JJ131226 C131226:N131226 WVK65690:WVV65690 WLO65690:WLZ65690 WBS65690:WCD65690 VRW65690:VSH65690 VIA65690:VIL65690 UYE65690:UYP65690 UOI65690:UOT65690 UEM65690:UEX65690 TUQ65690:TVB65690 TKU65690:TLF65690 TAY65690:TBJ65690 SRC65690:SRN65690 SHG65690:SHR65690 RXK65690:RXV65690 RNO65690:RNZ65690 RDS65690:RED65690 QTW65690:QUH65690 QKA65690:QKL65690 QAE65690:QAP65690 PQI65690:PQT65690 PGM65690:PGX65690 OWQ65690:OXB65690 OMU65690:ONF65690 OCY65690:ODJ65690 NTC65690:NTN65690 NJG65690:NJR65690 MZK65690:MZV65690 MPO65690:MPZ65690 MFS65690:MGD65690 LVW65690:LWH65690 LMA65690:LML65690 LCE65690:LCP65690 KSI65690:KST65690 KIM65690:KIX65690 JYQ65690:JZB65690 JOU65690:JPF65690 JEY65690:JFJ65690 IVC65690:IVN65690 ILG65690:ILR65690 IBK65690:IBV65690 HRO65690:HRZ65690 HHS65690:HID65690 GXW65690:GYH65690 GOA65690:GOL65690 GEE65690:GEP65690 FUI65690:FUT65690 FKM65690:FKX65690 FAQ65690:FBB65690 EQU65690:ERF65690 EGY65690:EHJ65690 DXC65690:DXN65690 DNG65690:DNR65690 DDK65690:DDV65690 CTO65690:CTZ65690 CJS65690:CKD65690 BZW65690:CAH65690 BQA65690:BQL65690 BGE65690:BGP65690 AWI65690:AWT65690 AMM65690:AMX65690 ACQ65690:ADB65690 SU65690:TF65690 IY65690:JJ65690 C65690:N65690 WVK236:WVV236 WLO236:WLZ236 WBS236:WCD236 VRW236:VSH236 VIA236:VIL236 UYE236:UYP236 UOI236:UOT236 UEM236:UEX236 TUQ236:TVB236 TKU236:TLF236 TAY236:TBJ236 SRC236:SRN236 SHG236:SHR236 RXK236:RXV236 RNO236:RNZ236 RDS236:RED236 QTW236:QUH236 QKA236:QKL236 QAE236:QAP236 PQI236:PQT236 PGM236:PGX236 OWQ236:OXB236 OMU236:ONF236 OCY236:ODJ236 NTC236:NTN236 NJG236:NJR236 MZK236:MZV236 MPO236:MPZ236 MFS236:MGD236 LVW236:LWH236 LMA236:LML236 LCE236:LCP236 KSI236:KST236 KIM236:KIX236 JYQ236:JZB236 JOU236:JPF236 JEY236:JFJ236 IVC236:IVN236 ILG236:ILR236 IBK236:IBV236 HRO236:HRZ236 HHS236:HID236 GXW236:GYH236 GOA236:GOL236 GEE236:GEP236 FUI236:FUT236 FKM236:FKX236 FAQ236:FBB236 EQU236:ERF236 EGY236:EHJ236 DXC236:DXN236 DNG236:DNR236 DDK236:DDV236 CTO236:CTZ236 CJS236:CKD236 BZW236:CAH236 BQA236:BQL236 BGE236:BGP236 AWI236:AWT236 AMM236:AMX236 ACQ236:ADB236 SU236:TF236 IY236:JJ236 BQA206:BQL206 WVK983209:WVV983209 WLO983209:WLZ983209 WBS983209:WCD983209 VRW983209:VSH983209 VIA983209:VIL983209 UYE983209:UYP983209 UOI983209:UOT983209 UEM983209:UEX983209 TUQ983209:TVB983209 TKU983209:TLF983209 TAY983209:TBJ983209 SRC983209:SRN983209 SHG983209:SHR983209 RXK983209:RXV983209 RNO983209:RNZ983209 RDS983209:RED983209 QTW983209:QUH983209 QKA983209:QKL983209 QAE983209:QAP983209 PQI983209:PQT983209 PGM983209:PGX983209 OWQ983209:OXB983209 OMU983209:ONF983209 OCY983209:ODJ983209 NTC983209:NTN983209 NJG983209:NJR983209 MZK983209:MZV983209 MPO983209:MPZ983209 MFS983209:MGD983209 LVW983209:LWH983209 LMA983209:LML983209 LCE983209:LCP983209 KSI983209:KST983209 KIM983209:KIX983209 JYQ983209:JZB983209 JOU983209:JPF983209 JEY983209:JFJ983209 IVC983209:IVN983209 ILG983209:ILR983209 IBK983209:IBV983209 HRO983209:HRZ983209 HHS983209:HID983209 GXW983209:GYH983209 GOA983209:GOL983209 GEE983209:GEP983209 FUI983209:FUT983209 FKM983209:FKX983209 FAQ983209:FBB983209 EQU983209:ERF983209 EGY983209:EHJ983209 DXC983209:DXN983209 DNG983209:DNR983209 DDK983209:DDV983209 CTO983209:CTZ983209 CJS983209:CKD983209 BZW983209:CAH983209 BQA983209:BQL983209 BGE983209:BGP983209 AWI983209:AWT983209 AMM983209:AMX983209 ACQ983209:ADB983209 SU983209:TF983209 IY983209:JJ983209 C983209:N983209 WVK917673:WVV917673 WLO917673:WLZ917673 WBS917673:WCD917673 VRW917673:VSH917673 VIA917673:VIL917673 UYE917673:UYP917673 UOI917673:UOT917673 UEM917673:UEX917673 TUQ917673:TVB917673 TKU917673:TLF917673 TAY917673:TBJ917673 SRC917673:SRN917673 SHG917673:SHR917673 RXK917673:RXV917673 RNO917673:RNZ917673 RDS917673:RED917673 QTW917673:QUH917673 QKA917673:QKL917673 QAE917673:QAP917673 PQI917673:PQT917673 PGM917673:PGX917673 OWQ917673:OXB917673 OMU917673:ONF917673 OCY917673:ODJ917673 NTC917673:NTN917673 NJG917673:NJR917673 MZK917673:MZV917673 MPO917673:MPZ917673 MFS917673:MGD917673 LVW917673:LWH917673 LMA917673:LML917673 LCE917673:LCP917673 KSI917673:KST917673 KIM917673:KIX917673 JYQ917673:JZB917673 JOU917673:JPF917673 JEY917673:JFJ917673 IVC917673:IVN917673 ILG917673:ILR917673 IBK917673:IBV917673 HRO917673:HRZ917673 HHS917673:HID917673 GXW917673:GYH917673 GOA917673:GOL917673 GEE917673:GEP917673 FUI917673:FUT917673 FKM917673:FKX917673 FAQ917673:FBB917673 EQU917673:ERF917673 EGY917673:EHJ917673 DXC917673:DXN917673 DNG917673:DNR917673 DDK917673:DDV917673 CTO917673:CTZ917673 CJS917673:CKD917673 BZW917673:CAH917673 BQA917673:BQL917673 BGE917673:BGP917673 AWI917673:AWT917673 AMM917673:AMX917673 ACQ917673:ADB917673 SU917673:TF917673 IY917673:JJ917673 C917673:N917673 WVK852137:WVV852137 WLO852137:WLZ852137 WBS852137:WCD852137 VRW852137:VSH852137 VIA852137:VIL852137 UYE852137:UYP852137 UOI852137:UOT852137 UEM852137:UEX852137 TUQ852137:TVB852137 TKU852137:TLF852137 TAY852137:TBJ852137 SRC852137:SRN852137 SHG852137:SHR852137 RXK852137:RXV852137 RNO852137:RNZ852137 RDS852137:RED852137 QTW852137:QUH852137 QKA852137:QKL852137 QAE852137:QAP852137 PQI852137:PQT852137 PGM852137:PGX852137 OWQ852137:OXB852137 OMU852137:ONF852137 OCY852137:ODJ852137 NTC852137:NTN852137 NJG852137:NJR852137 MZK852137:MZV852137 MPO852137:MPZ852137 MFS852137:MGD852137 LVW852137:LWH852137 LMA852137:LML852137 LCE852137:LCP852137 KSI852137:KST852137 KIM852137:KIX852137 JYQ852137:JZB852137 JOU852137:JPF852137 JEY852137:JFJ852137 IVC852137:IVN852137 ILG852137:ILR852137 IBK852137:IBV852137 HRO852137:HRZ852137 HHS852137:HID852137 GXW852137:GYH852137 GOA852137:GOL852137 GEE852137:GEP852137 FUI852137:FUT852137 FKM852137:FKX852137 FAQ852137:FBB852137 EQU852137:ERF852137 EGY852137:EHJ852137 DXC852137:DXN852137 DNG852137:DNR852137 DDK852137:DDV852137 CTO852137:CTZ852137 CJS852137:CKD852137 BZW852137:CAH852137 BQA852137:BQL852137 BGE852137:BGP852137 AWI852137:AWT852137 AMM852137:AMX852137 ACQ852137:ADB852137 SU852137:TF852137 IY852137:JJ852137 C852137:N852137 WVK786601:WVV786601 WLO786601:WLZ786601 WBS786601:WCD786601 VRW786601:VSH786601 VIA786601:VIL786601 UYE786601:UYP786601 UOI786601:UOT786601 UEM786601:UEX786601 TUQ786601:TVB786601 TKU786601:TLF786601 TAY786601:TBJ786601 SRC786601:SRN786601 SHG786601:SHR786601 RXK786601:RXV786601 RNO786601:RNZ786601 RDS786601:RED786601 QTW786601:QUH786601 QKA786601:QKL786601 QAE786601:QAP786601 PQI786601:PQT786601 PGM786601:PGX786601 OWQ786601:OXB786601 OMU786601:ONF786601 OCY786601:ODJ786601 NTC786601:NTN786601 NJG786601:NJR786601 MZK786601:MZV786601 MPO786601:MPZ786601 MFS786601:MGD786601 LVW786601:LWH786601 LMA786601:LML786601 LCE786601:LCP786601 KSI786601:KST786601 KIM786601:KIX786601 JYQ786601:JZB786601 JOU786601:JPF786601 JEY786601:JFJ786601 IVC786601:IVN786601 ILG786601:ILR786601 IBK786601:IBV786601 HRO786601:HRZ786601 HHS786601:HID786601 GXW786601:GYH786601 GOA786601:GOL786601 GEE786601:GEP786601 FUI786601:FUT786601 FKM786601:FKX786601 FAQ786601:FBB786601 EQU786601:ERF786601 EGY786601:EHJ786601 DXC786601:DXN786601 DNG786601:DNR786601 DDK786601:DDV786601 CTO786601:CTZ786601 CJS786601:CKD786601 BZW786601:CAH786601 BQA786601:BQL786601 BGE786601:BGP786601 AWI786601:AWT786601 AMM786601:AMX786601 ACQ786601:ADB786601 SU786601:TF786601 IY786601:JJ786601 C786601:N786601 WVK721065:WVV721065 WLO721065:WLZ721065 WBS721065:WCD721065 VRW721065:VSH721065 VIA721065:VIL721065 UYE721065:UYP721065 UOI721065:UOT721065 UEM721065:UEX721065 TUQ721065:TVB721065 TKU721065:TLF721065 TAY721065:TBJ721065 SRC721065:SRN721065 SHG721065:SHR721065 RXK721065:RXV721065 RNO721065:RNZ721065 RDS721065:RED721065 QTW721065:QUH721065 QKA721065:QKL721065 QAE721065:QAP721065 PQI721065:PQT721065 PGM721065:PGX721065 OWQ721065:OXB721065 OMU721065:ONF721065 OCY721065:ODJ721065 NTC721065:NTN721065 NJG721065:NJR721065 MZK721065:MZV721065 MPO721065:MPZ721065 MFS721065:MGD721065 LVW721065:LWH721065 LMA721065:LML721065 LCE721065:LCP721065 KSI721065:KST721065 KIM721065:KIX721065 JYQ721065:JZB721065 JOU721065:JPF721065 JEY721065:JFJ721065 IVC721065:IVN721065 ILG721065:ILR721065 IBK721065:IBV721065 HRO721065:HRZ721065 HHS721065:HID721065 GXW721065:GYH721065 GOA721065:GOL721065 GEE721065:GEP721065 FUI721065:FUT721065 FKM721065:FKX721065 FAQ721065:FBB721065 EQU721065:ERF721065 EGY721065:EHJ721065 DXC721065:DXN721065 DNG721065:DNR721065 DDK721065:DDV721065 CTO721065:CTZ721065 CJS721065:CKD721065 BZW721065:CAH721065 BQA721065:BQL721065 BGE721065:BGP721065 AWI721065:AWT721065 AMM721065:AMX721065 ACQ721065:ADB721065 SU721065:TF721065 IY721065:JJ721065 C721065:N721065 WVK655529:WVV655529 WLO655529:WLZ655529 WBS655529:WCD655529 VRW655529:VSH655529 VIA655529:VIL655529 UYE655529:UYP655529 UOI655529:UOT655529 UEM655529:UEX655529 TUQ655529:TVB655529 TKU655529:TLF655529 TAY655529:TBJ655529 SRC655529:SRN655529 SHG655529:SHR655529 RXK655529:RXV655529 RNO655529:RNZ655529 RDS655529:RED655529 QTW655529:QUH655529 QKA655529:QKL655529 QAE655529:QAP655529 PQI655529:PQT655529 PGM655529:PGX655529 OWQ655529:OXB655529 OMU655529:ONF655529 OCY655529:ODJ655529 NTC655529:NTN655529 NJG655529:NJR655529 MZK655529:MZV655529 MPO655529:MPZ655529 MFS655529:MGD655529 LVW655529:LWH655529 LMA655529:LML655529 LCE655529:LCP655529 KSI655529:KST655529 KIM655529:KIX655529 JYQ655529:JZB655529 JOU655529:JPF655529 JEY655529:JFJ655529 IVC655529:IVN655529 ILG655529:ILR655529 IBK655529:IBV655529 HRO655529:HRZ655529 HHS655529:HID655529 GXW655529:GYH655529 GOA655529:GOL655529 GEE655529:GEP655529 FUI655529:FUT655529 FKM655529:FKX655529 FAQ655529:FBB655529 EQU655529:ERF655529 EGY655529:EHJ655529 DXC655529:DXN655529 DNG655529:DNR655529 DDK655529:DDV655529 CTO655529:CTZ655529 CJS655529:CKD655529 BZW655529:CAH655529 BQA655529:BQL655529 BGE655529:BGP655529 AWI655529:AWT655529 AMM655529:AMX655529 ACQ655529:ADB655529 SU655529:TF655529 IY655529:JJ655529 C655529:N655529 WVK589993:WVV589993 WLO589993:WLZ589993 WBS589993:WCD589993 VRW589993:VSH589993 VIA589993:VIL589993 UYE589993:UYP589993 UOI589993:UOT589993 UEM589993:UEX589993 TUQ589993:TVB589993 TKU589993:TLF589993 TAY589993:TBJ589993 SRC589993:SRN589993 SHG589993:SHR589993 RXK589993:RXV589993 RNO589993:RNZ589993 RDS589993:RED589993 QTW589993:QUH589993 QKA589993:QKL589993 QAE589993:QAP589993 PQI589993:PQT589993 PGM589993:PGX589993 OWQ589993:OXB589993 OMU589993:ONF589993 OCY589993:ODJ589993 NTC589993:NTN589993 NJG589993:NJR589993 MZK589993:MZV589993 MPO589993:MPZ589993 MFS589993:MGD589993 LVW589993:LWH589993 LMA589993:LML589993 LCE589993:LCP589993 KSI589993:KST589993 KIM589993:KIX589993 JYQ589993:JZB589993 JOU589993:JPF589993 JEY589993:JFJ589993 IVC589993:IVN589993 ILG589993:ILR589993 IBK589993:IBV589993 HRO589993:HRZ589993 HHS589993:HID589993 GXW589993:GYH589993 GOA589993:GOL589993 GEE589993:GEP589993 FUI589993:FUT589993 FKM589993:FKX589993 FAQ589993:FBB589993 EQU589993:ERF589993 EGY589993:EHJ589993 DXC589993:DXN589993 DNG589993:DNR589993 DDK589993:DDV589993 CTO589993:CTZ589993 CJS589993:CKD589993 BZW589993:CAH589993 BQA589993:BQL589993 BGE589993:BGP589993 AWI589993:AWT589993 AMM589993:AMX589993 ACQ589993:ADB589993 SU589993:TF589993 IY589993:JJ589993 C589993:N589993 WVK524457:WVV524457 WLO524457:WLZ524457 WBS524457:WCD524457 VRW524457:VSH524457 VIA524457:VIL524457 UYE524457:UYP524457 UOI524457:UOT524457 UEM524457:UEX524457 TUQ524457:TVB524457 TKU524457:TLF524457 TAY524457:TBJ524457 SRC524457:SRN524457 SHG524457:SHR524457 RXK524457:RXV524457 RNO524457:RNZ524457 RDS524457:RED524457 QTW524457:QUH524457 QKA524457:QKL524457 QAE524457:QAP524457 PQI524457:PQT524457 PGM524457:PGX524457 OWQ524457:OXB524457 OMU524457:ONF524457 OCY524457:ODJ524457 NTC524457:NTN524457 NJG524457:NJR524457 MZK524457:MZV524457 MPO524457:MPZ524457 MFS524457:MGD524457 LVW524457:LWH524457 LMA524457:LML524457 LCE524457:LCP524457 KSI524457:KST524457 KIM524457:KIX524457 JYQ524457:JZB524457 JOU524457:JPF524457 JEY524457:JFJ524457 IVC524457:IVN524457 ILG524457:ILR524457 IBK524457:IBV524457 HRO524457:HRZ524457 HHS524457:HID524457 GXW524457:GYH524457 GOA524457:GOL524457 GEE524457:GEP524457 FUI524457:FUT524457 FKM524457:FKX524457 FAQ524457:FBB524457 EQU524457:ERF524457 EGY524457:EHJ524457 DXC524457:DXN524457 DNG524457:DNR524457 DDK524457:DDV524457 CTO524457:CTZ524457 CJS524457:CKD524457 BZW524457:CAH524457 BQA524457:BQL524457 BGE524457:BGP524457 AWI524457:AWT524457 AMM524457:AMX524457 ACQ524457:ADB524457 SU524457:TF524457 IY524457:JJ524457 C524457:N524457 WVK458921:WVV458921 WLO458921:WLZ458921 WBS458921:WCD458921 VRW458921:VSH458921 VIA458921:VIL458921 UYE458921:UYP458921 UOI458921:UOT458921 UEM458921:UEX458921 TUQ458921:TVB458921 TKU458921:TLF458921 TAY458921:TBJ458921 SRC458921:SRN458921 SHG458921:SHR458921 RXK458921:RXV458921 RNO458921:RNZ458921 RDS458921:RED458921 QTW458921:QUH458921 QKA458921:QKL458921 QAE458921:QAP458921 PQI458921:PQT458921 PGM458921:PGX458921 OWQ458921:OXB458921 OMU458921:ONF458921 OCY458921:ODJ458921 NTC458921:NTN458921 NJG458921:NJR458921 MZK458921:MZV458921 MPO458921:MPZ458921 MFS458921:MGD458921 LVW458921:LWH458921 LMA458921:LML458921 LCE458921:LCP458921 KSI458921:KST458921 KIM458921:KIX458921 JYQ458921:JZB458921 JOU458921:JPF458921 JEY458921:JFJ458921 IVC458921:IVN458921 ILG458921:ILR458921 IBK458921:IBV458921 HRO458921:HRZ458921 HHS458921:HID458921 GXW458921:GYH458921 GOA458921:GOL458921 GEE458921:GEP458921 FUI458921:FUT458921 FKM458921:FKX458921 FAQ458921:FBB458921 EQU458921:ERF458921 EGY458921:EHJ458921 DXC458921:DXN458921 DNG458921:DNR458921 DDK458921:DDV458921 CTO458921:CTZ458921 CJS458921:CKD458921 BZW458921:CAH458921 BQA458921:BQL458921 BGE458921:BGP458921 AWI458921:AWT458921 AMM458921:AMX458921 ACQ458921:ADB458921 SU458921:TF458921 IY458921:JJ458921 C458921:N458921 WVK393385:WVV393385 WLO393385:WLZ393385 WBS393385:WCD393385 VRW393385:VSH393385 VIA393385:VIL393385 UYE393385:UYP393385 UOI393385:UOT393385 UEM393385:UEX393385 TUQ393385:TVB393385 TKU393385:TLF393385 TAY393385:TBJ393385 SRC393385:SRN393385 SHG393385:SHR393385 RXK393385:RXV393385 RNO393385:RNZ393385 RDS393385:RED393385 QTW393385:QUH393385 QKA393385:QKL393385 QAE393385:QAP393385 PQI393385:PQT393385 PGM393385:PGX393385 OWQ393385:OXB393385 OMU393385:ONF393385 OCY393385:ODJ393385 NTC393385:NTN393385 NJG393385:NJR393385 MZK393385:MZV393385 MPO393385:MPZ393385 MFS393385:MGD393385 LVW393385:LWH393385 LMA393385:LML393385 LCE393385:LCP393385 KSI393385:KST393385 KIM393385:KIX393385 JYQ393385:JZB393385 JOU393385:JPF393385 JEY393385:JFJ393385 IVC393385:IVN393385 ILG393385:ILR393385 IBK393385:IBV393385 HRO393385:HRZ393385 HHS393385:HID393385 GXW393385:GYH393385 GOA393385:GOL393385 GEE393385:GEP393385 FUI393385:FUT393385 FKM393385:FKX393385 FAQ393385:FBB393385 EQU393385:ERF393385 EGY393385:EHJ393385 DXC393385:DXN393385 DNG393385:DNR393385 DDK393385:DDV393385 CTO393385:CTZ393385 CJS393385:CKD393385 BZW393385:CAH393385 BQA393385:BQL393385 BGE393385:BGP393385 AWI393385:AWT393385 AMM393385:AMX393385 ACQ393385:ADB393385 SU393385:TF393385 IY393385:JJ393385 C393385:N393385 WVK327849:WVV327849 WLO327849:WLZ327849 WBS327849:WCD327849 VRW327849:VSH327849 VIA327849:VIL327849 UYE327849:UYP327849 UOI327849:UOT327849 UEM327849:UEX327849 TUQ327849:TVB327849 TKU327849:TLF327849 TAY327849:TBJ327849 SRC327849:SRN327849 SHG327849:SHR327849 RXK327849:RXV327849 RNO327849:RNZ327849 RDS327849:RED327849 QTW327849:QUH327849 QKA327849:QKL327849 QAE327849:QAP327849 PQI327849:PQT327849 PGM327849:PGX327849 OWQ327849:OXB327849 OMU327849:ONF327849 OCY327849:ODJ327849 NTC327849:NTN327849 NJG327849:NJR327849 MZK327849:MZV327849 MPO327849:MPZ327849 MFS327849:MGD327849 LVW327849:LWH327849 LMA327849:LML327849 LCE327849:LCP327849 KSI327849:KST327849 KIM327849:KIX327849 JYQ327849:JZB327849 JOU327849:JPF327849 JEY327849:JFJ327849 IVC327849:IVN327849 ILG327849:ILR327849 IBK327849:IBV327849 HRO327849:HRZ327849 HHS327849:HID327849 GXW327849:GYH327849 GOA327849:GOL327849 GEE327849:GEP327849 FUI327849:FUT327849 FKM327849:FKX327849 FAQ327849:FBB327849 EQU327849:ERF327849 EGY327849:EHJ327849 DXC327849:DXN327849 DNG327849:DNR327849 DDK327849:DDV327849 CTO327849:CTZ327849 CJS327849:CKD327849 BZW327849:CAH327849 BQA327849:BQL327849 BGE327849:BGP327849 AWI327849:AWT327849 AMM327849:AMX327849 ACQ327849:ADB327849 SU327849:TF327849 IY327849:JJ327849 C327849:N327849 WVK262313:WVV262313 WLO262313:WLZ262313 WBS262313:WCD262313 VRW262313:VSH262313 VIA262313:VIL262313 UYE262313:UYP262313 UOI262313:UOT262313 UEM262313:UEX262313 TUQ262313:TVB262313 TKU262313:TLF262313 TAY262313:TBJ262313 SRC262313:SRN262313 SHG262313:SHR262313 RXK262313:RXV262313 RNO262313:RNZ262313 RDS262313:RED262313 QTW262313:QUH262313 QKA262313:QKL262313 QAE262313:QAP262313 PQI262313:PQT262313 PGM262313:PGX262313 OWQ262313:OXB262313 OMU262313:ONF262313 OCY262313:ODJ262313 NTC262313:NTN262313 NJG262313:NJR262313 MZK262313:MZV262313 MPO262313:MPZ262313 MFS262313:MGD262313 LVW262313:LWH262313 LMA262313:LML262313 LCE262313:LCP262313 KSI262313:KST262313 KIM262313:KIX262313 JYQ262313:JZB262313 JOU262313:JPF262313 JEY262313:JFJ262313 IVC262313:IVN262313 ILG262313:ILR262313 IBK262313:IBV262313 HRO262313:HRZ262313 HHS262313:HID262313 GXW262313:GYH262313 GOA262313:GOL262313 GEE262313:GEP262313 FUI262313:FUT262313 FKM262313:FKX262313 FAQ262313:FBB262313 EQU262313:ERF262313 EGY262313:EHJ262313 DXC262313:DXN262313 DNG262313:DNR262313 DDK262313:DDV262313 CTO262313:CTZ262313 CJS262313:CKD262313 BZW262313:CAH262313 BQA262313:BQL262313 BGE262313:BGP262313 AWI262313:AWT262313 AMM262313:AMX262313 ACQ262313:ADB262313 SU262313:TF262313 IY262313:JJ262313 C262313:N262313 WVK196777:WVV196777 WLO196777:WLZ196777 WBS196777:WCD196777 VRW196777:VSH196777 VIA196777:VIL196777 UYE196777:UYP196777 UOI196777:UOT196777 UEM196777:UEX196777 TUQ196777:TVB196777 TKU196777:TLF196777 TAY196777:TBJ196777 SRC196777:SRN196777 SHG196777:SHR196777 RXK196777:RXV196777 RNO196777:RNZ196777 RDS196777:RED196777 QTW196777:QUH196777 QKA196777:QKL196777 QAE196777:QAP196777 PQI196777:PQT196777 PGM196777:PGX196777 OWQ196777:OXB196777 OMU196777:ONF196777 OCY196777:ODJ196777 NTC196777:NTN196777 NJG196777:NJR196777 MZK196777:MZV196777 MPO196777:MPZ196777 MFS196777:MGD196777 LVW196777:LWH196777 LMA196777:LML196777 LCE196777:LCP196777 KSI196777:KST196777 KIM196777:KIX196777 JYQ196777:JZB196777 JOU196777:JPF196777 JEY196777:JFJ196777 IVC196777:IVN196777 ILG196777:ILR196777 IBK196777:IBV196777 HRO196777:HRZ196777 HHS196777:HID196777 GXW196777:GYH196777 GOA196777:GOL196777 GEE196777:GEP196777 FUI196777:FUT196777 FKM196777:FKX196777 FAQ196777:FBB196777 EQU196777:ERF196777 EGY196777:EHJ196777 DXC196777:DXN196777 DNG196777:DNR196777 DDK196777:DDV196777 CTO196777:CTZ196777 CJS196777:CKD196777 BZW196777:CAH196777 BQA196777:BQL196777 BGE196777:BGP196777 AWI196777:AWT196777 AMM196777:AMX196777 ACQ196777:ADB196777 SU196777:TF196777 IY196777:JJ196777 C196777:N196777 WVK131241:WVV131241 WLO131241:WLZ131241 WBS131241:WCD131241 VRW131241:VSH131241 VIA131241:VIL131241 UYE131241:UYP131241 UOI131241:UOT131241 UEM131241:UEX131241 TUQ131241:TVB131241 TKU131241:TLF131241 TAY131241:TBJ131241 SRC131241:SRN131241 SHG131241:SHR131241 RXK131241:RXV131241 RNO131241:RNZ131241 RDS131241:RED131241 QTW131241:QUH131241 QKA131241:QKL131241 QAE131241:QAP131241 PQI131241:PQT131241 PGM131241:PGX131241 OWQ131241:OXB131241 OMU131241:ONF131241 OCY131241:ODJ131241 NTC131241:NTN131241 NJG131241:NJR131241 MZK131241:MZV131241 MPO131241:MPZ131241 MFS131241:MGD131241 LVW131241:LWH131241 LMA131241:LML131241 LCE131241:LCP131241 KSI131241:KST131241 KIM131241:KIX131241 JYQ131241:JZB131241 JOU131241:JPF131241 JEY131241:JFJ131241 IVC131241:IVN131241 ILG131241:ILR131241 IBK131241:IBV131241 HRO131241:HRZ131241 HHS131241:HID131241 GXW131241:GYH131241 GOA131241:GOL131241 GEE131241:GEP131241 FUI131241:FUT131241 FKM131241:FKX131241 FAQ131241:FBB131241 EQU131241:ERF131241 EGY131241:EHJ131241 DXC131241:DXN131241 DNG131241:DNR131241 DDK131241:DDV131241 CTO131241:CTZ131241 CJS131241:CKD131241 BZW131241:CAH131241 BQA131241:BQL131241 BGE131241:BGP131241 AWI131241:AWT131241 AMM131241:AMX131241 ACQ131241:ADB131241 SU131241:TF131241 IY131241:JJ131241 C131241:N131241 WVK65705:WVV65705 WLO65705:WLZ65705 WBS65705:WCD65705 VRW65705:VSH65705 VIA65705:VIL65705 UYE65705:UYP65705 UOI65705:UOT65705 UEM65705:UEX65705 TUQ65705:TVB65705 TKU65705:TLF65705 TAY65705:TBJ65705 SRC65705:SRN65705 SHG65705:SHR65705 RXK65705:RXV65705 RNO65705:RNZ65705 RDS65705:RED65705 QTW65705:QUH65705 QKA65705:QKL65705 QAE65705:QAP65705 PQI65705:PQT65705 PGM65705:PGX65705 OWQ65705:OXB65705 OMU65705:ONF65705 OCY65705:ODJ65705 NTC65705:NTN65705 NJG65705:NJR65705 MZK65705:MZV65705 MPO65705:MPZ65705 MFS65705:MGD65705 LVW65705:LWH65705 LMA65705:LML65705 LCE65705:LCP65705 KSI65705:KST65705 KIM65705:KIX65705 JYQ65705:JZB65705 JOU65705:JPF65705 JEY65705:JFJ65705 IVC65705:IVN65705 ILG65705:ILR65705 IBK65705:IBV65705 HRO65705:HRZ65705 HHS65705:HID65705 GXW65705:GYH65705 GOA65705:GOL65705 GEE65705:GEP65705 FUI65705:FUT65705 FKM65705:FKX65705 FAQ65705:FBB65705 EQU65705:ERF65705 EGY65705:EHJ65705 DXC65705:DXN65705 DNG65705:DNR65705 DDK65705:DDV65705 CTO65705:CTZ65705 CJS65705:CKD65705 BZW65705:CAH65705 BQA65705:BQL65705 BGE65705:BGP65705 AWI65705:AWT65705 AMM65705:AMX65705 ACQ65705:ADB65705 SU65705:TF65705 IY65705:JJ65705 C65705:N65705 WVK251:WVV251 WLO251:WLZ251 WBS251:WCD251 VRW251:VSH251 VIA251:VIL251 UYE251:UYP251 UOI251:UOT251 UEM251:UEX251 TUQ251:TVB251 TKU251:TLF251 TAY251:TBJ251 SRC251:SRN251 SHG251:SHR251 RXK251:RXV251 RNO251:RNZ251 RDS251:RED251 QTW251:QUH251 QKA251:QKL251 QAE251:QAP251 PQI251:PQT251 PGM251:PGX251 OWQ251:OXB251 OMU251:ONF251 OCY251:ODJ251 NTC251:NTN251 NJG251:NJR251 MZK251:MZV251 MPO251:MPZ251 MFS251:MGD251 LVW251:LWH251 LMA251:LML251 LCE251:LCP251 KSI251:KST251 KIM251:KIX251 JYQ251:JZB251 JOU251:JPF251 JEY251:JFJ251 IVC251:IVN251 ILG251:ILR251 IBK251:IBV251 HRO251:HRZ251 HHS251:HID251 GXW251:GYH251 GOA251:GOL251 GEE251:GEP251 FUI251:FUT251 FKM251:FKX251 FAQ251:FBB251 EQU251:ERF251 EGY251:EHJ251 DXC251:DXN251 DNG251:DNR251 DDK251:DDV251 CTO251:CTZ251 CJS251:CKD251 BZW251:CAH251 BQA251:BQL251 BGE251:BGP251 AWI251:AWT251 AMM251:AMX251 ACQ251:ADB251 SU251:TF251 IY251:JJ251 BZW206:CAH206 WVK983179:WVV983179 WLO983179:WLZ983179 WBS983179:WCD983179 VRW983179:VSH983179 VIA983179:VIL983179 UYE983179:UYP983179 UOI983179:UOT983179 UEM983179:UEX983179 TUQ983179:TVB983179 TKU983179:TLF983179 TAY983179:TBJ983179 SRC983179:SRN983179 SHG983179:SHR983179 RXK983179:RXV983179 RNO983179:RNZ983179 RDS983179:RED983179 QTW983179:QUH983179 QKA983179:QKL983179 QAE983179:QAP983179 PQI983179:PQT983179 PGM983179:PGX983179 OWQ983179:OXB983179 OMU983179:ONF983179 OCY983179:ODJ983179 NTC983179:NTN983179 NJG983179:NJR983179 MZK983179:MZV983179 MPO983179:MPZ983179 MFS983179:MGD983179 LVW983179:LWH983179 LMA983179:LML983179 LCE983179:LCP983179 KSI983179:KST983179 KIM983179:KIX983179 JYQ983179:JZB983179 JOU983179:JPF983179 JEY983179:JFJ983179 IVC983179:IVN983179 ILG983179:ILR983179 IBK983179:IBV983179 HRO983179:HRZ983179 HHS983179:HID983179 GXW983179:GYH983179 GOA983179:GOL983179 GEE983179:GEP983179 FUI983179:FUT983179 FKM983179:FKX983179 FAQ983179:FBB983179 EQU983179:ERF983179 EGY983179:EHJ983179 DXC983179:DXN983179 DNG983179:DNR983179 DDK983179:DDV983179 CTO983179:CTZ983179 CJS983179:CKD983179 BZW983179:CAH983179 BQA983179:BQL983179 BGE983179:BGP983179 AWI983179:AWT983179 AMM983179:AMX983179 ACQ983179:ADB983179 SU983179:TF983179 IY983179:JJ983179 C983179:N983179 WVK917643:WVV917643 WLO917643:WLZ917643 WBS917643:WCD917643 VRW917643:VSH917643 VIA917643:VIL917643 UYE917643:UYP917643 UOI917643:UOT917643 UEM917643:UEX917643 TUQ917643:TVB917643 TKU917643:TLF917643 TAY917643:TBJ917643 SRC917643:SRN917643 SHG917643:SHR917643 RXK917643:RXV917643 RNO917643:RNZ917643 RDS917643:RED917643 QTW917643:QUH917643 QKA917643:QKL917643 QAE917643:QAP917643 PQI917643:PQT917643 PGM917643:PGX917643 OWQ917643:OXB917643 OMU917643:ONF917643 OCY917643:ODJ917643 NTC917643:NTN917643 NJG917643:NJR917643 MZK917643:MZV917643 MPO917643:MPZ917643 MFS917643:MGD917643 LVW917643:LWH917643 LMA917643:LML917643 LCE917643:LCP917643 KSI917643:KST917643 KIM917643:KIX917643 JYQ917643:JZB917643 JOU917643:JPF917643 JEY917643:JFJ917643 IVC917643:IVN917643 ILG917643:ILR917643 IBK917643:IBV917643 HRO917643:HRZ917643 HHS917643:HID917643 GXW917643:GYH917643 GOA917643:GOL917643 GEE917643:GEP917643 FUI917643:FUT917643 FKM917643:FKX917643 FAQ917643:FBB917643 EQU917643:ERF917643 EGY917643:EHJ917643 DXC917643:DXN917643 DNG917643:DNR917643 DDK917643:DDV917643 CTO917643:CTZ917643 CJS917643:CKD917643 BZW917643:CAH917643 BQA917643:BQL917643 BGE917643:BGP917643 AWI917643:AWT917643 AMM917643:AMX917643 ACQ917643:ADB917643 SU917643:TF917643 IY917643:JJ917643 C917643:N917643 WVK852107:WVV852107 WLO852107:WLZ852107 WBS852107:WCD852107 VRW852107:VSH852107 VIA852107:VIL852107 UYE852107:UYP852107 UOI852107:UOT852107 UEM852107:UEX852107 TUQ852107:TVB852107 TKU852107:TLF852107 TAY852107:TBJ852107 SRC852107:SRN852107 SHG852107:SHR852107 RXK852107:RXV852107 RNO852107:RNZ852107 RDS852107:RED852107 QTW852107:QUH852107 QKA852107:QKL852107 QAE852107:QAP852107 PQI852107:PQT852107 PGM852107:PGX852107 OWQ852107:OXB852107 OMU852107:ONF852107 OCY852107:ODJ852107 NTC852107:NTN852107 NJG852107:NJR852107 MZK852107:MZV852107 MPO852107:MPZ852107 MFS852107:MGD852107 LVW852107:LWH852107 LMA852107:LML852107 LCE852107:LCP852107 KSI852107:KST852107 KIM852107:KIX852107 JYQ852107:JZB852107 JOU852107:JPF852107 JEY852107:JFJ852107 IVC852107:IVN852107 ILG852107:ILR852107 IBK852107:IBV852107 HRO852107:HRZ852107 HHS852107:HID852107 GXW852107:GYH852107 GOA852107:GOL852107 GEE852107:GEP852107 FUI852107:FUT852107 FKM852107:FKX852107 FAQ852107:FBB852107 EQU852107:ERF852107 EGY852107:EHJ852107 DXC852107:DXN852107 DNG852107:DNR852107 DDK852107:DDV852107 CTO852107:CTZ852107 CJS852107:CKD852107 BZW852107:CAH852107 BQA852107:BQL852107 BGE852107:BGP852107 AWI852107:AWT852107 AMM852107:AMX852107 ACQ852107:ADB852107 SU852107:TF852107 IY852107:JJ852107 C852107:N852107 WVK786571:WVV786571 WLO786571:WLZ786571 WBS786571:WCD786571 VRW786571:VSH786571 VIA786571:VIL786571 UYE786571:UYP786571 UOI786571:UOT786571 UEM786571:UEX786571 TUQ786571:TVB786571 TKU786571:TLF786571 TAY786571:TBJ786571 SRC786571:SRN786571 SHG786571:SHR786571 RXK786571:RXV786571 RNO786571:RNZ786571 RDS786571:RED786571 QTW786571:QUH786571 QKA786571:QKL786571 QAE786571:QAP786571 PQI786571:PQT786571 PGM786571:PGX786571 OWQ786571:OXB786571 OMU786571:ONF786571 OCY786571:ODJ786571 NTC786571:NTN786571 NJG786571:NJR786571 MZK786571:MZV786571 MPO786571:MPZ786571 MFS786571:MGD786571 LVW786571:LWH786571 LMA786571:LML786571 LCE786571:LCP786571 KSI786571:KST786571 KIM786571:KIX786571 JYQ786571:JZB786571 JOU786571:JPF786571 JEY786571:JFJ786571 IVC786571:IVN786571 ILG786571:ILR786571 IBK786571:IBV786571 HRO786571:HRZ786571 HHS786571:HID786571 GXW786571:GYH786571 GOA786571:GOL786571 GEE786571:GEP786571 FUI786571:FUT786571 FKM786571:FKX786571 FAQ786571:FBB786571 EQU786571:ERF786571 EGY786571:EHJ786571 DXC786571:DXN786571 DNG786571:DNR786571 DDK786571:DDV786571 CTO786571:CTZ786571 CJS786571:CKD786571 BZW786571:CAH786571 BQA786571:BQL786571 BGE786571:BGP786571 AWI786571:AWT786571 AMM786571:AMX786571 ACQ786571:ADB786571 SU786571:TF786571 IY786571:JJ786571 C786571:N786571 WVK721035:WVV721035 WLO721035:WLZ721035 WBS721035:WCD721035 VRW721035:VSH721035 VIA721035:VIL721035 UYE721035:UYP721035 UOI721035:UOT721035 UEM721035:UEX721035 TUQ721035:TVB721035 TKU721035:TLF721035 TAY721035:TBJ721035 SRC721035:SRN721035 SHG721035:SHR721035 RXK721035:RXV721035 RNO721035:RNZ721035 RDS721035:RED721035 QTW721035:QUH721035 QKA721035:QKL721035 QAE721035:QAP721035 PQI721035:PQT721035 PGM721035:PGX721035 OWQ721035:OXB721035 OMU721035:ONF721035 OCY721035:ODJ721035 NTC721035:NTN721035 NJG721035:NJR721035 MZK721035:MZV721035 MPO721035:MPZ721035 MFS721035:MGD721035 LVW721035:LWH721035 LMA721035:LML721035 LCE721035:LCP721035 KSI721035:KST721035 KIM721035:KIX721035 JYQ721035:JZB721035 JOU721035:JPF721035 JEY721035:JFJ721035 IVC721035:IVN721035 ILG721035:ILR721035 IBK721035:IBV721035 HRO721035:HRZ721035 HHS721035:HID721035 GXW721035:GYH721035 GOA721035:GOL721035 GEE721035:GEP721035 FUI721035:FUT721035 FKM721035:FKX721035 FAQ721035:FBB721035 EQU721035:ERF721035 EGY721035:EHJ721035 DXC721035:DXN721035 DNG721035:DNR721035 DDK721035:DDV721035 CTO721035:CTZ721035 CJS721035:CKD721035 BZW721035:CAH721035 BQA721035:BQL721035 BGE721035:BGP721035 AWI721035:AWT721035 AMM721035:AMX721035 ACQ721035:ADB721035 SU721035:TF721035 IY721035:JJ721035 C721035:N721035 WVK655499:WVV655499 WLO655499:WLZ655499 WBS655499:WCD655499 VRW655499:VSH655499 VIA655499:VIL655499 UYE655499:UYP655499 UOI655499:UOT655499 UEM655499:UEX655499 TUQ655499:TVB655499 TKU655499:TLF655499 TAY655499:TBJ655499 SRC655499:SRN655499 SHG655499:SHR655499 RXK655499:RXV655499 RNO655499:RNZ655499 RDS655499:RED655499 QTW655499:QUH655499 QKA655499:QKL655499 QAE655499:QAP655499 PQI655499:PQT655499 PGM655499:PGX655499 OWQ655499:OXB655499 OMU655499:ONF655499 OCY655499:ODJ655499 NTC655499:NTN655499 NJG655499:NJR655499 MZK655499:MZV655499 MPO655499:MPZ655499 MFS655499:MGD655499 LVW655499:LWH655499 LMA655499:LML655499 LCE655499:LCP655499 KSI655499:KST655499 KIM655499:KIX655499 JYQ655499:JZB655499 JOU655499:JPF655499 JEY655499:JFJ655499 IVC655499:IVN655499 ILG655499:ILR655499 IBK655499:IBV655499 HRO655499:HRZ655499 HHS655499:HID655499 GXW655499:GYH655499 GOA655499:GOL655499 GEE655499:GEP655499 FUI655499:FUT655499 FKM655499:FKX655499 FAQ655499:FBB655499 EQU655499:ERF655499 EGY655499:EHJ655499 DXC655499:DXN655499 DNG655499:DNR655499 DDK655499:DDV655499 CTO655499:CTZ655499 CJS655499:CKD655499 BZW655499:CAH655499 BQA655499:BQL655499 BGE655499:BGP655499 AWI655499:AWT655499 AMM655499:AMX655499 ACQ655499:ADB655499 SU655499:TF655499 IY655499:JJ655499 C655499:N655499 WVK589963:WVV589963 WLO589963:WLZ589963 WBS589963:WCD589963 VRW589963:VSH589963 VIA589963:VIL589963 UYE589963:UYP589963 UOI589963:UOT589963 UEM589963:UEX589963 TUQ589963:TVB589963 TKU589963:TLF589963 TAY589963:TBJ589963 SRC589963:SRN589963 SHG589963:SHR589963 RXK589963:RXV589963 RNO589963:RNZ589963 RDS589963:RED589963 QTW589963:QUH589963 QKA589963:QKL589963 QAE589963:QAP589963 PQI589963:PQT589963 PGM589963:PGX589963 OWQ589963:OXB589963 OMU589963:ONF589963 OCY589963:ODJ589963 NTC589963:NTN589963 NJG589963:NJR589963 MZK589963:MZV589963 MPO589963:MPZ589963 MFS589963:MGD589963 LVW589963:LWH589963 LMA589963:LML589963 LCE589963:LCP589963 KSI589963:KST589963 KIM589963:KIX589963 JYQ589963:JZB589963 JOU589963:JPF589963 JEY589963:JFJ589963 IVC589963:IVN589963 ILG589963:ILR589963 IBK589963:IBV589963 HRO589963:HRZ589963 HHS589963:HID589963 GXW589963:GYH589963 GOA589963:GOL589963 GEE589963:GEP589963 FUI589963:FUT589963 FKM589963:FKX589963 FAQ589963:FBB589963 EQU589963:ERF589963 EGY589963:EHJ589963 DXC589963:DXN589963 DNG589963:DNR589963 DDK589963:DDV589963 CTO589963:CTZ589963 CJS589963:CKD589963 BZW589963:CAH589963 BQA589963:BQL589963 BGE589963:BGP589963 AWI589963:AWT589963 AMM589963:AMX589963 ACQ589963:ADB589963 SU589963:TF589963 IY589963:JJ589963 C589963:N589963 WVK524427:WVV524427 WLO524427:WLZ524427 WBS524427:WCD524427 VRW524427:VSH524427 VIA524427:VIL524427 UYE524427:UYP524427 UOI524427:UOT524427 UEM524427:UEX524427 TUQ524427:TVB524427 TKU524427:TLF524427 TAY524427:TBJ524427 SRC524427:SRN524427 SHG524427:SHR524427 RXK524427:RXV524427 RNO524427:RNZ524427 RDS524427:RED524427 QTW524427:QUH524427 QKA524427:QKL524427 QAE524427:QAP524427 PQI524427:PQT524427 PGM524427:PGX524427 OWQ524427:OXB524427 OMU524427:ONF524427 OCY524427:ODJ524427 NTC524427:NTN524427 NJG524427:NJR524427 MZK524427:MZV524427 MPO524427:MPZ524427 MFS524427:MGD524427 LVW524427:LWH524427 LMA524427:LML524427 LCE524427:LCP524427 KSI524427:KST524427 KIM524427:KIX524427 JYQ524427:JZB524427 JOU524427:JPF524427 JEY524427:JFJ524427 IVC524427:IVN524427 ILG524427:ILR524427 IBK524427:IBV524427 HRO524427:HRZ524427 HHS524427:HID524427 GXW524427:GYH524427 GOA524427:GOL524427 GEE524427:GEP524427 FUI524427:FUT524427 FKM524427:FKX524427 FAQ524427:FBB524427 EQU524427:ERF524427 EGY524427:EHJ524427 DXC524427:DXN524427 DNG524427:DNR524427 DDK524427:DDV524427 CTO524427:CTZ524427 CJS524427:CKD524427 BZW524427:CAH524427 BQA524427:BQL524427 BGE524427:BGP524427 AWI524427:AWT524427 AMM524427:AMX524427 ACQ524427:ADB524427 SU524427:TF524427 IY524427:JJ524427 C524427:N524427 WVK458891:WVV458891 WLO458891:WLZ458891 WBS458891:WCD458891 VRW458891:VSH458891 VIA458891:VIL458891 UYE458891:UYP458891 UOI458891:UOT458891 UEM458891:UEX458891 TUQ458891:TVB458891 TKU458891:TLF458891 TAY458891:TBJ458891 SRC458891:SRN458891 SHG458891:SHR458891 RXK458891:RXV458891 RNO458891:RNZ458891 RDS458891:RED458891 QTW458891:QUH458891 QKA458891:QKL458891 QAE458891:QAP458891 PQI458891:PQT458891 PGM458891:PGX458891 OWQ458891:OXB458891 OMU458891:ONF458891 OCY458891:ODJ458891 NTC458891:NTN458891 NJG458891:NJR458891 MZK458891:MZV458891 MPO458891:MPZ458891 MFS458891:MGD458891 LVW458891:LWH458891 LMA458891:LML458891 LCE458891:LCP458891 KSI458891:KST458891 KIM458891:KIX458891 JYQ458891:JZB458891 JOU458891:JPF458891 JEY458891:JFJ458891 IVC458891:IVN458891 ILG458891:ILR458891 IBK458891:IBV458891 HRO458891:HRZ458891 HHS458891:HID458891 GXW458891:GYH458891 GOA458891:GOL458891 GEE458891:GEP458891 FUI458891:FUT458891 FKM458891:FKX458891 FAQ458891:FBB458891 EQU458891:ERF458891 EGY458891:EHJ458891 DXC458891:DXN458891 DNG458891:DNR458891 DDK458891:DDV458891 CTO458891:CTZ458891 CJS458891:CKD458891 BZW458891:CAH458891 BQA458891:BQL458891 BGE458891:BGP458891 AWI458891:AWT458891 AMM458891:AMX458891 ACQ458891:ADB458891 SU458891:TF458891 IY458891:JJ458891 C458891:N458891 WVK393355:WVV393355 WLO393355:WLZ393355 WBS393355:WCD393355 VRW393355:VSH393355 VIA393355:VIL393355 UYE393355:UYP393355 UOI393355:UOT393355 UEM393355:UEX393355 TUQ393355:TVB393355 TKU393355:TLF393355 TAY393355:TBJ393355 SRC393355:SRN393355 SHG393355:SHR393355 RXK393355:RXV393355 RNO393355:RNZ393355 RDS393355:RED393355 QTW393355:QUH393355 QKA393355:QKL393355 QAE393355:QAP393355 PQI393355:PQT393355 PGM393355:PGX393355 OWQ393355:OXB393355 OMU393355:ONF393355 OCY393355:ODJ393355 NTC393355:NTN393355 NJG393355:NJR393355 MZK393355:MZV393355 MPO393355:MPZ393355 MFS393355:MGD393355 LVW393355:LWH393355 LMA393355:LML393355 LCE393355:LCP393355 KSI393355:KST393355 KIM393355:KIX393355 JYQ393355:JZB393355 JOU393355:JPF393355 JEY393355:JFJ393355 IVC393355:IVN393355 ILG393355:ILR393355 IBK393355:IBV393355 HRO393355:HRZ393355 HHS393355:HID393355 GXW393355:GYH393355 GOA393355:GOL393355 GEE393355:GEP393355 FUI393355:FUT393355 FKM393355:FKX393355 FAQ393355:FBB393355 EQU393355:ERF393355 EGY393355:EHJ393355 DXC393355:DXN393355 DNG393355:DNR393355 DDK393355:DDV393355 CTO393355:CTZ393355 CJS393355:CKD393355 BZW393355:CAH393355 BQA393355:BQL393355 BGE393355:BGP393355 AWI393355:AWT393355 AMM393355:AMX393355 ACQ393355:ADB393355 SU393355:TF393355 IY393355:JJ393355 C393355:N393355 WVK327819:WVV327819 WLO327819:WLZ327819 WBS327819:WCD327819 VRW327819:VSH327819 VIA327819:VIL327819 UYE327819:UYP327819 UOI327819:UOT327819 UEM327819:UEX327819 TUQ327819:TVB327819 TKU327819:TLF327819 TAY327819:TBJ327819 SRC327819:SRN327819 SHG327819:SHR327819 RXK327819:RXV327819 RNO327819:RNZ327819 RDS327819:RED327819 QTW327819:QUH327819 QKA327819:QKL327819 QAE327819:QAP327819 PQI327819:PQT327819 PGM327819:PGX327819 OWQ327819:OXB327819 OMU327819:ONF327819 OCY327819:ODJ327819 NTC327819:NTN327819 NJG327819:NJR327819 MZK327819:MZV327819 MPO327819:MPZ327819 MFS327819:MGD327819 LVW327819:LWH327819 LMA327819:LML327819 LCE327819:LCP327819 KSI327819:KST327819 KIM327819:KIX327819 JYQ327819:JZB327819 JOU327819:JPF327819 JEY327819:JFJ327819 IVC327819:IVN327819 ILG327819:ILR327819 IBK327819:IBV327819 HRO327819:HRZ327819 HHS327819:HID327819 GXW327819:GYH327819 GOA327819:GOL327819 GEE327819:GEP327819 FUI327819:FUT327819 FKM327819:FKX327819 FAQ327819:FBB327819 EQU327819:ERF327819 EGY327819:EHJ327819 DXC327819:DXN327819 DNG327819:DNR327819 DDK327819:DDV327819 CTO327819:CTZ327819 CJS327819:CKD327819 BZW327819:CAH327819 BQA327819:BQL327819 BGE327819:BGP327819 AWI327819:AWT327819 AMM327819:AMX327819 ACQ327819:ADB327819 SU327819:TF327819 IY327819:JJ327819 C327819:N327819 WVK262283:WVV262283 WLO262283:WLZ262283 WBS262283:WCD262283 VRW262283:VSH262283 VIA262283:VIL262283 UYE262283:UYP262283 UOI262283:UOT262283 UEM262283:UEX262283 TUQ262283:TVB262283 TKU262283:TLF262283 TAY262283:TBJ262283 SRC262283:SRN262283 SHG262283:SHR262283 RXK262283:RXV262283 RNO262283:RNZ262283 RDS262283:RED262283 QTW262283:QUH262283 QKA262283:QKL262283 QAE262283:QAP262283 PQI262283:PQT262283 PGM262283:PGX262283 OWQ262283:OXB262283 OMU262283:ONF262283 OCY262283:ODJ262283 NTC262283:NTN262283 NJG262283:NJR262283 MZK262283:MZV262283 MPO262283:MPZ262283 MFS262283:MGD262283 LVW262283:LWH262283 LMA262283:LML262283 LCE262283:LCP262283 KSI262283:KST262283 KIM262283:KIX262283 JYQ262283:JZB262283 JOU262283:JPF262283 JEY262283:JFJ262283 IVC262283:IVN262283 ILG262283:ILR262283 IBK262283:IBV262283 HRO262283:HRZ262283 HHS262283:HID262283 GXW262283:GYH262283 GOA262283:GOL262283 GEE262283:GEP262283 FUI262283:FUT262283 FKM262283:FKX262283 FAQ262283:FBB262283 EQU262283:ERF262283 EGY262283:EHJ262283 DXC262283:DXN262283 DNG262283:DNR262283 DDK262283:DDV262283 CTO262283:CTZ262283 CJS262283:CKD262283 BZW262283:CAH262283 BQA262283:BQL262283 BGE262283:BGP262283 AWI262283:AWT262283 AMM262283:AMX262283 ACQ262283:ADB262283 SU262283:TF262283 IY262283:JJ262283 C262283:N262283 WVK196747:WVV196747 WLO196747:WLZ196747 WBS196747:WCD196747 VRW196747:VSH196747 VIA196747:VIL196747 UYE196747:UYP196747 UOI196747:UOT196747 UEM196747:UEX196747 TUQ196747:TVB196747 TKU196747:TLF196747 TAY196747:TBJ196747 SRC196747:SRN196747 SHG196747:SHR196747 RXK196747:RXV196747 RNO196747:RNZ196747 RDS196747:RED196747 QTW196747:QUH196747 QKA196747:QKL196747 QAE196747:QAP196747 PQI196747:PQT196747 PGM196747:PGX196747 OWQ196747:OXB196747 OMU196747:ONF196747 OCY196747:ODJ196747 NTC196747:NTN196747 NJG196747:NJR196747 MZK196747:MZV196747 MPO196747:MPZ196747 MFS196747:MGD196747 LVW196747:LWH196747 LMA196747:LML196747 LCE196747:LCP196747 KSI196747:KST196747 KIM196747:KIX196747 JYQ196747:JZB196747 JOU196747:JPF196747 JEY196747:JFJ196747 IVC196747:IVN196747 ILG196747:ILR196747 IBK196747:IBV196747 HRO196747:HRZ196747 HHS196747:HID196747 GXW196747:GYH196747 GOA196747:GOL196747 GEE196747:GEP196747 FUI196747:FUT196747 FKM196747:FKX196747 FAQ196747:FBB196747 EQU196747:ERF196747 EGY196747:EHJ196747 DXC196747:DXN196747 DNG196747:DNR196747 DDK196747:DDV196747 CTO196747:CTZ196747 CJS196747:CKD196747 BZW196747:CAH196747 BQA196747:BQL196747 BGE196747:BGP196747 AWI196747:AWT196747 AMM196747:AMX196747 ACQ196747:ADB196747 SU196747:TF196747 IY196747:JJ196747 C196747:N196747 WVK131211:WVV131211 WLO131211:WLZ131211 WBS131211:WCD131211 VRW131211:VSH131211 VIA131211:VIL131211 UYE131211:UYP131211 UOI131211:UOT131211 UEM131211:UEX131211 TUQ131211:TVB131211 TKU131211:TLF131211 TAY131211:TBJ131211 SRC131211:SRN131211 SHG131211:SHR131211 RXK131211:RXV131211 RNO131211:RNZ131211 RDS131211:RED131211 QTW131211:QUH131211 QKA131211:QKL131211 QAE131211:QAP131211 PQI131211:PQT131211 PGM131211:PGX131211 OWQ131211:OXB131211 OMU131211:ONF131211 OCY131211:ODJ131211 NTC131211:NTN131211 NJG131211:NJR131211 MZK131211:MZV131211 MPO131211:MPZ131211 MFS131211:MGD131211 LVW131211:LWH131211 LMA131211:LML131211 LCE131211:LCP131211 KSI131211:KST131211 KIM131211:KIX131211 JYQ131211:JZB131211 JOU131211:JPF131211 JEY131211:JFJ131211 IVC131211:IVN131211 ILG131211:ILR131211 IBK131211:IBV131211 HRO131211:HRZ131211 HHS131211:HID131211 GXW131211:GYH131211 GOA131211:GOL131211 GEE131211:GEP131211 FUI131211:FUT131211 FKM131211:FKX131211 FAQ131211:FBB131211 EQU131211:ERF131211 EGY131211:EHJ131211 DXC131211:DXN131211 DNG131211:DNR131211 DDK131211:DDV131211 CTO131211:CTZ131211 CJS131211:CKD131211 BZW131211:CAH131211 BQA131211:BQL131211 BGE131211:BGP131211 AWI131211:AWT131211 AMM131211:AMX131211 ACQ131211:ADB131211 SU131211:TF131211 IY131211:JJ131211 C131211:N131211 WVK65675:WVV65675 WLO65675:WLZ65675 WBS65675:WCD65675 VRW65675:VSH65675 VIA65675:VIL65675 UYE65675:UYP65675 UOI65675:UOT65675 UEM65675:UEX65675 TUQ65675:TVB65675 TKU65675:TLF65675 TAY65675:TBJ65675 SRC65675:SRN65675 SHG65675:SHR65675 RXK65675:RXV65675 RNO65675:RNZ65675 RDS65675:RED65675 QTW65675:QUH65675 QKA65675:QKL65675 QAE65675:QAP65675 PQI65675:PQT65675 PGM65675:PGX65675 OWQ65675:OXB65675 OMU65675:ONF65675 OCY65675:ODJ65675 NTC65675:NTN65675 NJG65675:NJR65675 MZK65675:MZV65675 MPO65675:MPZ65675 MFS65675:MGD65675 LVW65675:LWH65675 LMA65675:LML65675 LCE65675:LCP65675 KSI65675:KST65675 KIM65675:KIX65675 JYQ65675:JZB65675 JOU65675:JPF65675 JEY65675:JFJ65675 IVC65675:IVN65675 ILG65675:ILR65675 IBK65675:IBV65675 HRO65675:HRZ65675 HHS65675:HID65675 GXW65675:GYH65675 GOA65675:GOL65675 GEE65675:GEP65675 FUI65675:FUT65675 FKM65675:FKX65675 FAQ65675:FBB65675 EQU65675:ERF65675 EGY65675:EHJ65675 DXC65675:DXN65675 DNG65675:DNR65675 DDK65675:DDV65675 CTO65675:CTZ65675 CJS65675:CKD65675 BZW65675:CAH65675 BQA65675:BQL65675 BGE65675:BGP65675 AWI65675:AWT65675 AMM65675:AMX65675 ACQ65675:ADB65675 SU65675:TF65675 IY65675:JJ65675 C65675:N65675 WVK221:WVV221 WLO221:WLZ221 WBS221:WCD221 VRW221:VSH221 VIA221:VIL221 UYE221:UYP221 UOI221:UOT221 UEM221:UEX221 TUQ221:TVB221 TKU221:TLF221 TAY221:TBJ221 SRC221:SRN221 SHG221:SHR221 RXK221:RXV221 RNO221:RNZ221 RDS221:RED221 QTW221:QUH221 QKA221:QKL221 QAE221:QAP221 PQI221:PQT221 PGM221:PGX221 OWQ221:OXB221 OMU221:ONF221 OCY221:ODJ221 NTC221:NTN221 NJG221:NJR221 MZK221:MZV221 MPO221:MPZ221 MFS221:MGD221 LVW221:LWH221 LMA221:LML221 LCE221:LCP221 KSI221:KST221 KIM221:KIX221 JYQ221:JZB221 JOU221:JPF221 JEY221:JFJ221 IVC221:IVN221 ILG221:ILR221 IBK221:IBV221 HRO221:HRZ221 HHS221:HID221 GXW221:GYH221 GOA221:GOL221 GEE221:GEP221 FUI221:FUT221 FKM221:FKX221 FAQ221:FBB221 EQU221:ERF221 EGY221:EHJ221 DXC221:DXN221 DNG221:DNR221 DDK221:DDV221 CTO221:CTZ221 CJS221:CKD221 BZW221:CAH221 BQA221:BQL221 BGE221:BGP221 AWI221:AWT221 AMM221:AMX221 ACQ221:ADB221 SU221:TF221 IY221:JJ221 BGE206:BGP206 WVK983149:WVV983149 WLO983149:WLZ983149 WBS983149:WCD983149 VRW983149:VSH983149 VIA983149:VIL983149 UYE983149:UYP983149 UOI983149:UOT983149 UEM983149:UEX983149 TUQ983149:TVB983149 TKU983149:TLF983149 TAY983149:TBJ983149 SRC983149:SRN983149 SHG983149:SHR983149 RXK983149:RXV983149 RNO983149:RNZ983149 RDS983149:RED983149 QTW983149:QUH983149 QKA983149:QKL983149 QAE983149:QAP983149 PQI983149:PQT983149 PGM983149:PGX983149 OWQ983149:OXB983149 OMU983149:ONF983149 OCY983149:ODJ983149 NTC983149:NTN983149 NJG983149:NJR983149 MZK983149:MZV983149 MPO983149:MPZ983149 MFS983149:MGD983149 LVW983149:LWH983149 LMA983149:LML983149 LCE983149:LCP983149 KSI983149:KST983149 KIM983149:KIX983149 JYQ983149:JZB983149 JOU983149:JPF983149 JEY983149:JFJ983149 IVC983149:IVN983149 ILG983149:ILR983149 IBK983149:IBV983149 HRO983149:HRZ983149 HHS983149:HID983149 GXW983149:GYH983149 GOA983149:GOL983149 GEE983149:GEP983149 FUI983149:FUT983149 FKM983149:FKX983149 FAQ983149:FBB983149 EQU983149:ERF983149 EGY983149:EHJ983149 DXC983149:DXN983149 DNG983149:DNR983149 DDK983149:DDV983149 CTO983149:CTZ983149 CJS983149:CKD983149 BZW983149:CAH983149 BQA983149:BQL983149 BGE983149:BGP983149 AWI983149:AWT983149 AMM983149:AMX983149 ACQ983149:ADB983149 SU983149:TF983149 IY983149:JJ983149 C983149:N983149 WVK917613:WVV917613 WLO917613:WLZ917613 WBS917613:WCD917613 VRW917613:VSH917613 VIA917613:VIL917613 UYE917613:UYP917613 UOI917613:UOT917613 UEM917613:UEX917613 TUQ917613:TVB917613 TKU917613:TLF917613 TAY917613:TBJ917613 SRC917613:SRN917613 SHG917613:SHR917613 RXK917613:RXV917613 RNO917613:RNZ917613 RDS917613:RED917613 QTW917613:QUH917613 QKA917613:QKL917613 QAE917613:QAP917613 PQI917613:PQT917613 PGM917613:PGX917613 OWQ917613:OXB917613 OMU917613:ONF917613 OCY917613:ODJ917613 NTC917613:NTN917613 NJG917613:NJR917613 MZK917613:MZV917613 MPO917613:MPZ917613 MFS917613:MGD917613 LVW917613:LWH917613 LMA917613:LML917613 LCE917613:LCP917613 KSI917613:KST917613 KIM917613:KIX917613 JYQ917613:JZB917613 JOU917613:JPF917613 JEY917613:JFJ917613 IVC917613:IVN917613 ILG917613:ILR917613 IBK917613:IBV917613 HRO917613:HRZ917613 HHS917613:HID917613 GXW917613:GYH917613 GOA917613:GOL917613 GEE917613:GEP917613 FUI917613:FUT917613 FKM917613:FKX917613 FAQ917613:FBB917613 EQU917613:ERF917613 EGY917613:EHJ917613 DXC917613:DXN917613 DNG917613:DNR917613 DDK917613:DDV917613 CTO917613:CTZ917613 CJS917613:CKD917613 BZW917613:CAH917613 BQA917613:BQL917613 BGE917613:BGP917613 AWI917613:AWT917613 AMM917613:AMX917613 ACQ917613:ADB917613 SU917613:TF917613 IY917613:JJ917613 C917613:N917613 WVK852077:WVV852077 WLO852077:WLZ852077 WBS852077:WCD852077 VRW852077:VSH852077 VIA852077:VIL852077 UYE852077:UYP852077 UOI852077:UOT852077 UEM852077:UEX852077 TUQ852077:TVB852077 TKU852077:TLF852077 TAY852077:TBJ852077 SRC852077:SRN852077 SHG852077:SHR852077 RXK852077:RXV852077 RNO852077:RNZ852077 RDS852077:RED852077 QTW852077:QUH852077 QKA852077:QKL852077 QAE852077:QAP852077 PQI852077:PQT852077 PGM852077:PGX852077 OWQ852077:OXB852077 OMU852077:ONF852077 OCY852077:ODJ852077 NTC852077:NTN852077 NJG852077:NJR852077 MZK852077:MZV852077 MPO852077:MPZ852077 MFS852077:MGD852077 LVW852077:LWH852077 LMA852077:LML852077 LCE852077:LCP852077 KSI852077:KST852077 KIM852077:KIX852077 JYQ852077:JZB852077 JOU852077:JPF852077 JEY852077:JFJ852077 IVC852077:IVN852077 ILG852077:ILR852077 IBK852077:IBV852077 HRO852077:HRZ852077 HHS852077:HID852077 GXW852077:GYH852077 GOA852077:GOL852077 GEE852077:GEP852077 FUI852077:FUT852077 FKM852077:FKX852077 FAQ852077:FBB852077 EQU852077:ERF852077 EGY852077:EHJ852077 DXC852077:DXN852077 DNG852077:DNR852077 DDK852077:DDV852077 CTO852077:CTZ852077 CJS852077:CKD852077 BZW852077:CAH852077 BQA852077:BQL852077 BGE852077:BGP852077 AWI852077:AWT852077 AMM852077:AMX852077 ACQ852077:ADB852077 SU852077:TF852077 IY852077:JJ852077 C852077:N852077 WVK786541:WVV786541 WLO786541:WLZ786541 WBS786541:WCD786541 VRW786541:VSH786541 VIA786541:VIL786541 UYE786541:UYP786541 UOI786541:UOT786541 UEM786541:UEX786541 TUQ786541:TVB786541 TKU786541:TLF786541 TAY786541:TBJ786541 SRC786541:SRN786541 SHG786541:SHR786541 RXK786541:RXV786541 RNO786541:RNZ786541 RDS786541:RED786541 QTW786541:QUH786541 QKA786541:QKL786541 QAE786541:QAP786541 PQI786541:PQT786541 PGM786541:PGX786541 OWQ786541:OXB786541 OMU786541:ONF786541 OCY786541:ODJ786541 NTC786541:NTN786541 NJG786541:NJR786541 MZK786541:MZV786541 MPO786541:MPZ786541 MFS786541:MGD786541 LVW786541:LWH786541 LMA786541:LML786541 LCE786541:LCP786541 KSI786541:KST786541 KIM786541:KIX786541 JYQ786541:JZB786541 JOU786541:JPF786541 JEY786541:JFJ786541 IVC786541:IVN786541 ILG786541:ILR786541 IBK786541:IBV786541 HRO786541:HRZ786541 HHS786541:HID786541 GXW786541:GYH786541 GOA786541:GOL786541 GEE786541:GEP786541 FUI786541:FUT786541 FKM786541:FKX786541 FAQ786541:FBB786541 EQU786541:ERF786541 EGY786541:EHJ786541 DXC786541:DXN786541 DNG786541:DNR786541 DDK786541:DDV786541 CTO786541:CTZ786541 CJS786541:CKD786541 BZW786541:CAH786541 BQA786541:BQL786541 BGE786541:BGP786541 AWI786541:AWT786541 AMM786541:AMX786541 ACQ786541:ADB786541 SU786541:TF786541 IY786541:JJ786541 C786541:N786541 WVK721005:WVV721005 WLO721005:WLZ721005 WBS721005:WCD721005 VRW721005:VSH721005 VIA721005:VIL721005 UYE721005:UYP721005 UOI721005:UOT721005 UEM721005:UEX721005 TUQ721005:TVB721005 TKU721005:TLF721005 TAY721005:TBJ721005 SRC721005:SRN721005 SHG721005:SHR721005 RXK721005:RXV721005 RNO721005:RNZ721005 RDS721005:RED721005 QTW721005:QUH721005 QKA721005:QKL721005 QAE721005:QAP721005 PQI721005:PQT721005 PGM721005:PGX721005 OWQ721005:OXB721005 OMU721005:ONF721005 OCY721005:ODJ721005 NTC721005:NTN721005 NJG721005:NJR721005 MZK721005:MZV721005 MPO721005:MPZ721005 MFS721005:MGD721005 LVW721005:LWH721005 LMA721005:LML721005 LCE721005:LCP721005 KSI721005:KST721005 KIM721005:KIX721005 JYQ721005:JZB721005 JOU721005:JPF721005 JEY721005:JFJ721005 IVC721005:IVN721005 ILG721005:ILR721005 IBK721005:IBV721005 HRO721005:HRZ721005 HHS721005:HID721005 GXW721005:GYH721005 GOA721005:GOL721005 GEE721005:GEP721005 FUI721005:FUT721005 FKM721005:FKX721005 FAQ721005:FBB721005 EQU721005:ERF721005 EGY721005:EHJ721005 DXC721005:DXN721005 DNG721005:DNR721005 DDK721005:DDV721005 CTO721005:CTZ721005 CJS721005:CKD721005 BZW721005:CAH721005 BQA721005:BQL721005 BGE721005:BGP721005 AWI721005:AWT721005 AMM721005:AMX721005 ACQ721005:ADB721005 SU721005:TF721005 IY721005:JJ721005 C721005:N721005 WVK655469:WVV655469 WLO655469:WLZ655469 WBS655469:WCD655469 VRW655469:VSH655469 VIA655469:VIL655469 UYE655469:UYP655469 UOI655469:UOT655469 UEM655469:UEX655469 TUQ655469:TVB655469 TKU655469:TLF655469 TAY655469:TBJ655469 SRC655469:SRN655469 SHG655469:SHR655469 RXK655469:RXV655469 RNO655469:RNZ655469 RDS655469:RED655469 QTW655469:QUH655469 QKA655469:QKL655469 QAE655469:QAP655469 PQI655469:PQT655469 PGM655469:PGX655469 OWQ655469:OXB655469 OMU655469:ONF655469 OCY655469:ODJ655469 NTC655469:NTN655469 NJG655469:NJR655469 MZK655469:MZV655469 MPO655469:MPZ655469 MFS655469:MGD655469 LVW655469:LWH655469 LMA655469:LML655469 LCE655469:LCP655469 KSI655469:KST655469 KIM655469:KIX655469 JYQ655469:JZB655469 JOU655469:JPF655469 JEY655469:JFJ655469 IVC655469:IVN655469 ILG655469:ILR655469 IBK655469:IBV655469 HRO655469:HRZ655469 HHS655469:HID655469 GXW655469:GYH655469 GOA655469:GOL655469 GEE655469:GEP655469 FUI655469:FUT655469 FKM655469:FKX655469 FAQ655469:FBB655469 EQU655469:ERF655469 EGY655469:EHJ655469 DXC655469:DXN655469 DNG655469:DNR655469 DDK655469:DDV655469 CTO655469:CTZ655469 CJS655469:CKD655469 BZW655469:CAH655469 BQA655469:BQL655469 BGE655469:BGP655469 AWI655469:AWT655469 AMM655469:AMX655469 ACQ655469:ADB655469 SU655469:TF655469 IY655469:JJ655469 C655469:N655469 WVK589933:WVV589933 WLO589933:WLZ589933 WBS589933:WCD589933 VRW589933:VSH589933 VIA589933:VIL589933 UYE589933:UYP589933 UOI589933:UOT589933 UEM589933:UEX589933 TUQ589933:TVB589933 TKU589933:TLF589933 TAY589933:TBJ589933 SRC589933:SRN589933 SHG589933:SHR589933 RXK589933:RXV589933 RNO589933:RNZ589933 RDS589933:RED589933 QTW589933:QUH589933 QKA589933:QKL589933 QAE589933:QAP589933 PQI589933:PQT589933 PGM589933:PGX589933 OWQ589933:OXB589933 OMU589933:ONF589933 OCY589933:ODJ589933 NTC589933:NTN589933 NJG589933:NJR589933 MZK589933:MZV589933 MPO589933:MPZ589933 MFS589933:MGD589933 LVW589933:LWH589933 LMA589933:LML589933 LCE589933:LCP589933 KSI589933:KST589933 KIM589933:KIX589933 JYQ589933:JZB589933 JOU589933:JPF589933 JEY589933:JFJ589933 IVC589933:IVN589933 ILG589933:ILR589933 IBK589933:IBV589933 HRO589933:HRZ589933 HHS589933:HID589933 GXW589933:GYH589933 GOA589933:GOL589933 GEE589933:GEP589933 FUI589933:FUT589933 FKM589933:FKX589933 FAQ589933:FBB589933 EQU589933:ERF589933 EGY589933:EHJ589933 DXC589933:DXN589933 DNG589933:DNR589933 DDK589933:DDV589933 CTO589933:CTZ589933 CJS589933:CKD589933 BZW589933:CAH589933 BQA589933:BQL589933 BGE589933:BGP589933 AWI589933:AWT589933 AMM589933:AMX589933 ACQ589933:ADB589933 SU589933:TF589933 IY589933:JJ589933 C589933:N589933 WVK524397:WVV524397 WLO524397:WLZ524397 WBS524397:WCD524397 VRW524397:VSH524397 VIA524397:VIL524397 UYE524397:UYP524397 UOI524397:UOT524397 UEM524397:UEX524397 TUQ524397:TVB524397 TKU524397:TLF524397 TAY524397:TBJ524397 SRC524397:SRN524397 SHG524397:SHR524397 RXK524397:RXV524397 RNO524397:RNZ524397 RDS524397:RED524397 QTW524397:QUH524397 QKA524397:QKL524397 QAE524397:QAP524397 PQI524397:PQT524397 PGM524397:PGX524397 OWQ524397:OXB524397 OMU524397:ONF524397 OCY524397:ODJ524397 NTC524397:NTN524397 NJG524397:NJR524397 MZK524397:MZV524397 MPO524397:MPZ524397 MFS524397:MGD524397 LVW524397:LWH524397 LMA524397:LML524397 LCE524397:LCP524397 KSI524397:KST524397 KIM524397:KIX524397 JYQ524397:JZB524397 JOU524397:JPF524397 JEY524397:JFJ524397 IVC524397:IVN524397 ILG524397:ILR524397 IBK524397:IBV524397 HRO524397:HRZ524397 HHS524397:HID524397 GXW524397:GYH524397 GOA524397:GOL524397 GEE524397:GEP524397 FUI524397:FUT524397 FKM524397:FKX524397 FAQ524397:FBB524397 EQU524397:ERF524397 EGY524397:EHJ524397 DXC524397:DXN524397 DNG524397:DNR524397 DDK524397:DDV524397 CTO524397:CTZ524397 CJS524397:CKD524397 BZW524397:CAH524397 BQA524397:BQL524397 BGE524397:BGP524397 AWI524397:AWT524397 AMM524397:AMX524397 ACQ524397:ADB524397 SU524397:TF524397 IY524397:JJ524397 C524397:N524397 WVK458861:WVV458861 WLO458861:WLZ458861 WBS458861:WCD458861 VRW458861:VSH458861 VIA458861:VIL458861 UYE458861:UYP458861 UOI458861:UOT458861 UEM458861:UEX458861 TUQ458861:TVB458861 TKU458861:TLF458861 TAY458861:TBJ458861 SRC458861:SRN458861 SHG458861:SHR458861 RXK458861:RXV458861 RNO458861:RNZ458861 RDS458861:RED458861 QTW458861:QUH458861 QKA458861:QKL458861 QAE458861:QAP458861 PQI458861:PQT458861 PGM458861:PGX458861 OWQ458861:OXB458861 OMU458861:ONF458861 OCY458861:ODJ458861 NTC458861:NTN458861 NJG458861:NJR458861 MZK458861:MZV458861 MPO458861:MPZ458861 MFS458861:MGD458861 LVW458861:LWH458861 LMA458861:LML458861 LCE458861:LCP458861 KSI458861:KST458861 KIM458861:KIX458861 JYQ458861:JZB458861 JOU458861:JPF458861 JEY458861:JFJ458861 IVC458861:IVN458861 ILG458861:ILR458861 IBK458861:IBV458861 HRO458861:HRZ458861 HHS458861:HID458861 GXW458861:GYH458861 GOA458861:GOL458861 GEE458861:GEP458861 FUI458861:FUT458861 FKM458861:FKX458861 FAQ458861:FBB458861 EQU458861:ERF458861 EGY458861:EHJ458861 DXC458861:DXN458861 DNG458861:DNR458861 DDK458861:DDV458861 CTO458861:CTZ458861 CJS458861:CKD458861 BZW458861:CAH458861 BQA458861:BQL458861 BGE458861:BGP458861 AWI458861:AWT458861 AMM458861:AMX458861 ACQ458861:ADB458861 SU458861:TF458861 IY458861:JJ458861 C458861:N458861 WVK393325:WVV393325 WLO393325:WLZ393325 WBS393325:WCD393325 VRW393325:VSH393325 VIA393325:VIL393325 UYE393325:UYP393325 UOI393325:UOT393325 UEM393325:UEX393325 TUQ393325:TVB393325 TKU393325:TLF393325 TAY393325:TBJ393325 SRC393325:SRN393325 SHG393325:SHR393325 RXK393325:RXV393325 RNO393325:RNZ393325 RDS393325:RED393325 QTW393325:QUH393325 QKA393325:QKL393325 QAE393325:QAP393325 PQI393325:PQT393325 PGM393325:PGX393325 OWQ393325:OXB393325 OMU393325:ONF393325 OCY393325:ODJ393325 NTC393325:NTN393325 NJG393325:NJR393325 MZK393325:MZV393325 MPO393325:MPZ393325 MFS393325:MGD393325 LVW393325:LWH393325 LMA393325:LML393325 LCE393325:LCP393325 KSI393325:KST393325 KIM393325:KIX393325 JYQ393325:JZB393325 JOU393325:JPF393325 JEY393325:JFJ393325 IVC393325:IVN393325 ILG393325:ILR393325 IBK393325:IBV393325 HRO393325:HRZ393325 HHS393325:HID393325 GXW393325:GYH393325 GOA393325:GOL393325 GEE393325:GEP393325 FUI393325:FUT393325 FKM393325:FKX393325 FAQ393325:FBB393325 EQU393325:ERF393325 EGY393325:EHJ393325 DXC393325:DXN393325 DNG393325:DNR393325 DDK393325:DDV393325 CTO393325:CTZ393325 CJS393325:CKD393325 BZW393325:CAH393325 BQA393325:BQL393325 BGE393325:BGP393325 AWI393325:AWT393325 AMM393325:AMX393325 ACQ393325:ADB393325 SU393325:TF393325 IY393325:JJ393325 C393325:N393325 WVK327789:WVV327789 WLO327789:WLZ327789 WBS327789:WCD327789 VRW327789:VSH327789 VIA327789:VIL327789 UYE327789:UYP327789 UOI327789:UOT327789 UEM327789:UEX327789 TUQ327789:TVB327789 TKU327789:TLF327789 TAY327789:TBJ327789 SRC327789:SRN327789 SHG327789:SHR327789 RXK327789:RXV327789 RNO327789:RNZ327789 RDS327789:RED327789 QTW327789:QUH327789 QKA327789:QKL327789 QAE327789:QAP327789 PQI327789:PQT327789 PGM327789:PGX327789 OWQ327789:OXB327789 OMU327789:ONF327789 OCY327789:ODJ327789 NTC327789:NTN327789 NJG327789:NJR327789 MZK327789:MZV327789 MPO327789:MPZ327789 MFS327789:MGD327789 LVW327789:LWH327789 LMA327789:LML327789 LCE327789:LCP327789 KSI327789:KST327789 KIM327789:KIX327789 JYQ327789:JZB327789 JOU327789:JPF327789 JEY327789:JFJ327789 IVC327789:IVN327789 ILG327789:ILR327789 IBK327789:IBV327789 HRO327789:HRZ327789 HHS327789:HID327789 GXW327789:GYH327789 GOA327789:GOL327789 GEE327789:GEP327789 FUI327789:FUT327789 FKM327789:FKX327789 FAQ327789:FBB327789 EQU327789:ERF327789 EGY327789:EHJ327789 DXC327789:DXN327789 DNG327789:DNR327789 DDK327789:DDV327789 CTO327789:CTZ327789 CJS327789:CKD327789 BZW327789:CAH327789 BQA327789:BQL327789 BGE327789:BGP327789 AWI327789:AWT327789 AMM327789:AMX327789 ACQ327789:ADB327789 SU327789:TF327789 IY327789:JJ327789 C327789:N327789 WVK262253:WVV262253 WLO262253:WLZ262253 WBS262253:WCD262253 VRW262253:VSH262253 VIA262253:VIL262253 UYE262253:UYP262253 UOI262253:UOT262253 UEM262253:UEX262253 TUQ262253:TVB262253 TKU262253:TLF262253 TAY262253:TBJ262253 SRC262253:SRN262253 SHG262253:SHR262253 RXK262253:RXV262253 RNO262253:RNZ262253 RDS262253:RED262253 QTW262253:QUH262253 QKA262253:QKL262253 QAE262253:QAP262253 PQI262253:PQT262253 PGM262253:PGX262253 OWQ262253:OXB262253 OMU262253:ONF262253 OCY262253:ODJ262253 NTC262253:NTN262253 NJG262253:NJR262253 MZK262253:MZV262253 MPO262253:MPZ262253 MFS262253:MGD262253 LVW262253:LWH262253 LMA262253:LML262253 LCE262253:LCP262253 KSI262253:KST262253 KIM262253:KIX262253 JYQ262253:JZB262253 JOU262253:JPF262253 JEY262253:JFJ262253 IVC262253:IVN262253 ILG262253:ILR262253 IBK262253:IBV262253 HRO262253:HRZ262253 HHS262253:HID262253 GXW262253:GYH262253 GOA262253:GOL262253 GEE262253:GEP262253 FUI262253:FUT262253 FKM262253:FKX262253 FAQ262253:FBB262253 EQU262253:ERF262253 EGY262253:EHJ262253 DXC262253:DXN262253 DNG262253:DNR262253 DDK262253:DDV262253 CTO262253:CTZ262253 CJS262253:CKD262253 BZW262253:CAH262253 BQA262253:BQL262253 BGE262253:BGP262253 AWI262253:AWT262253 AMM262253:AMX262253 ACQ262253:ADB262253 SU262253:TF262253 IY262253:JJ262253 C262253:N262253 WVK196717:WVV196717 WLO196717:WLZ196717 WBS196717:WCD196717 VRW196717:VSH196717 VIA196717:VIL196717 UYE196717:UYP196717 UOI196717:UOT196717 UEM196717:UEX196717 TUQ196717:TVB196717 TKU196717:TLF196717 TAY196717:TBJ196717 SRC196717:SRN196717 SHG196717:SHR196717 RXK196717:RXV196717 RNO196717:RNZ196717 RDS196717:RED196717 QTW196717:QUH196717 QKA196717:QKL196717 QAE196717:QAP196717 PQI196717:PQT196717 PGM196717:PGX196717 OWQ196717:OXB196717 OMU196717:ONF196717 OCY196717:ODJ196717 NTC196717:NTN196717 NJG196717:NJR196717 MZK196717:MZV196717 MPO196717:MPZ196717 MFS196717:MGD196717 LVW196717:LWH196717 LMA196717:LML196717 LCE196717:LCP196717 KSI196717:KST196717 KIM196717:KIX196717 JYQ196717:JZB196717 JOU196717:JPF196717 JEY196717:JFJ196717 IVC196717:IVN196717 ILG196717:ILR196717 IBK196717:IBV196717 HRO196717:HRZ196717 HHS196717:HID196717 GXW196717:GYH196717 GOA196717:GOL196717 GEE196717:GEP196717 FUI196717:FUT196717 FKM196717:FKX196717 FAQ196717:FBB196717 EQU196717:ERF196717 EGY196717:EHJ196717 DXC196717:DXN196717 DNG196717:DNR196717 DDK196717:DDV196717 CTO196717:CTZ196717 CJS196717:CKD196717 BZW196717:CAH196717 BQA196717:BQL196717 BGE196717:BGP196717 AWI196717:AWT196717 AMM196717:AMX196717 ACQ196717:ADB196717 SU196717:TF196717 IY196717:JJ196717 C196717:N196717 WVK131181:WVV131181 WLO131181:WLZ131181 WBS131181:WCD131181 VRW131181:VSH131181 VIA131181:VIL131181 UYE131181:UYP131181 UOI131181:UOT131181 UEM131181:UEX131181 TUQ131181:TVB131181 TKU131181:TLF131181 TAY131181:TBJ131181 SRC131181:SRN131181 SHG131181:SHR131181 RXK131181:RXV131181 RNO131181:RNZ131181 RDS131181:RED131181 QTW131181:QUH131181 QKA131181:QKL131181 QAE131181:QAP131181 PQI131181:PQT131181 PGM131181:PGX131181 OWQ131181:OXB131181 OMU131181:ONF131181 OCY131181:ODJ131181 NTC131181:NTN131181 NJG131181:NJR131181 MZK131181:MZV131181 MPO131181:MPZ131181 MFS131181:MGD131181 LVW131181:LWH131181 LMA131181:LML131181 LCE131181:LCP131181 KSI131181:KST131181 KIM131181:KIX131181 JYQ131181:JZB131181 JOU131181:JPF131181 JEY131181:JFJ131181 IVC131181:IVN131181 ILG131181:ILR131181 IBK131181:IBV131181 HRO131181:HRZ131181 HHS131181:HID131181 GXW131181:GYH131181 GOA131181:GOL131181 GEE131181:GEP131181 FUI131181:FUT131181 FKM131181:FKX131181 FAQ131181:FBB131181 EQU131181:ERF131181 EGY131181:EHJ131181 DXC131181:DXN131181 DNG131181:DNR131181 DDK131181:DDV131181 CTO131181:CTZ131181 CJS131181:CKD131181 BZW131181:CAH131181 BQA131181:BQL131181 BGE131181:BGP131181 AWI131181:AWT131181 AMM131181:AMX131181 ACQ131181:ADB131181 SU131181:TF131181 IY131181:JJ131181 C131181:N131181 WVK65645:WVV65645 WLO65645:WLZ65645 WBS65645:WCD65645 VRW65645:VSH65645 VIA65645:VIL65645 UYE65645:UYP65645 UOI65645:UOT65645 UEM65645:UEX65645 TUQ65645:TVB65645 TKU65645:TLF65645 TAY65645:TBJ65645 SRC65645:SRN65645 SHG65645:SHR65645 RXK65645:RXV65645 RNO65645:RNZ65645 RDS65645:RED65645 QTW65645:QUH65645 QKA65645:QKL65645 QAE65645:QAP65645 PQI65645:PQT65645 PGM65645:PGX65645 OWQ65645:OXB65645 OMU65645:ONF65645 OCY65645:ODJ65645 NTC65645:NTN65645 NJG65645:NJR65645 MZK65645:MZV65645 MPO65645:MPZ65645 MFS65645:MGD65645 LVW65645:LWH65645 LMA65645:LML65645 LCE65645:LCP65645 KSI65645:KST65645 KIM65645:KIX65645 JYQ65645:JZB65645 JOU65645:JPF65645 JEY65645:JFJ65645 IVC65645:IVN65645 ILG65645:ILR65645 IBK65645:IBV65645 HRO65645:HRZ65645 HHS65645:HID65645 GXW65645:GYH65645 GOA65645:GOL65645 GEE65645:GEP65645 FUI65645:FUT65645 FKM65645:FKX65645 FAQ65645:FBB65645 EQU65645:ERF65645 EGY65645:EHJ65645 DXC65645:DXN65645 DNG65645:DNR65645 DDK65645:DDV65645 CTO65645:CTZ65645 CJS65645:CKD65645 BZW65645:CAH65645 BQA65645:BQL65645 BGE65645:BGP65645 AWI65645:AWT65645 AMM65645:AMX65645 ACQ65645:ADB65645 SU65645:TF65645 IY65645:JJ65645 C65645:N65645 WVK191:WVV191 WLO191:WLZ191 WBS191:WCD191 VRW191:VSH191 VIA191:VIL191 UYE191:UYP191 UOI191:UOT191 UEM191:UEX191 TUQ191:TVB191 TKU191:TLF191 TAY191:TBJ191 SRC191:SRN191 SHG191:SHR191 RXK191:RXV191 RNO191:RNZ191 RDS191:RED191 QTW191:QUH191 QKA191:QKL191 QAE191:QAP191 PQI191:PQT191 PGM191:PGX191 OWQ191:OXB191 OMU191:ONF191 OCY191:ODJ191 NTC191:NTN191 NJG191:NJR191 MZK191:MZV191 MPO191:MPZ191 MFS191:MGD191 LVW191:LWH191 LMA191:LML191 LCE191:LCP191 KSI191:KST191 KIM191:KIX191 JYQ191:JZB191 JOU191:JPF191 JEY191:JFJ191 IVC191:IVN191 ILG191:ILR191 IBK191:IBV191 HRO191:HRZ191 HHS191:HID191 GXW191:GYH191 GOA191:GOL191 GEE191:GEP191 FUI191:FUT191 FKM191:FKX191 FAQ191:FBB191 EQU191:ERF191 EGY191:EHJ191 DXC191:DXN191 DNG191:DNR191 DDK191:DDV191 CTO191:CTZ191 CJS191:CKD191 BZW191:CAH191 BQA191:BQL191 BGE191:BGP191 AWI191:AWT191 AMM191:AMX191 ACQ191:ADB191 SU191:TF191 IY191:JJ191 AMM206:AMX206 WVK983134:WVV983134 WLO983134:WLZ983134 WBS983134:WCD983134 VRW983134:VSH983134 VIA983134:VIL983134 UYE983134:UYP983134 UOI983134:UOT983134 UEM983134:UEX983134 TUQ983134:TVB983134 TKU983134:TLF983134 TAY983134:TBJ983134 SRC983134:SRN983134 SHG983134:SHR983134 RXK983134:RXV983134 RNO983134:RNZ983134 RDS983134:RED983134 QTW983134:QUH983134 QKA983134:QKL983134 QAE983134:QAP983134 PQI983134:PQT983134 PGM983134:PGX983134 OWQ983134:OXB983134 OMU983134:ONF983134 OCY983134:ODJ983134 NTC983134:NTN983134 NJG983134:NJR983134 MZK983134:MZV983134 MPO983134:MPZ983134 MFS983134:MGD983134 LVW983134:LWH983134 LMA983134:LML983134 LCE983134:LCP983134 KSI983134:KST983134 KIM983134:KIX983134 JYQ983134:JZB983134 JOU983134:JPF983134 JEY983134:JFJ983134 IVC983134:IVN983134 ILG983134:ILR983134 IBK983134:IBV983134 HRO983134:HRZ983134 HHS983134:HID983134 GXW983134:GYH983134 GOA983134:GOL983134 GEE983134:GEP983134 FUI983134:FUT983134 FKM983134:FKX983134 FAQ983134:FBB983134 EQU983134:ERF983134 EGY983134:EHJ983134 DXC983134:DXN983134 DNG983134:DNR983134 DDK983134:DDV983134 CTO983134:CTZ983134 CJS983134:CKD983134 BZW983134:CAH983134 BQA983134:BQL983134 BGE983134:BGP983134 AWI983134:AWT983134 AMM983134:AMX983134 ACQ983134:ADB983134 SU983134:TF983134 IY983134:JJ983134 C983134:N983134 WVK917598:WVV917598 WLO917598:WLZ917598 WBS917598:WCD917598 VRW917598:VSH917598 VIA917598:VIL917598 UYE917598:UYP917598 UOI917598:UOT917598 UEM917598:UEX917598 TUQ917598:TVB917598 TKU917598:TLF917598 TAY917598:TBJ917598 SRC917598:SRN917598 SHG917598:SHR917598 RXK917598:RXV917598 RNO917598:RNZ917598 RDS917598:RED917598 QTW917598:QUH917598 QKA917598:QKL917598 QAE917598:QAP917598 PQI917598:PQT917598 PGM917598:PGX917598 OWQ917598:OXB917598 OMU917598:ONF917598 OCY917598:ODJ917598 NTC917598:NTN917598 NJG917598:NJR917598 MZK917598:MZV917598 MPO917598:MPZ917598 MFS917598:MGD917598 LVW917598:LWH917598 LMA917598:LML917598 LCE917598:LCP917598 KSI917598:KST917598 KIM917598:KIX917598 JYQ917598:JZB917598 JOU917598:JPF917598 JEY917598:JFJ917598 IVC917598:IVN917598 ILG917598:ILR917598 IBK917598:IBV917598 HRO917598:HRZ917598 HHS917598:HID917598 GXW917598:GYH917598 GOA917598:GOL917598 GEE917598:GEP917598 FUI917598:FUT917598 FKM917598:FKX917598 FAQ917598:FBB917598 EQU917598:ERF917598 EGY917598:EHJ917598 DXC917598:DXN917598 DNG917598:DNR917598 DDK917598:DDV917598 CTO917598:CTZ917598 CJS917598:CKD917598 BZW917598:CAH917598 BQA917598:BQL917598 BGE917598:BGP917598 AWI917598:AWT917598 AMM917598:AMX917598 ACQ917598:ADB917598 SU917598:TF917598 IY917598:JJ917598 C917598:N917598 WVK852062:WVV852062 WLO852062:WLZ852062 WBS852062:WCD852062 VRW852062:VSH852062 VIA852062:VIL852062 UYE852062:UYP852062 UOI852062:UOT852062 UEM852062:UEX852062 TUQ852062:TVB852062 TKU852062:TLF852062 TAY852062:TBJ852062 SRC852062:SRN852062 SHG852062:SHR852062 RXK852062:RXV852062 RNO852062:RNZ852062 RDS852062:RED852062 QTW852062:QUH852062 QKA852062:QKL852062 QAE852062:QAP852062 PQI852062:PQT852062 PGM852062:PGX852062 OWQ852062:OXB852062 OMU852062:ONF852062 OCY852062:ODJ852062 NTC852062:NTN852062 NJG852062:NJR852062 MZK852062:MZV852062 MPO852062:MPZ852062 MFS852062:MGD852062 LVW852062:LWH852062 LMA852062:LML852062 LCE852062:LCP852062 KSI852062:KST852062 KIM852062:KIX852062 JYQ852062:JZB852062 JOU852062:JPF852062 JEY852062:JFJ852062 IVC852062:IVN852062 ILG852062:ILR852062 IBK852062:IBV852062 HRO852062:HRZ852062 HHS852062:HID852062 GXW852062:GYH852062 GOA852062:GOL852062 GEE852062:GEP852062 FUI852062:FUT852062 FKM852062:FKX852062 FAQ852062:FBB852062 EQU852062:ERF852062 EGY852062:EHJ852062 DXC852062:DXN852062 DNG852062:DNR852062 DDK852062:DDV852062 CTO852062:CTZ852062 CJS852062:CKD852062 BZW852062:CAH852062 BQA852062:BQL852062 BGE852062:BGP852062 AWI852062:AWT852062 AMM852062:AMX852062 ACQ852062:ADB852062 SU852062:TF852062 IY852062:JJ852062 C852062:N852062 WVK786526:WVV786526 WLO786526:WLZ786526 WBS786526:WCD786526 VRW786526:VSH786526 VIA786526:VIL786526 UYE786526:UYP786526 UOI786526:UOT786526 UEM786526:UEX786526 TUQ786526:TVB786526 TKU786526:TLF786526 TAY786526:TBJ786526 SRC786526:SRN786526 SHG786526:SHR786526 RXK786526:RXV786526 RNO786526:RNZ786526 RDS786526:RED786526 QTW786526:QUH786526 QKA786526:QKL786526 QAE786526:QAP786526 PQI786526:PQT786526 PGM786526:PGX786526 OWQ786526:OXB786526 OMU786526:ONF786526 OCY786526:ODJ786526 NTC786526:NTN786526 NJG786526:NJR786526 MZK786526:MZV786526 MPO786526:MPZ786526 MFS786526:MGD786526 LVW786526:LWH786526 LMA786526:LML786526 LCE786526:LCP786526 KSI786526:KST786526 KIM786526:KIX786526 JYQ786526:JZB786526 JOU786526:JPF786526 JEY786526:JFJ786526 IVC786526:IVN786526 ILG786526:ILR786526 IBK786526:IBV786526 HRO786526:HRZ786526 HHS786526:HID786526 GXW786526:GYH786526 GOA786526:GOL786526 GEE786526:GEP786526 FUI786526:FUT786526 FKM786526:FKX786526 FAQ786526:FBB786526 EQU786526:ERF786526 EGY786526:EHJ786526 DXC786526:DXN786526 DNG786526:DNR786526 DDK786526:DDV786526 CTO786526:CTZ786526 CJS786526:CKD786526 BZW786526:CAH786526 BQA786526:BQL786526 BGE786526:BGP786526 AWI786526:AWT786526 AMM786526:AMX786526 ACQ786526:ADB786526 SU786526:TF786526 IY786526:JJ786526 C786526:N786526 WVK720990:WVV720990 WLO720990:WLZ720990 WBS720990:WCD720990 VRW720990:VSH720990 VIA720990:VIL720990 UYE720990:UYP720990 UOI720990:UOT720990 UEM720990:UEX720990 TUQ720990:TVB720990 TKU720990:TLF720990 TAY720990:TBJ720990 SRC720990:SRN720990 SHG720990:SHR720990 RXK720990:RXV720990 RNO720990:RNZ720990 RDS720990:RED720990 QTW720990:QUH720990 QKA720990:QKL720990 QAE720990:QAP720990 PQI720990:PQT720990 PGM720990:PGX720990 OWQ720990:OXB720990 OMU720990:ONF720990 OCY720990:ODJ720990 NTC720990:NTN720990 NJG720990:NJR720990 MZK720990:MZV720990 MPO720990:MPZ720990 MFS720990:MGD720990 LVW720990:LWH720990 LMA720990:LML720990 LCE720990:LCP720990 KSI720990:KST720990 KIM720990:KIX720990 JYQ720990:JZB720990 JOU720990:JPF720990 JEY720990:JFJ720990 IVC720990:IVN720990 ILG720990:ILR720990 IBK720990:IBV720990 HRO720990:HRZ720990 HHS720990:HID720990 GXW720990:GYH720990 GOA720990:GOL720990 GEE720990:GEP720990 FUI720990:FUT720990 FKM720990:FKX720990 FAQ720990:FBB720990 EQU720990:ERF720990 EGY720990:EHJ720990 DXC720990:DXN720990 DNG720990:DNR720990 DDK720990:DDV720990 CTO720990:CTZ720990 CJS720990:CKD720990 BZW720990:CAH720990 BQA720990:BQL720990 BGE720990:BGP720990 AWI720990:AWT720990 AMM720990:AMX720990 ACQ720990:ADB720990 SU720990:TF720990 IY720990:JJ720990 C720990:N720990 WVK655454:WVV655454 WLO655454:WLZ655454 WBS655454:WCD655454 VRW655454:VSH655454 VIA655454:VIL655454 UYE655454:UYP655454 UOI655454:UOT655454 UEM655454:UEX655454 TUQ655454:TVB655454 TKU655454:TLF655454 TAY655454:TBJ655454 SRC655454:SRN655454 SHG655454:SHR655454 RXK655454:RXV655454 RNO655454:RNZ655454 RDS655454:RED655454 QTW655454:QUH655454 QKA655454:QKL655454 QAE655454:QAP655454 PQI655454:PQT655454 PGM655454:PGX655454 OWQ655454:OXB655454 OMU655454:ONF655454 OCY655454:ODJ655454 NTC655454:NTN655454 NJG655454:NJR655454 MZK655454:MZV655454 MPO655454:MPZ655454 MFS655454:MGD655454 LVW655454:LWH655454 LMA655454:LML655454 LCE655454:LCP655454 KSI655454:KST655454 KIM655454:KIX655454 JYQ655454:JZB655454 JOU655454:JPF655454 JEY655454:JFJ655454 IVC655454:IVN655454 ILG655454:ILR655454 IBK655454:IBV655454 HRO655454:HRZ655454 HHS655454:HID655454 GXW655454:GYH655454 GOA655454:GOL655454 GEE655454:GEP655454 FUI655454:FUT655454 FKM655454:FKX655454 FAQ655454:FBB655454 EQU655454:ERF655454 EGY655454:EHJ655454 DXC655454:DXN655454 DNG655454:DNR655454 DDK655454:DDV655454 CTO655454:CTZ655454 CJS655454:CKD655454 BZW655454:CAH655454 BQA655454:BQL655454 BGE655454:BGP655454 AWI655454:AWT655454 AMM655454:AMX655454 ACQ655454:ADB655454 SU655454:TF655454 IY655454:JJ655454 C655454:N655454 WVK589918:WVV589918 WLO589918:WLZ589918 WBS589918:WCD589918 VRW589918:VSH589918 VIA589918:VIL589918 UYE589918:UYP589918 UOI589918:UOT589918 UEM589918:UEX589918 TUQ589918:TVB589918 TKU589918:TLF589918 TAY589918:TBJ589918 SRC589918:SRN589918 SHG589918:SHR589918 RXK589918:RXV589918 RNO589918:RNZ589918 RDS589918:RED589918 QTW589918:QUH589918 QKA589918:QKL589918 QAE589918:QAP589918 PQI589918:PQT589918 PGM589918:PGX589918 OWQ589918:OXB589918 OMU589918:ONF589918 OCY589918:ODJ589918 NTC589918:NTN589918 NJG589918:NJR589918 MZK589918:MZV589918 MPO589918:MPZ589918 MFS589918:MGD589918 LVW589918:LWH589918 LMA589918:LML589918 LCE589918:LCP589918 KSI589918:KST589918 KIM589918:KIX589918 JYQ589918:JZB589918 JOU589918:JPF589918 JEY589918:JFJ589918 IVC589918:IVN589918 ILG589918:ILR589918 IBK589918:IBV589918 HRO589918:HRZ589918 HHS589918:HID589918 GXW589918:GYH589918 GOA589918:GOL589918 GEE589918:GEP589918 FUI589918:FUT589918 FKM589918:FKX589918 FAQ589918:FBB589918 EQU589918:ERF589918 EGY589918:EHJ589918 DXC589918:DXN589918 DNG589918:DNR589918 DDK589918:DDV589918 CTO589918:CTZ589918 CJS589918:CKD589918 BZW589918:CAH589918 BQA589918:BQL589918 BGE589918:BGP589918 AWI589918:AWT589918 AMM589918:AMX589918 ACQ589918:ADB589918 SU589918:TF589918 IY589918:JJ589918 C589918:N589918 WVK524382:WVV524382 WLO524382:WLZ524382 WBS524382:WCD524382 VRW524382:VSH524382 VIA524382:VIL524382 UYE524382:UYP524382 UOI524382:UOT524382 UEM524382:UEX524382 TUQ524382:TVB524382 TKU524382:TLF524382 TAY524382:TBJ524382 SRC524382:SRN524382 SHG524382:SHR524382 RXK524382:RXV524382 RNO524382:RNZ524382 RDS524382:RED524382 QTW524382:QUH524382 QKA524382:QKL524382 QAE524382:QAP524382 PQI524382:PQT524382 PGM524382:PGX524382 OWQ524382:OXB524382 OMU524382:ONF524382 OCY524382:ODJ524382 NTC524382:NTN524382 NJG524382:NJR524382 MZK524382:MZV524382 MPO524382:MPZ524382 MFS524382:MGD524382 LVW524382:LWH524382 LMA524382:LML524382 LCE524382:LCP524382 KSI524382:KST524382 KIM524382:KIX524382 JYQ524382:JZB524382 JOU524382:JPF524382 JEY524382:JFJ524382 IVC524382:IVN524382 ILG524382:ILR524382 IBK524382:IBV524382 HRO524382:HRZ524382 HHS524382:HID524382 GXW524382:GYH524382 GOA524382:GOL524382 GEE524382:GEP524382 FUI524382:FUT524382 FKM524382:FKX524382 FAQ524382:FBB524382 EQU524382:ERF524382 EGY524382:EHJ524382 DXC524382:DXN524382 DNG524382:DNR524382 DDK524382:DDV524382 CTO524382:CTZ524382 CJS524382:CKD524382 BZW524382:CAH524382 BQA524382:BQL524382 BGE524382:BGP524382 AWI524382:AWT524382 AMM524382:AMX524382 ACQ524382:ADB524382 SU524382:TF524382 IY524382:JJ524382 C524382:N524382 WVK458846:WVV458846 WLO458846:WLZ458846 WBS458846:WCD458846 VRW458846:VSH458846 VIA458846:VIL458846 UYE458846:UYP458846 UOI458846:UOT458846 UEM458846:UEX458846 TUQ458846:TVB458846 TKU458846:TLF458846 TAY458846:TBJ458846 SRC458846:SRN458846 SHG458846:SHR458846 RXK458846:RXV458846 RNO458846:RNZ458846 RDS458846:RED458846 QTW458846:QUH458846 QKA458846:QKL458846 QAE458846:QAP458846 PQI458846:PQT458846 PGM458846:PGX458846 OWQ458846:OXB458846 OMU458846:ONF458846 OCY458846:ODJ458846 NTC458846:NTN458846 NJG458846:NJR458846 MZK458846:MZV458846 MPO458846:MPZ458846 MFS458846:MGD458846 LVW458846:LWH458846 LMA458846:LML458846 LCE458846:LCP458846 KSI458846:KST458846 KIM458846:KIX458846 JYQ458846:JZB458846 JOU458846:JPF458846 JEY458846:JFJ458846 IVC458846:IVN458846 ILG458846:ILR458846 IBK458846:IBV458846 HRO458846:HRZ458846 HHS458846:HID458846 GXW458846:GYH458846 GOA458846:GOL458846 GEE458846:GEP458846 FUI458846:FUT458846 FKM458846:FKX458846 FAQ458846:FBB458846 EQU458846:ERF458846 EGY458846:EHJ458846 DXC458846:DXN458846 DNG458846:DNR458846 DDK458846:DDV458846 CTO458846:CTZ458846 CJS458846:CKD458846 BZW458846:CAH458846 BQA458846:BQL458846 BGE458846:BGP458846 AWI458846:AWT458846 AMM458846:AMX458846 ACQ458846:ADB458846 SU458846:TF458846 IY458846:JJ458846 C458846:N458846 WVK393310:WVV393310 WLO393310:WLZ393310 WBS393310:WCD393310 VRW393310:VSH393310 VIA393310:VIL393310 UYE393310:UYP393310 UOI393310:UOT393310 UEM393310:UEX393310 TUQ393310:TVB393310 TKU393310:TLF393310 TAY393310:TBJ393310 SRC393310:SRN393310 SHG393310:SHR393310 RXK393310:RXV393310 RNO393310:RNZ393310 RDS393310:RED393310 QTW393310:QUH393310 QKA393310:QKL393310 QAE393310:QAP393310 PQI393310:PQT393310 PGM393310:PGX393310 OWQ393310:OXB393310 OMU393310:ONF393310 OCY393310:ODJ393310 NTC393310:NTN393310 NJG393310:NJR393310 MZK393310:MZV393310 MPO393310:MPZ393310 MFS393310:MGD393310 LVW393310:LWH393310 LMA393310:LML393310 LCE393310:LCP393310 KSI393310:KST393310 KIM393310:KIX393310 JYQ393310:JZB393310 JOU393310:JPF393310 JEY393310:JFJ393310 IVC393310:IVN393310 ILG393310:ILR393310 IBK393310:IBV393310 HRO393310:HRZ393310 HHS393310:HID393310 GXW393310:GYH393310 GOA393310:GOL393310 GEE393310:GEP393310 FUI393310:FUT393310 FKM393310:FKX393310 FAQ393310:FBB393310 EQU393310:ERF393310 EGY393310:EHJ393310 DXC393310:DXN393310 DNG393310:DNR393310 DDK393310:DDV393310 CTO393310:CTZ393310 CJS393310:CKD393310 BZW393310:CAH393310 BQA393310:BQL393310 BGE393310:BGP393310 AWI393310:AWT393310 AMM393310:AMX393310 ACQ393310:ADB393310 SU393310:TF393310 IY393310:JJ393310 C393310:N393310 WVK327774:WVV327774 WLO327774:WLZ327774 WBS327774:WCD327774 VRW327774:VSH327774 VIA327774:VIL327774 UYE327774:UYP327774 UOI327774:UOT327774 UEM327774:UEX327774 TUQ327774:TVB327774 TKU327774:TLF327774 TAY327774:TBJ327774 SRC327774:SRN327774 SHG327774:SHR327774 RXK327774:RXV327774 RNO327774:RNZ327774 RDS327774:RED327774 QTW327774:QUH327774 QKA327774:QKL327774 QAE327774:QAP327774 PQI327774:PQT327774 PGM327774:PGX327774 OWQ327774:OXB327774 OMU327774:ONF327774 OCY327774:ODJ327774 NTC327774:NTN327774 NJG327774:NJR327774 MZK327774:MZV327774 MPO327774:MPZ327774 MFS327774:MGD327774 LVW327774:LWH327774 LMA327774:LML327774 LCE327774:LCP327774 KSI327774:KST327774 KIM327774:KIX327774 JYQ327774:JZB327774 JOU327774:JPF327774 JEY327774:JFJ327774 IVC327774:IVN327774 ILG327774:ILR327774 IBK327774:IBV327774 HRO327774:HRZ327774 HHS327774:HID327774 GXW327774:GYH327774 GOA327774:GOL327774 GEE327774:GEP327774 FUI327774:FUT327774 FKM327774:FKX327774 FAQ327774:FBB327774 EQU327774:ERF327774 EGY327774:EHJ327774 DXC327774:DXN327774 DNG327774:DNR327774 DDK327774:DDV327774 CTO327774:CTZ327774 CJS327774:CKD327774 BZW327774:CAH327774 BQA327774:BQL327774 BGE327774:BGP327774 AWI327774:AWT327774 AMM327774:AMX327774 ACQ327774:ADB327774 SU327774:TF327774 IY327774:JJ327774 C327774:N327774 WVK262238:WVV262238 WLO262238:WLZ262238 WBS262238:WCD262238 VRW262238:VSH262238 VIA262238:VIL262238 UYE262238:UYP262238 UOI262238:UOT262238 UEM262238:UEX262238 TUQ262238:TVB262238 TKU262238:TLF262238 TAY262238:TBJ262238 SRC262238:SRN262238 SHG262238:SHR262238 RXK262238:RXV262238 RNO262238:RNZ262238 RDS262238:RED262238 QTW262238:QUH262238 QKA262238:QKL262238 QAE262238:QAP262238 PQI262238:PQT262238 PGM262238:PGX262238 OWQ262238:OXB262238 OMU262238:ONF262238 OCY262238:ODJ262238 NTC262238:NTN262238 NJG262238:NJR262238 MZK262238:MZV262238 MPO262238:MPZ262238 MFS262238:MGD262238 LVW262238:LWH262238 LMA262238:LML262238 LCE262238:LCP262238 KSI262238:KST262238 KIM262238:KIX262238 JYQ262238:JZB262238 JOU262238:JPF262238 JEY262238:JFJ262238 IVC262238:IVN262238 ILG262238:ILR262238 IBK262238:IBV262238 HRO262238:HRZ262238 HHS262238:HID262238 GXW262238:GYH262238 GOA262238:GOL262238 GEE262238:GEP262238 FUI262238:FUT262238 FKM262238:FKX262238 FAQ262238:FBB262238 EQU262238:ERF262238 EGY262238:EHJ262238 DXC262238:DXN262238 DNG262238:DNR262238 DDK262238:DDV262238 CTO262238:CTZ262238 CJS262238:CKD262238 BZW262238:CAH262238 BQA262238:BQL262238 BGE262238:BGP262238 AWI262238:AWT262238 AMM262238:AMX262238 ACQ262238:ADB262238 SU262238:TF262238 IY262238:JJ262238 C262238:N262238 WVK196702:WVV196702 WLO196702:WLZ196702 WBS196702:WCD196702 VRW196702:VSH196702 VIA196702:VIL196702 UYE196702:UYP196702 UOI196702:UOT196702 UEM196702:UEX196702 TUQ196702:TVB196702 TKU196702:TLF196702 TAY196702:TBJ196702 SRC196702:SRN196702 SHG196702:SHR196702 RXK196702:RXV196702 RNO196702:RNZ196702 RDS196702:RED196702 QTW196702:QUH196702 QKA196702:QKL196702 QAE196702:QAP196702 PQI196702:PQT196702 PGM196702:PGX196702 OWQ196702:OXB196702 OMU196702:ONF196702 OCY196702:ODJ196702 NTC196702:NTN196702 NJG196702:NJR196702 MZK196702:MZV196702 MPO196702:MPZ196702 MFS196702:MGD196702 LVW196702:LWH196702 LMA196702:LML196702 LCE196702:LCP196702 KSI196702:KST196702 KIM196702:KIX196702 JYQ196702:JZB196702 JOU196702:JPF196702 JEY196702:JFJ196702 IVC196702:IVN196702 ILG196702:ILR196702 IBK196702:IBV196702 HRO196702:HRZ196702 HHS196702:HID196702 GXW196702:GYH196702 GOA196702:GOL196702 GEE196702:GEP196702 FUI196702:FUT196702 FKM196702:FKX196702 FAQ196702:FBB196702 EQU196702:ERF196702 EGY196702:EHJ196702 DXC196702:DXN196702 DNG196702:DNR196702 DDK196702:DDV196702 CTO196702:CTZ196702 CJS196702:CKD196702 BZW196702:CAH196702 BQA196702:BQL196702 BGE196702:BGP196702 AWI196702:AWT196702 AMM196702:AMX196702 ACQ196702:ADB196702 SU196702:TF196702 IY196702:JJ196702 C196702:N196702 WVK131166:WVV131166 WLO131166:WLZ131166 WBS131166:WCD131166 VRW131166:VSH131166 VIA131166:VIL131166 UYE131166:UYP131166 UOI131166:UOT131166 UEM131166:UEX131166 TUQ131166:TVB131166 TKU131166:TLF131166 TAY131166:TBJ131166 SRC131166:SRN131166 SHG131166:SHR131166 RXK131166:RXV131166 RNO131166:RNZ131166 RDS131166:RED131166 QTW131166:QUH131166 QKA131166:QKL131166 QAE131166:QAP131166 PQI131166:PQT131166 PGM131166:PGX131166 OWQ131166:OXB131166 OMU131166:ONF131166 OCY131166:ODJ131166 NTC131166:NTN131166 NJG131166:NJR131166 MZK131166:MZV131166 MPO131166:MPZ131166 MFS131166:MGD131166 LVW131166:LWH131166 LMA131166:LML131166 LCE131166:LCP131166 KSI131166:KST131166 KIM131166:KIX131166 JYQ131166:JZB131166 JOU131166:JPF131166 JEY131166:JFJ131166 IVC131166:IVN131166 ILG131166:ILR131166 IBK131166:IBV131166 HRO131166:HRZ131166 HHS131166:HID131166 GXW131166:GYH131166 GOA131166:GOL131166 GEE131166:GEP131166 FUI131166:FUT131166 FKM131166:FKX131166 FAQ131166:FBB131166 EQU131166:ERF131166 EGY131166:EHJ131166 DXC131166:DXN131166 DNG131166:DNR131166 DDK131166:DDV131166 CTO131166:CTZ131166 CJS131166:CKD131166 BZW131166:CAH131166 BQA131166:BQL131166 BGE131166:BGP131166 AWI131166:AWT131166 AMM131166:AMX131166 ACQ131166:ADB131166 SU131166:TF131166 IY131166:JJ131166 C131166:N131166 WVK65630:WVV65630 WLO65630:WLZ65630 WBS65630:WCD65630 VRW65630:VSH65630 VIA65630:VIL65630 UYE65630:UYP65630 UOI65630:UOT65630 UEM65630:UEX65630 TUQ65630:TVB65630 TKU65630:TLF65630 TAY65630:TBJ65630 SRC65630:SRN65630 SHG65630:SHR65630 RXK65630:RXV65630 RNO65630:RNZ65630 RDS65630:RED65630 QTW65630:QUH65630 QKA65630:QKL65630 QAE65630:QAP65630 PQI65630:PQT65630 PGM65630:PGX65630 OWQ65630:OXB65630 OMU65630:ONF65630 OCY65630:ODJ65630 NTC65630:NTN65630 NJG65630:NJR65630 MZK65630:MZV65630 MPO65630:MPZ65630 MFS65630:MGD65630 LVW65630:LWH65630 LMA65630:LML65630 LCE65630:LCP65630 KSI65630:KST65630 KIM65630:KIX65630 JYQ65630:JZB65630 JOU65630:JPF65630 JEY65630:JFJ65630 IVC65630:IVN65630 ILG65630:ILR65630 IBK65630:IBV65630 HRO65630:HRZ65630 HHS65630:HID65630 GXW65630:GYH65630 GOA65630:GOL65630 GEE65630:GEP65630 FUI65630:FUT65630 FKM65630:FKX65630 FAQ65630:FBB65630 EQU65630:ERF65630 EGY65630:EHJ65630 DXC65630:DXN65630 DNG65630:DNR65630 DDK65630:DDV65630 CTO65630:CTZ65630 CJS65630:CKD65630 BZW65630:CAH65630 BQA65630:BQL65630 BGE65630:BGP65630 AWI65630:AWT65630 AMM65630:AMX65630 ACQ65630:ADB65630 SU65630:TF65630 IY65630:JJ65630 C65630:N65630 WVK176:WVV176 WLO176:WLZ176 WBS176:WCD176 VRW176:VSH176 VIA176:VIL176 UYE176:UYP176 UOI176:UOT176 UEM176:UEX176 TUQ176:TVB176 TKU176:TLF176 TAY176:TBJ176 SRC176:SRN176 SHG176:SHR176 RXK176:RXV176 RNO176:RNZ176 RDS176:RED176 QTW176:QUH176 QKA176:QKL176 QAE176:QAP176 PQI176:PQT176 PGM176:PGX176 OWQ176:OXB176 OMU176:ONF176 OCY176:ODJ176 NTC176:NTN176 NJG176:NJR176 MZK176:MZV176 MPO176:MPZ176 MFS176:MGD176 LVW176:LWH176 LMA176:LML176 LCE176:LCP176 KSI176:KST176 KIM176:KIX176 JYQ176:JZB176 JOU176:JPF176 JEY176:JFJ176 IVC176:IVN176 ILG176:ILR176 IBK176:IBV176 HRO176:HRZ176 HHS176:HID176 GXW176:GYH176 GOA176:GOL176 GEE176:GEP176 FUI176:FUT176 FKM176:FKX176 FAQ176:FBB176 EQU176:ERF176 EGY176:EHJ176 DXC176:DXN176 DNG176:DNR176 DDK176:DDV176 CTO176:CTZ176 CJS176:CKD176 BZW176:CAH176 BQA176:BQL176 BGE176:BGP176 AWI176:AWT176 AMM176:AMX176 ACQ176:ADB176 SU176:TF176 IY176:JJ176 ACQ206:ADB206 WVK983119:WVV983119 WLO983119:WLZ983119 WBS983119:WCD983119 VRW983119:VSH983119 VIA983119:VIL983119 UYE983119:UYP983119 UOI983119:UOT983119 UEM983119:UEX983119 TUQ983119:TVB983119 TKU983119:TLF983119 TAY983119:TBJ983119 SRC983119:SRN983119 SHG983119:SHR983119 RXK983119:RXV983119 RNO983119:RNZ983119 RDS983119:RED983119 QTW983119:QUH983119 QKA983119:QKL983119 QAE983119:QAP983119 PQI983119:PQT983119 PGM983119:PGX983119 OWQ983119:OXB983119 OMU983119:ONF983119 OCY983119:ODJ983119 NTC983119:NTN983119 NJG983119:NJR983119 MZK983119:MZV983119 MPO983119:MPZ983119 MFS983119:MGD983119 LVW983119:LWH983119 LMA983119:LML983119 LCE983119:LCP983119 KSI983119:KST983119 KIM983119:KIX983119 JYQ983119:JZB983119 JOU983119:JPF983119 JEY983119:JFJ983119 IVC983119:IVN983119 ILG983119:ILR983119 IBK983119:IBV983119 HRO983119:HRZ983119 HHS983119:HID983119 GXW983119:GYH983119 GOA983119:GOL983119 GEE983119:GEP983119 FUI983119:FUT983119 FKM983119:FKX983119 FAQ983119:FBB983119 EQU983119:ERF983119 EGY983119:EHJ983119 DXC983119:DXN983119 DNG983119:DNR983119 DDK983119:DDV983119 CTO983119:CTZ983119 CJS983119:CKD983119 BZW983119:CAH983119 BQA983119:BQL983119 BGE983119:BGP983119 AWI983119:AWT983119 AMM983119:AMX983119 ACQ983119:ADB983119 SU983119:TF983119 IY983119:JJ983119 C983119:N983119 WVK917583:WVV917583 WLO917583:WLZ917583 WBS917583:WCD917583 VRW917583:VSH917583 VIA917583:VIL917583 UYE917583:UYP917583 UOI917583:UOT917583 UEM917583:UEX917583 TUQ917583:TVB917583 TKU917583:TLF917583 TAY917583:TBJ917583 SRC917583:SRN917583 SHG917583:SHR917583 RXK917583:RXV917583 RNO917583:RNZ917583 RDS917583:RED917583 QTW917583:QUH917583 QKA917583:QKL917583 QAE917583:QAP917583 PQI917583:PQT917583 PGM917583:PGX917583 OWQ917583:OXB917583 OMU917583:ONF917583 OCY917583:ODJ917583 NTC917583:NTN917583 NJG917583:NJR917583 MZK917583:MZV917583 MPO917583:MPZ917583 MFS917583:MGD917583 LVW917583:LWH917583 LMA917583:LML917583 LCE917583:LCP917583 KSI917583:KST917583 KIM917583:KIX917583 JYQ917583:JZB917583 JOU917583:JPF917583 JEY917583:JFJ917583 IVC917583:IVN917583 ILG917583:ILR917583 IBK917583:IBV917583 HRO917583:HRZ917583 HHS917583:HID917583 GXW917583:GYH917583 GOA917583:GOL917583 GEE917583:GEP917583 FUI917583:FUT917583 FKM917583:FKX917583 FAQ917583:FBB917583 EQU917583:ERF917583 EGY917583:EHJ917583 DXC917583:DXN917583 DNG917583:DNR917583 DDK917583:DDV917583 CTO917583:CTZ917583 CJS917583:CKD917583 BZW917583:CAH917583 BQA917583:BQL917583 BGE917583:BGP917583 AWI917583:AWT917583 AMM917583:AMX917583 ACQ917583:ADB917583 SU917583:TF917583 IY917583:JJ917583 C917583:N917583 WVK852047:WVV852047 WLO852047:WLZ852047 WBS852047:WCD852047 VRW852047:VSH852047 VIA852047:VIL852047 UYE852047:UYP852047 UOI852047:UOT852047 UEM852047:UEX852047 TUQ852047:TVB852047 TKU852047:TLF852047 TAY852047:TBJ852047 SRC852047:SRN852047 SHG852047:SHR852047 RXK852047:RXV852047 RNO852047:RNZ852047 RDS852047:RED852047 QTW852047:QUH852047 QKA852047:QKL852047 QAE852047:QAP852047 PQI852047:PQT852047 PGM852047:PGX852047 OWQ852047:OXB852047 OMU852047:ONF852047 OCY852047:ODJ852047 NTC852047:NTN852047 NJG852047:NJR852047 MZK852047:MZV852047 MPO852047:MPZ852047 MFS852047:MGD852047 LVW852047:LWH852047 LMA852047:LML852047 LCE852047:LCP852047 KSI852047:KST852047 KIM852047:KIX852047 JYQ852047:JZB852047 JOU852047:JPF852047 JEY852047:JFJ852047 IVC852047:IVN852047 ILG852047:ILR852047 IBK852047:IBV852047 HRO852047:HRZ852047 HHS852047:HID852047 GXW852047:GYH852047 GOA852047:GOL852047 GEE852047:GEP852047 FUI852047:FUT852047 FKM852047:FKX852047 FAQ852047:FBB852047 EQU852047:ERF852047 EGY852047:EHJ852047 DXC852047:DXN852047 DNG852047:DNR852047 DDK852047:DDV852047 CTO852047:CTZ852047 CJS852047:CKD852047 BZW852047:CAH852047 BQA852047:BQL852047 BGE852047:BGP852047 AWI852047:AWT852047 AMM852047:AMX852047 ACQ852047:ADB852047 SU852047:TF852047 IY852047:JJ852047 C852047:N852047 WVK786511:WVV786511 WLO786511:WLZ786511 WBS786511:WCD786511 VRW786511:VSH786511 VIA786511:VIL786511 UYE786511:UYP786511 UOI786511:UOT786511 UEM786511:UEX786511 TUQ786511:TVB786511 TKU786511:TLF786511 TAY786511:TBJ786511 SRC786511:SRN786511 SHG786511:SHR786511 RXK786511:RXV786511 RNO786511:RNZ786511 RDS786511:RED786511 QTW786511:QUH786511 QKA786511:QKL786511 QAE786511:QAP786511 PQI786511:PQT786511 PGM786511:PGX786511 OWQ786511:OXB786511 OMU786511:ONF786511 OCY786511:ODJ786511 NTC786511:NTN786511 NJG786511:NJR786511 MZK786511:MZV786511 MPO786511:MPZ786511 MFS786511:MGD786511 LVW786511:LWH786511 LMA786511:LML786511 LCE786511:LCP786511 KSI786511:KST786511 KIM786511:KIX786511 JYQ786511:JZB786511 JOU786511:JPF786511 JEY786511:JFJ786511 IVC786511:IVN786511 ILG786511:ILR786511 IBK786511:IBV786511 HRO786511:HRZ786511 HHS786511:HID786511 GXW786511:GYH786511 GOA786511:GOL786511 GEE786511:GEP786511 FUI786511:FUT786511 FKM786511:FKX786511 FAQ786511:FBB786511 EQU786511:ERF786511 EGY786511:EHJ786511 DXC786511:DXN786511 DNG786511:DNR786511 DDK786511:DDV786511 CTO786511:CTZ786511 CJS786511:CKD786511 BZW786511:CAH786511 BQA786511:BQL786511 BGE786511:BGP786511 AWI786511:AWT786511 AMM786511:AMX786511 ACQ786511:ADB786511 SU786511:TF786511 IY786511:JJ786511 C786511:N786511 WVK720975:WVV720975 WLO720975:WLZ720975 WBS720975:WCD720975 VRW720975:VSH720975 VIA720975:VIL720975 UYE720975:UYP720975 UOI720975:UOT720975 UEM720975:UEX720975 TUQ720975:TVB720975 TKU720975:TLF720975 TAY720975:TBJ720975 SRC720975:SRN720975 SHG720975:SHR720975 RXK720975:RXV720975 RNO720975:RNZ720975 RDS720975:RED720975 QTW720975:QUH720975 QKA720975:QKL720975 QAE720975:QAP720975 PQI720975:PQT720975 PGM720975:PGX720975 OWQ720975:OXB720975 OMU720975:ONF720975 OCY720975:ODJ720975 NTC720975:NTN720975 NJG720975:NJR720975 MZK720975:MZV720975 MPO720975:MPZ720975 MFS720975:MGD720975 LVW720975:LWH720975 LMA720975:LML720975 LCE720975:LCP720975 KSI720975:KST720975 KIM720975:KIX720975 JYQ720975:JZB720975 JOU720975:JPF720975 JEY720975:JFJ720975 IVC720975:IVN720975 ILG720975:ILR720975 IBK720975:IBV720975 HRO720975:HRZ720975 HHS720975:HID720975 GXW720975:GYH720975 GOA720975:GOL720975 GEE720975:GEP720975 FUI720975:FUT720975 FKM720975:FKX720975 FAQ720975:FBB720975 EQU720975:ERF720975 EGY720975:EHJ720975 DXC720975:DXN720975 DNG720975:DNR720975 DDK720975:DDV720975 CTO720975:CTZ720975 CJS720975:CKD720975 BZW720975:CAH720975 BQA720975:BQL720975 BGE720975:BGP720975 AWI720975:AWT720975 AMM720975:AMX720975 ACQ720975:ADB720975 SU720975:TF720975 IY720975:JJ720975 C720975:N720975 WVK655439:WVV655439 WLO655439:WLZ655439 WBS655439:WCD655439 VRW655439:VSH655439 VIA655439:VIL655439 UYE655439:UYP655439 UOI655439:UOT655439 UEM655439:UEX655439 TUQ655439:TVB655439 TKU655439:TLF655439 TAY655439:TBJ655439 SRC655439:SRN655439 SHG655439:SHR655439 RXK655439:RXV655439 RNO655439:RNZ655439 RDS655439:RED655439 QTW655439:QUH655439 QKA655439:QKL655439 QAE655439:QAP655439 PQI655439:PQT655439 PGM655439:PGX655439 OWQ655439:OXB655439 OMU655439:ONF655439 OCY655439:ODJ655439 NTC655439:NTN655439 NJG655439:NJR655439 MZK655439:MZV655439 MPO655439:MPZ655439 MFS655439:MGD655439 LVW655439:LWH655439 LMA655439:LML655439 LCE655439:LCP655439 KSI655439:KST655439 KIM655439:KIX655439 JYQ655439:JZB655439 JOU655439:JPF655439 JEY655439:JFJ655439 IVC655439:IVN655439 ILG655439:ILR655439 IBK655439:IBV655439 HRO655439:HRZ655439 HHS655439:HID655439 GXW655439:GYH655439 GOA655439:GOL655439 GEE655439:GEP655439 FUI655439:FUT655439 FKM655439:FKX655439 FAQ655439:FBB655439 EQU655439:ERF655439 EGY655439:EHJ655439 DXC655439:DXN655439 DNG655439:DNR655439 DDK655439:DDV655439 CTO655439:CTZ655439 CJS655439:CKD655439 BZW655439:CAH655439 BQA655439:BQL655439 BGE655439:BGP655439 AWI655439:AWT655439 AMM655439:AMX655439 ACQ655439:ADB655439 SU655439:TF655439 IY655439:JJ655439 C655439:N655439 WVK589903:WVV589903 WLO589903:WLZ589903 WBS589903:WCD589903 VRW589903:VSH589903 VIA589903:VIL589903 UYE589903:UYP589903 UOI589903:UOT589903 UEM589903:UEX589903 TUQ589903:TVB589903 TKU589903:TLF589903 TAY589903:TBJ589903 SRC589903:SRN589903 SHG589903:SHR589903 RXK589903:RXV589903 RNO589903:RNZ589903 RDS589903:RED589903 QTW589903:QUH589903 QKA589903:QKL589903 QAE589903:QAP589903 PQI589903:PQT589903 PGM589903:PGX589903 OWQ589903:OXB589903 OMU589903:ONF589903 OCY589903:ODJ589903 NTC589903:NTN589903 NJG589903:NJR589903 MZK589903:MZV589903 MPO589903:MPZ589903 MFS589903:MGD589903 LVW589903:LWH589903 LMA589903:LML589903 LCE589903:LCP589903 KSI589903:KST589903 KIM589903:KIX589903 JYQ589903:JZB589903 JOU589903:JPF589903 JEY589903:JFJ589903 IVC589903:IVN589903 ILG589903:ILR589903 IBK589903:IBV589903 HRO589903:HRZ589903 HHS589903:HID589903 GXW589903:GYH589903 GOA589903:GOL589903 GEE589903:GEP589903 FUI589903:FUT589903 FKM589903:FKX589903 FAQ589903:FBB589903 EQU589903:ERF589903 EGY589903:EHJ589903 DXC589903:DXN589903 DNG589903:DNR589903 DDK589903:DDV589903 CTO589903:CTZ589903 CJS589903:CKD589903 BZW589903:CAH589903 BQA589903:BQL589903 BGE589903:BGP589903 AWI589903:AWT589903 AMM589903:AMX589903 ACQ589903:ADB589903 SU589903:TF589903 IY589903:JJ589903 C589903:N589903 WVK524367:WVV524367 WLO524367:WLZ524367 WBS524367:WCD524367 VRW524367:VSH524367 VIA524367:VIL524367 UYE524367:UYP524367 UOI524367:UOT524367 UEM524367:UEX524367 TUQ524367:TVB524367 TKU524367:TLF524367 TAY524367:TBJ524367 SRC524367:SRN524367 SHG524367:SHR524367 RXK524367:RXV524367 RNO524367:RNZ524367 RDS524367:RED524367 QTW524367:QUH524367 QKA524367:QKL524367 QAE524367:QAP524367 PQI524367:PQT524367 PGM524367:PGX524367 OWQ524367:OXB524367 OMU524367:ONF524367 OCY524367:ODJ524367 NTC524367:NTN524367 NJG524367:NJR524367 MZK524367:MZV524367 MPO524367:MPZ524367 MFS524367:MGD524367 LVW524367:LWH524367 LMA524367:LML524367 LCE524367:LCP524367 KSI524367:KST524367 KIM524367:KIX524367 JYQ524367:JZB524367 JOU524367:JPF524367 JEY524367:JFJ524367 IVC524367:IVN524367 ILG524367:ILR524367 IBK524367:IBV524367 HRO524367:HRZ524367 HHS524367:HID524367 GXW524367:GYH524367 GOA524367:GOL524367 GEE524367:GEP524367 FUI524367:FUT524367 FKM524367:FKX524367 FAQ524367:FBB524367 EQU524367:ERF524367 EGY524367:EHJ524367 DXC524367:DXN524367 DNG524367:DNR524367 DDK524367:DDV524367 CTO524367:CTZ524367 CJS524367:CKD524367 BZW524367:CAH524367 BQA524367:BQL524367 BGE524367:BGP524367 AWI524367:AWT524367 AMM524367:AMX524367 ACQ524367:ADB524367 SU524367:TF524367 IY524367:JJ524367 C524367:N524367 WVK458831:WVV458831 WLO458831:WLZ458831 WBS458831:WCD458831 VRW458831:VSH458831 VIA458831:VIL458831 UYE458831:UYP458831 UOI458831:UOT458831 UEM458831:UEX458831 TUQ458831:TVB458831 TKU458831:TLF458831 TAY458831:TBJ458831 SRC458831:SRN458831 SHG458831:SHR458831 RXK458831:RXV458831 RNO458831:RNZ458831 RDS458831:RED458831 QTW458831:QUH458831 QKA458831:QKL458831 QAE458831:QAP458831 PQI458831:PQT458831 PGM458831:PGX458831 OWQ458831:OXB458831 OMU458831:ONF458831 OCY458831:ODJ458831 NTC458831:NTN458831 NJG458831:NJR458831 MZK458831:MZV458831 MPO458831:MPZ458831 MFS458831:MGD458831 LVW458831:LWH458831 LMA458831:LML458831 LCE458831:LCP458831 KSI458831:KST458831 KIM458831:KIX458831 JYQ458831:JZB458831 JOU458831:JPF458831 JEY458831:JFJ458831 IVC458831:IVN458831 ILG458831:ILR458831 IBK458831:IBV458831 HRO458831:HRZ458831 HHS458831:HID458831 GXW458831:GYH458831 GOA458831:GOL458831 GEE458831:GEP458831 FUI458831:FUT458831 FKM458831:FKX458831 FAQ458831:FBB458831 EQU458831:ERF458831 EGY458831:EHJ458831 DXC458831:DXN458831 DNG458831:DNR458831 DDK458831:DDV458831 CTO458831:CTZ458831 CJS458831:CKD458831 BZW458831:CAH458831 BQA458831:BQL458831 BGE458831:BGP458831 AWI458831:AWT458831 AMM458831:AMX458831 ACQ458831:ADB458831 SU458831:TF458831 IY458831:JJ458831 C458831:N458831 WVK393295:WVV393295 WLO393295:WLZ393295 WBS393295:WCD393295 VRW393295:VSH393295 VIA393295:VIL393295 UYE393295:UYP393295 UOI393295:UOT393295 UEM393295:UEX393295 TUQ393295:TVB393295 TKU393295:TLF393295 TAY393295:TBJ393295 SRC393295:SRN393295 SHG393295:SHR393295 RXK393295:RXV393295 RNO393295:RNZ393295 RDS393295:RED393295 QTW393295:QUH393295 QKA393295:QKL393295 QAE393295:QAP393295 PQI393295:PQT393295 PGM393295:PGX393295 OWQ393295:OXB393295 OMU393295:ONF393295 OCY393295:ODJ393295 NTC393295:NTN393295 NJG393295:NJR393295 MZK393295:MZV393295 MPO393295:MPZ393295 MFS393295:MGD393295 LVW393295:LWH393295 LMA393295:LML393295 LCE393295:LCP393295 KSI393295:KST393295 KIM393295:KIX393295 JYQ393295:JZB393295 JOU393295:JPF393295 JEY393295:JFJ393295 IVC393295:IVN393295 ILG393295:ILR393295 IBK393295:IBV393295 HRO393295:HRZ393295 HHS393295:HID393295 GXW393295:GYH393295 GOA393295:GOL393295 GEE393295:GEP393295 FUI393295:FUT393295 FKM393295:FKX393295 FAQ393295:FBB393295 EQU393295:ERF393295 EGY393295:EHJ393295 DXC393295:DXN393295 DNG393295:DNR393295 DDK393295:DDV393295 CTO393295:CTZ393295 CJS393295:CKD393295 BZW393295:CAH393295 BQA393295:BQL393295 BGE393295:BGP393295 AWI393295:AWT393295 AMM393295:AMX393295 ACQ393295:ADB393295 SU393295:TF393295 IY393295:JJ393295 C393295:N393295 WVK327759:WVV327759 WLO327759:WLZ327759 WBS327759:WCD327759 VRW327759:VSH327759 VIA327759:VIL327759 UYE327759:UYP327759 UOI327759:UOT327759 UEM327759:UEX327759 TUQ327759:TVB327759 TKU327759:TLF327759 TAY327759:TBJ327759 SRC327759:SRN327759 SHG327759:SHR327759 RXK327759:RXV327759 RNO327759:RNZ327759 RDS327759:RED327759 QTW327759:QUH327759 QKA327759:QKL327759 QAE327759:QAP327759 PQI327759:PQT327759 PGM327759:PGX327759 OWQ327759:OXB327759 OMU327759:ONF327759 OCY327759:ODJ327759 NTC327759:NTN327759 NJG327759:NJR327759 MZK327759:MZV327759 MPO327759:MPZ327759 MFS327759:MGD327759 LVW327759:LWH327759 LMA327759:LML327759 LCE327759:LCP327759 KSI327759:KST327759 KIM327759:KIX327759 JYQ327759:JZB327759 JOU327759:JPF327759 JEY327759:JFJ327759 IVC327759:IVN327759 ILG327759:ILR327759 IBK327759:IBV327759 HRO327759:HRZ327759 HHS327759:HID327759 GXW327759:GYH327759 GOA327759:GOL327759 GEE327759:GEP327759 FUI327759:FUT327759 FKM327759:FKX327759 FAQ327759:FBB327759 EQU327759:ERF327759 EGY327759:EHJ327759 DXC327759:DXN327759 DNG327759:DNR327759 DDK327759:DDV327759 CTO327759:CTZ327759 CJS327759:CKD327759 BZW327759:CAH327759 BQA327759:BQL327759 BGE327759:BGP327759 AWI327759:AWT327759 AMM327759:AMX327759 ACQ327759:ADB327759 SU327759:TF327759 IY327759:JJ327759 C327759:N327759 WVK262223:WVV262223 WLO262223:WLZ262223 WBS262223:WCD262223 VRW262223:VSH262223 VIA262223:VIL262223 UYE262223:UYP262223 UOI262223:UOT262223 UEM262223:UEX262223 TUQ262223:TVB262223 TKU262223:TLF262223 TAY262223:TBJ262223 SRC262223:SRN262223 SHG262223:SHR262223 RXK262223:RXV262223 RNO262223:RNZ262223 RDS262223:RED262223 QTW262223:QUH262223 QKA262223:QKL262223 QAE262223:QAP262223 PQI262223:PQT262223 PGM262223:PGX262223 OWQ262223:OXB262223 OMU262223:ONF262223 OCY262223:ODJ262223 NTC262223:NTN262223 NJG262223:NJR262223 MZK262223:MZV262223 MPO262223:MPZ262223 MFS262223:MGD262223 LVW262223:LWH262223 LMA262223:LML262223 LCE262223:LCP262223 KSI262223:KST262223 KIM262223:KIX262223 JYQ262223:JZB262223 JOU262223:JPF262223 JEY262223:JFJ262223 IVC262223:IVN262223 ILG262223:ILR262223 IBK262223:IBV262223 HRO262223:HRZ262223 HHS262223:HID262223 GXW262223:GYH262223 GOA262223:GOL262223 GEE262223:GEP262223 FUI262223:FUT262223 FKM262223:FKX262223 FAQ262223:FBB262223 EQU262223:ERF262223 EGY262223:EHJ262223 DXC262223:DXN262223 DNG262223:DNR262223 DDK262223:DDV262223 CTO262223:CTZ262223 CJS262223:CKD262223 BZW262223:CAH262223 BQA262223:BQL262223 BGE262223:BGP262223 AWI262223:AWT262223 AMM262223:AMX262223 ACQ262223:ADB262223 SU262223:TF262223 IY262223:JJ262223 C262223:N262223 WVK196687:WVV196687 WLO196687:WLZ196687 WBS196687:WCD196687 VRW196687:VSH196687 VIA196687:VIL196687 UYE196687:UYP196687 UOI196687:UOT196687 UEM196687:UEX196687 TUQ196687:TVB196687 TKU196687:TLF196687 TAY196687:TBJ196687 SRC196687:SRN196687 SHG196687:SHR196687 RXK196687:RXV196687 RNO196687:RNZ196687 RDS196687:RED196687 QTW196687:QUH196687 QKA196687:QKL196687 QAE196687:QAP196687 PQI196687:PQT196687 PGM196687:PGX196687 OWQ196687:OXB196687 OMU196687:ONF196687 OCY196687:ODJ196687 NTC196687:NTN196687 NJG196687:NJR196687 MZK196687:MZV196687 MPO196687:MPZ196687 MFS196687:MGD196687 LVW196687:LWH196687 LMA196687:LML196687 LCE196687:LCP196687 KSI196687:KST196687 KIM196687:KIX196687 JYQ196687:JZB196687 JOU196687:JPF196687 JEY196687:JFJ196687 IVC196687:IVN196687 ILG196687:ILR196687 IBK196687:IBV196687 HRO196687:HRZ196687 HHS196687:HID196687 GXW196687:GYH196687 GOA196687:GOL196687 GEE196687:GEP196687 FUI196687:FUT196687 FKM196687:FKX196687 FAQ196687:FBB196687 EQU196687:ERF196687 EGY196687:EHJ196687 DXC196687:DXN196687 DNG196687:DNR196687 DDK196687:DDV196687 CTO196687:CTZ196687 CJS196687:CKD196687 BZW196687:CAH196687 BQA196687:BQL196687 BGE196687:BGP196687 AWI196687:AWT196687 AMM196687:AMX196687 ACQ196687:ADB196687 SU196687:TF196687 IY196687:JJ196687 C196687:N196687 WVK131151:WVV131151 WLO131151:WLZ131151 WBS131151:WCD131151 VRW131151:VSH131151 VIA131151:VIL131151 UYE131151:UYP131151 UOI131151:UOT131151 UEM131151:UEX131151 TUQ131151:TVB131151 TKU131151:TLF131151 TAY131151:TBJ131151 SRC131151:SRN131151 SHG131151:SHR131151 RXK131151:RXV131151 RNO131151:RNZ131151 RDS131151:RED131151 QTW131151:QUH131151 QKA131151:QKL131151 QAE131151:QAP131151 PQI131151:PQT131151 PGM131151:PGX131151 OWQ131151:OXB131151 OMU131151:ONF131151 OCY131151:ODJ131151 NTC131151:NTN131151 NJG131151:NJR131151 MZK131151:MZV131151 MPO131151:MPZ131151 MFS131151:MGD131151 LVW131151:LWH131151 LMA131151:LML131151 LCE131151:LCP131151 KSI131151:KST131151 KIM131151:KIX131151 JYQ131151:JZB131151 JOU131151:JPF131151 JEY131151:JFJ131151 IVC131151:IVN131151 ILG131151:ILR131151 IBK131151:IBV131151 HRO131151:HRZ131151 HHS131151:HID131151 GXW131151:GYH131151 GOA131151:GOL131151 GEE131151:GEP131151 FUI131151:FUT131151 FKM131151:FKX131151 FAQ131151:FBB131151 EQU131151:ERF131151 EGY131151:EHJ131151 DXC131151:DXN131151 DNG131151:DNR131151 DDK131151:DDV131151 CTO131151:CTZ131151 CJS131151:CKD131151 BZW131151:CAH131151 BQA131151:BQL131151 BGE131151:BGP131151 AWI131151:AWT131151 AMM131151:AMX131151 ACQ131151:ADB131151 SU131151:TF131151 IY131151:JJ131151 C131151:N131151 WVK65615:WVV65615 WLO65615:WLZ65615 WBS65615:WCD65615 VRW65615:VSH65615 VIA65615:VIL65615 UYE65615:UYP65615 UOI65615:UOT65615 UEM65615:UEX65615 TUQ65615:TVB65615 TKU65615:TLF65615 TAY65615:TBJ65615 SRC65615:SRN65615 SHG65615:SHR65615 RXK65615:RXV65615 RNO65615:RNZ65615 RDS65615:RED65615 QTW65615:QUH65615 QKA65615:QKL65615 QAE65615:QAP65615 PQI65615:PQT65615 PGM65615:PGX65615 OWQ65615:OXB65615 OMU65615:ONF65615 OCY65615:ODJ65615 NTC65615:NTN65615 NJG65615:NJR65615 MZK65615:MZV65615 MPO65615:MPZ65615 MFS65615:MGD65615 LVW65615:LWH65615 LMA65615:LML65615 LCE65615:LCP65615 KSI65615:KST65615 KIM65615:KIX65615 JYQ65615:JZB65615 JOU65615:JPF65615 JEY65615:JFJ65615 IVC65615:IVN65615 ILG65615:ILR65615 IBK65615:IBV65615 HRO65615:HRZ65615 HHS65615:HID65615 GXW65615:GYH65615 GOA65615:GOL65615 GEE65615:GEP65615 FUI65615:FUT65615 FKM65615:FKX65615 FAQ65615:FBB65615 EQU65615:ERF65615 EGY65615:EHJ65615 DXC65615:DXN65615 DNG65615:DNR65615 DDK65615:DDV65615 CTO65615:CTZ65615 CJS65615:CKD65615 BZW65615:CAH65615 BQA65615:BQL65615 BGE65615:BGP65615 AWI65615:AWT65615 AMM65615:AMX65615 ACQ65615:ADB65615 SU65615:TF65615 IY65615:JJ65615 C65615:N65615 WVK161:WVV161 WLO161:WLZ161 WBS161:WCD161 VRW161:VSH161 VIA161:VIL161 UYE161:UYP161 UOI161:UOT161 UEM161:UEX161 TUQ161:TVB161 TKU161:TLF161 TAY161:TBJ161 SRC161:SRN161 SHG161:SHR161 RXK161:RXV161 RNO161:RNZ161 RDS161:RED161 QTW161:QUH161 QKA161:QKL161 QAE161:QAP161 PQI161:PQT161 PGM161:PGX161 OWQ161:OXB161 OMU161:ONF161 OCY161:ODJ161 NTC161:NTN161 NJG161:NJR161 MZK161:MZV161 MPO161:MPZ161 MFS161:MGD161 LVW161:LWH161 LMA161:LML161 LCE161:LCP161 KSI161:KST161 KIM161:KIX161 JYQ161:JZB161 JOU161:JPF161 JEY161:JFJ161 IVC161:IVN161 ILG161:ILR161 IBK161:IBV161 HRO161:HRZ161 HHS161:HID161 GXW161:GYH161 GOA161:GOL161 GEE161:GEP161 FUI161:FUT161 FKM161:FKX161 FAQ161:FBB161 EQU161:ERF161 EGY161:EHJ161 DXC161:DXN161 DNG161:DNR161 DDK161:DDV161 CTO161:CTZ161 CJS161:CKD161 BZW161:CAH161 BQA161:BQL161 BGE161:BGP161 AWI161:AWT161 AMM161:AMX161 ACQ161:ADB161 SU161:TF161 IY161:JJ161 SU206:TF206 WVK983269:WVV983269 WLO983269:WLZ983269 WBS983269:WCD983269 VRW983269:VSH983269 VIA983269:VIL983269 UYE983269:UYP983269 UOI983269:UOT983269 UEM983269:UEX983269 TUQ983269:TVB983269 TKU983269:TLF983269 TAY983269:TBJ983269 SRC983269:SRN983269 SHG983269:SHR983269 RXK983269:RXV983269 RNO983269:RNZ983269 RDS983269:RED983269 QTW983269:QUH983269 QKA983269:QKL983269 QAE983269:QAP983269 PQI983269:PQT983269 PGM983269:PGX983269 OWQ983269:OXB983269 OMU983269:ONF983269 OCY983269:ODJ983269 NTC983269:NTN983269 NJG983269:NJR983269 MZK983269:MZV983269 MPO983269:MPZ983269 MFS983269:MGD983269 LVW983269:LWH983269 LMA983269:LML983269 LCE983269:LCP983269 KSI983269:KST983269 KIM983269:KIX983269 JYQ983269:JZB983269 JOU983269:JPF983269 JEY983269:JFJ983269 IVC983269:IVN983269 ILG983269:ILR983269 IBK983269:IBV983269 HRO983269:HRZ983269 HHS983269:HID983269 GXW983269:GYH983269 GOA983269:GOL983269 GEE983269:GEP983269 FUI983269:FUT983269 FKM983269:FKX983269 FAQ983269:FBB983269 EQU983269:ERF983269 EGY983269:EHJ983269 DXC983269:DXN983269 DNG983269:DNR983269 DDK983269:DDV983269 CTO983269:CTZ983269 CJS983269:CKD983269 BZW983269:CAH983269 BQA983269:BQL983269 BGE983269:BGP983269 AWI983269:AWT983269 AMM983269:AMX983269 ACQ983269:ADB983269 SU983269:TF983269 IY983269:JJ983269 C983269:N983269 WVK917733:WVV917733 WLO917733:WLZ917733 WBS917733:WCD917733 VRW917733:VSH917733 VIA917733:VIL917733 UYE917733:UYP917733 UOI917733:UOT917733 UEM917733:UEX917733 TUQ917733:TVB917733 TKU917733:TLF917733 TAY917733:TBJ917733 SRC917733:SRN917733 SHG917733:SHR917733 RXK917733:RXV917733 RNO917733:RNZ917733 RDS917733:RED917733 QTW917733:QUH917733 QKA917733:QKL917733 QAE917733:QAP917733 PQI917733:PQT917733 PGM917733:PGX917733 OWQ917733:OXB917733 OMU917733:ONF917733 OCY917733:ODJ917733 NTC917733:NTN917733 NJG917733:NJR917733 MZK917733:MZV917733 MPO917733:MPZ917733 MFS917733:MGD917733 LVW917733:LWH917733 LMA917733:LML917733 LCE917733:LCP917733 KSI917733:KST917733 KIM917733:KIX917733 JYQ917733:JZB917733 JOU917733:JPF917733 JEY917733:JFJ917733 IVC917733:IVN917733 ILG917733:ILR917733 IBK917733:IBV917733 HRO917733:HRZ917733 HHS917733:HID917733 GXW917733:GYH917733 GOA917733:GOL917733 GEE917733:GEP917733 FUI917733:FUT917733 FKM917733:FKX917733 FAQ917733:FBB917733 EQU917733:ERF917733 EGY917733:EHJ917733 DXC917733:DXN917733 DNG917733:DNR917733 DDK917733:DDV917733 CTO917733:CTZ917733 CJS917733:CKD917733 BZW917733:CAH917733 BQA917733:BQL917733 BGE917733:BGP917733 AWI917733:AWT917733 AMM917733:AMX917733 ACQ917733:ADB917733 SU917733:TF917733 IY917733:JJ917733 C917733:N917733 WVK852197:WVV852197 WLO852197:WLZ852197 WBS852197:WCD852197 VRW852197:VSH852197 VIA852197:VIL852197 UYE852197:UYP852197 UOI852197:UOT852197 UEM852197:UEX852197 TUQ852197:TVB852197 TKU852197:TLF852197 TAY852197:TBJ852197 SRC852197:SRN852197 SHG852197:SHR852197 RXK852197:RXV852197 RNO852197:RNZ852197 RDS852197:RED852197 QTW852197:QUH852197 QKA852197:QKL852197 QAE852197:QAP852197 PQI852197:PQT852197 PGM852197:PGX852197 OWQ852197:OXB852197 OMU852197:ONF852197 OCY852197:ODJ852197 NTC852197:NTN852197 NJG852197:NJR852197 MZK852197:MZV852197 MPO852197:MPZ852197 MFS852197:MGD852197 LVW852197:LWH852197 LMA852197:LML852197 LCE852197:LCP852197 KSI852197:KST852197 KIM852197:KIX852197 JYQ852197:JZB852197 JOU852197:JPF852197 JEY852197:JFJ852197 IVC852197:IVN852197 ILG852197:ILR852197 IBK852197:IBV852197 HRO852197:HRZ852197 HHS852197:HID852197 GXW852197:GYH852197 GOA852197:GOL852197 GEE852197:GEP852197 FUI852197:FUT852197 FKM852197:FKX852197 FAQ852197:FBB852197 EQU852197:ERF852197 EGY852197:EHJ852197 DXC852197:DXN852197 DNG852197:DNR852197 DDK852197:DDV852197 CTO852197:CTZ852197 CJS852197:CKD852197 BZW852197:CAH852197 BQA852197:BQL852197 BGE852197:BGP852197 AWI852197:AWT852197 AMM852197:AMX852197 ACQ852197:ADB852197 SU852197:TF852197 IY852197:JJ852197 C852197:N852197 WVK786661:WVV786661 WLO786661:WLZ786661 WBS786661:WCD786661 VRW786661:VSH786661 VIA786661:VIL786661 UYE786661:UYP786661 UOI786661:UOT786661 UEM786661:UEX786661 TUQ786661:TVB786661 TKU786661:TLF786661 TAY786661:TBJ786661 SRC786661:SRN786661 SHG786661:SHR786661 RXK786661:RXV786661 RNO786661:RNZ786661 RDS786661:RED786661 QTW786661:QUH786661 QKA786661:QKL786661 QAE786661:QAP786661 PQI786661:PQT786661 PGM786661:PGX786661 OWQ786661:OXB786661 OMU786661:ONF786661 OCY786661:ODJ786661 NTC786661:NTN786661 NJG786661:NJR786661 MZK786661:MZV786661 MPO786661:MPZ786661 MFS786661:MGD786661 LVW786661:LWH786661 LMA786661:LML786661 LCE786661:LCP786661 KSI786661:KST786661 KIM786661:KIX786661 JYQ786661:JZB786661 JOU786661:JPF786661 JEY786661:JFJ786661 IVC786661:IVN786661 ILG786661:ILR786661 IBK786661:IBV786661 HRO786661:HRZ786661 HHS786661:HID786661 GXW786661:GYH786661 GOA786661:GOL786661 GEE786661:GEP786661 FUI786661:FUT786661 FKM786661:FKX786661 FAQ786661:FBB786661 EQU786661:ERF786661 EGY786661:EHJ786661 DXC786661:DXN786661 DNG786661:DNR786661 DDK786661:DDV786661 CTO786661:CTZ786661 CJS786661:CKD786661 BZW786661:CAH786661 BQA786661:BQL786661 BGE786661:BGP786661 AWI786661:AWT786661 AMM786661:AMX786661 ACQ786661:ADB786661 SU786661:TF786661 IY786661:JJ786661 C786661:N786661 WVK721125:WVV721125 WLO721125:WLZ721125 WBS721125:WCD721125 VRW721125:VSH721125 VIA721125:VIL721125 UYE721125:UYP721125 UOI721125:UOT721125 UEM721125:UEX721125 TUQ721125:TVB721125 TKU721125:TLF721125 TAY721125:TBJ721125 SRC721125:SRN721125 SHG721125:SHR721125 RXK721125:RXV721125 RNO721125:RNZ721125 RDS721125:RED721125 QTW721125:QUH721125 QKA721125:QKL721125 QAE721125:QAP721125 PQI721125:PQT721125 PGM721125:PGX721125 OWQ721125:OXB721125 OMU721125:ONF721125 OCY721125:ODJ721125 NTC721125:NTN721125 NJG721125:NJR721125 MZK721125:MZV721125 MPO721125:MPZ721125 MFS721125:MGD721125 LVW721125:LWH721125 LMA721125:LML721125 LCE721125:LCP721125 KSI721125:KST721125 KIM721125:KIX721125 JYQ721125:JZB721125 JOU721125:JPF721125 JEY721125:JFJ721125 IVC721125:IVN721125 ILG721125:ILR721125 IBK721125:IBV721125 HRO721125:HRZ721125 HHS721125:HID721125 GXW721125:GYH721125 GOA721125:GOL721125 GEE721125:GEP721125 FUI721125:FUT721125 FKM721125:FKX721125 FAQ721125:FBB721125 EQU721125:ERF721125 EGY721125:EHJ721125 DXC721125:DXN721125 DNG721125:DNR721125 DDK721125:DDV721125 CTO721125:CTZ721125 CJS721125:CKD721125 BZW721125:CAH721125 BQA721125:BQL721125 BGE721125:BGP721125 AWI721125:AWT721125 AMM721125:AMX721125 ACQ721125:ADB721125 SU721125:TF721125 IY721125:JJ721125 C721125:N721125 WVK655589:WVV655589 WLO655589:WLZ655589 WBS655589:WCD655589 VRW655589:VSH655589 VIA655589:VIL655589 UYE655589:UYP655589 UOI655589:UOT655589 UEM655589:UEX655589 TUQ655589:TVB655589 TKU655589:TLF655589 TAY655589:TBJ655589 SRC655589:SRN655589 SHG655589:SHR655589 RXK655589:RXV655589 RNO655589:RNZ655589 RDS655589:RED655589 QTW655589:QUH655589 QKA655589:QKL655589 QAE655589:QAP655589 PQI655589:PQT655589 PGM655589:PGX655589 OWQ655589:OXB655589 OMU655589:ONF655589 OCY655589:ODJ655589 NTC655589:NTN655589 NJG655589:NJR655589 MZK655589:MZV655589 MPO655589:MPZ655589 MFS655589:MGD655589 LVW655589:LWH655589 LMA655589:LML655589 LCE655589:LCP655589 KSI655589:KST655589 KIM655589:KIX655589 JYQ655589:JZB655589 JOU655589:JPF655589 JEY655589:JFJ655589 IVC655589:IVN655589 ILG655589:ILR655589 IBK655589:IBV655589 HRO655589:HRZ655589 HHS655589:HID655589 GXW655589:GYH655589 GOA655589:GOL655589 GEE655589:GEP655589 FUI655589:FUT655589 FKM655589:FKX655589 FAQ655589:FBB655589 EQU655589:ERF655589 EGY655589:EHJ655589 DXC655589:DXN655589 DNG655589:DNR655589 DDK655589:DDV655589 CTO655589:CTZ655589 CJS655589:CKD655589 BZW655589:CAH655589 BQA655589:BQL655589 BGE655589:BGP655589 AWI655589:AWT655589 AMM655589:AMX655589 ACQ655589:ADB655589 SU655589:TF655589 IY655589:JJ655589 C655589:N655589 WVK590053:WVV590053 WLO590053:WLZ590053 WBS590053:WCD590053 VRW590053:VSH590053 VIA590053:VIL590053 UYE590053:UYP590053 UOI590053:UOT590053 UEM590053:UEX590053 TUQ590053:TVB590053 TKU590053:TLF590053 TAY590053:TBJ590053 SRC590053:SRN590053 SHG590053:SHR590053 RXK590053:RXV590053 RNO590053:RNZ590053 RDS590053:RED590053 QTW590053:QUH590053 QKA590053:QKL590053 QAE590053:QAP590053 PQI590053:PQT590053 PGM590053:PGX590053 OWQ590053:OXB590053 OMU590053:ONF590053 OCY590053:ODJ590053 NTC590053:NTN590053 NJG590053:NJR590053 MZK590053:MZV590053 MPO590053:MPZ590053 MFS590053:MGD590053 LVW590053:LWH590053 LMA590053:LML590053 LCE590053:LCP590053 KSI590053:KST590053 KIM590053:KIX590053 JYQ590053:JZB590053 JOU590053:JPF590053 JEY590053:JFJ590053 IVC590053:IVN590053 ILG590053:ILR590053 IBK590053:IBV590053 HRO590053:HRZ590053 HHS590053:HID590053 GXW590053:GYH590053 GOA590053:GOL590053 GEE590053:GEP590053 FUI590053:FUT590053 FKM590053:FKX590053 FAQ590053:FBB590053 EQU590053:ERF590053 EGY590053:EHJ590053 DXC590053:DXN590053 DNG590053:DNR590053 DDK590053:DDV590053 CTO590053:CTZ590053 CJS590053:CKD590053 BZW590053:CAH590053 BQA590053:BQL590053 BGE590053:BGP590053 AWI590053:AWT590053 AMM590053:AMX590053 ACQ590053:ADB590053 SU590053:TF590053 IY590053:JJ590053 C590053:N590053 WVK524517:WVV524517 WLO524517:WLZ524517 WBS524517:WCD524517 VRW524517:VSH524517 VIA524517:VIL524517 UYE524517:UYP524517 UOI524517:UOT524517 UEM524517:UEX524517 TUQ524517:TVB524517 TKU524517:TLF524517 TAY524517:TBJ524517 SRC524517:SRN524517 SHG524517:SHR524517 RXK524517:RXV524517 RNO524517:RNZ524517 RDS524517:RED524517 QTW524517:QUH524517 QKA524517:QKL524517 QAE524517:QAP524517 PQI524517:PQT524517 PGM524517:PGX524517 OWQ524517:OXB524517 OMU524517:ONF524517 OCY524517:ODJ524517 NTC524517:NTN524517 NJG524517:NJR524517 MZK524517:MZV524517 MPO524517:MPZ524517 MFS524517:MGD524517 LVW524517:LWH524517 LMA524517:LML524517 LCE524517:LCP524517 KSI524517:KST524517 KIM524517:KIX524517 JYQ524517:JZB524517 JOU524517:JPF524517 JEY524517:JFJ524517 IVC524517:IVN524517 ILG524517:ILR524517 IBK524517:IBV524517 HRO524517:HRZ524517 HHS524517:HID524517 GXW524517:GYH524517 GOA524517:GOL524517 GEE524517:GEP524517 FUI524517:FUT524517 FKM524517:FKX524517 FAQ524517:FBB524517 EQU524517:ERF524517 EGY524517:EHJ524517 DXC524517:DXN524517 DNG524517:DNR524517 DDK524517:DDV524517 CTO524517:CTZ524517 CJS524517:CKD524517 BZW524517:CAH524517 BQA524517:BQL524517 BGE524517:BGP524517 AWI524517:AWT524517 AMM524517:AMX524517 ACQ524517:ADB524517 SU524517:TF524517 IY524517:JJ524517 C524517:N524517 WVK458981:WVV458981 WLO458981:WLZ458981 WBS458981:WCD458981 VRW458981:VSH458981 VIA458981:VIL458981 UYE458981:UYP458981 UOI458981:UOT458981 UEM458981:UEX458981 TUQ458981:TVB458981 TKU458981:TLF458981 TAY458981:TBJ458981 SRC458981:SRN458981 SHG458981:SHR458981 RXK458981:RXV458981 RNO458981:RNZ458981 RDS458981:RED458981 QTW458981:QUH458981 QKA458981:QKL458981 QAE458981:QAP458981 PQI458981:PQT458981 PGM458981:PGX458981 OWQ458981:OXB458981 OMU458981:ONF458981 OCY458981:ODJ458981 NTC458981:NTN458981 NJG458981:NJR458981 MZK458981:MZV458981 MPO458981:MPZ458981 MFS458981:MGD458981 LVW458981:LWH458981 LMA458981:LML458981 LCE458981:LCP458981 KSI458981:KST458981 KIM458981:KIX458981 JYQ458981:JZB458981 JOU458981:JPF458981 JEY458981:JFJ458981 IVC458981:IVN458981 ILG458981:ILR458981 IBK458981:IBV458981 HRO458981:HRZ458981 HHS458981:HID458981 GXW458981:GYH458981 GOA458981:GOL458981 GEE458981:GEP458981 FUI458981:FUT458981 FKM458981:FKX458981 FAQ458981:FBB458981 EQU458981:ERF458981 EGY458981:EHJ458981 DXC458981:DXN458981 DNG458981:DNR458981 DDK458981:DDV458981 CTO458981:CTZ458981 CJS458981:CKD458981 BZW458981:CAH458981 BQA458981:BQL458981 BGE458981:BGP458981 AWI458981:AWT458981 AMM458981:AMX458981 ACQ458981:ADB458981 SU458981:TF458981 IY458981:JJ458981 C458981:N458981 WVK393445:WVV393445 WLO393445:WLZ393445 WBS393445:WCD393445 VRW393445:VSH393445 VIA393445:VIL393445 UYE393445:UYP393445 UOI393445:UOT393445 UEM393445:UEX393445 TUQ393445:TVB393445 TKU393445:TLF393445 TAY393445:TBJ393445 SRC393445:SRN393445 SHG393445:SHR393445 RXK393445:RXV393445 RNO393445:RNZ393445 RDS393445:RED393445 QTW393445:QUH393445 QKA393445:QKL393445 QAE393445:QAP393445 PQI393445:PQT393445 PGM393445:PGX393445 OWQ393445:OXB393445 OMU393445:ONF393445 OCY393445:ODJ393445 NTC393445:NTN393445 NJG393445:NJR393445 MZK393445:MZV393445 MPO393445:MPZ393445 MFS393445:MGD393445 LVW393445:LWH393445 LMA393445:LML393445 LCE393445:LCP393445 KSI393445:KST393445 KIM393445:KIX393445 JYQ393445:JZB393445 JOU393445:JPF393445 JEY393445:JFJ393445 IVC393445:IVN393445 ILG393445:ILR393445 IBK393445:IBV393445 HRO393445:HRZ393445 HHS393445:HID393445 GXW393445:GYH393445 GOA393445:GOL393445 GEE393445:GEP393445 FUI393445:FUT393445 FKM393445:FKX393445 FAQ393445:FBB393445 EQU393445:ERF393445 EGY393445:EHJ393445 DXC393445:DXN393445 DNG393445:DNR393445 DDK393445:DDV393445 CTO393445:CTZ393445 CJS393445:CKD393445 BZW393445:CAH393445 BQA393445:BQL393445 BGE393445:BGP393445 AWI393445:AWT393445 AMM393445:AMX393445 ACQ393445:ADB393445 SU393445:TF393445 IY393445:JJ393445 C393445:N393445 WVK327909:WVV327909 WLO327909:WLZ327909 WBS327909:WCD327909 VRW327909:VSH327909 VIA327909:VIL327909 UYE327909:UYP327909 UOI327909:UOT327909 UEM327909:UEX327909 TUQ327909:TVB327909 TKU327909:TLF327909 TAY327909:TBJ327909 SRC327909:SRN327909 SHG327909:SHR327909 RXK327909:RXV327909 RNO327909:RNZ327909 RDS327909:RED327909 QTW327909:QUH327909 QKA327909:QKL327909 QAE327909:QAP327909 PQI327909:PQT327909 PGM327909:PGX327909 OWQ327909:OXB327909 OMU327909:ONF327909 OCY327909:ODJ327909 NTC327909:NTN327909 NJG327909:NJR327909 MZK327909:MZV327909 MPO327909:MPZ327909 MFS327909:MGD327909 LVW327909:LWH327909 LMA327909:LML327909 LCE327909:LCP327909 KSI327909:KST327909 KIM327909:KIX327909 JYQ327909:JZB327909 JOU327909:JPF327909 JEY327909:JFJ327909 IVC327909:IVN327909 ILG327909:ILR327909 IBK327909:IBV327909 HRO327909:HRZ327909 HHS327909:HID327909 GXW327909:GYH327909 GOA327909:GOL327909 GEE327909:GEP327909 FUI327909:FUT327909 FKM327909:FKX327909 FAQ327909:FBB327909 EQU327909:ERF327909 EGY327909:EHJ327909 DXC327909:DXN327909 DNG327909:DNR327909 DDK327909:DDV327909 CTO327909:CTZ327909 CJS327909:CKD327909 BZW327909:CAH327909 BQA327909:BQL327909 BGE327909:BGP327909 AWI327909:AWT327909 AMM327909:AMX327909 ACQ327909:ADB327909 SU327909:TF327909 IY327909:JJ327909 C327909:N327909 WVK262373:WVV262373 WLO262373:WLZ262373 WBS262373:WCD262373 VRW262373:VSH262373 VIA262373:VIL262373 UYE262373:UYP262373 UOI262373:UOT262373 UEM262373:UEX262373 TUQ262373:TVB262373 TKU262373:TLF262373 TAY262373:TBJ262373 SRC262373:SRN262373 SHG262373:SHR262373 RXK262373:RXV262373 RNO262373:RNZ262373 RDS262373:RED262373 QTW262373:QUH262373 QKA262373:QKL262373 QAE262373:QAP262373 PQI262373:PQT262373 PGM262373:PGX262373 OWQ262373:OXB262373 OMU262373:ONF262373 OCY262373:ODJ262373 NTC262373:NTN262373 NJG262373:NJR262373 MZK262373:MZV262373 MPO262373:MPZ262373 MFS262373:MGD262373 LVW262373:LWH262373 LMA262373:LML262373 LCE262373:LCP262373 KSI262373:KST262373 KIM262373:KIX262373 JYQ262373:JZB262373 JOU262373:JPF262373 JEY262373:JFJ262373 IVC262373:IVN262373 ILG262373:ILR262373 IBK262373:IBV262373 HRO262373:HRZ262373 HHS262373:HID262373 GXW262373:GYH262373 GOA262373:GOL262373 GEE262373:GEP262373 FUI262373:FUT262373 FKM262373:FKX262373 FAQ262373:FBB262373 EQU262373:ERF262373 EGY262373:EHJ262373 DXC262373:DXN262373 DNG262373:DNR262373 DDK262373:DDV262373 CTO262373:CTZ262373 CJS262373:CKD262373 BZW262373:CAH262373 BQA262373:BQL262373 BGE262373:BGP262373 AWI262373:AWT262373 AMM262373:AMX262373 ACQ262373:ADB262373 SU262373:TF262373 IY262373:JJ262373 C262373:N262373 WVK196837:WVV196837 WLO196837:WLZ196837 WBS196837:WCD196837 VRW196837:VSH196837 VIA196837:VIL196837 UYE196837:UYP196837 UOI196837:UOT196837 UEM196837:UEX196837 TUQ196837:TVB196837 TKU196837:TLF196837 TAY196837:TBJ196837 SRC196837:SRN196837 SHG196837:SHR196837 RXK196837:RXV196837 RNO196837:RNZ196837 RDS196837:RED196837 QTW196837:QUH196837 QKA196837:QKL196837 QAE196837:QAP196837 PQI196837:PQT196837 PGM196837:PGX196837 OWQ196837:OXB196837 OMU196837:ONF196837 OCY196837:ODJ196837 NTC196837:NTN196837 NJG196837:NJR196837 MZK196837:MZV196837 MPO196837:MPZ196837 MFS196837:MGD196837 LVW196837:LWH196837 LMA196837:LML196837 LCE196837:LCP196837 KSI196837:KST196837 KIM196837:KIX196837 JYQ196837:JZB196837 JOU196837:JPF196837 JEY196837:JFJ196837 IVC196837:IVN196837 ILG196837:ILR196837 IBK196837:IBV196837 HRO196837:HRZ196837 HHS196837:HID196837 GXW196837:GYH196837 GOA196837:GOL196837 GEE196837:GEP196837 FUI196837:FUT196837 FKM196837:FKX196837 FAQ196837:FBB196837 EQU196837:ERF196837 EGY196837:EHJ196837 DXC196837:DXN196837 DNG196837:DNR196837 DDK196837:DDV196837 CTO196837:CTZ196837 CJS196837:CKD196837 BZW196837:CAH196837 BQA196837:BQL196837 BGE196837:BGP196837 AWI196837:AWT196837 AMM196837:AMX196837 ACQ196837:ADB196837 SU196837:TF196837 IY196837:JJ196837 C196837:N196837 WVK131301:WVV131301 WLO131301:WLZ131301 WBS131301:WCD131301 VRW131301:VSH131301 VIA131301:VIL131301 UYE131301:UYP131301 UOI131301:UOT131301 UEM131301:UEX131301 TUQ131301:TVB131301 TKU131301:TLF131301 TAY131301:TBJ131301 SRC131301:SRN131301 SHG131301:SHR131301 RXK131301:RXV131301 RNO131301:RNZ131301 RDS131301:RED131301 QTW131301:QUH131301 QKA131301:QKL131301 QAE131301:QAP131301 PQI131301:PQT131301 PGM131301:PGX131301 OWQ131301:OXB131301 OMU131301:ONF131301 OCY131301:ODJ131301 NTC131301:NTN131301 NJG131301:NJR131301 MZK131301:MZV131301 MPO131301:MPZ131301 MFS131301:MGD131301 LVW131301:LWH131301 LMA131301:LML131301 LCE131301:LCP131301 KSI131301:KST131301 KIM131301:KIX131301 JYQ131301:JZB131301 JOU131301:JPF131301 JEY131301:JFJ131301 IVC131301:IVN131301 ILG131301:ILR131301 IBK131301:IBV131301 HRO131301:HRZ131301 HHS131301:HID131301 GXW131301:GYH131301 GOA131301:GOL131301 GEE131301:GEP131301 FUI131301:FUT131301 FKM131301:FKX131301 FAQ131301:FBB131301 EQU131301:ERF131301 EGY131301:EHJ131301 DXC131301:DXN131301 DNG131301:DNR131301 DDK131301:DDV131301 CTO131301:CTZ131301 CJS131301:CKD131301 BZW131301:CAH131301 BQA131301:BQL131301 BGE131301:BGP131301 AWI131301:AWT131301 AMM131301:AMX131301 ACQ131301:ADB131301 SU131301:TF131301 IY131301:JJ131301 C131301:N131301 WVK65765:WVV65765 WLO65765:WLZ65765 WBS65765:WCD65765 VRW65765:VSH65765 VIA65765:VIL65765 UYE65765:UYP65765 UOI65765:UOT65765 UEM65765:UEX65765 TUQ65765:TVB65765 TKU65765:TLF65765 TAY65765:TBJ65765 SRC65765:SRN65765 SHG65765:SHR65765 RXK65765:RXV65765 RNO65765:RNZ65765 RDS65765:RED65765 QTW65765:QUH65765 QKA65765:QKL65765 QAE65765:QAP65765 PQI65765:PQT65765 PGM65765:PGX65765 OWQ65765:OXB65765 OMU65765:ONF65765 OCY65765:ODJ65765 NTC65765:NTN65765 NJG65765:NJR65765 MZK65765:MZV65765 MPO65765:MPZ65765 MFS65765:MGD65765 LVW65765:LWH65765 LMA65765:LML65765 LCE65765:LCP65765 KSI65765:KST65765 KIM65765:KIX65765 JYQ65765:JZB65765 JOU65765:JPF65765 JEY65765:JFJ65765 IVC65765:IVN65765 ILG65765:ILR65765 IBK65765:IBV65765 HRO65765:HRZ65765 HHS65765:HID65765 GXW65765:GYH65765 GOA65765:GOL65765 GEE65765:GEP65765 FUI65765:FUT65765 FKM65765:FKX65765 FAQ65765:FBB65765 EQU65765:ERF65765 EGY65765:EHJ65765 DXC65765:DXN65765 DNG65765:DNR65765 DDK65765:DDV65765 CTO65765:CTZ65765 CJS65765:CKD65765 BZW65765:CAH65765 BQA65765:BQL65765 BGE65765:BGP65765 AWI65765:AWT65765 AMM65765:AMX65765 ACQ65765:ADB65765 SU65765:TF65765 IY65765:JJ65765 C65765:N65765 WVK983104:WVV983104 WLO983104:WLZ983104 WBS983104:WCD983104 VRW983104:VSH983104 VIA983104:VIL983104 UYE983104:UYP983104 UOI983104:UOT983104 UEM983104:UEX983104 TUQ983104:TVB983104 TKU983104:TLF983104 TAY983104:TBJ983104 SRC983104:SRN983104 SHG983104:SHR983104 RXK983104:RXV983104 RNO983104:RNZ983104 RDS983104:RED983104 QTW983104:QUH983104 QKA983104:QKL983104 QAE983104:QAP983104 PQI983104:PQT983104 PGM983104:PGX983104 OWQ983104:OXB983104 OMU983104:ONF983104 OCY983104:ODJ983104 NTC983104:NTN983104 NJG983104:NJR983104 MZK983104:MZV983104 MPO983104:MPZ983104 MFS983104:MGD983104 LVW983104:LWH983104 LMA983104:LML983104 LCE983104:LCP983104 KSI983104:KST983104 KIM983104:KIX983104 JYQ983104:JZB983104 JOU983104:JPF983104 JEY983104:JFJ983104 IVC983104:IVN983104 ILG983104:ILR983104 IBK983104:IBV983104 HRO983104:HRZ983104 HHS983104:HID983104 GXW983104:GYH983104 GOA983104:GOL983104 GEE983104:GEP983104 FUI983104:FUT983104 FKM983104:FKX983104 FAQ983104:FBB983104 EQU983104:ERF983104 EGY983104:EHJ983104 DXC983104:DXN983104 DNG983104:DNR983104 DDK983104:DDV983104 CTO983104:CTZ983104 CJS983104:CKD983104 BZW983104:CAH983104 BQA983104:BQL983104 BGE983104:BGP983104 AWI983104:AWT983104 AMM983104:AMX983104 ACQ983104:ADB983104 SU983104:TF983104 IY983104:JJ983104 C983104:N983104 WVK917568:WVV917568 WLO917568:WLZ917568 WBS917568:WCD917568 VRW917568:VSH917568 VIA917568:VIL917568 UYE917568:UYP917568 UOI917568:UOT917568 UEM917568:UEX917568 TUQ917568:TVB917568 TKU917568:TLF917568 TAY917568:TBJ917568 SRC917568:SRN917568 SHG917568:SHR917568 RXK917568:RXV917568 RNO917568:RNZ917568 RDS917568:RED917568 QTW917568:QUH917568 QKA917568:QKL917568 QAE917568:QAP917568 PQI917568:PQT917568 PGM917568:PGX917568 OWQ917568:OXB917568 OMU917568:ONF917568 OCY917568:ODJ917568 NTC917568:NTN917568 NJG917568:NJR917568 MZK917568:MZV917568 MPO917568:MPZ917568 MFS917568:MGD917568 LVW917568:LWH917568 LMA917568:LML917568 LCE917568:LCP917568 KSI917568:KST917568 KIM917568:KIX917568 JYQ917568:JZB917568 JOU917568:JPF917568 JEY917568:JFJ917568 IVC917568:IVN917568 ILG917568:ILR917568 IBK917568:IBV917568 HRO917568:HRZ917568 HHS917568:HID917568 GXW917568:GYH917568 GOA917568:GOL917568 GEE917568:GEP917568 FUI917568:FUT917568 FKM917568:FKX917568 FAQ917568:FBB917568 EQU917568:ERF917568 EGY917568:EHJ917568 DXC917568:DXN917568 DNG917568:DNR917568 DDK917568:DDV917568 CTO917568:CTZ917568 CJS917568:CKD917568 BZW917568:CAH917568 BQA917568:BQL917568 BGE917568:BGP917568 AWI917568:AWT917568 AMM917568:AMX917568 ACQ917568:ADB917568 SU917568:TF917568 IY917568:JJ917568 C917568:N917568 WVK852032:WVV852032 WLO852032:WLZ852032 WBS852032:WCD852032 VRW852032:VSH852032 VIA852032:VIL852032 UYE852032:UYP852032 UOI852032:UOT852032 UEM852032:UEX852032 TUQ852032:TVB852032 TKU852032:TLF852032 TAY852032:TBJ852032 SRC852032:SRN852032 SHG852032:SHR852032 RXK852032:RXV852032 RNO852032:RNZ852032 RDS852032:RED852032 QTW852032:QUH852032 QKA852032:QKL852032 QAE852032:QAP852032 PQI852032:PQT852032 PGM852032:PGX852032 OWQ852032:OXB852032 OMU852032:ONF852032 OCY852032:ODJ852032 NTC852032:NTN852032 NJG852032:NJR852032 MZK852032:MZV852032 MPO852032:MPZ852032 MFS852032:MGD852032 LVW852032:LWH852032 LMA852032:LML852032 LCE852032:LCP852032 KSI852032:KST852032 KIM852032:KIX852032 JYQ852032:JZB852032 JOU852032:JPF852032 JEY852032:JFJ852032 IVC852032:IVN852032 ILG852032:ILR852032 IBK852032:IBV852032 HRO852032:HRZ852032 HHS852032:HID852032 GXW852032:GYH852032 GOA852032:GOL852032 GEE852032:GEP852032 FUI852032:FUT852032 FKM852032:FKX852032 FAQ852032:FBB852032 EQU852032:ERF852032 EGY852032:EHJ852032 DXC852032:DXN852032 DNG852032:DNR852032 DDK852032:DDV852032 CTO852032:CTZ852032 CJS852032:CKD852032 BZW852032:CAH852032 BQA852032:BQL852032 BGE852032:BGP852032 AWI852032:AWT852032 AMM852032:AMX852032 ACQ852032:ADB852032 SU852032:TF852032 IY852032:JJ852032 C852032:N852032 WVK786496:WVV786496 WLO786496:WLZ786496 WBS786496:WCD786496 VRW786496:VSH786496 VIA786496:VIL786496 UYE786496:UYP786496 UOI786496:UOT786496 UEM786496:UEX786496 TUQ786496:TVB786496 TKU786496:TLF786496 TAY786496:TBJ786496 SRC786496:SRN786496 SHG786496:SHR786496 RXK786496:RXV786496 RNO786496:RNZ786496 RDS786496:RED786496 QTW786496:QUH786496 QKA786496:QKL786496 QAE786496:QAP786496 PQI786496:PQT786496 PGM786496:PGX786496 OWQ786496:OXB786496 OMU786496:ONF786496 OCY786496:ODJ786496 NTC786496:NTN786496 NJG786496:NJR786496 MZK786496:MZV786496 MPO786496:MPZ786496 MFS786496:MGD786496 LVW786496:LWH786496 LMA786496:LML786496 LCE786496:LCP786496 KSI786496:KST786496 KIM786496:KIX786496 JYQ786496:JZB786496 JOU786496:JPF786496 JEY786496:JFJ786496 IVC786496:IVN786496 ILG786496:ILR786496 IBK786496:IBV786496 HRO786496:HRZ786496 HHS786496:HID786496 GXW786496:GYH786496 GOA786496:GOL786496 GEE786496:GEP786496 FUI786496:FUT786496 FKM786496:FKX786496 FAQ786496:FBB786496 EQU786496:ERF786496 EGY786496:EHJ786496 DXC786496:DXN786496 DNG786496:DNR786496 DDK786496:DDV786496 CTO786496:CTZ786496 CJS786496:CKD786496 BZW786496:CAH786496 BQA786496:BQL786496 BGE786496:BGP786496 AWI786496:AWT786496 AMM786496:AMX786496 ACQ786496:ADB786496 SU786496:TF786496 IY786496:JJ786496 C786496:N786496 WVK720960:WVV720960 WLO720960:WLZ720960 WBS720960:WCD720960 VRW720960:VSH720960 VIA720960:VIL720960 UYE720960:UYP720960 UOI720960:UOT720960 UEM720960:UEX720960 TUQ720960:TVB720960 TKU720960:TLF720960 TAY720960:TBJ720960 SRC720960:SRN720960 SHG720960:SHR720960 RXK720960:RXV720960 RNO720960:RNZ720960 RDS720960:RED720960 QTW720960:QUH720960 QKA720960:QKL720960 QAE720960:QAP720960 PQI720960:PQT720960 PGM720960:PGX720960 OWQ720960:OXB720960 OMU720960:ONF720960 OCY720960:ODJ720960 NTC720960:NTN720960 NJG720960:NJR720960 MZK720960:MZV720960 MPO720960:MPZ720960 MFS720960:MGD720960 LVW720960:LWH720960 LMA720960:LML720960 LCE720960:LCP720960 KSI720960:KST720960 KIM720960:KIX720960 JYQ720960:JZB720960 JOU720960:JPF720960 JEY720960:JFJ720960 IVC720960:IVN720960 ILG720960:ILR720960 IBK720960:IBV720960 HRO720960:HRZ720960 HHS720960:HID720960 GXW720960:GYH720960 GOA720960:GOL720960 GEE720960:GEP720960 FUI720960:FUT720960 FKM720960:FKX720960 FAQ720960:FBB720960 EQU720960:ERF720960 EGY720960:EHJ720960 DXC720960:DXN720960 DNG720960:DNR720960 DDK720960:DDV720960 CTO720960:CTZ720960 CJS720960:CKD720960 BZW720960:CAH720960 BQA720960:BQL720960 BGE720960:BGP720960 AWI720960:AWT720960 AMM720960:AMX720960 ACQ720960:ADB720960 SU720960:TF720960 IY720960:JJ720960 C720960:N720960 WVK655424:WVV655424 WLO655424:WLZ655424 WBS655424:WCD655424 VRW655424:VSH655424 VIA655424:VIL655424 UYE655424:UYP655424 UOI655424:UOT655424 UEM655424:UEX655424 TUQ655424:TVB655424 TKU655424:TLF655424 TAY655424:TBJ655424 SRC655424:SRN655424 SHG655424:SHR655424 RXK655424:RXV655424 RNO655424:RNZ655424 RDS655424:RED655424 QTW655424:QUH655424 QKA655424:QKL655424 QAE655424:QAP655424 PQI655424:PQT655424 PGM655424:PGX655424 OWQ655424:OXB655424 OMU655424:ONF655424 OCY655424:ODJ655424 NTC655424:NTN655424 NJG655424:NJR655424 MZK655424:MZV655424 MPO655424:MPZ655424 MFS655424:MGD655424 LVW655424:LWH655424 LMA655424:LML655424 LCE655424:LCP655424 KSI655424:KST655424 KIM655424:KIX655424 JYQ655424:JZB655424 JOU655424:JPF655424 JEY655424:JFJ655424 IVC655424:IVN655424 ILG655424:ILR655424 IBK655424:IBV655424 HRO655424:HRZ655424 HHS655424:HID655424 GXW655424:GYH655424 GOA655424:GOL655424 GEE655424:GEP655424 FUI655424:FUT655424 FKM655424:FKX655424 FAQ655424:FBB655424 EQU655424:ERF655424 EGY655424:EHJ655424 DXC655424:DXN655424 DNG655424:DNR655424 DDK655424:DDV655424 CTO655424:CTZ655424 CJS655424:CKD655424 BZW655424:CAH655424 BQA655424:BQL655424 BGE655424:BGP655424 AWI655424:AWT655424 AMM655424:AMX655424 ACQ655424:ADB655424 SU655424:TF655424 IY655424:JJ655424 C655424:N655424 WVK589888:WVV589888 WLO589888:WLZ589888 WBS589888:WCD589888 VRW589888:VSH589888 VIA589888:VIL589888 UYE589888:UYP589888 UOI589888:UOT589888 UEM589888:UEX589888 TUQ589888:TVB589888 TKU589888:TLF589888 TAY589888:TBJ589888 SRC589888:SRN589888 SHG589888:SHR589888 RXK589888:RXV589888 RNO589888:RNZ589888 RDS589888:RED589888 QTW589888:QUH589888 QKA589888:QKL589888 QAE589888:QAP589888 PQI589888:PQT589888 PGM589888:PGX589888 OWQ589888:OXB589888 OMU589888:ONF589888 OCY589888:ODJ589888 NTC589888:NTN589888 NJG589888:NJR589888 MZK589888:MZV589888 MPO589888:MPZ589888 MFS589888:MGD589888 LVW589888:LWH589888 LMA589888:LML589888 LCE589888:LCP589888 KSI589888:KST589888 KIM589888:KIX589888 JYQ589888:JZB589888 JOU589888:JPF589888 JEY589888:JFJ589888 IVC589888:IVN589888 ILG589888:ILR589888 IBK589888:IBV589888 HRO589888:HRZ589888 HHS589888:HID589888 GXW589888:GYH589888 GOA589888:GOL589888 GEE589888:GEP589888 FUI589888:FUT589888 FKM589888:FKX589888 FAQ589888:FBB589888 EQU589888:ERF589888 EGY589888:EHJ589888 DXC589888:DXN589888 DNG589888:DNR589888 DDK589888:DDV589888 CTO589888:CTZ589888 CJS589888:CKD589888 BZW589888:CAH589888 BQA589888:BQL589888 BGE589888:BGP589888 AWI589888:AWT589888 AMM589888:AMX589888 ACQ589888:ADB589888 SU589888:TF589888 IY589888:JJ589888 C589888:N589888 WVK524352:WVV524352 WLO524352:WLZ524352 WBS524352:WCD524352 VRW524352:VSH524352 VIA524352:VIL524352 UYE524352:UYP524352 UOI524352:UOT524352 UEM524352:UEX524352 TUQ524352:TVB524352 TKU524352:TLF524352 TAY524352:TBJ524352 SRC524352:SRN524352 SHG524352:SHR524352 RXK524352:RXV524352 RNO524352:RNZ524352 RDS524352:RED524352 QTW524352:QUH524352 QKA524352:QKL524352 QAE524352:QAP524352 PQI524352:PQT524352 PGM524352:PGX524352 OWQ524352:OXB524352 OMU524352:ONF524352 OCY524352:ODJ524352 NTC524352:NTN524352 NJG524352:NJR524352 MZK524352:MZV524352 MPO524352:MPZ524352 MFS524352:MGD524352 LVW524352:LWH524352 LMA524352:LML524352 LCE524352:LCP524352 KSI524352:KST524352 KIM524352:KIX524352 JYQ524352:JZB524352 JOU524352:JPF524352 JEY524352:JFJ524352 IVC524352:IVN524352 ILG524352:ILR524352 IBK524352:IBV524352 HRO524352:HRZ524352 HHS524352:HID524352 GXW524352:GYH524352 GOA524352:GOL524352 GEE524352:GEP524352 FUI524352:FUT524352 FKM524352:FKX524352 FAQ524352:FBB524352 EQU524352:ERF524352 EGY524352:EHJ524352 DXC524352:DXN524352 DNG524352:DNR524352 DDK524352:DDV524352 CTO524352:CTZ524352 CJS524352:CKD524352 BZW524352:CAH524352 BQA524352:BQL524352 BGE524352:BGP524352 AWI524352:AWT524352 AMM524352:AMX524352 ACQ524352:ADB524352 SU524352:TF524352 IY524352:JJ524352 C524352:N524352 WVK458816:WVV458816 WLO458816:WLZ458816 WBS458816:WCD458816 VRW458816:VSH458816 VIA458816:VIL458816 UYE458816:UYP458816 UOI458816:UOT458816 UEM458816:UEX458816 TUQ458816:TVB458816 TKU458816:TLF458816 TAY458816:TBJ458816 SRC458816:SRN458816 SHG458816:SHR458816 RXK458816:RXV458816 RNO458816:RNZ458816 RDS458816:RED458816 QTW458816:QUH458816 QKA458816:QKL458816 QAE458816:QAP458816 PQI458816:PQT458816 PGM458816:PGX458816 OWQ458816:OXB458816 OMU458816:ONF458816 OCY458816:ODJ458816 NTC458816:NTN458816 NJG458816:NJR458816 MZK458816:MZV458816 MPO458816:MPZ458816 MFS458816:MGD458816 LVW458816:LWH458816 LMA458816:LML458816 LCE458816:LCP458816 KSI458816:KST458816 KIM458816:KIX458816 JYQ458816:JZB458816 JOU458816:JPF458816 JEY458816:JFJ458816 IVC458816:IVN458816 ILG458816:ILR458816 IBK458816:IBV458816 HRO458816:HRZ458816 HHS458816:HID458816 GXW458816:GYH458816 GOA458816:GOL458816 GEE458816:GEP458816 FUI458816:FUT458816 FKM458816:FKX458816 FAQ458816:FBB458816 EQU458816:ERF458816 EGY458816:EHJ458816 DXC458816:DXN458816 DNG458816:DNR458816 DDK458816:DDV458816 CTO458816:CTZ458816 CJS458816:CKD458816 BZW458816:CAH458816 BQA458816:BQL458816 BGE458816:BGP458816 AWI458816:AWT458816 AMM458816:AMX458816 ACQ458816:ADB458816 SU458816:TF458816 IY458816:JJ458816 C458816:N458816 WVK393280:WVV393280 WLO393280:WLZ393280 WBS393280:WCD393280 VRW393280:VSH393280 VIA393280:VIL393280 UYE393280:UYP393280 UOI393280:UOT393280 UEM393280:UEX393280 TUQ393280:TVB393280 TKU393280:TLF393280 TAY393280:TBJ393280 SRC393280:SRN393280 SHG393280:SHR393280 RXK393280:RXV393280 RNO393280:RNZ393280 RDS393280:RED393280 QTW393280:QUH393280 QKA393280:QKL393280 QAE393280:QAP393280 PQI393280:PQT393280 PGM393280:PGX393280 OWQ393280:OXB393280 OMU393280:ONF393280 OCY393280:ODJ393280 NTC393280:NTN393280 NJG393280:NJR393280 MZK393280:MZV393280 MPO393280:MPZ393280 MFS393280:MGD393280 LVW393280:LWH393280 LMA393280:LML393280 LCE393280:LCP393280 KSI393280:KST393280 KIM393280:KIX393280 JYQ393280:JZB393280 JOU393280:JPF393280 JEY393280:JFJ393280 IVC393280:IVN393280 ILG393280:ILR393280 IBK393280:IBV393280 HRO393280:HRZ393280 HHS393280:HID393280 GXW393280:GYH393280 GOA393280:GOL393280 GEE393280:GEP393280 FUI393280:FUT393280 FKM393280:FKX393280 FAQ393280:FBB393280 EQU393280:ERF393280 EGY393280:EHJ393280 DXC393280:DXN393280 DNG393280:DNR393280 DDK393280:DDV393280 CTO393280:CTZ393280 CJS393280:CKD393280 BZW393280:CAH393280 BQA393280:BQL393280 BGE393280:BGP393280 AWI393280:AWT393280 AMM393280:AMX393280 ACQ393280:ADB393280 SU393280:TF393280 IY393280:JJ393280 C393280:N393280 WVK327744:WVV327744 WLO327744:WLZ327744 WBS327744:WCD327744 VRW327744:VSH327744 VIA327744:VIL327744 UYE327744:UYP327744 UOI327744:UOT327744 UEM327744:UEX327744 TUQ327744:TVB327744 TKU327744:TLF327744 TAY327744:TBJ327744 SRC327744:SRN327744 SHG327744:SHR327744 RXK327744:RXV327744 RNO327744:RNZ327744 RDS327744:RED327744 QTW327744:QUH327744 QKA327744:QKL327744 QAE327744:QAP327744 PQI327744:PQT327744 PGM327744:PGX327744 OWQ327744:OXB327744 OMU327744:ONF327744 OCY327744:ODJ327744 NTC327744:NTN327744 NJG327744:NJR327744 MZK327744:MZV327744 MPO327744:MPZ327744 MFS327744:MGD327744 LVW327744:LWH327744 LMA327744:LML327744 LCE327744:LCP327744 KSI327744:KST327744 KIM327744:KIX327744 JYQ327744:JZB327744 JOU327744:JPF327744 JEY327744:JFJ327744 IVC327744:IVN327744 ILG327744:ILR327744 IBK327744:IBV327744 HRO327744:HRZ327744 HHS327744:HID327744 GXW327744:GYH327744 GOA327744:GOL327744 GEE327744:GEP327744 FUI327744:FUT327744 FKM327744:FKX327744 FAQ327744:FBB327744 EQU327744:ERF327744 EGY327744:EHJ327744 DXC327744:DXN327744 DNG327744:DNR327744 DDK327744:DDV327744 CTO327744:CTZ327744 CJS327744:CKD327744 BZW327744:CAH327744 BQA327744:BQL327744 BGE327744:BGP327744 AWI327744:AWT327744 AMM327744:AMX327744 ACQ327744:ADB327744 SU327744:TF327744 IY327744:JJ327744 C327744:N327744 WVK262208:WVV262208 WLO262208:WLZ262208 WBS262208:WCD262208 VRW262208:VSH262208 VIA262208:VIL262208 UYE262208:UYP262208 UOI262208:UOT262208 UEM262208:UEX262208 TUQ262208:TVB262208 TKU262208:TLF262208 TAY262208:TBJ262208 SRC262208:SRN262208 SHG262208:SHR262208 RXK262208:RXV262208 RNO262208:RNZ262208 RDS262208:RED262208 QTW262208:QUH262208 QKA262208:QKL262208 QAE262208:QAP262208 PQI262208:PQT262208 PGM262208:PGX262208 OWQ262208:OXB262208 OMU262208:ONF262208 OCY262208:ODJ262208 NTC262208:NTN262208 NJG262208:NJR262208 MZK262208:MZV262208 MPO262208:MPZ262208 MFS262208:MGD262208 LVW262208:LWH262208 LMA262208:LML262208 LCE262208:LCP262208 KSI262208:KST262208 KIM262208:KIX262208 JYQ262208:JZB262208 JOU262208:JPF262208 JEY262208:JFJ262208 IVC262208:IVN262208 ILG262208:ILR262208 IBK262208:IBV262208 HRO262208:HRZ262208 HHS262208:HID262208 GXW262208:GYH262208 GOA262208:GOL262208 GEE262208:GEP262208 FUI262208:FUT262208 FKM262208:FKX262208 FAQ262208:FBB262208 EQU262208:ERF262208 EGY262208:EHJ262208 DXC262208:DXN262208 DNG262208:DNR262208 DDK262208:DDV262208 CTO262208:CTZ262208 CJS262208:CKD262208 BZW262208:CAH262208 BQA262208:BQL262208 BGE262208:BGP262208 AWI262208:AWT262208 AMM262208:AMX262208 ACQ262208:ADB262208 SU262208:TF262208 IY262208:JJ262208 C262208:N262208 WVK196672:WVV196672 WLO196672:WLZ196672 WBS196672:WCD196672 VRW196672:VSH196672 VIA196672:VIL196672 UYE196672:UYP196672 UOI196672:UOT196672 UEM196672:UEX196672 TUQ196672:TVB196672 TKU196672:TLF196672 TAY196672:TBJ196672 SRC196672:SRN196672 SHG196672:SHR196672 RXK196672:RXV196672 RNO196672:RNZ196672 RDS196672:RED196672 QTW196672:QUH196672 QKA196672:QKL196672 QAE196672:QAP196672 PQI196672:PQT196672 PGM196672:PGX196672 OWQ196672:OXB196672 OMU196672:ONF196672 OCY196672:ODJ196672 NTC196672:NTN196672 NJG196672:NJR196672 MZK196672:MZV196672 MPO196672:MPZ196672 MFS196672:MGD196672 LVW196672:LWH196672 LMA196672:LML196672 LCE196672:LCP196672 KSI196672:KST196672 KIM196672:KIX196672 JYQ196672:JZB196672 JOU196672:JPF196672 JEY196672:JFJ196672 IVC196672:IVN196672 ILG196672:ILR196672 IBK196672:IBV196672 HRO196672:HRZ196672 HHS196672:HID196672 GXW196672:GYH196672 GOA196672:GOL196672 GEE196672:GEP196672 FUI196672:FUT196672 FKM196672:FKX196672 FAQ196672:FBB196672 EQU196672:ERF196672 EGY196672:EHJ196672 DXC196672:DXN196672 DNG196672:DNR196672 DDK196672:DDV196672 CTO196672:CTZ196672 CJS196672:CKD196672 BZW196672:CAH196672 BQA196672:BQL196672 BGE196672:BGP196672 AWI196672:AWT196672 AMM196672:AMX196672 ACQ196672:ADB196672 SU196672:TF196672 IY196672:JJ196672 C196672:N196672 WVK131136:WVV131136 WLO131136:WLZ131136 WBS131136:WCD131136 VRW131136:VSH131136 VIA131136:VIL131136 UYE131136:UYP131136 UOI131136:UOT131136 UEM131136:UEX131136 TUQ131136:TVB131136 TKU131136:TLF131136 TAY131136:TBJ131136 SRC131136:SRN131136 SHG131136:SHR131136 RXK131136:RXV131136 RNO131136:RNZ131136 RDS131136:RED131136 QTW131136:QUH131136 QKA131136:QKL131136 QAE131136:QAP131136 PQI131136:PQT131136 PGM131136:PGX131136 OWQ131136:OXB131136 OMU131136:ONF131136 OCY131136:ODJ131136 NTC131136:NTN131136 NJG131136:NJR131136 MZK131136:MZV131136 MPO131136:MPZ131136 MFS131136:MGD131136 LVW131136:LWH131136 LMA131136:LML131136 LCE131136:LCP131136 KSI131136:KST131136 KIM131136:KIX131136 JYQ131136:JZB131136 JOU131136:JPF131136 JEY131136:JFJ131136 IVC131136:IVN131136 ILG131136:ILR131136 IBK131136:IBV131136 HRO131136:HRZ131136 HHS131136:HID131136 GXW131136:GYH131136 GOA131136:GOL131136 GEE131136:GEP131136 FUI131136:FUT131136 FKM131136:FKX131136 FAQ131136:FBB131136 EQU131136:ERF131136 EGY131136:EHJ131136 DXC131136:DXN131136 DNG131136:DNR131136 DDK131136:DDV131136 CTO131136:CTZ131136 CJS131136:CKD131136 BZW131136:CAH131136 BQA131136:BQL131136 BGE131136:BGP131136 AWI131136:AWT131136 AMM131136:AMX131136 ACQ131136:ADB131136 SU131136:TF131136 IY131136:JJ131136 C131136:N131136 WVK65600:WVV65600 WLO65600:WLZ65600 WBS65600:WCD65600 VRW65600:VSH65600 VIA65600:VIL65600 UYE65600:UYP65600 UOI65600:UOT65600 UEM65600:UEX65600 TUQ65600:TVB65600 TKU65600:TLF65600 TAY65600:TBJ65600 SRC65600:SRN65600 SHG65600:SHR65600 RXK65600:RXV65600 RNO65600:RNZ65600 RDS65600:RED65600 QTW65600:QUH65600 QKA65600:QKL65600 QAE65600:QAP65600 PQI65600:PQT65600 PGM65600:PGX65600 OWQ65600:OXB65600 OMU65600:ONF65600 OCY65600:ODJ65600 NTC65600:NTN65600 NJG65600:NJR65600 MZK65600:MZV65600 MPO65600:MPZ65600 MFS65600:MGD65600 LVW65600:LWH65600 LMA65600:LML65600 LCE65600:LCP65600 KSI65600:KST65600 KIM65600:KIX65600 JYQ65600:JZB65600 JOU65600:JPF65600 JEY65600:JFJ65600 IVC65600:IVN65600 ILG65600:ILR65600 IBK65600:IBV65600 HRO65600:HRZ65600 HHS65600:HID65600 GXW65600:GYH65600 GOA65600:GOL65600 GEE65600:GEP65600 FUI65600:FUT65600 FKM65600:FKX65600 FAQ65600:FBB65600 EQU65600:ERF65600 EGY65600:EHJ65600 DXC65600:DXN65600 DNG65600:DNR65600 DDK65600:DDV65600 CTO65600:CTZ65600 CJS65600:CKD65600 BZW65600:CAH65600 BQA65600:BQL65600 BGE65600:BGP65600 AWI65600:AWT65600 AMM65600:AMX65600 ACQ65600:ADB65600 SU65600:TF65600 IY65600:JJ65600 C65600:N65600 WVK146:WVV146 WLO146:WLZ146 WBS146:WCD146 VRW146:VSH146 VIA146:VIL146 UYE146:UYP146 UOI146:UOT146 UEM146:UEX146 TUQ146:TVB146 TKU146:TLF146 TAY146:TBJ146 SRC146:SRN146 SHG146:SHR146 RXK146:RXV146 RNO146:RNZ146 RDS146:RED146 QTW146:QUH146 QKA146:QKL146 QAE146:QAP146 PQI146:PQT146 PGM146:PGX146 OWQ146:OXB146 OMU146:ONF146 OCY146:ODJ146 NTC146:NTN146 NJG146:NJR146 MZK146:MZV146 MPO146:MPZ146 MFS146:MGD146 LVW146:LWH146 LMA146:LML146 LCE146:LCP146 KSI146:KST146 KIM146:KIX146 JYQ146:JZB146 JOU146:JPF146 JEY146:JFJ146 IVC146:IVN146 ILG146:ILR146 IBK146:IBV146 HRO146:HRZ146 HHS146:HID146 GXW146:GYH146 GOA146:GOL146 GEE146:GEP146 FUI146:FUT146 FKM146:FKX146 FAQ146:FBB146 EQU146:ERF146 EGY146:EHJ146 DXC146:DXN146 DNG146:DNR146 DDK146:DDV146 CTO146:CTZ146 CJS146:CKD146 BZW146:CAH146 BQA146:BQL146 BGE146:BGP146 AWI146:AWT146 AMM146:AMX146 ACQ146:ADB146 SU146:TF146 IY146:JJ146 IY206:JJ206 WVK983164:WVV983164 WLO983164:WLZ983164 WBS983164:WCD983164 VRW983164:VSH983164 VIA983164:VIL983164 UYE983164:UYP983164 UOI983164:UOT983164 UEM983164:UEX983164 TUQ983164:TVB983164 TKU983164:TLF983164 TAY983164:TBJ983164 SRC983164:SRN983164 SHG983164:SHR983164 RXK983164:RXV983164 RNO983164:RNZ983164 RDS983164:RED983164 QTW983164:QUH983164 QKA983164:QKL983164 QAE983164:QAP983164 PQI983164:PQT983164 PGM983164:PGX983164 OWQ983164:OXB983164 OMU983164:ONF983164 OCY983164:ODJ983164 NTC983164:NTN983164 NJG983164:NJR983164 MZK983164:MZV983164 MPO983164:MPZ983164 MFS983164:MGD983164 LVW983164:LWH983164 LMA983164:LML983164 LCE983164:LCP983164 KSI983164:KST983164 KIM983164:KIX983164 JYQ983164:JZB983164 JOU983164:JPF983164 JEY983164:JFJ983164 IVC983164:IVN983164 ILG983164:ILR983164 IBK983164:IBV983164 HRO983164:HRZ983164 HHS983164:HID983164 GXW983164:GYH983164 GOA983164:GOL983164 GEE983164:GEP983164 FUI983164:FUT983164 FKM983164:FKX983164 FAQ983164:FBB983164 EQU983164:ERF983164 EGY983164:EHJ983164 DXC983164:DXN983164 DNG983164:DNR983164 DDK983164:DDV983164 CTO983164:CTZ983164 CJS983164:CKD983164 BZW983164:CAH983164 BQA983164:BQL983164 BGE983164:BGP983164 AWI983164:AWT983164 AMM983164:AMX983164 ACQ983164:ADB983164 SU983164:TF983164 IY983164:JJ983164 C983164:N983164 WVK917628:WVV917628 WLO917628:WLZ917628 WBS917628:WCD917628 VRW917628:VSH917628 VIA917628:VIL917628 UYE917628:UYP917628 UOI917628:UOT917628 UEM917628:UEX917628 TUQ917628:TVB917628 TKU917628:TLF917628 TAY917628:TBJ917628 SRC917628:SRN917628 SHG917628:SHR917628 RXK917628:RXV917628 RNO917628:RNZ917628 RDS917628:RED917628 QTW917628:QUH917628 QKA917628:QKL917628 QAE917628:QAP917628 PQI917628:PQT917628 PGM917628:PGX917628 OWQ917628:OXB917628 OMU917628:ONF917628 OCY917628:ODJ917628 NTC917628:NTN917628 NJG917628:NJR917628 MZK917628:MZV917628 MPO917628:MPZ917628 MFS917628:MGD917628 LVW917628:LWH917628 LMA917628:LML917628 LCE917628:LCP917628 KSI917628:KST917628 KIM917628:KIX917628 JYQ917628:JZB917628 JOU917628:JPF917628 JEY917628:JFJ917628 IVC917628:IVN917628 ILG917628:ILR917628 IBK917628:IBV917628 HRO917628:HRZ917628 HHS917628:HID917628 GXW917628:GYH917628 GOA917628:GOL917628 GEE917628:GEP917628 FUI917628:FUT917628 FKM917628:FKX917628 FAQ917628:FBB917628 EQU917628:ERF917628 EGY917628:EHJ917628 DXC917628:DXN917628 DNG917628:DNR917628 DDK917628:DDV917628 CTO917628:CTZ917628 CJS917628:CKD917628 BZW917628:CAH917628 BQA917628:BQL917628 BGE917628:BGP917628 AWI917628:AWT917628 AMM917628:AMX917628 ACQ917628:ADB917628 SU917628:TF917628 IY917628:JJ917628 C917628:N917628 WVK852092:WVV852092 WLO852092:WLZ852092 WBS852092:WCD852092 VRW852092:VSH852092 VIA852092:VIL852092 UYE852092:UYP852092 UOI852092:UOT852092 UEM852092:UEX852092 TUQ852092:TVB852092 TKU852092:TLF852092 TAY852092:TBJ852092 SRC852092:SRN852092 SHG852092:SHR852092 RXK852092:RXV852092 RNO852092:RNZ852092 RDS852092:RED852092 QTW852092:QUH852092 QKA852092:QKL852092 QAE852092:QAP852092 PQI852092:PQT852092 PGM852092:PGX852092 OWQ852092:OXB852092 OMU852092:ONF852092 OCY852092:ODJ852092 NTC852092:NTN852092 NJG852092:NJR852092 MZK852092:MZV852092 MPO852092:MPZ852092 MFS852092:MGD852092 LVW852092:LWH852092 LMA852092:LML852092 LCE852092:LCP852092 KSI852092:KST852092 KIM852092:KIX852092 JYQ852092:JZB852092 JOU852092:JPF852092 JEY852092:JFJ852092 IVC852092:IVN852092 ILG852092:ILR852092 IBK852092:IBV852092 HRO852092:HRZ852092 HHS852092:HID852092 GXW852092:GYH852092 GOA852092:GOL852092 GEE852092:GEP852092 FUI852092:FUT852092 FKM852092:FKX852092 FAQ852092:FBB852092 EQU852092:ERF852092 EGY852092:EHJ852092 DXC852092:DXN852092 DNG852092:DNR852092 DDK852092:DDV852092 CTO852092:CTZ852092 CJS852092:CKD852092 BZW852092:CAH852092 BQA852092:BQL852092 BGE852092:BGP852092 AWI852092:AWT852092 AMM852092:AMX852092 ACQ852092:ADB852092 SU852092:TF852092 IY852092:JJ852092 C852092:N852092 WVK786556:WVV786556 WLO786556:WLZ786556 WBS786556:WCD786556 VRW786556:VSH786556 VIA786556:VIL786556 UYE786556:UYP786556 UOI786556:UOT786556 UEM786556:UEX786556 TUQ786556:TVB786556 TKU786556:TLF786556 TAY786556:TBJ786556 SRC786556:SRN786556 SHG786556:SHR786556 RXK786556:RXV786556 RNO786556:RNZ786556 RDS786556:RED786556 QTW786556:QUH786556 QKA786556:QKL786556 QAE786556:QAP786556 PQI786556:PQT786556 PGM786556:PGX786556 OWQ786556:OXB786556 OMU786556:ONF786556 OCY786556:ODJ786556 NTC786556:NTN786556 NJG786556:NJR786556 MZK786556:MZV786556 MPO786556:MPZ786556 MFS786556:MGD786556 LVW786556:LWH786556 LMA786556:LML786556 LCE786556:LCP786556 KSI786556:KST786556 KIM786556:KIX786556 JYQ786556:JZB786556 JOU786556:JPF786556 JEY786556:JFJ786556 IVC786556:IVN786556 ILG786556:ILR786556 IBK786556:IBV786556 HRO786556:HRZ786556 HHS786556:HID786556 GXW786556:GYH786556 GOA786556:GOL786556 GEE786556:GEP786556 FUI786556:FUT786556 FKM786556:FKX786556 FAQ786556:FBB786556 EQU786556:ERF786556 EGY786556:EHJ786556 DXC786556:DXN786556 DNG786556:DNR786556 DDK786556:DDV786556 CTO786556:CTZ786556 CJS786556:CKD786556 BZW786556:CAH786556 BQA786556:BQL786556 BGE786556:BGP786556 AWI786556:AWT786556 AMM786556:AMX786556 ACQ786556:ADB786556 SU786556:TF786556 IY786556:JJ786556 C786556:N786556 WVK721020:WVV721020 WLO721020:WLZ721020 WBS721020:WCD721020 VRW721020:VSH721020 VIA721020:VIL721020 UYE721020:UYP721020 UOI721020:UOT721020 UEM721020:UEX721020 TUQ721020:TVB721020 TKU721020:TLF721020 TAY721020:TBJ721020 SRC721020:SRN721020 SHG721020:SHR721020 RXK721020:RXV721020 RNO721020:RNZ721020 RDS721020:RED721020 QTW721020:QUH721020 QKA721020:QKL721020 QAE721020:QAP721020 PQI721020:PQT721020 PGM721020:PGX721020 OWQ721020:OXB721020 OMU721020:ONF721020 OCY721020:ODJ721020 NTC721020:NTN721020 NJG721020:NJR721020 MZK721020:MZV721020 MPO721020:MPZ721020 MFS721020:MGD721020 LVW721020:LWH721020 LMA721020:LML721020 LCE721020:LCP721020 KSI721020:KST721020 KIM721020:KIX721020 JYQ721020:JZB721020 JOU721020:JPF721020 JEY721020:JFJ721020 IVC721020:IVN721020 ILG721020:ILR721020 IBK721020:IBV721020 HRO721020:HRZ721020 HHS721020:HID721020 GXW721020:GYH721020 GOA721020:GOL721020 GEE721020:GEP721020 FUI721020:FUT721020 FKM721020:FKX721020 FAQ721020:FBB721020 EQU721020:ERF721020 EGY721020:EHJ721020 DXC721020:DXN721020 DNG721020:DNR721020 DDK721020:DDV721020 CTO721020:CTZ721020 CJS721020:CKD721020 BZW721020:CAH721020 BQA721020:BQL721020 BGE721020:BGP721020 AWI721020:AWT721020 AMM721020:AMX721020 ACQ721020:ADB721020 SU721020:TF721020 IY721020:JJ721020 C721020:N721020 WVK655484:WVV655484 WLO655484:WLZ655484 WBS655484:WCD655484 VRW655484:VSH655484 VIA655484:VIL655484 UYE655484:UYP655484 UOI655484:UOT655484 UEM655484:UEX655484 TUQ655484:TVB655484 TKU655484:TLF655484 TAY655484:TBJ655484 SRC655484:SRN655484 SHG655484:SHR655484 RXK655484:RXV655484 RNO655484:RNZ655484 RDS655484:RED655484 QTW655484:QUH655484 QKA655484:QKL655484 QAE655484:QAP655484 PQI655484:PQT655484 PGM655484:PGX655484 OWQ655484:OXB655484 OMU655484:ONF655484 OCY655484:ODJ655484 NTC655484:NTN655484 NJG655484:NJR655484 MZK655484:MZV655484 MPO655484:MPZ655484 MFS655484:MGD655484 LVW655484:LWH655484 LMA655484:LML655484 LCE655484:LCP655484 KSI655484:KST655484 KIM655484:KIX655484 JYQ655484:JZB655484 JOU655484:JPF655484 JEY655484:JFJ655484 IVC655484:IVN655484 ILG655484:ILR655484 IBK655484:IBV655484 HRO655484:HRZ655484 HHS655484:HID655484 GXW655484:GYH655484 GOA655484:GOL655484 GEE655484:GEP655484 FUI655484:FUT655484 FKM655484:FKX655484 FAQ655484:FBB655484 EQU655484:ERF655484 EGY655484:EHJ655484 DXC655484:DXN655484 DNG655484:DNR655484 DDK655484:DDV655484 CTO655484:CTZ655484 CJS655484:CKD655484 BZW655484:CAH655484 BQA655484:BQL655484 BGE655484:BGP655484 AWI655484:AWT655484 AMM655484:AMX655484 ACQ655484:ADB655484 SU655484:TF655484 IY655484:JJ655484 C655484:N655484 WVK589948:WVV589948 WLO589948:WLZ589948 WBS589948:WCD589948 VRW589948:VSH589948 VIA589948:VIL589948 UYE589948:UYP589948 UOI589948:UOT589948 UEM589948:UEX589948 TUQ589948:TVB589948 TKU589948:TLF589948 TAY589948:TBJ589948 SRC589948:SRN589948 SHG589948:SHR589948 RXK589948:RXV589948 RNO589948:RNZ589948 RDS589948:RED589948 QTW589948:QUH589948 QKA589948:QKL589948 QAE589948:QAP589948 PQI589948:PQT589948 PGM589948:PGX589948 OWQ589948:OXB589948 OMU589948:ONF589948 OCY589948:ODJ589948 NTC589948:NTN589948 NJG589948:NJR589948 MZK589948:MZV589948 MPO589948:MPZ589948 MFS589948:MGD589948 LVW589948:LWH589948 LMA589948:LML589948 LCE589948:LCP589948 KSI589948:KST589948 KIM589948:KIX589948 JYQ589948:JZB589948 JOU589948:JPF589948 JEY589948:JFJ589948 IVC589948:IVN589948 ILG589948:ILR589948 IBK589948:IBV589948 HRO589948:HRZ589948 HHS589948:HID589948 GXW589948:GYH589948 GOA589948:GOL589948 GEE589948:GEP589948 FUI589948:FUT589948 FKM589948:FKX589948 FAQ589948:FBB589948 EQU589948:ERF589948 EGY589948:EHJ589948 DXC589948:DXN589948 DNG589948:DNR589948 DDK589948:DDV589948 CTO589948:CTZ589948 CJS589948:CKD589948 BZW589948:CAH589948 BQA589948:BQL589948 BGE589948:BGP589948 AWI589948:AWT589948 AMM589948:AMX589948 ACQ589948:ADB589948 SU589948:TF589948 IY589948:JJ589948 C589948:N589948 WVK524412:WVV524412 WLO524412:WLZ524412 WBS524412:WCD524412 VRW524412:VSH524412 VIA524412:VIL524412 UYE524412:UYP524412 UOI524412:UOT524412 UEM524412:UEX524412 TUQ524412:TVB524412 TKU524412:TLF524412 TAY524412:TBJ524412 SRC524412:SRN524412 SHG524412:SHR524412 RXK524412:RXV524412 RNO524412:RNZ524412 RDS524412:RED524412 QTW524412:QUH524412 QKA524412:QKL524412 QAE524412:QAP524412 PQI524412:PQT524412 PGM524412:PGX524412 OWQ524412:OXB524412 OMU524412:ONF524412 OCY524412:ODJ524412 NTC524412:NTN524412 NJG524412:NJR524412 MZK524412:MZV524412 MPO524412:MPZ524412 MFS524412:MGD524412 LVW524412:LWH524412 LMA524412:LML524412 LCE524412:LCP524412 KSI524412:KST524412 KIM524412:KIX524412 JYQ524412:JZB524412 JOU524412:JPF524412 JEY524412:JFJ524412 IVC524412:IVN524412 ILG524412:ILR524412 IBK524412:IBV524412 HRO524412:HRZ524412 HHS524412:HID524412 GXW524412:GYH524412 GOA524412:GOL524412 GEE524412:GEP524412 FUI524412:FUT524412 FKM524412:FKX524412 FAQ524412:FBB524412 EQU524412:ERF524412 EGY524412:EHJ524412 DXC524412:DXN524412 DNG524412:DNR524412 DDK524412:DDV524412 CTO524412:CTZ524412 CJS524412:CKD524412 BZW524412:CAH524412 BQA524412:BQL524412 BGE524412:BGP524412 AWI524412:AWT524412 AMM524412:AMX524412 ACQ524412:ADB524412 SU524412:TF524412 IY524412:JJ524412 C524412:N524412 WVK458876:WVV458876 WLO458876:WLZ458876 WBS458876:WCD458876 VRW458876:VSH458876 VIA458876:VIL458876 UYE458876:UYP458876 UOI458876:UOT458876 UEM458876:UEX458876 TUQ458876:TVB458876 TKU458876:TLF458876 TAY458876:TBJ458876 SRC458876:SRN458876 SHG458876:SHR458876 RXK458876:RXV458876 RNO458876:RNZ458876 RDS458876:RED458876 QTW458876:QUH458876 QKA458876:QKL458876 QAE458876:QAP458876 PQI458876:PQT458876 PGM458876:PGX458876 OWQ458876:OXB458876 OMU458876:ONF458876 OCY458876:ODJ458876 NTC458876:NTN458876 NJG458876:NJR458876 MZK458876:MZV458876 MPO458876:MPZ458876 MFS458876:MGD458876 LVW458876:LWH458876 LMA458876:LML458876 LCE458876:LCP458876 KSI458876:KST458876 KIM458876:KIX458876 JYQ458876:JZB458876 JOU458876:JPF458876 JEY458876:JFJ458876 IVC458876:IVN458876 ILG458876:ILR458876 IBK458876:IBV458876 HRO458876:HRZ458876 HHS458876:HID458876 GXW458876:GYH458876 GOA458876:GOL458876 GEE458876:GEP458876 FUI458876:FUT458876 FKM458876:FKX458876 FAQ458876:FBB458876 EQU458876:ERF458876 EGY458876:EHJ458876 DXC458876:DXN458876 DNG458876:DNR458876 DDK458876:DDV458876 CTO458876:CTZ458876 CJS458876:CKD458876 BZW458876:CAH458876 BQA458876:BQL458876 BGE458876:BGP458876 AWI458876:AWT458876 AMM458876:AMX458876 ACQ458876:ADB458876 SU458876:TF458876 IY458876:JJ458876 C458876:N458876 WVK393340:WVV393340 WLO393340:WLZ393340 WBS393340:WCD393340 VRW393340:VSH393340 VIA393340:VIL393340 UYE393340:UYP393340 UOI393340:UOT393340 UEM393340:UEX393340 TUQ393340:TVB393340 TKU393340:TLF393340 TAY393340:TBJ393340 SRC393340:SRN393340 SHG393340:SHR393340 RXK393340:RXV393340 RNO393340:RNZ393340 RDS393340:RED393340 QTW393340:QUH393340 QKA393340:QKL393340 QAE393340:QAP393340 PQI393340:PQT393340 PGM393340:PGX393340 OWQ393340:OXB393340 OMU393340:ONF393340 OCY393340:ODJ393340 NTC393340:NTN393340 NJG393340:NJR393340 MZK393340:MZV393340 MPO393340:MPZ393340 MFS393340:MGD393340 LVW393340:LWH393340 LMA393340:LML393340 LCE393340:LCP393340 KSI393340:KST393340 KIM393340:KIX393340 JYQ393340:JZB393340 JOU393340:JPF393340 JEY393340:JFJ393340 IVC393340:IVN393340 ILG393340:ILR393340 IBK393340:IBV393340 HRO393340:HRZ393340 HHS393340:HID393340 GXW393340:GYH393340 GOA393340:GOL393340 GEE393340:GEP393340 FUI393340:FUT393340 FKM393340:FKX393340 FAQ393340:FBB393340 EQU393340:ERF393340 EGY393340:EHJ393340 DXC393340:DXN393340 DNG393340:DNR393340 DDK393340:DDV393340 CTO393340:CTZ393340 CJS393340:CKD393340 BZW393340:CAH393340 BQA393340:BQL393340 BGE393340:BGP393340 AWI393340:AWT393340 AMM393340:AMX393340 ACQ393340:ADB393340 SU393340:TF393340 IY393340:JJ393340 C393340:N393340 WVK327804:WVV327804 WLO327804:WLZ327804 WBS327804:WCD327804 VRW327804:VSH327804 VIA327804:VIL327804 UYE327804:UYP327804 UOI327804:UOT327804 UEM327804:UEX327804 TUQ327804:TVB327804 TKU327804:TLF327804 TAY327804:TBJ327804 SRC327804:SRN327804 SHG327804:SHR327804 RXK327804:RXV327804 RNO327804:RNZ327804 RDS327804:RED327804 QTW327804:QUH327804 QKA327804:QKL327804 QAE327804:QAP327804 PQI327804:PQT327804 PGM327804:PGX327804 OWQ327804:OXB327804 OMU327804:ONF327804 OCY327804:ODJ327804 NTC327804:NTN327804 NJG327804:NJR327804 MZK327804:MZV327804 MPO327804:MPZ327804 MFS327804:MGD327804 LVW327804:LWH327804 LMA327804:LML327804 LCE327804:LCP327804 KSI327804:KST327804 KIM327804:KIX327804 JYQ327804:JZB327804 JOU327804:JPF327804 JEY327804:JFJ327804 IVC327804:IVN327804 ILG327804:ILR327804 IBK327804:IBV327804 HRO327804:HRZ327804 HHS327804:HID327804 GXW327804:GYH327804 GOA327804:GOL327804 GEE327804:GEP327804 FUI327804:FUT327804 FKM327804:FKX327804 FAQ327804:FBB327804 EQU327804:ERF327804 EGY327804:EHJ327804 DXC327804:DXN327804 DNG327804:DNR327804 DDK327804:DDV327804 CTO327804:CTZ327804 CJS327804:CKD327804 BZW327804:CAH327804 BQA327804:BQL327804 BGE327804:BGP327804 AWI327804:AWT327804 AMM327804:AMX327804 ACQ327804:ADB327804 SU327804:TF327804 IY327804:JJ327804 C327804:N327804 WVK262268:WVV262268 WLO262268:WLZ262268 WBS262268:WCD262268 VRW262268:VSH262268 VIA262268:VIL262268 UYE262268:UYP262268 UOI262268:UOT262268 UEM262268:UEX262268 TUQ262268:TVB262268 TKU262268:TLF262268 TAY262268:TBJ262268 SRC262268:SRN262268 SHG262268:SHR262268 RXK262268:RXV262268 RNO262268:RNZ262268 RDS262268:RED262268 QTW262268:QUH262268 QKA262268:QKL262268 QAE262268:QAP262268 PQI262268:PQT262268 PGM262268:PGX262268 OWQ262268:OXB262268 OMU262268:ONF262268 OCY262268:ODJ262268 NTC262268:NTN262268 NJG262268:NJR262268 MZK262268:MZV262268 MPO262268:MPZ262268 MFS262268:MGD262268 LVW262268:LWH262268 LMA262268:LML262268 LCE262268:LCP262268 KSI262268:KST262268 KIM262268:KIX262268 JYQ262268:JZB262268 JOU262268:JPF262268 JEY262268:JFJ262268 IVC262268:IVN262268 ILG262268:ILR262268 IBK262268:IBV262268 HRO262268:HRZ262268 HHS262268:HID262268 GXW262268:GYH262268 GOA262268:GOL262268 GEE262268:GEP262268 FUI262268:FUT262268 FKM262268:FKX262268 FAQ262268:FBB262268 EQU262268:ERF262268 EGY262268:EHJ262268 DXC262268:DXN262268 DNG262268:DNR262268 DDK262268:DDV262268 CTO262268:CTZ262268 CJS262268:CKD262268 BZW262268:CAH262268 BQA262268:BQL262268 BGE262268:BGP262268 AWI262268:AWT262268 AMM262268:AMX262268 ACQ262268:ADB262268 SU262268:TF262268 IY262268:JJ262268 C262268:N262268 WVK196732:WVV196732 WLO196732:WLZ196732 WBS196732:WCD196732 VRW196732:VSH196732 VIA196732:VIL196732 UYE196732:UYP196732 UOI196732:UOT196732 UEM196732:UEX196732 TUQ196732:TVB196732 TKU196732:TLF196732 TAY196732:TBJ196732 SRC196732:SRN196732 SHG196732:SHR196732 RXK196732:RXV196732 RNO196732:RNZ196732 RDS196732:RED196732 QTW196732:QUH196732 QKA196732:QKL196732 QAE196732:QAP196732 PQI196732:PQT196732 PGM196732:PGX196732 OWQ196732:OXB196732 OMU196732:ONF196732 OCY196732:ODJ196732 NTC196732:NTN196732 NJG196732:NJR196732 MZK196732:MZV196732 MPO196732:MPZ196732 MFS196732:MGD196732 LVW196732:LWH196732 LMA196732:LML196732 LCE196732:LCP196732 KSI196732:KST196732 KIM196732:KIX196732 JYQ196732:JZB196732 JOU196732:JPF196732 JEY196732:JFJ196732 IVC196732:IVN196732 ILG196732:ILR196732 IBK196732:IBV196732 HRO196732:HRZ196732 HHS196732:HID196732 GXW196732:GYH196732 GOA196732:GOL196732 GEE196732:GEP196732 FUI196732:FUT196732 FKM196732:FKX196732 FAQ196732:FBB196732 EQU196732:ERF196732 EGY196732:EHJ196732 DXC196732:DXN196732 DNG196732:DNR196732 DDK196732:DDV196732 CTO196732:CTZ196732 CJS196732:CKD196732 BZW196732:CAH196732 BQA196732:BQL196732 BGE196732:BGP196732 AWI196732:AWT196732 AMM196732:AMX196732 ACQ196732:ADB196732 SU196732:TF196732 IY196732:JJ196732 C196732:N196732 WVK131196:WVV131196 WLO131196:WLZ131196 WBS131196:WCD131196 VRW131196:VSH131196 VIA131196:VIL131196 UYE131196:UYP131196 UOI131196:UOT131196 UEM131196:UEX131196 TUQ131196:TVB131196 TKU131196:TLF131196 TAY131196:TBJ131196 SRC131196:SRN131196 SHG131196:SHR131196 RXK131196:RXV131196 RNO131196:RNZ131196 RDS131196:RED131196 QTW131196:QUH131196 QKA131196:QKL131196 QAE131196:QAP131196 PQI131196:PQT131196 PGM131196:PGX131196 OWQ131196:OXB131196 OMU131196:ONF131196 OCY131196:ODJ131196 NTC131196:NTN131196 NJG131196:NJR131196 MZK131196:MZV131196 MPO131196:MPZ131196 MFS131196:MGD131196 LVW131196:LWH131196 LMA131196:LML131196 LCE131196:LCP131196 KSI131196:KST131196 KIM131196:KIX131196 JYQ131196:JZB131196 JOU131196:JPF131196 JEY131196:JFJ131196 IVC131196:IVN131196 ILG131196:ILR131196 IBK131196:IBV131196 HRO131196:HRZ131196 HHS131196:HID131196 GXW131196:GYH131196 GOA131196:GOL131196 GEE131196:GEP131196 FUI131196:FUT131196 FKM131196:FKX131196 FAQ131196:FBB131196 EQU131196:ERF131196 EGY131196:EHJ131196 DXC131196:DXN131196 DNG131196:DNR131196 DDK131196:DDV131196 CTO131196:CTZ131196 CJS131196:CKD131196 BZW131196:CAH131196 BQA131196:BQL131196 BGE131196:BGP131196 AWI131196:AWT131196 AMM131196:AMX131196 ACQ131196:ADB131196 SU131196:TF131196 IY131196:JJ131196 C131196:N131196 WVK65660:WVV65660 WLO65660:WLZ65660 WBS65660:WCD65660 VRW65660:VSH65660 VIA65660:VIL65660 UYE65660:UYP65660 UOI65660:UOT65660 UEM65660:UEX65660 TUQ65660:TVB65660 TKU65660:TLF65660 TAY65660:TBJ65660 SRC65660:SRN65660 SHG65660:SHR65660 RXK65660:RXV65660 RNO65660:RNZ65660 RDS65660:RED65660 QTW65660:QUH65660 QKA65660:QKL65660 QAE65660:QAP65660 PQI65660:PQT65660 PGM65660:PGX65660 OWQ65660:OXB65660 OMU65660:ONF65660 OCY65660:ODJ65660 NTC65660:NTN65660 NJG65660:NJR65660 MZK65660:MZV65660 MPO65660:MPZ65660 MFS65660:MGD65660 LVW65660:LWH65660 LMA65660:LML65660 LCE65660:LCP65660 KSI65660:KST65660 KIM65660:KIX65660 JYQ65660:JZB65660 JOU65660:JPF65660 JEY65660:JFJ65660 IVC65660:IVN65660 ILG65660:ILR65660 IBK65660:IBV65660 HRO65660:HRZ65660 HHS65660:HID65660 GXW65660:GYH65660 GOA65660:GOL65660 GEE65660:GEP65660 FUI65660:FUT65660 FKM65660:FKX65660 FAQ65660:FBB65660 EQU65660:ERF65660 EGY65660:EHJ65660 DXC65660:DXN65660 DNG65660:DNR65660 DDK65660:DDV65660 CTO65660:CTZ65660 CJS65660:CKD65660 BZW65660:CAH65660 BQA65660:BQL65660 BGE65660:BGP65660 AWI65660:AWT65660 AMM65660:AMX65660 ACQ65660:ADB65660 SU65660:TF65660 IY65660:JJ65660 C65660:N65660 WVK206:WVV206 WLO206:WLZ206 WBS206:WCD206 VRW206:VSH206 VIA206:VIL206 UYE206:UYP206 UOI206:UOT206 UEM206:UEX206 TUQ206:TVB206 TKU206:TLF206 TAY206:TBJ206 SRC206:SRN206 SHG206:SHR206 RXK206:RXV206 RNO206:RNZ206 RDS206:RED206 QTW206:QUH206 QKA206:QKL206 QAE206:QAP206 PQI206:PQT206 PGM206:PGX206 OWQ206:OXB206 OMU206:ONF206 OCY206:ODJ206 NTC206:NTN206 NJG206:NJR206 MZK206:MZV206 MPO206:MPZ206 MFS206:MGD206 LVW206:LWH206 LMA206:LML206 LCE206:LCP206 KSI206:KST206 KIM206:KIX206 JYQ206:JZB206 JOU206:JPF206 JEY206:JFJ206 IVC206:IVN206 ILG206:ILR206 IBK206:IBV206 HRO206:HRZ206 HHS206:HID206 GXW206:GYH206 GOA206:GOL206 GEE206:GEP206 FUI206:FUT206 FKM206:FKX206 FAQ206:FBB206 EQU206:ERF206 EGY206:EHJ206 DXC206:DXN206 DNG206:DNR206</xm:sqref>
        </x14:dataValidation>
        <x14:dataValidation type="list" allowBlank="1" showInputMessage="1" showErrorMessage="1">
          <x14:formula1>
            <xm:f>$S$144:$S$181</xm:f>
          </x14:formula1>
          <xm:sqref>BGE220:BGP220 WVK983103:WVV983103 WLO983103:WLZ983103 WBS983103:WCD983103 VRW983103:VSH983103 VIA983103:VIL983103 UYE983103:UYP983103 UOI983103:UOT983103 UEM983103:UEX983103 TUQ983103:TVB983103 TKU983103:TLF983103 TAY983103:TBJ983103 SRC983103:SRN983103 SHG983103:SHR983103 RXK983103:RXV983103 RNO983103:RNZ983103 RDS983103:RED983103 QTW983103:QUH983103 QKA983103:QKL983103 QAE983103:QAP983103 PQI983103:PQT983103 PGM983103:PGX983103 OWQ983103:OXB983103 OMU983103:ONF983103 OCY983103:ODJ983103 NTC983103:NTN983103 NJG983103:NJR983103 MZK983103:MZV983103 MPO983103:MPZ983103 MFS983103:MGD983103 LVW983103:LWH983103 LMA983103:LML983103 LCE983103:LCP983103 KSI983103:KST983103 KIM983103:KIX983103 JYQ983103:JZB983103 JOU983103:JPF983103 JEY983103:JFJ983103 IVC983103:IVN983103 ILG983103:ILR983103 IBK983103:IBV983103 HRO983103:HRZ983103 HHS983103:HID983103 GXW983103:GYH983103 GOA983103:GOL983103 GEE983103:GEP983103 FUI983103:FUT983103 FKM983103:FKX983103 FAQ983103:FBB983103 EQU983103:ERF983103 EGY983103:EHJ983103 DXC983103:DXN983103 DNG983103:DNR983103 DDK983103:DDV983103 CTO983103:CTZ983103 CJS983103:CKD983103 BZW983103:CAH983103 BQA983103:BQL983103 BGE983103:BGP983103 AWI983103:AWT983103 AMM983103:AMX983103 ACQ983103:ADB983103 SU983103:TF983103 IY983103:JJ983103 C983103:N983103 WVK917567:WVV917567 WLO917567:WLZ917567 WBS917567:WCD917567 VRW917567:VSH917567 VIA917567:VIL917567 UYE917567:UYP917567 UOI917567:UOT917567 UEM917567:UEX917567 TUQ917567:TVB917567 TKU917567:TLF917567 TAY917567:TBJ917567 SRC917567:SRN917567 SHG917567:SHR917567 RXK917567:RXV917567 RNO917567:RNZ917567 RDS917567:RED917567 QTW917567:QUH917567 QKA917567:QKL917567 QAE917567:QAP917567 PQI917567:PQT917567 PGM917567:PGX917567 OWQ917567:OXB917567 OMU917567:ONF917567 OCY917567:ODJ917567 NTC917567:NTN917567 NJG917567:NJR917567 MZK917567:MZV917567 MPO917567:MPZ917567 MFS917567:MGD917567 LVW917567:LWH917567 LMA917567:LML917567 LCE917567:LCP917567 KSI917567:KST917567 KIM917567:KIX917567 JYQ917567:JZB917567 JOU917567:JPF917567 JEY917567:JFJ917567 IVC917567:IVN917567 ILG917567:ILR917567 IBK917567:IBV917567 HRO917567:HRZ917567 HHS917567:HID917567 GXW917567:GYH917567 GOA917567:GOL917567 GEE917567:GEP917567 FUI917567:FUT917567 FKM917567:FKX917567 FAQ917567:FBB917567 EQU917567:ERF917567 EGY917567:EHJ917567 DXC917567:DXN917567 DNG917567:DNR917567 DDK917567:DDV917567 CTO917567:CTZ917567 CJS917567:CKD917567 BZW917567:CAH917567 BQA917567:BQL917567 BGE917567:BGP917567 AWI917567:AWT917567 AMM917567:AMX917567 ACQ917567:ADB917567 SU917567:TF917567 IY917567:JJ917567 C917567:N917567 WVK852031:WVV852031 WLO852031:WLZ852031 WBS852031:WCD852031 VRW852031:VSH852031 VIA852031:VIL852031 UYE852031:UYP852031 UOI852031:UOT852031 UEM852031:UEX852031 TUQ852031:TVB852031 TKU852031:TLF852031 TAY852031:TBJ852031 SRC852031:SRN852031 SHG852031:SHR852031 RXK852031:RXV852031 RNO852031:RNZ852031 RDS852031:RED852031 QTW852031:QUH852031 QKA852031:QKL852031 QAE852031:QAP852031 PQI852031:PQT852031 PGM852031:PGX852031 OWQ852031:OXB852031 OMU852031:ONF852031 OCY852031:ODJ852031 NTC852031:NTN852031 NJG852031:NJR852031 MZK852031:MZV852031 MPO852031:MPZ852031 MFS852031:MGD852031 LVW852031:LWH852031 LMA852031:LML852031 LCE852031:LCP852031 KSI852031:KST852031 KIM852031:KIX852031 JYQ852031:JZB852031 JOU852031:JPF852031 JEY852031:JFJ852031 IVC852031:IVN852031 ILG852031:ILR852031 IBK852031:IBV852031 HRO852031:HRZ852031 HHS852031:HID852031 GXW852031:GYH852031 GOA852031:GOL852031 GEE852031:GEP852031 FUI852031:FUT852031 FKM852031:FKX852031 FAQ852031:FBB852031 EQU852031:ERF852031 EGY852031:EHJ852031 DXC852031:DXN852031 DNG852031:DNR852031 DDK852031:DDV852031 CTO852031:CTZ852031 CJS852031:CKD852031 BZW852031:CAH852031 BQA852031:BQL852031 BGE852031:BGP852031 AWI852031:AWT852031 AMM852031:AMX852031 ACQ852031:ADB852031 SU852031:TF852031 IY852031:JJ852031 C852031:N852031 WVK786495:WVV786495 WLO786495:WLZ786495 WBS786495:WCD786495 VRW786495:VSH786495 VIA786495:VIL786495 UYE786495:UYP786495 UOI786495:UOT786495 UEM786495:UEX786495 TUQ786495:TVB786495 TKU786495:TLF786495 TAY786495:TBJ786495 SRC786495:SRN786495 SHG786495:SHR786495 RXK786495:RXV786495 RNO786495:RNZ786495 RDS786495:RED786495 QTW786495:QUH786495 QKA786495:QKL786495 QAE786495:QAP786495 PQI786495:PQT786495 PGM786495:PGX786495 OWQ786495:OXB786495 OMU786495:ONF786495 OCY786495:ODJ786495 NTC786495:NTN786495 NJG786495:NJR786495 MZK786495:MZV786495 MPO786495:MPZ786495 MFS786495:MGD786495 LVW786495:LWH786495 LMA786495:LML786495 LCE786495:LCP786495 KSI786495:KST786495 KIM786495:KIX786495 JYQ786495:JZB786495 JOU786495:JPF786495 JEY786495:JFJ786495 IVC786495:IVN786495 ILG786495:ILR786495 IBK786495:IBV786495 HRO786495:HRZ786495 HHS786495:HID786495 GXW786495:GYH786495 GOA786495:GOL786495 GEE786495:GEP786495 FUI786495:FUT786495 FKM786495:FKX786495 FAQ786495:FBB786495 EQU786495:ERF786495 EGY786495:EHJ786495 DXC786495:DXN786495 DNG786495:DNR786495 DDK786495:DDV786495 CTO786495:CTZ786495 CJS786495:CKD786495 BZW786495:CAH786495 BQA786495:BQL786495 BGE786495:BGP786495 AWI786495:AWT786495 AMM786495:AMX786495 ACQ786495:ADB786495 SU786495:TF786495 IY786495:JJ786495 C786495:N786495 WVK720959:WVV720959 WLO720959:WLZ720959 WBS720959:WCD720959 VRW720959:VSH720959 VIA720959:VIL720959 UYE720959:UYP720959 UOI720959:UOT720959 UEM720959:UEX720959 TUQ720959:TVB720959 TKU720959:TLF720959 TAY720959:TBJ720959 SRC720959:SRN720959 SHG720959:SHR720959 RXK720959:RXV720959 RNO720959:RNZ720959 RDS720959:RED720959 QTW720959:QUH720959 QKA720959:QKL720959 QAE720959:QAP720959 PQI720959:PQT720959 PGM720959:PGX720959 OWQ720959:OXB720959 OMU720959:ONF720959 OCY720959:ODJ720959 NTC720959:NTN720959 NJG720959:NJR720959 MZK720959:MZV720959 MPO720959:MPZ720959 MFS720959:MGD720959 LVW720959:LWH720959 LMA720959:LML720959 LCE720959:LCP720959 KSI720959:KST720959 KIM720959:KIX720959 JYQ720959:JZB720959 JOU720959:JPF720959 JEY720959:JFJ720959 IVC720959:IVN720959 ILG720959:ILR720959 IBK720959:IBV720959 HRO720959:HRZ720959 HHS720959:HID720959 GXW720959:GYH720959 GOA720959:GOL720959 GEE720959:GEP720959 FUI720959:FUT720959 FKM720959:FKX720959 FAQ720959:FBB720959 EQU720959:ERF720959 EGY720959:EHJ720959 DXC720959:DXN720959 DNG720959:DNR720959 DDK720959:DDV720959 CTO720959:CTZ720959 CJS720959:CKD720959 BZW720959:CAH720959 BQA720959:BQL720959 BGE720959:BGP720959 AWI720959:AWT720959 AMM720959:AMX720959 ACQ720959:ADB720959 SU720959:TF720959 IY720959:JJ720959 C720959:N720959 WVK655423:WVV655423 WLO655423:WLZ655423 WBS655423:WCD655423 VRW655423:VSH655423 VIA655423:VIL655423 UYE655423:UYP655423 UOI655423:UOT655423 UEM655423:UEX655423 TUQ655423:TVB655423 TKU655423:TLF655423 TAY655423:TBJ655423 SRC655423:SRN655423 SHG655423:SHR655423 RXK655423:RXV655423 RNO655423:RNZ655423 RDS655423:RED655423 QTW655423:QUH655423 QKA655423:QKL655423 QAE655423:QAP655423 PQI655423:PQT655423 PGM655423:PGX655423 OWQ655423:OXB655423 OMU655423:ONF655423 OCY655423:ODJ655423 NTC655423:NTN655423 NJG655423:NJR655423 MZK655423:MZV655423 MPO655423:MPZ655423 MFS655423:MGD655423 LVW655423:LWH655423 LMA655423:LML655423 LCE655423:LCP655423 KSI655423:KST655423 KIM655423:KIX655423 JYQ655423:JZB655423 JOU655423:JPF655423 JEY655423:JFJ655423 IVC655423:IVN655423 ILG655423:ILR655423 IBK655423:IBV655423 HRO655423:HRZ655423 HHS655423:HID655423 GXW655423:GYH655423 GOA655423:GOL655423 GEE655423:GEP655423 FUI655423:FUT655423 FKM655423:FKX655423 FAQ655423:FBB655423 EQU655423:ERF655423 EGY655423:EHJ655423 DXC655423:DXN655423 DNG655423:DNR655423 DDK655423:DDV655423 CTO655423:CTZ655423 CJS655423:CKD655423 BZW655423:CAH655423 BQA655423:BQL655423 BGE655423:BGP655423 AWI655423:AWT655423 AMM655423:AMX655423 ACQ655423:ADB655423 SU655423:TF655423 IY655423:JJ655423 C655423:N655423 WVK589887:WVV589887 WLO589887:WLZ589887 WBS589887:WCD589887 VRW589887:VSH589887 VIA589887:VIL589887 UYE589887:UYP589887 UOI589887:UOT589887 UEM589887:UEX589887 TUQ589887:TVB589887 TKU589887:TLF589887 TAY589887:TBJ589887 SRC589887:SRN589887 SHG589887:SHR589887 RXK589887:RXV589887 RNO589887:RNZ589887 RDS589887:RED589887 QTW589887:QUH589887 QKA589887:QKL589887 QAE589887:QAP589887 PQI589887:PQT589887 PGM589887:PGX589887 OWQ589887:OXB589887 OMU589887:ONF589887 OCY589887:ODJ589887 NTC589887:NTN589887 NJG589887:NJR589887 MZK589887:MZV589887 MPO589887:MPZ589887 MFS589887:MGD589887 LVW589887:LWH589887 LMA589887:LML589887 LCE589887:LCP589887 KSI589887:KST589887 KIM589887:KIX589887 JYQ589887:JZB589887 JOU589887:JPF589887 JEY589887:JFJ589887 IVC589887:IVN589887 ILG589887:ILR589887 IBK589887:IBV589887 HRO589887:HRZ589887 HHS589887:HID589887 GXW589887:GYH589887 GOA589887:GOL589887 GEE589887:GEP589887 FUI589887:FUT589887 FKM589887:FKX589887 FAQ589887:FBB589887 EQU589887:ERF589887 EGY589887:EHJ589887 DXC589887:DXN589887 DNG589887:DNR589887 DDK589887:DDV589887 CTO589887:CTZ589887 CJS589887:CKD589887 BZW589887:CAH589887 BQA589887:BQL589887 BGE589887:BGP589887 AWI589887:AWT589887 AMM589887:AMX589887 ACQ589887:ADB589887 SU589887:TF589887 IY589887:JJ589887 C589887:N589887 WVK524351:WVV524351 WLO524351:WLZ524351 WBS524351:WCD524351 VRW524351:VSH524351 VIA524351:VIL524351 UYE524351:UYP524351 UOI524351:UOT524351 UEM524351:UEX524351 TUQ524351:TVB524351 TKU524351:TLF524351 TAY524351:TBJ524351 SRC524351:SRN524351 SHG524351:SHR524351 RXK524351:RXV524351 RNO524351:RNZ524351 RDS524351:RED524351 QTW524351:QUH524351 QKA524351:QKL524351 QAE524351:QAP524351 PQI524351:PQT524351 PGM524351:PGX524351 OWQ524351:OXB524351 OMU524351:ONF524351 OCY524351:ODJ524351 NTC524351:NTN524351 NJG524351:NJR524351 MZK524351:MZV524351 MPO524351:MPZ524351 MFS524351:MGD524351 LVW524351:LWH524351 LMA524351:LML524351 LCE524351:LCP524351 KSI524351:KST524351 KIM524351:KIX524351 JYQ524351:JZB524351 JOU524351:JPF524351 JEY524351:JFJ524351 IVC524351:IVN524351 ILG524351:ILR524351 IBK524351:IBV524351 HRO524351:HRZ524351 HHS524351:HID524351 GXW524351:GYH524351 GOA524351:GOL524351 GEE524351:GEP524351 FUI524351:FUT524351 FKM524351:FKX524351 FAQ524351:FBB524351 EQU524351:ERF524351 EGY524351:EHJ524351 DXC524351:DXN524351 DNG524351:DNR524351 DDK524351:DDV524351 CTO524351:CTZ524351 CJS524351:CKD524351 BZW524351:CAH524351 BQA524351:BQL524351 BGE524351:BGP524351 AWI524351:AWT524351 AMM524351:AMX524351 ACQ524351:ADB524351 SU524351:TF524351 IY524351:JJ524351 C524351:N524351 WVK458815:WVV458815 WLO458815:WLZ458815 WBS458815:WCD458815 VRW458815:VSH458815 VIA458815:VIL458815 UYE458815:UYP458815 UOI458815:UOT458815 UEM458815:UEX458815 TUQ458815:TVB458815 TKU458815:TLF458815 TAY458815:TBJ458815 SRC458815:SRN458815 SHG458815:SHR458815 RXK458815:RXV458815 RNO458815:RNZ458815 RDS458815:RED458815 QTW458815:QUH458815 QKA458815:QKL458815 QAE458815:QAP458815 PQI458815:PQT458815 PGM458815:PGX458815 OWQ458815:OXB458815 OMU458815:ONF458815 OCY458815:ODJ458815 NTC458815:NTN458815 NJG458815:NJR458815 MZK458815:MZV458815 MPO458815:MPZ458815 MFS458815:MGD458815 LVW458815:LWH458815 LMA458815:LML458815 LCE458815:LCP458815 KSI458815:KST458815 KIM458815:KIX458815 JYQ458815:JZB458815 JOU458815:JPF458815 JEY458815:JFJ458815 IVC458815:IVN458815 ILG458815:ILR458815 IBK458815:IBV458815 HRO458815:HRZ458815 HHS458815:HID458815 GXW458815:GYH458815 GOA458815:GOL458815 GEE458815:GEP458815 FUI458815:FUT458815 FKM458815:FKX458815 FAQ458815:FBB458815 EQU458815:ERF458815 EGY458815:EHJ458815 DXC458815:DXN458815 DNG458815:DNR458815 DDK458815:DDV458815 CTO458815:CTZ458815 CJS458815:CKD458815 BZW458815:CAH458815 BQA458815:BQL458815 BGE458815:BGP458815 AWI458815:AWT458815 AMM458815:AMX458815 ACQ458815:ADB458815 SU458815:TF458815 IY458815:JJ458815 C458815:N458815 WVK393279:WVV393279 WLO393279:WLZ393279 WBS393279:WCD393279 VRW393279:VSH393279 VIA393279:VIL393279 UYE393279:UYP393279 UOI393279:UOT393279 UEM393279:UEX393279 TUQ393279:TVB393279 TKU393279:TLF393279 TAY393279:TBJ393279 SRC393279:SRN393279 SHG393279:SHR393279 RXK393279:RXV393279 RNO393279:RNZ393279 RDS393279:RED393279 QTW393279:QUH393279 QKA393279:QKL393279 QAE393279:QAP393279 PQI393279:PQT393279 PGM393279:PGX393279 OWQ393279:OXB393279 OMU393279:ONF393279 OCY393279:ODJ393279 NTC393279:NTN393279 NJG393279:NJR393279 MZK393279:MZV393279 MPO393279:MPZ393279 MFS393279:MGD393279 LVW393279:LWH393279 LMA393279:LML393279 LCE393279:LCP393279 KSI393279:KST393279 KIM393279:KIX393279 JYQ393279:JZB393279 JOU393279:JPF393279 JEY393279:JFJ393279 IVC393279:IVN393279 ILG393279:ILR393279 IBK393279:IBV393279 HRO393279:HRZ393279 HHS393279:HID393279 GXW393279:GYH393279 GOA393279:GOL393279 GEE393279:GEP393279 FUI393279:FUT393279 FKM393279:FKX393279 FAQ393279:FBB393279 EQU393279:ERF393279 EGY393279:EHJ393279 DXC393279:DXN393279 DNG393279:DNR393279 DDK393279:DDV393279 CTO393279:CTZ393279 CJS393279:CKD393279 BZW393279:CAH393279 BQA393279:BQL393279 BGE393279:BGP393279 AWI393279:AWT393279 AMM393279:AMX393279 ACQ393279:ADB393279 SU393279:TF393279 IY393279:JJ393279 C393279:N393279 WVK327743:WVV327743 WLO327743:WLZ327743 WBS327743:WCD327743 VRW327743:VSH327743 VIA327743:VIL327743 UYE327743:UYP327743 UOI327743:UOT327743 UEM327743:UEX327743 TUQ327743:TVB327743 TKU327743:TLF327743 TAY327743:TBJ327743 SRC327743:SRN327743 SHG327743:SHR327743 RXK327743:RXV327743 RNO327743:RNZ327743 RDS327743:RED327743 QTW327743:QUH327743 QKA327743:QKL327743 QAE327743:QAP327743 PQI327743:PQT327743 PGM327743:PGX327743 OWQ327743:OXB327743 OMU327743:ONF327743 OCY327743:ODJ327743 NTC327743:NTN327743 NJG327743:NJR327743 MZK327743:MZV327743 MPO327743:MPZ327743 MFS327743:MGD327743 LVW327743:LWH327743 LMA327743:LML327743 LCE327743:LCP327743 KSI327743:KST327743 KIM327743:KIX327743 JYQ327743:JZB327743 JOU327743:JPF327743 JEY327743:JFJ327743 IVC327743:IVN327743 ILG327743:ILR327743 IBK327743:IBV327743 HRO327743:HRZ327743 HHS327743:HID327743 GXW327743:GYH327743 GOA327743:GOL327743 GEE327743:GEP327743 FUI327743:FUT327743 FKM327743:FKX327743 FAQ327743:FBB327743 EQU327743:ERF327743 EGY327743:EHJ327743 DXC327743:DXN327743 DNG327743:DNR327743 DDK327743:DDV327743 CTO327743:CTZ327743 CJS327743:CKD327743 BZW327743:CAH327743 BQA327743:BQL327743 BGE327743:BGP327743 AWI327743:AWT327743 AMM327743:AMX327743 ACQ327743:ADB327743 SU327743:TF327743 IY327743:JJ327743 C327743:N327743 WVK262207:WVV262207 WLO262207:WLZ262207 WBS262207:WCD262207 VRW262207:VSH262207 VIA262207:VIL262207 UYE262207:UYP262207 UOI262207:UOT262207 UEM262207:UEX262207 TUQ262207:TVB262207 TKU262207:TLF262207 TAY262207:TBJ262207 SRC262207:SRN262207 SHG262207:SHR262207 RXK262207:RXV262207 RNO262207:RNZ262207 RDS262207:RED262207 QTW262207:QUH262207 QKA262207:QKL262207 QAE262207:QAP262207 PQI262207:PQT262207 PGM262207:PGX262207 OWQ262207:OXB262207 OMU262207:ONF262207 OCY262207:ODJ262207 NTC262207:NTN262207 NJG262207:NJR262207 MZK262207:MZV262207 MPO262207:MPZ262207 MFS262207:MGD262207 LVW262207:LWH262207 LMA262207:LML262207 LCE262207:LCP262207 KSI262207:KST262207 KIM262207:KIX262207 JYQ262207:JZB262207 JOU262207:JPF262207 JEY262207:JFJ262207 IVC262207:IVN262207 ILG262207:ILR262207 IBK262207:IBV262207 HRO262207:HRZ262207 HHS262207:HID262207 GXW262207:GYH262207 GOA262207:GOL262207 GEE262207:GEP262207 FUI262207:FUT262207 FKM262207:FKX262207 FAQ262207:FBB262207 EQU262207:ERF262207 EGY262207:EHJ262207 DXC262207:DXN262207 DNG262207:DNR262207 DDK262207:DDV262207 CTO262207:CTZ262207 CJS262207:CKD262207 BZW262207:CAH262207 BQA262207:BQL262207 BGE262207:BGP262207 AWI262207:AWT262207 AMM262207:AMX262207 ACQ262207:ADB262207 SU262207:TF262207 IY262207:JJ262207 C262207:N262207 WVK196671:WVV196671 WLO196671:WLZ196671 WBS196671:WCD196671 VRW196671:VSH196671 VIA196671:VIL196671 UYE196671:UYP196671 UOI196671:UOT196671 UEM196671:UEX196671 TUQ196671:TVB196671 TKU196671:TLF196671 TAY196671:TBJ196671 SRC196671:SRN196671 SHG196671:SHR196671 RXK196671:RXV196671 RNO196671:RNZ196671 RDS196671:RED196671 QTW196671:QUH196671 QKA196671:QKL196671 QAE196671:QAP196671 PQI196671:PQT196671 PGM196671:PGX196671 OWQ196671:OXB196671 OMU196671:ONF196671 OCY196671:ODJ196671 NTC196671:NTN196671 NJG196671:NJR196671 MZK196671:MZV196671 MPO196671:MPZ196671 MFS196671:MGD196671 LVW196671:LWH196671 LMA196671:LML196671 LCE196671:LCP196671 KSI196671:KST196671 KIM196671:KIX196671 JYQ196671:JZB196671 JOU196671:JPF196671 JEY196671:JFJ196671 IVC196671:IVN196671 ILG196671:ILR196671 IBK196671:IBV196671 HRO196671:HRZ196671 HHS196671:HID196671 GXW196671:GYH196671 GOA196671:GOL196671 GEE196671:GEP196671 FUI196671:FUT196671 FKM196671:FKX196671 FAQ196671:FBB196671 EQU196671:ERF196671 EGY196671:EHJ196671 DXC196671:DXN196671 DNG196671:DNR196671 DDK196671:DDV196671 CTO196671:CTZ196671 CJS196671:CKD196671 BZW196671:CAH196671 BQA196671:BQL196671 BGE196671:BGP196671 AWI196671:AWT196671 AMM196671:AMX196671 ACQ196671:ADB196671 SU196671:TF196671 IY196671:JJ196671 C196671:N196671 WVK131135:WVV131135 WLO131135:WLZ131135 WBS131135:WCD131135 VRW131135:VSH131135 VIA131135:VIL131135 UYE131135:UYP131135 UOI131135:UOT131135 UEM131135:UEX131135 TUQ131135:TVB131135 TKU131135:TLF131135 TAY131135:TBJ131135 SRC131135:SRN131135 SHG131135:SHR131135 RXK131135:RXV131135 RNO131135:RNZ131135 RDS131135:RED131135 QTW131135:QUH131135 QKA131135:QKL131135 QAE131135:QAP131135 PQI131135:PQT131135 PGM131135:PGX131135 OWQ131135:OXB131135 OMU131135:ONF131135 OCY131135:ODJ131135 NTC131135:NTN131135 NJG131135:NJR131135 MZK131135:MZV131135 MPO131135:MPZ131135 MFS131135:MGD131135 LVW131135:LWH131135 LMA131135:LML131135 LCE131135:LCP131135 KSI131135:KST131135 KIM131135:KIX131135 JYQ131135:JZB131135 JOU131135:JPF131135 JEY131135:JFJ131135 IVC131135:IVN131135 ILG131135:ILR131135 IBK131135:IBV131135 HRO131135:HRZ131135 HHS131135:HID131135 GXW131135:GYH131135 GOA131135:GOL131135 GEE131135:GEP131135 FUI131135:FUT131135 FKM131135:FKX131135 FAQ131135:FBB131135 EQU131135:ERF131135 EGY131135:EHJ131135 DXC131135:DXN131135 DNG131135:DNR131135 DDK131135:DDV131135 CTO131135:CTZ131135 CJS131135:CKD131135 BZW131135:CAH131135 BQA131135:BQL131135 BGE131135:BGP131135 AWI131135:AWT131135 AMM131135:AMX131135 ACQ131135:ADB131135 SU131135:TF131135 IY131135:JJ131135 C131135:N131135 WVK65599:WVV65599 WLO65599:WLZ65599 WBS65599:WCD65599 VRW65599:VSH65599 VIA65599:VIL65599 UYE65599:UYP65599 UOI65599:UOT65599 UEM65599:UEX65599 TUQ65599:TVB65599 TKU65599:TLF65599 TAY65599:TBJ65599 SRC65599:SRN65599 SHG65599:SHR65599 RXK65599:RXV65599 RNO65599:RNZ65599 RDS65599:RED65599 QTW65599:QUH65599 QKA65599:QKL65599 QAE65599:QAP65599 PQI65599:PQT65599 PGM65599:PGX65599 OWQ65599:OXB65599 OMU65599:ONF65599 OCY65599:ODJ65599 NTC65599:NTN65599 NJG65599:NJR65599 MZK65599:MZV65599 MPO65599:MPZ65599 MFS65599:MGD65599 LVW65599:LWH65599 LMA65599:LML65599 LCE65599:LCP65599 KSI65599:KST65599 KIM65599:KIX65599 JYQ65599:JZB65599 JOU65599:JPF65599 JEY65599:JFJ65599 IVC65599:IVN65599 ILG65599:ILR65599 IBK65599:IBV65599 HRO65599:HRZ65599 HHS65599:HID65599 GXW65599:GYH65599 GOA65599:GOL65599 GEE65599:GEP65599 FUI65599:FUT65599 FKM65599:FKX65599 FAQ65599:FBB65599 EQU65599:ERF65599 EGY65599:EHJ65599 DXC65599:DXN65599 DNG65599:DNR65599 DDK65599:DDV65599 CTO65599:CTZ65599 CJS65599:CKD65599 BZW65599:CAH65599 BQA65599:BQL65599 BGE65599:BGP65599 AWI65599:AWT65599 AMM65599:AMX65599 ACQ65599:ADB65599 SU65599:TF65599 IY65599:JJ65599 C65599:N65599 WVK145:WVV145 WLO145:WLZ145 WBS145:WCD145 VRW145:VSH145 VIA145:VIL145 UYE145:UYP145 UOI145:UOT145 UEM145:UEX145 TUQ145:TVB145 TKU145:TLF145 TAY145:TBJ145 SRC145:SRN145 SHG145:SHR145 RXK145:RXV145 RNO145:RNZ145 RDS145:RED145 QTW145:QUH145 QKA145:QKL145 QAE145:QAP145 PQI145:PQT145 PGM145:PGX145 OWQ145:OXB145 OMU145:ONF145 OCY145:ODJ145 NTC145:NTN145 NJG145:NJR145 MZK145:MZV145 MPO145:MPZ145 MFS145:MGD145 LVW145:LWH145 LMA145:LML145 LCE145:LCP145 KSI145:KST145 KIM145:KIX145 JYQ145:JZB145 JOU145:JPF145 JEY145:JFJ145 IVC145:IVN145 ILG145:ILR145 IBK145:IBV145 HRO145:HRZ145 HHS145:HID145 GXW145:GYH145 GOA145:GOL145 GEE145:GEP145 FUI145:FUT145 FKM145:FKX145 FAQ145:FBB145 EQU145:ERF145 EGY145:EHJ145 DXC145:DXN145 DNG145:DNR145 DDK145:DDV145 CTO145:CTZ145 CJS145:CKD145 BZW145:CAH145 BQA145:BQL145 BGE145:BGP145 AWI145:AWT145 AMM145:AMX145 ACQ145:ADB145 SU145:TF145 IY145:JJ145 IY220:JJ220 WVK983283:WVV983283 WLO983283:WLZ983283 WBS983283:WCD983283 VRW983283:VSH983283 VIA983283:VIL983283 UYE983283:UYP983283 UOI983283:UOT983283 UEM983283:UEX983283 TUQ983283:TVB983283 TKU983283:TLF983283 TAY983283:TBJ983283 SRC983283:SRN983283 SHG983283:SHR983283 RXK983283:RXV983283 RNO983283:RNZ983283 RDS983283:RED983283 QTW983283:QUH983283 QKA983283:QKL983283 QAE983283:QAP983283 PQI983283:PQT983283 PGM983283:PGX983283 OWQ983283:OXB983283 OMU983283:ONF983283 OCY983283:ODJ983283 NTC983283:NTN983283 NJG983283:NJR983283 MZK983283:MZV983283 MPO983283:MPZ983283 MFS983283:MGD983283 LVW983283:LWH983283 LMA983283:LML983283 LCE983283:LCP983283 KSI983283:KST983283 KIM983283:KIX983283 JYQ983283:JZB983283 JOU983283:JPF983283 JEY983283:JFJ983283 IVC983283:IVN983283 ILG983283:ILR983283 IBK983283:IBV983283 HRO983283:HRZ983283 HHS983283:HID983283 GXW983283:GYH983283 GOA983283:GOL983283 GEE983283:GEP983283 FUI983283:FUT983283 FKM983283:FKX983283 FAQ983283:FBB983283 EQU983283:ERF983283 EGY983283:EHJ983283 DXC983283:DXN983283 DNG983283:DNR983283 DDK983283:DDV983283 CTO983283:CTZ983283 CJS983283:CKD983283 BZW983283:CAH983283 BQA983283:BQL983283 BGE983283:BGP983283 AWI983283:AWT983283 AMM983283:AMX983283 ACQ983283:ADB983283 SU983283:TF983283 IY983283:JJ983283 C983283:N983283 WVK917747:WVV917747 WLO917747:WLZ917747 WBS917747:WCD917747 VRW917747:VSH917747 VIA917747:VIL917747 UYE917747:UYP917747 UOI917747:UOT917747 UEM917747:UEX917747 TUQ917747:TVB917747 TKU917747:TLF917747 TAY917747:TBJ917747 SRC917747:SRN917747 SHG917747:SHR917747 RXK917747:RXV917747 RNO917747:RNZ917747 RDS917747:RED917747 QTW917747:QUH917747 QKA917747:QKL917747 QAE917747:QAP917747 PQI917747:PQT917747 PGM917747:PGX917747 OWQ917747:OXB917747 OMU917747:ONF917747 OCY917747:ODJ917747 NTC917747:NTN917747 NJG917747:NJR917747 MZK917747:MZV917747 MPO917747:MPZ917747 MFS917747:MGD917747 LVW917747:LWH917747 LMA917747:LML917747 LCE917747:LCP917747 KSI917747:KST917747 KIM917747:KIX917747 JYQ917747:JZB917747 JOU917747:JPF917747 JEY917747:JFJ917747 IVC917747:IVN917747 ILG917747:ILR917747 IBK917747:IBV917747 HRO917747:HRZ917747 HHS917747:HID917747 GXW917747:GYH917747 GOA917747:GOL917747 GEE917747:GEP917747 FUI917747:FUT917747 FKM917747:FKX917747 FAQ917747:FBB917747 EQU917747:ERF917747 EGY917747:EHJ917747 DXC917747:DXN917747 DNG917747:DNR917747 DDK917747:DDV917747 CTO917747:CTZ917747 CJS917747:CKD917747 BZW917747:CAH917747 BQA917747:BQL917747 BGE917747:BGP917747 AWI917747:AWT917747 AMM917747:AMX917747 ACQ917747:ADB917747 SU917747:TF917747 IY917747:JJ917747 C917747:N917747 WVK852211:WVV852211 WLO852211:WLZ852211 WBS852211:WCD852211 VRW852211:VSH852211 VIA852211:VIL852211 UYE852211:UYP852211 UOI852211:UOT852211 UEM852211:UEX852211 TUQ852211:TVB852211 TKU852211:TLF852211 TAY852211:TBJ852211 SRC852211:SRN852211 SHG852211:SHR852211 RXK852211:RXV852211 RNO852211:RNZ852211 RDS852211:RED852211 QTW852211:QUH852211 QKA852211:QKL852211 QAE852211:QAP852211 PQI852211:PQT852211 PGM852211:PGX852211 OWQ852211:OXB852211 OMU852211:ONF852211 OCY852211:ODJ852211 NTC852211:NTN852211 NJG852211:NJR852211 MZK852211:MZV852211 MPO852211:MPZ852211 MFS852211:MGD852211 LVW852211:LWH852211 LMA852211:LML852211 LCE852211:LCP852211 KSI852211:KST852211 KIM852211:KIX852211 JYQ852211:JZB852211 JOU852211:JPF852211 JEY852211:JFJ852211 IVC852211:IVN852211 ILG852211:ILR852211 IBK852211:IBV852211 HRO852211:HRZ852211 HHS852211:HID852211 GXW852211:GYH852211 GOA852211:GOL852211 GEE852211:GEP852211 FUI852211:FUT852211 FKM852211:FKX852211 FAQ852211:FBB852211 EQU852211:ERF852211 EGY852211:EHJ852211 DXC852211:DXN852211 DNG852211:DNR852211 DDK852211:DDV852211 CTO852211:CTZ852211 CJS852211:CKD852211 BZW852211:CAH852211 BQA852211:BQL852211 BGE852211:BGP852211 AWI852211:AWT852211 AMM852211:AMX852211 ACQ852211:ADB852211 SU852211:TF852211 IY852211:JJ852211 C852211:N852211 WVK786675:WVV786675 WLO786675:WLZ786675 WBS786675:WCD786675 VRW786675:VSH786675 VIA786675:VIL786675 UYE786675:UYP786675 UOI786675:UOT786675 UEM786675:UEX786675 TUQ786675:TVB786675 TKU786675:TLF786675 TAY786675:TBJ786675 SRC786675:SRN786675 SHG786675:SHR786675 RXK786675:RXV786675 RNO786675:RNZ786675 RDS786675:RED786675 QTW786675:QUH786675 QKA786675:QKL786675 QAE786675:QAP786675 PQI786675:PQT786675 PGM786675:PGX786675 OWQ786675:OXB786675 OMU786675:ONF786675 OCY786675:ODJ786675 NTC786675:NTN786675 NJG786675:NJR786675 MZK786675:MZV786675 MPO786675:MPZ786675 MFS786675:MGD786675 LVW786675:LWH786675 LMA786675:LML786675 LCE786675:LCP786675 KSI786675:KST786675 KIM786675:KIX786675 JYQ786675:JZB786675 JOU786675:JPF786675 JEY786675:JFJ786675 IVC786675:IVN786675 ILG786675:ILR786675 IBK786675:IBV786675 HRO786675:HRZ786675 HHS786675:HID786675 GXW786675:GYH786675 GOA786675:GOL786675 GEE786675:GEP786675 FUI786675:FUT786675 FKM786675:FKX786675 FAQ786675:FBB786675 EQU786675:ERF786675 EGY786675:EHJ786675 DXC786675:DXN786675 DNG786675:DNR786675 DDK786675:DDV786675 CTO786675:CTZ786675 CJS786675:CKD786675 BZW786675:CAH786675 BQA786675:BQL786675 BGE786675:BGP786675 AWI786675:AWT786675 AMM786675:AMX786675 ACQ786675:ADB786675 SU786675:TF786675 IY786675:JJ786675 C786675:N786675 WVK721139:WVV721139 WLO721139:WLZ721139 WBS721139:WCD721139 VRW721139:VSH721139 VIA721139:VIL721139 UYE721139:UYP721139 UOI721139:UOT721139 UEM721139:UEX721139 TUQ721139:TVB721139 TKU721139:TLF721139 TAY721139:TBJ721139 SRC721139:SRN721139 SHG721139:SHR721139 RXK721139:RXV721139 RNO721139:RNZ721139 RDS721139:RED721139 QTW721139:QUH721139 QKA721139:QKL721139 QAE721139:QAP721139 PQI721139:PQT721139 PGM721139:PGX721139 OWQ721139:OXB721139 OMU721139:ONF721139 OCY721139:ODJ721139 NTC721139:NTN721139 NJG721139:NJR721139 MZK721139:MZV721139 MPO721139:MPZ721139 MFS721139:MGD721139 LVW721139:LWH721139 LMA721139:LML721139 LCE721139:LCP721139 KSI721139:KST721139 KIM721139:KIX721139 JYQ721139:JZB721139 JOU721139:JPF721139 JEY721139:JFJ721139 IVC721139:IVN721139 ILG721139:ILR721139 IBK721139:IBV721139 HRO721139:HRZ721139 HHS721139:HID721139 GXW721139:GYH721139 GOA721139:GOL721139 GEE721139:GEP721139 FUI721139:FUT721139 FKM721139:FKX721139 FAQ721139:FBB721139 EQU721139:ERF721139 EGY721139:EHJ721139 DXC721139:DXN721139 DNG721139:DNR721139 DDK721139:DDV721139 CTO721139:CTZ721139 CJS721139:CKD721139 BZW721139:CAH721139 BQA721139:BQL721139 BGE721139:BGP721139 AWI721139:AWT721139 AMM721139:AMX721139 ACQ721139:ADB721139 SU721139:TF721139 IY721139:JJ721139 C721139:N721139 WVK655603:WVV655603 WLO655603:WLZ655603 WBS655603:WCD655603 VRW655603:VSH655603 VIA655603:VIL655603 UYE655603:UYP655603 UOI655603:UOT655603 UEM655603:UEX655603 TUQ655603:TVB655603 TKU655603:TLF655603 TAY655603:TBJ655603 SRC655603:SRN655603 SHG655603:SHR655603 RXK655603:RXV655603 RNO655603:RNZ655603 RDS655603:RED655603 QTW655603:QUH655603 QKA655603:QKL655603 QAE655603:QAP655603 PQI655603:PQT655603 PGM655603:PGX655603 OWQ655603:OXB655603 OMU655603:ONF655603 OCY655603:ODJ655603 NTC655603:NTN655603 NJG655603:NJR655603 MZK655603:MZV655603 MPO655603:MPZ655603 MFS655603:MGD655603 LVW655603:LWH655603 LMA655603:LML655603 LCE655603:LCP655603 KSI655603:KST655603 KIM655603:KIX655603 JYQ655603:JZB655603 JOU655603:JPF655603 JEY655603:JFJ655603 IVC655603:IVN655603 ILG655603:ILR655603 IBK655603:IBV655603 HRO655603:HRZ655603 HHS655603:HID655603 GXW655603:GYH655603 GOA655603:GOL655603 GEE655603:GEP655603 FUI655603:FUT655603 FKM655603:FKX655603 FAQ655603:FBB655603 EQU655603:ERF655603 EGY655603:EHJ655603 DXC655603:DXN655603 DNG655603:DNR655603 DDK655603:DDV655603 CTO655603:CTZ655603 CJS655603:CKD655603 BZW655603:CAH655603 BQA655603:BQL655603 BGE655603:BGP655603 AWI655603:AWT655603 AMM655603:AMX655603 ACQ655603:ADB655603 SU655603:TF655603 IY655603:JJ655603 C655603:N655603 WVK590067:WVV590067 WLO590067:WLZ590067 WBS590067:WCD590067 VRW590067:VSH590067 VIA590067:VIL590067 UYE590067:UYP590067 UOI590067:UOT590067 UEM590067:UEX590067 TUQ590067:TVB590067 TKU590067:TLF590067 TAY590067:TBJ590067 SRC590067:SRN590067 SHG590067:SHR590067 RXK590067:RXV590067 RNO590067:RNZ590067 RDS590067:RED590067 QTW590067:QUH590067 QKA590067:QKL590067 QAE590067:QAP590067 PQI590067:PQT590067 PGM590067:PGX590067 OWQ590067:OXB590067 OMU590067:ONF590067 OCY590067:ODJ590067 NTC590067:NTN590067 NJG590067:NJR590067 MZK590067:MZV590067 MPO590067:MPZ590067 MFS590067:MGD590067 LVW590067:LWH590067 LMA590067:LML590067 LCE590067:LCP590067 KSI590067:KST590067 KIM590067:KIX590067 JYQ590067:JZB590067 JOU590067:JPF590067 JEY590067:JFJ590067 IVC590067:IVN590067 ILG590067:ILR590067 IBK590067:IBV590067 HRO590067:HRZ590067 HHS590067:HID590067 GXW590067:GYH590067 GOA590067:GOL590067 GEE590067:GEP590067 FUI590067:FUT590067 FKM590067:FKX590067 FAQ590067:FBB590067 EQU590067:ERF590067 EGY590067:EHJ590067 DXC590067:DXN590067 DNG590067:DNR590067 DDK590067:DDV590067 CTO590067:CTZ590067 CJS590067:CKD590067 BZW590067:CAH590067 BQA590067:BQL590067 BGE590067:BGP590067 AWI590067:AWT590067 AMM590067:AMX590067 ACQ590067:ADB590067 SU590067:TF590067 IY590067:JJ590067 C590067:N590067 WVK524531:WVV524531 WLO524531:WLZ524531 WBS524531:WCD524531 VRW524531:VSH524531 VIA524531:VIL524531 UYE524531:UYP524531 UOI524531:UOT524531 UEM524531:UEX524531 TUQ524531:TVB524531 TKU524531:TLF524531 TAY524531:TBJ524531 SRC524531:SRN524531 SHG524531:SHR524531 RXK524531:RXV524531 RNO524531:RNZ524531 RDS524531:RED524531 QTW524531:QUH524531 QKA524531:QKL524531 QAE524531:QAP524531 PQI524531:PQT524531 PGM524531:PGX524531 OWQ524531:OXB524531 OMU524531:ONF524531 OCY524531:ODJ524531 NTC524531:NTN524531 NJG524531:NJR524531 MZK524531:MZV524531 MPO524531:MPZ524531 MFS524531:MGD524531 LVW524531:LWH524531 LMA524531:LML524531 LCE524531:LCP524531 KSI524531:KST524531 KIM524531:KIX524531 JYQ524531:JZB524531 JOU524531:JPF524531 JEY524531:JFJ524531 IVC524531:IVN524531 ILG524531:ILR524531 IBK524531:IBV524531 HRO524531:HRZ524531 HHS524531:HID524531 GXW524531:GYH524531 GOA524531:GOL524531 GEE524531:GEP524531 FUI524531:FUT524531 FKM524531:FKX524531 FAQ524531:FBB524531 EQU524531:ERF524531 EGY524531:EHJ524531 DXC524531:DXN524531 DNG524531:DNR524531 DDK524531:DDV524531 CTO524531:CTZ524531 CJS524531:CKD524531 BZW524531:CAH524531 BQA524531:BQL524531 BGE524531:BGP524531 AWI524531:AWT524531 AMM524531:AMX524531 ACQ524531:ADB524531 SU524531:TF524531 IY524531:JJ524531 C524531:N524531 WVK458995:WVV458995 WLO458995:WLZ458995 WBS458995:WCD458995 VRW458995:VSH458995 VIA458995:VIL458995 UYE458995:UYP458995 UOI458995:UOT458995 UEM458995:UEX458995 TUQ458995:TVB458995 TKU458995:TLF458995 TAY458995:TBJ458995 SRC458995:SRN458995 SHG458995:SHR458995 RXK458995:RXV458995 RNO458995:RNZ458995 RDS458995:RED458995 QTW458995:QUH458995 QKA458995:QKL458995 QAE458995:QAP458995 PQI458995:PQT458995 PGM458995:PGX458995 OWQ458995:OXB458995 OMU458995:ONF458995 OCY458995:ODJ458995 NTC458995:NTN458995 NJG458995:NJR458995 MZK458995:MZV458995 MPO458995:MPZ458995 MFS458995:MGD458995 LVW458995:LWH458995 LMA458995:LML458995 LCE458995:LCP458995 KSI458995:KST458995 KIM458995:KIX458995 JYQ458995:JZB458995 JOU458995:JPF458995 JEY458995:JFJ458995 IVC458995:IVN458995 ILG458995:ILR458995 IBK458995:IBV458995 HRO458995:HRZ458995 HHS458995:HID458995 GXW458995:GYH458995 GOA458995:GOL458995 GEE458995:GEP458995 FUI458995:FUT458995 FKM458995:FKX458995 FAQ458995:FBB458995 EQU458995:ERF458995 EGY458995:EHJ458995 DXC458995:DXN458995 DNG458995:DNR458995 DDK458995:DDV458995 CTO458995:CTZ458995 CJS458995:CKD458995 BZW458995:CAH458995 BQA458995:BQL458995 BGE458995:BGP458995 AWI458995:AWT458995 AMM458995:AMX458995 ACQ458995:ADB458995 SU458995:TF458995 IY458995:JJ458995 C458995:N458995 WVK393459:WVV393459 WLO393459:WLZ393459 WBS393459:WCD393459 VRW393459:VSH393459 VIA393459:VIL393459 UYE393459:UYP393459 UOI393459:UOT393459 UEM393459:UEX393459 TUQ393459:TVB393459 TKU393459:TLF393459 TAY393459:TBJ393459 SRC393459:SRN393459 SHG393459:SHR393459 RXK393459:RXV393459 RNO393459:RNZ393459 RDS393459:RED393459 QTW393459:QUH393459 QKA393459:QKL393459 QAE393459:QAP393459 PQI393459:PQT393459 PGM393459:PGX393459 OWQ393459:OXB393459 OMU393459:ONF393459 OCY393459:ODJ393459 NTC393459:NTN393459 NJG393459:NJR393459 MZK393459:MZV393459 MPO393459:MPZ393459 MFS393459:MGD393459 LVW393459:LWH393459 LMA393459:LML393459 LCE393459:LCP393459 KSI393459:KST393459 KIM393459:KIX393459 JYQ393459:JZB393459 JOU393459:JPF393459 JEY393459:JFJ393459 IVC393459:IVN393459 ILG393459:ILR393459 IBK393459:IBV393459 HRO393459:HRZ393459 HHS393459:HID393459 GXW393459:GYH393459 GOA393459:GOL393459 GEE393459:GEP393459 FUI393459:FUT393459 FKM393459:FKX393459 FAQ393459:FBB393459 EQU393459:ERF393459 EGY393459:EHJ393459 DXC393459:DXN393459 DNG393459:DNR393459 DDK393459:DDV393459 CTO393459:CTZ393459 CJS393459:CKD393459 BZW393459:CAH393459 BQA393459:BQL393459 BGE393459:BGP393459 AWI393459:AWT393459 AMM393459:AMX393459 ACQ393459:ADB393459 SU393459:TF393459 IY393459:JJ393459 C393459:N393459 WVK327923:WVV327923 WLO327923:WLZ327923 WBS327923:WCD327923 VRW327923:VSH327923 VIA327923:VIL327923 UYE327923:UYP327923 UOI327923:UOT327923 UEM327923:UEX327923 TUQ327923:TVB327923 TKU327923:TLF327923 TAY327923:TBJ327923 SRC327923:SRN327923 SHG327923:SHR327923 RXK327923:RXV327923 RNO327923:RNZ327923 RDS327923:RED327923 QTW327923:QUH327923 QKA327923:QKL327923 QAE327923:QAP327923 PQI327923:PQT327923 PGM327923:PGX327923 OWQ327923:OXB327923 OMU327923:ONF327923 OCY327923:ODJ327923 NTC327923:NTN327923 NJG327923:NJR327923 MZK327923:MZV327923 MPO327923:MPZ327923 MFS327923:MGD327923 LVW327923:LWH327923 LMA327923:LML327923 LCE327923:LCP327923 KSI327923:KST327923 KIM327923:KIX327923 JYQ327923:JZB327923 JOU327923:JPF327923 JEY327923:JFJ327923 IVC327923:IVN327923 ILG327923:ILR327923 IBK327923:IBV327923 HRO327923:HRZ327923 HHS327923:HID327923 GXW327923:GYH327923 GOA327923:GOL327923 GEE327923:GEP327923 FUI327923:FUT327923 FKM327923:FKX327923 FAQ327923:FBB327923 EQU327923:ERF327923 EGY327923:EHJ327923 DXC327923:DXN327923 DNG327923:DNR327923 DDK327923:DDV327923 CTO327923:CTZ327923 CJS327923:CKD327923 BZW327923:CAH327923 BQA327923:BQL327923 BGE327923:BGP327923 AWI327923:AWT327923 AMM327923:AMX327923 ACQ327923:ADB327923 SU327923:TF327923 IY327923:JJ327923 C327923:N327923 WVK262387:WVV262387 WLO262387:WLZ262387 WBS262387:WCD262387 VRW262387:VSH262387 VIA262387:VIL262387 UYE262387:UYP262387 UOI262387:UOT262387 UEM262387:UEX262387 TUQ262387:TVB262387 TKU262387:TLF262387 TAY262387:TBJ262387 SRC262387:SRN262387 SHG262387:SHR262387 RXK262387:RXV262387 RNO262387:RNZ262387 RDS262387:RED262387 QTW262387:QUH262387 QKA262387:QKL262387 QAE262387:QAP262387 PQI262387:PQT262387 PGM262387:PGX262387 OWQ262387:OXB262387 OMU262387:ONF262387 OCY262387:ODJ262387 NTC262387:NTN262387 NJG262387:NJR262387 MZK262387:MZV262387 MPO262387:MPZ262387 MFS262387:MGD262387 LVW262387:LWH262387 LMA262387:LML262387 LCE262387:LCP262387 KSI262387:KST262387 KIM262387:KIX262387 JYQ262387:JZB262387 JOU262387:JPF262387 JEY262387:JFJ262387 IVC262387:IVN262387 ILG262387:ILR262387 IBK262387:IBV262387 HRO262387:HRZ262387 HHS262387:HID262387 GXW262387:GYH262387 GOA262387:GOL262387 GEE262387:GEP262387 FUI262387:FUT262387 FKM262387:FKX262387 FAQ262387:FBB262387 EQU262387:ERF262387 EGY262387:EHJ262387 DXC262387:DXN262387 DNG262387:DNR262387 DDK262387:DDV262387 CTO262387:CTZ262387 CJS262387:CKD262387 BZW262387:CAH262387 BQA262387:BQL262387 BGE262387:BGP262387 AWI262387:AWT262387 AMM262387:AMX262387 ACQ262387:ADB262387 SU262387:TF262387 IY262387:JJ262387 C262387:N262387 WVK196851:WVV196851 WLO196851:WLZ196851 WBS196851:WCD196851 VRW196851:VSH196851 VIA196851:VIL196851 UYE196851:UYP196851 UOI196851:UOT196851 UEM196851:UEX196851 TUQ196851:TVB196851 TKU196851:TLF196851 TAY196851:TBJ196851 SRC196851:SRN196851 SHG196851:SHR196851 RXK196851:RXV196851 RNO196851:RNZ196851 RDS196851:RED196851 QTW196851:QUH196851 QKA196851:QKL196851 QAE196851:QAP196851 PQI196851:PQT196851 PGM196851:PGX196851 OWQ196851:OXB196851 OMU196851:ONF196851 OCY196851:ODJ196851 NTC196851:NTN196851 NJG196851:NJR196851 MZK196851:MZV196851 MPO196851:MPZ196851 MFS196851:MGD196851 LVW196851:LWH196851 LMA196851:LML196851 LCE196851:LCP196851 KSI196851:KST196851 KIM196851:KIX196851 JYQ196851:JZB196851 JOU196851:JPF196851 JEY196851:JFJ196851 IVC196851:IVN196851 ILG196851:ILR196851 IBK196851:IBV196851 HRO196851:HRZ196851 HHS196851:HID196851 GXW196851:GYH196851 GOA196851:GOL196851 GEE196851:GEP196851 FUI196851:FUT196851 FKM196851:FKX196851 FAQ196851:FBB196851 EQU196851:ERF196851 EGY196851:EHJ196851 DXC196851:DXN196851 DNG196851:DNR196851 DDK196851:DDV196851 CTO196851:CTZ196851 CJS196851:CKD196851 BZW196851:CAH196851 BQA196851:BQL196851 BGE196851:BGP196851 AWI196851:AWT196851 AMM196851:AMX196851 ACQ196851:ADB196851 SU196851:TF196851 IY196851:JJ196851 C196851:N196851 WVK131315:WVV131315 WLO131315:WLZ131315 WBS131315:WCD131315 VRW131315:VSH131315 VIA131315:VIL131315 UYE131315:UYP131315 UOI131315:UOT131315 UEM131315:UEX131315 TUQ131315:TVB131315 TKU131315:TLF131315 TAY131315:TBJ131315 SRC131315:SRN131315 SHG131315:SHR131315 RXK131315:RXV131315 RNO131315:RNZ131315 RDS131315:RED131315 QTW131315:QUH131315 QKA131315:QKL131315 QAE131315:QAP131315 PQI131315:PQT131315 PGM131315:PGX131315 OWQ131315:OXB131315 OMU131315:ONF131315 OCY131315:ODJ131315 NTC131315:NTN131315 NJG131315:NJR131315 MZK131315:MZV131315 MPO131315:MPZ131315 MFS131315:MGD131315 LVW131315:LWH131315 LMA131315:LML131315 LCE131315:LCP131315 KSI131315:KST131315 KIM131315:KIX131315 JYQ131315:JZB131315 JOU131315:JPF131315 JEY131315:JFJ131315 IVC131315:IVN131315 ILG131315:ILR131315 IBK131315:IBV131315 HRO131315:HRZ131315 HHS131315:HID131315 GXW131315:GYH131315 GOA131315:GOL131315 GEE131315:GEP131315 FUI131315:FUT131315 FKM131315:FKX131315 FAQ131315:FBB131315 EQU131315:ERF131315 EGY131315:EHJ131315 DXC131315:DXN131315 DNG131315:DNR131315 DDK131315:DDV131315 CTO131315:CTZ131315 CJS131315:CKD131315 BZW131315:CAH131315 BQA131315:BQL131315 BGE131315:BGP131315 AWI131315:AWT131315 AMM131315:AMX131315 ACQ131315:ADB131315 SU131315:TF131315 IY131315:JJ131315 C131315:N131315 WVK65779:WVV65779 WLO65779:WLZ65779 WBS65779:WCD65779 VRW65779:VSH65779 VIA65779:VIL65779 UYE65779:UYP65779 UOI65779:UOT65779 UEM65779:UEX65779 TUQ65779:TVB65779 TKU65779:TLF65779 TAY65779:TBJ65779 SRC65779:SRN65779 SHG65779:SHR65779 RXK65779:RXV65779 RNO65779:RNZ65779 RDS65779:RED65779 QTW65779:QUH65779 QKA65779:QKL65779 QAE65779:QAP65779 PQI65779:PQT65779 PGM65779:PGX65779 OWQ65779:OXB65779 OMU65779:ONF65779 OCY65779:ODJ65779 NTC65779:NTN65779 NJG65779:NJR65779 MZK65779:MZV65779 MPO65779:MPZ65779 MFS65779:MGD65779 LVW65779:LWH65779 LMA65779:LML65779 LCE65779:LCP65779 KSI65779:KST65779 KIM65779:KIX65779 JYQ65779:JZB65779 JOU65779:JPF65779 JEY65779:JFJ65779 IVC65779:IVN65779 ILG65779:ILR65779 IBK65779:IBV65779 HRO65779:HRZ65779 HHS65779:HID65779 GXW65779:GYH65779 GOA65779:GOL65779 GEE65779:GEP65779 FUI65779:FUT65779 FKM65779:FKX65779 FAQ65779:FBB65779 EQU65779:ERF65779 EGY65779:EHJ65779 DXC65779:DXN65779 DNG65779:DNR65779 DDK65779:DDV65779 CTO65779:CTZ65779 CJS65779:CKD65779 BZW65779:CAH65779 BQA65779:BQL65779 BGE65779:BGP65779 AWI65779:AWT65779 AMM65779:AMX65779 ACQ65779:ADB65779 SU65779:TF65779 IY65779:JJ65779 C65779:N65779 WVK983268:WVV983268 WLO983268:WLZ983268 WBS983268:WCD983268 VRW983268:VSH983268 VIA983268:VIL983268 UYE983268:UYP983268 UOI983268:UOT983268 UEM983268:UEX983268 TUQ983268:TVB983268 TKU983268:TLF983268 TAY983268:TBJ983268 SRC983268:SRN983268 SHG983268:SHR983268 RXK983268:RXV983268 RNO983268:RNZ983268 RDS983268:RED983268 QTW983268:QUH983268 QKA983268:QKL983268 QAE983268:QAP983268 PQI983268:PQT983268 PGM983268:PGX983268 OWQ983268:OXB983268 OMU983268:ONF983268 OCY983268:ODJ983268 NTC983268:NTN983268 NJG983268:NJR983268 MZK983268:MZV983268 MPO983268:MPZ983268 MFS983268:MGD983268 LVW983268:LWH983268 LMA983268:LML983268 LCE983268:LCP983268 KSI983268:KST983268 KIM983268:KIX983268 JYQ983268:JZB983268 JOU983268:JPF983268 JEY983268:JFJ983268 IVC983268:IVN983268 ILG983268:ILR983268 IBK983268:IBV983268 HRO983268:HRZ983268 HHS983268:HID983268 GXW983268:GYH983268 GOA983268:GOL983268 GEE983268:GEP983268 FUI983268:FUT983268 FKM983268:FKX983268 FAQ983268:FBB983268 EQU983268:ERF983268 EGY983268:EHJ983268 DXC983268:DXN983268 DNG983268:DNR983268 DDK983268:DDV983268 CTO983268:CTZ983268 CJS983268:CKD983268 BZW983268:CAH983268 BQA983268:BQL983268 BGE983268:BGP983268 AWI983268:AWT983268 AMM983268:AMX983268 ACQ983268:ADB983268 SU983268:TF983268 IY983268:JJ983268 C983268:N983268 WVK917732:WVV917732 WLO917732:WLZ917732 WBS917732:WCD917732 VRW917732:VSH917732 VIA917732:VIL917732 UYE917732:UYP917732 UOI917732:UOT917732 UEM917732:UEX917732 TUQ917732:TVB917732 TKU917732:TLF917732 TAY917732:TBJ917732 SRC917732:SRN917732 SHG917732:SHR917732 RXK917732:RXV917732 RNO917732:RNZ917732 RDS917732:RED917732 QTW917732:QUH917732 QKA917732:QKL917732 QAE917732:QAP917732 PQI917732:PQT917732 PGM917732:PGX917732 OWQ917732:OXB917732 OMU917732:ONF917732 OCY917732:ODJ917732 NTC917732:NTN917732 NJG917732:NJR917732 MZK917732:MZV917732 MPO917732:MPZ917732 MFS917732:MGD917732 LVW917732:LWH917732 LMA917732:LML917732 LCE917732:LCP917732 KSI917732:KST917732 KIM917732:KIX917732 JYQ917732:JZB917732 JOU917732:JPF917732 JEY917732:JFJ917732 IVC917732:IVN917732 ILG917732:ILR917732 IBK917732:IBV917732 HRO917732:HRZ917732 HHS917732:HID917732 GXW917732:GYH917732 GOA917732:GOL917732 GEE917732:GEP917732 FUI917732:FUT917732 FKM917732:FKX917732 FAQ917732:FBB917732 EQU917732:ERF917732 EGY917732:EHJ917732 DXC917732:DXN917732 DNG917732:DNR917732 DDK917732:DDV917732 CTO917732:CTZ917732 CJS917732:CKD917732 BZW917732:CAH917732 BQA917732:BQL917732 BGE917732:BGP917732 AWI917732:AWT917732 AMM917732:AMX917732 ACQ917732:ADB917732 SU917732:TF917732 IY917732:JJ917732 C917732:N917732 WVK852196:WVV852196 WLO852196:WLZ852196 WBS852196:WCD852196 VRW852196:VSH852196 VIA852196:VIL852196 UYE852196:UYP852196 UOI852196:UOT852196 UEM852196:UEX852196 TUQ852196:TVB852196 TKU852196:TLF852196 TAY852196:TBJ852196 SRC852196:SRN852196 SHG852196:SHR852196 RXK852196:RXV852196 RNO852196:RNZ852196 RDS852196:RED852196 QTW852196:QUH852196 QKA852196:QKL852196 QAE852196:QAP852196 PQI852196:PQT852196 PGM852196:PGX852196 OWQ852196:OXB852196 OMU852196:ONF852196 OCY852196:ODJ852196 NTC852196:NTN852196 NJG852196:NJR852196 MZK852196:MZV852196 MPO852196:MPZ852196 MFS852196:MGD852196 LVW852196:LWH852196 LMA852196:LML852196 LCE852196:LCP852196 KSI852196:KST852196 KIM852196:KIX852196 JYQ852196:JZB852196 JOU852196:JPF852196 JEY852196:JFJ852196 IVC852196:IVN852196 ILG852196:ILR852196 IBK852196:IBV852196 HRO852196:HRZ852196 HHS852196:HID852196 GXW852196:GYH852196 GOA852196:GOL852196 GEE852196:GEP852196 FUI852196:FUT852196 FKM852196:FKX852196 FAQ852196:FBB852196 EQU852196:ERF852196 EGY852196:EHJ852196 DXC852196:DXN852196 DNG852196:DNR852196 DDK852196:DDV852196 CTO852196:CTZ852196 CJS852196:CKD852196 BZW852196:CAH852196 BQA852196:BQL852196 BGE852196:BGP852196 AWI852196:AWT852196 AMM852196:AMX852196 ACQ852196:ADB852196 SU852196:TF852196 IY852196:JJ852196 C852196:N852196 WVK786660:WVV786660 WLO786660:WLZ786660 WBS786660:WCD786660 VRW786660:VSH786660 VIA786660:VIL786660 UYE786660:UYP786660 UOI786660:UOT786660 UEM786660:UEX786660 TUQ786660:TVB786660 TKU786660:TLF786660 TAY786660:TBJ786660 SRC786660:SRN786660 SHG786660:SHR786660 RXK786660:RXV786660 RNO786660:RNZ786660 RDS786660:RED786660 QTW786660:QUH786660 QKA786660:QKL786660 QAE786660:QAP786660 PQI786660:PQT786660 PGM786660:PGX786660 OWQ786660:OXB786660 OMU786660:ONF786660 OCY786660:ODJ786660 NTC786660:NTN786660 NJG786660:NJR786660 MZK786660:MZV786660 MPO786660:MPZ786660 MFS786660:MGD786660 LVW786660:LWH786660 LMA786660:LML786660 LCE786660:LCP786660 KSI786660:KST786660 KIM786660:KIX786660 JYQ786660:JZB786660 JOU786660:JPF786660 JEY786660:JFJ786660 IVC786660:IVN786660 ILG786660:ILR786660 IBK786660:IBV786660 HRO786660:HRZ786660 HHS786660:HID786660 GXW786660:GYH786660 GOA786660:GOL786660 GEE786660:GEP786660 FUI786660:FUT786660 FKM786660:FKX786660 FAQ786660:FBB786660 EQU786660:ERF786660 EGY786660:EHJ786660 DXC786660:DXN786660 DNG786660:DNR786660 DDK786660:DDV786660 CTO786660:CTZ786660 CJS786660:CKD786660 BZW786660:CAH786660 BQA786660:BQL786660 BGE786660:BGP786660 AWI786660:AWT786660 AMM786660:AMX786660 ACQ786660:ADB786660 SU786660:TF786660 IY786660:JJ786660 C786660:N786660 WVK721124:WVV721124 WLO721124:WLZ721124 WBS721124:WCD721124 VRW721124:VSH721124 VIA721124:VIL721124 UYE721124:UYP721124 UOI721124:UOT721124 UEM721124:UEX721124 TUQ721124:TVB721124 TKU721124:TLF721124 TAY721124:TBJ721124 SRC721124:SRN721124 SHG721124:SHR721124 RXK721124:RXV721124 RNO721124:RNZ721124 RDS721124:RED721124 QTW721124:QUH721124 QKA721124:QKL721124 QAE721124:QAP721124 PQI721124:PQT721124 PGM721124:PGX721124 OWQ721124:OXB721124 OMU721124:ONF721124 OCY721124:ODJ721124 NTC721124:NTN721124 NJG721124:NJR721124 MZK721124:MZV721124 MPO721124:MPZ721124 MFS721124:MGD721124 LVW721124:LWH721124 LMA721124:LML721124 LCE721124:LCP721124 KSI721124:KST721124 KIM721124:KIX721124 JYQ721124:JZB721124 JOU721124:JPF721124 JEY721124:JFJ721124 IVC721124:IVN721124 ILG721124:ILR721124 IBK721124:IBV721124 HRO721124:HRZ721124 HHS721124:HID721124 GXW721124:GYH721124 GOA721124:GOL721124 GEE721124:GEP721124 FUI721124:FUT721124 FKM721124:FKX721124 FAQ721124:FBB721124 EQU721124:ERF721124 EGY721124:EHJ721124 DXC721124:DXN721124 DNG721124:DNR721124 DDK721124:DDV721124 CTO721124:CTZ721124 CJS721124:CKD721124 BZW721124:CAH721124 BQA721124:BQL721124 BGE721124:BGP721124 AWI721124:AWT721124 AMM721124:AMX721124 ACQ721124:ADB721124 SU721124:TF721124 IY721124:JJ721124 C721124:N721124 WVK655588:WVV655588 WLO655588:WLZ655588 WBS655588:WCD655588 VRW655588:VSH655588 VIA655588:VIL655588 UYE655588:UYP655588 UOI655588:UOT655588 UEM655588:UEX655588 TUQ655588:TVB655588 TKU655588:TLF655588 TAY655588:TBJ655588 SRC655588:SRN655588 SHG655588:SHR655588 RXK655588:RXV655588 RNO655588:RNZ655588 RDS655588:RED655588 QTW655588:QUH655588 QKA655588:QKL655588 QAE655588:QAP655588 PQI655588:PQT655588 PGM655588:PGX655588 OWQ655588:OXB655588 OMU655588:ONF655588 OCY655588:ODJ655588 NTC655588:NTN655588 NJG655588:NJR655588 MZK655588:MZV655588 MPO655588:MPZ655588 MFS655588:MGD655588 LVW655588:LWH655588 LMA655588:LML655588 LCE655588:LCP655588 KSI655588:KST655588 KIM655588:KIX655588 JYQ655588:JZB655588 JOU655588:JPF655588 JEY655588:JFJ655588 IVC655588:IVN655588 ILG655588:ILR655588 IBK655588:IBV655588 HRO655588:HRZ655588 HHS655588:HID655588 GXW655588:GYH655588 GOA655588:GOL655588 GEE655588:GEP655588 FUI655588:FUT655588 FKM655588:FKX655588 FAQ655588:FBB655588 EQU655588:ERF655588 EGY655588:EHJ655588 DXC655588:DXN655588 DNG655588:DNR655588 DDK655588:DDV655588 CTO655588:CTZ655588 CJS655588:CKD655588 BZW655588:CAH655588 BQA655588:BQL655588 BGE655588:BGP655588 AWI655588:AWT655588 AMM655588:AMX655588 ACQ655588:ADB655588 SU655588:TF655588 IY655588:JJ655588 C655588:N655588 WVK590052:WVV590052 WLO590052:WLZ590052 WBS590052:WCD590052 VRW590052:VSH590052 VIA590052:VIL590052 UYE590052:UYP590052 UOI590052:UOT590052 UEM590052:UEX590052 TUQ590052:TVB590052 TKU590052:TLF590052 TAY590052:TBJ590052 SRC590052:SRN590052 SHG590052:SHR590052 RXK590052:RXV590052 RNO590052:RNZ590052 RDS590052:RED590052 QTW590052:QUH590052 QKA590052:QKL590052 QAE590052:QAP590052 PQI590052:PQT590052 PGM590052:PGX590052 OWQ590052:OXB590052 OMU590052:ONF590052 OCY590052:ODJ590052 NTC590052:NTN590052 NJG590052:NJR590052 MZK590052:MZV590052 MPO590052:MPZ590052 MFS590052:MGD590052 LVW590052:LWH590052 LMA590052:LML590052 LCE590052:LCP590052 KSI590052:KST590052 KIM590052:KIX590052 JYQ590052:JZB590052 JOU590052:JPF590052 JEY590052:JFJ590052 IVC590052:IVN590052 ILG590052:ILR590052 IBK590052:IBV590052 HRO590052:HRZ590052 HHS590052:HID590052 GXW590052:GYH590052 GOA590052:GOL590052 GEE590052:GEP590052 FUI590052:FUT590052 FKM590052:FKX590052 FAQ590052:FBB590052 EQU590052:ERF590052 EGY590052:EHJ590052 DXC590052:DXN590052 DNG590052:DNR590052 DDK590052:DDV590052 CTO590052:CTZ590052 CJS590052:CKD590052 BZW590052:CAH590052 BQA590052:BQL590052 BGE590052:BGP590052 AWI590052:AWT590052 AMM590052:AMX590052 ACQ590052:ADB590052 SU590052:TF590052 IY590052:JJ590052 C590052:N590052 WVK524516:WVV524516 WLO524516:WLZ524516 WBS524516:WCD524516 VRW524516:VSH524516 VIA524516:VIL524516 UYE524516:UYP524516 UOI524516:UOT524516 UEM524516:UEX524516 TUQ524516:TVB524516 TKU524516:TLF524516 TAY524516:TBJ524516 SRC524516:SRN524516 SHG524516:SHR524516 RXK524516:RXV524516 RNO524516:RNZ524516 RDS524516:RED524516 QTW524516:QUH524516 QKA524516:QKL524516 QAE524516:QAP524516 PQI524516:PQT524516 PGM524516:PGX524516 OWQ524516:OXB524516 OMU524516:ONF524516 OCY524516:ODJ524516 NTC524516:NTN524516 NJG524516:NJR524516 MZK524516:MZV524516 MPO524516:MPZ524516 MFS524516:MGD524516 LVW524516:LWH524516 LMA524516:LML524516 LCE524516:LCP524516 KSI524516:KST524516 KIM524516:KIX524516 JYQ524516:JZB524516 JOU524516:JPF524516 JEY524516:JFJ524516 IVC524516:IVN524516 ILG524516:ILR524516 IBK524516:IBV524516 HRO524516:HRZ524516 HHS524516:HID524516 GXW524516:GYH524516 GOA524516:GOL524516 GEE524516:GEP524516 FUI524516:FUT524516 FKM524516:FKX524516 FAQ524516:FBB524516 EQU524516:ERF524516 EGY524516:EHJ524516 DXC524516:DXN524516 DNG524516:DNR524516 DDK524516:DDV524516 CTO524516:CTZ524516 CJS524516:CKD524516 BZW524516:CAH524516 BQA524516:BQL524516 BGE524516:BGP524516 AWI524516:AWT524516 AMM524516:AMX524516 ACQ524516:ADB524516 SU524516:TF524516 IY524516:JJ524516 C524516:N524516 WVK458980:WVV458980 WLO458980:WLZ458980 WBS458980:WCD458980 VRW458980:VSH458980 VIA458980:VIL458980 UYE458980:UYP458980 UOI458980:UOT458980 UEM458980:UEX458980 TUQ458980:TVB458980 TKU458980:TLF458980 TAY458980:TBJ458980 SRC458980:SRN458980 SHG458980:SHR458980 RXK458980:RXV458980 RNO458980:RNZ458980 RDS458980:RED458980 QTW458980:QUH458980 QKA458980:QKL458980 QAE458980:QAP458980 PQI458980:PQT458980 PGM458980:PGX458980 OWQ458980:OXB458980 OMU458980:ONF458980 OCY458980:ODJ458980 NTC458980:NTN458980 NJG458980:NJR458980 MZK458980:MZV458980 MPO458980:MPZ458980 MFS458980:MGD458980 LVW458980:LWH458980 LMA458980:LML458980 LCE458980:LCP458980 KSI458980:KST458980 KIM458980:KIX458980 JYQ458980:JZB458980 JOU458980:JPF458980 JEY458980:JFJ458980 IVC458980:IVN458980 ILG458980:ILR458980 IBK458980:IBV458980 HRO458980:HRZ458980 HHS458980:HID458980 GXW458980:GYH458980 GOA458980:GOL458980 GEE458980:GEP458980 FUI458980:FUT458980 FKM458980:FKX458980 FAQ458980:FBB458980 EQU458980:ERF458980 EGY458980:EHJ458980 DXC458980:DXN458980 DNG458980:DNR458980 DDK458980:DDV458980 CTO458980:CTZ458980 CJS458980:CKD458980 BZW458980:CAH458980 BQA458980:BQL458980 BGE458980:BGP458980 AWI458980:AWT458980 AMM458980:AMX458980 ACQ458980:ADB458980 SU458980:TF458980 IY458980:JJ458980 C458980:N458980 WVK393444:WVV393444 WLO393444:WLZ393444 WBS393444:WCD393444 VRW393444:VSH393444 VIA393444:VIL393444 UYE393444:UYP393444 UOI393444:UOT393444 UEM393444:UEX393444 TUQ393444:TVB393444 TKU393444:TLF393444 TAY393444:TBJ393444 SRC393444:SRN393444 SHG393444:SHR393444 RXK393444:RXV393444 RNO393444:RNZ393444 RDS393444:RED393444 QTW393444:QUH393444 QKA393444:QKL393444 QAE393444:QAP393444 PQI393444:PQT393444 PGM393444:PGX393444 OWQ393444:OXB393444 OMU393444:ONF393444 OCY393444:ODJ393444 NTC393444:NTN393444 NJG393444:NJR393444 MZK393444:MZV393444 MPO393444:MPZ393444 MFS393444:MGD393444 LVW393444:LWH393444 LMA393444:LML393444 LCE393444:LCP393444 KSI393444:KST393444 KIM393444:KIX393444 JYQ393444:JZB393444 JOU393444:JPF393444 JEY393444:JFJ393444 IVC393444:IVN393444 ILG393444:ILR393444 IBK393444:IBV393444 HRO393444:HRZ393444 HHS393444:HID393444 GXW393444:GYH393444 GOA393444:GOL393444 GEE393444:GEP393444 FUI393444:FUT393444 FKM393444:FKX393444 FAQ393444:FBB393444 EQU393444:ERF393444 EGY393444:EHJ393444 DXC393444:DXN393444 DNG393444:DNR393444 DDK393444:DDV393444 CTO393444:CTZ393444 CJS393444:CKD393444 BZW393444:CAH393444 BQA393444:BQL393444 BGE393444:BGP393444 AWI393444:AWT393444 AMM393444:AMX393444 ACQ393444:ADB393444 SU393444:TF393444 IY393444:JJ393444 C393444:N393444 WVK327908:WVV327908 WLO327908:WLZ327908 WBS327908:WCD327908 VRW327908:VSH327908 VIA327908:VIL327908 UYE327908:UYP327908 UOI327908:UOT327908 UEM327908:UEX327908 TUQ327908:TVB327908 TKU327908:TLF327908 TAY327908:TBJ327908 SRC327908:SRN327908 SHG327908:SHR327908 RXK327908:RXV327908 RNO327908:RNZ327908 RDS327908:RED327908 QTW327908:QUH327908 QKA327908:QKL327908 QAE327908:QAP327908 PQI327908:PQT327908 PGM327908:PGX327908 OWQ327908:OXB327908 OMU327908:ONF327908 OCY327908:ODJ327908 NTC327908:NTN327908 NJG327908:NJR327908 MZK327908:MZV327908 MPO327908:MPZ327908 MFS327908:MGD327908 LVW327908:LWH327908 LMA327908:LML327908 LCE327908:LCP327908 KSI327908:KST327908 KIM327908:KIX327908 JYQ327908:JZB327908 JOU327908:JPF327908 JEY327908:JFJ327908 IVC327908:IVN327908 ILG327908:ILR327908 IBK327908:IBV327908 HRO327908:HRZ327908 HHS327908:HID327908 GXW327908:GYH327908 GOA327908:GOL327908 GEE327908:GEP327908 FUI327908:FUT327908 FKM327908:FKX327908 FAQ327908:FBB327908 EQU327908:ERF327908 EGY327908:EHJ327908 DXC327908:DXN327908 DNG327908:DNR327908 DDK327908:DDV327908 CTO327908:CTZ327908 CJS327908:CKD327908 BZW327908:CAH327908 BQA327908:BQL327908 BGE327908:BGP327908 AWI327908:AWT327908 AMM327908:AMX327908 ACQ327908:ADB327908 SU327908:TF327908 IY327908:JJ327908 C327908:N327908 WVK262372:WVV262372 WLO262372:WLZ262372 WBS262372:WCD262372 VRW262372:VSH262372 VIA262372:VIL262372 UYE262372:UYP262372 UOI262372:UOT262372 UEM262372:UEX262372 TUQ262372:TVB262372 TKU262372:TLF262372 TAY262372:TBJ262372 SRC262372:SRN262372 SHG262372:SHR262372 RXK262372:RXV262372 RNO262372:RNZ262372 RDS262372:RED262372 QTW262372:QUH262372 QKA262372:QKL262372 QAE262372:QAP262372 PQI262372:PQT262372 PGM262372:PGX262372 OWQ262372:OXB262372 OMU262372:ONF262372 OCY262372:ODJ262372 NTC262372:NTN262372 NJG262372:NJR262372 MZK262372:MZV262372 MPO262372:MPZ262372 MFS262372:MGD262372 LVW262372:LWH262372 LMA262372:LML262372 LCE262372:LCP262372 KSI262372:KST262372 KIM262372:KIX262372 JYQ262372:JZB262372 JOU262372:JPF262372 JEY262372:JFJ262372 IVC262372:IVN262372 ILG262372:ILR262372 IBK262372:IBV262372 HRO262372:HRZ262372 HHS262372:HID262372 GXW262372:GYH262372 GOA262372:GOL262372 GEE262372:GEP262372 FUI262372:FUT262372 FKM262372:FKX262372 FAQ262372:FBB262372 EQU262372:ERF262372 EGY262372:EHJ262372 DXC262372:DXN262372 DNG262372:DNR262372 DDK262372:DDV262372 CTO262372:CTZ262372 CJS262372:CKD262372 BZW262372:CAH262372 BQA262372:BQL262372 BGE262372:BGP262372 AWI262372:AWT262372 AMM262372:AMX262372 ACQ262372:ADB262372 SU262372:TF262372 IY262372:JJ262372 C262372:N262372 WVK196836:WVV196836 WLO196836:WLZ196836 WBS196836:WCD196836 VRW196836:VSH196836 VIA196836:VIL196836 UYE196836:UYP196836 UOI196836:UOT196836 UEM196836:UEX196836 TUQ196836:TVB196836 TKU196836:TLF196836 TAY196836:TBJ196836 SRC196836:SRN196836 SHG196836:SHR196836 RXK196836:RXV196836 RNO196836:RNZ196836 RDS196836:RED196836 QTW196836:QUH196836 QKA196836:QKL196836 QAE196836:QAP196836 PQI196836:PQT196836 PGM196836:PGX196836 OWQ196836:OXB196836 OMU196836:ONF196836 OCY196836:ODJ196836 NTC196836:NTN196836 NJG196836:NJR196836 MZK196836:MZV196836 MPO196836:MPZ196836 MFS196836:MGD196836 LVW196836:LWH196836 LMA196836:LML196836 LCE196836:LCP196836 KSI196836:KST196836 KIM196836:KIX196836 JYQ196836:JZB196836 JOU196836:JPF196836 JEY196836:JFJ196836 IVC196836:IVN196836 ILG196836:ILR196836 IBK196836:IBV196836 HRO196836:HRZ196836 HHS196836:HID196836 GXW196836:GYH196836 GOA196836:GOL196836 GEE196836:GEP196836 FUI196836:FUT196836 FKM196836:FKX196836 FAQ196836:FBB196836 EQU196836:ERF196836 EGY196836:EHJ196836 DXC196836:DXN196836 DNG196836:DNR196836 DDK196836:DDV196836 CTO196836:CTZ196836 CJS196836:CKD196836 BZW196836:CAH196836 BQA196836:BQL196836 BGE196836:BGP196836 AWI196836:AWT196836 AMM196836:AMX196836 ACQ196836:ADB196836 SU196836:TF196836 IY196836:JJ196836 C196836:N196836 WVK131300:WVV131300 WLO131300:WLZ131300 WBS131300:WCD131300 VRW131300:VSH131300 VIA131300:VIL131300 UYE131300:UYP131300 UOI131300:UOT131300 UEM131300:UEX131300 TUQ131300:TVB131300 TKU131300:TLF131300 TAY131300:TBJ131300 SRC131300:SRN131300 SHG131300:SHR131300 RXK131300:RXV131300 RNO131300:RNZ131300 RDS131300:RED131300 QTW131300:QUH131300 QKA131300:QKL131300 QAE131300:QAP131300 PQI131300:PQT131300 PGM131300:PGX131300 OWQ131300:OXB131300 OMU131300:ONF131300 OCY131300:ODJ131300 NTC131300:NTN131300 NJG131300:NJR131300 MZK131300:MZV131300 MPO131300:MPZ131300 MFS131300:MGD131300 LVW131300:LWH131300 LMA131300:LML131300 LCE131300:LCP131300 KSI131300:KST131300 KIM131300:KIX131300 JYQ131300:JZB131300 JOU131300:JPF131300 JEY131300:JFJ131300 IVC131300:IVN131300 ILG131300:ILR131300 IBK131300:IBV131300 HRO131300:HRZ131300 HHS131300:HID131300 GXW131300:GYH131300 GOA131300:GOL131300 GEE131300:GEP131300 FUI131300:FUT131300 FKM131300:FKX131300 FAQ131300:FBB131300 EQU131300:ERF131300 EGY131300:EHJ131300 DXC131300:DXN131300 DNG131300:DNR131300 DDK131300:DDV131300 CTO131300:CTZ131300 CJS131300:CKD131300 BZW131300:CAH131300 BQA131300:BQL131300 BGE131300:BGP131300 AWI131300:AWT131300 AMM131300:AMX131300 ACQ131300:ADB131300 SU131300:TF131300 IY131300:JJ131300 C131300:N131300 WVK65764:WVV65764 WLO65764:WLZ65764 WBS65764:WCD65764 VRW65764:VSH65764 VIA65764:VIL65764 UYE65764:UYP65764 UOI65764:UOT65764 UEM65764:UEX65764 TUQ65764:TVB65764 TKU65764:TLF65764 TAY65764:TBJ65764 SRC65764:SRN65764 SHG65764:SHR65764 RXK65764:RXV65764 RNO65764:RNZ65764 RDS65764:RED65764 QTW65764:QUH65764 QKA65764:QKL65764 QAE65764:QAP65764 PQI65764:PQT65764 PGM65764:PGX65764 OWQ65764:OXB65764 OMU65764:ONF65764 OCY65764:ODJ65764 NTC65764:NTN65764 NJG65764:NJR65764 MZK65764:MZV65764 MPO65764:MPZ65764 MFS65764:MGD65764 LVW65764:LWH65764 LMA65764:LML65764 LCE65764:LCP65764 KSI65764:KST65764 KIM65764:KIX65764 JYQ65764:JZB65764 JOU65764:JPF65764 JEY65764:JFJ65764 IVC65764:IVN65764 ILG65764:ILR65764 IBK65764:IBV65764 HRO65764:HRZ65764 HHS65764:HID65764 GXW65764:GYH65764 GOA65764:GOL65764 GEE65764:GEP65764 FUI65764:FUT65764 FKM65764:FKX65764 FAQ65764:FBB65764 EQU65764:ERF65764 EGY65764:EHJ65764 DXC65764:DXN65764 DNG65764:DNR65764 DDK65764:DDV65764 CTO65764:CTZ65764 CJS65764:CKD65764 BZW65764:CAH65764 BQA65764:BQL65764 BGE65764:BGP65764 AWI65764:AWT65764 AMM65764:AMX65764 ACQ65764:ADB65764 SU65764:TF65764 IY65764:JJ65764 C65764:N65764 WVK983253:WVV983253 WLO983253:WLZ983253 WBS983253:WCD983253 VRW983253:VSH983253 VIA983253:VIL983253 UYE983253:UYP983253 UOI983253:UOT983253 UEM983253:UEX983253 TUQ983253:TVB983253 TKU983253:TLF983253 TAY983253:TBJ983253 SRC983253:SRN983253 SHG983253:SHR983253 RXK983253:RXV983253 RNO983253:RNZ983253 RDS983253:RED983253 QTW983253:QUH983253 QKA983253:QKL983253 QAE983253:QAP983253 PQI983253:PQT983253 PGM983253:PGX983253 OWQ983253:OXB983253 OMU983253:ONF983253 OCY983253:ODJ983253 NTC983253:NTN983253 NJG983253:NJR983253 MZK983253:MZV983253 MPO983253:MPZ983253 MFS983253:MGD983253 LVW983253:LWH983253 LMA983253:LML983253 LCE983253:LCP983253 KSI983253:KST983253 KIM983253:KIX983253 JYQ983253:JZB983253 JOU983253:JPF983253 JEY983253:JFJ983253 IVC983253:IVN983253 ILG983253:ILR983253 IBK983253:IBV983253 HRO983253:HRZ983253 HHS983253:HID983253 GXW983253:GYH983253 GOA983253:GOL983253 GEE983253:GEP983253 FUI983253:FUT983253 FKM983253:FKX983253 FAQ983253:FBB983253 EQU983253:ERF983253 EGY983253:EHJ983253 DXC983253:DXN983253 DNG983253:DNR983253 DDK983253:DDV983253 CTO983253:CTZ983253 CJS983253:CKD983253 BZW983253:CAH983253 BQA983253:BQL983253 BGE983253:BGP983253 AWI983253:AWT983253 AMM983253:AMX983253 ACQ983253:ADB983253 SU983253:TF983253 IY983253:JJ983253 C983253:N983253 WVK917717:WVV917717 WLO917717:WLZ917717 WBS917717:WCD917717 VRW917717:VSH917717 VIA917717:VIL917717 UYE917717:UYP917717 UOI917717:UOT917717 UEM917717:UEX917717 TUQ917717:TVB917717 TKU917717:TLF917717 TAY917717:TBJ917717 SRC917717:SRN917717 SHG917717:SHR917717 RXK917717:RXV917717 RNO917717:RNZ917717 RDS917717:RED917717 QTW917717:QUH917717 QKA917717:QKL917717 QAE917717:QAP917717 PQI917717:PQT917717 PGM917717:PGX917717 OWQ917717:OXB917717 OMU917717:ONF917717 OCY917717:ODJ917717 NTC917717:NTN917717 NJG917717:NJR917717 MZK917717:MZV917717 MPO917717:MPZ917717 MFS917717:MGD917717 LVW917717:LWH917717 LMA917717:LML917717 LCE917717:LCP917717 KSI917717:KST917717 KIM917717:KIX917717 JYQ917717:JZB917717 JOU917717:JPF917717 JEY917717:JFJ917717 IVC917717:IVN917717 ILG917717:ILR917717 IBK917717:IBV917717 HRO917717:HRZ917717 HHS917717:HID917717 GXW917717:GYH917717 GOA917717:GOL917717 GEE917717:GEP917717 FUI917717:FUT917717 FKM917717:FKX917717 FAQ917717:FBB917717 EQU917717:ERF917717 EGY917717:EHJ917717 DXC917717:DXN917717 DNG917717:DNR917717 DDK917717:DDV917717 CTO917717:CTZ917717 CJS917717:CKD917717 BZW917717:CAH917717 BQA917717:BQL917717 BGE917717:BGP917717 AWI917717:AWT917717 AMM917717:AMX917717 ACQ917717:ADB917717 SU917717:TF917717 IY917717:JJ917717 C917717:N917717 WVK852181:WVV852181 WLO852181:WLZ852181 WBS852181:WCD852181 VRW852181:VSH852181 VIA852181:VIL852181 UYE852181:UYP852181 UOI852181:UOT852181 UEM852181:UEX852181 TUQ852181:TVB852181 TKU852181:TLF852181 TAY852181:TBJ852181 SRC852181:SRN852181 SHG852181:SHR852181 RXK852181:RXV852181 RNO852181:RNZ852181 RDS852181:RED852181 QTW852181:QUH852181 QKA852181:QKL852181 QAE852181:QAP852181 PQI852181:PQT852181 PGM852181:PGX852181 OWQ852181:OXB852181 OMU852181:ONF852181 OCY852181:ODJ852181 NTC852181:NTN852181 NJG852181:NJR852181 MZK852181:MZV852181 MPO852181:MPZ852181 MFS852181:MGD852181 LVW852181:LWH852181 LMA852181:LML852181 LCE852181:LCP852181 KSI852181:KST852181 KIM852181:KIX852181 JYQ852181:JZB852181 JOU852181:JPF852181 JEY852181:JFJ852181 IVC852181:IVN852181 ILG852181:ILR852181 IBK852181:IBV852181 HRO852181:HRZ852181 HHS852181:HID852181 GXW852181:GYH852181 GOA852181:GOL852181 GEE852181:GEP852181 FUI852181:FUT852181 FKM852181:FKX852181 FAQ852181:FBB852181 EQU852181:ERF852181 EGY852181:EHJ852181 DXC852181:DXN852181 DNG852181:DNR852181 DDK852181:DDV852181 CTO852181:CTZ852181 CJS852181:CKD852181 BZW852181:CAH852181 BQA852181:BQL852181 BGE852181:BGP852181 AWI852181:AWT852181 AMM852181:AMX852181 ACQ852181:ADB852181 SU852181:TF852181 IY852181:JJ852181 C852181:N852181 WVK786645:WVV786645 WLO786645:WLZ786645 WBS786645:WCD786645 VRW786645:VSH786645 VIA786645:VIL786645 UYE786645:UYP786645 UOI786645:UOT786645 UEM786645:UEX786645 TUQ786645:TVB786645 TKU786645:TLF786645 TAY786645:TBJ786645 SRC786645:SRN786645 SHG786645:SHR786645 RXK786645:RXV786645 RNO786645:RNZ786645 RDS786645:RED786645 QTW786645:QUH786645 QKA786645:QKL786645 QAE786645:QAP786645 PQI786645:PQT786645 PGM786645:PGX786645 OWQ786645:OXB786645 OMU786645:ONF786645 OCY786645:ODJ786645 NTC786645:NTN786645 NJG786645:NJR786645 MZK786645:MZV786645 MPO786645:MPZ786645 MFS786645:MGD786645 LVW786645:LWH786645 LMA786645:LML786645 LCE786645:LCP786645 KSI786645:KST786645 KIM786645:KIX786645 JYQ786645:JZB786645 JOU786645:JPF786645 JEY786645:JFJ786645 IVC786645:IVN786645 ILG786645:ILR786645 IBK786645:IBV786645 HRO786645:HRZ786645 HHS786645:HID786645 GXW786645:GYH786645 GOA786645:GOL786645 GEE786645:GEP786645 FUI786645:FUT786645 FKM786645:FKX786645 FAQ786645:FBB786645 EQU786645:ERF786645 EGY786645:EHJ786645 DXC786645:DXN786645 DNG786645:DNR786645 DDK786645:DDV786645 CTO786645:CTZ786645 CJS786645:CKD786645 BZW786645:CAH786645 BQA786645:BQL786645 BGE786645:BGP786645 AWI786645:AWT786645 AMM786645:AMX786645 ACQ786645:ADB786645 SU786645:TF786645 IY786645:JJ786645 C786645:N786645 WVK721109:WVV721109 WLO721109:WLZ721109 WBS721109:WCD721109 VRW721109:VSH721109 VIA721109:VIL721109 UYE721109:UYP721109 UOI721109:UOT721109 UEM721109:UEX721109 TUQ721109:TVB721109 TKU721109:TLF721109 TAY721109:TBJ721109 SRC721109:SRN721109 SHG721109:SHR721109 RXK721109:RXV721109 RNO721109:RNZ721109 RDS721109:RED721109 QTW721109:QUH721109 QKA721109:QKL721109 QAE721109:QAP721109 PQI721109:PQT721109 PGM721109:PGX721109 OWQ721109:OXB721109 OMU721109:ONF721109 OCY721109:ODJ721109 NTC721109:NTN721109 NJG721109:NJR721109 MZK721109:MZV721109 MPO721109:MPZ721109 MFS721109:MGD721109 LVW721109:LWH721109 LMA721109:LML721109 LCE721109:LCP721109 KSI721109:KST721109 KIM721109:KIX721109 JYQ721109:JZB721109 JOU721109:JPF721109 JEY721109:JFJ721109 IVC721109:IVN721109 ILG721109:ILR721109 IBK721109:IBV721109 HRO721109:HRZ721109 HHS721109:HID721109 GXW721109:GYH721109 GOA721109:GOL721109 GEE721109:GEP721109 FUI721109:FUT721109 FKM721109:FKX721109 FAQ721109:FBB721109 EQU721109:ERF721109 EGY721109:EHJ721109 DXC721109:DXN721109 DNG721109:DNR721109 DDK721109:DDV721109 CTO721109:CTZ721109 CJS721109:CKD721109 BZW721109:CAH721109 BQA721109:BQL721109 BGE721109:BGP721109 AWI721109:AWT721109 AMM721109:AMX721109 ACQ721109:ADB721109 SU721109:TF721109 IY721109:JJ721109 C721109:N721109 WVK655573:WVV655573 WLO655573:WLZ655573 WBS655573:WCD655573 VRW655573:VSH655573 VIA655573:VIL655573 UYE655573:UYP655573 UOI655573:UOT655573 UEM655573:UEX655573 TUQ655573:TVB655573 TKU655573:TLF655573 TAY655573:TBJ655573 SRC655573:SRN655573 SHG655573:SHR655573 RXK655573:RXV655573 RNO655573:RNZ655573 RDS655573:RED655573 QTW655573:QUH655573 QKA655573:QKL655573 QAE655573:QAP655573 PQI655573:PQT655573 PGM655573:PGX655573 OWQ655573:OXB655573 OMU655573:ONF655573 OCY655573:ODJ655573 NTC655573:NTN655573 NJG655573:NJR655573 MZK655573:MZV655573 MPO655573:MPZ655573 MFS655573:MGD655573 LVW655573:LWH655573 LMA655573:LML655573 LCE655573:LCP655573 KSI655573:KST655573 KIM655573:KIX655573 JYQ655573:JZB655573 JOU655573:JPF655573 JEY655573:JFJ655573 IVC655573:IVN655573 ILG655573:ILR655573 IBK655573:IBV655573 HRO655573:HRZ655573 HHS655573:HID655573 GXW655573:GYH655573 GOA655573:GOL655573 GEE655573:GEP655573 FUI655573:FUT655573 FKM655573:FKX655573 FAQ655573:FBB655573 EQU655573:ERF655573 EGY655573:EHJ655573 DXC655573:DXN655573 DNG655573:DNR655573 DDK655573:DDV655573 CTO655573:CTZ655573 CJS655573:CKD655573 BZW655573:CAH655573 BQA655573:BQL655573 BGE655573:BGP655573 AWI655573:AWT655573 AMM655573:AMX655573 ACQ655573:ADB655573 SU655573:TF655573 IY655573:JJ655573 C655573:N655573 WVK590037:WVV590037 WLO590037:WLZ590037 WBS590037:WCD590037 VRW590037:VSH590037 VIA590037:VIL590037 UYE590037:UYP590037 UOI590037:UOT590037 UEM590037:UEX590037 TUQ590037:TVB590037 TKU590037:TLF590037 TAY590037:TBJ590037 SRC590037:SRN590037 SHG590037:SHR590037 RXK590037:RXV590037 RNO590037:RNZ590037 RDS590037:RED590037 QTW590037:QUH590037 QKA590037:QKL590037 QAE590037:QAP590037 PQI590037:PQT590037 PGM590037:PGX590037 OWQ590037:OXB590037 OMU590037:ONF590037 OCY590037:ODJ590037 NTC590037:NTN590037 NJG590037:NJR590037 MZK590037:MZV590037 MPO590037:MPZ590037 MFS590037:MGD590037 LVW590037:LWH590037 LMA590037:LML590037 LCE590037:LCP590037 KSI590037:KST590037 KIM590037:KIX590037 JYQ590037:JZB590037 JOU590037:JPF590037 JEY590037:JFJ590037 IVC590037:IVN590037 ILG590037:ILR590037 IBK590037:IBV590037 HRO590037:HRZ590037 HHS590037:HID590037 GXW590037:GYH590037 GOA590037:GOL590037 GEE590037:GEP590037 FUI590037:FUT590037 FKM590037:FKX590037 FAQ590037:FBB590037 EQU590037:ERF590037 EGY590037:EHJ590037 DXC590037:DXN590037 DNG590037:DNR590037 DDK590037:DDV590037 CTO590037:CTZ590037 CJS590037:CKD590037 BZW590037:CAH590037 BQA590037:BQL590037 BGE590037:BGP590037 AWI590037:AWT590037 AMM590037:AMX590037 ACQ590037:ADB590037 SU590037:TF590037 IY590037:JJ590037 C590037:N590037 WVK524501:WVV524501 WLO524501:WLZ524501 WBS524501:WCD524501 VRW524501:VSH524501 VIA524501:VIL524501 UYE524501:UYP524501 UOI524501:UOT524501 UEM524501:UEX524501 TUQ524501:TVB524501 TKU524501:TLF524501 TAY524501:TBJ524501 SRC524501:SRN524501 SHG524501:SHR524501 RXK524501:RXV524501 RNO524501:RNZ524501 RDS524501:RED524501 QTW524501:QUH524501 QKA524501:QKL524501 QAE524501:QAP524501 PQI524501:PQT524501 PGM524501:PGX524501 OWQ524501:OXB524501 OMU524501:ONF524501 OCY524501:ODJ524501 NTC524501:NTN524501 NJG524501:NJR524501 MZK524501:MZV524501 MPO524501:MPZ524501 MFS524501:MGD524501 LVW524501:LWH524501 LMA524501:LML524501 LCE524501:LCP524501 KSI524501:KST524501 KIM524501:KIX524501 JYQ524501:JZB524501 JOU524501:JPF524501 JEY524501:JFJ524501 IVC524501:IVN524501 ILG524501:ILR524501 IBK524501:IBV524501 HRO524501:HRZ524501 HHS524501:HID524501 GXW524501:GYH524501 GOA524501:GOL524501 GEE524501:GEP524501 FUI524501:FUT524501 FKM524501:FKX524501 FAQ524501:FBB524501 EQU524501:ERF524501 EGY524501:EHJ524501 DXC524501:DXN524501 DNG524501:DNR524501 DDK524501:DDV524501 CTO524501:CTZ524501 CJS524501:CKD524501 BZW524501:CAH524501 BQA524501:BQL524501 BGE524501:BGP524501 AWI524501:AWT524501 AMM524501:AMX524501 ACQ524501:ADB524501 SU524501:TF524501 IY524501:JJ524501 C524501:N524501 WVK458965:WVV458965 WLO458965:WLZ458965 WBS458965:WCD458965 VRW458965:VSH458965 VIA458965:VIL458965 UYE458965:UYP458965 UOI458965:UOT458965 UEM458965:UEX458965 TUQ458965:TVB458965 TKU458965:TLF458965 TAY458965:TBJ458965 SRC458965:SRN458965 SHG458965:SHR458965 RXK458965:RXV458965 RNO458965:RNZ458965 RDS458965:RED458965 QTW458965:QUH458965 QKA458965:QKL458965 QAE458965:QAP458965 PQI458965:PQT458965 PGM458965:PGX458965 OWQ458965:OXB458965 OMU458965:ONF458965 OCY458965:ODJ458965 NTC458965:NTN458965 NJG458965:NJR458965 MZK458965:MZV458965 MPO458965:MPZ458965 MFS458965:MGD458965 LVW458965:LWH458965 LMA458965:LML458965 LCE458965:LCP458965 KSI458965:KST458965 KIM458965:KIX458965 JYQ458965:JZB458965 JOU458965:JPF458965 JEY458965:JFJ458965 IVC458965:IVN458965 ILG458965:ILR458965 IBK458965:IBV458965 HRO458965:HRZ458965 HHS458965:HID458965 GXW458965:GYH458965 GOA458965:GOL458965 GEE458965:GEP458965 FUI458965:FUT458965 FKM458965:FKX458965 FAQ458965:FBB458965 EQU458965:ERF458965 EGY458965:EHJ458965 DXC458965:DXN458965 DNG458965:DNR458965 DDK458965:DDV458965 CTO458965:CTZ458965 CJS458965:CKD458965 BZW458965:CAH458965 BQA458965:BQL458965 BGE458965:BGP458965 AWI458965:AWT458965 AMM458965:AMX458965 ACQ458965:ADB458965 SU458965:TF458965 IY458965:JJ458965 C458965:N458965 WVK393429:WVV393429 WLO393429:WLZ393429 WBS393429:WCD393429 VRW393429:VSH393429 VIA393429:VIL393429 UYE393429:UYP393429 UOI393429:UOT393429 UEM393429:UEX393429 TUQ393429:TVB393429 TKU393429:TLF393429 TAY393429:TBJ393429 SRC393429:SRN393429 SHG393429:SHR393429 RXK393429:RXV393429 RNO393429:RNZ393429 RDS393429:RED393429 QTW393429:QUH393429 QKA393429:QKL393429 QAE393429:QAP393429 PQI393429:PQT393429 PGM393429:PGX393429 OWQ393429:OXB393429 OMU393429:ONF393429 OCY393429:ODJ393429 NTC393429:NTN393429 NJG393429:NJR393429 MZK393429:MZV393429 MPO393429:MPZ393429 MFS393429:MGD393429 LVW393429:LWH393429 LMA393429:LML393429 LCE393429:LCP393429 KSI393429:KST393429 KIM393429:KIX393429 JYQ393429:JZB393429 JOU393429:JPF393429 JEY393429:JFJ393429 IVC393429:IVN393429 ILG393429:ILR393429 IBK393429:IBV393429 HRO393429:HRZ393429 HHS393429:HID393429 GXW393429:GYH393429 GOA393429:GOL393429 GEE393429:GEP393429 FUI393429:FUT393429 FKM393429:FKX393429 FAQ393429:FBB393429 EQU393429:ERF393429 EGY393429:EHJ393429 DXC393429:DXN393429 DNG393429:DNR393429 DDK393429:DDV393429 CTO393429:CTZ393429 CJS393429:CKD393429 BZW393429:CAH393429 BQA393429:BQL393429 BGE393429:BGP393429 AWI393429:AWT393429 AMM393429:AMX393429 ACQ393429:ADB393429 SU393429:TF393429 IY393429:JJ393429 C393429:N393429 WVK327893:WVV327893 WLO327893:WLZ327893 WBS327893:WCD327893 VRW327893:VSH327893 VIA327893:VIL327893 UYE327893:UYP327893 UOI327893:UOT327893 UEM327893:UEX327893 TUQ327893:TVB327893 TKU327893:TLF327893 TAY327893:TBJ327893 SRC327893:SRN327893 SHG327893:SHR327893 RXK327893:RXV327893 RNO327893:RNZ327893 RDS327893:RED327893 QTW327893:QUH327893 QKA327893:QKL327893 QAE327893:QAP327893 PQI327893:PQT327893 PGM327893:PGX327893 OWQ327893:OXB327893 OMU327893:ONF327893 OCY327893:ODJ327893 NTC327893:NTN327893 NJG327893:NJR327893 MZK327893:MZV327893 MPO327893:MPZ327893 MFS327893:MGD327893 LVW327893:LWH327893 LMA327893:LML327893 LCE327893:LCP327893 KSI327893:KST327893 KIM327893:KIX327893 JYQ327893:JZB327893 JOU327893:JPF327893 JEY327893:JFJ327893 IVC327893:IVN327893 ILG327893:ILR327893 IBK327893:IBV327893 HRO327893:HRZ327893 HHS327893:HID327893 GXW327893:GYH327893 GOA327893:GOL327893 GEE327893:GEP327893 FUI327893:FUT327893 FKM327893:FKX327893 FAQ327893:FBB327893 EQU327893:ERF327893 EGY327893:EHJ327893 DXC327893:DXN327893 DNG327893:DNR327893 DDK327893:DDV327893 CTO327893:CTZ327893 CJS327893:CKD327893 BZW327893:CAH327893 BQA327893:BQL327893 BGE327893:BGP327893 AWI327893:AWT327893 AMM327893:AMX327893 ACQ327893:ADB327893 SU327893:TF327893 IY327893:JJ327893 C327893:N327893 WVK262357:WVV262357 WLO262357:WLZ262357 WBS262357:WCD262357 VRW262357:VSH262357 VIA262357:VIL262357 UYE262357:UYP262357 UOI262357:UOT262357 UEM262357:UEX262357 TUQ262357:TVB262357 TKU262357:TLF262357 TAY262357:TBJ262357 SRC262357:SRN262357 SHG262357:SHR262357 RXK262357:RXV262357 RNO262357:RNZ262357 RDS262357:RED262357 QTW262357:QUH262357 QKA262357:QKL262357 QAE262357:QAP262357 PQI262357:PQT262357 PGM262357:PGX262357 OWQ262357:OXB262357 OMU262357:ONF262357 OCY262357:ODJ262357 NTC262357:NTN262357 NJG262357:NJR262357 MZK262357:MZV262357 MPO262357:MPZ262357 MFS262357:MGD262357 LVW262357:LWH262357 LMA262357:LML262357 LCE262357:LCP262357 KSI262357:KST262357 KIM262357:KIX262357 JYQ262357:JZB262357 JOU262357:JPF262357 JEY262357:JFJ262357 IVC262357:IVN262357 ILG262357:ILR262357 IBK262357:IBV262357 HRO262357:HRZ262357 HHS262357:HID262357 GXW262357:GYH262357 GOA262357:GOL262357 GEE262357:GEP262357 FUI262357:FUT262357 FKM262357:FKX262357 FAQ262357:FBB262357 EQU262357:ERF262357 EGY262357:EHJ262357 DXC262357:DXN262357 DNG262357:DNR262357 DDK262357:DDV262357 CTO262357:CTZ262357 CJS262357:CKD262357 BZW262357:CAH262357 BQA262357:BQL262357 BGE262357:BGP262357 AWI262357:AWT262357 AMM262357:AMX262357 ACQ262357:ADB262357 SU262357:TF262357 IY262357:JJ262357 C262357:N262357 WVK196821:WVV196821 WLO196821:WLZ196821 WBS196821:WCD196821 VRW196821:VSH196821 VIA196821:VIL196821 UYE196821:UYP196821 UOI196821:UOT196821 UEM196821:UEX196821 TUQ196821:TVB196821 TKU196821:TLF196821 TAY196821:TBJ196821 SRC196821:SRN196821 SHG196821:SHR196821 RXK196821:RXV196821 RNO196821:RNZ196821 RDS196821:RED196821 QTW196821:QUH196821 QKA196821:QKL196821 QAE196821:QAP196821 PQI196821:PQT196821 PGM196821:PGX196821 OWQ196821:OXB196821 OMU196821:ONF196821 OCY196821:ODJ196821 NTC196821:NTN196821 NJG196821:NJR196821 MZK196821:MZV196821 MPO196821:MPZ196821 MFS196821:MGD196821 LVW196821:LWH196821 LMA196821:LML196821 LCE196821:LCP196821 KSI196821:KST196821 KIM196821:KIX196821 JYQ196821:JZB196821 JOU196821:JPF196821 JEY196821:JFJ196821 IVC196821:IVN196821 ILG196821:ILR196821 IBK196821:IBV196821 HRO196821:HRZ196821 HHS196821:HID196821 GXW196821:GYH196821 GOA196821:GOL196821 GEE196821:GEP196821 FUI196821:FUT196821 FKM196821:FKX196821 FAQ196821:FBB196821 EQU196821:ERF196821 EGY196821:EHJ196821 DXC196821:DXN196821 DNG196821:DNR196821 DDK196821:DDV196821 CTO196821:CTZ196821 CJS196821:CKD196821 BZW196821:CAH196821 BQA196821:BQL196821 BGE196821:BGP196821 AWI196821:AWT196821 AMM196821:AMX196821 ACQ196821:ADB196821 SU196821:TF196821 IY196821:JJ196821 C196821:N196821 WVK131285:WVV131285 WLO131285:WLZ131285 WBS131285:WCD131285 VRW131285:VSH131285 VIA131285:VIL131285 UYE131285:UYP131285 UOI131285:UOT131285 UEM131285:UEX131285 TUQ131285:TVB131285 TKU131285:TLF131285 TAY131285:TBJ131285 SRC131285:SRN131285 SHG131285:SHR131285 RXK131285:RXV131285 RNO131285:RNZ131285 RDS131285:RED131285 QTW131285:QUH131285 QKA131285:QKL131285 QAE131285:QAP131285 PQI131285:PQT131285 PGM131285:PGX131285 OWQ131285:OXB131285 OMU131285:ONF131285 OCY131285:ODJ131285 NTC131285:NTN131285 NJG131285:NJR131285 MZK131285:MZV131285 MPO131285:MPZ131285 MFS131285:MGD131285 LVW131285:LWH131285 LMA131285:LML131285 LCE131285:LCP131285 KSI131285:KST131285 KIM131285:KIX131285 JYQ131285:JZB131285 JOU131285:JPF131285 JEY131285:JFJ131285 IVC131285:IVN131285 ILG131285:ILR131285 IBK131285:IBV131285 HRO131285:HRZ131285 HHS131285:HID131285 GXW131285:GYH131285 GOA131285:GOL131285 GEE131285:GEP131285 FUI131285:FUT131285 FKM131285:FKX131285 FAQ131285:FBB131285 EQU131285:ERF131285 EGY131285:EHJ131285 DXC131285:DXN131285 DNG131285:DNR131285 DDK131285:DDV131285 CTO131285:CTZ131285 CJS131285:CKD131285 BZW131285:CAH131285 BQA131285:BQL131285 BGE131285:BGP131285 AWI131285:AWT131285 AMM131285:AMX131285 ACQ131285:ADB131285 SU131285:TF131285 IY131285:JJ131285 C131285:N131285 WVK65749:WVV65749 WLO65749:WLZ65749 WBS65749:WCD65749 VRW65749:VSH65749 VIA65749:VIL65749 UYE65749:UYP65749 UOI65749:UOT65749 UEM65749:UEX65749 TUQ65749:TVB65749 TKU65749:TLF65749 TAY65749:TBJ65749 SRC65749:SRN65749 SHG65749:SHR65749 RXK65749:RXV65749 RNO65749:RNZ65749 RDS65749:RED65749 QTW65749:QUH65749 QKA65749:QKL65749 QAE65749:QAP65749 PQI65749:PQT65749 PGM65749:PGX65749 OWQ65749:OXB65749 OMU65749:ONF65749 OCY65749:ODJ65749 NTC65749:NTN65749 NJG65749:NJR65749 MZK65749:MZV65749 MPO65749:MPZ65749 MFS65749:MGD65749 LVW65749:LWH65749 LMA65749:LML65749 LCE65749:LCP65749 KSI65749:KST65749 KIM65749:KIX65749 JYQ65749:JZB65749 JOU65749:JPF65749 JEY65749:JFJ65749 IVC65749:IVN65749 ILG65749:ILR65749 IBK65749:IBV65749 HRO65749:HRZ65749 HHS65749:HID65749 GXW65749:GYH65749 GOA65749:GOL65749 GEE65749:GEP65749 FUI65749:FUT65749 FKM65749:FKX65749 FAQ65749:FBB65749 EQU65749:ERF65749 EGY65749:EHJ65749 DXC65749:DXN65749 DNG65749:DNR65749 DDK65749:DDV65749 CTO65749:CTZ65749 CJS65749:CKD65749 BZW65749:CAH65749 BQA65749:BQL65749 BGE65749:BGP65749 AWI65749:AWT65749 AMM65749:AMX65749 ACQ65749:ADB65749 SU65749:TF65749 IY65749:JJ65749 C65749:N65749 WVK295:WVV295 WLO295:WLZ295 WBS295:WCD295 VRW295:VSH295 VIA295:VIL295 UYE295:UYP295 UOI295:UOT295 UEM295:UEX295 TUQ295:TVB295 TKU295:TLF295 TAY295:TBJ295 SRC295:SRN295 SHG295:SHR295 RXK295:RXV295 RNO295:RNZ295 RDS295:RED295 QTW295:QUH295 QKA295:QKL295 QAE295:QAP295 PQI295:PQT295 PGM295:PGX295 OWQ295:OXB295 OMU295:ONF295 OCY295:ODJ295 NTC295:NTN295 NJG295:NJR295 MZK295:MZV295 MPO295:MPZ295 MFS295:MGD295 LVW295:LWH295 LMA295:LML295 LCE295:LCP295 KSI295:KST295 KIM295:KIX295 JYQ295:JZB295 JOU295:JPF295 JEY295:JFJ295 IVC295:IVN295 ILG295:ILR295 IBK295:IBV295 HRO295:HRZ295 HHS295:HID295 GXW295:GYH295 GOA295:GOL295 GEE295:GEP295 FUI295:FUT295 FKM295:FKX295 FAQ295:FBB295 EQU295:ERF295 EGY295:EHJ295 DXC295:DXN295 DNG295:DNR295 DDK295:DDV295 CTO295:CTZ295 CJS295:CKD295 BZW295:CAH295 BQA295:BQL295 BGE295:BGP295 AWI295:AWT295 AMM295:AMX295 ACQ295:ADB295 SU295:TF295 IY295:JJ295 DDK220:DDV220 WVK983238:WVV983238 WLO983238:WLZ983238 WBS983238:WCD983238 VRW983238:VSH983238 VIA983238:VIL983238 UYE983238:UYP983238 UOI983238:UOT983238 UEM983238:UEX983238 TUQ983238:TVB983238 TKU983238:TLF983238 TAY983238:TBJ983238 SRC983238:SRN983238 SHG983238:SHR983238 RXK983238:RXV983238 RNO983238:RNZ983238 RDS983238:RED983238 QTW983238:QUH983238 QKA983238:QKL983238 QAE983238:QAP983238 PQI983238:PQT983238 PGM983238:PGX983238 OWQ983238:OXB983238 OMU983238:ONF983238 OCY983238:ODJ983238 NTC983238:NTN983238 NJG983238:NJR983238 MZK983238:MZV983238 MPO983238:MPZ983238 MFS983238:MGD983238 LVW983238:LWH983238 LMA983238:LML983238 LCE983238:LCP983238 KSI983238:KST983238 KIM983238:KIX983238 JYQ983238:JZB983238 JOU983238:JPF983238 JEY983238:JFJ983238 IVC983238:IVN983238 ILG983238:ILR983238 IBK983238:IBV983238 HRO983238:HRZ983238 HHS983238:HID983238 GXW983238:GYH983238 GOA983238:GOL983238 GEE983238:GEP983238 FUI983238:FUT983238 FKM983238:FKX983238 FAQ983238:FBB983238 EQU983238:ERF983238 EGY983238:EHJ983238 DXC983238:DXN983238 DNG983238:DNR983238 DDK983238:DDV983238 CTO983238:CTZ983238 CJS983238:CKD983238 BZW983238:CAH983238 BQA983238:BQL983238 BGE983238:BGP983238 AWI983238:AWT983238 AMM983238:AMX983238 ACQ983238:ADB983238 SU983238:TF983238 IY983238:JJ983238 C983238:N983238 WVK917702:WVV917702 WLO917702:WLZ917702 WBS917702:WCD917702 VRW917702:VSH917702 VIA917702:VIL917702 UYE917702:UYP917702 UOI917702:UOT917702 UEM917702:UEX917702 TUQ917702:TVB917702 TKU917702:TLF917702 TAY917702:TBJ917702 SRC917702:SRN917702 SHG917702:SHR917702 RXK917702:RXV917702 RNO917702:RNZ917702 RDS917702:RED917702 QTW917702:QUH917702 QKA917702:QKL917702 QAE917702:QAP917702 PQI917702:PQT917702 PGM917702:PGX917702 OWQ917702:OXB917702 OMU917702:ONF917702 OCY917702:ODJ917702 NTC917702:NTN917702 NJG917702:NJR917702 MZK917702:MZV917702 MPO917702:MPZ917702 MFS917702:MGD917702 LVW917702:LWH917702 LMA917702:LML917702 LCE917702:LCP917702 KSI917702:KST917702 KIM917702:KIX917702 JYQ917702:JZB917702 JOU917702:JPF917702 JEY917702:JFJ917702 IVC917702:IVN917702 ILG917702:ILR917702 IBK917702:IBV917702 HRO917702:HRZ917702 HHS917702:HID917702 GXW917702:GYH917702 GOA917702:GOL917702 GEE917702:GEP917702 FUI917702:FUT917702 FKM917702:FKX917702 FAQ917702:FBB917702 EQU917702:ERF917702 EGY917702:EHJ917702 DXC917702:DXN917702 DNG917702:DNR917702 DDK917702:DDV917702 CTO917702:CTZ917702 CJS917702:CKD917702 BZW917702:CAH917702 BQA917702:BQL917702 BGE917702:BGP917702 AWI917702:AWT917702 AMM917702:AMX917702 ACQ917702:ADB917702 SU917702:TF917702 IY917702:JJ917702 C917702:N917702 WVK852166:WVV852166 WLO852166:WLZ852166 WBS852166:WCD852166 VRW852166:VSH852166 VIA852166:VIL852166 UYE852166:UYP852166 UOI852166:UOT852166 UEM852166:UEX852166 TUQ852166:TVB852166 TKU852166:TLF852166 TAY852166:TBJ852166 SRC852166:SRN852166 SHG852166:SHR852166 RXK852166:RXV852166 RNO852166:RNZ852166 RDS852166:RED852166 QTW852166:QUH852166 QKA852166:QKL852166 QAE852166:QAP852166 PQI852166:PQT852166 PGM852166:PGX852166 OWQ852166:OXB852166 OMU852166:ONF852166 OCY852166:ODJ852166 NTC852166:NTN852166 NJG852166:NJR852166 MZK852166:MZV852166 MPO852166:MPZ852166 MFS852166:MGD852166 LVW852166:LWH852166 LMA852166:LML852166 LCE852166:LCP852166 KSI852166:KST852166 KIM852166:KIX852166 JYQ852166:JZB852166 JOU852166:JPF852166 JEY852166:JFJ852166 IVC852166:IVN852166 ILG852166:ILR852166 IBK852166:IBV852166 HRO852166:HRZ852166 HHS852166:HID852166 GXW852166:GYH852166 GOA852166:GOL852166 GEE852166:GEP852166 FUI852166:FUT852166 FKM852166:FKX852166 FAQ852166:FBB852166 EQU852166:ERF852166 EGY852166:EHJ852166 DXC852166:DXN852166 DNG852166:DNR852166 DDK852166:DDV852166 CTO852166:CTZ852166 CJS852166:CKD852166 BZW852166:CAH852166 BQA852166:BQL852166 BGE852166:BGP852166 AWI852166:AWT852166 AMM852166:AMX852166 ACQ852166:ADB852166 SU852166:TF852166 IY852166:JJ852166 C852166:N852166 WVK786630:WVV786630 WLO786630:WLZ786630 WBS786630:WCD786630 VRW786630:VSH786630 VIA786630:VIL786630 UYE786630:UYP786630 UOI786630:UOT786630 UEM786630:UEX786630 TUQ786630:TVB786630 TKU786630:TLF786630 TAY786630:TBJ786630 SRC786630:SRN786630 SHG786630:SHR786630 RXK786630:RXV786630 RNO786630:RNZ786630 RDS786630:RED786630 QTW786630:QUH786630 QKA786630:QKL786630 QAE786630:QAP786630 PQI786630:PQT786630 PGM786630:PGX786630 OWQ786630:OXB786630 OMU786630:ONF786630 OCY786630:ODJ786630 NTC786630:NTN786630 NJG786630:NJR786630 MZK786630:MZV786630 MPO786630:MPZ786630 MFS786630:MGD786630 LVW786630:LWH786630 LMA786630:LML786630 LCE786630:LCP786630 KSI786630:KST786630 KIM786630:KIX786630 JYQ786630:JZB786630 JOU786630:JPF786630 JEY786630:JFJ786630 IVC786630:IVN786630 ILG786630:ILR786630 IBK786630:IBV786630 HRO786630:HRZ786630 HHS786630:HID786630 GXW786630:GYH786630 GOA786630:GOL786630 GEE786630:GEP786630 FUI786630:FUT786630 FKM786630:FKX786630 FAQ786630:FBB786630 EQU786630:ERF786630 EGY786630:EHJ786630 DXC786630:DXN786630 DNG786630:DNR786630 DDK786630:DDV786630 CTO786630:CTZ786630 CJS786630:CKD786630 BZW786630:CAH786630 BQA786630:BQL786630 BGE786630:BGP786630 AWI786630:AWT786630 AMM786630:AMX786630 ACQ786630:ADB786630 SU786630:TF786630 IY786630:JJ786630 C786630:N786630 WVK721094:WVV721094 WLO721094:WLZ721094 WBS721094:WCD721094 VRW721094:VSH721094 VIA721094:VIL721094 UYE721094:UYP721094 UOI721094:UOT721094 UEM721094:UEX721094 TUQ721094:TVB721094 TKU721094:TLF721094 TAY721094:TBJ721094 SRC721094:SRN721094 SHG721094:SHR721094 RXK721094:RXV721094 RNO721094:RNZ721094 RDS721094:RED721094 QTW721094:QUH721094 QKA721094:QKL721094 QAE721094:QAP721094 PQI721094:PQT721094 PGM721094:PGX721094 OWQ721094:OXB721094 OMU721094:ONF721094 OCY721094:ODJ721094 NTC721094:NTN721094 NJG721094:NJR721094 MZK721094:MZV721094 MPO721094:MPZ721094 MFS721094:MGD721094 LVW721094:LWH721094 LMA721094:LML721094 LCE721094:LCP721094 KSI721094:KST721094 KIM721094:KIX721094 JYQ721094:JZB721094 JOU721094:JPF721094 JEY721094:JFJ721094 IVC721094:IVN721094 ILG721094:ILR721094 IBK721094:IBV721094 HRO721094:HRZ721094 HHS721094:HID721094 GXW721094:GYH721094 GOA721094:GOL721094 GEE721094:GEP721094 FUI721094:FUT721094 FKM721094:FKX721094 FAQ721094:FBB721094 EQU721094:ERF721094 EGY721094:EHJ721094 DXC721094:DXN721094 DNG721094:DNR721094 DDK721094:DDV721094 CTO721094:CTZ721094 CJS721094:CKD721094 BZW721094:CAH721094 BQA721094:BQL721094 BGE721094:BGP721094 AWI721094:AWT721094 AMM721094:AMX721094 ACQ721094:ADB721094 SU721094:TF721094 IY721094:JJ721094 C721094:N721094 WVK655558:WVV655558 WLO655558:WLZ655558 WBS655558:WCD655558 VRW655558:VSH655558 VIA655558:VIL655558 UYE655558:UYP655558 UOI655558:UOT655558 UEM655558:UEX655558 TUQ655558:TVB655558 TKU655558:TLF655558 TAY655558:TBJ655558 SRC655558:SRN655558 SHG655558:SHR655558 RXK655558:RXV655558 RNO655558:RNZ655558 RDS655558:RED655558 QTW655558:QUH655558 QKA655558:QKL655558 QAE655558:QAP655558 PQI655558:PQT655558 PGM655558:PGX655558 OWQ655558:OXB655558 OMU655558:ONF655558 OCY655558:ODJ655558 NTC655558:NTN655558 NJG655558:NJR655558 MZK655558:MZV655558 MPO655558:MPZ655558 MFS655558:MGD655558 LVW655558:LWH655558 LMA655558:LML655558 LCE655558:LCP655558 KSI655558:KST655558 KIM655558:KIX655558 JYQ655558:JZB655558 JOU655558:JPF655558 JEY655558:JFJ655558 IVC655558:IVN655558 ILG655558:ILR655558 IBK655558:IBV655558 HRO655558:HRZ655558 HHS655558:HID655558 GXW655558:GYH655558 GOA655558:GOL655558 GEE655558:GEP655558 FUI655558:FUT655558 FKM655558:FKX655558 FAQ655558:FBB655558 EQU655558:ERF655558 EGY655558:EHJ655558 DXC655558:DXN655558 DNG655558:DNR655558 DDK655558:DDV655558 CTO655558:CTZ655558 CJS655558:CKD655558 BZW655558:CAH655558 BQA655558:BQL655558 BGE655558:BGP655558 AWI655558:AWT655558 AMM655558:AMX655558 ACQ655558:ADB655558 SU655558:TF655558 IY655558:JJ655558 C655558:N655558 WVK590022:WVV590022 WLO590022:WLZ590022 WBS590022:WCD590022 VRW590022:VSH590022 VIA590022:VIL590022 UYE590022:UYP590022 UOI590022:UOT590022 UEM590022:UEX590022 TUQ590022:TVB590022 TKU590022:TLF590022 TAY590022:TBJ590022 SRC590022:SRN590022 SHG590022:SHR590022 RXK590022:RXV590022 RNO590022:RNZ590022 RDS590022:RED590022 QTW590022:QUH590022 QKA590022:QKL590022 QAE590022:QAP590022 PQI590022:PQT590022 PGM590022:PGX590022 OWQ590022:OXB590022 OMU590022:ONF590022 OCY590022:ODJ590022 NTC590022:NTN590022 NJG590022:NJR590022 MZK590022:MZV590022 MPO590022:MPZ590022 MFS590022:MGD590022 LVW590022:LWH590022 LMA590022:LML590022 LCE590022:LCP590022 KSI590022:KST590022 KIM590022:KIX590022 JYQ590022:JZB590022 JOU590022:JPF590022 JEY590022:JFJ590022 IVC590022:IVN590022 ILG590022:ILR590022 IBK590022:IBV590022 HRO590022:HRZ590022 HHS590022:HID590022 GXW590022:GYH590022 GOA590022:GOL590022 GEE590022:GEP590022 FUI590022:FUT590022 FKM590022:FKX590022 FAQ590022:FBB590022 EQU590022:ERF590022 EGY590022:EHJ590022 DXC590022:DXN590022 DNG590022:DNR590022 DDK590022:DDV590022 CTO590022:CTZ590022 CJS590022:CKD590022 BZW590022:CAH590022 BQA590022:BQL590022 BGE590022:BGP590022 AWI590022:AWT590022 AMM590022:AMX590022 ACQ590022:ADB590022 SU590022:TF590022 IY590022:JJ590022 C590022:N590022 WVK524486:WVV524486 WLO524486:WLZ524486 WBS524486:WCD524486 VRW524486:VSH524486 VIA524486:VIL524486 UYE524486:UYP524486 UOI524486:UOT524486 UEM524486:UEX524486 TUQ524486:TVB524486 TKU524486:TLF524486 TAY524486:TBJ524486 SRC524486:SRN524486 SHG524486:SHR524486 RXK524486:RXV524486 RNO524486:RNZ524486 RDS524486:RED524486 QTW524486:QUH524486 QKA524486:QKL524486 QAE524486:QAP524486 PQI524486:PQT524486 PGM524486:PGX524486 OWQ524486:OXB524486 OMU524486:ONF524486 OCY524486:ODJ524486 NTC524486:NTN524486 NJG524486:NJR524486 MZK524486:MZV524486 MPO524486:MPZ524486 MFS524486:MGD524486 LVW524486:LWH524486 LMA524486:LML524486 LCE524486:LCP524486 KSI524486:KST524486 KIM524486:KIX524486 JYQ524486:JZB524486 JOU524486:JPF524486 JEY524486:JFJ524486 IVC524486:IVN524486 ILG524486:ILR524486 IBK524486:IBV524486 HRO524486:HRZ524486 HHS524486:HID524486 GXW524486:GYH524486 GOA524486:GOL524486 GEE524486:GEP524486 FUI524486:FUT524486 FKM524486:FKX524486 FAQ524486:FBB524486 EQU524486:ERF524486 EGY524486:EHJ524486 DXC524486:DXN524486 DNG524486:DNR524486 DDK524486:DDV524486 CTO524486:CTZ524486 CJS524486:CKD524486 BZW524486:CAH524486 BQA524486:BQL524486 BGE524486:BGP524486 AWI524486:AWT524486 AMM524486:AMX524486 ACQ524486:ADB524486 SU524486:TF524486 IY524486:JJ524486 C524486:N524486 WVK458950:WVV458950 WLO458950:WLZ458950 WBS458950:WCD458950 VRW458950:VSH458950 VIA458950:VIL458950 UYE458950:UYP458950 UOI458950:UOT458950 UEM458950:UEX458950 TUQ458950:TVB458950 TKU458950:TLF458950 TAY458950:TBJ458950 SRC458950:SRN458950 SHG458950:SHR458950 RXK458950:RXV458950 RNO458950:RNZ458950 RDS458950:RED458950 QTW458950:QUH458950 QKA458950:QKL458950 QAE458950:QAP458950 PQI458950:PQT458950 PGM458950:PGX458950 OWQ458950:OXB458950 OMU458950:ONF458950 OCY458950:ODJ458950 NTC458950:NTN458950 NJG458950:NJR458950 MZK458950:MZV458950 MPO458950:MPZ458950 MFS458950:MGD458950 LVW458950:LWH458950 LMA458950:LML458950 LCE458950:LCP458950 KSI458950:KST458950 KIM458950:KIX458950 JYQ458950:JZB458950 JOU458950:JPF458950 JEY458950:JFJ458950 IVC458950:IVN458950 ILG458950:ILR458950 IBK458950:IBV458950 HRO458950:HRZ458950 HHS458950:HID458950 GXW458950:GYH458950 GOA458950:GOL458950 GEE458950:GEP458950 FUI458950:FUT458950 FKM458950:FKX458950 FAQ458950:FBB458950 EQU458950:ERF458950 EGY458950:EHJ458950 DXC458950:DXN458950 DNG458950:DNR458950 DDK458950:DDV458950 CTO458950:CTZ458950 CJS458950:CKD458950 BZW458950:CAH458950 BQA458950:BQL458950 BGE458950:BGP458950 AWI458950:AWT458950 AMM458950:AMX458950 ACQ458950:ADB458950 SU458950:TF458950 IY458950:JJ458950 C458950:N458950 WVK393414:WVV393414 WLO393414:WLZ393414 WBS393414:WCD393414 VRW393414:VSH393414 VIA393414:VIL393414 UYE393414:UYP393414 UOI393414:UOT393414 UEM393414:UEX393414 TUQ393414:TVB393414 TKU393414:TLF393414 TAY393414:TBJ393414 SRC393414:SRN393414 SHG393414:SHR393414 RXK393414:RXV393414 RNO393414:RNZ393414 RDS393414:RED393414 QTW393414:QUH393414 QKA393414:QKL393414 QAE393414:QAP393414 PQI393414:PQT393414 PGM393414:PGX393414 OWQ393414:OXB393414 OMU393414:ONF393414 OCY393414:ODJ393414 NTC393414:NTN393414 NJG393414:NJR393414 MZK393414:MZV393414 MPO393414:MPZ393414 MFS393414:MGD393414 LVW393414:LWH393414 LMA393414:LML393414 LCE393414:LCP393414 KSI393414:KST393414 KIM393414:KIX393414 JYQ393414:JZB393414 JOU393414:JPF393414 JEY393414:JFJ393414 IVC393414:IVN393414 ILG393414:ILR393414 IBK393414:IBV393414 HRO393414:HRZ393414 HHS393414:HID393414 GXW393414:GYH393414 GOA393414:GOL393414 GEE393414:GEP393414 FUI393414:FUT393414 FKM393414:FKX393414 FAQ393414:FBB393414 EQU393414:ERF393414 EGY393414:EHJ393414 DXC393414:DXN393414 DNG393414:DNR393414 DDK393414:DDV393414 CTO393414:CTZ393414 CJS393414:CKD393414 BZW393414:CAH393414 BQA393414:BQL393414 BGE393414:BGP393414 AWI393414:AWT393414 AMM393414:AMX393414 ACQ393414:ADB393414 SU393414:TF393414 IY393414:JJ393414 C393414:N393414 WVK327878:WVV327878 WLO327878:WLZ327878 WBS327878:WCD327878 VRW327878:VSH327878 VIA327878:VIL327878 UYE327878:UYP327878 UOI327878:UOT327878 UEM327878:UEX327878 TUQ327878:TVB327878 TKU327878:TLF327878 TAY327878:TBJ327878 SRC327878:SRN327878 SHG327878:SHR327878 RXK327878:RXV327878 RNO327878:RNZ327878 RDS327878:RED327878 QTW327878:QUH327878 QKA327878:QKL327878 QAE327878:QAP327878 PQI327878:PQT327878 PGM327878:PGX327878 OWQ327878:OXB327878 OMU327878:ONF327878 OCY327878:ODJ327878 NTC327878:NTN327878 NJG327878:NJR327878 MZK327878:MZV327878 MPO327878:MPZ327878 MFS327878:MGD327878 LVW327878:LWH327878 LMA327878:LML327878 LCE327878:LCP327878 KSI327878:KST327878 KIM327878:KIX327878 JYQ327878:JZB327878 JOU327878:JPF327878 JEY327878:JFJ327878 IVC327878:IVN327878 ILG327878:ILR327878 IBK327878:IBV327878 HRO327878:HRZ327878 HHS327878:HID327878 GXW327878:GYH327878 GOA327878:GOL327878 GEE327878:GEP327878 FUI327878:FUT327878 FKM327878:FKX327878 FAQ327878:FBB327878 EQU327878:ERF327878 EGY327878:EHJ327878 DXC327878:DXN327878 DNG327878:DNR327878 DDK327878:DDV327878 CTO327878:CTZ327878 CJS327878:CKD327878 BZW327878:CAH327878 BQA327878:BQL327878 BGE327878:BGP327878 AWI327878:AWT327878 AMM327878:AMX327878 ACQ327878:ADB327878 SU327878:TF327878 IY327878:JJ327878 C327878:N327878 WVK262342:WVV262342 WLO262342:WLZ262342 WBS262342:WCD262342 VRW262342:VSH262342 VIA262342:VIL262342 UYE262342:UYP262342 UOI262342:UOT262342 UEM262342:UEX262342 TUQ262342:TVB262342 TKU262342:TLF262342 TAY262342:TBJ262342 SRC262342:SRN262342 SHG262342:SHR262342 RXK262342:RXV262342 RNO262342:RNZ262342 RDS262342:RED262342 QTW262342:QUH262342 QKA262342:QKL262342 QAE262342:QAP262342 PQI262342:PQT262342 PGM262342:PGX262342 OWQ262342:OXB262342 OMU262342:ONF262342 OCY262342:ODJ262342 NTC262342:NTN262342 NJG262342:NJR262342 MZK262342:MZV262342 MPO262342:MPZ262342 MFS262342:MGD262342 LVW262342:LWH262342 LMA262342:LML262342 LCE262342:LCP262342 KSI262342:KST262342 KIM262342:KIX262342 JYQ262342:JZB262342 JOU262342:JPF262342 JEY262342:JFJ262342 IVC262342:IVN262342 ILG262342:ILR262342 IBK262342:IBV262342 HRO262342:HRZ262342 HHS262342:HID262342 GXW262342:GYH262342 GOA262342:GOL262342 GEE262342:GEP262342 FUI262342:FUT262342 FKM262342:FKX262342 FAQ262342:FBB262342 EQU262342:ERF262342 EGY262342:EHJ262342 DXC262342:DXN262342 DNG262342:DNR262342 DDK262342:DDV262342 CTO262342:CTZ262342 CJS262342:CKD262342 BZW262342:CAH262342 BQA262342:BQL262342 BGE262342:BGP262342 AWI262342:AWT262342 AMM262342:AMX262342 ACQ262342:ADB262342 SU262342:TF262342 IY262342:JJ262342 C262342:N262342 WVK196806:WVV196806 WLO196806:WLZ196806 WBS196806:WCD196806 VRW196806:VSH196806 VIA196806:VIL196806 UYE196806:UYP196806 UOI196806:UOT196806 UEM196806:UEX196806 TUQ196806:TVB196806 TKU196806:TLF196806 TAY196806:TBJ196806 SRC196806:SRN196806 SHG196806:SHR196806 RXK196806:RXV196806 RNO196806:RNZ196806 RDS196806:RED196806 QTW196806:QUH196806 QKA196806:QKL196806 QAE196806:QAP196806 PQI196806:PQT196806 PGM196806:PGX196806 OWQ196806:OXB196806 OMU196806:ONF196806 OCY196806:ODJ196806 NTC196806:NTN196806 NJG196806:NJR196806 MZK196806:MZV196806 MPO196806:MPZ196806 MFS196806:MGD196806 LVW196806:LWH196806 LMA196806:LML196806 LCE196806:LCP196806 KSI196806:KST196806 KIM196806:KIX196806 JYQ196806:JZB196806 JOU196806:JPF196806 JEY196806:JFJ196806 IVC196806:IVN196806 ILG196806:ILR196806 IBK196806:IBV196806 HRO196806:HRZ196806 HHS196806:HID196806 GXW196806:GYH196806 GOA196806:GOL196806 GEE196806:GEP196806 FUI196806:FUT196806 FKM196806:FKX196806 FAQ196806:FBB196806 EQU196806:ERF196806 EGY196806:EHJ196806 DXC196806:DXN196806 DNG196806:DNR196806 DDK196806:DDV196806 CTO196806:CTZ196806 CJS196806:CKD196806 BZW196806:CAH196806 BQA196806:BQL196806 BGE196806:BGP196806 AWI196806:AWT196806 AMM196806:AMX196806 ACQ196806:ADB196806 SU196806:TF196806 IY196806:JJ196806 C196806:N196806 WVK131270:WVV131270 WLO131270:WLZ131270 WBS131270:WCD131270 VRW131270:VSH131270 VIA131270:VIL131270 UYE131270:UYP131270 UOI131270:UOT131270 UEM131270:UEX131270 TUQ131270:TVB131270 TKU131270:TLF131270 TAY131270:TBJ131270 SRC131270:SRN131270 SHG131270:SHR131270 RXK131270:RXV131270 RNO131270:RNZ131270 RDS131270:RED131270 QTW131270:QUH131270 QKA131270:QKL131270 QAE131270:QAP131270 PQI131270:PQT131270 PGM131270:PGX131270 OWQ131270:OXB131270 OMU131270:ONF131270 OCY131270:ODJ131270 NTC131270:NTN131270 NJG131270:NJR131270 MZK131270:MZV131270 MPO131270:MPZ131270 MFS131270:MGD131270 LVW131270:LWH131270 LMA131270:LML131270 LCE131270:LCP131270 KSI131270:KST131270 KIM131270:KIX131270 JYQ131270:JZB131270 JOU131270:JPF131270 JEY131270:JFJ131270 IVC131270:IVN131270 ILG131270:ILR131270 IBK131270:IBV131270 HRO131270:HRZ131270 HHS131270:HID131270 GXW131270:GYH131270 GOA131270:GOL131270 GEE131270:GEP131270 FUI131270:FUT131270 FKM131270:FKX131270 FAQ131270:FBB131270 EQU131270:ERF131270 EGY131270:EHJ131270 DXC131270:DXN131270 DNG131270:DNR131270 DDK131270:DDV131270 CTO131270:CTZ131270 CJS131270:CKD131270 BZW131270:CAH131270 BQA131270:BQL131270 BGE131270:BGP131270 AWI131270:AWT131270 AMM131270:AMX131270 ACQ131270:ADB131270 SU131270:TF131270 IY131270:JJ131270 C131270:N131270 WVK65734:WVV65734 WLO65734:WLZ65734 WBS65734:WCD65734 VRW65734:VSH65734 VIA65734:VIL65734 UYE65734:UYP65734 UOI65734:UOT65734 UEM65734:UEX65734 TUQ65734:TVB65734 TKU65734:TLF65734 TAY65734:TBJ65734 SRC65734:SRN65734 SHG65734:SHR65734 RXK65734:RXV65734 RNO65734:RNZ65734 RDS65734:RED65734 QTW65734:QUH65734 QKA65734:QKL65734 QAE65734:QAP65734 PQI65734:PQT65734 PGM65734:PGX65734 OWQ65734:OXB65734 OMU65734:ONF65734 OCY65734:ODJ65734 NTC65734:NTN65734 NJG65734:NJR65734 MZK65734:MZV65734 MPO65734:MPZ65734 MFS65734:MGD65734 LVW65734:LWH65734 LMA65734:LML65734 LCE65734:LCP65734 KSI65734:KST65734 KIM65734:KIX65734 JYQ65734:JZB65734 JOU65734:JPF65734 JEY65734:JFJ65734 IVC65734:IVN65734 ILG65734:ILR65734 IBK65734:IBV65734 HRO65734:HRZ65734 HHS65734:HID65734 GXW65734:GYH65734 GOA65734:GOL65734 GEE65734:GEP65734 FUI65734:FUT65734 FKM65734:FKX65734 FAQ65734:FBB65734 EQU65734:ERF65734 EGY65734:EHJ65734 DXC65734:DXN65734 DNG65734:DNR65734 DDK65734:DDV65734 CTO65734:CTZ65734 CJS65734:CKD65734 BZW65734:CAH65734 BQA65734:BQL65734 BGE65734:BGP65734 AWI65734:AWT65734 AMM65734:AMX65734 ACQ65734:ADB65734 SU65734:TF65734 IY65734:JJ65734 C65734:N65734 WVK280:WVV280 WLO280:WLZ280 WBS280:WCD280 VRW280:VSH280 VIA280:VIL280 UYE280:UYP280 UOI280:UOT280 UEM280:UEX280 TUQ280:TVB280 TKU280:TLF280 TAY280:TBJ280 SRC280:SRN280 SHG280:SHR280 RXK280:RXV280 RNO280:RNZ280 RDS280:RED280 QTW280:QUH280 QKA280:QKL280 QAE280:QAP280 PQI280:PQT280 PGM280:PGX280 OWQ280:OXB280 OMU280:ONF280 OCY280:ODJ280 NTC280:NTN280 NJG280:NJR280 MZK280:MZV280 MPO280:MPZ280 MFS280:MGD280 LVW280:LWH280 LMA280:LML280 LCE280:LCP280 KSI280:KST280 KIM280:KIX280 JYQ280:JZB280 JOU280:JPF280 JEY280:JFJ280 IVC280:IVN280 ILG280:ILR280 IBK280:IBV280 HRO280:HRZ280 HHS280:HID280 GXW280:GYH280 GOA280:GOL280 GEE280:GEP280 FUI280:FUT280 FKM280:FKX280 FAQ280:FBB280 EQU280:ERF280 EGY280:EHJ280 DXC280:DXN280 DNG280:DNR280 DDK280:DDV280 CTO280:CTZ280 CJS280:CKD280 BZW280:CAH280 BQA280:BQL280 BGE280:BGP280 AWI280:AWT280 AMM280:AMX280 ACQ280:ADB280 SU280:TF280 IY280:JJ280 CTO220:CTZ220 WVK983223:WVV983223 WLO983223:WLZ983223 WBS983223:WCD983223 VRW983223:VSH983223 VIA983223:VIL983223 UYE983223:UYP983223 UOI983223:UOT983223 UEM983223:UEX983223 TUQ983223:TVB983223 TKU983223:TLF983223 TAY983223:TBJ983223 SRC983223:SRN983223 SHG983223:SHR983223 RXK983223:RXV983223 RNO983223:RNZ983223 RDS983223:RED983223 QTW983223:QUH983223 QKA983223:QKL983223 QAE983223:QAP983223 PQI983223:PQT983223 PGM983223:PGX983223 OWQ983223:OXB983223 OMU983223:ONF983223 OCY983223:ODJ983223 NTC983223:NTN983223 NJG983223:NJR983223 MZK983223:MZV983223 MPO983223:MPZ983223 MFS983223:MGD983223 LVW983223:LWH983223 LMA983223:LML983223 LCE983223:LCP983223 KSI983223:KST983223 KIM983223:KIX983223 JYQ983223:JZB983223 JOU983223:JPF983223 JEY983223:JFJ983223 IVC983223:IVN983223 ILG983223:ILR983223 IBK983223:IBV983223 HRO983223:HRZ983223 HHS983223:HID983223 GXW983223:GYH983223 GOA983223:GOL983223 GEE983223:GEP983223 FUI983223:FUT983223 FKM983223:FKX983223 FAQ983223:FBB983223 EQU983223:ERF983223 EGY983223:EHJ983223 DXC983223:DXN983223 DNG983223:DNR983223 DDK983223:DDV983223 CTO983223:CTZ983223 CJS983223:CKD983223 BZW983223:CAH983223 BQA983223:BQL983223 BGE983223:BGP983223 AWI983223:AWT983223 AMM983223:AMX983223 ACQ983223:ADB983223 SU983223:TF983223 IY983223:JJ983223 C983223:N983223 WVK917687:WVV917687 WLO917687:WLZ917687 WBS917687:WCD917687 VRW917687:VSH917687 VIA917687:VIL917687 UYE917687:UYP917687 UOI917687:UOT917687 UEM917687:UEX917687 TUQ917687:TVB917687 TKU917687:TLF917687 TAY917687:TBJ917687 SRC917687:SRN917687 SHG917687:SHR917687 RXK917687:RXV917687 RNO917687:RNZ917687 RDS917687:RED917687 QTW917687:QUH917687 QKA917687:QKL917687 QAE917687:QAP917687 PQI917687:PQT917687 PGM917687:PGX917687 OWQ917687:OXB917687 OMU917687:ONF917687 OCY917687:ODJ917687 NTC917687:NTN917687 NJG917687:NJR917687 MZK917687:MZV917687 MPO917687:MPZ917687 MFS917687:MGD917687 LVW917687:LWH917687 LMA917687:LML917687 LCE917687:LCP917687 KSI917687:KST917687 KIM917687:KIX917687 JYQ917687:JZB917687 JOU917687:JPF917687 JEY917687:JFJ917687 IVC917687:IVN917687 ILG917687:ILR917687 IBK917687:IBV917687 HRO917687:HRZ917687 HHS917687:HID917687 GXW917687:GYH917687 GOA917687:GOL917687 GEE917687:GEP917687 FUI917687:FUT917687 FKM917687:FKX917687 FAQ917687:FBB917687 EQU917687:ERF917687 EGY917687:EHJ917687 DXC917687:DXN917687 DNG917687:DNR917687 DDK917687:DDV917687 CTO917687:CTZ917687 CJS917687:CKD917687 BZW917687:CAH917687 BQA917687:BQL917687 BGE917687:BGP917687 AWI917687:AWT917687 AMM917687:AMX917687 ACQ917687:ADB917687 SU917687:TF917687 IY917687:JJ917687 C917687:N917687 WVK852151:WVV852151 WLO852151:WLZ852151 WBS852151:WCD852151 VRW852151:VSH852151 VIA852151:VIL852151 UYE852151:UYP852151 UOI852151:UOT852151 UEM852151:UEX852151 TUQ852151:TVB852151 TKU852151:TLF852151 TAY852151:TBJ852151 SRC852151:SRN852151 SHG852151:SHR852151 RXK852151:RXV852151 RNO852151:RNZ852151 RDS852151:RED852151 QTW852151:QUH852151 QKA852151:QKL852151 QAE852151:QAP852151 PQI852151:PQT852151 PGM852151:PGX852151 OWQ852151:OXB852151 OMU852151:ONF852151 OCY852151:ODJ852151 NTC852151:NTN852151 NJG852151:NJR852151 MZK852151:MZV852151 MPO852151:MPZ852151 MFS852151:MGD852151 LVW852151:LWH852151 LMA852151:LML852151 LCE852151:LCP852151 KSI852151:KST852151 KIM852151:KIX852151 JYQ852151:JZB852151 JOU852151:JPF852151 JEY852151:JFJ852151 IVC852151:IVN852151 ILG852151:ILR852151 IBK852151:IBV852151 HRO852151:HRZ852151 HHS852151:HID852151 GXW852151:GYH852151 GOA852151:GOL852151 GEE852151:GEP852151 FUI852151:FUT852151 FKM852151:FKX852151 FAQ852151:FBB852151 EQU852151:ERF852151 EGY852151:EHJ852151 DXC852151:DXN852151 DNG852151:DNR852151 DDK852151:DDV852151 CTO852151:CTZ852151 CJS852151:CKD852151 BZW852151:CAH852151 BQA852151:BQL852151 BGE852151:BGP852151 AWI852151:AWT852151 AMM852151:AMX852151 ACQ852151:ADB852151 SU852151:TF852151 IY852151:JJ852151 C852151:N852151 WVK786615:WVV786615 WLO786615:WLZ786615 WBS786615:WCD786615 VRW786615:VSH786615 VIA786615:VIL786615 UYE786615:UYP786615 UOI786615:UOT786615 UEM786615:UEX786615 TUQ786615:TVB786615 TKU786615:TLF786615 TAY786615:TBJ786615 SRC786615:SRN786615 SHG786615:SHR786615 RXK786615:RXV786615 RNO786615:RNZ786615 RDS786615:RED786615 QTW786615:QUH786615 QKA786615:QKL786615 QAE786615:QAP786615 PQI786615:PQT786615 PGM786615:PGX786615 OWQ786615:OXB786615 OMU786615:ONF786615 OCY786615:ODJ786615 NTC786615:NTN786615 NJG786615:NJR786615 MZK786615:MZV786615 MPO786615:MPZ786615 MFS786615:MGD786615 LVW786615:LWH786615 LMA786615:LML786615 LCE786615:LCP786615 KSI786615:KST786615 KIM786615:KIX786615 JYQ786615:JZB786615 JOU786615:JPF786615 JEY786615:JFJ786615 IVC786615:IVN786615 ILG786615:ILR786615 IBK786615:IBV786615 HRO786615:HRZ786615 HHS786615:HID786615 GXW786615:GYH786615 GOA786615:GOL786615 GEE786615:GEP786615 FUI786615:FUT786615 FKM786615:FKX786615 FAQ786615:FBB786615 EQU786615:ERF786615 EGY786615:EHJ786615 DXC786615:DXN786615 DNG786615:DNR786615 DDK786615:DDV786615 CTO786615:CTZ786615 CJS786615:CKD786615 BZW786615:CAH786615 BQA786615:BQL786615 BGE786615:BGP786615 AWI786615:AWT786615 AMM786615:AMX786615 ACQ786615:ADB786615 SU786615:TF786615 IY786615:JJ786615 C786615:N786615 WVK721079:WVV721079 WLO721079:WLZ721079 WBS721079:WCD721079 VRW721079:VSH721079 VIA721079:VIL721079 UYE721079:UYP721079 UOI721079:UOT721079 UEM721079:UEX721079 TUQ721079:TVB721079 TKU721079:TLF721079 TAY721079:TBJ721079 SRC721079:SRN721079 SHG721079:SHR721079 RXK721079:RXV721079 RNO721079:RNZ721079 RDS721079:RED721079 QTW721079:QUH721079 QKA721079:QKL721079 QAE721079:QAP721079 PQI721079:PQT721079 PGM721079:PGX721079 OWQ721079:OXB721079 OMU721079:ONF721079 OCY721079:ODJ721079 NTC721079:NTN721079 NJG721079:NJR721079 MZK721079:MZV721079 MPO721079:MPZ721079 MFS721079:MGD721079 LVW721079:LWH721079 LMA721079:LML721079 LCE721079:LCP721079 KSI721079:KST721079 KIM721079:KIX721079 JYQ721079:JZB721079 JOU721079:JPF721079 JEY721079:JFJ721079 IVC721079:IVN721079 ILG721079:ILR721079 IBK721079:IBV721079 HRO721079:HRZ721079 HHS721079:HID721079 GXW721079:GYH721079 GOA721079:GOL721079 GEE721079:GEP721079 FUI721079:FUT721079 FKM721079:FKX721079 FAQ721079:FBB721079 EQU721079:ERF721079 EGY721079:EHJ721079 DXC721079:DXN721079 DNG721079:DNR721079 DDK721079:DDV721079 CTO721079:CTZ721079 CJS721079:CKD721079 BZW721079:CAH721079 BQA721079:BQL721079 BGE721079:BGP721079 AWI721079:AWT721079 AMM721079:AMX721079 ACQ721079:ADB721079 SU721079:TF721079 IY721079:JJ721079 C721079:N721079 WVK655543:WVV655543 WLO655543:WLZ655543 WBS655543:WCD655543 VRW655543:VSH655543 VIA655543:VIL655543 UYE655543:UYP655543 UOI655543:UOT655543 UEM655543:UEX655543 TUQ655543:TVB655543 TKU655543:TLF655543 TAY655543:TBJ655543 SRC655543:SRN655543 SHG655543:SHR655543 RXK655543:RXV655543 RNO655543:RNZ655543 RDS655543:RED655543 QTW655543:QUH655543 QKA655543:QKL655543 QAE655543:QAP655543 PQI655543:PQT655543 PGM655543:PGX655543 OWQ655543:OXB655543 OMU655543:ONF655543 OCY655543:ODJ655543 NTC655543:NTN655543 NJG655543:NJR655543 MZK655543:MZV655543 MPO655543:MPZ655543 MFS655543:MGD655543 LVW655543:LWH655543 LMA655543:LML655543 LCE655543:LCP655543 KSI655543:KST655543 KIM655543:KIX655543 JYQ655543:JZB655543 JOU655543:JPF655543 JEY655543:JFJ655543 IVC655543:IVN655543 ILG655543:ILR655543 IBK655543:IBV655543 HRO655543:HRZ655543 HHS655543:HID655543 GXW655543:GYH655543 GOA655543:GOL655543 GEE655543:GEP655543 FUI655543:FUT655543 FKM655543:FKX655543 FAQ655543:FBB655543 EQU655543:ERF655543 EGY655543:EHJ655543 DXC655543:DXN655543 DNG655543:DNR655543 DDK655543:DDV655543 CTO655543:CTZ655543 CJS655543:CKD655543 BZW655543:CAH655543 BQA655543:BQL655543 BGE655543:BGP655543 AWI655543:AWT655543 AMM655543:AMX655543 ACQ655543:ADB655543 SU655543:TF655543 IY655543:JJ655543 C655543:N655543 WVK590007:WVV590007 WLO590007:WLZ590007 WBS590007:WCD590007 VRW590007:VSH590007 VIA590007:VIL590007 UYE590007:UYP590007 UOI590007:UOT590007 UEM590007:UEX590007 TUQ590007:TVB590007 TKU590007:TLF590007 TAY590007:TBJ590007 SRC590007:SRN590007 SHG590007:SHR590007 RXK590007:RXV590007 RNO590007:RNZ590007 RDS590007:RED590007 QTW590007:QUH590007 QKA590007:QKL590007 QAE590007:QAP590007 PQI590007:PQT590007 PGM590007:PGX590007 OWQ590007:OXB590007 OMU590007:ONF590007 OCY590007:ODJ590007 NTC590007:NTN590007 NJG590007:NJR590007 MZK590007:MZV590007 MPO590007:MPZ590007 MFS590007:MGD590007 LVW590007:LWH590007 LMA590007:LML590007 LCE590007:LCP590007 KSI590007:KST590007 KIM590007:KIX590007 JYQ590007:JZB590007 JOU590007:JPF590007 JEY590007:JFJ590007 IVC590007:IVN590007 ILG590007:ILR590007 IBK590007:IBV590007 HRO590007:HRZ590007 HHS590007:HID590007 GXW590007:GYH590007 GOA590007:GOL590007 GEE590007:GEP590007 FUI590007:FUT590007 FKM590007:FKX590007 FAQ590007:FBB590007 EQU590007:ERF590007 EGY590007:EHJ590007 DXC590007:DXN590007 DNG590007:DNR590007 DDK590007:DDV590007 CTO590007:CTZ590007 CJS590007:CKD590007 BZW590007:CAH590007 BQA590007:BQL590007 BGE590007:BGP590007 AWI590007:AWT590007 AMM590007:AMX590007 ACQ590007:ADB590007 SU590007:TF590007 IY590007:JJ590007 C590007:N590007 WVK524471:WVV524471 WLO524471:WLZ524471 WBS524471:WCD524471 VRW524471:VSH524471 VIA524471:VIL524471 UYE524471:UYP524471 UOI524471:UOT524471 UEM524471:UEX524471 TUQ524471:TVB524471 TKU524471:TLF524471 TAY524471:TBJ524471 SRC524471:SRN524471 SHG524471:SHR524471 RXK524471:RXV524471 RNO524471:RNZ524471 RDS524471:RED524471 QTW524471:QUH524471 QKA524471:QKL524471 QAE524471:QAP524471 PQI524471:PQT524471 PGM524471:PGX524471 OWQ524471:OXB524471 OMU524471:ONF524471 OCY524471:ODJ524471 NTC524471:NTN524471 NJG524471:NJR524471 MZK524471:MZV524471 MPO524471:MPZ524471 MFS524471:MGD524471 LVW524471:LWH524471 LMA524471:LML524471 LCE524471:LCP524471 KSI524471:KST524471 KIM524471:KIX524471 JYQ524471:JZB524471 JOU524471:JPF524471 JEY524471:JFJ524471 IVC524471:IVN524471 ILG524471:ILR524471 IBK524471:IBV524471 HRO524471:HRZ524471 HHS524471:HID524471 GXW524471:GYH524471 GOA524471:GOL524471 GEE524471:GEP524471 FUI524471:FUT524471 FKM524471:FKX524471 FAQ524471:FBB524471 EQU524471:ERF524471 EGY524471:EHJ524471 DXC524471:DXN524471 DNG524471:DNR524471 DDK524471:DDV524471 CTO524471:CTZ524471 CJS524471:CKD524471 BZW524471:CAH524471 BQA524471:BQL524471 BGE524471:BGP524471 AWI524471:AWT524471 AMM524471:AMX524471 ACQ524471:ADB524471 SU524471:TF524471 IY524471:JJ524471 C524471:N524471 WVK458935:WVV458935 WLO458935:WLZ458935 WBS458935:WCD458935 VRW458935:VSH458935 VIA458935:VIL458935 UYE458935:UYP458935 UOI458935:UOT458935 UEM458935:UEX458935 TUQ458935:TVB458935 TKU458935:TLF458935 TAY458935:TBJ458935 SRC458935:SRN458935 SHG458935:SHR458935 RXK458935:RXV458935 RNO458935:RNZ458935 RDS458935:RED458935 QTW458935:QUH458935 QKA458935:QKL458935 QAE458935:QAP458935 PQI458935:PQT458935 PGM458935:PGX458935 OWQ458935:OXB458935 OMU458935:ONF458935 OCY458935:ODJ458935 NTC458935:NTN458935 NJG458935:NJR458935 MZK458935:MZV458935 MPO458935:MPZ458935 MFS458935:MGD458935 LVW458935:LWH458935 LMA458935:LML458935 LCE458935:LCP458935 KSI458935:KST458935 KIM458935:KIX458935 JYQ458935:JZB458935 JOU458935:JPF458935 JEY458935:JFJ458935 IVC458935:IVN458935 ILG458935:ILR458935 IBK458935:IBV458935 HRO458935:HRZ458935 HHS458935:HID458935 GXW458935:GYH458935 GOA458935:GOL458935 GEE458935:GEP458935 FUI458935:FUT458935 FKM458935:FKX458935 FAQ458935:FBB458935 EQU458935:ERF458935 EGY458935:EHJ458935 DXC458935:DXN458935 DNG458935:DNR458935 DDK458935:DDV458935 CTO458935:CTZ458935 CJS458935:CKD458935 BZW458935:CAH458935 BQA458935:BQL458935 BGE458935:BGP458935 AWI458935:AWT458935 AMM458935:AMX458935 ACQ458935:ADB458935 SU458935:TF458935 IY458935:JJ458935 C458935:N458935 WVK393399:WVV393399 WLO393399:WLZ393399 WBS393399:WCD393399 VRW393399:VSH393399 VIA393399:VIL393399 UYE393399:UYP393399 UOI393399:UOT393399 UEM393399:UEX393399 TUQ393399:TVB393399 TKU393399:TLF393399 TAY393399:TBJ393399 SRC393399:SRN393399 SHG393399:SHR393399 RXK393399:RXV393399 RNO393399:RNZ393399 RDS393399:RED393399 QTW393399:QUH393399 QKA393399:QKL393399 QAE393399:QAP393399 PQI393399:PQT393399 PGM393399:PGX393399 OWQ393399:OXB393399 OMU393399:ONF393399 OCY393399:ODJ393399 NTC393399:NTN393399 NJG393399:NJR393399 MZK393399:MZV393399 MPO393399:MPZ393399 MFS393399:MGD393399 LVW393399:LWH393399 LMA393399:LML393399 LCE393399:LCP393399 KSI393399:KST393399 KIM393399:KIX393399 JYQ393399:JZB393399 JOU393399:JPF393399 JEY393399:JFJ393399 IVC393399:IVN393399 ILG393399:ILR393399 IBK393399:IBV393399 HRO393399:HRZ393399 HHS393399:HID393399 GXW393399:GYH393399 GOA393399:GOL393399 GEE393399:GEP393399 FUI393399:FUT393399 FKM393399:FKX393399 FAQ393399:FBB393399 EQU393399:ERF393399 EGY393399:EHJ393399 DXC393399:DXN393399 DNG393399:DNR393399 DDK393399:DDV393399 CTO393399:CTZ393399 CJS393399:CKD393399 BZW393399:CAH393399 BQA393399:BQL393399 BGE393399:BGP393399 AWI393399:AWT393399 AMM393399:AMX393399 ACQ393399:ADB393399 SU393399:TF393399 IY393399:JJ393399 C393399:N393399 WVK327863:WVV327863 WLO327863:WLZ327863 WBS327863:WCD327863 VRW327863:VSH327863 VIA327863:VIL327863 UYE327863:UYP327863 UOI327863:UOT327863 UEM327863:UEX327863 TUQ327863:TVB327863 TKU327863:TLF327863 TAY327863:TBJ327863 SRC327863:SRN327863 SHG327863:SHR327863 RXK327863:RXV327863 RNO327863:RNZ327863 RDS327863:RED327863 QTW327863:QUH327863 QKA327863:QKL327863 QAE327863:QAP327863 PQI327863:PQT327863 PGM327863:PGX327863 OWQ327863:OXB327863 OMU327863:ONF327863 OCY327863:ODJ327863 NTC327863:NTN327863 NJG327863:NJR327863 MZK327863:MZV327863 MPO327863:MPZ327863 MFS327863:MGD327863 LVW327863:LWH327863 LMA327863:LML327863 LCE327863:LCP327863 KSI327863:KST327863 KIM327863:KIX327863 JYQ327863:JZB327863 JOU327863:JPF327863 JEY327863:JFJ327863 IVC327863:IVN327863 ILG327863:ILR327863 IBK327863:IBV327863 HRO327863:HRZ327863 HHS327863:HID327863 GXW327863:GYH327863 GOA327863:GOL327863 GEE327863:GEP327863 FUI327863:FUT327863 FKM327863:FKX327863 FAQ327863:FBB327863 EQU327863:ERF327863 EGY327863:EHJ327863 DXC327863:DXN327863 DNG327863:DNR327863 DDK327863:DDV327863 CTO327863:CTZ327863 CJS327863:CKD327863 BZW327863:CAH327863 BQA327863:BQL327863 BGE327863:BGP327863 AWI327863:AWT327863 AMM327863:AMX327863 ACQ327863:ADB327863 SU327863:TF327863 IY327863:JJ327863 C327863:N327863 WVK262327:WVV262327 WLO262327:WLZ262327 WBS262327:WCD262327 VRW262327:VSH262327 VIA262327:VIL262327 UYE262327:UYP262327 UOI262327:UOT262327 UEM262327:UEX262327 TUQ262327:TVB262327 TKU262327:TLF262327 TAY262327:TBJ262327 SRC262327:SRN262327 SHG262327:SHR262327 RXK262327:RXV262327 RNO262327:RNZ262327 RDS262327:RED262327 QTW262327:QUH262327 QKA262327:QKL262327 QAE262327:QAP262327 PQI262327:PQT262327 PGM262327:PGX262327 OWQ262327:OXB262327 OMU262327:ONF262327 OCY262327:ODJ262327 NTC262327:NTN262327 NJG262327:NJR262327 MZK262327:MZV262327 MPO262327:MPZ262327 MFS262327:MGD262327 LVW262327:LWH262327 LMA262327:LML262327 LCE262327:LCP262327 KSI262327:KST262327 KIM262327:KIX262327 JYQ262327:JZB262327 JOU262327:JPF262327 JEY262327:JFJ262327 IVC262327:IVN262327 ILG262327:ILR262327 IBK262327:IBV262327 HRO262327:HRZ262327 HHS262327:HID262327 GXW262327:GYH262327 GOA262327:GOL262327 GEE262327:GEP262327 FUI262327:FUT262327 FKM262327:FKX262327 FAQ262327:FBB262327 EQU262327:ERF262327 EGY262327:EHJ262327 DXC262327:DXN262327 DNG262327:DNR262327 DDK262327:DDV262327 CTO262327:CTZ262327 CJS262327:CKD262327 BZW262327:CAH262327 BQA262327:BQL262327 BGE262327:BGP262327 AWI262327:AWT262327 AMM262327:AMX262327 ACQ262327:ADB262327 SU262327:TF262327 IY262327:JJ262327 C262327:N262327 WVK196791:WVV196791 WLO196791:WLZ196791 WBS196791:WCD196791 VRW196791:VSH196791 VIA196791:VIL196791 UYE196791:UYP196791 UOI196791:UOT196791 UEM196791:UEX196791 TUQ196791:TVB196791 TKU196791:TLF196791 TAY196791:TBJ196791 SRC196791:SRN196791 SHG196791:SHR196791 RXK196791:RXV196791 RNO196791:RNZ196791 RDS196791:RED196791 QTW196791:QUH196791 QKA196791:QKL196791 QAE196791:QAP196791 PQI196791:PQT196791 PGM196791:PGX196791 OWQ196791:OXB196791 OMU196791:ONF196791 OCY196791:ODJ196791 NTC196791:NTN196791 NJG196791:NJR196791 MZK196791:MZV196791 MPO196791:MPZ196791 MFS196791:MGD196791 LVW196791:LWH196791 LMA196791:LML196791 LCE196791:LCP196791 KSI196791:KST196791 KIM196791:KIX196791 JYQ196791:JZB196791 JOU196791:JPF196791 JEY196791:JFJ196791 IVC196791:IVN196791 ILG196791:ILR196791 IBK196791:IBV196791 HRO196791:HRZ196791 HHS196791:HID196791 GXW196791:GYH196791 GOA196791:GOL196791 GEE196791:GEP196791 FUI196791:FUT196791 FKM196791:FKX196791 FAQ196791:FBB196791 EQU196791:ERF196791 EGY196791:EHJ196791 DXC196791:DXN196791 DNG196791:DNR196791 DDK196791:DDV196791 CTO196791:CTZ196791 CJS196791:CKD196791 BZW196791:CAH196791 BQA196791:BQL196791 BGE196791:BGP196791 AWI196791:AWT196791 AMM196791:AMX196791 ACQ196791:ADB196791 SU196791:TF196791 IY196791:JJ196791 C196791:N196791 WVK131255:WVV131255 WLO131255:WLZ131255 WBS131255:WCD131255 VRW131255:VSH131255 VIA131255:VIL131255 UYE131255:UYP131255 UOI131255:UOT131255 UEM131255:UEX131255 TUQ131255:TVB131255 TKU131255:TLF131255 TAY131255:TBJ131255 SRC131255:SRN131255 SHG131255:SHR131255 RXK131255:RXV131255 RNO131255:RNZ131255 RDS131255:RED131255 QTW131255:QUH131255 QKA131255:QKL131255 QAE131255:QAP131255 PQI131255:PQT131255 PGM131255:PGX131255 OWQ131255:OXB131255 OMU131255:ONF131255 OCY131255:ODJ131255 NTC131255:NTN131255 NJG131255:NJR131255 MZK131255:MZV131255 MPO131255:MPZ131255 MFS131255:MGD131255 LVW131255:LWH131255 LMA131255:LML131255 LCE131255:LCP131255 KSI131255:KST131255 KIM131255:KIX131255 JYQ131255:JZB131255 JOU131255:JPF131255 JEY131255:JFJ131255 IVC131255:IVN131255 ILG131255:ILR131255 IBK131255:IBV131255 HRO131255:HRZ131255 HHS131255:HID131255 GXW131255:GYH131255 GOA131255:GOL131255 GEE131255:GEP131255 FUI131255:FUT131255 FKM131255:FKX131255 FAQ131255:FBB131255 EQU131255:ERF131255 EGY131255:EHJ131255 DXC131255:DXN131255 DNG131255:DNR131255 DDK131255:DDV131255 CTO131255:CTZ131255 CJS131255:CKD131255 BZW131255:CAH131255 BQA131255:BQL131255 BGE131255:BGP131255 AWI131255:AWT131255 AMM131255:AMX131255 ACQ131255:ADB131255 SU131255:TF131255 IY131255:JJ131255 C131255:N131255 WVK65719:WVV65719 WLO65719:WLZ65719 WBS65719:WCD65719 VRW65719:VSH65719 VIA65719:VIL65719 UYE65719:UYP65719 UOI65719:UOT65719 UEM65719:UEX65719 TUQ65719:TVB65719 TKU65719:TLF65719 TAY65719:TBJ65719 SRC65719:SRN65719 SHG65719:SHR65719 RXK65719:RXV65719 RNO65719:RNZ65719 RDS65719:RED65719 QTW65719:QUH65719 QKA65719:QKL65719 QAE65719:QAP65719 PQI65719:PQT65719 PGM65719:PGX65719 OWQ65719:OXB65719 OMU65719:ONF65719 OCY65719:ODJ65719 NTC65719:NTN65719 NJG65719:NJR65719 MZK65719:MZV65719 MPO65719:MPZ65719 MFS65719:MGD65719 LVW65719:LWH65719 LMA65719:LML65719 LCE65719:LCP65719 KSI65719:KST65719 KIM65719:KIX65719 JYQ65719:JZB65719 JOU65719:JPF65719 JEY65719:JFJ65719 IVC65719:IVN65719 ILG65719:ILR65719 IBK65719:IBV65719 HRO65719:HRZ65719 HHS65719:HID65719 GXW65719:GYH65719 GOA65719:GOL65719 GEE65719:GEP65719 FUI65719:FUT65719 FKM65719:FKX65719 FAQ65719:FBB65719 EQU65719:ERF65719 EGY65719:EHJ65719 DXC65719:DXN65719 DNG65719:DNR65719 DDK65719:DDV65719 CTO65719:CTZ65719 CJS65719:CKD65719 BZW65719:CAH65719 BQA65719:BQL65719 BGE65719:BGP65719 AWI65719:AWT65719 AMM65719:AMX65719 ACQ65719:ADB65719 SU65719:TF65719 IY65719:JJ65719 C65719:N65719 WVK265:WVV265 WLO265:WLZ265 WBS265:WCD265 VRW265:VSH265 VIA265:VIL265 UYE265:UYP265 UOI265:UOT265 UEM265:UEX265 TUQ265:TVB265 TKU265:TLF265 TAY265:TBJ265 SRC265:SRN265 SHG265:SHR265 RXK265:RXV265 RNO265:RNZ265 RDS265:RED265 QTW265:QUH265 QKA265:QKL265 QAE265:QAP265 PQI265:PQT265 PGM265:PGX265 OWQ265:OXB265 OMU265:ONF265 OCY265:ODJ265 NTC265:NTN265 NJG265:NJR265 MZK265:MZV265 MPO265:MPZ265 MFS265:MGD265 LVW265:LWH265 LMA265:LML265 LCE265:LCP265 KSI265:KST265 KIM265:KIX265 JYQ265:JZB265 JOU265:JPF265 JEY265:JFJ265 IVC265:IVN265 ILG265:ILR265 IBK265:IBV265 HRO265:HRZ265 HHS265:HID265 GXW265:GYH265 GOA265:GOL265 GEE265:GEP265 FUI265:FUT265 FKM265:FKX265 FAQ265:FBB265 EQU265:ERF265 EGY265:EHJ265 DXC265:DXN265 DNG265:DNR265 DDK265:DDV265 CTO265:CTZ265 CJS265:CKD265 BZW265:CAH265 BQA265:BQL265 BGE265:BGP265 AWI265:AWT265 AMM265:AMX265 ACQ265:ADB265 SU265:TF265 IY265:JJ265 CJS220:CKD220 WVK983208:WVV983208 WLO983208:WLZ983208 WBS983208:WCD983208 VRW983208:VSH983208 VIA983208:VIL983208 UYE983208:UYP983208 UOI983208:UOT983208 UEM983208:UEX983208 TUQ983208:TVB983208 TKU983208:TLF983208 TAY983208:TBJ983208 SRC983208:SRN983208 SHG983208:SHR983208 RXK983208:RXV983208 RNO983208:RNZ983208 RDS983208:RED983208 QTW983208:QUH983208 QKA983208:QKL983208 QAE983208:QAP983208 PQI983208:PQT983208 PGM983208:PGX983208 OWQ983208:OXB983208 OMU983208:ONF983208 OCY983208:ODJ983208 NTC983208:NTN983208 NJG983208:NJR983208 MZK983208:MZV983208 MPO983208:MPZ983208 MFS983208:MGD983208 LVW983208:LWH983208 LMA983208:LML983208 LCE983208:LCP983208 KSI983208:KST983208 KIM983208:KIX983208 JYQ983208:JZB983208 JOU983208:JPF983208 JEY983208:JFJ983208 IVC983208:IVN983208 ILG983208:ILR983208 IBK983208:IBV983208 HRO983208:HRZ983208 HHS983208:HID983208 GXW983208:GYH983208 GOA983208:GOL983208 GEE983208:GEP983208 FUI983208:FUT983208 FKM983208:FKX983208 FAQ983208:FBB983208 EQU983208:ERF983208 EGY983208:EHJ983208 DXC983208:DXN983208 DNG983208:DNR983208 DDK983208:DDV983208 CTO983208:CTZ983208 CJS983208:CKD983208 BZW983208:CAH983208 BQA983208:BQL983208 BGE983208:BGP983208 AWI983208:AWT983208 AMM983208:AMX983208 ACQ983208:ADB983208 SU983208:TF983208 IY983208:JJ983208 C983208:N983208 WVK917672:WVV917672 WLO917672:WLZ917672 WBS917672:WCD917672 VRW917672:VSH917672 VIA917672:VIL917672 UYE917672:UYP917672 UOI917672:UOT917672 UEM917672:UEX917672 TUQ917672:TVB917672 TKU917672:TLF917672 TAY917672:TBJ917672 SRC917672:SRN917672 SHG917672:SHR917672 RXK917672:RXV917672 RNO917672:RNZ917672 RDS917672:RED917672 QTW917672:QUH917672 QKA917672:QKL917672 QAE917672:QAP917672 PQI917672:PQT917672 PGM917672:PGX917672 OWQ917672:OXB917672 OMU917672:ONF917672 OCY917672:ODJ917672 NTC917672:NTN917672 NJG917672:NJR917672 MZK917672:MZV917672 MPO917672:MPZ917672 MFS917672:MGD917672 LVW917672:LWH917672 LMA917672:LML917672 LCE917672:LCP917672 KSI917672:KST917672 KIM917672:KIX917672 JYQ917672:JZB917672 JOU917672:JPF917672 JEY917672:JFJ917672 IVC917672:IVN917672 ILG917672:ILR917672 IBK917672:IBV917672 HRO917672:HRZ917672 HHS917672:HID917672 GXW917672:GYH917672 GOA917672:GOL917672 GEE917672:GEP917672 FUI917672:FUT917672 FKM917672:FKX917672 FAQ917672:FBB917672 EQU917672:ERF917672 EGY917672:EHJ917672 DXC917672:DXN917672 DNG917672:DNR917672 DDK917672:DDV917672 CTO917672:CTZ917672 CJS917672:CKD917672 BZW917672:CAH917672 BQA917672:BQL917672 BGE917672:BGP917672 AWI917672:AWT917672 AMM917672:AMX917672 ACQ917672:ADB917672 SU917672:TF917672 IY917672:JJ917672 C917672:N917672 WVK852136:WVV852136 WLO852136:WLZ852136 WBS852136:WCD852136 VRW852136:VSH852136 VIA852136:VIL852136 UYE852136:UYP852136 UOI852136:UOT852136 UEM852136:UEX852136 TUQ852136:TVB852136 TKU852136:TLF852136 TAY852136:TBJ852136 SRC852136:SRN852136 SHG852136:SHR852136 RXK852136:RXV852136 RNO852136:RNZ852136 RDS852136:RED852136 QTW852136:QUH852136 QKA852136:QKL852136 QAE852136:QAP852136 PQI852136:PQT852136 PGM852136:PGX852136 OWQ852136:OXB852136 OMU852136:ONF852136 OCY852136:ODJ852136 NTC852136:NTN852136 NJG852136:NJR852136 MZK852136:MZV852136 MPO852136:MPZ852136 MFS852136:MGD852136 LVW852136:LWH852136 LMA852136:LML852136 LCE852136:LCP852136 KSI852136:KST852136 KIM852136:KIX852136 JYQ852136:JZB852136 JOU852136:JPF852136 JEY852136:JFJ852136 IVC852136:IVN852136 ILG852136:ILR852136 IBK852136:IBV852136 HRO852136:HRZ852136 HHS852136:HID852136 GXW852136:GYH852136 GOA852136:GOL852136 GEE852136:GEP852136 FUI852136:FUT852136 FKM852136:FKX852136 FAQ852136:FBB852136 EQU852136:ERF852136 EGY852136:EHJ852136 DXC852136:DXN852136 DNG852136:DNR852136 DDK852136:DDV852136 CTO852136:CTZ852136 CJS852136:CKD852136 BZW852136:CAH852136 BQA852136:BQL852136 BGE852136:BGP852136 AWI852136:AWT852136 AMM852136:AMX852136 ACQ852136:ADB852136 SU852136:TF852136 IY852136:JJ852136 C852136:N852136 WVK786600:WVV786600 WLO786600:WLZ786600 WBS786600:WCD786600 VRW786600:VSH786600 VIA786600:VIL786600 UYE786600:UYP786600 UOI786600:UOT786600 UEM786600:UEX786600 TUQ786600:TVB786600 TKU786600:TLF786600 TAY786600:TBJ786600 SRC786600:SRN786600 SHG786600:SHR786600 RXK786600:RXV786600 RNO786600:RNZ786600 RDS786600:RED786600 QTW786600:QUH786600 QKA786600:QKL786600 QAE786600:QAP786600 PQI786600:PQT786600 PGM786600:PGX786600 OWQ786600:OXB786600 OMU786600:ONF786600 OCY786600:ODJ786600 NTC786600:NTN786600 NJG786600:NJR786600 MZK786600:MZV786600 MPO786600:MPZ786600 MFS786600:MGD786600 LVW786600:LWH786600 LMA786600:LML786600 LCE786600:LCP786600 KSI786600:KST786600 KIM786600:KIX786600 JYQ786600:JZB786600 JOU786600:JPF786600 JEY786600:JFJ786600 IVC786600:IVN786600 ILG786600:ILR786600 IBK786600:IBV786600 HRO786600:HRZ786600 HHS786600:HID786600 GXW786600:GYH786600 GOA786600:GOL786600 GEE786600:GEP786600 FUI786600:FUT786600 FKM786600:FKX786600 FAQ786600:FBB786600 EQU786600:ERF786600 EGY786600:EHJ786600 DXC786600:DXN786600 DNG786600:DNR786600 DDK786600:DDV786600 CTO786600:CTZ786600 CJS786600:CKD786600 BZW786600:CAH786600 BQA786600:BQL786600 BGE786600:BGP786600 AWI786600:AWT786600 AMM786600:AMX786600 ACQ786600:ADB786600 SU786600:TF786600 IY786600:JJ786600 C786600:N786600 WVK721064:WVV721064 WLO721064:WLZ721064 WBS721064:WCD721064 VRW721064:VSH721064 VIA721064:VIL721064 UYE721064:UYP721064 UOI721064:UOT721064 UEM721064:UEX721064 TUQ721064:TVB721064 TKU721064:TLF721064 TAY721064:TBJ721064 SRC721064:SRN721064 SHG721064:SHR721064 RXK721064:RXV721064 RNO721064:RNZ721064 RDS721064:RED721064 QTW721064:QUH721064 QKA721064:QKL721064 QAE721064:QAP721064 PQI721064:PQT721064 PGM721064:PGX721064 OWQ721064:OXB721064 OMU721064:ONF721064 OCY721064:ODJ721064 NTC721064:NTN721064 NJG721064:NJR721064 MZK721064:MZV721064 MPO721064:MPZ721064 MFS721064:MGD721064 LVW721064:LWH721064 LMA721064:LML721064 LCE721064:LCP721064 KSI721064:KST721064 KIM721064:KIX721064 JYQ721064:JZB721064 JOU721064:JPF721064 JEY721064:JFJ721064 IVC721064:IVN721064 ILG721064:ILR721064 IBK721064:IBV721064 HRO721064:HRZ721064 HHS721064:HID721064 GXW721064:GYH721064 GOA721064:GOL721064 GEE721064:GEP721064 FUI721064:FUT721064 FKM721064:FKX721064 FAQ721064:FBB721064 EQU721064:ERF721064 EGY721064:EHJ721064 DXC721064:DXN721064 DNG721064:DNR721064 DDK721064:DDV721064 CTO721064:CTZ721064 CJS721064:CKD721064 BZW721064:CAH721064 BQA721064:BQL721064 BGE721064:BGP721064 AWI721064:AWT721064 AMM721064:AMX721064 ACQ721064:ADB721064 SU721064:TF721064 IY721064:JJ721064 C721064:N721064 WVK655528:WVV655528 WLO655528:WLZ655528 WBS655528:WCD655528 VRW655528:VSH655528 VIA655528:VIL655528 UYE655528:UYP655528 UOI655528:UOT655528 UEM655528:UEX655528 TUQ655528:TVB655528 TKU655528:TLF655528 TAY655528:TBJ655528 SRC655528:SRN655528 SHG655528:SHR655528 RXK655528:RXV655528 RNO655528:RNZ655528 RDS655528:RED655528 QTW655528:QUH655528 QKA655528:QKL655528 QAE655528:QAP655528 PQI655528:PQT655528 PGM655528:PGX655528 OWQ655528:OXB655528 OMU655528:ONF655528 OCY655528:ODJ655528 NTC655528:NTN655528 NJG655528:NJR655528 MZK655528:MZV655528 MPO655528:MPZ655528 MFS655528:MGD655528 LVW655528:LWH655528 LMA655528:LML655528 LCE655528:LCP655528 KSI655528:KST655528 KIM655528:KIX655528 JYQ655528:JZB655528 JOU655528:JPF655528 JEY655528:JFJ655528 IVC655528:IVN655528 ILG655528:ILR655528 IBK655528:IBV655528 HRO655528:HRZ655528 HHS655528:HID655528 GXW655528:GYH655528 GOA655528:GOL655528 GEE655528:GEP655528 FUI655528:FUT655528 FKM655528:FKX655528 FAQ655528:FBB655528 EQU655528:ERF655528 EGY655528:EHJ655528 DXC655528:DXN655528 DNG655528:DNR655528 DDK655528:DDV655528 CTO655528:CTZ655528 CJS655528:CKD655528 BZW655528:CAH655528 BQA655528:BQL655528 BGE655528:BGP655528 AWI655528:AWT655528 AMM655528:AMX655528 ACQ655528:ADB655528 SU655528:TF655528 IY655528:JJ655528 C655528:N655528 WVK589992:WVV589992 WLO589992:WLZ589992 WBS589992:WCD589992 VRW589992:VSH589992 VIA589992:VIL589992 UYE589992:UYP589992 UOI589992:UOT589992 UEM589992:UEX589992 TUQ589992:TVB589992 TKU589992:TLF589992 TAY589992:TBJ589992 SRC589992:SRN589992 SHG589992:SHR589992 RXK589992:RXV589992 RNO589992:RNZ589992 RDS589992:RED589992 QTW589992:QUH589992 QKA589992:QKL589992 QAE589992:QAP589992 PQI589992:PQT589992 PGM589992:PGX589992 OWQ589992:OXB589992 OMU589992:ONF589992 OCY589992:ODJ589992 NTC589992:NTN589992 NJG589992:NJR589992 MZK589992:MZV589992 MPO589992:MPZ589992 MFS589992:MGD589992 LVW589992:LWH589992 LMA589992:LML589992 LCE589992:LCP589992 KSI589992:KST589992 KIM589992:KIX589992 JYQ589992:JZB589992 JOU589992:JPF589992 JEY589992:JFJ589992 IVC589992:IVN589992 ILG589992:ILR589992 IBK589992:IBV589992 HRO589992:HRZ589992 HHS589992:HID589992 GXW589992:GYH589992 GOA589992:GOL589992 GEE589992:GEP589992 FUI589992:FUT589992 FKM589992:FKX589992 FAQ589992:FBB589992 EQU589992:ERF589992 EGY589992:EHJ589992 DXC589992:DXN589992 DNG589992:DNR589992 DDK589992:DDV589992 CTO589992:CTZ589992 CJS589992:CKD589992 BZW589992:CAH589992 BQA589992:BQL589992 BGE589992:BGP589992 AWI589992:AWT589992 AMM589992:AMX589992 ACQ589992:ADB589992 SU589992:TF589992 IY589992:JJ589992 C589992:N589992 WVK524456:WVV524456 WLO524456:WLZ524456 WBS524456:WCD524456 VRW524456:VSH524456 VIA524456:VIL524456 UYE524456:UYP524456 UOI524456:UOT524456 UEM524456:UEX524456 TUQ524456:TVB524456 TKU524456:TLF524456 TAY524456:TBJ524456 SRC524456:SRN524456 SHG524456:SHR524456 RXK524456:RXV524456 RNO524456:RNZ524456 RDS524456:RED524456 QTW524456:QUH524456 QKA524456:QKL524456 QAE524456:QAP524456 PQI524456:PQT524456 PGM524456:PGX524456 OWQ524456:OXB524456 OMU524456:ONF524456 OCY524456:ODJ524456 NTC524456:NTN524456 NJG524456:NJR524456 MZK524456:MZV524456 MPO524456:MPZ524456 MFS524456:MGD524456 LVW524456:LWH524456 LMA524456:LML524456 LCE524456:LCP524456 KSI524456:KST524456 KIM524456:KIX524456 JYQ524456:JZB524456 JOU524456:JPF524456 JEY524456:JFJ524456 IVC524456:IVN524456 ILG524456:ILR524456 IBK524456:IBV524456 HRO524456:HRZ524456 HHS524456:HID524456 GXW524456:GYH524456 GOA524456:GOL524456 GEE524456:GEP524456 FUI524456:FUT524456 FKM524456:FKX524456 FAQ524456:FBB524456 EQU524456:ERF524456 EGY524456:EHJ524456 DXC524456:DXN524456 DNG524456:DNR524456 DDK524456:DDV524456 CTO524456:CTZ524456 CJS524456:CKD524456 BZW524456:CAH524456 BQA524456:BQL524456 BGE524456:BGP524456 AWI524456:AWT524456 AMM524456:AMX524456 ACQ524456:ADB524456 SU524456:TF524456 IY524456:JJ524456 C524456:N524456 WVK458920:WVV458920 WLO458920:WLZ458920 WBS458920:WCD458920 VRW458920:VSH458920 VIA458920:VIL458920 UYE458920:UYP458920 UOI458920:UOT458920 UEM458920:UEX458920 TUQ458920:TVB458920 TKU458920:TLF458920 TAY458920:TBJ458920 SRC458920:SRN458920 SHG458920:SHR458920 RXK458920:RXV458920 RNO458920:RNZ458920 RDS458920:RED458920 QTW458920:QUH458920 QKA458920:QKL458920 QAE458920:QAP458920 PQI458920:PQT458920 PGM458920:PGX458920 OWQ458920:OXB458920 OMU458920:ONF458920 OCY458920:ODJ458920 NTC458920:NTN458920 NJG458920:NJR458920 MZK458920:MZV458920 MPO458920:MPZ458920 MFS458920:MGD458920 LVW458920:LWH458920 LMA458920:LML458920 LCE458920:LCP458920 KSI458920:KST458920 KIM458920:KIX458920 JYQ458920:JZB458920 JOU458920:JPF458920 JEY458920:JFJ458920 IVC458920:IVN458920 ILG458920:ILR458920 IBK458920:IBV458920 HRO458920:HRZ458920 HHS458920:HID458920 GXW458920:GYH458920 GOA458920:GOL458920 GEE458920:GEP458920 FUI458920:FUT458920 FKM458920:FKX458920 FAQ458920:FBB458920 EQU458920:ERF458920 EGY458920:EHJ458920 DXC458920:DXN458920 DNG458920:DNR458920 DDK458920:DDV458920 CTO458920:CTZ458920 CJS458920:CKD458920 BZW458920:CAH458920 BQA458920:BQL458920 BGE458920:BGP458920 AWI458920:AWT458920 AMM458920:AMX458920 ACQ458920:ADB458920 SU458920:TF458920 IY458920:JJ458920 C458920:N458920 WVK393384:WVV393384 WLO393384:WLZ393384 WBS393384:WCD393384 VRW393384:VSH393384 VIA393384:VIL393384 UYE393384:UYP393384 UOI393384:UOT393384 UEM393384:UEX393384 TUQ393384:TVB393384 TKU393384:TLF393384 TAY393384:TBJ393384 SRC393384:SRN393384 SHG393384:SHR393384 RXK393384:RXV393384 RNO393384:RNZ393384 RDS393384:RED393384 QTW393384:QUH393384 QKA393384:QKL393384 QAE393384:QAP393384 PQI393384:PQT393384 PGM393384:PGX393384 OWQ393384:OXB393384 OMU393384:ONF393384 OCY393384:ODJ393384 NTC393384:NTN393384 NJG393384:NJR393384 MZK393384:MZV393384 MPO393384:MPZ393384 MFS393384:MGD393384 LVW393384:LWH393384 LMA393384:LML393384 LCE393384:LCP393384 KSI393384:KST393384 KIM393384:KIX393384 JYQ393384:JZB393384 JOU393384:JPF393384 JEY393384:JFJ393384 IVC393384:IVN393384 ILG393384:ILR393384 IBK393384:IBV393384 HRO393384:HRZ393384 HHS393384:HID393384 GXW393384:GYH393384 GOA393384:GOL393384 GEE393384:GEP393384 FUI393384:FUT393384 FKM393384:FKX393384 FAQ393384:FBB393384 EQU393384:ERF393384 EGY393384:EHJ393384 DXC393384:DXN393384 DNG393384:DNR393384 DDK393384:DDV393384 CTO393384:CTZ393384 CJS393384:CKD393384 BZW393384:CAH393384 BQA393384:BQL393384 BGE393384:BGP393384 AWI393384:AWT393384 AMM393384:AMX393384 ACQ393384:ADB393384 SU393384:TF393384 IY393384:JJ393384 C393384:N393384 WVK327848:WVV327848 WLO327848:WLZ327848 WBS327848:WCD327848 VRW327848:VSH327848 VIA327848:VIL327848 UYE327848:UYP327848 UOI327848:UOT327848 UEM327848:UEX327848 TUQ327848:TVB327848 TKU327848:TLF327848 TAY327848:TBJ327848 SRC327848:SRN327848 SHG327848:SHR327848 RXK327848:RXV327848 RNO327848:RNZ327848 RDS327848:RED327848 QTW327848:QUH327848 QKA327848:QKL327848 QAE327848:QAP327848 PQI327848:PQT327848 PGM327848:PGX327848 OWQ327848:OXB327848 OMU327848:ONF327848 OCY327848:ODJ327848 NTC327848:NTN327848 NJG327848:NJR327848 MZK327848:MZV327848 MPO327848:MPZ327848 MFS327848:MGD327848 LVW327848:LWH327848 LMA327848:LML327848 LCE327848:LCP327848 KSI327848:KST327848 KIM327848:KIX327848 JYQ327848:JZB327848 JOU327848:JPF327848 JEY327848:JFJ327848 IVC327848:IVN327848 ILG327848:ILR327848 IBK327848:IBV327848 HRO327848:HRZ327848 HHS327848:HID327848 GXW327848:GYH327848 GOA327848:GOL327848 GEE327848:GEP327848 FUI327848:FUT327848 FKM327848:FKX327848 FAQ327848:FBB327848 EQU327848:ERF327848 EGY327848:EHJ327848 DXC327848:DXN327848 DNG327848:DNR327848 DDK327848:DDV327848 CTO327848:CTZ327848 CJS327848:CKD327848 BZW327848:CAH327848 BQA327848:BQL327848 BGE327848:BGP327848 AWI327848:AWT327848 AMM327848:AMX327848 ACQ327848:ADB327848 SU327848:TF327848 IY327848:JJ327848 C327848:N327848 WVK262312:WVV262312 WLO262312:WLZ262312 WBS262312:WCD262312 VRW262312:VSH262312 VIA262312:VIL262312 UYE262312:UYP262312 UOI262312:UOT262312 UEM262312:UEX262312 TUQ262312:TVB262312 TKU262312:TLF262312 TAY262312:TBJ262312 SRC262312:SRN262312 SHG262312:SHR262312 RXK262312:RXV262312 RNO262312:RNZ262312 RDS262312:RED262312 QTW262312:QUH262312 QKA262312:QKL262312 QAE262312:QAP262312 PQI262312:PQT262312 PGM262312:PGX262312 OWQ262312:OXB262312 OMU262312:ONF262312 OCY262312:ODJ262312 NTC262312:NTN262312 NJG262312:NJR262312 MZK262312:MZV262312 MPO262312:MPZ262312 MFS262312:MGD262312 LVW262312:LWH262312 LMA262312:LML262312 LCE262312:LCP262312 KSI262312:KST262312 KIM262312:KIX262312 JYQ262312:JZB262312 JOU262312:JPF262312 JEY262312:JFJ262312 IVC262312:IVN262312 ILG262312:ILR262312 IBK262312:IBV262312 HRO262312:HRZ262312 HHS262312:HID262312 GXW262312:GYH262312 GOA262312:GOL262312 GEE262312:GEP262312 FUI262312:FUT262312 FKM262312:FKX262312 FAQ262312:FBB262312 EQU262312:ERF262312 EGY262312:EHJ262312 DXC262312:DXN262312 DNG262312:DNR262312 DDK262312:DDV262312 CTO262312:CTZ262312 CJS262312:CKD262312 BZW262312:CAH262312 BQA262312:BQL262312 BGE262312:BGP262312 AWI262312:AWT262312 AMM262312:AMX262312 ACQ262312:ADB262312 SU262312:TF262312 IY262312:JJ262312 C262312:N262312 WVK196776:WVV196776 WLO196776:WLZ196776 WBS196776:WCD196776 VRW196776:VSH196776 VIA196776:VIL196776 UYE196776:UYP196776 UOI196776:UOT196776 UEM196776:UEX196776 TUQ196776:TVB196776 TKU196776:TLF196776 TAY196776:TBJ196776 SRC196776:SRN196776 SHG196776:SHR196776 RXK196776:RXV196776 RNO196776:RNZ196776 RDS196776:RED196776 QTW196776:QUH196776 QKA196776:QKL196776 QAE196776:QAP196776 PQI196776:PQT196776 PGM196776:PGX196776 OWQ196776:OXB196776 OMU196776:ONF196776 OCY196776:ODJ196776 NTC196776:NTN196776 NJG196776:NJR196776 MZK196776:MZV196776 MPO196776:MPZ196776 MFS196776:MGD196776 LVW196776:LWH196776 LMA196776:LML196776 LCE196776:LCP196776 KSI196776:KST196776 KIM196776:KIX196776 JYQ196776:JZB196776 JOU196776:JPF196776 JEY196776:JFJ196776 IVC196776:IVN196776 ILG196776:ILR196776 IBK196776:IBV196776 HRO196776:HRZ196776 HHS196776:HID196776 GXW196776:GYH196776 GOA196776:GOL196776 GEE196776:GEP196776 FUI196776:FUT196776 FKM196776:FKX196776 FAQ196776:FBB196776 EQU196776:ERF196776 EGY196776:EHJ196776 DXC196776:DXN196776 DNG196776:DNR196776 DDK196776:DDV196776 CTO196776:CTZ196776 CJS196776:CKD196776 BZW196776:CAH196776 BQA196776:BQL196776 BGE196776:BGP196776 AWI196776:AWT196776 AMM196776:AMX196776 ACQ196776:ADB196776 SU196776:TF196776 IY196776:JJ196776 C196776:N196776 WVK131240:WVV131240 WLO131240:WLZ131240 WBS131240:WCD131240 VRW131240:VSH131240 VIA131240:VIL131240 UYE131240:UYP131240 UOI131240:UOT131240 UEM131240:UEX131240 TUQ131240:TVB131240 TKU131240:TLF131240 TAY131240:TBJ131240 SRC131240:SRN131240 SHG131240:SHR131240 RXK131240:RXV131240 RNO131240:RNZ131240 RDS131240:RED131240 QTW131240:QUH131240 QKA131240:QKL131240 QAE131240:QAP131240 PQI131240:PQT131240 PGM131240:PGX131240 OWQ131240:OXB131240 OMU131240:ONF131240 OCY131240:ODJ131240 NTC131240:NTN131240 NJG131240:NJR131240 MZK131240:MZV131240 MPO131240:MPZ131240 MFS131240:MGD131240 LVW131240:LWH131240 LMA131240:LML131240 LCE131240:LCP131240 KSI131240:KST131240 KIM131240:KIX131240 JYQ131240:JZB131240 JOU131240:JPF131240 JEY131240:JFJ131240 IVC131240:IVN131240 ILG131240:ILR131240 IBK131240:IBV131240 HRO131240:HRZ131240 HHS131240:HID131240 GXW131240:GYH131240 GOA131240:GOL131240 GEE131240:GEP131240 FUI131240:FUT131240 FKM131240:FKX131240 FAQ131240:FBB131240 EQU131240:ERF131240 EGY131240:EHJ131240 DXC131240:DXN131240 DNG131240:DNR131240 DDK131240:DDV131240 CTO131240:CTZ131240 CJS131240:CKD131240 BZW131240:CAH131240 BQA131240:BQL131240 BGE131240:BGP131240 AWI131240:AWT131240 AMM131240:AMX131240 ACQ131240:ADB131240 SU131240:TF131240 IY131240:JJ131240 C131240:N131240 WVK65704:WVV65704 WLO65704:WLZ65704 WBS65704:WCD65704 VRW65704:VSH65704 VIA65704:VIL65704 UYE65704:UYP65704 UOI65704:UOT65704 UEM65704:UEX65704 TUQ65704:TVB65704 TKU65704:TLF65704 TAY65704:TBJ65704 SRC65704:SRN65704 SHG65704:SHR65704 RXK65704:RXV65704 RNO65704:RNZ65704 RDS65704:RED65704 QTW65704:QUH65704 QKA65704:QKL65704 QAE65704:QAP65704 PQI65704:PQT65704 PGM65704:PGX65704 OWQ65704:OXB65704 OMU65704:ONF65704 OCY65704:ODJ65704 NTC65704:NTN65704 NJG65704:NJR65704 MZK65704:MZV65704 MPO65704:MPZ65704 MFS65704:MGD65704 LVW65704:LWH65704 LMA65704:LML65704 LCE65704:LCP65704 KSI65704:KST65704 KIM65704:KIX65704 JYQ65704:JZB65704 JOU65704:JPF65704 JEY65704:JFJ65704 IVC65704:IVN65704 ILG65704:ILR65704 IBK65704:IBV65704 HRO65704:HRZ65704 HHS65704:HID65704 GXW65704:GYH65704 GOA65704:GOL65704 GEE65704:GEP65704 FUI65704:FUT65704 FKM65704:FKX65704 FAQ65704:FBB65704 EQU65704:ERF65704 EGY65704:EHJ65704 DXC65704:DXN65704 DNG65704:DNR65704 DDK65704:DDV65704 CTO65704:CTZ65704 CJS65704:CKD65704 BZW65704:CAH65704 BQA65704:BQL65704 BGE65704:BGP65704 AWI65704:AWT65704 AMM65704:AMX65704 ACQ65704:ADB65704 SU65704:TF65704 IY65704:JJ65704 C65704:N65704 WVK250:WVV250 WLO250:WLZ250 WBS250:WCD250 VRW250:VSH250 VIA250:VIL250 UYE250:UYP250 UOI250:UOT250 UEM250:UEX250 TUQ250:TVB250 TKU250:TLF250 TAY250:TBJ250 SRC250:SRN250 SHG250:SHR250 RXK250:RXV250 RNO250:RNZ250 RDS250:RED250 QTW250:QUH250 QKA250:QKL250 QAE250:QAP250 PQI250:PQT250 PGM250:PGX250 OWQ250:OXB250 OMU250:ONF250 OCY250:ODJ250 NTC250:NTN250 NJG250:NJR250 MZK250:MZV250 MPO250:MPZ250 MFS250:MGD250 LVW250:LWH250 LMA250:LML250 LCE250:LCP250 KSI250:KST250 KIM250:KIX250 JYQ250:JZB250 JOU250:JPF250 JEY250:JFJ250 IVC250:IVN250 ILG250:ILR250 IBK250:IBV250 HRO250:HRZ250 HHS250:HID250 GXW250:GYH250 GOA250:GOL250 GEE250:GEP250 FUI250:FUT250 FKM250:FKX250 FAQ250:FBB250 EQU250:ERF250 EGY250:EHJ250 DXC250:DXN250 DNG250:DNR250 DDK250:DDV250 CTO250:CTZ250 CJS250:CKD250 BZW250:CAH250 BQA250:BQL250 BGE250:BGP250 AWI250:AWT250 AMM250:AMX250 ACQ250:ADB250 SU250:TF250 IY250:JJ250 BZW220:CAH220 WVK983193:WVV983193 WLO983193:WLZ983193 WBS983193:WCD983193 VRW983193:VSH983193 VIA983193:VIL983193 UYE983193:UYP983193 UOI983193:UOT983193 UEM983193:UEX983193 TUQ983193:TVB983193 TKU983193:TLF983193 TAY983193:TBJ983193 SRC983193:SRN983193 SHG983193:SHR983193 RXK983193:RXV983193 RNO983193:RNZ983193 RDS983193:RED983193 QTW983193:QUH983193 QKA983193:QKL983193 QAE983193:QAP983193 PQI983193:PQT983193 PGM983193:PGX983193 OWQ983193:OXB983193 OMU983193:ONF983193 OCY983193:ODJ983193 NTC983193:NTN983193 NJG983193:NJR983193 MZK983193:MZV983193 MPO983193:MPZ983193 MFS983193:MGD983193 LVW983193:LWH983193 LMA983193:LML983193 LCE983193:LCP983193 KSI983193:KST983193 KIM983193:KIX983193 JYQ983193:JZB983193 JOU983193:JPF983193 JEY983193:JFJ983193 IVC983193:IVN983193 ILG983193:ILR983193 IBK983193:IBV983193 HRO983193:HRZ983193 HHS983193:HID983193 GXW983193:GYH983193 GOA983193:GOL983193 GEE983193:GEP983193 FUI983193:FUT983193 FKM983193:FKX983193 FAQ983193:FBB983193 EQU983193:ERF983193 EGY983193:EHJ983193 DXC983193:DXN983193 DNG983193:DNR983193 DDK983193:DDV983193 CTO983193:CTZ983193 CJS983193:CKD983193 BZW983193:CAH983193 BQA983193:BQL983193 BGE983193:BGP983193 AWI983193:AWT983193 AMM983193:AMX983193 ACQ983193:ADB983193 SU983193:TF983193 IY983193:JJ983193 C983193:N983193 WVK917657:WVV917657 WLO917657:WLZ917657 WBS917657:WCD917657 VRW917657:VSH917657 VIA917657:VIL917657 UYE917657:UYP917657 UOI917657:UOT917657 UEM917657:UEX917657 TUQ917657:TVB917657 TKU917657:TLF917657 TAY917657:TBJ917657 SRC917657:SRN917657 SHG917657:SHR917657 RXK917657:RXV917657 RNO917657:RNZ917657 RDS917657:RED917657 QTW917657:QUH917657 QKA917657:QKL917657 QAE917657:QAP917657 PQI917657:PQT917657 PGM917657:PGX917657 OWQ917657:OXB917657 OMU917657:ONF917657 OCY917657:ODJ917657 NTC917657:NTN917657 NJG917657:NJR917657 MZK917657:MZV917657 MPO917657:MPZ917657 MFS917657:MGD917657 LVW917657:LWH917657 LMA917657:LML917657 LCE917657:LCP917657 KSI917657:KST917657 KIM917657:KIX917657 JYQ917657:JZB917657 JOU917657:JPF917657 JEY917657:JFJ917657 IVC917657:IVN917657 ILG917657:ILR917657 IBK917657:IBV917657 HRO917657:HRZ917657 HHS917657:HID917657 GXW917657:GYH917657 GOA917657:GOL917657 GEE917657:GEP917657 FUI917657:FUT917657 FKM917657:FKX917657 FAQ917657:FBB917657 EQU917657:ERF917657 EGY917657:EHJ917657 DXC917657:DXN917657 DNG917657:DNR917657 DDK917657:DDV917657 CTO917657:CTZ917657 CJS917657:CKD917657 BZW917657:CAH917657 BQA917657:BQL917657 BGE917657:BGP917657 AWI917657:AWT917657 AMM917657:AMX917657 ACQ917657:ADB917657 SU917657:TF917657 IY917657:JJ917657 C917657:N917657 WVK852121:WVV852121 WLO852121:WLZ852121 WBS852121:WCD852121 VRW852121:VSH852121 VIA852121:VIL852121 UYE852121:UYP852121 UOI852121:UOT852121 UEM852121:UEX852121 TUQ852121:TVB852121 TKU852121:TLF852121 TAY852121:TBJ852121 SRC852121:SRN852121 SHG852121:SHR852121 RXK852121:RXV852121 RNO852121:RNZ852121 RDS852121:RED852121 QTW852121:QUH852121 QKA852121:QKL852121 QAE852121:QAP852121 PQI852121:PQT852121 PGM852121:PGX852121 OWQ852121:OXB852121 OMU852121:ONF852121 OCY852121:ODJ852121 NTC852121:NTN852121 NJG852121:NJR852121 MZK852121:MZV852121 MPO852121:MPZ852121 MFS852121:MGD852121 LVW852121:LWH852121 LMA852121:LML852121 LCE852121:LCP852121 KSI852121:KST852121 KIM852121:KIX852121 JYQ852121:JZB852121 JOU852121:JPF852121 JEY852121:JFJ852121 IVC852121:IVN852121 ILG852121:ILR852121 IBK852121:IBV852121 HRO852121:HRZ852121 HHS852121:HID852121 GXW852121:GYH852121 GOA852121:GOL852121 GEE852121:GEP852121 FUI852121:FUT852121 FKM852121:FKX852121 FAQ852121:FBB852121 EQU852121:ERF852121 EGY852121:EHJ852121 DXC852121:DXN852121 DNG852121:DNR852121 DDK852121:DDV852121 CTO852121:CTZ852121 CJS852121:CKD852121 BZW852121:CAH852121 BQA852121:BQL852121 BGE852121:BGP852121 AWI852121:AWT852121 AMM852121:AMX852121 ACQ852121:ADB852121 SU852121:TF852121 IY852121:JJ852121 C852121:N852121 WVK786585:WVV786585 WLO786585:WLZ786585 WBS786585:WCD786585 VRW786585:VSH786585 VIA786585:VIL786585 UYE786585:UYP786585 UOI786585:UOT786585 UEM786585:UEX786585 TUQ786585:TVB786585 TKU786585:TLF786585 TAY786585:TBJ786585 SRC786585:SRN786585 SHG786585:SHR786585 RXK786585:RXV786585 RNO786585:RNZ786585 RDS786585:RED786585 QTW786585:QUH786585 QKA786585:QKL786585 QAE786585:QAP786585 PQI786585:PQT786585 PGM786585:PGX786585 OWQ786585:OXB786585 OMU786585:ONF786585 OCY786585:ODJ786585 NTC786585:NTN786585 NJG786585:NJR786585 MZK786585:MZV786585 MPO786585:MPZ786585 MFS786585:MGD786585 LVW786585:LWH786585 LMA786585:LML786585 LCE786585:LCP786585 KSI786585:KST786585 KIM786585:KIX786585 JYQ786585:JZB786585 JOU786585:JPF786585 JEY786585:JFJ786585 IVC786585:IVN786585 ILG786585:ILR786585 IBK786585:IBV786585 HRO786585:HRZ786585 HHS786585:HID786585 GXW786585:GYH786585 GOA786585:GOL786585 GEE786585:GEP786585 FUI786585:FUT786585 FKM786585:FKX786585 FAQ786585:FBB786585 EQU786585:ERF786585 EGY786585:EHJ786585 DXC786585:DXN786585 DNG786585:DNR786585 DDK786585:DDV786585 CTO786585:CTZ786585 CJS786585:CKD786585 BZW786585:CAH786585 BQA786585:BQL786585 BGE786585:BGP786585 AWI786585:AWT786585 AMM786585:AMX786585 ACQ786585:ADB786585 SU786585:TF786585 IY786585:JJ786585 C786585:N786585 WVK721049:WVV721049 WLO721049:WLZ721049 WBS721049:WCD721049 VRW721049:VSH721049 VIA721049:VIL721049 UYE721049:UYP721049 UOI721049:UOT721049 UEM721049:UEX721049 TUQ721049:TVB721049 TKU721049:TLF721049 TAY721049:TBJ721049 SRC721049:SRN721049 SHG721049:SHR721049 RXK721049:RXV721049 RNO721049:RNZ721049 RDS721049:RED721049 QTW721049:QUH721049 QKA721049:QKL721049 QAE721049:QAP721049 PQI721049:PQT721049 PGM721049:PGX721049 OWQ721049:OXB721049 OMU721049:ONF721049 OCY721049:ODJ721049 NTC721049:NTN721049 NJG721049:NJR721049 MZK721049:MZV721049 MPO721049:MPZ721049 MFS721049:MGD721049 LVW721049:LWH721049 LMA721049:LML721049 LCE721049:LCP721049 KSI721049:KST721049 KIM721049:KIX721049 JYQ721049:JZB721049 JOU721049:JPF721049 JEY721049:JFJ721049 IVC721049:IVN721049 ILG721049:ILR721049 IBK721049:IBV721049 HRO721049:HRZ721049 HHS721049:HID721049 GXW721049:GYH721049 GOA721049:GOL721049 GEE721049:GEP721049 FUI721049:FUT721049 FKM721049:FKX721049 FAQ721049:FBB721049 EQU721049:ERF721049 EGY721049:EHJ721049 DXC721049:DXN721049 DNG721049:DNR721049 DDK721049:DDV721049 CTO721049:CTZ721049 CJS721049:CKD721049 BZW721049:CAH721049 BQA721049:BQL721049 BGE721049:BGP721049 AWI721049:AWT721049 AMM721049:AMX721049 ACQ721049:ADB721049 SU721049:TF721049 IY721049:JJ721049 C721049:N721049 WVK655513:WVV655513 WLO655513:WLZ655513 WBS655513:WCD655513 VRW655513:VSH655513 VIA655513:VIL655513 UYE655513:UYP655513 UOI655513:UOT655513 UEM655513:UEX655513 TUQ655513:TVB655513 TKU655513:TLF655513 TAY655513:TBJ655513 SRC655513:SRN655513 SHG655513:SHR655513 RXK655513:RXV655513 RNO655513:RNZ655513 RDS655513:RED655513 QTW655513:QUH655513 QKA655513:QKL655513 QAE655513:QAP655513 PQI655513:PQT655513 PGM655513:PGX655513 OWQ655513:OXB655513 OMU655513:ONF655513 OCY655513:ODJ655513 NTC655513:NTN655513 NJG655513:NJR655513 MZK655513:MZV655513 MPO655513:MPZ655513 MFS655513:MGD655513 LVW655513:LWH655513 LMA655513:LML655513 LCE655513:LCP655513 KSI655513:KST655513 KIM655513:KIX655513 JYQ655513:JZB655513 JOU655513:JPF655513 JEY655513:JFJ655513 IVC655513:IVN655513 ILG655513:ILR655513 IBK655513:IBV655513 HRO655513:HRZ655513 HHS655513:HID655513 GXW655513:GYH655513 GOA655513:GOL655513 GEE655513:GEP655513 FUI655513:FUT655513 FKM655513:FKX655513 FAQ655513:FBB655513 EQU655513:ERF655513 EGY655513:EHJ655513 DXC655513:DXN655513 DNG655513:DNR655513 DDK655513:DDV655513 CTO655513:CTZ655513 CJS655513:CKD655513 BZW655513:CAH655513 BQA655513:BQL655513 BGE655513:BGP655513 AWI655513:AWT655513 AMM655513:AMX655513 ACQ655513:ADB655513 SU655513:TF655513 IY655513:JJ655513 C655513:N655513 WVK589977:WVV589977 WLO589977:WLZ589977 WBS589977:WCD589977 VRW589977:VSH589977 VIA589977:VIL589977 UYE589977:UYP589977 UOI589977:UOT589977 UEM589977:UEX589977 TUQ589977:TVB589977 TKU589977:TLF589977 TAY589977:TBJ589977 SRC589977:SRN589977 SHG589977:SHR589977 RXK589977:RXV589977 RNO589977:RNZ589977 RDS589977:RED589977 QTW589977:QUH589977 QKA589977:QKL589977 QAE589977:QAP589977 PQI589977:PQT589977 PGM589977:PGX589977 OWQ589977:OXB589977 OMU589977:ONF589977 OCY589977:ODJ589977 NTC589977:NTN589977 NJG589977:NJR589977 MZK589977:MZV589977 MPO589977:MPZ589977 MFS589977:MGD589977 LVW589977:LWH589977 LMA589977:LML589977 LCE589977:LCP589977 KSI589977:KST589977 KIM589977:KIX589977 JYQ589977:JZB589977 JOU589977:JPF589977 JEY589977:JFJ589977 IVC589977:IVN589977 ILG589977:ILR589977 IBK589977:IBV589977 HRO589977:HRZ589977 HHS589977:HID589977 GXW589977:GYH589977 GOA589977:GOL589977 GEE589977:GEP589977 FUI589977:FUT589977 FKM589977:FKX589977 FAQ589977:FBB589977 EQU589977:ERF589977 EGY589977:EHJ589977 DXC589977:DXN589977 DNG589977:DNR589977 DDK589977:DDV589977 CTO589977:CTZ589977 CJS589977:CKD589977 BZW589977:CAH589977 BQA589977:BQL589977 BGE589977:BGP589977 AWI589977:AWT589977 AMM589977:AMX589977 ACQ589977:ADB589977 SU589977:TF589977 IY589977:JJ589977 C589977:N589977 WVK524441:WVV524441 WLO524441:WLZ524441 WBS524441:WCD524441 VRW524441:VSH524441 VIA524441:VIL524441 UYE524441:UYP524441 UOI524441:UOT524441 UEM524441:UEX524441 TUQ524441:TVB524441 TKU524441:TLF524441 TAY524441:TBJ524441 SRC524441:SRN524441 SHG524441:SHR524441 RXK524441:RXV524441 RNO524441:RNZ524441 RDS524441:RED524441 QTW524441:QUH524441 QKA524441:QKL524441 QAE524441:QAP524441 PQI524441:PQT524441 PGM524441:PGX524441 OWQ524441:OXB524441 OMU524441:ONF524441 OCY524441:ODJ524441 NTC524441:NTN524441 NJG524441:NJR524441 MZK524441:MZV524441 MPO524441:MPZ524441 MFS524441:MGD524441 LVW524441:LWH524441 LMA524441:LML524441 LCE524441:LCP524441 KSI524441:KST524441 KIM524441:KIX524441 JYQ524441:JZB524441 JOU524441:JPF524441 JEY524441:JFJ524441 IVC524441:IVN524441 ILG524441:ILR524441 IBK524441:IBV524441 HRO524441:HRZ524441 HHS524441:HID524441 GXW524441:GYH524441 GOA524441:GOL524441 GEE524441:GEP524441 FUI524441:FUT524441 FKM524441:FKX524441 FAQ524441:FBB524441 EQU524441:ERF524441 EGY524441:EHJ524441 DXC524441:DXN524441 DNG524441:DNR524441 DDK524441:DDV524441 CTO524441:CTZ524441 CJS524441:CKD524441 BZW524441:CAH524441 BQA524441:BQL524441 BGE524441:BGP524441 AWI524441:AWT524441 AMM524441:AMX524441 ACQ524441:ADB524441 SU524441:TF524441 IY524441:JJ524441 C524441:N524441 WVK458905:WVV458905 WLO458905:WLZ458905 WBS458905:WCD458905 VRW458905:VSH458905 VIA458905:VIL458905 UYE458905:UYP458905 UOI458905:UOT458905 UEM458905:UEX458905 TUQ458905:TVB458905 TKU458905:TLF458905 TAY458905:TBJ458905 SRC458905:SRN458905 SHG458905:SHR458905 RXK458905:RXV458905 RNO458905:RNZ458905 RDS458905:RED458905 QTW458905:QUH458905 QKA458905:QKL458905 QAE458905:QAP458905 PQI458905:PQT458905 PGM458905:PGX458905 OWQ458905:OXB458905 OMU458905:ONF458905 OCY458905:ODJ458905 NTC458905:NTN458905 NJG458905:NJR458905 MZK458905:MZV458905 MPO458905:MPZ458905 MFS458905:MGD458905 LVW458905:LWH458905 LMA458905:LML458905 LCE458905:LCP458905 KSI458905:KST458905 KIM458905:KIX458905 JYQ458905:JZB458905 JOU458905:JPF458905 JEY458905:JFJ458905 IVC458905:IVN458905 ILG458905:ILR458905 IBK458905:IBV458905 HRO458905:HRZ458905 HHS458905:HID458905 GXW458905:GYH458905 GOA458905:GOL458905 GEE458905:GEP458905 FUI458905:FUT458905 FKM458905:FKX458905 FAQ458905:FBB458905 EQU458905:ERF458905 EGY458905:EHJ458905 DXC458905:DXN458905 DNG458905:DNR458905 DDK458905:DDV458905 CTO458905:CTZ458905 CJS458905:CKD458905 BZW458905:CAH458905 BQA458905:BQL458905 BGE458905:BGP458905 AWI458905:AWT458905 AMM458905:AMX458905 ACQ458905:ADB458905 SU458905:TF458905 IY458905:JJ458905 C458905:N458905 WVK393369:WVV393369 WLO393369:WLZ393369 WBS393369:WCD393369 VRW393369:VSH393369 VIA393369:VIL393369 UYE393369:UYP393369 UOI393369:UOT393369 UEM393369:UEX393369 TUQ393369:TVB393369 TKU393369:TLF393369 TAY393369:TBJ393369 SRC393369:SRN393369 SHG393369:SHR393369 RXK393369:RXV393369 RNO393369:RNZ393369 RDS393369:RED393369 QTW393369:QUH393369 QKA393369:QKL393369 QAE393369:QAP393369 PQI393369:PQT393369 PGM393369:PGX393369 OWQ393369:OXB393369 OMU393369:ONF393369 OCY393369:ODJ393369 NTC393369:NTN393369 NJG393369:NJR393369 MZK393369:MZV393369 MPO393369:MPZ393369 MFS393369:MGD393369 LVW393369:LWH393369 LMA393369:LML393369 LCE393369:LCP393369 KSI393369:KST393369 KIM393369:KIX393369 JYQ393369:JZB393369 JOU393369:JPF393369 JEY393369:JFJ393369 IVC393369:IVN393369 ILG393369:ILR393369 IBK393369:IBV393369 HRO393369:HRZ393369 HHS393369:HID393369 GXW393369:GYH393369 GOA393369:GOL393369 GEE393369:GEP393369 FUI393369:FUT393369 FKM393369:FKX393369 FAQ393369:FBB393369 EQU393369:ERF393369 EGY393369:EHJ393369 DXC393369:DXN393369 DNG393369:DNR393369 DDK393369:DDV393369 CTO393369:CTZ393369 CJS393369:CKD393369 BZW393369:CAH393369 BQA393369:BQL393369 BGE393369:BGP393369 AWI393369:AWT393369 AMM393369:AMX393369 ACQ393369:ADB393369 SU393369:TF393369 IY393369:JJ393369 C393369:N393369 WVK327833:WVV327833 WLO327833:WLZ327833 WBS327833:WCD327833 VRW327833:VSH327833 VIA327833:VIL327833 UYE327833:UYP327833 UOI327833:UOT327833 UEM327833:UEX327833 TUQ327833:TVB327833 TKU327833:TLF327833 TAY327833:TBJ327833 SRC327833:SRN327833 SHG327833:SHR327833 RXK327833:RXV327833 RNO327833:RNZ327833 RDS327833:RED327833 QTW327833:QUH327833 QKA327833:QKL327833 QAE327833:QAP327833 PQI327833:PQT327833 PGM327833:PGX327833 OWQ327833:OXB327833 OMU327833:ONF327833 OCY327833:ODJ327833 NTC327833:NTN327833 NJG327833:NJR327833 MZK327833:MZV327833 MPO327833:MPZ327833 MFS327833:MGD327833 LVW327833:LWH327833 LMA327833:LML327833 LCE327833:LCP327833 KSI327833:KST327833 KIM327833:KIX327833 JYQ327833:JZB327833 JOU327833:JPF327833 JEY327833:JFJ327833 IVC327833:IVN327833 ILG327833:ILR327833 IBK327833:IBV327833 HRO327833:HRZ327833 HHS327833:HID327833 GXW327833:GYH327833 GOA327833:GOL327833 GEE327833:GEP327833 FUI327833:FUT327833 FKM327833:FKX327833 FAQ327833:FBB327833 EQU327833:ERF327833 EGY327833:EHJ327833 DXC327833:DXN327833 DNG327833:DNR327833 DDK327833:DDV327833 CTO327833:CTZ327833 CJS327833:CKD327833 BZW327833:CAH327833 BQA327833:BQL327833 BGE327833:BGP327833 AWI327833:AWT327833 AMM327833:AMX327833 ACQ327833:ADB327833 SU327833:TF327833 IY327833:JJ327833 C327833:N327833 WVK262297:WVV262297 WLO262297:WLZ262297 WBS262297:WCD262297 VRW262297:VSH262297 VIA262297:VIL262297 UYE262297:UYP262297 UOI262297:UOT262297 UEM262297:UEX262297 TUQ262297:TVB262297 TKU262297:TLF262297 TAY262297:TBJ262297 SRC262297:SRN262297 SHG262297:SHR262297 RXK262297:RXV262297 RNO262297:RNZ262297 RDS262297:RED262297 QTW262297:QUH262297 QKA262297:QKL262297 QAE262297:QAP262297 PQI262297:PQT262297 PGM262297:PGX262297 OWQ262297:OXB262297 OMU262297:ONF262297 OCY262297:ODJ262297 NTC262297:NTN262297 NJG262297:NJR262297 MZK262297:MZV262297 MPO262297:MPZ262297 MFS262297:MGD262297 LVW262297:LWH262297 LMA262297:LML262297 LCE262297:LCP262297 KSI262297:KST262297 KIM262297:KIX262297 JYQ262297:JZB262297 JOU262297:JPF262297 JEY262297:JFJ262297 IVC262297:IVN262297 ILG262297:ILR262297 IBK262297:IBV262297 HRO262297:HRZ262297 HHS262297:HID262297 GXW262297:GYH262297 GOA262297:GOL262297 GEE262297:GEP262297 FUI262297:FUT262297 FKM262297:FKX262297 FAQ262297:FBB262297 EQU262297:ERF262297 EGY262297:EHJ262297 DXC262297:DXN262297 DNG262297:DNR262297 DDK262297:DDV262297 CTO262297:CTZ262297 CJS262297:CKD262297 BZW262297:CAH262297 BQA262297:BQL262297 BGE262297:BGP262297 AWI262297:AWT262297 AMM262297:AMX262297 ACQ262297:ADB262297 SU262297:TF262297 IY262297:JJ262297 C262297:N262297 WVK196761:WVV196761 WLO196761:WLZ196761 WBS196761:WCD196761 VRW196761:VSH196761 VIA196761:VIL196761 UYE196761:UYP196761 UOI196761:UOT196761 UEM196761:UEX196761 TUQ196761:TVB196761 TKU196761:TLF196761 TAY196761:TBJ196761 SRC196761:SRN196761 SHG196761:SHR196761 RXK196761:RXV196761 RNO196761:RNZ196761 RDS196761:RED196761 QTW196761:QUH196761 QKA196761:QKL196761 QAE196761:QAP196761 PQI196761:PQT196761 PGM196761:PGX196761 OWQ196761:OXB196761 OMU196761:ONF196761 OCY196761:ODJ196761 NTC196761:NTN196761 NJG196761:NJR196761 MZK196761:MZV196761 MPO196761:MPZ196761 MFS196761:MGD196761 LVW196761:LWH196761 LMA196761:LML196761 LCE196761:LCP196761 KSI196761:KST196761 KIM196761:KIX196761 JYQ196761:JZB196761 JOU196761:JPF196761 JEY196761:JFJ196761 IVC196761:IVN196761 ILG196761:ILR196761 IBK196761:IBV196761 HRO196761:HRZ196761 HHS196761:HID196761 GXW196761:GYH196761 GOA196761:GOL196761 GEE196761:GEP196761 FUI196761:FUT196761 FKM196761:FKX196761 FAQ196761:FBB196761 EQU196761:ERF196761 EGY196761:EHJ196761 DXC196761:DXN196761 DNG196761:DNR196761 DDK196761:DDV196761 CTO196761:CTZ196761 CJS196761:CKD196761 BZW196761:CAH196761 BQA196761:BQL196761 BGE196761:BGP196761 AWI196761:AWT196761 AMM196761:AMX196761 ACQ196761:ADB196761 SU196761:TF196761 IY196761:JJ196761 C196761:N196761 WVK131225:WVV131225 WLO131225:WLZ131225 WBS131225:WCD131225 VRW131225:VSH131225 VIA131225:VIL131225 UYE131225:UYP131225 UOI131225:UOT131225 UEM131225:UEX131225 TUQ131225:TVB131225 TKU131225:TLF131225 TAY131225:TBJ131225 SRC131225:SRN131225 SHG131225:SHR131225 RXK131225:RXV131225 RNO131225:RNZ131225 RDS131225:RED131225 QTW131225:QUH131225 QKA131225:QKL131225 QAE131225:QAP131225 PQI131225:PQT131225 PGM131225:PGX131225 OWQ131225:OXB131225 OMU131225:ONF131225 OCY131225:ODJ131225 NTC131225:NTN131225 NJG131225:NJR131225 MZK131225:MZV131225 MPO131225:MPZ131225 MFS131225:MGD131225 LVW131225:LWH131225 LMA131225:LML131225 LCE131225:LCP131225 KSI131225:KST131225 KIM131225:KIX131225 JYQ131225:JZB131225 JOU131225:JPF131225 JEY131225:JFJ131225 IVC131225:IVN131225 ILG131225:ILR131225 IBK131225:IBV131225 HRO131225:HRZ131225 HHS131225:HID131225 GXW131225:GYH131225 GOA131225:GOL131225 GEE131225:GEP131225 FUI131225:FUT131225 FKM131225:FKX131225 FAQ131225:FBB131225 EQU131225:ERF131225 EGY131225:EHJ131225 DXC131225:DXN131225 DNG131225:DNR131225 DDK131225:DDV131225 CTO131225:CTZ131225 CJS131225:CKD131225 BZW131225:CAH131225 BQA131225:BQL131225 BGE131225:BGP131225 AWI131225:AWT131225 AMM131225:AMX131225 ACQ131225:ADB131225 SU131225:TF131225 IY131225:JJ131225 C131225:N131225 WVK65689:WVV65689 WLO65689:WLZ65689 WBS65689:WCD65689 VRW65689:VSH65689 VIA65689:VIL65689 UYE65689:UYP65689 UOI65689:UOT65689 UEM65689:UEX65689 TUQ65689:TVB65689 TKU65689:TLF65689 TAY65689:TBJ65689 SRC65689:SRN65689 SHG65689:SHR65689 RXK65689:RXV65689 RNO65689:RNZ65689 RDS65689:RED65689 QTW65689:QUH65689 QKA65689:QKL65689 QAE65689:QAP65689 PQI65689:PQT65689 PGM65689:PGX65689 OWQ65689:OXB65689 OMU65689:ONF65689 OCY65689:ODJ65689 NTC65689:NTN65689 NJG65689:NJR65689 MZK65689:MZV65689 MPO65689:MPZ65689 MFS65689:MGD65689 LVW65689:LWH65689 LMA65689:LML65689 LCE65689:LCP65689 KSI65689:KST65689 KIM65689:KIX65689 JYQ65689:JZB65689 JOU65689:JPF65689 JEY65689:JFJ65689 IVC65689:IVN65689 ILG65689:ILR65689 IBK65689:IBV65689 HRO65689:HRZ65689 HHS65689:HID65689 GXW65689:GYH65689 GOA65689:GOL65689 GEE65689:GEP65689 FUI65689:FUT65689 FKM65689:FKX65689 FAQ65689:FBB65689 EQU65689:ERF65689 EGY65689:EHJ65689 DXC65689:DXN65689 DNG65689:DNR65689 DDK65689:DDV65689 CTO65689:CTZ65689 CJS65689:CKD65689 BZW65689:CAH65689 BQA65689:BQL65689 BGE65689:BGP65689 AWI65689:AWT65689 AMM65689:AMX65689 ACQ65689:ADB65689 SU65689:TF65689 IY65689:JJ65689 C65689:N65689 WVK235:WVV235 WLO235:WLZ235 WBS235:WCD235 VRW235:VSH235 VIA235:VIL235 UYE235:UYP235 UOI235:UOT235 UEM235:UEX235 TUQ235:TVB235 TKU235:TLF235 TAY235:TBJ235 SRC235:SRN235 SHG235:SHR235 RXK235:RXV235 RNO235:RNZ235 RDS235:RED235 QTW235:QUH235 QKA235:QKL235 QAE235:QAP235 PQI235:PQT235 PGM235:PGX235 OWQ235:OXB235 OMU235:ONF235 OCY235:ODJ235 NTC235:NTN235 NJG235:NJR235 MZK235:MZV235 MPO235:MPZ235 MFS235:MGD235 LVW235:LWH235 LMA235:LML235 LCE235:LCP235 KSI235:KST235 KIM235:KIX235 JYQ235:JZB235 JOU235:JPF235 JEY235:JFJ235 IVC235:IVN235 ILG235:ILR235 IBK235:IBV235 HRO235:HRZ235 HHS235:HID235 GXW235:GYH235 GOA235:GOL235 GEE235:GEP235 FUI235:FUT235 FKM235:FKX235 FAQ235:FBB235 EQU235:ERF235 EGY235:EHJ235 DXC235:DXN235 DNG235:DNR235 DDK235:DDV235 CTO235:CTZ235 CJS235:CKD235 BZW235:CAH235 BQA235:BQL235 BGE235:BGP235 AWI235:AWT235 AMM235:AMX235 ACQ235:ADB235 SU235:TF235 IY235:JJ235 BQA220:BQL220 WVK983163:WVV983163 WLO983163:WLZ983163 WBS983163:WCD983163 VRW983163:VSH983163 VIA983163:VIL983163 UYE983163:UYP983163 UOI983163:UOT983163 UEM983163:UEX983163 TUQ983163:TVB983163 TKU983163:TLF983163 TAY983163:TBJ983163 SRC983163:SRN983163 SHG983163:SHR983163 RXK983163:RXV983163 RNO983163:RNZ983163 RDS983163:RED983163 QTW983163:QUH983163 QKA983163:QKL983163 QAE983163:QAP983163 PQI983163:PQT983163 PGM983163:PGX983163 OWQ983163:OXB983163 OMU983163:ONF983163 OCY983163:ODJ983163 NTC983163:NTN983163 NJG983163:NJR983163 MZK983163:MZV983163 MPO983163:MPZ983163 MFS983163:MGD983163 LVW983163:LWH983163 LMA983163:LML983163 LCE983163:LCP983163 KSI983163:KST983163 KIM983163:KIX983163 JYQ983163:JZB983163 JOU983163:JPF983163 JEY983163:JFJ983163 IVC983163:IVN983163 ILG983163:ILR983163 IBK983163:IBV983163 HRO983163:HRZ983163 HHS983163:HID983163 GXW983163:GYH983163 GOA983163:GOL983163 GEE983163:GEP983163 FUI983163:FUT983163 FKM983163:FKX983163 FAQ983163:FBB983163 EQU983163:ERF983163 EGY983163:EHJ983163 DXC983163:DXN983163 DNG983163:DNR983163 DDK983163:DDV983163 CTO983163:CTZ983163 CJS983163:CKD983163 BZW983163:CAH983163 BQA983163:BQL983163 BGE983163:BGP983163 AWI983163:AWT983163 AMM983163:AMX983163 ACQ983163:ADB983163 SU983163:TF983163 IY983163:JJ983163 C983163:N983163 WVK917627:WVV917627 WLO917627:WLZ917627 WBS917627:WCD917627 VRW917627:VSH917627 VIA917627:VIL917627 UYE917627:UYP917627 UOI917627:UOT917627 UEM917627:UEX917627 TUQ917627:TVB917627 TKU917627:TLF917627 TAY917627:TBJ917627 SRC917627:SRN917627 SHG917627:SHR917627 RXK917627:RXV917627 RNO917627:RNZ917627 RDS917627:RED917627 QTW917627:QUH917627 QKA917627:QKL917627 QAE917627:QAP917627 PQI917627:PQT917627 PGM917627:PGX917627 OWQ917627:OXB917627 OMU917627:ONF917627 OCY917627:ODJ917627 NTC917627:NTN917627 NJG917627:NJR917627 MZK917627:MZV917627 MPO917627:MPZ917627 MFS917627:MGD917627 LVW917627:LWH917627 LMA917627:LML917627 LCE917627:LCP917627 KSI917627:KST917627 KIM917627:KIX917627 JYQ917627:JZB917627 JOU917627:JPF917627 JEY917627:JFJ917627 IVC917627:IVN917627 ILG917627:ILR917627 IBK917627:IBV917627 HRO917627:HRZ917627 HHS917627:HID917627 GXW917627:GYH917627 GOA917627:GOL917627 GEE917627:GEP917627 FUI917627:FUT917627 FKM917627:FKX917627 FAQ917627:FBB917627 EQU917627:ERF917627 EGY917627:EHJ917627 DXC917627:DXN917627 DNG917627:DNR917627 DDK917627:DDV917627 CTO917627:CTZ917627 CJS917627:CKD917627 BZW917627:CAH917627 BQA917627:BQL917627 BGE917627:BGP917627 AWI917627:AWT917627 AMM917627:AMX917627 ACQ917627:ADB917627 SU917627:TF917627 IY917627:JJ917627 C917627:N917627 WVK852091:WVV852091 WLO852091:WLZ852091 WBS852091:WCD852091 VRW852091:VSH852091 VIA852091:VIL852091 UYE852091:UYP852091 UOI852091:UOT852091 UEM852091:UEX852091 TUQ852091:TVB852091 TKU852091:TLF852091 TAY852091:TBJ852091 SRC852091:SRN852091 SHG852091:SHR852091 RXK852091:RXV852091 RNO852091:RNZ852091 RDS852091:RED852091 QTW852091:QUH852091 QKA852091:QKL852091 QAE852091:QAP852091 PQI852091:PQT852091 PGM852091:PGX852091 OWQ852091:OXB852091 OMU852091:ONF852091 OCY852091:ODJ852091 NTC852091:NTN852091 NJG852091:NJR852091 MZK852091:MZV852091 MPO852091:MPZ852091 MFS852091:MGD852091 LVW852091:LWH852091 LMA852091:LML852091 LCE852091:LCP852091 KSI852091:KST852091 KIM852091:KIX852091 JYQ852091:JZB852091 JOU852091:JPF852091 JEY852091:JFJ852091 IVC852091:IVN852091 ILG852091:ILR852091 IBK852091:IBV852091 HRO852091:HRZ852091 HHS852091:HID852091 GXW852091:GYH852091 GOA852091:GOL852091 GEE852091:GEP852091 FUI852091:FUT852091 FKM852091:FKX852091 FAQ852091:FBB852091 EQU852091:ERF852091 EGY852091:EHJ852091 DXC852091:DXN852091 DNG852091:DNR852091 DDK852091:DDV852091 CTO852091:CTZ852091 CJS852091:CKD852091 BZW852091:CAH852091 BQA852091:BQL852091 BGE852091:BGP852091 AWI852091:AWT852091 AMM852091:AMX852091 ACQ852091:ADB852091 SU852091:TF852091 IY852091:JJ852091 C852091:N852091 WVK786555:WVV786555 WLO786555:WLZ786555 WBS786555:WCD786555 VRW786555:VSH786555 VIA786555:VIL786555 UYE786555:UYP786555 UOI786555:UOT786555 UEM786555:UEX786555 TUQ786555:TVB786555 TKU786555:TLF786555 TAY786555:TBJ786555 SRC786555:SRN786555 SHG786555:SHR786555 RXK786555:RXV786555 RNO786555:RNZ786555 RDS786555:RED786555 QTW786555:QUH786555 QKA786555:QKL786555 QAE786555:QAP786555 PQI786555:PQT786555 PGM786555:PGX786555 OWQ786555:OXB786555 OMU786555:ONF786555 OCY786555:ODJ786555 NTC786555:NTN786555 NJG786555:NJR786555 MZK786555:MZV786555 MPO786555:MPZ786555 MFS786555:MGD786555 LVW786555:LWH786555 LMA786555:LML786555 LCE786555:LCP786555 KSI786555:KST786555 KIM786555:KIX786555 JYQ786555:JZB786555 JOU786555:JPF786555 JEY786555:JFJ786555 IVC786555:IVN786555 ILG786555:ILR786555 IBK786555:IBV786555 HRO786555:HRZ786555 HHS786555:HID786555 GXW786555:GYH786555 GOA786555:GOL786555 GEE786555:GEP786555 FUI786555:FUT786555 FKM786555:FKX786555 FAQ786555:FBB786555 EQU786555:ERF786555 EGY786555:EHJ786555 DXC786555:DXN786555 DNG786555:DNR786555 DDK786555:DDV786555 CTO786555:CTZ786555 CJS786555:CKD786555 BZW786555:CAH786555 BQA786555:BQL786555 BGE786555:BGP786555 AWI786555:AWT786555 AMM786555:AMX786555 ACQ786555:ADB786555 SU786555:TF786555 IY786555:JJ786555 C786555:N786555 WVK721019:WVV721019 WLO721019:WLZ721019 WBS721019:WCD721019 VRW721019:VSH721019 VIA721019:VIL721019 UYE721019:UYP721019 UOI721019:UOT721019 UEM721019:UEX721019 TUQ721019:TVB721019 TKU721019:TLF721019 TAY721019:TBJ721019 SRC721019:SRN721019 SHG721019:SHR721019 RXK721019:RXV721019 RNO721019:RNZ721019 RDS721019:RED721019 QTW721019:QUH721019 QKA721019:QKL721019 QAE721019:QAP721019 PQI721019:PQT721019 PGM721019:PGX721019 OWQ721019:OXB721019 OMU721019:ONF721019 OCY721019:ODJ721019 NTC721019:NTN721019 NJG721019:NJR721019 MZK721019:MZV721019 MPO721019:MPZ721019 MFS721019:MGD721019 LVW721019:LWH721019 LMA721019:LML721019 LCE721019:LCP721019 KSI721019:KST721019 KIM721019:KIX721019 JYQ721019:JZB721019 JOU721019:JPF721019 JEY721019:JFJ721019 IVC721019:IVN721019 ILG721019:ILR721019 IBK721019:IBV721019 HRO721019:HRZ721019 HHS721019:HID721019 GXW721019:GYH721019 GOA721019:GOL721019 GEE721019:GEP721019 FUI721019:FUT721019 FKM721019:FKX721019 FAQ721019:FBB721019 EQU721019:ERF721019 EGY721019:EHJ721019 DXC721019:DXN721019 DNG721019:DNR721019 DDK721019:DDV721019 CTO721019:CTZ721019 CJS721019:CKD721019 BZW721019:CAH721019 BQA721019:BQL721019 BGE721019:BGP721019 AWI721019:AWT721019 AMM721019:AMX721019 ACQ721019:ADB721019 SU721019:TF721019 IY721019:JJ721019 C721019:N721019 WVK655483:WVV655483 WLO655483:WLZ655483 WBS655483:WCD655483 VRW655483:VSH655483 VIA655483:VIL655483 UYE655483:UYP655483 UOI655483:UOT655483 UEM655483:UEX655483 TUQ655483:TVB655483 TKU655483:TLF655483 TAY655483:TBJ655483 SRC655483:SRN655483 SHG655483:SHR655483 RXK655483:RXV655483 RNO655483:RNZ655483 RDS655483:RED655483 QTW655483:QUH655483 QKA655483:QKL655483 QAE655483:QAP655483 PQI655483:PQT655483 PGM655483:PGX655483 OWQ655483:OXB655483 OMU655483:ONF655483 OCY655483:ODJ655483 NTC655483:NTN655483 NJG655483:NJR655483 MZK655483:MZV655483 MPO655483:MPZ655483 MFS655483:MGD655483 LVW655483:LWH655483 LMA655483:LML655483 LCE655483:LCP655483 KSI655483:KST655483 KIM655483:KIX655483 JYQ655483:JZB655483 JOU655483:JPF655483 JEY655483:JFJ655483 IVC655483:IVN655483 ILG655483:ILR655483 IBK655483:IBV655483 HRO655483:HRZ655483 HHS655483:HID655483 GXW655483:GYH655483 GOA655483:GOL655483 GEE655483:GEP655483 FUI655483:FUT655483 FKM655483:FKX655483 FAQ655483:FBB655483 EQU655483:ERF655483 EGY655483:EHJ655483 DXC655483:DXN655483 DNG655483:DNR655483 DDK655483:DDV655483 CTO655483:CTZ655483 CJS655483:CKD655483 BZW655483:CAH655483 BQA655483:BQL655483 BGE655483:BGP655483 AWI655483:AWT655483 AMM655483:AMX655483 ACQ655483:ADB655483 SU655483:TF655483 IY655483:JJ655483 C655483:N655483 WVK589947:WVV589947 WLO589947:WLZ589947 WBS589947:WCD589947 VRW589947:VSH589947 VIA589947:VIL589947 UYE589947:UYP589947 UOI589947:UOT589947 UEM589947:UEX589947 TUQ589947:TVB589947 TKU589947:TLF589947 TAY589947:TBJ589947 SRC589947:SRN589947 SHG589947:SHR589947 RXK589947:RXV589947 RNO589947:RNZ589947 RDS589947:RED589947 QTW589947:QUH589947 QKA589947:QKL589947 QAE589947:QAP589947 PQI589947:PQT589947 PGM589947:PGX589947 OWQ589947:OXB589947 OMU589947:ONF589947 OCY589947:ODJ589947 NTC589947:NTN589947 NJG589947:NJR589947 MZK589947:MZV589947 MPO589947:MPZ589947 MFS589947:MGD589947 LVW589947:LWH589947 LMA589947:LML589947 LCE589947:LCP589947 KSI589947:KST589947 KIM589947:KIX589947 JYQ589947:JZB589947 JOU589947:JPF589947 JEY589947:JFJ589947 IVC589947:IVN589947 ILG589947:ILR589947 IBK589947:IBV589947 HRO589947:HRZ589947 HHS589947:HID589947 GXW589947:GYH589947 GOA589947:GOL589947 GEE589947:GEP589947 FUI589947:FUT589947 FKM589947:FKX589947 FAQ589947:FBB589947 EQU589947:ERF589947 EGY589947:EHJ589947 DXC589947:DXN589947 DNG589947:DNR589947 DDK589947:DDV589947 CTO589947:CTZ589947 CJS589947:CKD589947 BZW589947:CAH589947 BQA589947:BQL589947 BGE589947:BGP589947 AWI589947:AWT589947 AMM589947:AMX589947 ACQ589947:ADB589947 SU589947:TF589947 IY589947:JJ589947 C589947:N589947 WVK524411:WVV524411 WLO524411:WLZ524411 WBS524411:WCD524411 VRW524411:VSH524411 VIA524411:VIL524411 UYE524411:UYP524411 UOI524411:UOT524411 UEM524411:UEX524411 TUQ524411:TVB524411 TKU524411:TLF524411 TAY524411:TBJ524411 SRC524411:SRN524411 SHG524411:SHR524411 RXK524411:RXV524411 RNO524411:RNZ524411 RDS524411:RED524411 QTW524411:QUH524411 QKA524411:QKL524411 QAE524411:QAP524411 PQI524411:PQT524411 PGM524411:PGX524411 OWQ524411:OXB524411 OMU524411:ONF524411 OCY524411:ODJ524411 NTC524411:NTN524411 NJG524411:NJR524411 MZK524411:MZV524411 MPO524411:MPZ524411 MFS524411:MGD524411 LVW524411:LWH524411 LMA524411:LML524411 LCE524411:LCP524411 KSI524411:KST524411 KIM524411:KIX524411 JYQ524411:JZB524411 JOU524411:JPF524411 JEY524411:JFJ524411 IVC524411:IVN524411 ILG524411:ILR524411 IBK524411:IBV524411 HRO524411:HRZ524411 HHS524411:HID524411 GXW524411:GYH524411 GOA524411:GOL524411 GEE524411:GEP524411 FUI524411:FUT524411 FKM524411:FKX524411 FAQ524411:FBB524411 EQU524411:ERF524411 EGY524411:EHJ524411 DXC524411:DXN524411 DNG524411:DNR524411 DDK524411:DDV524411 CTO524411:CTZ524411 CJS524411:CKD524411 BZW524411:CAH524411 BQA524411:BQL524411 BGE524411:BGP524411 AWI524411:AWT524411 AMM524411:AMX524411 ACQ524411:ADB524411 SU524411:TF524411 IY524411:JJ524411 C524411:N524411 WVK458875:WVV458875 WLO458875:WLZ458875 WBS458875:WCD458875 VRW458875:VSH458875 VIA458875:VIL458875 UYE458875:UYP458875 UOI458875:UOT458875 UEM458875:UEX458875 TUQ458875:TVB458875 TKU458875:TLF458875 TAY458875:TBJ458875 SRC458875:SRN458875 SHG458875:SHR458875 RXK458875:RXV458875 RNO458875:RNZ458875 RDS458875:RED458875 QTW458875:QUH458875 QKA458875:QKL458875 QAE458875:QAP458875 PQI458875:PQT458875 PGM458875:PGX458875 OWQ458875:OXB458875 OMU458875:ONF458875 OCY458875:ODJ458875 NTC458875:NTN458875 NJG458875:NJR458875 MZK458875:MZV458875 MPO458875:MPZ458875 MFS458875:MGD458875 LVW458875:LWH458875 LMA458875:LML458875 LCE458875:LCP458875 KSI458875:KST458875 KIM458875:KIX458875 JYQ458875:JZB458875 JOU458875:JPF458875 JEY458875:JFJ458875 IVC458875:IVN458875 ILG458875:ILR458875 IBK458875:IBV458875 HRO458875:HRZ458875 HHS458875:HID458875 GXW458875:GYH458875 GOA458875:GOL458875 GEE458875:GEP458875 FUI458875:FUT458875 FKM458875:FKX458875 FAQ458875:FBB458875 EQU458875:ERF458875 EGY458875:EHJ458875 DXC458875:DXN458875 DNG458875:DNR458875 DDK458875:DDV458875 CTO458875:CTZ458875 CJS458875:CKD458875 BZW458875:CAH458875 BQA458875:BQL458875 BGE458875:BGP458875 AWI458875:AWT458875 AMM458875:AMX458875 ACQ458875:ADB458875 SU458875:TF458875 IY458875:JJ458875 C458875:N458875 WVK393339:WVV393339 WLO393339:WLZ393339 WBS393339:WCD393339 VRW393339:VSH393339 VIA393339:VIL393339 UYE393339:UYP393339 UOI393339:UOT393339 UEM393339:UEX393339 TUQ393339:TVB393339 TKU393339:TLF393339 TAY393339:TBJ393339 SRC393339:SRN393339 SHG393339:SHR393339 RXK393339:RXV393339 RNO393339:RNZ393339 RDS393339:RED393339 QTW393339:QUH393339 QKA393339:QKL393339 QAE393339:QAP393339 PQI393339:PQT393339 PGM393339:PGX393339 OWQ393339:OXB393339 OMU393339:ONF393339 OCY393339:ODJ393339 NTC393339:NTN393339 NJG393339:NJR393339 MZK393339:MZV393339 MPO393339:MPZ393339 MFS393339:MGD393339 LVW393339:LWH393339 LMA393339:LML393339 LCE393339:LCP393339 KSI393339:KST393339 KIM393339:KIX393339 JYQ393339:JZB393339 JOU393339:JPF393339 JEY393339:JFJ393339 IVC393339:IVN393339 ILG393339:ILR393339 IBK393339:IBV393339 HRO393339:HRZ393339 HHS393339:HID393339 GXW393339:GYH393339 GOA393339:GOL393339 GEE393339:GEP393339 FUI393339:FUT393339 FKM393339:FKX393339 FAQ393339:FBB393339 EQU393339:ERF393339 EGY393339:EHJ393339 DXC393339:DXN393339 DNG393339:DNR393339 DDK393339:DDV393339 CTO393339:CTZ393339 CJS393339:CKD393339 BZW393339:CAH393339 BQA393339:BQL393339 BGE393339:BGP393339 AWI393339:AWT393339 AMM393339:AMX393339 ACQ393339:ADB393339 SU393339:TF393339 IY393339:JJ393339 C393339:N393339 WVK327803:WVV327803 WLO327803:WLZ327803 WBS327803:WCD327803 VRW327803:VSH327803 VIA327803:VIL327803 UYE327803:UYP327803 UOI327803:UOT327803 UEM327803:UEX327803 TUQ327803:TVB327803 TKU327803:TLF327803 TAY327803:TBJ327803 SRC327803:SRN327803 SHG327803:SHR327803 RXK327803:RXV327803 RNO327803:RNZ327803 RDS327803:RED327803 QTW327803:QUH327803 QKA327803:QKL327803 QAE327803:QAP327803 PQI327803:PQT327803 PGM327803:PGX327803 OWQ327803:OXB327803 OMU327803:ONF327803 OCY327803:ODJ327803 NTC327803:NTN327803 NJG327803:NJR327803 MZK327803:MZV327803 MPO327803:MPZ327803 MFS327803:MGD327803 LVW327803:LWH327803 LMA327803:LML327803 LCE327803:LCP327803 KSI327803:KST327803 KIM327803:KIX327803 JYQ327803:JZB327803 JOU327803:JPF327803 JEY327803:JFJ327803 IVC327803:IVN327803 ILG327803:ILR327803 IBK327803:IBV327803 HRO327803:HRZ327803 HHS327803:HID327803 GXW327803:GYH327803 GOA327803:GOL327803 GEE327803:GEP327803 FUI327803:FUT327803 FKM327803:FKX327803 FAQ327803:FBB327803 EQU327803:ERF327803 EGY327803:EHJ327803 DXC327803:DXN327803 DNG327803:DNR327803 DDK327803:DDV327803 CTO327803:CTZ327803 CJS327803:CKD327803 BZW327803:CAH327803 BQA327803:BQL327803 BGE327803:BGP327803 AWI327803:AWT327803 AMM327803:AMX327803 ACQ327803:ADB327803 SU327803:TF327803 IY327803:JJ327803 C327803:N327803 WVK262267:WVV262267 WLO262267:WLZ262267 WBS262267:WCD262267 VRW262267:VSH262267 VIA262267:VIL262267 UYE262267:UYP262267 UOI262267:UOT262267 UEM262267:UEX262267 TUQ262267:TVB262267 TKU262267:TLF262267 TAY262267:TBJ262267 SRC262267:SRN262267 SHG262267:SHR262267 RXK262267:RXV262267 RNO262267:RNZ262267 RDS262267:RED262267 QTW262267:QUH262267 QKA262267:QKL262267 QAE262267:QAP262267 PQI262267:PQT262267 PGM262267:PGX262267 OWQ262267:OXB262267 OMU262267:ONF262267 OCY262267:ODJ262267 NTC262267:NTN262267 NJG262267:NJR262267 MZK262267:MZV262267 MPO262267:MPZ262267 MFS262267:MGD262267 LVW262267:LWH262267 LMA262267:LML262267 LCE262267:LCP262267 KSI262267:KST262267 KIM262267:KIX262267 JYQ262267:JZB262267 JOU262267:JPF262267 JEY262267:JFJ262267 IVC262267:IVN262267 ILG262267:ILR262267 IBK262267:IBV262267 HRO262267:HRZ262267 HHS262267:HID262267 GXW262267:GYH262267 GOA262267:GOL262267 GEE262267:GEP262267 FUI262267:FUT262267 FKM262267:FKX262267 FAQ262267:FBB262267 EQU262267:ERF262267 EGY262267:EHJ262267 DXC262267:DXN262267 DNG262267:DNR262267 DDK262267:DDV262267 CTO262267:CTZ262267 CJS262267:CKD262267 BZW262267:CAH262267 BQA262267:BQL262267 BGE262267:BGP262267 AWI262267:AWT262267 AMM262267:AMX262267 ACQ262267:ADB262267 SU262267:TF262267 IY262267:JJ262267 C262267:N262267 WVK196731:WVV196731 WLO196731:WLZ196731 WBS196731:WCD196731 VRW196731:VSH196731 VIA196731:VIL196731 UYE196731:UYP196731 UOI196731:UOT196731 UEM196731:UEX196731 TUQ196731:TVB196731 TKU196731:TLF196731 TAY196731:TBJ196731 SRC196731:SRN196731 SHG196731:SHR196731 RXK196731:RXV196731 RNO196731:RNZ196731 RDS196731:RED196731 QTW196731:QUH196731 QKA196731:QKL196731 QAE196731:QAP196731 PQI196731:PQT196731 PGM196731:PGX196731 OWQ196731:OXB196731 OMU196731:ONF196731 OCY196731:ODJ196731 NTC196731:NTN196731 NJG196731:NJR196731 MZK196731:MZV196731 MPO196731:MPZ196731 MFS196731:MGD196731 LVW196731:LWH196731 LMA196731:LML196731 LCE196731:LCP196731 KSI196731:KST196731 KIM196731:KIX196731 JYQ196731:JZB196731 JOU196731:JPF196731 JEY196731:JFJ196731 IVC196731:IVN196731 ILG196731:ILR196731 IBK196731:IBV196731 HRO196731:HRZ196731 HHS196731:HID196731 GXW196731:GYH196731 GOA196731:GOL196731 GEE196731:GEP196731 FUI196731:FUT196731 FKM196731:FKX196731 FAQ196731:FBB196731 EQU196731:ERF196731 EGY196731:EHJ196731 DXC196731:DXN196731 DNG196731:DNR196731 DDK196731:DDV196731 CTO196731:CTZ196731 CJS196731:CKD196731 BZW196731:CAH196731 BQA196731:BQL196731 BGE196731:BGP196731 AWI196731:AWT196731 AMM196731:AMX196731 ACQ196731:ADB196731 SU196731:TF196731 IY196731:JJ196731 C196731:N196731 WVK131195:WVV131195 WLO131195:WLZ131195 WBS131195:WCD131195 VRW131195:VSH131195 VIA131195:VIL131195 UYE131195:UYP131195 UOI131195:UOT131195 UEM131195:UEX131195 TUQ131195:TVB131195 TKU131195:TLF131195 TAY131195:TBJ131195 SRC131195:SRN131195 SHG131195:SHR131195 RXK131195:RXV131195 RNO131195:RNZ131195 RDS131195:RED131195 QTW131195:QUH131195 QKA131195:QKL131195 QAE131195:QAP131195 PQI131195:PQT131195 PGM131195:PGX131195 OWQ131195:OXB131195 OMU131195:ONF131195 OCY131195:ODJ131195 NTC131195:NTN131195 NJG131195:NJR131195 MZK131195:MZV131195 MPO131195:MPZ131195 MFS131195:MGD131195 LVW131195:LWH131195 LMA131195:LML131195 LCE131195:LCP131195 KSI131195:KST131195 KIM131195:KIX131195 JYQ131195:JZB131195 JOU131195:JPF131195 JEY131195:JFJ131195 IVC131195:IVN131195 ILG131195:ILR131195 IBK131195:IBV131195 HRO131195:HRZ131195 HHS131195:HID131195 GXW131195:GYH131195 GOA131195:GOL131195 GEE131195:GEP131195 FUI131195:FUT131195 FKM131195:FKX131195 FAQ131195:FBB131195 EQU131195:ERF131195 EGY131195:EHJ131195 DXC131195:DXN131195 DNG131195:DNR131195 DDK131195:DDV131195 CTO131195:CTZ131195 CJS131195:CKD131195 BZW131195:CAH131195 BQA131195:BQL131195 BGE131195:BGP131195 AWI131195:AWT131195 AMM131195:AMX131195 ACQ131195:ADB131195 SU131195:TF131195 IY131195:JJ131195 C131195:N131195 WVK65659:WVV65659 WLO65659:WLZ65659 WBS65659:WCD65659 VRW65659:VSH65659 VIA65659:VIL65659 UYE65659:UYP65659 UOI65659:UOT65659 UEM65659:UEX65659 TUQ65659:TVB65659 TKU65659:TLF65659 TAY65659:TBJ65659 SRC65659:SRN65659 SHG65659:SHR65659 RXK65659:RXV65659 RNO65659:RNZ65659 RDS65659:RED65659 QTW65659:QUH65659 QKA65659:QKL65659 QAE65659:QAP65659 PQI65659:PQT65659 PGM65659:PGX65659 OWQ65659:OXB65659 OMU65659:ONF65659 OCY65659:ODJ65659 NTC65659:NTN65659 NJG65659:NJR65659 MZK65659:MZV65659 MPO65659:MPZ65659 MFS65659:MGD65659 LVW65659:LWH65659 LMA65659:LML65659 LCE65659:LCP65659 KSI65659:KST65659 KIM65659:KIX65659 JYQ65659:JZB65659 JOU65659:JPF65659 JEY65659:JFJ65659 IVC65659:IVN65659 ILG65659:ILR65659 IBK65659:IBV65659 HRO65659:HRZ65659 HHS65659:HID65659 GXW65659:GYH65659 GOA65659:GOL65659 GEE65659:GEP65659 FUI65659:FUT65659 FKM65659:FKX65659 FAQ65659:FBB65659 EQU65659:ERF65659 EGY65659:EHJ65659 DXC65659:DXN65659 DNG65659:DNR65659 DDK65659:DDV65659 CTO65659:CTZ65659 CJS65659:CKD65659 BZW65659:CAH65659 BQA65659:BQL65659 BGE65659:BGP65659 AWI65659:AWT65659 AMM65659:AMX65659 ACQ65659:ADB65659 SU65659:TF65659 IY65659:JJ65659 C65659:N65659 WVK205:WVV205 WLO205:WLZ205 WBS205:WCD205 VRW205:VSH205 VIA205:VIL205 UYE205:UYP205 UOI205:UOT205 UEM205:UEX205 TUQ205:TVB205 TKU205:TLF205 TAY205:TBJ205 SRC205:SRN205 SHG205:SHR205 RXK205:RXV205 RNO205:RNZ205 RDS205:RED205 QTW205:QUH205 QKA205:QKL205 QAE205:QAP205 PQI205:PQT205 PGM205:PGX205 OWQ205:OXB205 OMU205:ONF205 OCY205:ODJ205 NTC205:NTN205 NJG205:NJR205 MZK205:MZV205 MPO205:MPZ205 MFS205:MGD205 LVW205:LWH205 LMA205:LML205 LCE205:LCP205 KSI205:KST205 KIM205:KIX205 JYQ205:JZB205 JOU205:JPF205 JEY205:JFJ205 IVC205:IVN205 ILG205:ILR205 IBK205:IBV205 HRO205:HRZ205 HHS205:HID205 GXW205:GYH205 GOA205:GOL205 GEE205:GEP205 FUI205:FUT205 FKM205:FKX205 FAQ205:FBB205 EQU205:ERF205 EGY205:EHJ205 DXC205:DXN205 DNG205:DNR205 DDK205:DDV205 CTO205:CTZ205 CJS205:CKD205 BZW205:CAH205 BQA205:BQL205 BGE205:BGP205 AWI205:AWT205 AMM205:AMX205 ACQ205:ADB205 SU205:TF205 IY205:JJ205 AWI220:AWT220 WVK983148:WVV983148 WLO983148:WLZ983148 WBS983148:WCD983148 VRW983148:VSH983148 VIA983148:VIL983148 UYE983148:UYP983148 UOI983148:UOT983148 UEM983148:UEX983148 TUQ983148:TVB983148 TKU983148:TLF983148 TAY983148:TBJ983148 SRC983148:SRN983148 SHG983148:SHR983148 RXK983148:RXV983148 RNO983148:RNZ983148 RDS983148:RED983148 QTW983148:QUH983148 QKA983148:QKL983148 QAE983148:QAP983148 PQI983148:PQT983148 PGM983148:PGX983148 OWQ983148:OXB983148 OMU983148:ONF983148 OCY983148:ODJ983148 NTC983148:NTN983148 NJG983148:NJR983148 MZK983148:MZV983148 MPO983148:MPZ983148 MFS983148:MGD983148 LVW983148:LWH983148 LMA983148:LML983148 LCE983148:LCP983148 KSI983148:KST983148 KIM983148:KIX983148 JYQ983148:JZB983148 JOU983148:JPF983148 JEY983148:JFJ983148 IVC983148:IVN983148 ILG983148:ILR983148 IBK983148:IBV983148 HRO983148:HRZ983148 HHS983148:HID983148 GXW983148:GYH983148 GOA983148:GOL983148 GEE983148:GEP983148 FUI983148:FUT983148 FKM983148:FKX983148 FAQ983148:FBB983148 EQU983148:ERF983148 EGY983148:EHJ983148 DXC983148:DXN983148 DNG983148:DNR983148 DDK983148:DDV983148 CTO983148:CTZ983148 CJS983148:CKD983148 BZW983148:CAH983148 BQA983148:BQL983148 BGE983148:BGP983148 AWI983148:AWT983148 AMM983148:AMX983148 ACQ983148:ADB983148 SU983148:TF983148 IY983148:JJ983148 C983148:N983148 WVK917612:WVV917612 WLO917612:WLZ917612 WBS917612:WCD917612 VRW917612:VSH917612 VIA917612:VIL917612 UYE917612:UYP917612 UOI917612:UOT917612 UEM917612:UEX917612 TUQ917612:TVB917612 TKU917612:TLF917612 TAY917612:TBJ917612 SRC917612:SRN917612 SHG917612:SHR917612 RXK917612:RXV917612 RNO917612:RNZ917612 RDS917612:RED917612 QTW917612:QUH917612 QKA917612:QKL917612 QAE917612:QAP917612 PQI917612:PQT917612 PGM917612:PGX917612 OWQ917612:OXB917612 OMU917612:ONF917612 OCY917612:ODJ917612 NTC917612:NTN917612 NJG917612:NJR917612 MZK917612:MZV917612 MPO917612:MPZ917612 MFS917612:MGD917612 LVW917612:LWH917612 LMA917612:LML917612 LCE917612:LCP917612 KSI917612:KST917612 KIM917612:KIX917612 JYQ917612:JZB917612 JOU917612:JPF917612 JEY917612:JFJ917612 IVC917612:IVN917612 ILG917612:ILR917612 IBK917612:IBV917612 HRO917612:HRZ917612 HHS917612:HID917612 GXW917612:GYH917612 GOA917612:GOL917612 GEE917612:GEP917612 FUI917612:FUT917612 FKM917612:FKX917612 FAQ917612:FBB917612 EQU917612:ERF917612 EGY917612:EHJ917612 DXC917612:DXN917612 DNG917612:DNR917612 DDK917612:DDV917612 CTO917612:CTZ917612 CJS917612:CKD917612 BZW917612:CAH917612 BQA917612:BQL917612 BGE917612:BGP917612 AWI917612:AWT917612 AMM917612:AMX917612 ACQ917612:ADB917612 SU917612:TF917612 IY917612:JJ917612 C917612:N917612 WVK852076:WVV852076 WLO852076:WLZ852076 WBS852076:WCD852076 VRW852076:VSH852076 VIA852076:VIL852076 UYE852076:UYP852076 UOI852076:UOT852076 UEM852076:UEX852076 TUQ852076:TVB852076 TKU852076:TLF852076 TAY852076:TBJ852076 SRC852076:SRN852076 SHG852076:SHR852076 RXK852076:RXV852076 RNO852076:RNZ852076 RDS852076:RED852076 QTW852076:QUH852076 QKA852076:QKL852076 QAE852076:QAP852076 PQI852076:PQT852076 PGM852076:PGX852076 OWQ852076:OXB852076 OMU852076:ONF852076 OCY852076:ODJ852076 NTC852076:NTN852076 NJG852076:NJR852076 MZK852076:MZV852076 MPO852076:MPZ852076 MFS852076:MGD852076 LVW852076:LWH852076 LMA852076:LML852076 LCE852076:LCP852076 KSI852076:KST852076 KIM852076:KIX852076 JYQ852076:JZB852076 JOU852076:JPF852076 JEY852076:JFJ852076 IVC852076:IVN852076 ILG852076:ILR852076 IBK852076:IBV852076 HRO852076:HRZ852076 HHS852076:HID852076 GXW852076:GYH852076 GOA852076:GOL852076 GEE852076:GEP852076 FUI852076:FUT852076 FKM852076:FKX852076 FAQ852076:FBB852076 EQU852076:ERF852076 EGY852076:EHJ852076 DXC852076:DXN852076 DNG852076:DNR852076 DDK852076:DDV852076 CTO852076:CTZ852076 CJS852076:CKD852076 BZW852076:CAH852076 BQA852076:BQL852076 BGE852076:BGP852076 AWI852076:AWT852076 AMM852076:AMX852076 ACQ852076:ADB852076 SU852076:TF852076 IY852076:JJ852076 C852076:N852076 WVK786540:WVV786540 WLO786540:WLZ786540 WBS786540:WCD786540 VRW786540:VSH786540 VIA786540:VIL786540 UYE786540:UYP786540 UOI786540:UOT786540 UEM786540:UEX786540 TUQ786540:TVB786540 TKU786540:TLF786540 TAY786540:TBJ786540 SRC786540:SRN786540 SHG786540:SHR786540 RXK786540:RXV786540 RNO786540:RNZ786540 RDS786540:RED786540 QTW786540:QUH786540 QKA786540:QKL786540 QAE786540:QAP786540 PQI786540:PQT786540 PGM786540:PGX786540 OWQ786540:OXB786540 OMU786540:ONF786540 OCY786540:ODJ786540 NTC786540:NTN786540 NJG786540:NJR786540 MZK786540:MZV786540 MPO786540:MPZ786540 MFS786540:MGD786540 LVW786540:LWH786540 LMA786540:LML786540 LCE786540:LCP786540 KSI786540:KST786540 KIM786540:KIX786540 JYQ786540:JZB786540 JOU786540:JPF786540 JEY786540:JFJ786540 IVC786540:IVN786540 ILG786540:ILR786540 IBK786540:IBV786540 HRO786540:HRZ786540 HHS786540:HID786540 GXW786540:GYH786540 GOA786540:GOL786540 GEE786540:GEP786540 FUI786540:FUT786540 FKM786540:FKX786540 FAQ786540:FBB786540 EQU786540:ERF786540 EGY786540:EHJ786540 DXC786540:DXN786540 DNG786540:DNR786540 DDK786540:DDV786540 CTO786540:CTZ786540 CJS786540:CKD786540 BZW786540:CAH786540 BQA786540:BQL786540 BGE786540:BGP786540 AWI786540:AWT786540 AMM786540:AMX786540 ACQ786540:ADB786540 SU786540:TF786540 IY786540:JJ786540 C786540:N786540 WVK721004:WVV721004 WLO721004:WLZ721004 WBS721004:WCD721004 VRW721004:VSH721004 VIA721004:VIL721004 UYE721004:UYP721004 UOI721004:UOT721004 UEM721004:UEX721004 TUQ721004:TVB721004 TKU721004:TLF721004 TAY721004:TBJ721004 SRC721004:SRN721004 SHG721004:SHR721004 RXK721004:RXV721004 RNO721004:RNZ721004 RDS721004:RED721004 QTW721004:QUH721004 QKA721004:QKL721004 QAE721004:QAP721004 PQI721004:PQT721004 PGM721004:PGX721004 OWQ721004:OXB721004 OMU721004:ONF721004 OCY721004:ODJ721004 NTC721004:NTN721004 NJG721004:NJR721004 MZK721004:MZV721004 MPO721004:MPZ721004 MFS721004:MGD721004 LVW721004:LWH721004 LMA721004:LML721004 LCE721004:LCP721004 KSI721004:KST721004 KIM721004:KIX721004 JYQ721004:JZB721004 JOU721004:JPF721004 JEY721004:JFJ721004 IVC721004:IVN721004 ILG721004:ILR721004 IBK721004:IBV721004 HRO721004:HRZ721004 HHS721004:HID721004 GXW721004:GYH721004 GOA721004:GOL721004 GEE721004:GEP721004 FUI721004:FUT721004 FKM721004:FKX721004 FAQ721004:FBB721004 EQU721004:ERF721004 EGY721004:EHJ721004 DXC721004:DXN721004 DNG721004:DNR721004 DDK721004:DDV721004 CTO721004:CTZ721004 CJS721004:CKD721004 BZW721004:CAH721004 BQA721004:BQL721004 BGE721004:BGP721004 AWI721004:AWT721004 AMM721004:AMX721004 ACQ721004:ADB721004 SU721004:TF721004 IY721004:JJ721004 C721004:N721004 WVK655468:WVV655468 WLO655468:WLZ655468 WBS655468:WCD655468 VRW655468:VSH655468 VIA655468:VIL655468 UYE655468:UYP655468 UOI655468:UOT655468 UEM655468:UEX655468 TUQ655468:TVB655468 TKU655468:TLF655468 TAY655468:TBJ655468 SRC655468:SRN655468 SHG655468:SHR655468 RXK655468:RXV655468 RNO655468:RNZ655468 RDS655468:RED655468 QTW655468:QUH655468 QKA655468:QKL655468 QAE655468:QAP655468 PQI655468:PQT655468 PGM655468:PGX655468 OWQ655468:OXB655468 OMU655468:ONF655468 OCY655468:ODJ655468 NTC655468:NTN655468 NJG655468:NJR655468 MZK655468:MZV655468 MPO655468:MPZ655468 MFS655468:MGD655468 LVW655468:LWH655468 LMA655468:LML655468 LCE655468:LCP655468 KSI655468:KST655468 KIM655468:KIX655468 JYQ655468:JZB655468 JOU655468:JPF655468 JEY655468:JFJ655468 IVC655468:IVN655468 ILG655468:ILR655468 IBK655468:IBV655468 HRO655468:HRZ655468 HHS655468:HID655468 GXW655468:GYH655468 GOA655468:GOL655468 GEE655468:GEP655468 FUI655468:FUT655468 FKM655468:FKX655468 FAQ655468:FBB655468 EQU655468:ERF655468 EGY655468:EHJ655468 DXC655468:DXN655468 DNG655468:DNR655468 DDK655468:DDV655468 CTO655468:CTZ655468 CJS655468:CKD655468 BZW655468:CAH655468 BQA655468:BQL655468 BGE655468:BGP655468 AWI655468:AWT655468 AMM655468:AMX655468 ACQ655468:ADB655468 SU655468:TF655468 IY655468:JJ655468 C655468:N655468 WVK589932:WVV589932 WLO589932:WLZ589932 WBS589932:WCD589932 VRW589932:VSH589932 VIA589932:VIL589932 UYE589932:UYP589932 UOI589932:UOT589932 UEM589932:UEX589932 TUQ589932:TVB589932 TKU589932:TLF589932 TAY589932:TBJ589932 SRC589932:SRN589932 SHG589932:SHR589932 RXK589932:RXV589932 RNO589932:RNZ589932 RDS589932:RED589932 QTW589932:QUH589932 QKA589932:QKL589932 QAE589932:QAP589932 PQI589932:PQT589932 PGM589932:PGX589932 OWQ589932:OXB589932 OMU589932:ONF589932 OCY589932:ODJ589932 NTC589932:NTN589932 NJG589932:NJR589932 MZK589932:MZV589932 MPO589932:MPZ589932 MFS589932:MGD589932 LVW589932:LWH589932 LMA589932:LML589932 LCE589932:LCP589932 KSI589932:KST589932 KIM589932:KIX589932 JYQ589932:JZB589932 JOU589932:JPF589932 JEY589932:JFJ589932 IVC589932:IVN589932 ILG589932:ILR589932 IBK589932:IBV589932 HRO589932:HRZ589932 HHS589932:HID589932 GXW589932:GYH589932 GOA589932:GOL589932 GEE589932:GEP589932 FUI589932:FUT589932 FKM589932:FKX589932 FAQ589932:FBB589932 EQU589932:ERF589932 EGY589932:EHJ589932 DXC589932:DXN589932 DNG589932:DNR589932 DDK589932:DDV589932 CTO589932:CTZ589932 CJS589932:CKD589932 BZW589932:CAH589932 BQA589932:BQL589932 BGE589932:BGP589932 AWI589932:AWT589932 AMM589932:AMX589932 ACQ589932:ADB589932 SU589932:TF589932 IY589932:JJ589932 C589932:N589932 WVK524396:WVV524396 WLO524396:WLZ524396 WBS524396:WCD524396 VRW524396:VSH524396 VIA524396:VIL524396 UYE524396:UYP524396 UOI524396:UOT524396 UEM524396:UEX524396 TUQ524396:TVB524396 TKU524396:TLF524396 TAY524396:TBJ524396 SRC524396:SRN524396 SHG524396:SHR524396 RXK524396:RXV524396 RNO524396:RNZ524396 RDS524396:RED524396 QTW524396:QUH524396 QKA524396:QKL524396 QAE524396:QAP524396 PQI524396:PQT524396 PGM524396:PGX524396 OWQ524396:OXB524396 OMU524396:ONF524396 OCY524396:ODJ524396 NTC524396:NTN524396 NJG524396:NJR524396 MZK524396:MZV524396 MPO524396:MPZ524396 MFS524396:MGD524396 LVW524396:LWH524396 LMA524396:LML524396 LCE524396:LCP524396 KSI524396:KST524396 KIM524396:KIX524396 JYQ524396:JZB524396 JOU524396:JPF524396 JEY524396:JFJ524396 IVC524396:IVN524396 ILG524396:ILR524396 IBK524396:IBV524396 HRO524396:HRZ524396 HHS524396:HID524396 GXW524396:GYH524396 GOA524396:GOL524396 GEE524396:GEP524396 FUI524396:FUT524396 FKM524396:FKX524396 FAQ524396:FBB524396 EQU524396:ERF524396 EGY524396:EHJ524396 DXC524396:DXN524396 DNG524396:DNR524396 DDK524396:DDV524396 CTO524396:CTZ524396 CJS524396:CKD524396 BZW524396:CAH524396 BQA524396:BQL524396 BGE524396:BGP524396 AWI524396:AWT524396 AMM524396:AMX524396 ACQ524396:ADB524396 SU524396:TF524396 IY524396:JJ524396 C524396:N524396 WVK458860:WVV458860 WLO458860:WLZ458860 WBS458860:WCD458860 VRW458860:VSH458860 VIA458860:VIL458860 UYE458860:UYP458860 UOI458860:UOT458860 UEM458860:UEX458860 TUQ458860:TVB458860 TKU458860:TLF458860 TAY458860:TBJ458860 SRC458860:SRN458860 SHG458860:SHR458860 RXK458860:RXV458860 RNO458860:RNZ458860 RDS458860:RED458860 QTW458860:QUH458860 QKA458860:QKL458860 QAE458860:QAP458860 PQI458860:PQT458860 PGM458860:PGX458860 OWQ458860:OXB458860 OMU458860:ONF458860 OCY458860:ODJ458860 NTC458860:NTN458860 NJG458860:NJR458860 MZK458860:MZV458860 MPO458860:MPZ458860 MFS458860:MGD458860 LVW458860:LWH458860 LMA458860:LML458860 LCE458860:LCP458860 KSI458860:KST458860 KIM458860:KIX458860 JYQ458860:JZB458860 JOU458860:JPF458860 JEY458860:JFJ458860 IVC458860:IVN458860 ILG458860:ILR458860 IBK458860:IBV458860 HRO458860:HRZ458860 HHS458860:HID458860 GXW458860:GYH458860 GOA458860:GOL458860 GEE458860:GEP458860 FUI458860:FUT458860 FKM458860:FKX458860 FAQ458860:FBB458860 EQU458860:ERF458860 EGY458860:EHJ458860 DXC458860:DXN458860 DNG458860:DNR458860 DDK458860:DDV458860 CTO458860:CTZ458860 CJS458860:CKD458860 BZW458860:CAH458860 BQA458860:BQL458860 BGE458860:BGP458860 AWI458860:AWT458860 AMM458860:AMX458860 ACQ458860:ADB458860 SU458860:TF458860 IY458860:JJ458860 C458860:N458860 WVK393324:WVV393324 WLO393324:WLZ393324 WBS393324:WCD393324 VRW393324:VSH393324 VIA393324:VIL393324 UYE393324:UYP393324 UOI393324:UOT393324 UEM393324:UEX393324 TUQ393324:TVB393324 TKU393324:TLF393324 TAY393324:TBJ393324 SRC393324:SRN393324 SHG393324:SHR393324 RXK393324:RXV393324 RNO393324:RNZ393324 RDS393324:RED393324 QTW393324:QUH393324 QKA393324:QKL393324 QAE393324:QAP393324 PQI393324:PQT393324 PGM393324:PGX393324 OWQ393324:OXB393324 OMU393324:ONF393324 OCY393324:ODJ393324 NTC393324:NTN393324 NJG393324:NJR393324 MZK393324:MZV393324 MPO393324:MPZ393324 MFS393324:MGD393324 LVW393324:LWH393324 LMA393324:LML393324 LCE393324:LCP393324 KSI393324:KST393324 KIM393324:KIX393324 JYQ393324:JZB393324 JOU393324:JPF393324 JEY393324:JFJ393324 IVC393324:IVN393324 ILG393324:ILR393324 IBK393324:IBV393324 HRO393324:HRZ393324 HHS393324:HID393324 GXW393324:GYH393324 GOA393324:GOL393324 GEE393324:GEP393324 FUI393324:FUT393324 FKM393324:FKX393324 FAQ393324:FBB393324 EQU393324:ERF393324 EGY393324:EHJ393324 DXC393324:DXN393324 DNG393324:DNR393324 DDK393324:DDV393324 CTO393324:CTZ393324 CJS393324:CKD393324 BZW393324:CAH393324 BQA393324:BQL393324 BGE393324:BGP393324 AWI393324:AWT393324 AMM393324:AMX393324 ACQ393324:ADB393324 SU393324:TF393324 IY393324:JJ393324 C393324:N393324 WVK327788:WVV327788 WLO327788:WLZ327788 WBS327788:WCD327788 VRW327788:VSH327788 VIA327788:VIL327788 UYE327788:UYP327788 UOI327788:UOT327788 UEM327788:UEX327788 TUQ327788:TVB327788 TKU327788:TLF327788 TAY327788:TBJ327788 SRC327788:SRN327788 SHG327788:SHR327788 RXK327788:RXV327788 RNO327788:RNZ327788 RDS327788:RED327788 QTW327788:QUH327788 QKA327788:QKL327788 QAE327788:QAP327788 PQI327788:PQT327788 PGM327788:PGX327788 OWQ327788:OXB327788 OMU327788:ONF327788 OCY327788:ODJ327788 NTC327788:NTN327788 NJG327788:NJR327788 MZK327788:MZV327788 MPO327788:MPZ327788 MFS327788:MGD327788 LVW327788:LWH327788 LMA327788:LML327788 LCE327788:LCP327788 KSI327788:KST327788 KIM327788:KIX327788 JYQ327788:JZB327788 JOU327788:JPF327788 JEY327788:JFJ327788 IVC327788:IVN327788 ILG327788:ILR327788 IBK327788:IBV327788 HRO327788:HRZ327788 HHS327788:HID327788 GXW327788:GYH327788 GOA327788:GOL327788 GEE327788:GEP327788 FUI327788:FUT327788 FKM327788:FKX327788 FAQ327788:FBB327788 EQU327788:ERF327788 EGY327788:EHJ327788 DXC327788:DXN327788 DNG327788:DNR327788 DDK327788:DDV327788 CTO327788:CTZ327788 CJS327788:CKD327788 BZW327788:CAH327788 BQA327788:BQL327788 BGE327788:BGP327788 AWI327788:AWT327788 AMM327788:AMX327788 ACQ327788:ADB327788 SU327788:TF327788 IY327788:JJ327788 C327788:N327788 WVK262252:WVV262252 WLO262252:WLZ262252 WBS262252:WCD262252 VRW262252:VSH262252 VIA262252:VIL262252 UYE262252:UYP262252 UOI262252:UOT262252 UEM262252:UEX262252 TUQ262252:TVB262252 TKU262252:TLF262252 TAY262252:TBJ262252 SRC262252:SRN262252 SHG262252:SHR262252 RXK262252:RXV262252 RNO262252:RNZ262252 RDS262252:RED262252 QTW262252:QUH262252 QKA262252:QKL262252 QAE262252:QAP262252 PQI262252:PQT262252 PGM262252:PGX262252 OWQ262252:OXB262252 OMU262252:ONF262252 OCY262252:ODJ262252 NTC262252:NTN262252 NJG262252:NJR262252 MZK262252:MZV262252 MPO262252:MPZ262252 MFS262252:MGD262252 LVW262252:LWH262252 LMA262252:LML262252 LCE262252:LCP262252 KSI262252:KST262252 KIM262252:KIX262252 JYQ262252:JZB262252 JOU262252:JPF262252 JEY262252:JFJ262252 IVC262252:IVN262252 ILG262252:ILR262252 IBK262252:IBV262252 HRO262252:HRZ262252 HHS262252:HID262252 GXW262252:GYH262252 GOA262252:GOL262252 GEE262252:GEP262252 FUI262252:FUT262252 FKM262252:FKX262252 FAQ262252:FBB262252 EQU262252:ERF262252 EGY262252:EHJ262252 DXC262252:DXN262252 DNG262252:DNR262252 DDK262252:DDV262252 CTO262252:CTZ262252 CJS262252:CKD262252 BZW262252:CAH262252 BQA262252:BQL262252 BGE262252:BGP262252 AWI262252:AWT262252 AMM262252:AMX262252 ACQ262252:ADB262252 SU262252:TF262252 IY262252:JJ262252 C262252:N262252 WVK196716:WVV196716 WLO196716:WLZ196716 WBS196716:WCD196716 VRW196716:VSH196716 VIA196716:VIL196716 UYE196716:UYP196716 UOI196716:UOT196716 UEM196716:UEX196716 TUQ196716:TVB196716 TKU196716:TLF196716 TAY196716:TBJ196716 SRC196716:SRN196716 SHG196716:SHR196716 RXK196716:RXV196716 RNO196716:RNZ196716 RDS196716:RED196716 QTW196716:QUH196716 QKA196716:QKL196716 QAE196716:QAP196716 PQI196716:PQT196716 PGM196716:PGX196716 OWQ196716:OXB196716 OMU196716:ONF196716 OCY196716:ODJ196716 NTC196716:NTN196716 NJG196716:NJR196716 MZK196716:MZV196716 MPO196716:MPZ196716 MFS196716:MGD196716 LVW196716:LWH196716 LMA196716:LML196716 LCE196716:LCP196716 KSI196716:KST196716 KIM196716:KIX196716 JYQ196716:JZB196716 JOU196716:JPF196716 JEY196716:JFJ196716 IVC196716:IVN196716 ILG196716:ILR196716 IBK196716:IBV196716 HRO196716:HRZ196716 HHS196716:HID196716 GXW196716:GYH196716 GOA196716:GOL196716 GEE196716:GEP196716 FUI196716:FUT196716 FKM196716:FKX196716 FAQ196716:FBB196716 EQU196716:ERF196716 EGY196716:EHJ196716 DXC196716:DXN196716 DNG196716:DNR196716 DDK196716:DDV196716 CTO196716:CTZ196716 CJS196716:CKD196716 BZW196716:CAH196716 BQA196716:BQL196716 BGE196716:BGP196716 AWI196716:AWT196716 AMM196716:AMX196716 ACQ196716:ADB196716 SU196716:TF196716 IY196716:JJ196716 C196716:N196716 WVK131180:WVV131180 WLO131180:WLZ131180 WBS131180:WCD131180 VRW131180:VSH131180 VIA131180:VIL131180 UYE131180:UYP131180 UOI131180:UOT131180 UEM131180:UEX131180 TUQ131180:TVB131180 TKU131180:TLF131180 TAY131180:TBJ131180 SRC131180:SRN131180 SHG131180:SHR131180 RXK131180:RXV131180 RNO131180:RNZ131180 RDS131180:RED131180 QTW131180:QUH131180 QKA131180:QKL131180 QAE131180:QAP131180 PQI131180:PQT131180 PGM131180:PGX131180 OWQ131180:OXB131180 OMU131180:ONF131180 OCY131180:ODJ131180 NTC131180:NTN131180 NJG131180:NJR131180 MZK131180:MZV131180 MPO131180:MPZ131180 MFS131180:MGD131180 LVW131180:LWH131180 LMA131180:LML131180 LCE131180:LCP131180 KSI131180:KST131180 KIM131180:KIX131180 JYQ131180:JZB131180 JOU131180:JPF131180 JEY131180:JFJ131180 IVC131180:IVN131180 ILG131180:ILR131180 IBK131180:IBV131180 HRO131180:HRZ131180 HHS131180:HID131180 GXW131180:GYH131180 GOA131180:GOL131180 GEE131180:GEP131180 FUI131180:FUT131180 FKM131180:FKX131180 FAQ131180:FBB131180 EQU131180:ERF131180 EGY131180:EHJ131180 DXC131180:DXN131180 DNG131180:DNR131180 DDK131180:DDV131180 CTO131180:CTZ131180 CJS131180:CKD131180 BZW131180:CAH131180 BQA131180:BQL131180 BGE131180:BGP131180 AWI131180:AWT131180 AMM131180:AMX131180 ACQ131180:ADB131180 SU131180:TF131180 IY131180:JJ131180 C131180:N131180 WVK65644:WVV65644 WLO65644:WLZ65644 WBS65644:WCD65644 VRW65644:VSH65644 VIA65644:VIL65644 UYE65644:UYP65644 UOI65644:UOT65644 UEM65644:UEX65644 TUQ65644:TVB65644 TKU65644:TLF65644 TAY65644:TBJ65644 SRC65644:SRN65644 SHG65644:SHR65644 RXK65644:RXV65644 RNO65644:RNZ65644 RDS65644:RED65644 QTW65644:QUH65644 QKA65644:QKL65644 QAE65644:QAP65644 PQI65644:PQT65644 PGM65644:PGX65644 OWQ65644:OXB65644 OMU65644:ONF65644 OCY65644:ODJ65644 NTC65644:NTN65644 NJG65644:NJR65644 MZK65644:MZV65644 MPO65644:MPZ65644 MFS65644:MGD65644 LVW65644:LWH65644 LMA65644:LML65644 LCE65644:LCP65644 KSI65644:KST65644 KIM65644:KIX65644 JYQ65644:JZB65644 JOU65644:JPF65644 JEY65644:JFJ65644 IVC65644:IVN65644 ILG65644:ILR65644 IBK65644:IBV65644 HRO65644:HRZ65644 HHS65644:HID65644 GXW65644:GYH65644 GOA65644:GOL65644 GEE65644:GEP65644 FUI65644:FUT65644 FKM65644:FKX65644 FAQ65644:FBB65644 EQU65644:ERF65644 EGY65644:EHJ65644 DXC65644:DXN65644 DNG65644:DNR65644 DDK65644:DDV65644 CTO65644:CTZ65644 CJS65644:CKD65644 BZW65644:CAH65644 BQA65644:BQL65644 BGE65644:BGP65644 AWI65644:AWT65644 AMM65644:AMX65644 ACQ65644:ADB65644 SU65644:TF65644 IY65644:JJ65644 C65644:N65644 WVK190:WVV190 WLO190:WLZ190 WBS190:WCD190 VRW190:VSH190 VIA190:VIL190 UYE190:UYP190 UOI190:UOT190 UEM190:UEX190 TUQ190:TVB190 TKU190:TLF190 TAY190:TBJ190 SRC190:SRN190 SHG190:SHR190 RXK190:RXV190 RNO190:RNZ190 RDS190:RED190 QTW190:QUH190 QKA190:QKL190 QAE190:QAP190 PQI190:PQT190 PGM190:PGX190 OWQ190:OXB190 OMU190:ONF190 OCY190:ODJ190 NTC190:NTN190 NJG190:NJR190 MZK190:MZV190 MPO190:MPZ190 MFS190:MGD190 LVW190:LWH190 LMA190:LML190 LCE190:LCP190 KSI190:KST190 KIM190:KIX190 JYQ190:JZB190 JOU190:JPF190 JEY190:JFJ190 IVC190:IVN190 ILG190:ILR190 IBK190:IBV190 HRO190:HRZ190 HHS190:HID190 GXW190:GYH190 GOA190:GOL190 GEE190:GEP190 FUI190:FUT190 FKM190:FKX190 FAQ190:FBB190 EQU190:ERF190 EGY190:EHJ190 DXC190:DXN190 DNG190:DNR190 DDK190:DDV190 CTO190:CTZ190 CJS190:CKD190 BZW190:CAH190 BQA190:BQL190 BGE190:BGP190 AWI190:AWT190 AMM190:AMX190 ACQ190:ADB190 SU190:TF190 IY190:JJ190 AMM220:AMX220 WVK983133:WVV983133 WLO983133:WLZ983133 WBS983133:WCD983133 VRW983133:VSH983133 VIA983133:VIL983133 UYE983133:UYP983133 UOI983133:UOT983133 UEM983133:UEX983133 TUQ983133:TVB983133 TKU983133:TLF983133 TAY983133:TBJ983133 SRC983133:SRN983133 SHG983133:SHR983133 RXK983133:RXV983133 RNO983133:RNZ983133 RDS983133:RED983133 QTW983133:QUH983133 QKA983133:QKL983133 QAE983133:QAP983133 PQI983133:PQT983133 PGM983133:PGX983133 OWQ983133:OXB983133 OMU983133:ONF983133 OCY983133:ODJ983133 NTC983133:NTN983133 NJG983133:NJR983133 MZK983133:MZV983133 MPO983133:MPZ983133 MFS983133:MGD983133 LVW983133:LWH983133 LMA983133:LML983133 LCE983133:LCP983133 KSI983133:KST983133 KIM983133:KIX983133 JYQ983133:JZB983133 JOU983133:JPF983133 JEY983133:JFJ983133 IVC983133:IVN983133 ILG983133:ILR983133 IBK983133:IBV983133 HRO983133:HRZ983133 HHS983133:HID983133 GXW983133:GYH983133 GOA983133:GOL983133 GEE983133:GEP983133 FUI983133:FUT983133 FKM983133:FKX983133 FAQ983133:FBB983133 EQU983133:ERF983133 EGY983133:EHJ983133 DXC983133:DXN983133 DNG983133:DNR983133 DDK983133:DDV983133 CTO983133:CTZ983133 CJS983133:CKD983133 BZW983133:CAH983133 BQA983133:BQL983133 BGE983133:BGP983133 AWI983133:AWT983133 AMM983133:AMX983133 ACQ983133:ADB983133 SU983133:TF983133 IY983133:JJ983133 C983133:N983133 WVK917597:WVV917597 WLO917597:WLZ917597 WBS917597:WCD917597 VRW917597:VSH917597 VIA917597:VIL917597 UYE917597:UYP917597 UOI917597:UOT917597 UEM917597:UEX917597 TUQ917597:TVB917597 TKU917597:TLF917597 TAY917597:TBJ917597 SRC917597:SRN917597 SHG917597:SHR917597 RXK917597:RXV917597 RNO917597:RNZ917597 RDS917597:RED917597 QTW917597:QUH917597 QKA917597:QKL917597 QAE917597:QAP917597 PQI917597:PQT917597 PGM917597:PGX917597 OWQ917597:OXB917597 OMU917597:ONF917597 OCY917597:ODJ917597 NTC917597:NTN917597 NJG917597:NJR917597 MZK917597:MZV917597 MPO917597:MPZ917597 MFS917597:MGD917597 LVW917597:LWH917597 LMA917597:LML917597 LCE917597:LCP917597 KSI917597:KST917597 KIM917597:KIX917597 JYQ917597:JZB917597 JOU917597:JPF917597 JEY917597:JFJ917597 IVC917597:IVN917597 ILG917597:ILR917597 IBK917597:IBV917597 HRO917597:HRZ917597 HHS917597:HID917597 GXW917597:GYH917597 GOA917597:GOL917597 GEE917597:GEP917597 FUI917597:FUT917597 FKM917597:FKX917597 FAQ917597:FBB917597 EQU917597:ERF917597 EGY917597:EHJ917597 DXC917597:DXN917597 DNG917597:DNR917597 DDK917597:DDV917597 CTO917597:CTZ917597 CJS917597:CKD917597 BZW917597:CAH917597 BQA917597:BQL917597 BGE917597:BGP917597 AWI917597:AWT917597 AMM917597:AMX917597 ACQ917597:ADB917597 SU917597:TF917597 IY917597:JJ917597 C917597:N917597 WVK852061:WVV852061 WLO852061:WLZ852061 WBS852061:WCD852061 VRW852061:VSH852061 VIA852061:VIL852061 UYE852061:UYP852061 UOI852061:UOT852061 UEM852061:UEX852061 TUQ852061:TVB852061 TKU852061:TLF852061 TAY852061:TBJ852061 SRC852061:SRN852061 SHG852061:SHR852061 RXK852061:RXV852061 RNO852061:RNZ852061 RDS852061:RED852061 QTW852061:QUH852061 QKA852061:QKL852061 QAE852061:QAP852061 PQI852061:PQT852061 PGM852061:PGX852061 OWQ852061:OXB852061 OMU852061:ONF852061 OCY852061:ODJ852061 NTC852061:NTN852061 NJG852061:NJR852061 MZK852061:MZV852061 MPO852061:MPZ852061 MFS852061:MGD852061 LVW852061:LWH852061 LMA852061:LML852061 LCE852061:LCP852061 KSI852061:KST852061 KIM852061:KIX852061 JYQ852061:JZB852061 JOU852061:JPF852061 JEY852061:JFJ852061 IVC852061:IVN852061 ILG852061:ILR852061 IBK852061:IBV852061 HRO852061:HRZ852061 HHS852061:HID852061 GXW852061:GYH852061 GOA852061:GOL852061 GEE852061:GEP852061 FUI852061:FUT852061 FKM852061:FKX852061 FAQ852061:FBB852061 EQU852061:ERF852061 EGY852061:EHJ852061 DXC852061:DXN852061 DNG852061:DNR852061 DDK852061:DDV852061 CTO852061:CTZ852061 CJS852061:CKD852061 BZW852061:CAH852061 BQA852061:BQL852061 BGE852061:BGP852061 AWI852061:AWT852061 AMM852061:AMX852061 ACQ852061:ADB852061 SU852061:TF852061 IY852061:JJ852061 C852061:N852061 WVK786525:WVV786525 WLO786525:WLZ786525 WBS786525:WCD786525 VRW786525:VSH786525 VIA786525:VIL786525 UYE786525:UYP786525 UOI786525:UOT786525 UEM786525:UEX786525 TUQ786525:TVB786525 TKU786525:TLF786525 TAY786525:TBJ786525 SRC786525:SRN786525 SHG786525:SHR786525 RXK786525:RXV786525 RNO786525:RNZ786525 RDS786525:RED786525 QTW786525:QUH786525 QKA786525:QKL786525 QAE786525:QAP786525 PQI786525:PQT786525 PGM786525:PGX786525 OWQ786525:OXB786525 OMU786525:ONF786525 OCY786525:ODJ786525 NTC786525:NTN786525 NJG786525:NJR786525 MZK786525:MZV786525 MPO786525:MPZ786525 MFS786525:MGD786525 LVW786525:LWH786525 LMA786525:LML786525 LCE786525:LCP786525 KSI786525:KST786525 KIM786525:KIX786525 JYQ786525:JZB786525 JOU786525:JPF786525 JEY786525:JFJ786525 IVC786525:IVN786525 ILG786525:ILR786525 IBK786525:IBV786525 HRO786525:HRZ786525 HHS786525:HID786525 GXW786525:GYH786525 GOA786525:GOL786525 GEE786525:GEP786525 FUI786525:FUT786525 FKM786525:FKX786525 FAQ786525:FBB786525 EQU786525:ERF786525 EGY786525:EHJ786525 DXC786525:DXN786525 DNG786525:DNR786525 DDK786525:DDV786525 CTO786525:CTZ786525 CJS786525:CKD786525 BZW786525:CAH786525 BQA786525:BQL786525 BGE786525:BGP786525 AWI786525:AWT786525 AMM786525:AMX786525 ACQ786525:ADB786525 SU786525:TF786525 IY786525:JJ786525 C786525:N786525 WVK720989:WVV720989 WLO720989:WLZ720989 WBS720989:WCD720989 VRW720989:VSH720989 VIA720989:VIL720989 UYE720989:UYP720989 UOI720989:UOT720989 UEM720989:UEX720989 TUQ720989:TVB720989 TKU720989:TLF720989 TAY720989:TBJ720989 SRC720989:SRN720989 SHG720989:SHR720989 RXK720989:RXV720989 RNO720989:RNZ720989 RDS720989:RED720989 QTW720989:QUH720989 QKA720989:QKL720989 QAE720989:QAP720989 PQI720989:PQT720989 PGM720989:PGX720989 OWQ720989:OXB720989 OMU720989:ONF720989 OCY720989:ODJ720989 NTC720989:NTN720989 NJG720989:NJR720989 MZK720989:MZV720989 MPO720989:MPZ720989 MFS720989:MGD720989 LVW720989:LWH720989 LMA720989:LML720989 LCE720989:LCP720989 KSI720989:KST720989 KIM720989:KIX720989 JYQ720989:JZB720989 JOU720989:JPF720989 JEY720989:JFJ720989 IVC720989:IVN720989 ILG720989:ILR720989 IBK720989:IBV720989 HRO720989:HRZ720989 HHS720989:HID720989 GXW720989:GYH720989 GOA720989:GOL720989 GEE720989:GEP720989 FUI720989:FUT720989 FKM720989:FKX720989 FAQ720989:FBB720989 EQU720989:ERF720989 EGY720989:EHJ720989 DXC720989:DXN720989 DNG720989:DNR720989 DDK720989:DDV720989 CTO720989:CTZ720989 CJS720989:CKD720989 BZW720989:CAH720989 BQA720989:BQL720989 BGE720989:BGP720989 AWI720989:AWT720989 AMM720989:AMX720989 ACQ720989:ADB720989 SU720989:TF720989 IY720989:JJ720989 C720989:N720989 WVK655453:WVV655453 WLO655453:WLZ655453 WBS655453:WCD655453 VRW655453:VSH655453 VIA655453:VIL655453 UYE655453:UYP655453 UOI655453:UOT655453 UEM655453:UEX655453 TUQ655453:TVB655453 TKU655453:TLF655453 TAY655453:TBJ655453 SRC655453:SRN655453 SHG655453:SHR655453 RXK655453:RXV655453 RNO655453:RNZ655453 RDS655453:RED655453 QTW655453:QUH655453 QKA655453:QKL655453 QAE655453:QAP655453 PQI655453:PQT655453 PGM655453:PGX655453 OWQ655453:OXB655453 OMU655453:ONF655453 OCY655453:ODJ655453 NTC655453:NTN655453 NJG655453:NJR655453 MZK655453:MZV655453 MPO655453:MPZ655453 MFS655453:MGD655453 LVW655453:LWH655453 LMA655453:LML655453 LCE655453:LCP655453 KSI655453:KST655453 KIM655453:KIX655453 JYQ655453:JZB655453 JOU655453:JPF655453 JEY655453:JFJ655453 IVC655453:IVN655453 ILG655453:ILR655453 IBK655453:IBV655453 HRO655453:HRZ655453 HHS655453:HID655453 GXW655453:GYH655453 GOA655453:GOL655453 GEE655453:GEP655453 FUI655453:FUT655453 FKM655453:FKX655453 FAQ655453:FBB655453 EQU655453:ERF655453 EGY655453:EHJ655453 DXC655453:DXN655453 DNG655453:DNR655453 DDK655453:DDV655453 CTO655453:CTZ655453 CJS655453:CKD655453 BZW655453:CAH655453 BQA655453:BQL655453 BGE655453:BGP655453 AWI655453:AWT655453 AMM655453:AMX655453 ACQ655453:ADB655453 SU655453:TF655453 IY655453:JJ655453 C655453:N655453 WVK589917:WVV589917 WLO589917:WLZ589917 WBS589917:WCD589917 VRW589917:VSH589917 VIA589917:VIL589917 UYE589917:UYP589917 UOI589917:UOT589917 UEM589917:UEX589917 TUQ589917:TVB589917 TKU589917:TLF589917 TAY589917:TBJ589917 SRC589917:SRN589917 SHG589917:SHR589917 RXK589917:RXV589917 RNO589917:RNZ589917 RDS589917:RED589917 QTW589917:QUH589917 QKA589917:QKL589917 QAE589917:QAP589917 PQI589917:PQT589917 PGM589917:PGX589917 OWQ589917:OXB589917 OMU589917:ONF589917 OCY589917:ODJ589917 NTC589917:NTN589917 NJG589917:NJR589917 MZK589917:MZV589917 MPO589917:MPZ589917 MFS589917:MGD589917 LVW589917:LWH589917 LMA589917:LML589917 LCE589917:LCP589917 KSI589917:KST589917 KIM589917:KIX589917 JYQ589917:JZB589917 JOU589917:JPF589917 JEY589917:JFJ589917 IVC589917:IVN589917 ILG589917:ILR589917 IBK589917:IBV589917 HRO589917:HRZ589917 HHS589917:HID589917 GXW589917:GYH589917 GOA589917:GOL589917 GEE589917:GEP589917 FUI589917:FUT589917 FKM589917:FKX589917 FAQ589917:FBB589917 EQU589917:ERF589917 EGY589917:EHJ589917 DXC589917:DXN589917 DNG589917:DNR589917 DDK589917:DDV589917 CTO589917:CTZ589917 CJS589917:CKD589917 BZW589917:CAH589917 BQA589917:BQL589917 BGE589917:BGP589917 AWI589917:AWT589917 AMM589917:AMX589917 ACQ589917:ADB589917 SU589917:TF589917 IY589917:JJ589917 C589917:N589917 WVK524381:WVV524381 WLO524381:WLZ524381 WBS524381:WCD524381 VRW524381:VSH524381 VIA524381:VIL524381 UYE524381:UYP524381 UOI524381:UOT524381 UEM524381:UEX524381 TUQ524381:TVB524381 TKU524381:TLF524381 TAY524381:TBJ524381 SRC524381:SRN524381 SHG524381:SHR524381 RXK524381:RXV524381 RNO524381:RNZ524381 RDS524381:RED524381 QTW524381:QUH524381 QKA524381:QKL524381 QAE524381:QAP524381 PQI524381:PQT524381 PGM524381:PGX524381 OWQ524381:OXB524381 OMU524381:ONF524381 OCY524381:ODJ524381 NTC524381:NTN524381 NJG524381:NJR524381 MZK524381:MZV524381 MPO524381:MPZ524381 MFS524381:MGD524381 LVW524381:LWH524381 LMA524381:LML524381 LCE524381:LCP524381 KSI524381:KST524381 KIM524381:KIX524381 JYQ524381:JZB524381 JOU524381:JPF524381 JEY524381:JFJ524381 IVC524381:IVN524381 ILG524381:ILR524381 IBK524381:IBV524381 HRO524381:HRZ524381 HHS524381:HID524381 GXW524381:GYH524381 GOA524381:GOL524381 GEE524381:GEP524381 FUI524381:FUT524381 FKM524381:FKX524381 FAQ524381:FBB524381 EQU524381:ERF524381 EGY524381:EHJ524381 DXC524381:DXN524381 DNG524381:DNR524381 DDK524381:DDV524381 CTO524381:CTZ524381 CJS524381:CKD524381 BZW524381:CAH524381 BQA524381:BQL524381 BGE524381:BGP524381 AWI524381:AWT524381 AMM524381:AMX524381 ACQ524381:ADB524381 SU524381:TF524381 IY524381:JJ524381 C524381:N524381 WVK458845:WVV458845 WLO458845:WLZ458845 WBS458845:WCD458845 VRW458845:VSH458845 VIA458845:VIL458845 UYE458845:UYP458845 UOI458845:UOT458845 UEM458845:UEX458845 TUQ458845:TVB458845 TKU458845:TLF458845 TAY458845:TBJ458845 SRC458845:SRN458845 SHG458845:SHR458845 RXK458845:RXV458845 RNO458845:RNZ458845 RDS458845:RED458845 QTW458845:QUH458845 QKA458845:QKL458845 QAE458845:QAP458845 PQI458845:PQT458845 PGM458845:PGX458845 OWQ458845:OXB458845 OMU458845:ONF458845 OCY458845:ODJ458845 NTC458845:NTN458845 NJG458845:NJR458845 MZK458845:MZV458845 MPO458845:MPZ458845 MFS458845:MGD458845 LVW458845:LWH458845 LMA458845:LML458845 LCE458845:LCP458845 KSI458845:KST458845 KIM458845:KIX458845 JYQ458845:JZB458845 JOU458845:JPF458845 JEY458845:JFJ458845 IVC458845:IVN458845 ILG458845:ILR458845 IBK458845:IBV458845 HRO458845:HRZ458845 HHS458845:HID458845 GXW458845:GYH458845 GOA458845:GOL458845 GEE458845:GEP458845 FUI458845:FUT458845 FKM458845:FKX458845 FAQ458845:FBB458845 EQU458845:ERF458845 EGY458845:EHJ458845 DXC458845:DXN458845 DNG458845:DNR458845 DDK458845:DDV458845 CTO458845:CTZ458845 CJS458845:CKD458845 BZW458845:CAH458845 BQA458845:BQL458845 BGE458845:BGP458845 AWI458845:AWT458845 AMM458845:AMX458845 ACQ458845:ADB458845 SU458845:TF458845 IY458845:JJ458845 C458845:N458845 WVK393309:WVV393309 WLO393309:WLZ393309 WBS393309:WCD393309 VRW393309:VSH393309 VIA393309:VIL393309 UYE393309:UYP393309 UOI393309:UOT393309 UEM393309:UEX393309 TUQ393309:TVB393309 TKU393309:TLF393309 TAY393309:TBJ393309 SRC393309:SRN393309 SHG393309:SHR393309 RXK393309:RXV393309 RNO393309:RNZ393309 RDS393309:RED393309 QTW393309:QUH393309 QKA393309:QKL393309 QAE393309:QAP393309 PQI393309:PQT393309 PGM393309:PGX393309 OWQ393309:OXB393309 OMU393309:ONF393309 OCY393309:ODJ393309 NTC393309:NTN393309 NJG393309:NJR393309 MZK393309:MZV393309 MPO393309:MPZ393309 MFS393309:MGD393309 LVW393309:LWH393309 LMA393309:LML393309 LCE393309:LCP393309 KSI393309:KST393309 KIM393309:KIX393309 JYQ393309:JZB393309 JOU393309:JPF393309 JEY393309:JFJ393309 IVC393309:IVN393309 ILG393309:ILR393309 IBK393309:IBV393309 HRO393309:HRZ393309 HHS393309:HID393309 GXW393309:GYH393309 GOA393309:GOL393309 GEE393309:GEP393309 FUI393309:FUT393309 FKM393309:FKX393309 FAQ393309:FBB393309 EQU393309:ERF393309 EGY393309:EHJ393309 DXC393309:DXN393309 DNG393309:DNR393309 DDK393309:DDV393309 CTO393309:CTZ393309 CJS393309:CKD393309 BZW393309:CAH393309 BQA393309:BQL393309 BGE393309:BGP393309 AWI393309:AWT393309 AMM393309:AMX393309 ACQ393309:ADB393309 SU393309:TF393309 IY393309:JJ393309 C393309:N393309 WVK327773:WVV327773 WLO327773:WLZ327773 WBS327773:WCD327773 VRW327773:VSH327773 VIA327773:VIL327773 UYE327773:UYP327773 UOI327773:UOT327773 UEM327773:UEX327773 TUQ327773:TVB327773 TKU327773:TLF327773 TAY327773:TBJ327773 SRC327773:SRN327773 SHG327773:SHR327773 RXK327773:RXV327773 RNO327773:RNZ327773 RDS327773:RED327773 QTW327773:QUH327773 QKA327773:QKL327773 QAE327773:QAP327773 PQI327773:PQT327773 PGM327773:PGX327773 OWQ327773:OXB327773 OMU327773:ONF327773 OCY327773:ODJ327773 NTC327773:NTN327773 NJG327773:NJR327773 MZK327773:MZV327773 MPO327773:MPZ327773 MFS327773:MGD327773 LVW327773:LWH327773 LMA327773:LML327773 LCE327773:LCP327773 KSI327773:KST327773 KIM327773:KIX327773 JYQ327773:JZB327773 JOU327773:JPF327773 JEY327773:JFJ327773 IVC327773:IVN327773 ILG327773:ILR327773 IBK327773:IBV327773 HRO327773:HRZ327773 HHS327773:HID327773 GXW327773:GYH327773 GOA327773:GOL327773 GEE327773:GEP327773 FUI327773:FUT327773 FKM327773:FKX327773 FAQ327773:FBB327773 EQU327773:ERF327773 EGY327773:EHJ327773 DXC327773:DXN327773 DNG327773:DNR327773 DDK327773:DDV327773 CTO327773:CTZ327773 CJS327773:CKD327773 BZW327773:CAH327773 BQA327773:BQL327773 BGE327773:BGP327773 AWI327773:AWT327773 AMM327773:AMX327773 ACQ327773:ADB327773 SU327773:TF327773 IY327773:JJ327773 C327773:N327773 WVK262237:WVV262237 WLO262237:WLZ262237 WBS262237:WCD262237 VRW262237:VSH262237 VIA262237:VIL262237 UYE262237:UYP262237 UOI262237:UOT262237 UEM262237:UEX262237 TUQ262237:TVB262237 TKU262237:TLF262237 TAY262237:TBJ262237 SRC262237:SRN262237 SHG262237:SHR262237 RXK262237:RXV262237 RNO262237:RNZ262237 RDS262237:RED262237 QTW262237:QUH262237 QKA262237:QKL262237 QAE262237:QAP262237 PQI262237:PQT262237 PGM262237:PGX262237 OWQ262237:OXB262237 OMU262237:ONF262237 OCY262237:ODJ262237 NTC262237:NTN262237 NJG262237:NJR262237 MZK262237:MZV262237 MPO262237:MPZ262237 MFS262237:MGD262237 LVW262237:LWH262237 LMA262237:LML262237 LCE262237:LCP262237 KSI262237:KST262237 KIM262237:KIX262237 JYQ262237:JZB262237 JOU262237:JPF262237 JEY262237:JFJ262237 IVC262237:IVN262237 ILG262237:ILR262237 IBK262237:IBV262237 HRO262237:HRZ262237 HHS262237:HID262237 GXW262237:GYH262237 GOA262237:GOL262237 GEE262237:GEP262237 FUI262237:FUT262237 FKM262237:FKX262237 FAQ262237:FBB262237 EQU262237:ERF262237 EGY262237:EHJ262237 DXC262237:DXN262237 DNG262237:DNR262237 DDK262237:DDV262237 CTO262237:CTZ262237 CJS262237:CKD262237 BZW262237:CAH262237 BQA262237:BQL262237 BGE262237:BGP262237 AWI262237:AWT262237 AMM262237:AMX262237 ACQ262237:ADB262237 SU262237:TF262237 IY262237:JJ262237 C262237:N262237 WVK196701:WVV196701 WLO196701:WLZ196701 WBS196701:WCD196701 VRW196701:VSH196701 VIA196701:VIL196701 UYE196701:UYP196701 UOI196701:UOT196701 UEM196701:UEX196701 TUQ196701:TVB196701 TKU196701:TLF196701 TAY196701:TBJ196701 SRC196701:SRN196701 SHG196701:SHR196701 RXK196701:RXV196701 RNO196701:RNZ196701 RDS196701:RED196701 QTW196701:QUH196701 QKA196701:QKL196701 QAE196701:QAP196701 PQI196701:PQT196701 PGM196701:PGX196701 OWQ196701:OXB196701 OMU196701:ONF196701 OCY196701:ODJ196701 NTC196701:NTN196701 NJG196701:NJR196701 MZK196701:MZV196701 MPO196701:MPZ196701 MFS196701:MGD196701 LVW196701:LWH196701 LMA196701:LML196701 LCE196701:LCP196701 KSI196701:KST196701 KIM196701:KIX196701 JYQ196701:JZB196701 JOU196701:JPF196701 JEY196701:JFJ196701 IVC196701:IVN196701 ILG196701:ILR196701 IBK196701:IBV196701 HRO196701:HRZ196701 HHS196701:HID196701 GXW196701:GYH196701 GOA196701:GOL196701 GEE196701:GEP196701 FUI196701:FUT196701 FKM196701:FKX196701 FAQ196701:FBB196701 EQU196701:ERF196701 EGY196701:EHJ196701 DXC196701:DXN196701 DNG196701:DNR196701 DDK196701:DDV196701 CTO196701:CTZ196701 CJS196701:CKD196701 BZW196701:CAH196701 BQA196701:BQL196701 BGE196701:BGP196701 AWI196701:AWT196701 AMM196701:AMX196701 ACQ196701:ADB196701 SU196701:TF196701 IY196701:JJ196701 C196701:N196701 WVK131165:WVV131165 WLO131165:WLZ131165 WBS131165:WCD131165 VRW131165:VSH131165 VIA131165:VIL131165 UYE131165:UYP131165 UOI131165:UOT131165 UEM131165:UEX131165 TUQ131165:TVB131165 TKU131165:TLF131165 TAY131165:TBJ131165 SRC131165:SRN131165 SHG131165:SHR131165 RXK131165:RXV131165 RNO131165:RNZ131165 RDS131165:RED131165 QTW131165:QUH131165 QKA131165:QKL131165 QAE131165:QAP131165 PQI131165:PQT131165 PGM131165:PGX131165 OWQ131165:OXB131165 OMU131165:ONF131165 OCY131165:ODJ131165 NTC131165:NTN131165 NJG131165:NJR131165 MZK131165:MZV131165 MPO131165:MPZ131165 MFS131165:MGD131165 LVW131165:LWH131165 LMA131165:LML131165 LCE131165:LCP131165 KSI131165:KST131165 KIM131165:KIX131165 JYQ131165:JZB131165 JOU131165:JPF131165 JEY131165:JFJ131165 IVC131165:IVN131165 ILG131165:ILR131165 IBK131165:IBV131165 HRO131165:HRZ131165 HHS131165:HID131165 GXW131165:GYH131165 GOA131165:GOL131165 GEE131165:GEP131165 FUI131165:FUT131165 FKM131165:FKX131165 FAQ131165:FBB131165 EQU131165:ERF131165 EGY131165:EHJ131165 DXC131165:DXN131165 DNG131165:DNR131165 DDK131165:DDV131165 CTO131165:CTZ131165 CJS131165:CKD131165 BZW131165:CAH131165 BQA131165:BQL131165 BGE131165:BGP131165 AWI131165:AWT131165 AMM131165:AMX131165 ACQ131165:ADB131165 SU131165:TF131165 IY131165:JJ131165 C131165:N131165 WVK65629:WVV65629 WLO65629:WLZ65629 WBS65629:WCD65629 VRW65629:VSH65629 VIA65629:VIL65629 UYE65629:UYP65629 UOI65629:UOT65629 UEM65629:UEX65629 TUQ65629:TVB65629 TKU65629:TLF65629 TAY65629:TBJ65629 SRC65629:SRN65629 SHG65629:SHR65629 RXK65629:RXV65629 RNO65629:RNZ65629 RDS65629:RED65629 QTW65629:QUH65629 QKA65629:QKL65629 QAE65629:QAP65629 PQI65629:PQT65629 PGM65629:PGX65629 OWQ65629:OXB65629 OMU65629:ONF65629 OCY65629:ODJ65629 NTC65629:NTN65629 NJG65629:NJR65629 MZK65629:MZV65629 MPO65629:MPZ65629 MFS65629:MGD65629 LVW65629:LWH65629 LMA65629:LML65629 LCE65629:LCP65629 KSI65629:KST65629 KIM65629:KIX65629 JYQ65629:JZB65629 JOU65629:JPF65629 JEY65629:JFJ65629 IVC65629:IVN65629 ILG65629:ILR65629 IBK65629:IBV65629 HRO65629:HRZ65629 HHS65629:HID65629 GXW65629:GYH65629 GOA65629:GOL65629 GEE65629:GEP65629 FUI65629:FUT65629 FKM65629:FKX65629 FAQ65629:FBB65629 EQU65629:ERF65629 EGY65629:EHJ65629 DXC65629:DXN65629 DNG65629:DNR65629 DDK65629:DDV65629 CTO65629:CTZ65629 CJS65629:CKD65629 BZW65629:CAH65629 BQA65629:BQL65629 BGE65629:BGP65629 AWI65629:AWT65629 AMM65629:AMX65629 ACQ65629:ADB65629 SU65629:TF65629 IY65629:JJ65629 C65629:N65629 WVK175:WVV175 WLO175:WLZ175 WBS175:WCD175 VRW175:VSH175 VIA175:VIL175 UYE175:UYP175 UOI175:UOT175 UEM175:UEX175 TUQ175:TVB175 TKU175:TLF175 TAY175:TBJ175 SRC175:SRN175 SHG175:SHR175 RXK175:RXV175 RNO175:RNZ175 RDS175:RED175 QTW175:QUH175 QKA175:QKL175 QAE175:QAP175 PQI175:PQT175 PGM175:PGX175 OWQ175:OXB175 OMU175:ONF175 OCY175:ODJ175 NTC175:NTN175 NJG175:NJR175 MZK175:MZV175 MPO175:MPZ175 MFS175:MGD175 LVW175:LWH175 LMA175:LML175 LCE175:LCP175 KSI175:KST175 KIM175:KIX175 JYQ175:JZB175 JOU175:JPF175 JEY175:JFJ175 IVC175:IVN175 ILG175:ILR175 IBK175:IBV175 HRO175:HRZ175 HHS175:HID175 GXW175:GYH175 GOA175:GOL175 GEE175:GEP175 FUI175:FUT175 FKM175:FKX175 FAQ175:FBB175 EQU175:ERF175 EGY175:EHJ175 DXC175:DXN175 DNG175:DNR175 DDK175:DDV175 CTO175:CTZ175 CJS175:CKD175 BZW175:CAH175 BQA175:BQL175 BGE175:BGP175 AWI175:AWT175 AMM175:AMX175 ACQ175:ADB175 SU175:TF175 IY175:JJ175 ACQ220:ADB220 WVK983118:WVV983118 WLO983118:WLZ983118 WBS983118:WCD983118 VRW983118:VSH983118 VIA983118:VIL983118 UYE983118:UYP983118 UOI983118:UOT983118 UEM983118:UEX983118 TUQ983118:TVB983118 TKU983118:TLF983118 TAY983118:TBJ983118 SRC983118:SRN983118 SHG983118:SHR983118 RXK983118:RXV983118 RNO983118:RNZ983118 RDS983118:RED983118 QTW983118:QUH983118 QKA983118:QKL983118 QAE983118:QAP983118 PQI983118:PQT983118 PGM983118:PGX983118 OWQ983118:OXB983118 OMU983118:ONF983118 OCY983118:ODJ983118 NTC983118:NTN983118 NJG983118:NJR983118 MZK983118:MZV983118 MPO983118:MPZ983118 MFS983118:MGD983118 LVW983118:LWH983118 LMA983118:LML983118 LCE983118:LCP983118 KSI983118:KST983118 KIM983118:KIX983118 JYQ983118:JZB983118 JOU983118:JPF983118 JEY983118:JFJ983118 IVC983118:IVN983118 ILG983118:ILR983118 IBK983118:IBV983118 HRO983118:HRZ983118 HHS983118:HID983118 GXW983118:GYH983118 GOA983118:GOL983118 GEE983118:GEP983118 FUI983118:FUT983118 FKM983118:FKX983118 FAQ983118:FBB983118 EQU983118:ERF983118 EGY983118:EHJ983118 DXC983118:DXN983118 DNG983118:DNR983118 DDK983118:DDV983118 CTO983118:CTZ983118 CJS983118:CKD983118 BZW983118:CAH983118 BQA983118:BQL983118 BGE983118:BGP983118 AWI983118:AWT983118 AMM983118:AMX983118 ACQ983118:ADB983118 SU983118:TF983118 IY983118:JJ983118 C983118:N983118 WVK917582:WVV917582 WLO917582:WLZ917582 WBS917582:WCD917582 VRW917582:VSH917582 VIA917582:VIL917582 UYE917582:UYP917582 UOI917582:UOT917582 UEM917582:UEX917582 TUQ917582:TVB917582 TKU917582:TLF917582 TAY917582:TBJ917582 SRC917582:SRN917582 SHG917582:SHR917582 RXK917582:RXV917582 RNO917582:RNZ917582 RDS917582:RED917582 QTW917582:QUH917582 QKA917582:QKL917582 QAE917582:QAP917582 PQI917582:PQT917582 PGM917582:PGX917582 OWQ917582:OXB917582 OMU917582:ONF917582 OCY917582:ODJ917582 NTC917582:NTN917582 NJG917582:NJR917582 MZK917582:MZV917582 MPO917582:MPZ917582 MFS917582:MGD917582 LVW917582:LWH917582 LMA917582:LML917582 LCE917582:LCP917582 KSI917582:KST917582 KIM917582:KIX917582 JYQ917582:JZB917582 JOU917582:JPF917582 JEY917582:JFJ917582 IVC917582:IVN917582 ILG917582:ILR917582 IBK917582:IBV917582 HRO917582:HRZ917582 HHS917582:HID917582 GXW917582:GYH917582 GOA917582:GOL917582 GEE917582:GEP917582 FUI917582:FUT917582 FKM917582:FKX917582 FAQ917582:FBB917582 EQU917582:ERF917582 EGY917582:EHJ917582 DXC917582:DXN917582 DNG917582:DNR917582 DDK917582:DDV917582 CTO917582:CTZ917582 CJS917582:CKD917582 BZW917582:CAH917582 BQA917582:BQL917582 BGE917582:BGP917582 AWI917582:AWT917582 AMM917582:AMX917582 ACQ917582:ADB917582 SU917582:TF917582 IY917582:JJ917582 C917582:N917582 WVK852046:WVV852046 WLO852046:WLZ852046 WBS852046:WCD852046 VRW852046:VSH852046 VIA852046:VIL852046 UYE852046:UYP852046 UOI852046:UOT852046 UEM852046:UEX852046 TUQ852046:TVB852046 TKU852046:TLF852046 TAY852046:TBJ852046 SRC852046:SRN852046 SHG852046:SHR852046 RXK852046:RXV852046 RNO852046:RNZ852046 RDS852046:RED852046 QTW852046:QUH852046 QKA852046:QKL852046 QAE852046:QAP852046 PQI852046:PQT852046 PGM852046:PGX852046 OWQ852046:OXB852046 OMU852046:ONF852046 OCY852046:ODJ852046 NTC852046:NTN852046 NJG852046:NJR852046 MZK852046:MZV852046 MPO852046:MPZ852046 MFS852046:MGD852046 LVW852046:LWH852046 LMA852046:LML852046 LCE852046:LCP852046 KSI852046:KST852046 KIM852046:KIX852046 JYQ852046:JZB852046 JOU852046:JPF852046 JEY852046:JFJ852046 IVC852046:IVN852046 ILG852046:ILR852046 IBK852046:IBV852046 HRO852046:HRZ852046 HHS852046:HID852046 GXW852046:GYH852046 GOA852046:GOL852046 GEE852046:GEP852046 FUI852046:FUT852046 FKM852046:FKX852046 FAQ852046:FBB852046 EQU852046:ERF852046 EGY852046:EHJ852046 DXC852046:DXN852046 DNG852046:DNR852046 DDK852046:DDV852046 CTO852046:CTZ852046 CJS852046:CKD852046 BZW852046:CAH852046 BQA852046:BQL852046 BGE852046:BGP852046 AWI852046:AWT852046 AMM852046:AMX852046 ACQ852046:ADB852046 SU852046:TF852046 IY852046:JJ852046 C852046:N852046 WVK786510:WVV786510 WLO786510:WLZ786510 WBS786510:WCD786510 VRW786510:VSH786510 VIA786510:VIL786510 UYE786510:UYP786510 UOI786510:UOT786510 UEM786510:UEX786510 TUQ786510:TVB786510 TKU786510:TLF786510 TAY786510:TBJ786510 SRC786510:SRN786510 SHG786510:SHR786510 RXK786510:RXV786510 RNO786510:RNZ786510 RDS786510:RED786510 QTW786510:QUH786510 QKA786510:QKL786510 QAE786510:QAP786510 PQI786510:PQT786510 PGM786510:PGX786510 OWQ786510:OXB786510 OMU786510:ONF786510 OCY786510:ODJ786510 NTC786510:NTN786510 NJG786510:NJR786510 MZK786510:MZV786510 MPO786510:MPZ786510 MFS786510:MGD786510 LVW786510:LWH786510 LMA786510:LML786510 LCE786510:LCP786510 KSI786510:KST786510 KIM786510:KIX786510 JYQ786510:JZB786510 JOU786510:JPF786510 JEY786510:JFJ786510 IVC786510:IVN786510 ILG786510:ILR786510 IBK786510:IBV786510 HRO786510:HRZ786510 HHS786510:HID786510 GXW786510:GYH786510 GOA786510:GOL786510 GEE786510:GEP786510 FUI786510:FUT786510 FKM786510:FKX786510 FAQ786510:FBB786510 EQU786510:ERF786510 EGY786510:EHJ786510 DXC786510:DXN786510 DNG786510:DNR786510 DDK786510:DDV786510 CTO786510:CTZ786510 CJS786510:CKD786510 BZW786510:CAH786510 BQA786510:BQL786510 BGE786510:BGP786510 AWI786510:AWT786510 AMM786510:AMX786510 ACQ786510:ADB786510 SU786510:TF786510 IY786510:JJ786510 C786510:N786510 WVK720974:WVV720974 WLO720974:WLZ720974 WBS720974:WCD720974 VRW720974:VSH720974 VIA720974:VIL720974 UYE720974:UYP720974 UOI720974:UOT720974 UEM720974:UEX720974 TUQ720974:TVB720974 TKU720974:TLF720974 TAY720974:TBJ720974 SRC720974:SRN720974 SHG720974:SHR720974 RXK720974:RXV720974 RNO720974:RNZ720974 RDS720974:RED720974 QTW720974:QUH720974 QKA720974:QKL720974 QAE720974:QAP720974 PQI720974:PQT720974 PGM720974:PGX720974 OWQ720974:OXB720974 OMU720974:ONF720974 OCY720974:ODJ720974 NTC720974:NTN720974 NJG720974:NJR720974 MZK720974:MZV720974 MPO720974:MPZ720974 MFS720974:MGD720974 LVW720974:LWH720974 LMA720974:LML720974 LCE720974:LCP720974 KSI720974:KST720974 KIM720974:KIX720974 JYQ720974:JZB720974 JOU720974:JPF720974 JEY720974:JFJ720974 IVC720974:IVN720974 ILG720974:ILR720974 IBK720974:IBV720974 HRO720974:HRZ720974 HHS720974:HID720974 GXW720974:GYH720974 GOA720974:GOL720974 GEE720974:GEP720974 FUI720974:FUT720974 FKM720974:FKX720974 FAQ720974:FBB720974 EQU720974:ERF720974 EGY720974:EHJ720974 DXC720974:DXN720974 DNG720974:DNR720974 DDK720974:DDV720974 CTO720974:CTZ720974 CJS720974:CKD720974 BZW720974:CAH720974 BQA720974:BQL720974 BGE720974:BGP720974 AWI720974:AWT720974 AMM720974:AMX720974 ACQ720974:ADB720974 SU720974:TF720974 IY720974:JJ720974 C720974:N720974 WVK655438:WVV655438 WLO655438:WLZ655438 WBS655438:WCD655438 VRW655438:VSH655438 VIA655438:VIL655438 UYE655438:UYP655438 UOI655438:UOT655438 UEM655438:UEX655438 TUQ655438:TVB655438 TKU655438:TLF655438 TAY655438:TBJ655438 SRC655438:SRN655438 SHG655438:SHR655438 RXK655438:RXV655438 RNO655438:RNZ655438 RDS655438:RED655438 QTW655438:QUH655438 QKA655438:QKL655438 QAE655438:QAP655438 PQI655438:PQT655438 PGM655438:PGX655438 OWQ655438:OXB655438 OMU655438:ONF655438 OCY655438:ODJ655438 NTC655438:NTN655438 NJG655438:NJR655438 MZK655438:MZV655438 MPO655438:MPZ655438 MFS655438:MGD655438 LVW655438:LWH655438 LMA655438:LML655438 LCE655438:LCP655438 KSI655438:KST655438 KIM655438:KIX655438 JYQ655438:JZB655438 JOU655438:JPF655438 JEY655438:JFJ655438 IVC655438:IVN655438 ILG655438:ILR655438 IBK655438:IBV655438 HRO655438:HRZ655438 HHS655438:HID655438 GXW655438:GYH655438 GOA655438:GOL655438 GEE655438:GEP655438 FUI655438:FUT655438 FKM655438:FKX655438 FAQ655438:FBB655438 EQU655438:ERF655438 EGY655438:EHJ655438 DXC655438:DXN655438 DNG655438:DNR655438 DDK655438:DDV655438 CTO655438:CTZ655438 CJS655438:CKD655438 BZW655438:CAH655438 BQA655438:BQL655438 BGE655438:BGP655438 AWI655438:AWT655438 AMM655438:AMX655438 ACQ655438:ADB655438 SU655438:TF655438 IY655438:JJ655438 C655438:N655438 WVK589902:WVV589902 WLO589902:WLZ589902 WBS589902:WCD589902 VRW589902:VSH589902 VIA589902:VIL589902 UYE589902:UYP589902 UOI589902:UOT589902 UEM589902:UEX589902 TUQ589902:TVB589902 TKU589902:TLF589902 TAY589902:TBJ589902 SRC589902:SRN589902 SHG589902:SHR589902 RXK589902:RXV589902 RNO589902:RNZ589902 RDS589902:RED589902 QTW589902:QUH589902 QKA589902:QKL589902 QAE589902:QAP589902 PQI589902:PQT589902 PGM589902:PGX589902 OWQ589902:OXB589902 OMU589902:ONF589902 OCY589902:ODJ589902 NTC589902:NTN589902 NJG589902:NJR589902 MZK589902:MZV589902 MPO589902:MPZ589902 MFS589902:MGD589902 LVW589902:LWH589902 LMA589902:LML589902 LCE589902:LCP589902 KSI589902:KST589902 KIM589902:KIX589902 JYQ589902:JZB589902 JOU589902:JPF589902 JEY589902:JFJ589902 IVC589902:IVN589902 ILG589902:ILR589902 IBK589902:IBV589902 HRO589902:HRZ589902 HHS589902:HID589902 GXW589902:GYH589902 GOA589902:GOL589902 GEE589902:GEP589902 FUI589902:FUT589902 FKM589902:FKX589902 FAQ589902:FBB589902 EQU589902:ERF589902 EGY589902:EHJ589902 DXC589902:DXN589902 DNG589902:DNR589902 DDK589902:DDV589902 CTO589902:CTZ589902 CJS589902:CKD589902 BZW589902:CAH589902 BQA589902:BQL589902 BGE589902:BGP589902 AWI589902:AWT589902 AMM589902:AMX589902 ACQ589902:ADB589902 SU589902:TF589902 IY589902:JJ589902 C589902:N589902 WVK524366:WVV524366 WLO524366:WLZ524366 WBS524366:WCD524366 VRW524366:VSH524366 VIA524366:VIL524366 UYE524366:UYP524366 UOI524366:UOT524366 UEM524366:UEX524366 TUQ524366:TVB524366 TKU524366:TLF524366 TAY524366:TBJ524366 SRC524366:SRN524366 SHG524366:SHR524366 RXK524366:RXV524366 RNO524366:RNZ524366 RDS524366:RED524366 QTW524366:QUH524366 QKA524366:QKL524366 QAE524366:QAP524366 PQI524366:PQT524366 PGM524366:PGX524366 OWQ524366:OXB524366 OMU524366:ONF524366 OCY524366:ODJ524366 NTC524366:NTN524366 NJG524366:NJR524366 MZK524366:MZV524366 MPO524366:MPZ524366 MFS524366:MGD524366 LVW524366:LWH524366 LMA524366:LML524366 LCE524366:LCP524366 KSI524366:KST524366 KIM524366:KIX524366 JYQ524366:JZB524366 JOU524366:JPF524366 JEY524366:JFJ524366 IVC524366:IVN524366 ILG524366:ILR524366 IBK524366:IBV524366 HRO524366:HRZ524366 HHS524366:HID524366 GXW524366:GYH524366 GOA524366:GOL524366 GEE524366:GEP524366 FUI524366:FUT524366 FKM524366:FKX524366 FAQ524366:FBB524366 EQU524366:ERF524366 EGY524366:EHJ524366 DXC524366:DXN524366 DNG524366:DNR524366 DDK524366:DDV524366 CTO524366:CTZ524366 CJS524366:CKD524366 BZW524366:CAH524366 BQA524366:BQL524366 BGE524366:BGP524366 AWI524366:AWT524366 AMM524366:AMX524366 ACQ524366:ADB524366 SU524366:TF524366 IY524366:JJ524366 C524366:N524366 WVK458830:WVV458830 WLO458830:WLZ458830 WBS458830:WCD458830 VRW458830:VSH458830 VIA458830:VIL458830 UYE458830:UYP458830 UOI458830:UOT458830 UEM458830:UEX458830 TUQ458830:TVB458830 TKU458830:TLF458830 TAY458830:TBJ458830 SRC458830:SRN458830 SHG458830:SHR458830 RXK458830:RXV458830 RNO458830:RNZ458830 RDS458830:RED458830 QTW458830:QUH458830 QKA458830:QKL458830 QAE458830:QAP458830 PQI458830:PQT458830 PGM458830:PGX458830 OWQ458830:OXB458830 OMU458830:ONF458830 OCY458830:ODJ458830 NTC458830:NTN458830 NJG458830:NJR458830 MZK458830:MZV458830 MPO458830:MPZ458830 MFS458830:MGD458830 LVW458830:LWH458830 LMA458830:LML458830 LCE458830:LCP458830 KSI458830:KST458830 KIM458830:KIX458830 JYQ458830:JZB458830 JOU458830:JPF458830 JEY458830:JFJ458830 IVC458830:IVN458830 ILG458830:ILR458830 IBK458830:IBV458830 HRO458830:HRZ458830 HHS458830:HID458830 GXW458830:GYH458830 GOA458830:GOL458830 GEE458830:GEP458830 FUI458830:FUT458830 FKM458830:FKX458830 FAQ458830:FBB458830 EQU458830:ERF458830 EGY458830:EHJ458830 DXC458830:DXN458830 DNG458830:DNR458830 DDK458830:DDV458830 CTO458830:CTZ458830 CJS458830:CKD458830 BZW458830:CAH458830 BQA458830:BQL458830 BGE458830:BGP458830 AWI458830:AWT458830 AMM458830:AMX458830 ACQ458830:ADB458830 SU458830:TF458830 IY458830:JJ458830 C458830:N458830 WVK393294:WVV393294 WLO393294:WLZ393294 WBS393294:WCD393294 VRW393294:VSH393294 VIA393294:VIL393294 UYE393294:UYP393294 UOI393294:UOT393294 UEM393294:UEX393294 TUQ393294:TVB393294 TKU393294:TLF393294 TAY393294:TBJ393294 SRC393294:SRN393294 SHG393294:SHR393294 RXK393294:RXV393294 RNO393294:RNZ393294 RDS393294:RED393294 QTW393294:QUH393294 QKA393294:QKL393294 QAE393294:QAP393294 PQI393294:PQT393294 PGM393294:PGX393294 OWQ393294:OXB393294 OMU393294:ONF393294 OCY393294:ODJ393294 NTC393294:NTN393294 NJG393294:NJR393294 MZK393294:MZV393294 MPO393294:MPZ393294 MFS393294:MGD393294 LVW393294:LWH393294 LMA393294:LML393294 LCE393294:LCP393294 KSI393294:KST393294 KIM393294:KIX393294 JYQ393294:JZB393294 JOU393294:JPF393294 JEY393294:JFJ393294 IVC393294:IVN393294 ILG393294:ILR393294 IBK393294:IBV393294 HRO393294:HRZ393294 HHS393294:HID393294 GXW393294:GYH393294 GOA393294:GOL393294 GEE393294:GEP393294 FUI393294:FUT393294 FKM393294:FKX393294 FAQ393294:FBB393294 EQU393294:ERF393294 EGY393294:EHJ393294 DXC393294:DXN393294 DNG393294:DNR393294 DDK393294:DDV393294 CTO393294:CTZ393294 CJS393294:CKD393294 BZW393294:CAH393294 BQA393294:BQL393294 BGE393294:BGP393294 AWI393294:AWT393294 AMM393294:AMX393294 ACQ393294:ADB393294 SU393294:TF393294 IY393294:JJ393294 C393294:N393294 WVK327758:WVV327758 WLO327758:WLZ327758 WBS327758:WCD327758 VRW327758:VSH327758 VIA327758:VIL327758 UYE327758:UYP327758 UOI327758:UOT327758 UEM327758:UEX327758 TUQ327758:TVB327758 TKU327758:TLF327758 TAY327758:TBJ327758 SRC327758:SRN327758 SHG327758:SHR327758 RXK327758:RXV327758 RNO327758:RNZ327758 RDS327758:RED327758 QTW327758:QUH327758 QKA327758:QKL327758 QAE327758:QAP327758 PQI327758:PQT327758 PGM327758:PGX327758 OWQ327758:OXB327758 OMU327758:ONF327758 OCY327758:ODJ327758 NTC327758:NTN327758 NJG327758:NJR327758 MZK327758:MZV327758 MPO327758:MPZ327758 MFS327758:MGD327758 LVW327758:LWH327758 LMA327758:LML327758 LCE327758:LCP327758 KSI327758:KST327758 KIM327758:KIX327758 JYQ327758:JZB327758 JOU327758:JPF327758 JEY327758:JFJ327758 IVC327758:IVN327758 ILG327758:ILR327758 IBK327758:IBV327758 HRO327758:HRZ327758 HHS327758:HID327758 GXW327758:GYH327758 GOA327758:GOL327758 GEE327758:GEP327758 FUI327758:FUT327758 FKM327758:FKX327758 FAQ327758:FBB327758 EQU327758:ERF327758 EGY327758:EHJ327758 DXC327758:DXN327758 DNG327758:DNR327758 DDK327758:DDV327758 CTO327758:CTZ327758 CJS327758:CKD327758 BZW327758:CAH327758 BQA327758:BQL327758 BGE327758:BGP327758 AWI327758:AWT327758 AMM327758:AMX327758 ACQ327758:ADB327758 SU327758:TF327758 IY327758:JJ327758 C327758:N327758 WVK262222:WVV262222 WLO262222:WLZ262222 WBS262222:WCD262222 VRW262222:VSH262222 VIA262222:VIL262222 UYE262222:UYP262222 UOI262222:UOT262222 UEM262222:UEX262222 TUQ262222:TVB262222 TKU262222:TLF262222 TAY262222:TBJ262222 SRC262222:SRN262222 SHG262222:SHR262222 RXK262222:RXV262222 RNO262222:RNZ262222 RDS262222:RED262222 QTW262222:QUH262222 QKA262222:QKL262222 QAE262222:QAP262222 PQI262222:PQT262222 PGM262222:PGX262222 OWQ262222:OXB262222 OMU262222:ONF262222 OCY262222:ODJ262222 NTC262222:NTN262222 NJG262222:NJR262222 MZK262222:MZV262222 MPO262222:MPZ262222 MFS262222:MGD262222 LVW262222:LWH262222 LMA262222:LML262222 LCE262222:LCP262222 KSI262222:KST262222 KIM262222:KIX262222 JYQ262222:JZB262222 JOU262222:JPF262222 JEY262222:JFJ262222 IVC262222:IVN262222 ILG262222:ILR262222 IBK262222:IBV262222 HRO262222:HRZ262222 HHS262222:HID262222 GXW262222:GYH262222 GOA262222:GOL262222 GEE262222:GEP262222 FUI262222:FUT262222 FKM262222:FKX262222 FAQ262222:FBB262222 EQU262222:ERF262222 EGY262222:EHJ262222 DXC262222:DXN262222 DNG262222:DNR262222 DDK262222:DDV262222 CTO262222:CTZ262222 CJS262222:CKD262222 BZW262222:CAH262222 BQA262222:BQL262222 BGE262222:BGP262222 AWI262222:AWT262222 AMM262222:AMX262222 ACQ262222:ADB262222 SU262222:TF262222 IY262222:JJ262222 C262222:N262222 WVK196686:WVV196686 WLO196686:WLZ196686 WBS196686:WCD196686 VRW196686:VSH196686 VIA196686:VIL196686 UYE196686:UYP196686 UOI196686:UOT196686 UEM196686:UEX196686 TUQ196686:TVB196686 TKU196686:TLF196686 TAY196686:TBJ196686 SRC196686:SRN196686 SHG196686:SHR196686 RXK196686:RXV196686 RNO196686:RNZ196686 RDS196686:RED196686 QTW196686:QUH196686 QKA196686:QKL196686 QAE196686:QAP196686 PQI196686:PQT196686 PGM196686:PGX196686 OWQ196686:OXB196686 OMU196686:ONF196686 OCY196686:ODJ196686 NTC196686:NTN196686 NJG196686:NJR196686 MZK196686:MZV196686 MPO196686:MPZ196686 MFS196686:MGD196686 LVW196686:LWH196686 LMA196686:LML196686 LCE196686:LCP196686 KSI196686:KST196686 KIM196686:KIX196686 JYQ196686:JZB196686 JOU196686:JPF196686 JEY196686:JFJ196686 IVC196686:IVN196686 ILG196686:ILR196686 IBK196686:IBV196686 HRO196686:HRZ196686 HHS196686:HID196686 GXW196686:GYH196686 GOA196686:GOL196686 GEE196686:GEP196686 FUI196686:FUT196686 FKM196686:FKX196686 FAQ196686:FBB196686 EQU196686:ERF196686 EGY196686:EHJ196686 DXC196686:DXN196686 DNG196686:DNR196686 DDK196686:DDV196686 CTO196686:CTZ196686 CJS196686:CKD196686 BZW196686:CAH196686 BQA196686:BQL196686 BGE196686:BGP196686 AWI196686:AWT196686 AMM196686:AMX196686 ACQ196686:ADB196686 SU196686:TF196686 IY196686:JJ196686 C196686:N196686 WVK131150:WVV131150 WLO131150:WLZ131150 WBS131150:WCD131150 VRW131150:VSH131150 VIA131150:VIL131150 UYE131150:UYP131150 UOI131150:UOT131150 UEM131150:UEX131150 TUQ131150:TVB131150 TKU131150:TLF131150 TAY131150:TBJ131150 SRC131150:SRN131150 SHG131150:SHR131150 RXK131150:RXV131150 RNO131150:RNZ131150 RDS131150:RED131150 QTW131150:QUH131150 QKA131150:QKL131150 QAE131150:QAP131150 PQI131150:PQT131150 PGM131150:PGX131150 OWQ131150:OXB131150 OMU131150:ONF131150 OCY131150:ODJ131150 NTC131150:NTN131150 NJG131150:NJR131150 MZK131150:MZV131150 MPO131150:MPZ131150 MFS131150:MGD131150 LVW131150:LWH131150 LMA131150:LML131150 LCE131150:LCP131150 KSI131150:KST131150 KIM131150:KIX131150 JYQ131150:JZB131150 JOU131150:JPF131150 JEY131150:JFJ131150 IVC131150:IVN131150 ILG131150:ILR131150 IBK131150:IBV131150 HRO131150:HRZ131150 HHS131150:HID131150 GXW131150:GYH131150 GOA131150:GOL131150 GEE131150:GEP131150 FUI131150:FUT131150 FKM131150:FKX131150 FAQ131150:FBB131150 EQU131150:ERF131150 EGY131150:EHJ131150 DXC131150:DXN131150 DNG131150:DNR131150 DDK131150:DDV131150 CTO131150:CTZ131150 CJS131150:CKD131150 BZW131150:CAH131150 BQA131150:BQL131150 BGE131150:BGP131150 AWI131150:AWT131150 AMM131150:AMX131150 ACQ131150:ADB131150 SU131150:TF131150 IY131150:JJ131150 C131150:N131150 WVK65614:WVV65614 WLO65614:WLZ65614 WBS65614:WCD65614 VRW65614:VSH65614 VIA65614:VIL65614 UYE65614:UYP65614 UOI65614:UOT65614 UEM65614:UEX65614 TUQ65614:TVB65614 TKU65614:TLF65614 TAY65614:TBJ65614 SRC65614:SRN65614 SHG65614:SHR65614 RXK65614:RXV65614 RNO65614:RNZ65614 RDS65614:RED65614 QTW65614:QUH65614 QKA65614:QKL65614 QAE65614:QAP65614 PQI65614:PQT65614 PGM65614:PGX65614 OWQ65614:OXB65614 OMU65614:ONF65614 OCY65614:ODJ65614 NTC65614:NTN65614 NJG65614:NJR65614 MZK65614:MZV65614 MPO65614:MPZ65614 MFS65614:MGD65614 LVW65614:LWH65614 LMA65614:LML65614 LCE65614:LCP65614 KSI65614:KST65614 KIM65614:KIX65614 JYQ65614:JZB65614 JOU65614:JPF65614 JEY65614:JFJ65614 IVC65614:IVN65614 ILG65614:ILR65614 IBK65614:IBV65614 HRO65614:HRZ65614 HHS65614:HID65614 GXW65614:GYH65614 GOA65614:GOL65614 GEE65614:GEP65614 FUI65614:FUT65614 FKM65614:FKX65614 FAQ65614:FBB65614 EQU65614:ERF65614 EGY65614:EHJ65614 DXC65614:DXN65614 DNG65614:DNR65614 DDK65614:DDV65614 CTO65614:CTZ65614 CJS65614:CKD65614 BZW65614:CAH65614 BQA65614:BQL65614 BGE65614:BGP65614 AWI65614:AWT65614 AMM65614:AMX65614 ACQ65614:ADB65614 SU65614:TF65614 IY65614:JJ65614 C65614:N65614 WVK160:WVV160 WLO160:WLZ160 WBS160:WCD160 VRW160:VSH160 VIA160:VIL160 UYE160:UYP160 UOI160:UOT160 UEM160:UEX160 TUQ160:TVB160 TKU160:TLF160 TAY160:TBJ160 SRC160:SRN160 SHG160:SHR160 RXK160:RXV160 RNO160:RNZ160 RDS160:RED160 QTW160:QUH160 QKA160:QKL160 QAE160:QAP160 PQI160:PQT160 PGM160:PGX160 OWQ160:OXB160 OMU160:ONF160 OCY160:ODJ160 NTC160:NTN160 NJG160:NJR160 MZK160:MZV160 MPO160:MPZ160 MFS160:MGD160 LVW160:LWH160 LMA160:LML160 LCE160:LCP160 KSI160:KST160 KIM160:KIX160 JYQ160:JZB160 JOU160:JPF160 JEY160:JFJ160 IVC160:IVN160 ILG160:ILR160 IBK160:IBV160 HRO160:HRZ160 HHS160:HID160 GXW160:GYH160 GOA160:GOL160 GEE160:GEP160 FUI160:FUT160 FKM160:FKX160 FAQ160:FBB160 EQU160:ERF160 EGY160:EHJ160 DXC160:DXN160 DNG160:DNR160 DDK160:DDV160 CTO160:CTZ160 CJS160:CKD160 BZW160:CAH160 BQA160:BQL160 BGE160:BGP160 AWI160:AWT160 AMM160:AMX160 ACQ160:ADB160 SU160:TF160 IY160:JJ160 SU220:TF220 WVK983298:WVV983298 WLO983298:WLZ983298 WBS983298:WCD983298 VRW983298:VSH983298 VIA983298:VIL983298 UYE983298:UYP983298 UOI983298:UOT983298 UEM983298:UEX983298 TUQ983298:TVB983298 TKU983298:TLF983298 TAY983298:TBJ983298 SRC983298:SRN983298 SHG983298:SHR983298 RXK983298:RXV983298 RNO983298:RNZ983298 RDS983298:RED983298 QTW983298:QUH983298 QKA983298:QKL983298 QAE983298:QAP983298 PQI983298:PQT983298 PGM983298:PGX983298 OWQ983298:OXB983298 OMU983298:ONF983298 OCY983298:ODJ983298 NTC983298:NTN983298 NJG983298:NJR983298 MZK983298:MZV983298 MPO983298:MPZ983298 MFS983298:MGD983298 LVW983298:LWH983298 LMA983298:LML983298 LCE983298:LCP983298 KSI983298:KST983298 KIM983298:KIX983298 JYQ983298:JZB983298 JOU983298:JPF983298 JEY983298:JFJ983298 IVC983298:IVN983298 ILG983298:ILR983298 IBK983298:IBV983298 HRO983298:HRZ983298 HHS983298:HID983298 GXW983298:GYH983298 GOA983298:GOL983298 GEE983298:GEP983298 FUI983298:FUT983298 FKM983298:FKX983298 FAQ983298:FBB983298 EQU983298:ERF983298 EGY983298:EHJ983298 DXC983298:DXN983298 DNG983298:DNR983298 DDK983298:DDV983298 CTO983298:CTZ983298 CJS983298:CKD983298 BZW983298:CAH983298 BQA983298:BQL983298 BGE983298:BGP983298 AWI983298:AWT983298 AMM983298:AMX983298 ACQ983298:ADB983298 SU983298:TF983298 IY983298:JJ983298 C983298:N983298 WVK917762:WVV917762 WLO917762:WLZ917762 WBS917762:WCD917762 VRW917762:VSH917762 VIA917762:VIL917762 UYE917762:UYP917762 UOI917762:UOT917762 UEM917762:UEX917762 TUQ917762:TVB917762 TKU917762:TLF917762 TAY917762:TBJ917762 SRC917762:SRN917762 SHG917762:SHR917762 RXK917762:RXV917762 RNO917762:RNZ917762 RDS917762:RED917762 QTW917762:QUH917762 QKA917762:QKL917762 QAE917762:QAP917762 PQI917762:PQT917762 PGM917762:PGX917762 OWQ917762:OXB917762 OMU917762:ONF917762 OCY917762:ODJ917762 NTC917762:NTN917762 NJG917762:NJR917762 MZK917762:MZV917762 MPO917762:MPZ917762 MFS917762:MGD917762 LVW917762:LWH917762 LMA917762:LML917762 LCE917762:LCP917762 KSI917762:KST917762 KIM917762:KIX917762 JYQ917762:JZB917762 JOU917762:JPF917762 JEY917762:JFJ917762 IVC917762:IVN917762 ILG917762:ILR917762 IBK917762:IBV917762 HRO917762:HRZ917762 HHS917762:HID917762 GXW917762:GYH917762 GOA917762:GOL917762 GEE917762:GEP917762 FUI917762:FUT917762 FKM917762:FKX917762 FAQ917762:FBB917762 EQU917762:ERF917762 EGY917762:EHJ917762 DXC917762:DXN917762 DNG917762:DNR917762 DDK917762:DDV917762 CTO917762:CTZ917762 CJS917762:CKD917762 BZW917762:CAH917762 BQA917762:BQL917762 BGE917762:BGP917762 AWI917762:AWT917762 AMM917762:AMX917762 ACQ917762:ADB917762 SU917762:TF917762 IY917762:JJ917762 C917762:N917762 WVK852226:WVV852226 WLO852226:WLZ852226 WBS852226:WCD852226 VRW852226:VSH852226 VIA852226:VIL852226 UYE852226:UYP852226 UOI852226:UOT852226 UEM852226:UEX852226 TUQ852226:TVB852226 TKU852226:TLF852226 TAY852226:TBJ852226 SRC852226:SRN852226 SHG852226:SHR852226 RXK852226:RXV852226 RNO852226:RNZ852226 RDS852226:RED852226 QTW852226:QUH852226 QKA852226:QKL852226 QAE852226:QAP852226 PQI852226:PQT852226 PGM852226:PGX852226 OWQ852226:OXB852226 OMU852226:ONF852226 OCY852226:ODJ852226 NTC852226:NTN852226 NJG852226:NJR852226 MZK852226:MZV852226 MPO852226:MPZ852226 MFS852226:MGD852226 LVW852226:LWH852226 LMA852226:LML852226 LCE852226:LCP852226 KSI852226:KST852226 KIM852226:KIX852226 JYQ852226:JZB852226 JOU852226:JPF852226 JEY852226:JFJ852226 IVC852226:IVN852226 ILG852226:ILR852226 IBK852226:IBV852226 HRO852226:HRZ852226 HHS852226:HID852226 GXW852226:GYH852226 GOA852226:GOL852226 GEE852226:GEP852226 FUI852226:FUT852226 FKM852226:FKX852226 FAQ852226:FBB852226 EQU852226:ERF852226 EGY852226:EHJ852226 DXC852226:DXN852226 DNG852226:DNR852226 DDK852226:DDV852226 CTO852226:CTZ852226 CJS852226:CKD852226 BZW852226:CAH852226 BQA852226:BQL852226 BGE852226:BGP852226 AWI852226:AWT852226 AMM852226:AMX852226 ACQ852226:ADB852226 SU852226:TF852226 IY852226:JJ852226 C852226:N852226 WVK786690:WVV786690 WLO786690:WLZ786690 WBS786690:WCD786690 VRW786690:VSH786690 VIA786690:VIL786690 UYE786690:UYP786690 UOI786690:UOT786690 UEM786690:UEX786690 TUQ786690:TVB786690 TKU786690:TLF786690 TAY786690:TBJ786690 SRC786690:SRN786690 SHG786690:SHR786690 RXK786690:RXV786690 RNO786690:RNZ786690 RDS786690:RED786690 QTW786690:QUH786690 QKA786690:QKL786690 QAE786690:QAP786690 PQI786690:PQT786690 PGM786690:PGX786690 OWQ786690:OXB786690 OMU786690:ONF786690 OCY786690:ODJ786690 NTC786690:NTN786690 NJG786690:NJR786690 MZK786690:MZV786690 MPO786690:MPZ786690 MFS786690:MGD786690 LVW786690:LWH786690 LMA786690:LML786690 LCE786690:LCP786690 KSI786690:KST786690 KIM786690:KIX786690 JYQ786690:JZB786690 JOU786690:JPF786690 JEY786690:JFJ786690 IVC786690:IVN786690 ILG786690:ILR786690 IBK786690:IBV786690 HRO786690:HRZ786690 HHS786690:HID786690 GXW786690:GYH786690 GOA786690:GOL786690 GEE786690:GEP786690 FUI786690:FUT786690 FKM786690:FKX786690 FAQ786690:FBB786690 EQU786690:ERF786690 EGY786690:EHJ786690 DXC786690:DXN786690 DNG786690:DNR786690 DDK786690:DDV786690 CTO786690:CTZ786690 CJS786690:CKD786690 BZW786690:CAH786690 BQA786690:BQL786690 BGE786690:BGP786690 AWI786690:AWT786690 AMM786690:AMX786690 ACQ786690:ADB786690 SU786690:TF786690 IY786690:JJ786690 C786690:N786690 WVK721154:WVV721154 WLO721154:WLZ721154 WBS721154:WCD721154 VRW721154:VSH721154 VIA721154:VIL721154 UYE721154:UYP721154 UOI721154:UOT721154 UEM721154:UEX721154 TUQ721154:TVB721154 TKU721154:TLF721154 TAY721154:TBJ721154 SRC721154:SRN721154 SHG721154:SHR721154 RXK721154:RXV721154 RNO721154:RNZ721154 RDS721154:RED721154 QTW721154:QUH721154 QKA721154:QKL721154 QAE721154:QAP721154 PQI721154:PQT721154 PGM721154:PGX721154 OWQ721154:OXB721154 OMU721154:ONF721154 OCY721154:ODJ721154 NTC721154:NTN721154 NJG721154:NJR721154 MZK721154:MZV721154 MPO721154:MPZ721154 MFS721154:MGD721154 LVW721154:LWH721154 LMA721154:LML721154 LCE721154:LCP721154 KSI721154:KST721154 KIM721154:KIX721154 JYQ721154:JZB721154 JOU721154:JPF721154 JEY721154:JFJ721154 IVC721154:IVN721154 ILG721154:ILR721154 IBK721154:IBV721154 HRO721154:HRZ721154 HHS721154:HID721154 GXW721154:GYH721154 GOA721154:GOL721154 GEE721154:GEP721154 FUI721154:FUT721154 FKM721154:FKX721154 FAQ721154:FBB721154 EQU721154:ERF721154 EGY721154:EHJ721154 DXC721154:DXN721154 DNG721154:DNR721154 DDK721154:DDV721154 CTO721154:CTZ721154 CJS721154:CKD721154 BZW721154:CAH721154 BQA721154:BQL721154 BGE721154:BGP721154 AWI721154:AWT721154 AMM721154:AMX721154 ACQ721154:ADB721154 SU721154:TF721154 IY721154:JJ721154 C721154:N721154 WVK655618:WVV655618 WLO655618:WLZ655618 WBS655618:WCD655618 VRW655618:VSH655618 VIA655618:VIL655618 UYE655618:UYP655618 UOI655618:UOT655618 UEM655618:UEX655618 TUQ655618:TVB655618 TKU655618:TLF655618 TAY655618:TBJ655618 SRC655618:SRN655618 SHG655618:SHR655618 RXK655618:RXV655618 RNO655618:RNZ655618 RDS655618:RED655618 QTW655618:QUH655618 QKA655618:QKL655618 QAE655618:QAP655618 PQI655618:PQT655618 PGM655618:PGX655618 OWQ655618:OXB655618 OMU655618:ONF655618 OCY655618:ODJ655618 NTC655618:NTN655618 NJG655618:NJR655618 MZK655618:MZV655618 MPO655618:MPZ655618 MFS655618:MGD655618 LVW655618:LWH655618 LMA655618:LML655618 LCE655618:LCP655618 KSI655618:KST655618 KIM655618:KIX655618 JYQ655618:JZB655618 JOU655618:JPF655618 JEY655618:JFJ655618 IVC655618:IVN655618 ILG655618:ILR655618 IBK655618:IBV655618 HRO655618:HRZ655618 HHS655618:HID655618 GXW655618:GYH655618 GOA655618:GOL655618 GEE655618:GEP655618 FUI655618:FUT655618 FKM655618:FKX655618 FAQ655618:FBB655618 EQU655618:ERF655618 EGY655618:EHJ655618 DXC655618:DXN655618 DNG655618:DNR655618 DDK655618:DDV655618 CTO655618:CTZ655618 CJS655618:CKD655618 BZW655618:CAH655618 BQA655618:BQL655618 BGE655618:BGP655618 AWI655618:AWT655618 AMM655618:AMX655618 ACQ655618:ADB655618 SU655618:TF655618 IY655618:JJ655618 C655618:N655618 WVK590082:WVV590082 WLO590082:WLZ590082 WBS590082:WCD590082 VRW590082:VSH590082 VIA590082:VIL590082 UYE590082:UYP590082 UOI590082:UOT590082 UEM590082:UEX590082 TUQ590082:TVB590082 TKU590082:TLF590082 TAY590082:TBJ590082 SRC590082:SRN590082 SHG590082:SHR590082 RXK590082:RXV590082 RNO590082:RNZ590082 RDS590082:RED590082 QTW590082:QUH590082 QKA590082:QKL590082 QAE590082:QAP590082 PQI590082:PQT590082 PGM590082:PGX590082 OWQ590082:OXB590082 OMU590082:ONF590082 OCY590082:ODJ590082 NTC590082:NTN590082 NJG590082:NJR590082 MZK590082:MZV590082 MPO590082:MPZ590082 MFS590082:MGD590082 LVW590082:LWH590082 LMA590082:LML590082 LCE590082:LCP590082 KSI590082:KST590082 KIM590082:KIX590082 JYQ590082:JZB590082 JOU590082:JPF590082 JEY590082:JFJ590082 IVC590082:IVN590082 ILG590082:ILR590082 IBK590082:IBV590082 HRO590082:HRZ590082 HHS590082:HID590082 GXW590082:GYH590082 GOA590082:GOL590082 GEE590082:GEP590082 FUI590082:FUT590082 FKM590082:FKX590082 FAQ590082:FBB590082 EQU590082:ERF590082 EGY590082:EHJ590082 DXC590082:DXN590082 DNG590082:DNR590082 DDK590082:DDV590082 CTO590082:CTZ590082 CJS590082:CKD590082 BZW590082:CAH590082 BQA590082:BQL590082 BGE590082:BGP590082 AWI590082:AWT590082 AMM590082:AMX590082 ACQ590082:ADB590082 SU590082:TF590082 IY590082:JJ590082 C590082:N590082 WVK524546:WVV524546 WLO524546:WLZ524546 WBS524546:WCD524546 VRW524546:VSH524546 VIA524546:VIL524546 UYE524546:UYP524546 UOI524546:UOT524546 UEM524546:UEX524546 TUQ524546:TVB524546 TKU524546:TLF524546 TAY524546:TBJ524546 SRC524546:SRN524546 SHG524546:SHR524546 RXK524546:RXV524546 RNO524546:RNZ524546 RDS524546:RED524546 QTW524546:QUH524546 QKA524546:QKL524546 QAE524546:QAP524546 PQI524546:PQT524546 PGM524546:PGX524546 OWQ524546:OXB524546 OMU524546:ONF524546 OCY524546:ODJ524546 NTC524546:NTN524546 NJG524546:NJR524546 MZK524546:MZV524546 MPO524546:MPZ524546 MFS524546:MGD524546 LVW524546:LWH524546 LMA524546:LML524546 LCE524546:LCP524546 KSI524546:KST524546 KIM524546:KIX524546 JYQ524546:JZB524546 JOU524546:JPF524546 JEY524546:JFJ524546 IVC524546:IVN524546 ILG524546:ILR524546 IBK524546:IBV524546 HRO524546:HRZ524546 HHS524546:HID524546 GXW524546:GYH524546 GOA524546:GOL524546 GEE524546:GEP524546 FUI524546:FUT524546 FKM524546:FKX524546 FAQ524546:FBB524546 EQU524546:ERF524546 EGY524546:EHJ524546 DXC524546:DXN524546 DNG524546:DNR524546 DDK524546:DDV524546 CTO524546:CTZ524546 CJS524546:CKD524546 BZW524546:CAH524546 BQA524546:BQL524546 BGE524546:BGP524546 AWI524546:AWT524546 AMM524546:AMX524546 ACQ524546:ADB524546 SU524546:TF524546 IY524546:JJ524546 C524546:N524546 WVK459010:WVV459010 WLO459010:WLZ459010 WBS459010:WCD459010 VRW459010:VSH459010 VIA459010:VIL459010 UYE459010:UYP459010 UOI459010:UOT459010 UEM459010:UEX459010 TUQ459010:TVB459010 TKU459010:TLF459010 TAY459010:TBJ459010 SRC459010:SRN459010 SHG459010:SHR459010 RXK459010:RXV459010 RNO459010:RNZ459010 RDS459010:RED459010 QTW459010:QUH459010 QKA459010:QKL459010 QAE459010:QAP459010 PQI459010:PQT459010 PGM459010:PGX459010 OWQ459010:OXB459010 OMU459010:ONF459010 OCY459010:ODJ459010 NTC459010:NTN459010 NJG459010:NJR459010 MZK459010:MZV459010 MPO459010:MPZ459010 MFS459010:MGD459010 LVW459010:LWH459010 LMA459010:LML459010 LCE459010:LCP459010 KSI459010:KST459010 KIM459010:KIX459010 JYQ459010:JZB459010 JOU459010:JPF459010 JEY459010:JFJ459010 IVC459010:IVN459010 ILG459010:ILR459010 IBK459010:IBV459010 HRO459010:HRZ459010 HHS459010:HID459010 GXW459010:GYH459010 GOA459010:GOL459010 GEE459010:GEP459010 FUI459010:FUT459010 FKM459010:FKX459010 FAQ459010:FBB459010 EQU459010:ERF459010 EGY459010:EHJ459010 DXC459010:DXN459010 DNG459010:DNR459010 DDK459010:DDV459010 CTO459010:CTZ459010 CJS459010:CKD459010 BZW459010:CAH459010 BQA459010:BQL459010 BGE459010:BGP459010 AWI459010:AWT459010 AMM459010:AMX459010 ACQ459010:ADB459010 SU459010:TF459010 IY459010:JJ459010 C459010:N459010 WVK393474:WVV393474 WLO393474:WLZ393474 WBS393474:WCD393474 VRW393474:VSH393474 VIA393474:VIL393474 UYE393474:UYP393474 UOI393474:UOT393474 UEM393474:UEX393474 TUQ393474:TVB393474 TKU393474:TLF393474 TAY393474:TBJ393474 SRC393474:SRN393474 SHG393474:SHR393474 RXK393474:RXV393474 RNO393474:RNZ393474 RDS393474:RED393474 QTW393474:QUH393474 QKA393474:QKL393474 QAE393474:QAP393474 PQI393474:PQT393474 PGM393474:PGX393474 OWQ393474:OXB393474 OMU393474:ONF393474 OCY393474:ODJ393474 NTC393474:NTN393474 NJG393474:NJR393474 MZK393474:MZV393474 MPO393474:MPZ393474 MFS393474:MGD393474 LVW393474:LWH393474 LMA393474:LML393474 LCE393474:LCP393474 KSI393474:KST393474 KIM393474:KIX393474 JYQ393474:JZB393474 JOU393474:JPF393474 JEY393474:JFJ393474 IVC393474:IVN393474 ILG393474:ILR393474 IBK393474:IBV393474 HRO393474:HRZ393474 HHS393474:HID393474 GXW393474:GYH393474 GOA393474:GOL393474 GEE393474:GEP393474 FUI393474:FUT393474 FKM393474:FKX393474 FAQ393474:FBB393474 EQU393474:ERF393474 EGY393474:EHJ393474 DXC393474:DXN393474 DNG393474:DNR393474 DDK393474:DDV393474 CTO393474:CTZ393474 CJS393474:CKD393474 BZW393474:CAH393474 BQA393474:BQL393474 BGE393474:BGP393474 AWI393474:AWT393474 AMM393474:AMX393474 ACQ393474:ADB393474 SU393474:TF393474 IY393474:JJ393474 C393474:N393474 WVK327938:WVV327938 WLO327938:WLZ327938 WBS327938:WCD327938 VRW327938:VSH327938 VIA327938:VIL327938 UYE327938:UYP327938 UOI327938:UOT327938 UEM327938:UEX327938 TUQ327938:TVB327938 TKU327938:TLF327938 TAY327938:TBJ327938 SRC327938:SRN327938 SHG327938:SHR327938 RXK327938:RXV327938 RNO327938:RNZ327938 RDS327938:RED327938 QTW327938:QUH327938 QKA327938:QKL327938 QAE327938:QAP327938 PQI327938:PQT327938 PGM327938:PGX327938 OWQ327938:OXB327938 OMU327938:ONF327938 OCY327938:ODJ327938 NTC327938:NTN327938 NJG327938:NJR327938 MZK327938:MZV327938 MPO327938:MPZ327938 MFS327938:MGD327938 LVW327938:LWH327938 LMA327938:LML327938 LCE327938:LCP327938 KSI327938:KST327938 KIM327938:KIX327938 JYQ327938:JZB327938 JOU327938:JPF327938 JEY327938:JFJ327938 IVC327938:IVN327938 ILG327938:ILR327938 IBK327938:IBV327938 HRO327938:HRZ327938 HHS327938:HID327938 GXW327938:GYH327938 GOA327938:GOL327938 GEE327938:GEP327938 FUI327938:FUT327938 FKM327938:FKX327938 FAQ327938:FBB327938 EQU327938:ERF327938 EGY327938:EHJ327938 DXC327938:DXN327938 DNG327938:DNR327938 DDK327938:DDV327938 CTO327938:CTZ327938 CJS327938:CKD327938 BZW327938:CAH327938 BQA327938:BQL327938 BGE327938:BGP327938 AWI327938:AWT327938 AMM327938:AMX327938 ACQ327938:ADB327938 SU327938:TF327938 IY327938:JJ327938 C327938:N327938 WVK262402:WVV262402 WLO262402:WLZ262402 WBS262402:WCD262402 VRW262402:VSH262402 VIA262402:VIL262402 UYE262402:UYP262402 UOI262402:UOT262402 UEM262402:UEX262402 TUQ262402:TVB262402 TKU262402:TLF262402 TAY262402:TBJ262402 SRC262402:SRN262402 SHG262402:SHR262402 RXK262402:RXV262402 RNO262402:RNZ262402 RDS262402:RED262402 QTW262402:QUH262402 QKA262402:QKL262402 QAE262402:QAP262402 PQI262402:PQT262402 PGM262402:PGX262402 OWQ262402:OXB262402 OMU262402:ONF262402 OCY262402:ODJ262402 NTC262402:NTN262402 NJG262402:NJR262402 MZK262402:MZV262402 MPO262402:MPZ262402 MFS262402:MGD262402 LVW262402:LWH262402 LMA262402:LML262402 LCE262402:LCP262402 KSI262402:KST262402 KIM262402:KIX262402 JYQ262402:JZB262402 JOU262402:JPF262402 JEY262402:JFJ262402 IVC262402:IVN262402 ILG262402:ILR262402 IBK262402:IBV262402 HRO262402:HRZ262402 HHS262402:HID262402 GXW262402:GYH262402 GOA262402:GOL262402 GEE262402:GEP262402 FUI262402:FUT262402 FKM262402:FKX262402 FAQ262402:FBB262402 EQU262402:ERF262402 EGY262402:EHJ262402 DXC262402:DXN262402 DNG262402:DNR262402 DDK262402:DDV262402 CTO262402:CTZ262402 CJS262402:CKD262402 BZW262402:CAH262402 BQA262402:BQL262402 BGE262402:BGP262402 AWI262402:AWT262402 AMM262402:AMX262402 ACQ262402:ADB262402 SU262402:TF262402 IY262402:JJ262402 C262402:N262402 WVK196866:WVV196866 WLO196866:WLZ196866 WBS196866:WCD196866 VRW196866:VSH196866 VIA196866:VIL196866 UYE196866:UYP196866 UOI196866:UOT196866 UEM196866:UEX196866 TUQ196866:TVB196866 TKU196866:TLF196866 TAY196866:TBJ196866 SRC196866:SRN196866 SHG196866:SHR196866 RXK196866:RXV196866 RNO196866:RNZ196866 RDS196866:RED196866 QTW196866:QUH196866 QKA196866:QKL196866 QAE196866:QAP196866 PQI196866:PQT196866 PGM196866:PGX196866 OWQ196866:OXB196866 OMU196866:ONF196866 OCY196866:ODJ196866 NTC196866:NTN196866 NJG196866:NJR196866 MZK196866:MZV196866 MPO196866:MPZ196866 MFS196866:MGD196866 LVW196866:LWH196866 LMA196866:LML196866 LCE196866:LCP196866 KSI196866:KST196866 KIM196866:KIX196866 JYQ196866:JZB196866 JOU196866:JPF196866 JEY196866:JFJ196866 IVC196866:IVN196866 ILG196866:ILR196866 IBK196866:IBV196866 HRO196866:HRZ196866 HHS196866:HID196866 GXW196866:GYH196866 GOA196866:GOL196866 GEE196866:GEP196866 FUI196866:FUT196866 FKM196866:FKX196866 FAQ196866:FBB196866 EQU196866:ERF196866 EGY196866:EHJ196866 DXC196866:DXN196866 DNG196866:DNR196866 DDK196866:DDV196866 CTO196866:CTZ196866 CJS196866:CKD196866 BZW196866:CAH196866 BQA196866:BQL196866 BGE196866:BGP196866 AWI196866:AWT196866 AMM196866:AMX196866 ACQ196866:ADB196866 SU196866:TF196866 IY196866:JJ196866 C196866:N196866 WVK131330:WVV131330 WLO131330:WLZ131330 WBS131330:WCD131330 VRW131330:VSH131330 VIA131330:VIL131330 UYE131330:UYP131330 UOI131330:UOT131330 UEM131330:UEX131330 TUQ131330:TVB131330 TKU131330:TLF131330 TAY131330:TBJ131330 SRC131330:SRN131330 SHG131330:SHR131330 RXK131330:RXV131330 RNO131330:RNZ131330 RDS131330:RED131330 QTW131330:QUH131330 QKA131330:QKL131330 QAE131330:QAP131330 PQI131330:PQT131330 PGM131330:PGX131330 OWQ131330:OXB131330 OMU131330:ONF131330 OCY131330:ODJ131330 NTC131330:NTN131330 NJG131330:NJR131330 MZK131330:MZV131330 MPO131330:MPZ131330 MFS131330:MGD131330 LVW131330:LWH131330 LMA131330:LML131330 LCE131330:LCP131330 KSI131330:KST131330 KIM131330:KIX131330 JYQ131330:JZB131330 JOU131330:JPF131330 JEY131330:JFJ131330 IVC131330:IVN131330 ILG131330:ILR131330 IBK131330:IBV131330 HRO131330:HRZ131330 HHS131330:HID131330 GXW131330:GYH131330 GOA131330:GOL131330 GEE131330:GEP131330 FUI131330:FUT131330 FKM131330:FKX131330 FAQ131330:FBB131330 EQU131330:ERF131330 EGY131330:EHJ131330 DXC131330:DXN131330 DNG131330:DNR131330 DDK131330:DDV131330 CTO131330:CTZ131330 CJS131330:CKD131330 BZW131330:CAH131330 BQA131330:BQL131330 BGE131330:BGP131330 AWI131330:AWT131330 AMM131330:AMX131330 ACQ131330:ADB131330 SU131330:TF131330 IY131330:JJ131330 C131330:N131330 WVK65794:WVV65794 WLO65794:WLZ65794 WBS65794:WCD65794 VRW65794:VSH65794 VIA65794:VIL65794 UYE65794:UYP65794 UOI65794:UOT65794 UEM65794:UEX65794 TUQ65794:TVB65794 TKU65794:TLF65794 TAY65794:TBJ65794 SRC65794:SRN65794 SHG65794:SHR65794 RXK65794:RXV65794 RNO65794:RNZ65794 RDS65794:RED65794 QTW65794:QUH65794 QKA65794:QKL65794 QAE65794:QAP65794 PQI65794:PQT65794 PGM65794:PGX65794 OWQ65794:OXB65794 OMU65794:ONF65794 OCY65794:ODJ65794 NTC65794:NTN65794 NJG65794:NJR65794 MZK65794:MZV65794 MPO65794:MPZ65794 MFS65794:MGD65794 LVW65794:LWH65794 LMA65794:LML65794 LCE65794:LCP65794 KSI65794:KST65794 KIM65794:KIX65794 JYQ65794:JZB65794 JOU65794:JPF65794 JEY65794:JFJ65794 IVC65794:IVN65794 ILG65794:ILR65794 IBK65794:IBV65794 HRO65794:HRZ65794 HHS65794:HID65794 GXW65794:GYH65794 GOA65794:GOL65794 GEE65794:GEP65794 FUI65794:FUT65794 FKM65794:FKX65794 FAQ65794:FBB65794 EQU65794:ERF65794 EGY65794:EHJ65794 DXC65794:DXN65794 DNG65794:DNR65794 DDK65794:DDV65794 CTO65794:CTZ65794 CJS65794:CKD65794 BZW65794:CAH65794 BQA65794:BQL65794 BGE65794:BGP65794 AWI65794:AWT65794 AMM65794:AMX65794 ACQ65794:ADB65794 SU65794:TF65794 IY65794:JJ65794 C65794:N65794 WVK983178:WVV983178 WLO983178:WLZ983178 WBS983178:WCD983178 VRW983178:VSH983178 VIA983178:VIL983178 UYE983178:UYP983178 UOI983178:UOT983178 UEM983178:UEX983178 TUQ983178:TVB983178 TKU983178:TLF983178 TAY983178:TBJ983178 SRC983178:SRN983178 SHG983178:SHR983178 RXK983178:RXV983178 RNO983178:RNZ983178 RDS983178:RED983178 QTW983178:QUH983178 QKA983178:QKL983178 QAE983178:QAP983178 PQI983178:PQT983178 PGM983178:PGX983178 OWQ983178:OXB983178 OMU983178:ONF983178 OCY983178:ODJ983178 NTC983178:NTN983178 NJG983178:NJR983178 MZK983178:MZV983178 MPO983178:MPZ983178 MFS983178:MGD983178 LVW983178:LWH983178 LMA983178:LML983178 LCE983178:LCP983178 KSI983178:KST983178 KIM983178:KIX983178 JYQ983178:JZB983178 JOU983178:JPF983178 JEY983178:JFJ983178 IVC983178:IVN983178 ILG983178:ILR983178 IBK983178:IBV983178 HRO983178:HRZ983178 HHS983178:HID983178 GXW983178:GYH983178 GOA983178:GOL983178 GEE983178:GEP983178 FUI983178:FUT983178 FKM983178:FKX983178 FAQ983178:FBB983178 EQU983178:ERF983178 EGY983178:EHJ983178 DXC983178:DXN983178 DNG983178:DNR983178 DDK983178:DDV983178 CTO983178:CTZ983178 CJS983178:CKD983178 BZW983178:CAH983178 BQA983178:BQL983178 BGE983178:BGP983178 AWI983178:AWT983178 AMM983178:AMX983178 ACQ983178:ADB983178 SU983178:TF983178 IY983178:JJ983178 C983178:N983178 WVK917642:WVV917642 WLO917642:WLZ917642 WBS917642:WCD917642 VRW917642:VSH917642 VIA917642:VIL917642 UYE917642:UYP917642 UOI917642:UOT917642 UEM917642:UEX917642 TUQ917642:TVB917642 TKU917642:TLF917642 TAY917642:TBJ917642 SRC917642:SRN917642 SHG917642:SHR917642 RXK917642:RXV917642 RNO917642:RNZ917642 RDS917642:RED917642 QTW917642:QUH917642 QKA917642:QKL917642 QAE917642:QAP917642 PQI917642:PQT917642 PGM917642:PGX917642 OWQ917642:OXB917642 OMU917642:ONF917642 OCY917642:ODJ917642 NTC917642:NTN917642 NJG917642:NJR917642 MZK917642:MZV917642 MPO917642:MPZ917642 MFS917642:MGD917642 LVW917642:LWH917642 LMA917642:LML917642 LCE917642:LCP917642 KSI917642:KST917642 KIM917642:KIX917642 JYQ917642:JZB917642 JOU917642:JPF917642 JEY917642:JFJ917642 IVC917642:IVN917642 ILG917642:ILR917642 IBK917642:IBV917642 HRO917642:HRZ917642 HHS917642:HID917642 GXW917642:GYH917642 GOA917642:GOL917642 GEE917642:GEP917642 FUI917642:FUT917642 FKM917642:FKX917642 FAQ917642:FBB917642 EQU917642:ERF917642 EGY917642:EHJ917642 DXC917642:DXN917642 DNG917642:DNR917642 DDK917642:DDV917642 CTO917642:CTZ917642 CJS917642:CKD917642 BZW917642:CAH917642 BQA917642:BQL917642 BGE917642:BGP917642 AWI917642:AWT917642 AMM917642:AMX917642 ACQ917642:ADB917642 SU917642:TF917642 IY917642:JJ917642 C917642:N917642 WVK852106:WVV852106 WLO852106:WLZ852106 WBS852106:WCD852106 VRW852106:VSH852106 VIA852106:VIL852106 UYE852106:UYP852106 UOI852106:UOT852106 UEM852106:UEX852106 TUQ852106:TVB852106 TKU852106:TLF852106 TAY852106:TBJ852106 SRC852106:SRN852106 SHG852106:SHR852106 RXK852106:RXV852106 RNO852106:RNZ852106 RDS852106:RED852106 QTW852106:QUH852106 QKA852106:QKL852106 QAE852106:QAP852106 PQI852106:PQT852106 PGM852106:PGX852106 OWQ852106:OXB852106 OMU852106:ONF852106 OCY852106:ODJ852106 NTC852106:NTN852106 NJG852106:NJR852106 MZK852106:MZV852106 MPO852106:MPZ852106 MFS852106:MGD852106 LVW852106:LWH852106 LMA852106:LML852106 LCE852106:LCP852106 KSI852106:KST852106 KIM852106:KIX852106 JYQ852106:JZB852106 JOU852106:JPF852106 JEY852106:JFJ852106 IVC852106:IVN852106 ILG852106:ILR852106 IBK852106:IBV852106 HRO852106:HRZ852106 HHS852106:HID852106 GXW852106:GYH852106 GOA852106:GOL852106 GEE852106:GEP852106 FUI852106:FUT852106 FKM852106:FKX852106 FAQ852106:FBB852106 EQU852106:ERF852106 EGY852106:EHJ852106 DXC852106:DXN852106 DNG852106:DNR852106 DDK852106:DDV852106 CTO852106:CTZ852106 CJS852106:CKD852106 BZW852106:CAH852106 BQA852106:BQL852106 BGE852106:BGP852106 AWI852106:AWT852106 AMM852106:AMX852106 ACQ852106:ADB852106 SU852106:TF852106 IY852106:JJ852106 C852106:N852106 WVK786570:WVV786570 WLO786570:WLZ786570 WBS786570:WCD786570 VRW786570:VSH786570 VIA786570:VIL786570 UYE786570:UYP786570 UOI786570:UOT786570 UEM786570:UEX786570 TUQ786570:TVB786570 TKU786570:TLF786570 TAY786570:TBJ786570 SRC786570:SRN786570 SHG786570:SHR786570 RXK786570:RXV786570 RNO786570:RNZ786570 RDS786570:RED786570 QTW786570:QUH786570 QKA786570:QKL786570 QAE786570:QAP786570 PQI786570:PQT786570 PGM786570:PGX786570 OWQ786570:OXB786570 OMU786570:ONF786570 OCY786570:ODJ786570 NTC786570:NTN786570 NJG786570:NJR786570 MZK786570:MZV786570 MPO786570:MPZ786570 MFS786570:MGD786570 LVW786570:LWH786570 LMA786570:LML786570 LCE786570:LCP786570 KSI786570:KST786570 KIM786570:KIX786570 JYQ786570:JZB786570 JOU786570:JPF786570 JEY786570:JFJ786570 IVC786570:IVN786570 ILG786570:ILR786570 IBK786570:IBV786570 HRO786570:HRZ786570 HHS786570:HID786570 GXW786570:GYH786570 GOA786570:GOL786570 GEE786570:GEP786570 FUI786570:FUT786570 FKM786570:FKX786570 FAQ786570:FBB786570 EQU786570:ERF786570 EGY786570:EHJ786570 DXC786570:DXN786570 DNG786570:DNR786570 DDK786570:DDV786570 CTO786570:CTZ786570 CJS786570:CKD786570 BZW786570:CAH786570 BQA786570:BQL786570 BGE786570:BGP786570 AWI786570:AWT786570 AMM786570:AMX786570 ACQ786570:ADB786570 SU786570:TF786570 IY786570:JJ786570 C786570:N786570 WVK721034:WVV721034 WLO721034:WLZ721034 WBS721034:WCD721034 VRW721034:VSH721034 VIA721034:VIL721034 UYE721034:UYP721034 UOI721034:UOT721034 UEM721034:UEX721034 TUQ721034:TVB721034 TKU721034:TLF721034 TAY721034:TBJ721034 SRC721034:SRN721034 SHG721034:SHR721034 RXK721034:RXV721034 RNO721034:RNZ721034 RDS721034:RED721034 QTW721034:QUH721034 QKA721034:QKL721034 QAE721034:QAP721034 PQI721034:PQT721034 PGM721034:PGX721034 OWQ721034:OXB721034 OMU721034:ONF721034 OCY721034:ODJ721034 NTC721034:NTN721034 NJG721034:NJR721034 MZK721034:MZV721034 MPO721034:MPZ721034 MFS721034:MGD721034 LVW721034:LWH721034 LMA721034:LML721034 LCE721034:LCP721034 KSI721034:KST721034 KIM721034:KIX721034 JYQ721034:JZB721034 JOU721034:JPF721034 JEY721034:JFJ721034 IVC721034:IVN721034 ILG721034:ILR721034 IBK721034:IBV721034 HRO721034:HRZ721034 HHS721034:HID721034 GXW721034:GYH721034 GOA721034:GOL721034 GEE721034:GEP721034 FUI721034:FUT721034 FKM721034:FKX721034 FAQ721034:FBB721034 EQU721034:ERF721034 EGY721034:EHJ721034 DXC721034:DXN721034 DNG721034:DNR721034 DDK721034:DDV721034 CTO721034:CTZ721034 CJS721034:CKD721034 BZW721034:CAH721034 BQA721034:BQL721034 BGE721034:BGP721034 AWI721034:AWT721034 AMM721034:AMX721034 ACQ721034:ADB721034 SU721034:TF721034 IY721034:JJ721034 C721034:N721034 WVK655498:WVV655498 WLO655498:WLZ655498 WBS655498:WCD655498 VRW655498:VSH655498 VIA655498:VIL655498 UYE655498:UYP655498 UOI655498:UOT655498 UEM655498:UEX655498 TUQ655498:TVB655498 TKU655498:TLF655498 TAY655498:TBJ655498 SRC655498:SRN655498 SHG655498:SHR655498 RXK655498:RXV655498 RNO655498:RNZ655498 RDS655498:RED655498 QTW655498:QUH655498 QKA655498:QKL655498 QAE655498:QAP655498 PQI655498:PQT655498 PGM655498:PGX655498 OWQ655498:OXB655498 OMU655498:ONF655498 OCY655498:ODJ655498 NTC655498:NTN655498 NJG655498:NJR655498 MZK655498:MZV655498 MPO655498:MPZ655498 MFS655498:MGD655498 LVW655498:LWH655498 LMA655498:LML655498 LCE655498:LCP655498 KSI655498:KST655498 KIM655498:KIX655498 JYQ655498:JZB655498 JOU655498:JPF655498 JEY655498:JFJ655498 IVC655498:IVN655498 ILG655498:ILR655498 IBK655498:IBV655498 HRO655498:HRZ655498 HHS655498:HID655498 GXW655498:GYH655498 GOA655498:GOL655498 GEE655498:GEP655498 FUI655498:FUT655498 FKM655498:FKX655498 FAQ655498:FBB655498 EQU655498:ERF655498 EGY655498:EHJ655498 DXC655498:DXN655498 DNG655498:DNR655498 DDK655498:DDV655498 CTO655498:CTZ655498 CJS655498:CKD655498 BZW655498:CAH655498 BQA655498:BQL655498 BGE655498:BGP655498 AWI655498:AWT655498 AMM655498:AMX655498 ACQ655498:ADB655498 SU655498:TF655498 IY655498:JJ655498 C655498:N655498 WVK589962:WVV589962 WLO589962:WLZ589962 WBS589962:WCD589962 VRW589962:VSH589962 VIA589962:VIL589962 UYE589962:UYP589962 UOI589962:UOT589962 UEM589962:UEX589962 TUQ589962:TVB589962 TKU589962:TLF589962 TAY589962:TBJ589962 SRC589962:SRN589962 SHG589962:SHR589962 RXK589962:RXV589962 RNO589962:RNZ589962 RDS589962:RED589962 QTW589962:QUH589962 QKA589962:QKL589962 QAE589962:QAP589962 PQI589962:PQT589962 PGM589962:PGX589962 OWQ589962:OXB589962 OMU589962:ONF589962 OCY589962:ODJ589962 NTC589962:NTN589962 NJG589962:NJR589962 MZK589962:MZV589962 MPO589962:MPZ589962 MFS589962:MGD589962 LVW589962:LWH589962 LMA589962:LML589962 LCE589962:LCP589962 KSI589962:KST589962 KIM589962:KIX589962 JYQ589962:JZB589962 JOU589962:JPF589962 JEY589962:JFJ589962 IVC589962:IVN589962 ILG589962:ILR589962 IBK589962:IBV589962 HRO589962:HRZ589962 HHS589962:HID589962 GXW589962:GYH589962 GOA589962:GOL589962 GEE589962:GEP589962 FUI589962:FUT589962 FKM589962:FKX589962 FAQ589962:FBB589962 EQU589962:ERF589962 EGY589962:EHJ589962 DXC589962:DXN589962 DNG589962:DNR589962 DDK589962:DDV589962 CTO589962:CTZ589962 CJS589962:CKD589962 BZW589962:CAH589962 BQA589962:BQL589962 BGE589962:BGP589962 AWI589962:AWT589962 AMM589962:AMX589962 ACQ589962:ADB589962 SU589962:TF589962 IY589962:JJ589962 C589962:N589962 WVK524426:WVV524426 WLO524426:WLZ524426 WBS524426:WCD524426 VRW524426:VSH524426 VIA524426:VIL524426 UYE524426:UYP524426 UOI524426:UOT524426 UEM524426:UEX524426 TUQ524426:TVB524426 TKU524426:TLF524426 TAY524426:TBJ524426 SRC524426:SRN524426 SHG524426:SHR524426 RXK524426:RXV524426 RNO524426:RNZ524426 RDS524426:RED524426 QTW524426:QUH524426 QKA524426:QKL524426 QAE524426:QAP524426 PQI524426:PQT524426 PGM524426:PGX524426 OWQ524426:OXB524426 OMU524426:ONF524426 OCY524426:ODJ524426 NTC524426:NTN524426 NJG524426:NJR524426 MZK524426:MZV524426 MPO524426:MPZ524426 MFS524426:MGD524426 LVW524426:LWH524426 LMA524426:LML524426 LCE524426:LCP524426 KSI524426:KST524426 KIM524426:KIX524426 JYQ524426:JZB524426 JOU524426:JPF524426 JEY524426:JFJ524426 IVC524426:IVN524426 ILG524426:ILR524426 IBK524426:IBV524426 HRO524426:HRZ524426 HHS524426:HID524426 GXW524426:GYH524426 GOA524426:GOL524426 GEE524426:GEP524426 FUI524426:FUT524426 FKM524426:FKX524426 FAQ524426:FBB524426 EQU524426:ERF524426 EGY524426:EHJ524426 DXC524426:DXN524426 DNG524426:DNR524426 DDK524426:DDV524426 CTO524426:CTZ524426 CJS524426:CKD524426 BZW524426:CAH524426 BQA524426:BQL524426 BGE524426:BGP524426 AWI524426:AWT524426 AMM524426:AMX524426 ACQ524426:ADB524426 SU524426:TF524426 IY524426:JJ524426 C524426:N524426 WVK458890:WVV458890 WLO458890:WLZ458890 WBS458890:WCD458890 VRW458890:VSH458890 VIA458890:VIL458890 UYE458890:UYP458890 UOI458890:UOT458890 UEM458890:UEX458890 TUQ458890:TVB458890 TKU458890:TLF458890 TAY458890:TBJ458890 SRC458890:SRN458890 SHG458890:SHR458890 RXK458890:RXV458890 RNO458890:RNZ458890 RDS458890:RED458890 QTW458890:QUH458890 QKA458890:QKL458890 QAE458890:QAP458890 PQI458890:PQT458890 PGM458890:PGX458890 OWQ458890:OXB458890 OMU458890:ONF458890 OCY458890:ODJ458890 NTC458890:NTN458890 NJG458890:NJR458890 MZK458890:MZV458890 MPO458890:MPZ458890 MFS458890:MGD458890 LVW458890:LWH458890 LMA458890:LML458890 LCE458890:LCP458890 KSI458890:KST458890 KIM458890:KIX458890 JYQ458890:JZB458890 JOU458890:JPF458890 JEY458890:JFJ458890 IVC458890:IVN458890 ILG458890:ILR458890 IBK458890:IBV458890 HRO458890:HRZ458890 HHS458890:HID458890 GXW458890:GYH458890 GOA458890:GOL458890 GEE458890:GEP458890 FUI458890:FUT458890 FKM458890:FKX458890 FAQ458890:FBB458890 EQU458890:ERF458890 EGY458890:EHJ458890 DXC458890:DXN458890 DNG458890:DNR458890 DDK458890:DDV458890 CTO458890:CTZ458890 CJS458890:CKD458890 BZW458890:CAH458890 BQA458890:BQL458890 BGE458890:BGP458890 AWI458890:AWT458890 AMM458890:AMX458890 ACQ458890:ADB458890 SU458890:TF458890 IY458890:JJ458890 C458890:N458890 WVK393354:WVV393354 WLO393354:WLZ393354 WBS393354:WCD393354 VRW393354:VSH393354 VIA393354:VIL393354 UYE393354:UYP393354 UOI393354:UOT393354 UEM393354:UEX393354 TUQ393354:TVB393354 TKU393354:TLF393354 TAY393354:TBJ393354 SRC393354:SRN393354 SHG393354:SHR393354 RXK393354:RXV393354 RNO393354:RNZ393354 RDS393354:RED393354 QTW393354:QUH393354 QKA393354:QKL393354 QAE393354:QAP393354 PQI393354:PQT393354 PGM393354:PGX393354 OWQ393354:OXB393354 OMU393354:ONF393354 OCY393354:ODJ393354 NTC393354:NTN393354 NJG393354:NJR393354 MZK393354:MZV393354 MPO393354:MPZ393354 MFS393354:MGD393354 LVW393354:LWH393354 LMA393354:LML393354 LCE393354:LCP393354 KSI393354:KST393354 KIM393354:KIX393354 JYQ393354:JZB393354 JOU393354:JPF393354 JEY393354:JFJ393354 IVC393354:IVN393354 ILG393354:ILR393354 IBK393354:IBV393354 HRO393354:HRZ393354 HHS393354:HID393354 GXW393354:GYH393354 GOA393354:GOL393354 GEE393354:GEP393354 FUI393354:FUT393354 FKM393354:FKX393354 FAQ393354:FBB393354 EQU393354:ERF393354 EGY393354:EHJ393354 DXC393354:DXN393354 DNG393354:DNR393354 DDK393354:DDV393354 CTO393354:CTZ393354 CJS393354:CKD393354 BZW393354:CAH393354 BQA393354:BQL393354 BGE393354:BGP393354 AWI393354:AWT393354 AMM393354:AMX393354 ACQ393354:ADB393354 SU393354:TF393354 IY393354:JJ393354 C393354:N393354 WVK327818:WVV327818 WLO327818:WLZ327818 WBS327818:WCD327818 VRW327818:VSH327818 VIA327818:VIL327818 UYE327818:UYP327818 UOI327818:UOT327818 UEM327818:UEX327818 TUQ327818:TVB327818 TKU327818:TLF327818 TAY327818:TBJ327818 SRC327818:SRN327818 SHG327818:SHR327818 RXK327818:RXV327818 RNO327818:RNZ327818 RDS327818:RED327818 QTW327818:QUH327818 QKA327818:QKL327818 QAE327818:QAP327818 PQI327818:PQT327818 PGM327818:PGX327818 OWQ327818:OXB327818 OMU327818:ONF327818 OCY327818:ODJ327818 NTC327818:NTN327818 NJG327818:NJR327818 MZK327818:MZV327818 MPO327818:MPZ327818 MFS327818:MGD327818 LVW327818:LWH327818 LMA327818:LML327818 LCE327818:LCP327818 KSI327818:KST327818 KIM327818:KIX327818 JYQ327818:JZB327818 JOU327818:JPF327818 JEY327818:JFJ327818 IVC327818:IVN327818 ILG327818:ILR327818 IBK327818:IBV327818 HRO327818:HRZ327818 HHS327818:HID327818 GXW327818:GYH327818 GOA327818:GOL327818 GEE327818:GEP327818 FUI327818:FUT327818 FKM327818:FKX327818 FAQ327818:FBB327818 EQU327818:ERF327818 EGY327818:EHJ327818 DXC327818:DXN327818 DNG327818:DNR327818 DDK327818:DDV327818 CTO327818:CTZ327818 CJS327818:CKD327818 BZW327818:CAH327818 BQA327818:BQL327818 BGE327818:BGP327818 AWI327818:AWT327818 AMM327818:AMX327818 ACQ327818:ADB327818 SU327818:TF327818 IY327818:JJ327818 C327818:N327818 WVK262282:WVV262282 WLO262282:WLZ262282 WBS262282:WCD262282 VRW262282:VSH262282 VIA262282:VIL262282 UYE262282:UYP262282 UOI262282:UOT262282 UEM262282:UEX262282 TUQ262282:TVB262282 TKU262282:TLF262282 TAY262282:TBJ262282 SRC262282:SRN262282 SHG262282:SHR262282 RXK262282:RXV262282 RNO262282:RNZ262282 RDS262282:RED262282 QTW262282:QUH262282 QKA262282:QKL262282 QAE262282:QAP262282 PQI262282:PQT262282 PGM262282:PGX262282 OWQ262282:OXB262282 OMU262282:ONF262282 OCY262282:ODJ262282 NTC262282:NTN262282 NJG262282:NJR262282 MZK262282:MZV262282 MPO262282:MPZ262282 MFS262282:MGD262282 LVW262282:LWH262282 LMA262282:LML262282 LCE262282:LCP262282 KSI262282:KST262282 KIM262282:KIX262282 JYQ262282:JZB262282 JOU262282:JPF262282 JEY262282:JFJ262282 IVC262282:IVN262282 ILG262282:ILR262282 IBK262282:IBV262282 HRO262282:HRZ262282 HHS262282:HID262282 GXW262282:GYH262282 GOA262282:GOL262282 GEE262282:GEP262282 FUI262282:FUT262282 FKM262282:FKX262282 FAQ262282:FBB262282 EQU262282:ERF262282 EGY262282:EHJ262282 DXC262282:DXN262282 DNG262282:DNR262282 DDK262282:DDV262282 CTO262282:CTZ262282 CJS262282:CKD262282 BZW262282:CAH262282 BQA262282:BQL262282 BGE262282:BGP262282 AWI262282:AWT262282 AMM262282:AMX262282 ACQ262282:ADB262282 SU262282:TF262282 IY262282:JJ262282 C262282:N262282 WVK196746:WVV196746 WLO196746:WLZ196746 WBS196746:WCD196746 VRW196746:VSH196746 VIA196746:VIL196746 UYE196746:UYP196746 UOI196746:UOT196746 UEM196746:UEX196746 TUQ196746:TVB196746 TKU196746:TLF196746 TAY196746:TBJ196746 SRC196746:SRN196746 SHG196746:SHR196746 RXK196746:RXV196746 RNO196746:RNZ196746 RDS196746:RED196746 QTW196746:QUH196746 QKA196746:QKL196746 QAE196746:QAP196746 PQI196746:PQT196746 PGM196746:PGX196746 OWQ196746:OXB196746 OMU196746:ONF196746 OCY196746:ODJ196746 NTC196746:NTN196746 NJG196746:NJR196746 MZK196746:MZV196746 MPO196746:MPZ196746 MFS196746:MGD196746 LVW196746:LWH196746 LMA196746:LML196746 LCE196746:LCP196746 KSI196746:KST196746 KIM196746:KIX196746 JYQ196746:JZB196746 JOU196746:JPF196746 JEY196746:JFJ196746 IVC196746:IVN196746 ILG196746:ILR196746 IBK196746:IBV196746 HRO196746:HRZ196746 HHS196746:HID196746 GXW196746:GYH196746 GOA196746:GOL196746 GEE196746:GEP196746 FUI196746:FUT196746 FKM196746:FKX196746 FAQ196746:FBB196746 EQU196746:ERF196746 EGY196746:EHJ196746 DXC196746:DXN196746 DNG196746:DNR196746 DDK196746:DDV196746 CTO196746:CTZ196746 CJS196746:CKD196746 BZW196746:CAH196746 BQA196746:BQL196746 BGE196746:BGP196746 AWI196746:AWT196746 AMM196746:AMX196746 ACQ196746:ADB196746 SU196746:TF196746 IY196746:JJ196746 C196746:N196746 WVK131210:WVV131210 WLO131210:WLZ131210 WBS131210:WCD131210 VRW131210:VSH131210 VIA131210:VIL131210 UYE131210:UYP131210 UOI131210:UOT131210 UEM131210:UEX131210 TUQ131210:TVB131210 TKU131210:TLF131210 TAY131210:TBJ131210 SRC131210:SRN131210 SHG131210:SHR131210 RXK131210:RXV131210 RNO131210:RNZ131210 RDS131210:RED131210 QTW131210:QUH131210 QKA131210:QKL131210 QAE131210:QAP131210 PQI131210:PQT131210 PGM131210:PGX131210 OWQ131210:OXB131210 OMU131210:ONF131210 OCY131210:ODJ131210 NTC131210:NTN131210 NJG131210:NJR131210 MZK131210:MZV131210 MPO131210:MPZ131210 MFS131210:MGD131210 LVW131210:LWH131210 LMA131210:LML131210 LCE131210:LCP131210 KSI131210:KST131210 KIM131210:KIX131210 JYQ131210:JZB131210 JOU131210:JPF131210 JEY131210:JFJ131210 IVC131210:IVN131210 ILG131210:ILR131210 IBK131210:IBV131210 HRO131210:HRZ131210 HHS131210:HID131210 GXW131210:GYH131210 GOA131210:GOL131210 GEE131210:GEP131210 FUI131210:FUT131210 FKM131210:FKX131210 FAQ131210:FBB131210 EQU131210:ERF131210 EGY131210:EHJ131210 DXC131210:DXN131210 DNG131210:DNR131210 DDK131210:DDV131210 CTO131210:CTZ131210 CJS131210:CKD131210 BZW131210:CAH131210 BQA131210:BQL131210 BGE131210:BGP131210 AWI131210:AWT131210 AMM131210:AMX131210 ACQ131210:ADB131210 SU131210:TF131210 IY131210:JJ131210 C131210:N131210 WVK65674:WVV65674 WLO65674:WLZ65674 WBS65674:WCD65674 VRW65674:VSH65674 VIA65674:VIL65674 UYE65674:UYP65674 UOI65674:UOT65674 UEM65674:UEX65674 TUQ65674:TVB65674 TKU65674:TLF65674 TAY65674:TBJ65674 SRC65674:SRN65674 SHG65674:SHR65674 RXK65674:RXV65674 RNO65674:RNZ65674 RDS65674:RED65674 QTW65674:QUH65674 QKA65674:QKL65674 QAE65674:QAP65674 PQI65674:PQT65674 PGM65674:PGX65674 OWQ65674:OXB65674 OMU65674:ONF65674 OCY65674:ODJ65674 NTC65674:NTN65674 NJG65674:NJR65674 MZK65674:MZV65674 MPO65674:MPZ65674 MFS65674:MGD65674 LVW65674:LWH65674 LMA65674:LML65674 LCE65674:LCP65674 KSI65674:KST65674 KIM65674:KIX65674 JYQ65674:JZB65674 JOU65674:JPF65674 JEY65674:JFJ65674 IVC65674:IVN65674 ILG65674:ILR65674 IBK65674:IBV65674 HRO65674:HRZ65674 HHS65674:HID65674 GXW65674:GYH65674 GOA65674:GOL65674 GEE65674:GEP65674 FUI65674:FUT65674 FKM65674:FKX65674 FAQ65674:FBB65674 EQU65674:ERF65674 EGY65674:EHJ65674 DXC65674:DXN65674 DNG65674:DNR65674 DDK65674:DDV65674 CTO65674:CTZ65674 CJS65674:CKD65674 BZW65674:CAH65674 BQA65674:BQL65674 BGE65674:BGP65674 AWI65674:AWT65674 AMM65674:AMX65674 ACQ65674:ADB65674 SU65674:TF65674 IY65674:JJ65674 C65674:N65674 WVK220:WVV220 WLO220:WLZ220 WBS220:WCD220 VRW220:VSH220 VIA220:VIL220 UYE220:UYP220 UOI220:UOT220 UEM220:UEX220 TUQ220:TVB220 TKU220:TLF220 TAY220:TBJ220 SRC220:SRN220 SHG220:SHR220 RXK220:RXV220 RNO220:RNZ220 RDS220:RED220 QTW220:QUH220 QKA220:QKL220 QAE220:QAP220 PQI220:PQT220 PGM220:PGX220 OWQ220:OXB220 OMU220:ONF220 OCY220:ODJ220 NTC220:NTN220 NJG220:NJR220 MZK220:MZV220 MPO220:MPZ220 MFS220:MGD220 LVW220:LWH220 LMA220:LML220 LCE220:LCP220 KSI220:KST220 KIM220:KIX220 JYQ220:JZB220 JOU220:JPF220 JEY220:JFJ220 IVC220:IVN220 ILG220:ILR220 IBK220:IBV220 HRO220:HRZ220 HHS220:HID220 GXW220:GYH220 GOA220:GOL220 GEE220:GEP220 FUI220:FUT220 FKM220:FKX220 FAQ220:FBB220 EQU220:ERF220 EGY220:EHJ220 DXC220:DXN220 DNG220:DNR220</xm:sqref>
        </x14:dataValidation>
        <x14:dataValidation type="list" allowBlank="1" showInputMessage="1" showErrorMessage="1">
          <x14:formula1>
            <xm:f>$A$123:$A$133</xm:f>
          </x14:formula1>
          <xm:sqref>IX137 WVJ983245 WLN983245 WBR983245 VRV983245 VHZ983245 UYD983245 UOH983245 UEL983245 TUP983245 TKT983245 TAX983245 SRB983245 SHF983245 RXJ983245 RNN983245 RDR983245 QTV983245 QJZ983245 QAD983245 PQH983245 PGL983245 OWP983245 OMT983245 OCX983245 NTB983245 NJF983245 MZJ983245 MPN983245 MFR983245 LVV983245 LLZ983245 LCD983245 KSH983245 KIL983245 JYP983245 JOT983245 JEX983245 IVB983245 ILF983245 IBJ983245 HRN983245 HHR983245 GXV983245 GNZ983245 GED983245 FUH983245 FKL983245 FAP983245 EQT983245 EGX983245 DXB983245 DNF983245 DDJ983245 CTN983245 CJR983245 BZV983245 BPZ983245 BGD983245 AWH983245 AML983245 ACP983245 ST983245 IX983245 B983245 WVJ917709 WLN917709 WBR917709 VRV917709 VHZ917709 UYD917709 UOH917709 UEL917709 TUP917709 TKT917709 TAX917709 SRB917709 SHF917709 RXJ917709 RNN917709 RDR917709 QTV917709 QJZ917709 QAD917709 PQH917709 PGL917709 OWP917709 OMT917709 OCX917709 NTB917709 NJF917709 MZJ917709 MPN917709 MFR917709 LVV917709 LLZ917709 LCD917709 KSH917709 KIL917709 JYP917709 JOT917709 JEX917709 IVB917709 ILF917709 IBJ917709 HRN917709 HHR917709 GXV917709 GNZ917709 GED917709 FUH917709 FKL917709 FAP917709 EQT917709 EGX917709 DXB917709 DNF917709 DDJ917709 CTN917709 CJR917709 BZV917709 BPZ917709 BGD917709 AWH917709 AML917709 ACP917709 ST917709 IX917709 B917709 WVJ852173 WLN852173 WBR852173 VRV852173 VHZ852173 UYD852173 UOH852173 UEL852173 TUP852173 TKT852173 TAX852173 SRB852173 SHF852173 RXJ852173 RNN852173 RDR852173 QTV852173 QJZ852173 QAD852173 PQH852173 PGL852173 OWP852173 OMT852173 OCX852173 NTB852173 NJF852173 MZJ852173 MPN852173 MFR852173 LVV852173 LLZ852173 LCD852173 KSH852173 KIL852173 JYP852173 JOT852173 JEX852173 IVB852173 ILF852173 IBJ852173 HRN852173 HHR852173 GXV852173 GNZ852173 GED852173 FUH852173 FKL852173 FAP852173 EQT852173 EGX852173 DXB852173 DNF852173 DDJ852173 CTN852173 CJR852173 BZV852173 BPZ852173 BGD852173 AWH852173 AML852173 ACP852173 ST852173 IX852173 B852173 WVJ786637 WLN786637 WBR786637 VRV786637 VHZ786637 UYD786637 UOH786637 UEL786637 TUP786637 TKT786637 TAX786637 SRB786637 SHF786637 RXJ786637 RNN786637 RDR786637 QTV786637 QJZ786637 QAD786637 PQH786637 PGL786637 OWP786637 OMT786637 OCX786637 NTB786637 NJF786637 MZJ786637 MPN786637 MFR786637 LVV786637 LLZ786637 LCD786637 KSH786637 KIL786637 JYP786637 JOT786637 JEX786637 IVB786637 ILF786637 IBJ786637 HRN786637 HHR786637 GXV786637 GNZ786637 GED786637 FUH786637 FKL786637 FAP786637 EQT786637 EGX786637 DXB786637 DNF786637 DDJ786637 CTN786637 CJR786637 BZV786637 BPZ786637 BGD786637 AWH786637 AML786637 ACP786637 ST786637 IX786637 B786637 WVJ721101 WLN721101 WBR721101 VRV721101 VHZ721101 UYD721101 UOH721101 UEL721101 TUP721101 TKT721101 TAX721101 SRB721101 SHF721101 RXJ721101 RNN721101 RDR721101 QTV721101 QJZ721101 QAD721101 PQH721101 PGL721101 OWP721101 OMT721101 OCX721101 NTB721101 NJF721101 MZJ721101 MPN721101 MFR721101 LVV721101 LLZ721101 LCD721101 KSH721101 KIL721101 JYP721101 JOT721101 JEX721101 IVB721101 ILF721101 IBJ721101 HRN721101 HHR721101 GXV721101 GNZ721101 GED721101 FUH721101 FKL721101 FAP721101 EQT721101 EGX721101 DXB721101 DNF721101 DDJ721101 CTN721101 CJR721101 BZV721101 BPZ721101 BGD721101 AWH721101 AML721101 ACP721101 ST721101 IX721101 B721101 WVJ655565 WLN655565 WBR655565 VRV655565 VHZ655565 UYD655565 UOH655565 UEL655565 TUP655565 TKT655565 TAX655565 SRB655565 SHF655565 RXJ655565 RNN655565 RDR655565 QTV655565 QJZ655565 QAD655565 PQH655565 PGL655565 OWP655565 OMT655565 OCX655565 NTB655565 NJF655565 MZJ655565 MPN655565 MFR655565 LVV655565 LLZ655565 LCD655565 KSH655565 KIL655565 JYP655565 JOT655565 JEX655565 IVB655565 ILF655565 IBJ655565 HRN655565 HHR655565 GXV655565 GNZ655565 GED655565 FUH655565 FKL655565 FAP655565 EQT655565 EGX655565 DXB655565 DNF655565 DDJ655565 CTN655565 CJR655565 BZV655565 BPZ655565 BGD655565 AWH655565 AML655565 ACP655565 ST655565 IX655565 B655565 WVJ590029 WLN590029 WBR590029 VRV590029 VHZ590029 UYD590029 UOH590029 UEL590029 TUP590029 TKT590029 TAX590029 SRB590029 SHF590029 RXJ590029 RNN590029 RDR590029 QTV590029 QJZ590029 QAD590029 PQH590029 PGL590029 OWP590029 OMT590029 OCX590029 NTB590029 NJF590029 MZJ590029 MPN590029 MFR590029 LVV590029 LLZ590029 LCD590029 KSH590029 KIL590029 JYP590029 JOT590029 JEX590029 IVB590029 ILF590029 IBJ590029 HRN590029 HHR590029 GXV590029 GNZ590029 GED590029 FUH590029 FKL590029 FAP590029 EQT590029 EGX590029 DXB590029 DNF590029 DDJ590029 CTN590029 CJR590029 BZV590029 BPZ590029 BGD590029 AWH590029 AML590029 ACP590029 ST590029 IX590029 B590029 WVJ524493 WLN524493 WBR524493 VRV524493 VHZ524493 UYD524493 UOH524493 UEL524493 TUP524493 TKT524493 TAX524493 SRB524493 SHF524493 RXJ524493 RNN524493 RDR524493 QTV524493 QJZ524493 QAD524493 PQH524493 PGL524493 OWP524493 OMT524493 OCX524493 NTB524493 NJF524493 MZJ524493 MPN524493 MFR524493 LVV524493 LLZ524493 LCD524493 KSH524493 KIL524493 JYP524493 JOT524493 JEX524493 IVB524493 ILF524493 IBJ524493 HRN524493 HHR524493 GXV524493 GNZ524493 GED524493 FUH524493 FKL524493 FAP524493 EQT524493 EGX524493 DXB524493 DNF524493 DDJ524493 CTN524493 CJR524493 BZV524493 BPZ524493 BGD524493 AWH524493 AML524493 ACP524493 ST524493 IX524493 B524493 WVJ458957 WLN458957 WBR458957 VRV458957 VHZ458957 UYD458957 UOH458957 UEL458957 TUP458957 TKT458957 TAX458957 SRB458957 SHF458957 RXJ458957 RNN458957 RDR458957 QTV458957 QJZ458957 QAD458957 PQH458957 PGL458957 OWP458957 OMT458957 OCX458957 NTB458957 NJF458957 MZJ458957 MPN458957 MFR458957 LVV458957 LLZ458957 LCD458957 KSH458957 KIL458957 JYP458957 JOT458957 JEX458957 IVB458957 ILF458957 IBJ458957 HRN458957 HHR458957 GXV458957 GNZ458957 GED458957 FUH458957 FKL458957 FAP458957 EQT458957 EGX458957 DXB458957 DNF458957 DDJ458957 CTN458957 CJR458957 BZV458957 BPZ458957 BGD458957 AWH458957 AML458957 ACP458957 ST458957 IX458957 B458957 WVJ393421 WLN393421 WBR393421 VRV393421 VHZ393421 UYD393421 UOH393421 UEL393421 TUP393421 TKT393421 TAX393421 SRB393421 SHF393421 RXJ393421 RNN393421 RDR393421 QTV393421 QJZ393421 QAD393421 PQH393421 PGL393421 OWP393421 OMT393421 OCX393421 NTB393421 NJF393421 MZJ393421 MPN393421 MFR393421 LVV393421 LLZ393421 LCD393421 KSH393421 KIL393421 JYP393421 JOT393421 JEX393421 IVB393421 ILF393421 IBJ393421 HRN393421 HHR393421 GXV393421 GNZ393421 GED393421 FUH393421 FKL393421 FAP393421 EQT393421 EGX393421 DXB393421 DNF393421 DDJ393421 CTN393421 CJR393421 BZV393421 BPZ393421 BGD393421 AWH393421 AML393421 ACP393421 ST393421 IX393421 B393421 WVJ327885 WLN327885 WBR327885 VRV327885 VHZ327885 UYD327885 UOH327885 UEL327885 TUP327885 TKT327885 TAX327885 SRB327885 SHF327885 RXJ327885 RNN327885 RDR327885 QTV327885 QJZ327885 QAD327885 PQH327885 PGL327885 OWP327885 OMT327885 OCX327885 NTB327885 NJF327885 MZJ327885 MPN327885 MFR327885 LVV327885 LLZ327885 LCD327885 KSH327885 KIL327885 JYP327885 JOT327885 JEX327885 IVB327885 ILF327885 IBJ327885 HRN327885 HHR327885 GXV327885 GNZ327885 GED327885 FUH327885 FKL327885 FAP327885 EQT327885 EGX327885 DXB327885 DNF327885 DDJ327885 CTN327885 CJR327885 BZV327885 BPZ327885 BGD327885 AWH327885 AML327885 ACP327885 ST327885 IX327885 B327885 WVJ262349 WLN262349 WBR262349 VRV262349 VHZ262349 UYD262349 UOH262349 UEL262349 TUP262349 TKT262349 TAX262349 SRB262349 SHF262349 RXJ262349 RNN262349 RDR262349 QTV262349 QJZ262349 QAD262349 PQH262349 PGL262349 OWP262349 OMT262349 OCX262349 NTB262349 NJF262349 MZJ262349 MPN262349 MFR262349 LVV262349 LLZ262349 LCD262349 KSH262349 KIL262349 JYP262349 JOT262349 JEX262349 IVB262349 ILF262349 IBJ262349 HRN262349 HHR262349 GXV262349 GNZ262349 GED262349 FUH262349 FKL262349 FAP262349 EQT262349 EGX262349 DXB262349 DNF262349 DDJ262349 CTN262349 CJR262349 BZV262349 BPZ262349 BGD262349 AWH262349 AML262349 ACP262349 ST262349 IX262349 B262349 WVJ196813 WLN196813 WBR196813 VRV196813 VHZ196813 UYD196813 UOH196813 UEL196813 TUP196813 TKT196813 TAX196813 SRB196813 SHF196813 RXJ196813 RNN196813 RDR196813 QTV196813 QJZ196813 QAD196813 PQH196813 PGL196813 OWP196813 OMT196813 OCX196813 NTB196813 NJF196813 MZJ196813 MPN196813 MFR196813 LVV196813 LLZ196813 LCD196813 KSH196813 KIL196813 JYP196813 JOT196813 JEX196813 IVB196813 ILF196813 IBJ196813 HRN196813 HHR196813 GXV196813 GNZ196813 GED196813 FUH196813 FKL196813 FAP196813 EQT196813 EGX196813 DXB196813 DNF196813 DDJ196813 CTN196813 CJR196813 BZV196813 BPZ196813 BGD196813 AWH196813 AML196813 ACP196813 ST196813 IX196813 B196813 WVJ131277 WLN131277 WBR131277 VRV131277 VHZ131277 UYD131277 UOH131277 UEL131277 TUP131277 TKT131277 TAX131277 SRB131277 SHF131277 RXJ131277 RNN131277 RDR131277 QTV131277 QJZ131277 QAD131277 PQH131277 PGL131277 OWP131277 OMT131277 OCX131277 NTB131277 NJF131277 MZJ131277 MPN131277 MFR131277 LVV131277 LLZ131277 LCD131277 KSH131277 KIL131277 JYP131277 JOT131277 JEX131277 IVB131277 ILF131277 IBJ131277 HRN131277 HHR131277 GXV131277 GNZ131277 GED131277 FUH131277 FKL131277 FAP131277 EQT131277 EGX131277 DXB131277 DNF131277 DDJ131277 CTN131277 CJR131277 BZV131277 BPZ131277 BGD131277 AWH131277 AML131277 ACP131277 ST131277 IX131277 B131277 WVJ65741 WLN65741 WBR65741 VRV65741 VHZ65741 UYD65741 UOH65741 UEL65741 TUP65741 TKT65741 TAX65741 SRB65741 SHF65741 RXJ65741 RNN65741 RDR65741 QTV65741 QJZ65741 QAD65741 PQH65741 PGL65741 OWP65741 OMT65741 OCX65741 NTB65741 NJF65741 MZJ65741 MPN65741 MFR65741 LVV65741 LLZ65741 LCD65741 KSH65741 KIL65741 JYP65741 JOT65741 JEX65741 IVB65741 ILF65741 IBJ65741 HRN65741 HHR65741 GXV65741 GNZ65741 GED65741 FUH65741 FKL65741 FAP65741 EQT65741 EGX65741 DXB65741 DNF65741 DDJ65741 CTN65741 CJR65741 BZV65741 BPZ65741 BGD65741 AWH65741 AML65741 ACP65741 ST65741 IX65741 B65741 WVJ287 WLN287 WBR287 VRV287 VHZ287 UYD287 UOH287 UEL287 TUP287 TKT287 TAX287 SRB287 SHF287 RXJ287 RNN287 RDR287 QTV287 QJZ287 QAD287 PQH287 PGL287 OWP287 OMT287 OCX287 NTB287 NJF287 MZJ287 MPN287 MFR287 LVV287 LLZ287 LCD287 KSH287 KIL287 JYP287 JOT287 JEX287 IVB287 ILF287 IBJ287 HRN287 HHR287 GXV287 GNZ287 GED287 FUH287 FKL287 FAP287 EQT287 EGX287 DXB287 DNF287 DDJ287 CTN287 CJR287 BZV287 BPZ287 BGD287 AWH287 AML287 ACP287 ST287 IX287 DDJ137 WVJ983230 WLN983230 WBR983230 VRV983230 VHZ983230 UYD983230 UOH983230 UEL983230 TUP983230 TKT983230 TAX983230 SRB983230 SHF983230 RXJ983230 RNN983230 RDR983230 QTV983230 QJZ983230 QAD983230 PQH983230 PGL983230 OWP983230 OMT983230 OCX983230 NTB983230 NJF983230 MZJ983230 MPN983230 MFR983230 LVV983230 LLZ983230 LCD983230 KSH983230 KIL983230 JYP983230 JOT983230 JEX983230 IVB983230 ILF983230 IBJ983230 HRN983230 HHR983230 GXV983230 GNZ983230 GED983230 FUH983230 FKL983230 FAP983230 EQT983230 EGX983230 DXB983230 DNF983230 DDJ983230 CTN983230 CJR983230 BZV983230 BPZ983230 BGD983230 AWH983230 AML983230 ACP983230 ST983230 IX983230 B983230 WVJ917694 WLN917694 WBR917694 VRV917694 VHZ917694 UYD917694 UOH917694 UEL917694 TUP917694 TKT917694 TAX917694 SRB917694 SHF917694 RXJ917694 RNN917694 RDR917694 QTV917694 QJZ917694 QAD917694 PQH917694 PGL917694 OWP917694 OMT917694 OCX917694 NTB917694 NJF917694 MZJ917694 MPN917694 MFR917694 LVV917694 LLZ917694 LCD917694 KSH917694 KIL917694 JYP917694 JOT917694 JEX917694 IVB917694 ILF917694 IBJ917694 HRN917694 HHR917694 GXV917694 GNZ917694 GED917694 FUH917694 FKL917694 FAP917694 EQT917694 EGX917694 DXB917694 DNF917694 DDJ917694 CTN917694 CJR917694 BZV917694 BPZ917694 BGD917694 AWH917694 AML917694 ACP917694 ST917694 IX917694 B917694 WVJ852158 WLN852158 WBR852158 VRV852158 VHZ852158 UYD852158 UOH852158 UEL852158 TUP852158 TKT852158 TAX852158 SRB852158 SHF852158 RXJ852158 RNN852158 RDR852158 QTV852158 QJZ852158 QAD852158 PQH852158 PGL852158 OWP852158 OMT852158 OCX852158 NTB852158 NJF852158 MZJ852158 MPN852158 MFR852158 LVV852158 LLZ852158 LCD852158 KSH852158 KIL852158 JYP852158 JOT852158 JEX852158 IVB852158 ILF852158 IBJ852158 HRN852158 HHR852158 GXV852158 GNZ852158 GED852158 FUH852158 FKL852158 FAP852158 EQT852158 EGX852158 DXB852158 DNF852158 DDJ852158 CTN852158 CJR852158 BZV852158 BPZ852158 BGD852158 AWH852158 AML852158 ACP852158 ST852158 IX852158 B852158 WVJ786622 WLN786622 WBR786622 VRV786622 VHZ786622 UYD786622 UOH786622 UEL786622 TUP786622 TKT786622 TAX786622 SRB786622 SHF786622 RXJ786622 RNN786622 RDR786622 QTV786622 QJZ786622 QAD786622 PQH786622 PGL786622 OWP786622 OMT786622 OCX786622 NTB786622 NJF786622 MZJ786622 MPN786622 MFR786622 LVV786622 LLZ786622 LCD786622 KSH786622 KIL786622 JYP786622 JOT786622 JEX786622 IVB786622 ILF786622 IBJ786622 HRN786622 HHR786622 GXV786622 GNZ786622 GED786622 FUH786622 FKL786622 FAP786622 EQT786622 EGX786622 DXB786622 DNF786622 DDJ786622 CTN786622 CJR786622 BZV786622 BPZ786622 BGD786622 AWH786622 AML786622 ACP786622 ST786622 IX786622 B786622 WVJ721086 WLN721086 WBR721086 VRV721086 VHZ721086 UYD721086 UOH721086 UEL721086 TUP721086 TKT721086 TAX721086 SRB721086 SHF721086 RXJ721086 RNN721086 RDR721086 QTV721086 QJZ721086 QAD721086 PQH721086 PGL721086 OWP721086 OMT721086 OCX721086 NTB721086 NJF721086 MZJ721086 MPN721086 MFR721086 LVV721086 LLZ721086 LCD721086 KSH721086 KIL721086 JYP721086 JOT721086 JEX721086 IVB721086 ILF721086 IBJ721086 HRN721086 HHR721086 GXV721086 GNZ721086 GED721086 FUH721086 FKL721086 FAP721086 EQT721086 EGX721086 DXB721086 DNF721086 DDJ721086 CTN721086 CJR721086 BZV721086 BPZ721086 BGD721086 AWH721086 AML721086 ACP721086 ST721086 IX721086 B721086 WVJ655550 WLN655550 WBR655550 VRV655550 VHZ655550 UYD655550 UOH655550 UEL655550 TUP655550 TKT655550 TAX655550 SRB655550 SHF655550 RXJ655550 RNN655550 RDR655550 QTV655550 QJZ655550 QAD655550 PQH655550 PGL655550 OWP655550 OMT655550 OCX655550 NTB655550 NJF655550 MZJ655550 MPN655550 MFR655550 LVV655550 LLZ655550 LCD655550 KSH655550 KIL655550 JYP655550 JOT655550 JEX655550 IVB655550 ILF655550 IBJ655550 HRN655550 HHR655550 GXV655550 GNZ655550 GED655550 FUH655550 FKL655550 FAP655550 EQT655550 EGX655550 DXB655550 DNF655550 DDJ655550 CTN655550 CJR655550 BZV655550 BPZ655550 BGD655550 AWH655550 AML655550 ACP655550 ST655550 IX655550 B655550 WVJ590014 WLN590014 WBR590014 VRV590014 VHZ590014 UYD590014 UOH590014 UEL590014 TUP590014 TKT590014 TAX590014 SRB590014 SHF590014 RXJ590014 RNN590014 RDR590014 QTV590014 QJZ590014 QAD590014 PQH590014 PGL590014 OWP590014 OMT590014 OCX590014 NTB590014 NJF590014 MZJ590014 MPN590014 MFR590014 LVV590014 LLZ590014 LCD590014 KSH590014 KIL590014 JYP590014 JOT590014 JEX590014 IVB590014 ILF590014 IBJ590014 HRN590014 HHR590014 GXV590014 GNZ590014 GED590014 FUH590014 FKL590014 FAP590014 EQT590014 EGX590014 DXB590014 DNF590014 DDJ590014 CTN590014 CJR590014 BZV590014 BPZ590014 BGD590014 AWH590014 AML590014 ACP590014 ST590014 IX590014 B590014 WVJ524478 WLN524478 WBR524478 VRV524478 VHZ524478 UYD524478 UOH524478 UEL524478 TUP524478 TKT524478 TAX524478 SRB524478 SHF524478 RXJ524478 RNN524478 RDR524478 QTV524478 QJZ524478 QAD524478 PQH524478 PGL524478 OWP524478 OMT524478 OCX524478 NTB524478 NJF524478 MZJ524478 MPN524478 MFR524478 LVV524478 LLZ524478 LCD524478 KSH524478 KIL524478 JYP524478 JOT524478 JEX524478 IVB524478 ILF524478 IBJ524478 HRN524478 HHR524478 GXV524478 GNZ524478 GED524478 FUH524478 FKL524478 FAP524478 EQT524478 EGX524478 DXB524478 DNF524478 DDJ524478 CTN524478 CJR524478 BZV524478 BPZ524478 BGD524478 AWH524478 AML524478 ACP524478 ST524478 IX524478 B524478 WVJ458942 WLN458942 WBR458942 VRV458942 VHZ458942 UYD458942 UOH458942 UEL458942 TUP458942 TKT458942 TAX458942 SRB458942 SHF458942 RXJ458942 RNN458942 RDR458942 QTV458942 QJZ458942 QAD458942 PQH458942 PGL458942 OWP458942 OMT458942 OCX458942 NTB458942 NJF458942 MZJ458942 MPN458942 MFR458942 LVV458942 LLZ458942 LCD458942 KSH458942 KIL458942 JYP458942 JOT458942 JEX458942 IVB458942 ILF458942 IBJ458942 HRN458942 HHR458942 GXV458942 GNZ458942 GED458942 FUH458942 FKL458942 FAP458942 EQT458942 EGX458942 DXB458942 DNF458942 DDJ458942 CTN458942 CJR458942 BZV458942 BPZ458942 BGD458942 AWH458942 AML458942 ACP458942 ST458942 IX458942 B458942 WVJ393406 WLN393406 WBR393406 VRV393406 VHZ393406 UYD393406 UOH393406 UEL393406 TUP393406 TKT393406 TAX393406 SRB393406 SHF393406 RXJ393406 RNN393406 RDR393406 QTV393406 QJZ393406 QAD393406 PQH393406 PGL393406 OWP393406 OMT393406 OCX393406 NTB393406 NJF393406 MZJ393406 MPN393406 MFR393406 LVV393406 LLZ393406 LCD393406 KSH393406 KIL393406 JYP393406 JOT393406 JEX393406 IVB393406 ILF393406 IBJ393406 HRN393406 HHR393406 GXV393406 GNZ393406 GED393406 FUH393406 FKL393406 FAP393406 EQT393406 EGX393406 DXB393406 DNF393406 DDJ393406 CTN393406 CJR393406 BZV393406 BPZ393406 BGD393406 AWH393406 AML393406 ACP393406 ST393406 IX393406 B393406 WVJ327870 WLN327870 WBR327870 VRV327870 VHZ327870 UYD327870 UOH327870 UEL327870 TUP327870 TKT327870 TAX327870 SRB327870 SHF327870 RXJ327870 RNN327870 RDR327870 QTV327870 QJZ327870 QAD327870 PQH327870 PGL327870 OWP327870 OMT327870 OCX327870 NTB327870 NJF327870 MZJ327870 MPN327870 MFR327870 LVV327870 LLZ327870 LCD327870 KSH327870 KIL327870 JYP327870 JOT327870 JEX327870 IVB327870 ILF327870 IBJ327870 HRN327870 HHR327870 GXV327870 GNZ327870 GED327870 FUH327870 FKL327870 FAP327870 EQT327870 EGX327870 DXB327870 DNF327870 DDJ327870 CTN327870 CJR327870 BZV327870 BPZ327870 BGD327870 AWH327870 AML327870 ACP327870 ST327870 IX327870 B327870 WVJ262334 WLN262334 WBR262334 VRV262334 VHZ262334 UYD262334 UOH262334 UEL262334 TUP262334 TKT262334 TAX262334 SRB262334 SHF262334 RXJ262334 RNN262334 RDR262334 QTV262334 QJZ262334 QAD262334 PQH262334 PGL262334 OWP262334 OMT262334 OCX262334 NTB262334 NJF262334 MZJ262334 MPN262334 MFR262334 LVV262334 LLZ262334 LCD262334 KSH262334 KIL262334 JYP262334 JOT262334 JEX262334 IVB262334 ILF262334 IBJ262334 HRN262334 HHR262334 GXV262334 GNZ262334 GED262334 FUH262334 FKL262334 FAP262334 EQT262334 EGX262334 DXB262334 DNF262334 DDJ262334 CTN262334 CJR262334 BZV262334 BPZ262334 BGD262334 AWH262334 AML262334 ACP262334 ST262334 IX262334 B262334 WVJ196798 WLN196798 WBR196798 VRV196798 VHZ196798 UYD196798 UOH196798 UEL196798 TUP196798 TKT196798 TAX196798 SRB196798 SHF196798 RXJ196798 RNN196798 RDR196798 QTV196798 QJZ196798 QAD196798 PQH196798 PGL196798 OWP196798 OMT196798 OCX196798 NTB196798 NJF196798 MZJ196798 MPN196798 MFR196798 LVV196798 LLZ196798 LCD196798 KSH196798 KIL196798 JYP196798 JOT196798 JEX196798 IVB196798 ILF196798 IBJ196798 HRN196798 HHR196798 GXV196798 GNZ196798 GED196798 FUH196798 FKL196798 FAP196798 EQT196798 EGX196798 DXB196798 DNF196798 DDJ196798 CTN196798 CJR196798 BZV196798 BPZ196798 BGD196798 AWH196798 AML196798 ACP196798 ST196798 IX196798 B196798 WVJ131262 WLN131262 WBR131262 VRV131262 VHZ131262 UYD131262 UOH131262 UEL131262 TUP131262 TKT131262 TAX131262 SRB131262 SHF131262 RXJ131262 RNN131262 RDR131262 QTV131262 QJZ131262 QAD131262 PQH131262 PGL131262 OWP131262 OMT131262 OCX131262 NTB131262 NJF131262 MZJ131262 MPN131262 MFR131262 LVV131262 LLZ131262 LCD131262 KSH131262 KIL131262 JYP131262 JOT131262 JEX131262 IVB131262 ILF131262 IBJ131262 HRN131262 HHR131262 GXV131262 GNZ131262 GED131262 FUH131262 FKL131262 FAP131262 EQT131262 EGX131262 DXB131262 DNF131262 DDJ131262 CTN131262 CJR131262 BZV131262 BPZ131262 BGD131262 AWH131262 AML131262 ACP131262 ST131262 IX131262 B131262 WVJ65726 WLN65726 WBR65726 VRV65726 VHZ65726 UYD65726 UOH65726 UEL65726 TUP65726 TKT65726 TAX65726 SRB65726 SHF65726 RXJ65726 RNN65726 RDR65726 QTV65726 QJZ65726 QAD65726 PQH65726 PGL65726 OWP65726 OMT65726 OCX65726 NTB65726 NJF65726 MZJ65726 MPN65726 MFR65726 LVV65726 LLZ65726 LCD65726 KSH65726 KIL65726 JYP65726 JOT65726 JEX65726 IVB65726 ILF65726 IBJ65726 HRN65726 HHR65726 GXV65726 GNZ65726 GED65726 FUH65726 FKL65726 FAP65726 EQT65726 EGX65726 DXB65726 DNF65726 DDJ65726 CTN65726 CJR65726 BZV65726 BPZ65726 BGD65726 AWH65726 AML65726 ACP65726 ST65726 IX65726 B65726 WVJ272 WLN272 WBR272 VRV272 VHZ272 UYD272 UOH272 UEL272 TUP272 TKT272 TAX272 SRB272 SHF272 RXJ272 RNN272 RDR272 QTV272 QJZ272 QAD272 PQH272 PGL272 OWP272 OMT272 OCX272 NTB272 NJF272 MZJ272 MPN272 MFR272 LVV272 LLZ272 LCD272 KSH272 KIL272 JYP272 JOT272 JEX272 IVB272 ILF272 IBJ272 HRN272 HHR272 GXV272 GNZ272 GED272 FUH272 FKL272 FAP272 EQT272 EGX272 DXB272 DNF272 DDJ272 CTN272 CJR272 BZV272 BPZ272 BGD272 AWH272 AML272 ACP272 ST272 IX272 CTN137 WVJ983215 WLN983215 WBR983215 VRV983215 VHZ983215 UYD983215 UOH983215 UEL983215 TUP983215 TKT983215 TAX983215 SRB983215 SHF983215 RXJ983215 RNN983215 RDR983215 QTV983215 QJZ983215 QAD983215 PQH983215 PGL983215 OWP983215 OMT983215 OCX983215 NTB983215 NJF983215 MZJ983215 MPN983215 MFR983215 LVV983215 LLZ983215 LCD983215 KSH983215 KIL983215 JYP983215 JOT983215 JEX983215 IVB983215 ILF983215 IBJ983215 HRN983215 HHR983215 GXV983215 GNZ983215 GED983215 FUH983215 FKL983215 FAP983215 EQT983215 EGX983215 DXB983215 DNF983215 DDJ983215 CTN983215 CJR983215 BZV983215 BPZ983215 BGD983215 AWH983215 AML983215 ACP983215 ST983215 IX983215 B983215 WVJ917679 WLN917679 WBR917679 VRV917679 VHZ917679 UYD917679 UOH917679 UEL917679 TUP917679 TKT917679 TAX917679 SRB917679 SHF917679 RXJ917679 RNN917679 RDR917679 QTV917679 QJZ917679 QAD917679 PQH917679 PGL917679 OWP917679 OMT917679 OCX917679 NTB917679 NJF917679 MZJ917679 MPN917679 MFR917679 LVV917679 LLZ917679 LCD917679 KSH917679 KIL917679 JYP917679 JOT917679 JEX917679 IVB917679 ILF917679 IBJ917679 HRN917679 HHR917679 GXV917679 GNZ917679 GED917679 FUH917679 FKL917679 FAP917679 EQT917679 EGX917679 DXB917679 DNF917679 DDJ917679 CTN917679 CJR917679 BZV917679 BPZ917679 BGD917679 AWH917679 AML917679 ACP917679 ST917679 IX917679 B917679 WVJ852143 WLN852143 WBR852143 VRV852143 VHZ852143 UYD852143 UOH852143 UEL852143 TUP852143 TKT852143 TAX852143 SRB852143 SHF852143 RXJ852143 RNN852143 RDR852143 QTV852143 QJZ852143 QAD852143 PQH852143 PGL852143 OWP852143 OMT852143 OCX852143 NTB852143 NJF852143 MZJ852143 MPN852143 MFR852143 LVV852143 LLZ852143 LCD852143 KSH852143 KIL852143 JYP852143 JOT852143 JEX852143 IVB852143 ILF852143 IBJ852143 HRN852143 HHR852143 GXV852143 GNZ852143 GED852143 FUH852143 FKL852143 FAP852143 EQT852143 EGX852143 DXB852143 DNF852143 DDJ852143 CTN852143 CJR852143 BZV852143 BPZ852143 BGD852143 AWH852143 AML852143 ACP852143 ST852143 IX852143 B852143 WVJ786607 WLN786607 WBR786607 VRV786607 VHZ786607 UYD786607 UOH786607 UEL786607 TUP786607 TKT786607 TAX786607 SRB786607 SHF786607 RXJ786607 RNN786607 RDR786607 QTV786607 QJZ786607 QAD786607 PQH786607 PGL786607 OWP786607 OMT786607 OCX786607 NTB786607 NJF786607 MZJ786607 MPN786607 MFR786607 LVV786607 LLZ786607 LCD786607 KSH786607 KIL786607 JYP786607 JOT786607 JEX786607 IVB786607 ILF786607 IBJ786607 HRN786607 HHR786607 GXV786607 GNZ786607 GED786607 FUH786607 FKL786607 FAP786607 EQT786607 EGX786607 DXB786607 DNF786607 DDJ786607 CTN786607 CJR786607 BZV786607 BPZ786607 BGD786607 AWH786607 AML786607 ACP786607 ST786607 IX786607 B786607 WVJ721071 WLN721071 WBR721071 VRV721071 VHZ721071 UYD721071 UOH721071 UEL721071 TUP721071 TKT721071 TAX721071 SRB721071 SHF721071 RXJ721071 RNN721071 RDR721071 QTV721071 QJZ721071 QAD721071 PQH721071 PGL721071 OWP721071 OMT721071 OCX721071 NTB721071 NJF721071 MZJ721071 MPN721071 MFR721071 LVV721071 LLZ721071 LCD721071 KSH721071 KIL721071 JYP721071 JOT721071 JEX721071 IVB721071 ILF721071 IBJ721071 HRN721071 HHR721071 GXV721071 GNZ721071 GED721071 FUH721071 FKL721071 FAP721071 EQT721071 EGX721071 DXB721071 DNF721071 DDJ721071 CTN721071 CJR721071 BZV721071 BPZ721071 BGD721071 AWH721071 AML721071 ACP721071 ST721071 IX721071 B721071 WVJ655535 WLN655535 WBR655535 VRV655535 VHZ655535 UYD655535 UOH655535 UEL655535 TUP655535 TKT655535 TAX655535 SRB655535 SHF655535 RXJ655535 RNN655535 RDR655535 QTV655535 QJZ655535 QAD655535 PQH655535 PGL655535 OWP655535 OMT655535 OCX655535 NTB655535 NJF655535 MZJ655535 MPN655535 MFR655535 LVV655535 LLZ655535 LCD655535 KSH655535 KIL655535 JYP655535 JOT655535 JEX655535 IVB655535 ILF655535 IBJ655535 HRN655535 HHR655535 GXV655535 GNZ655535 GED655535 FUH655535 FKL655535 FAP655535 EQT655535 EGX655535 DXB655535 DNF655535 DDJ655535 CTN655535 CJR655535 BZV655535 BPZ655535 BGD655535 AWH655535 AML655535 ACP655535 ST655535 IX655535 B655535 WVJ589999 WLN589999 WBR589999 VRV589999 VHZ589999 UYD589999 UOH589999 UEL589999 TUP589999 TKT589999 TAX589999 SRB589999 SHF589999 RXJ589999 RNN589999 RDR589999 QTV589999 QJZ589999 QAD589999 PQH589999 PGL589999 OWP589999 OMT589999 OCX589999 NTB589999 NJF589999 MZJ589999 MPN589999 MFR589999 LVV589999 LLZ589999 LCD589999 KSH589999 KIL589999 JYP589999 JOT589999 JEX589999 IVB589999 ILF589999 IBJ589999 HRN589999 HHR589999 GXV589999 GNZ589999 GED589999 FUH589999 FKL589999 FAP589999 EQT589999 EGX589999 DXB589999 DNF589999 DDJ589999 CTN589999 CJR589999 BZV589999 BPZ589999 BGD589999 AWH589999 AML589999 ACP589999 ST589999 IX589999 B589999 WVJ524463 WLN524463 WBR524463 VRV524463 VHZ524463 UYD524463 UOH524463 UEL524463 TUP524463 TKT524463 TAX524463 SRB524463 SHF524463 RXJ524463 RNN524463 RDR524463 QTV524463 QJZ524463 QAD524463 PQH524463 PGL524463 OWP524463 OMT524463 OCX524463 NTB524463 NJF524463 MZJ524463 MPN524463 MFR524463 LVV524463 LLZ524463 LCD524463 KSH524463 KIL524463 JYP524463 JOT524463 JEX524463 IVB524463 ILF524463 IBJ524463 HRN524463 HHR524463 GXV524463 GNZ524463 GED524463 FUH524463 FKL524463 FAP524463 EQT524463 EGX524463 DXB524463 DNF524463 DDJ524463 CTN524463 CJR524463 BZV524463 BPZ524463 BGD524463 AWH524463 AML524463 ACP524463 ST524463 IX524463 B524463 WVJ458927 WLN458927 WBR458927 VRV458927 VHZ458927 UYD458927 UOH458927 UEL458927 TUP458927 TKT458927 TAX458927 SRB458927 SHF458927 RXJ458927 RNN458927 RDR458927 QTV458927 QJZ458927 QAD458927 PQH458927 PGL458927 OWP458927 OMT458927 OCX458927 NTB458927 NJF458927 MZJ458927 MPN458927 MFR458927 LVV458927 LLZ458927 LCD458927 KSH458927 KIL458927 JYP458927 JOT458927 JEX458927 IVB458927 ILF458927 IBJ458927 HRN458927 HHR458927 GXV458927 GNZ458927 GED458927 FUH458927 FKL458927 FAP458927 EQT458927 EGX458927 DXB458927 DNF458927 DDJ458927 CTN458927 CJR458927 BZV458927 BPZ458927 BGD458927 AWH458927 AML458927 ACP458927 ST458927 IX458927 B458927 WVJ393391 WLN393391 WBR393391 VRV393391 VHZ393391 UYD393391 UOH393391 UEL393391 TUP393391 TKT393391 TAX393391 SRB393391 SHF393391 RXJ393391 RNN393391 RDR393391 QTV393391 QJZ393391 QAD393391 PQH393391 PGL393391 OWP393391 OMT393391 OCX393391 NTB393391 NJF393391 MZJ393391 MPN393391 MFR393391 LVV393391 LLZ393391 LCD393391 KSH393391 KIL393391 JYP393391 JOT393391 JEX393391 IVB393391 ILF393391 IBJ393391 HRN393391 HHR393391 GXV393391 GNZ393391 GED393391 FUH393391 FKL393391 FAP393391 EQT393391 EGX393391 DXB393391 DNF393391 DDJ393391 CTN393391 CJR393391 BZV393391 BPZ393391 BGD393391 AWH393391 AML393391 ACP393391 ST393391 IX393391 B393391 WVJ327855 WLN327855 WBR327855 VRV327855 VHZ327855 UYD327855 UOH327855 UEL327855 TUP327855 TKT327855 TAX327855 SRB327855 SHF327855 RXJ327855 RNN327855 RDR327855 QTV327855 QJZ327855 QAD327855 PQH327855 PGL327855 OWP327855 OMT327855 OCX327855 NTB327855 NJF327855 MZJ327855 MPN327855 MFR327855 LVV327855 LLZ327855 LCD327855 KSH327855 KIL327855 JYP327855 JOT327855 JEX327855 IVB327855 ILF327855 IBJ327855 HRN327855 HHR327855 GXV327855 GNZ327855 GED327855 FUH327855 FKL327855 FAP327855 EQT327855 EGX327855 DXB327855 DNF327855 DDJ327855 CTN327855 CJR327855 BZV327855 BPZ327855 BGD327855 AWH327855 AML327855 ACP327855 ST327855 IX327855 B327855 WVJ262319 WLN262319 WBR262319 VRV262319 VHZ262319 UYD262319 UOH262319 UEL262319 TUP262319 TKT262319 TAX262319 SRB262319 SHF262319 RXJ262319 RNN262319 RDR262319 QTV262319 QJZ262319 QAD262319 PQH262319 PGL262319 OWP262319 OMT262319 OCX262319 NTB262319 NJF262319 MZJ262319 MPN262319 MFR262319 LVV262319 LLZ262319 LCD262319 KSH262319 KIL262319 JYP262319 JOT262319 JEX262319 IVB262319 ILF262319 IBJ262319 HRN262319 HHR262319 GXV262319 GNZ262319 GED262319 FUH262319 FKL262319 FAP262319 EQT262319 EGX262319 DXB262319 DNF262319 DDJ262319 CTN262319 CJR262319 BZV262319 BPZ262319 BGD262319 AWH262319 AML262319 ACP262319 ST262319 IX262319 B262319 WVJ196783 WLN196783 WBR196783 VRV196783 VHZ196783 UYD196783 UOH196783 UEL196783 TUP196783 TKT196783 TAX196783 SRB196783 SHF196783 RXJ196783 RNN196783 RDR196783 QTV196783 QJZ196783 QAD196783 PQH196783 PGL196783 OWP196783 OMT196783 OCX196783 NTB196783 NJF196783 MZJ196783 MPN196783 MFR196783 LVV196783 LLZ196783 LCD196783 KSH196783 KIL196783 JYP196783 JOT196783 JEX196783 IVB196783 ILF196783 IBJ196783 HRN196783 HHR196783 GXV196783 GNZ196783 GED196783 FUH196783 FKL196783 FAP196783 EQT196783 EGX196783 DXB196783 DNF196783 DDJ196783 CTN196783 CJR196783 BZV196783 BPZ196783 BGD196783 AWH196783 AML196783 ACP196783 ST196783 IX196783 B196783 WVJ131247 WLN131247 WBR131247 VRV131247 VHZ131247 UYD131247 UOH131247 UEL131247 TUP131247 TKT131247 TAX131247 SRB131247 SHF131247 RXJ131247 RNN131247 RDR131247 QTV131247 QJZ131247 QAD131247 PQH131247 PGL131247 OWP131247 OMT131247 OCX131247 NTB131247 NJF131247 MZJ131247 MPN131247 MFR131247 LVV131247 LLZ131247 LCD131247 KSH131247 KIL131247 JYP131247 JOT131247 JEX131247 IVB131247 ILF131247 IBJ131247 HRN131247 HHR131247 GXV131247 GNZ131247 GED131247 FUH131247 FKL131247 FAP131247 EQT131247 EGX131247 DXB131247 DNF131247 DDJ131247 CTN131247 CJR131247 BZV131247 BPZ131247 BGD131247 AWH131247 AML131247 ACP131247 ST131247 IX131247 B131247 WVJ65711 WLN65711 WBR65711 VRV65711 VHZ65711 UYD65711 UOH65711 UEL65711 TUP65711 TKT65711 TAX65711 SRB65711 SHF65711 RXJ65711 RNN65711 RDR65711 QTV65711 QJZ65711 QAD65711 PQH65711 PGL65711 OWP65711 OMT65711 OCX65711 NTB65711 NJF65711 MZJ65711 MPN65711 MFR65711 LVV65711 LLZ65711 LCD65711 KSH65711 KIL65711 JYP65711 JOT65711 JEX65711 IVB65711 ILF65711 IBJ65711 HRN65711 HHR65711 GXV65711 GNZ65711 GED65711 FUH65711 FKL65711 FAP65711 EQT65711 EGX65711 DXB65711 DNF65711 DDJ65711 CTN65711 CJR65711 BZV65711 BPZ65711 BGD65711 AWH65711 AML65711 ACP65711 ST65711 IX65711 B65711 WVJ257 WLN257 WBR257 VRV257 VHZ257 UYD257 UOH257 UEL257 TUP257 TKT257 TAX257 SRB257 SHF257 RXJ257 RNN257 RDR257 QTV257 QJZ257 QAD257 PQH257 PGL257 OWP257 OMT257 OCX257 NTB257 NJF257 MZJ257 MPN257 MFR257 LVV257 LLZ257 LCD257 KSH257 KIL257 JYP257 JOT257 JEX257 IVB257 ILF257 IBJ257 HRN257 HHR257 GXV257 GNZ257 GED257 FUH257 FKL257 FAP257 EQT257 EGX257 DXB257 DNF257 DDJ257 CTN257 CJR257 BZV257 BPZ257 BGD257 AWH257 AML257 ACP257 ST257 IX257 CJR137 WVJ983200 WLN983200 WBR983200 VRV983200 VHZ983200 UYD983200 UOH983200 UEL983200 TUP983200 TKT983200 TAX983200 SRB983200 SHF983200 RXJ983200 RNN983200 RDR983200 QTV983200 QJZ983200 QAD983200 PQH983200 PGL983200 OWP983200 OMT983200 OCX983200 NTB983200 NJF983200 MZJ983200 MPN983200 MFR983200 LVV983200 LLZ983200 LCD983200 KSH983200 KIL983200 JYP983200 JOT983200 JEX983200 IVB983200 ILF983200 IBJ983200 HRN983200 HHR983200 GXV983200 GNZ983200 GED983200 FUH983200 FKL983200 FAP983200 EQT983200 EGX983200 DXB983200 DNF983200 DDJ983200 CTN983200 CJR983200 BZV983200 BPZ983200 BGD983200 AWH983200 AML983200 ACP983200 ST983200 IX983200 B983200 WVJ917664 WLN917664 WBR917664 VRV917664 VHZ917664 UYD917664 UOH917664 UEL917664 TUP917664 TKT917664 TAX917664 SRB917664 SHF917664 RXJ917664 RNN917664 RDR917664 QTV917664 QJZ917664 QAD917664 PQH917664 PGL917664 OWP917664 OMT917664 OCX917664 NTB917664 NJF917664 MZJ917664 MPN917664 MFR917664 LVV917664 LLZ917664 LCD917664 KSH917664 KIL917664 JYP917664 JOT917664 JEX917664 IVB917664 ILF917664 IBJ917664 HRN917664 HHR917664 GXV917664 GNZ917664 GED917664 FUH917664 FKL917664 FAP917664 EQT917664 EGX917664 DXB917664 DNF917664 DDJ917664 CTN917664 CJR917664 BZV917664 BPZ917664 BGD917664 AWH917664 AML917664 ACP917664 ST917664 IX917664 B917664 WVJ852128 WLN852128 WBR852128 VRV852128 VHZ852128 UYD852128 UOH852128 UEL852128 TUP852128 TKT852128 TAX852128 SRB852128 SHF852128 RXJ852128 RNN852128 RDR852128 QTV852128 QJZ852128 QAD852128 PQH852128 PGL852128 OWP852128 OMT852128 OCX852128 NTB852128 NJF852128 MZJ852128 MPN852128 MFR852128 LVV852128 LLZ852128 LCD852128 KSH852128 KIL852128 JYP852128 JOT852128 JEX852128 IVB852128 ILF852128 IBJ852128 HRN852128 HHR852128 GXV852128 GNZ852128 GED852128 FUH852128 FKL852128 FAP852128 EQT852128 EGX852128 DXB852128 DNF852128 DDJ852128 CTN852128 CJR852128 BZV852128 BPZ852128 BGD852128 AWH852128 AML852128 ACP852128 ST852128 IX852128 B852128 WVJ786592 WLN786592 WBR786592 VRV786592 VHZ786592 UYD786592 UOH786592 UEL786592 TUP786592 TKT786592 TAX786592 SRB786592 SHF786592 RXJ786592 RNN786592 RDR786592 QTV786592 QJZ786592 QAD786592 PQH786592 PGL786592 OWP786592 OMT786592 OCX786592 NTB786592 NJF786592 MZJ786592 MPN786592 MFR786592 LVV786592 LLZ786592 LCD786592 KSH786592 KIL786592 JYP786592 JOT786592 JEX786592 IVB786592 ILF786592 IBJ786592 HRN786592 HHR786592 GXV786592 GNZ786592 GED786592 FUH786592 FKL786592 FAP786592 EQT786592 EGX786592 DXB786592 DNF786592 DDJ786592 CTN786592 CJR786592 BZV786592 BPZ786592 BGD786592 AWH786592 AML786592 ACP786592 ST786592 IX786592 B786592 WVJ721056 WLN721056 WBR721056 VRV721056 VHZ721056 UYD721056 UOH721056 UEL721056 TUP721056 TKT721056 TAX721056 SRB721056 SHF721056 RXJ721056 RNN721056 RDR721056 QTV721056 QJZ721056 QAD721056 PQH721056 PGL721056 OWP721056 OMT721056 OCX721056 NTB721056 NJF721056 MZJ721056 MPN721056 MFR721056 LVV721056 LLZ721056 LCD721056 KSH721056 KIL721056 JYP721056 JOT721056 JEX721056 IVB721056 ILF721056 IBJ721056 HRN721056 HHR721056 GXV721056 GNZ721056 GED721056 FUH721056 FKL721056 FAP721056 EQT721056 EGX721056 DXB721056 DNF721056 DDJ721056 CTN721056 CJR721056 BZV721056 BPZ721056 BGD721056 AWH721056 AML721056 ACP721056 ST721056 IX721056 B721056 WVJ655520 WLN655520 WBR655520 VRV655520 VHZ655520 UYD655520 UOH655520 UEL655520 TUP655520 TKT655520 TAX655520 SRB655520 SHF655520 RXJ655520 RNN655520 RDR655520 QTV655520 QJZ655520 QAD655520 PQH655520 PGL655520 OWP655520 OMT655520 OCX655520 NTB655520 NJF655520 MZJ655520 MPN655520 MFR655520 LVV655520 LLZ655520 LCD655520 KSH655520 KIL655520 JYP655520 JOT655520 JEX655520 IVB655520 ILF655520 IBJ655520 HRN655520 HHR655520 GXV655520 GNZ655520 GED655520 FUH655520 FKL655520 FAP655520 EQT655520 EGX655520 DXB655520 DNF655520 DDJ655520 CTN655520 CJR655520 BZV655520 BPZ655520 BGD655520 AWH655520 AML655520 ACP655520 ST655520 IX655520 B655520 WVJ589984 WLN589984 WBR589984 VRV589984 VHZ589984 UYD589984 UOH589984 UEL589984 TUP589984 TKT589984 TAX589984 SRB589984 SHF589984 RXJ589984 RNN589984 RDR589984 QTV589984 QJZ589984 QAD589984 PQH589984 PGL589984 OWP589984 OMT589984 OCX589984 NTB589984 NJF589984 MZJ589984 MPN589984 MFR589984 LVV589984 LLZ589984 LCD589984 KSH589984 KIL589984 JYP589984 JOT589984 JEX589984 IVB589984 ILF589984 IBJ589984 HRN589984 HHR589984 GXV589984 GNZ589984 GED589984 FUH589984 FKL589984 FAP589984 EQT589984 EGX589984 DXB589984 DNF589984 DDJ589984 CTN589984 CJR589984 BZV589984 BPZ589984 BGD589984 AWH589984 AML589984 ACP589984 ST589984 IX589984 B589984 WVJ524448 WLN524448 WBR524448 VRV524448 VHZ524448 UYD524448 UOH524448 UEL524448 TUP524448 TKT524448 TAX524448 SRB524448 SHF524448 RXJ524448 RNN524448 RDR524448 QTV524448 QJZ524448 QAD524448 PQH524448 PGL524448 OWP524448 OMT524448 OCX524448 NTB524448 NJF524448 MZJ524448 MPN524448 MFR524448 LVV524448 LLZ524448 LCD524448 KSH524448 KIL524448 JYP524448 JOT524448 JEX524448 IVB524448 ILF524448 IBJ524448 HRN524448 HHR524448 GXV524448 GNZ524448 GED524448 FUH524448 FKL524448 FAP524448 EQT524448 EGX524448 DXB524448 DNF524448 DDJ524448 CTN524448 CJR524448 BZV524448 BPZ524448 BGD524448 AWH524448 AML524448 ACP524448 ST524448 IX524448 B524448 WVJ458912 WLN458912 WBR458912 VRV458912 VHZ458912 UYD458912 UOH458912 UEL458912 TUP458912 TKT458912 TAX458912 SRB458912 SHF458912 RXJ458912 RNN458912 RDR458912 QTV458912 QJZ458912 QAD458912 PQH458912 PGL458912 OWP458912 OMT458912 OCX458912 NTB458912 NJF458912 MZJ458912 MPN458912 MFR458912 LVV458912 LLZ458912 LCD458912 KSH458912 KIL458912 JYP458912 JOT458912 JEX458912 IVB458912 ILF458912 IBJ458912 HRN458912 HHR458912 GXV458912 GNZ458912 GED458912 FUH458912 FKL458912 FAP458912 EQT458912 EGX458912 DXB458912 DNF458912 DDJ458912 CTN458912 CJR458912 BZV458912 BPZ458912 BGD458912 AWH458912 AML458912 ACP458912 ST458912 IX458912 B458912 WVJ393376 WLN393376 WBR393376 VRV393376 VHZ393376 UYD393376 UOH393376 UEL393376 TUP393376 TKT393376 TAX393376 SRB393376 SHF393376 RXJ393376 RNN393376 RDR393376 QTV393376 QJZ393376 QAD393376 PQH393376 PGL393376 OWP393376 OMT393376 OCX393376 NTB393376 NJF393376 MZJ393376 MPN393376 MFR393376 LVV393376 LLZ393376 LCD393376 KSH393376 KIL393376 JYP393376 JOT393376 JEX393376 IVB393376 ILF393376 IBJ393376 HRN393376 HHR393376 GXV393376 GNZ393376 GED393376 FUH393376 FKL393376 FAP393376 EQT393376 EGX393376 DXB393376 DNF393376 DDJ393376 CTN393376 CJR393376 BZV393376 BPZ393376 BGD393376 AWH393376 AML393376 ACP393376 ST393376 IX393376 B393376 WVJ327840 WLN327840 WBR327840 VRV327840 VHZ327840 UYD327840 UOH327840 UEL327840 TUP327840 TKT327840 TAX327840 SRB327840 SHF327840 RXJ327840 RNN327840 RDR327840 QTV327840 QJZ327840 QAD327840 PQH327840 PGL327840 OWP327840 OMT327840 OCX327840 NTB327840 NJF327840 MZJ327840 MPN327840 MFR327840 LVV327840 LLZ327840 LCD327840 KSH327840 KIL327840 JYP327840 JOT327840 JEX327840 IVB327840 ILF327840 IBJ327840 HRN327840 HHR327840 GXV327840 GNZ327840 GED327840 FUH327840 FKL327840 FAP327840 EQT327840 EGX327840 DXB327840 DNF327840 DDJ327840 CTN327840 CJR327840 BZV327840 BPZ327840 BGD327840 AWH327840 AML327840 ACP327840 ST327840 IX327840 B327840 WVJ262304 WLN262304 WBR262304 VRV262304 VHZ262304 UYD262304 UOH262304 UEL262304 TUP262304 TKT262304 TAX262304 SRB262304 SHF262304 RXJ262304 RNN262304 RDR262304 QTV262304 QJZ262304 QAD262304 PQH262304 PGL262304 OWP262304 OMT262304 OCX262304 NTB262304 NJF262304 MZJ262304 MPN262304 MFR262304 LVV262304 LLZ262304 LCD262304 KSH262304 KIL262304 JYP262304 JOT262304 JEX262304 IVB262304 ILF262304 IBJ262304 HRN262304 HHR262304 GXV262304 GNZ262304 GED262304 FUH262304 FKL262304 FAP262304 EQT262304 EGX262304 DXB262304 DNF262304 DDJ262304 CTN262304 CJR262304 BZV262304 BPZ262304 BGD262304 AWH262304 AML262304 ACP262304 ST262304 IX262304 B262304 WVJ196768 WLN196768 WBR196768 VRV196768 VHZ196768 UYD196768 UOH196768 UEL196768 TUP196768 TKT196768 TAX196768 SRB196768 SHF196768 RXJ196768 RNN196768 RDR196768 QTV196768 QJZ196768 QAD196768 PQH196768 PGL196768 OWP196768 OMT196768 OCX196768 NTB196768 NJF196768 MZJ196768 MPN196768 MFR196768 LVV196768 LLZ196768 LCD196768 KSH196768 KIL196768 JYP196768 JOT196768 JEX196768 IVB196768 ILF196768 IBJ196768 HRN196768 HHR196768 GXV196768 GNZ196768 GED196768 FUH196768 FKL196768 FAP196768 EQT196768 EGX196768 DXB196768 DNF196768 DDJ196768 CTN196768 CJR196768 BZV196768 BPZ196768 BGD196768 AWH196768 AML196768 ACP196768 ST196768 IX196768 B196768 WVJ131232 WLN131232 WBR131232 VRV131232 VHZ131232 UYD131232 UOH131232 UEL131232 TUP131232 TKT131232 TAX131232 SRB131232 SHF131232 RXJ131232 RNN131232 RDR131232 QTV131232 QJZ131232 QAD131232 PQH131232 PGL131232 OWP131232 OMT131232 OCX131232 NTB131232 NJF131232 MZJ131232 MPN131232 MFR131232 LVV131232 LLZ131232 LCD131232 KSH131232 KIL131232 JYP131232 JOT131232 JEX131232 IVB131232 ILF131232 IBJ131232 HRN131232 HHR131232 GXV131232 GNZ131232 GED131232 FUH131232 FKL131232 FAP131232 EQT131232 EGX131232 DXB131232 DNF131232 DDJ131232 CTN131232 CJR131232 BZV131232 BPZ131232 BGD131232 AWH131232 AML131232 ACP131232 ST131232 IX131232 B131232 WVJ65696 WLN65696 WBR65696 VRV65696 VHZ65696 UYD65696 UOH65696 UEL65696 TUP65696 TKT65696 TAX65696 SRB65696 SHF65696 RXJ65696 RNN65696 RDR65696 QTV65696 QJZ65696 QAD65696 PQH65696 PGL65696 OWP65696 OMT65696 OCX65696 NTB65696 NJF65696 MZJ65696 MPN65696 MFR65696 LVV65696 LLZ65696 LCD65696 KSH65696 KIL65696 JYP65696 JOT65696 JEX65696 IVB65696 ILF65696 IBJ65696 HRN65696 HHR65696 GXV65696 GNZ65696 GED65696 FUH65696 FKL65696 FAP65696 EQT65696 EGX65696 DXB65696 DNF65696 DDJ65696 CTN65696 CJR65696 BZV65696 BPZ65696 BGD65696 AWH65696 AML65696 ACP65696 ST65696 IX65696 B65696 WVJ242 WLN242 WBR242 VRV242 VHZ242 UYD242 UOH242 UEL242 TUP242 TKT242 TAX242 SRB242 SHF242 RXJ242 RNN242 RDR242 QTV242 QJZ242 QAD242 PQH242 PGL242 OWP242 OMT242 OCX242 NTB242 NJF242 MZJ242 MPN242 MFR242 LVV242 LLZ242 LCD242 KSH242 KIL242 JYP242 JOT242 JEX242 IVB242 ILF242 IBJ242 HRN242 HHR242 GXV242 GNZ242 GED242 FUH242 FKL242 FAP242 EQT242 EGX242 DXB242 DNF242 DDJ242 CTN242 CJR242 BZV242 BPZ242 BGD242 AWH242 AML242 ACP242 ST242 IX242 BZV137 WVJ983290 WLN983290 WBR983290 VRV983290 VHZ983290 UYD983290 UOH983290 UEL983290 TUP983290 TKT983290 TAX983290 SRB983290 SHF983290 RXJ983290 RNN983290 RDR983290 QTV983290 QJZ983290 QAD983290 PQH983290 PGL983290 OWP983290 OMT983290 OCX983290 NTB983290 NJF983290 MZJ983290 MPN983290 MFR983290 LVV983290 LLZ983290 LCD983290 KSH983290 KIL983290 JYP983290 JOT983290 JEX983290 IVB983290 ILF983290 IBJ983290 HRN983290 HHR983290 GXV983290 GNZ983290 GED983290 FUH983290 FKL983290 FAP983290 EQT983290 EGX983290 DXB983290 DNF983290 DDJ983290 CTN983290 CJR983290 BZV983290 BPZ983290 BGD983290 AWH983290 AML983290 ACP983290 ST983290 IX983290 B983290 WVJ917754 WLN917754 WBR917754 VRV917754 VHZ917754 UYD917754 UOH917754 UEL917754 TUP917754 TKT917754 TAX917754 SRB917754 SHF917754 RXJ917754 RNN917754 RDR917754 QTV917754 QJZ917754 QAD917754 PQH917754 PGL917754 OWP917754 OMT917754 OCX917754 NTB917754 NJF917754 MZJ917754 MPN917754 MFR917754 LVV917754 LLZ917754 LCD917754 KSH917754 KIL917754 JYP917754 JOT917754 JEX917754 IVB917754 ILF917754 IBJ917754 HRN917754 HHR917754 GXV917754 GNZ917754 GED917754 FUH917754 FKL917754 FAP917754 EQT917754 EGX917754 DXB917754 DNF917754 DDJ917754 CTN917754 CJR917754 BZV917754 BPZ917754 BGD917754 AWH917754 AML917754 ACP917754 ST917754 IX917754 B917754 WVJ852218 WLN852218 WBR852218 VRV852218 VHZ852218 UYD852218 UOH852218 UEL852218 TUP852218 TKT852218 TAX852218 SRB852218 SHF852218 RXJ852218 RNN852218 RDR852218 QTV852218 QJZ852218 QAD852218 PQH852218 PGL852218 OWP852218 OMT852218 OCX852218 NTB852218 NJF852218 MZJ852218 MPN852218 MFR852218 LVV852218 LLZ852218 LCD852218 KSH852218 KIL852218 JYP852218 JOT852218 JEX852218 IVB852218 ILF852218 IBJ852218 HRN852218 HHR852218 GXV852218 GNZ852218 GED852218 FUH852218 FKL852218 FAP852218 EQT852218 EGX852218 DXB852218 DNF852218 DDJ852218 CTN852218 CJR852218 BZV852218 BPZ852218 BGD852218 AWH852218 AML852218 ACP852218 ST852218 IX852218 B852218 WVJ786682 WLN786682 WBR786682 VRV786682 VHZ786682 UYD786682 UOH786682 UEL786682 TUP786682 TKT786682 TAX786682 SRB786682 SHF786682 RXJ786682 RNN786682 RDR786682 QTV786682 QJZ786682 QAD786682 PQH786682 PGL786682 OWP786682 OMT786682 OCX786682 NTB786682 NJF786682 MZJ786682 MPN786682 MFR786682 LVV786682 LLZ786682 LCD786682 KSH786682 KIL786682 JYP786682 JOT786682 JEX786682 IVB786682 ILF786682 IBJ786682 HRN786682 HHR786682 GXV786682 GNZ786682 GED786682 FUH786682 FKL786682 FAP786682 EQT786682 EGX786682 DXB786682 DNF786682 DDJ786682 CTN786682 CJR786682 BZV786682 BPZ786682 BGD786682 AWH786682 AML786682 ACP786682 ST786682 IX786682 B786682 WVJ721146 WLN721146 WBR721146 VRV721146 VHZ721146 UYD721146 UOH721146 UEL721146 TUP721146 TKT721146 TAX721146 SRB721146 SHF721146 RXJ721146 RNN721146 RDR721146 QTV721146 QJZ721146 QAD721146 PQH721146 PGL721146 OWP721146 OMT721146 OCX721146 NTB721146 NJF721146 MZJ721146 MPN721146 MFR721146 LVV721146 LLZ721146 LCD721146 KSH721146 KIL721146 JYP721146 JOT721146 JEX721146 IVB721146 ILF721146 IBJ721146 HRN721146 HHR721146 GXV721146 GNZ721146 GED721146 FUH721146 FKL721146 FAP721146 EQT721146 EGX721146 DXB721146 DNF721146 DDJ721146 CTN721146 CJR721146 BZV721146 BPZ721146 BGD721146 AWH721146 AML721146 ACP721146 ST721146 IX721146 B721146 WVJ655610 WLN655610 WBR655610 VRV655610 VHZ655610 UYD655610 UOH655610 UEL655610 TUP655610 TKT655610 TAX655610 SRB655610 SHF655610 RXJ655610 RNN655610 RDR655610 QTV655610 QJZ655610 QAD655610 PQH655610 PGL655610 OWP655610 OMT655610 OCX655610 NTB655610 NJF655610 MZJ655610 MPN655610 MFR655610 LVV655610 LLZ655610 LCD655610 KSH655610 KIL655610 JYP655610 JOT655610 JEX655610 IVB655610 ILF655610 IBJ655610 HRN655610 HHR655610 GXV655610 GNZ655610 GED655610 FUH655610 FKL655610 FAP655610 EQT655610 EGX655610 DXB655610 DNF655610 DDJ655610 CTN655610 CJR655610 BZV655610 BPZ655610 BGD655610 AWH655610 AML655610 ACP655610 ST655610 IX655610 B655610 WVJ590074 WLN590074 WBR590074 VRV590074 VHZ590074 UYD590074 UOH590074 UEL590074 TUP590074 TKT590074 TAX590074 SRB590074 SHF590074 RXJ590074 RNN590074 RDR590074 QTV590074 QJZ590074 QAD590074 PQH590074 PGL590074 OWP590074 OMT590074 OCX590074 NTB590074 NJF590074 MZJ590074 MPN590074 MFR590074 LVV590074 LLZ590074 LCD590074 KSH590074 KIL590074 JYP590074 JOT590074 JEX590074 IVB590074 ILF590074 IBJ590074 HRN590074 HHR590074 GXV590074 GNZ590074 GED590074 FUH590074 FKL590074 FAP590074 EQT590074 EGX590074 DXB590074 DNF590074 DDJ590074 CTN590074 CJR590074 BZV590074 BPZ590074 BGD590074 AWH590074 AML590074 ACP590074 ST590074 IX590074 B590074 WVJ524538 WLN524538 WBR524538 VRV524538 VHZ524538 UYD524538 UOH524538 UEL524538 TUP524538 TKT524538 TAX524538 SRB524538 SHF524538 RXJ524538 RNN524538 RDR524538 QTV524538 QJZ524538 QAD524538 PQH524538 PGL524538 OWP524538 OMT524538 OCX524538 NTB524538 NJF524538 MZJ524538 MPN524538 MFR524538 LVV524538 LLZ524538 LCD524538 KSH524538 KIL524538 JYP524538 JOT524538 JEX524538 IVB524538 ILF524538 IBJ524538 HRN524538 HHR524538 GXV524538 GNZ524538 GED524538 FUH524538 FKL524538 FAP524538 EQT524538 EGX524538 DXB524538 DNF524538 DDJ524538 CTN524538 CJR524538 BZV524538 BPZ524538 BGD524538 AWH524538 AML524538 ACP524538 ST524538 IX524538 B524538 WVJ459002 WLN459002 WBR459002 VRV459002 VHZ459002 UYD459002 UOH459002 UEL459002 TUP459002 TKT459002 TAX459002 SRB459002 SHF459002 RXJ459002 RNN459002 RDR459002 QTV459002 QJZ459002 QAD459002 PQH459002 PGL459002 OWP459002 OMT459002 OCX459002 NTB459002 NJF459002 MZJ459002 MPN459002 MFR459002 LVV459002 LLZ459002 LCD459002 KSH459002 KIL459002 JYP459002 JOT459002 JEX459002 IVB459002 ILF459002 IBJ459002 HRN459002 HHR459002 GXV459002 GNZ459002 GED459002 FUH459002 FKL459002 FAP459002 EQT459002 EGX459002 DXB459002 DNF459002 DDJ459002 CTN459002 CJR459002 BZV459002 BPZ459002 BGD459002 AWH459002 AML459002 ACP459002 ST459002 IX459002 B459002 WVJ393466 WLN393466 WBR393466 VRV393466 VHZ393466 UYD393466 UOH393466 UEL393466 TUP393466 TKT393466 TAX393466 SRB393466 SHF393466 RXJ393466 RNN393466 RDR393466 QTV393466 QJZ393466 QAD393466 PQH393466 PGL393466 OWP393466 OMT393466 OCX393466 NTB393466 NJF393466 MZJ393466 MPN393466 MFR393466 LVV393466 LLZ393466 LCD393466 KSH393466 KIL393466 JYP393466 JOT393466 JEX393466 IVB393466 ILF393466 IBJ393466 HRN393466 HHR393466 GXV393466 GNZ393466 GED393466 FUH393466 FKL393466 FAP393466 EQT393466 EGX393466 DXB393466 DNF393466 DDJ393466 CTN393466 CJR393466 BZV393466 BPZ393466 BGD393466 AWH393466 AML393466 ACP393466 ST393466 IX393466 B393466 WVJ327930 WLN327930 WBR327930 VRV327930 VHZ327930 UYD327930 UOH327930 UEL327930 TUP327930 TKT327930 TAX327930 SRB327930 SHF327930 RXJ327930 RNN327930 RDR327930 QTV327930 QJZ327930 QAD327930 PQH327930 PGL327930 OWP327930 OMT327930 OCX327930 NTB327930 NJF327930 MZJ327930 MPN327930 MFR327930 LVV327930 LLZ327930 LCD327930 KSH327930 KIL327930 JYP327930 JOT327930 JEX327930 IVB327930 ILF327930 IBJ327930 HRN327930 HHR327930 GXV327930 GNZ327930 GED327930 FUH327930 FKL327930 FAP327930 EQT327930 EGX327930 DXB327930 DNF327930 DDJ327930 CTN327930 CJR327930 BZV327930 BPZ327930 BGD327930 AWH327930 AML327930 ACP327930 ST327930 IX327930 B327930 WVJ262394 WLN262394 WBR262394 VRV262394 VHZ262394 UYD262394 UOH262394 UEL262394 TUP262394 TKT262394 TAX262394 SRB262394 SHF262394 RXJ262394 RNN262394 RDR262394 QTV262394 QJZ262394 QAD262394 PQH262394 PGL262394 OWP262394 OMT262394 OCX262394 NTB262394 NJF262394 MZJ262394 MPN262394 MFR262394 LVV262394 LLZ262394 LCD262394 KSH262394 KIL262394 JYP262394 JOT262394 JEX262394 IVB262394 ILF262394 IBJ262394 HRN262394 HHR262394 GXV262394 GNZ262394 GED262394 FUH262394 FKL262394 FAP262394 EQT262394 EGX262394 DXB262394 DNF262394 DDJ262394 CTN262394 CJR262394 BZV262394 BPZ262394 BGD262394 AWH262394 AML262394 ACP262394 ST262394 IX262394 B262394 WVJ196858 WLN196858 WBR196858 VRV196858 VHZ196858 UYD196858 UOH196858 UEL196858 TUP196858 TKT196858 TAX196858 SRB196858 SHF196858 RXJ196858 RNN196858 RDR196858 QTV196858 QJZ196858 QAD196858 PQH196858 PGL196858 OWP196858 OMT196858 OCX196858 NTB196858 NJF196858 MZJ196858 MPN196858 MFR196858 LVV196858 LLZ196858 LCD196858 KSH196858 KIL196858 JYP196858 JOT196858 JEX196858 IVB196858 ILF196858 IBJ196858 HRN196858 HHR196858 GXV196858 GNZ196858 GED196858 FUH196858 FKL196858 FAP196858 EQT196858 EGX196858 DXB196858 DNF196858 DDJ196858 CTN196858 CJR196858 BZV196858 BPZ196858 BGD196858 AWH196858 AML196858 ACP196858 ST196858 IX196858 B196858 WVJ131322 WLN131322 WBR131322 VRV131322 VHZ131322 UYD131322 UOH131322 UEL131322 TUP131322 TKT131322 TAX131322 SRB131322 SHF131322 RXJ131322 RNN131322 RDR131322 QTV131322 QJZ131322 QAD131322 PQH131322 PGL131322 OWP131322 OMT131322 OCX131322 NTB131322 NJF131322 MZJ131322 MPN131322 MFR131322 LVV131322 LLZ131322 LCD131322 KSH131322 KIL131322 JYP131322 JOT131322 JEX131322 IVB131322 ILF131322 IBJ131322 HRN131322 HHR131322 GXV131322 GNZ131322 GED131322 FUH131322 FKL131322 FAP131322 EQT131322 EGX131322 DXB131322 DNF131322 DDJ131322 CTN131322 CJR131322 BZV131322 BPZ131322 BGD131322 AWH131322 AML131322 ACP131322 ST131322 IX131322 B131322 WVJ65786 WLN65786 WBR65786 VRV65786 VHZ65786 UYD65786 UOH65786 UEL65786 TUP65786 TKT65786 TAX65786 SRB65786 SHF65786 RXJ65786 RNN65786 RDR65786 QTV65786 QJZ65786 QAD65786 PQH65786 PGL65786 OWP65786 OMT65786 OCX65786 NTB65786 NJF65786 MZJ65786 MPN65786 MFR65786 LVV65786 LLZ65786 LCD65786 KSH65786 KIL65786 JYP65786 JOT65786 JEX65786 IVB65786 ILF65786 IBJ65786 HRN65786 HHR65786 GXV65786 GNZ65786 GED65786 FUH65786 FKL65786 FAP65786 EQT65786 EGX65786 DXB65786 DNF65786 DDJ65786 CTN65786 CJR65786 BZV65786 BPZ65786 BGD65786 AWH65786 AML65786 ACP65786 ST65786 IX65786 B65786 WVJ983275 WLN983275 WBR983275 VRV983275 VHZ983275 UYD983275 UOH983275 UEL983275 TUP983275 TKT983275 TAX983275 SRB983275 SHF983275 RXJ983275 RNN983275 RDR983275 QTV983275 QJZ983275 QAD983275 PQH983275 PGL983275 OWP983275 OMT983275 OCX983275 NTB983275 NJF983275 MZJ983275 MPN983275 MFR983275 LVV983275 LLZ983275 LCD983275 KSH983275 KIL983275 JYP983275 JOT983275 JEX983275 IVB983275 ILF983275 IBJ983275 HRN983275 HHR983275 GXV983275 GNZ983275 GED983275 FUH983275 FKL983275 FAP983275 EQT983275 EGX983275 DXB983275 DNF983275 DDJ983275 CTN983275 CJR983275 BZV983275 BPZ983275 BGD983275 AWH983275 AML983275 ACP983275 ST983275 IX983275 B983275 WVJ917739 WLN917739 WBR917739 VRV917739 VHZ917739 UYD917739 UOH917739 UEL917739 TUP917739 TKT917739 TAX917739 SRB917739 SHF917739 RXJ917739 RNN917739 RDR917739 QTV917739 QJZ917739 QAD917739 PQH917739 PGL917739 OWP917739 OMT917739 OCX917739 NTB917739 NJF917739 MZJ917739 MPN917739 MFR917739 LVV917739 LLZ917739 LCD917739 KSH917739 KIL917739 JYP917739 JOT917739 JEX917739 IVB917739 ILF917739 IBJ917739 HRN917739 HHR917739 GXV917739 GNZ917739 GED917739 FUH917739 FKL917739 FAP917739 EQT917739 EGX917739 DXB917739 DNF917739 DDJ917739 CTN917739 CJR917739 BZV917739 BPZ917739 BGD917739 AWH917739 AML917739 ACP917739 ST917739 IX917739 B917739 WVJ852203 WLN852203 WBR852203 VRV852203 VHZ852203 UYD852203 UOH852203 UEL852203 TUP852203 TKT852203 TAX852203 SRB852203 SHF852203 RXJ852203 RNN852203 RDR852203 QTV852203 QJZ852203 QAD852203 PQH852203 PGL852203 OWP852203 OMT852203 OCX852203 NTB852203 NJF852203 MZJ852203 MPN852203 MFR852203 LVV852203 LLZ852203 LCD852203 KSH852203 KIL852203 JYP852203 JOT852203 JEX852203 IVB852203 ILF852203 IBJ852203 HRN852203 HHR852203 GXV852203 GNZ852203 GED852203 FUH852203 FKL852203 FAP852203 EQT852203 EGX852203 DXB852203 DNF852203 DDJ852203 CTN852203 CJR852203 BZV852203 BPZ852203 BGD852203 AWH852203 AML852203 ACP852203 ST852203 IX852203 B852203 WVJ786667 WLN786667 WBR786667 VRV786667 VHZ786667 UYD786667 UOH786667 UEL786667 TUP786667 TKT786667 TAX786667 SRB786667 SHF786667 RXJ786667 RNN786667 RDR786667 QTV786667 QJZ786667 QAD786667 PQH786667 PGL786667 OWP786667 OMT786667 OCX786667 NTB786667 NJF786667 MZJ786667 MPN786667 MFR786667 LVV786667 LLZ786667 LCD786667 KSH786667 KIL786667 JYP786667 JOT786667 JEX786667 IVB786667 ILF786667 IBJ786667 HRN786667 HHR786667 GXV786667 GNZ786667 GED786667 FUH786667 FKL786667 FAP786667 EQT786667 EGX786667 DXB786667 DNF786667 DDJ786667 CTN786667 CJR786667 BZV786667 BPZ786667 BGD786667 AWH786667 AML786667 ACP786667 ST786667 IX786667 B786667 WVJ721131 WLN721131 WBR721131 VRV721131 VHZ721131 UYD721131 UOH721131 UEL721131 TUP721131 TKT721131 TAX721131 SRB721131 SHF721131 RXJ721131 RNN721131 RDR721131 QTV721131 QJZ721131 QAD721131 PQH721131 PGL721131 OWP721131 OMT721131 OCX721131 NTB721131 NJF721131 MZJ721131 MPN721131 MFR721131 LVV721131 LLZ721131 LCD721131 KSH721131 KIL721131 JYP721131 JOT721131 JEX721131 IVB721131 ILF721131 IBJ721131 HRN721131 HHR721131 GXV721131 GNZ721131 GED721131 FUH721131 FKL721131 FAP721131 EQT721131 EGX721131 DXB721131 DNF721131 DDJ721131 CTN721131 CJR721131 BZV721131 BPZ721131 BGD721131 AWH721131 AML721131 ACP721131 ST721131 IX721131 B721131 WVJ655595 WLN655595 WBR655595 VRV655595 VHZ655595 UYD655595 UOH655595 UEL655595 TUP655595 TKT655595 TAX655595 SRB655595 SHF655595 RXJ655595 RNN655595 RDR655595 QTV655595 QJZ655595 QAD655595 PQH655595 PGL655595 OWP655595 OMT655595 OCX655595 NTB655595 NJF655595 MZJ655595 MPN655595 MFR655595 LVV655595 LLZ655595 LCD655595 KSH655595 KIL655595 JYP655595 JOT655595 JEX655595 IVB655595 ILF655595 IBJ655595 HRN655595 HHR655595 GXV655595 GNZ655595 GED655595 FUH655595 FKL655595 FAP655595 EQT655595 EGX655595 DXB655595 DNF655595 DDJ655595 CTN655595 CJR655595 BZV655595 BPZ655595 BGD655595 AWH655595 AML655595 ACP655595 ST655595 IX655595 B655595 WVJ590059 WLN590059 WBR590059 VRV590059 VHZ590059 UYD590059 UOH590059 UEL590059 TUP590059 TKT590059 TAX590059 SRB590059 SHF590059 RXJ590059 RNN590059 RDR590059 QTV590059 QJZ590059 QAD590059 PQH590059 PGL590059 OWP590059 OMT590059 OCX590059 NTB590059 NJF590059 MZJ590059 MPN590059 MFR590059 LVV590059 LLZ590059 LCD590059 KSH590059 KIL590059 JYP590059 JOT590059 JEX590059 IVB590059 ILF590059 IBJ590059 HRN590059 HHR590059 GXV590059 GNZ590059 GED590059 FUH590059 FKL590059 FAP590059 EQT590059 EGX590059 DXB590059 DNF590059 DDJ590059 CTN590059 CJR590059 BZV590059 BPZ590059 BGD590059 AWH590059 AML590059 ACP590059 ST590059 IX590059 B590059 WVJ524523 WLN524523 WBR524523 VRV524523 VHZ524523 UYD524523 UOH524523 UEL524523 TUP524523 TKT524523 TAX524523 SRB524523 SHF524523 RXJ524523 RNN524523 RDR524523 QTV524523 QJZ524523 QAD524523 PQH524523 PGL524523 OWP524523 OMT524523 OCX524523 NTB524523 NJF524523 MZJ524523 MPN524523 MFR524523 LVV524523 LLZ524523 LCD524523 KSH524523 KIL524523 JYP524523 JOT524523 JEX524523 IVB524523 ILF524523 IBJ524523 HRN524523 HHR524523 GXV524523 GNZ524523 GED524523 FUH524523 FKL524523 FAP524523 EQT524523 EGX524523 DXB524523 DNF524523 DDJ524523 CTN524523 CJR524523 BZV524523 BPZ524523 BGD524523 AWH524523 AML524523 ACP524523 ST524523 IX524523 B524523 WVJ458987 WLN458987 WBR458987 VRV458987 VHZ458987 UYD458987 UOH458987 UEL458987 TUP458987 TKT458987 TAX458987 SRB458987 SHF458987 RXJ458987 RNN458987 RDR458987 QTV458987 QJZ458987 QAD458987 PQH458987 PGL458987 OWP458987 OMT458987 OCX458987 NTB458987 NJF458987 MZJ458987 MPN458987 MFR458987 LVV458987 LLZ458987 LCD458987 KSH458987 KIL458987 JYP458987 JOT458987 JEX458987 IVB458987 ILF458987 IBJ458987 HRN458987 HHR458987 GXV458987 GNZ458987 GED458987 FUH458987 FKL458987 FAP458987 EQT458987 EGX458987 DXB458987 DNF458987 DDJ458987 CTN458987 CJR458987 BZV458987 BPZ458987 BGD458987 AWH458987 AML458987 ACP458987 ST458987 IX458987 B458987 WVJ393451 WLN393451 WBR393451 VRV393451 VHZ393451 UYD393451 UOH393451 UEL393451 TUP393451 TKT393451 TAX393451 SRB393451 SHF393451 RXJ393451 RNN393451 RDR393451 QTV393451 QJZ393451 QAD393451 PQH393451 PGL393451 OWP393451 OMT393451 OCX393451 NTB393451 NJF393451 MZJ393451 MPN393451 MFR393451 LVV393451 LLZ393451 LCD393451 KSH393451 KIL393451 JYP393451 JOT393451 JEX393451 IVB393451 ILF393451 IBJ393451 HRN393451 HHR393451 GXV393451 GNZ393451 GED393451 FUH393451 FKL393451 FAP393451 EQT393451 EGX393451 DXB393451 DNF393451 DDJ393451 CTN393451 CJR393451 BZV393451 BPZ393451 BGD393451 AWH393451 AML393451 ACP393451 ST393451 IX393451 B393451 WVJ327915 WLN327915 WBR327915 VRV327915 VHZ327915 UYD327915 UOH327915 UEL327915 TUP327915 TKT327915 TAX327915 SRB327915 SHF327915 RXJ327915 RNN327915 RDR327915 QTV327915 QJZ327915 QAD327915 PQH327915 PGL327915 OWP327915 OMT327915 OCX327915 NTB327915 NJF327915 MZJ327915 MPN327915 MFR327915 LVV327915 LLZ327915 LCD327915 KSH327915 KIL327915 JYP327915 JOT327915 JEX327915 IVB327915 ILF327915 IBJ327915 HRN327915 HHR327915 GXV327915 GNZ327915 GED327915 FUH327915 FKL327915 FAP327915 EQT327915 EGX327915 DXB327915 DNF327915 DDJ327915 CTN327915 CJR327915 BZV327915 BPZ327915 BGD327915 AWH327915 AML327915 ACP327915 ST327915 IX327915 B327915 WVJ262379 WLN262379 WBR262379 VRV262379 VHZ262379 UYD262379 UOH262379 UEL262379 TUP262379 TKT262379 TAX262379 SRB262379 SHF262379 RXJ262379 RNN262379 RDR262379 QTV262379 QJZ262379 QAD262379 PQH262379 PGL262379 OWP262379 OMT262379 OCX262379 NTB262379 NJF262379 MZJ262379 MPN262379 MFR262379 LVV262379 LLZ262379 LCD262379 KSH262379 KIL262379 JYP262379 JOT262379 JEX262379 IVB262379 ILF262379 IBJ262379 HRN262379 HHR262379 GXV262379 GNZ262379 GED262379 FUH262379 FKL262379 FAP262379 EQT262379 EGX262379 DXB262379 DNF262379 DDJ262379 CTN262379 CJR262379 BZV262379 BPZ262379 BGD262379 AWH262379 AML262379 ACP262379 ST262379 IX262379 B262379 WVJ196843 WLN196843 WBR196843 VRV196843 VHZ196843 UYD196843 UOH196843 UEL196843 TUP196843 TKT196843 TAX196843 SRB196843 SHF196843 RXJ196843 RNN196843 RDR196843 QTV196843 QJZ196843 QAD196843 PQH196843 PGL196843 OWP196843 OMT196843 OCX196843 NTB196843 NJF196843 MZJ196843 MPN196843 MFR196843 LVV196843 LLZ196843 LCD196843 KSH196843 KIL196843 JYP196843 JOT196843 JEX196843 IVB196843 ILF196843 IBJ196843 HRN196843 HHR196843 GXV196843 GNZ196843 GED196843 FUH196843 FKL196843 FAP196843 EQT196843 EGX196843 DXB196843 DNF196843 DDJ196843 CTN196843 CJR196843 BZV196843 BPZ196843 BGD196843 AWH196843 AML196843 ACP196843 ST196843 IX196843 B196843 WVJ131307 WLN131307 WBR131307 VRV131307 VHZ131307 UYD131307 UOH131307 UEL131307 TUP131307 TKT131307 TAX131307 SRB131307 SHF131307 RXJ131307 RNN131307 RDR131307 QTV131307 QJZ131307 QAD131307 PQH131307 PGL131307 OWP131307 OMT131307 OCX131307 NTB131307 NJF131307 MZJ131307 MPN131307 MFR131307 LVV131307 LLZ131307 LCD131307 KSH131307 KIL131307 JYP131307 JOT131307 JEX131307 IVB131307 ILF131307 IBJ131307 HRN131307 HHR131307 GXV131307 GNZ131307 GED131307 FUH131307 FKL131307 FAP131307 EQT131307 EGX131307 DXB131307 DNF131307 DDJ131307 CTN131307 CJR131307 BZV131307 BPZ131307 BGD131307 AWH131307 AML131307 ACP131307 ST131307 IX131307 B131307 WVJ65771 WLN65771 WBR65771 VRV65771 VHZ65771 UYD65771 UOH65771 UEL65771 TUP65771 TKT65771 TAX65771 SRB65771 SHF65771 RXJ65771 RNN65771 RDR65771 QTV65771 QJZ65771 QAD65771 PQH65771 PGL65771 OWP65771 OMT65771 OCX65771 NTB65771 NJF65771 MZJ65771 MPN65771 MFR65771 LVV65771 LLZ65771 LCD65771 KSH65771 KIL65771 JYP65771 JOT65771 JEX65771 IVB65771 ILF65771 IBJ65771 HRN65771 HHR65771 GXV65771 GNZ65771 GED65771 FUH65771 FKL65771 FAP65771 EQT65771 EGX65771 DXB65771 DNF65771 DDJ65771 CTN65771 CJR65771 BZV65771 BPZ65771 BGD65771 AWH65771 AML65771 ACP65771 ST65771 IX65771 B65771 WVJ983260 WLN983260 WBR983260 VRV983260 VHZ983260 UYD983260 UOH983260 UEL983260 TUP983260 TKT983260 TAX983260 SRB983260 SHF983260 RXJ983260 RNN983260 RDR983260 QTV983260 QJZ983260 QAD983260 PQH983260 PGL983260 OWP983260 OMT983260 OCX983260 NTB983260 NJF983260 MZJ983260 MPN983260 MFR983260 LVV983260 LLZ983260 LCD983260 KSH983260 KIL983260 JYP983260 JOT983260 JEX983260 IVB983260 ILF983260 IBJ983260 HRN983260 HHR983260 GXV983260 GNZ983260 GED983260 FUH983260 FKL983260 FAP983260 EQT983260 EGX983260 DXB983260 DNF983260 DDJ983260 CTN983260 CJR983260 BZV983260 BPZ983260 BGD983260 AWH983260 AML983260 ACP983260 ST983260 IX983260 B983260 WVJ917724 WLN917724 WBR917724 VRV917724 VHZ917724 UYD917724 UOH917724 UEL917724 TUP917724 TKT917724 TAX917724 SRB917724 SHF917724 RXJ917724 RNN917724 RDR917724 QTV917724 QJZ917724 QAD917724 PQH917724 PGL917724 OWP917724 OMT917724 OCX917724 NTB917724 NJF917724 MZJ917724 MPN917724 MFR917724 LVV917724 LLZ917724 LCD917724 KSH917724 KIL917724 JYP917724 JOT917724 JEX917724 IVB917724 ILF917724 IBJ917724 HRN917724 HHR917724 GXV917724 GNZ917724 GED917724 FUH917724 FKL917724 FAP917724 EQT917724 EGX917724 DXB917724 DNF917724 DDJ917724 CTN917724 CJR917724 BZV917724 BPZ917724 BGD917724 AWH917724 AML917724 ACP917724 ST917724 IX917724 B917724 WVJ852188 WLN852188 WBR852188 VRV852188 VHZ852188 UYD852188 UOH852188 UEL852188 TUP852188 TKT852188 TAX852188 SRB852188 SHF852188 RXJ852188 RNN852188 RDR852188 QTV852188 QJZ852188 QAD852188 PQH852188 PGL852188 OWP852188 OMT852188 OCX852188 NTB852188 NJF852188 MZJ852188 MPN852188 MFR852188 LVV852188 LLZ852188 LCD852188 KSH852188 KIL852188 JYP852188 JOT852188 JEX852188 IVB852188 ILF852188 IBJ852188 HRN852188 HHR852188 GXV852188 GNZ852188 GED852188 FUH852188 FKL852188 FAP852188 EQT852188 EGX852188 DXB852188 DNF852188 DDJ852188 CTN852188 CJR852188 BZV852188 BPZ852188 BGD852188 AWH852188 AML852188 ACP852188 ST852188 IX852188 B852188 WVJ786652 WLN786652 WBR786652 VRV786652 VHZ786652 UYD786652 UOH786652 UEL786652 TUP786652 TKT786652 TAX786652 SRB786652 SHF786652 RXJ786652 RNN786652 RDR786652 QTV786652 QJZ786652 QAD786652 PQH786652 PGL786652 OWP786652 OMT786652 OCX786652 NTB786652 NJF786652 MZJ786652 MPN786652 MFR786652 LVV786652 LLZ786652 LCD786652 KSH786652 KIL786652 JYP786652 JOT786652 JEX786652 IVB786652 ILF786652 IBJ786652 HRN786652 HHR786652 GXV786652 GNZ786652 GED786652 FUH786652 FKL786652 FAP786652 EQT786652 EGX786652 DXB786652 DNF786652 DDJ786652 CTN786652 CJR786652 BZV786652 BPZ786652 BGD786652 AWH786652 AML786652 ACP786652 ST786652 IX786652 B786652 WVJ721116 WLN721116 WBR721116 VRV721116 VHZ721116 UYD721116 UOH721116 UEL721116 TUP721116 TKT721116 TAX721116 SRB721116 SHF721116 RXJ721116 RNN721116 RDR721116 QTV721116 QJZ721116 QAD721116 PQH721116 PGL721116 OWP721116 OMT721116 OCX721116 NTB721116 NJF721116 MZJ721116 MPN721116 MFR721116 LVV721116 LLZ721116 LCD721116 KSH721116 KIL721116 JYP721116 JOT721116 JEX721116 IVB721116 ILF721116 IBJ721116 HRN721116 HHR721116 GXV721116 GNZ721116 GED721116 FUH721116 FKL721116 FAP721116 EQT721116 EGX721116 DXB721116 DNF721116 DDJ721116 CTN721116 CJR721116 BZV721116 BPZ721116 BGD721116 AWH721116 AML721116 ACP721116 ST721116 IX721116 B721116 WVJ655580 WLN655580 WBR655580 VRV655580 VHZ655580 UYD655580 UOH655580 UEL655580 TUP655580 TKT655580 TAX655580 SRB655580 SHF655580 RXJ655580 RNN655580 RDR655580 QTV655580 QJZ655580 QAD655580 PQH655580 PGL655580 OWP655580 OMT655580 OCX655580 NTB655580 NJF655580 MZJ655580 MPN655580 MFR655580 LVV655580 LLZ655580 LCD655580 KSH655580 KIL655580 JYP655580 JOT655580 JEX655580 IVB655580 ILF655580 IBJ655580 HRN655580 HHR655580 GXV655580 GNZ655580 GED655580 FUH655580 FKL655580 FAP655580 EQT655580 EGX655580 DXB655580 DNF655580 DDJ655580 CTN655580 CJR655580 BZV655580 BPZ655580 BGD655580 AWH655580 AML655580 ACP655580 ST655580 IX655580 B655580 WVJ590044 WLN590044 WBR590044 VRV590044 VHZ590044 UYD590044 UOH590044 UEL590044 TUP590044 TKT590044 TAX590044 SRB590044 SHF590044 RXJ590044 RNN590044 RDR590044 QTV590044 QJZ590044 QAD590044 PQH590044 PGL590044 OWP590044 OMT590044 OCX590044 NTB590044 NJF590044 MZJ590044 MPN590044 MFR590044 LVV590044 LLZ590044 LCD590044 KSH590044 KIL590044 JYP590044 JOT590044 JEX590044 IVB590044 ILF590044 IBJ590044 HRN590044 HHR590044 GXV590044 GNZ590044 GED590044 FUH590044 FKL590044 FAP590044 EQT590044 EGX590044 DXB590044 DNF590044 DDJ590044 CTN590044 CJR590044 BZV590044 BPZ590044 BGD590044 AWH590044 AML590044 ACP590044 ST590044 IX590044 B590044 WVJ524508 WLN524508 WBR524508 VRV524508 VHZ524508 UYD524508 UOH524508 UEL524508 TUP524508 TKT524508 TAX524508 SRB524508 SHF524508 RXJ524508 RNN524508 RDR524508 QTV524508 QJZ524508 QAD524508 PQH524508 PGL524508 OWP524508 OMT524508 OCX524508 NTB524508 NJF524508 MZJ524508 MPN524508 MFR524508 LVV524508 LLZ524508 LCD524508 KSH524508 KIL524508 JYP524508 JOT524508 JEX524508 IVB524508 ILF524508 IBJ524508 HRN524508 HHR524508 GXV524508 GNZ524508 GED524508 FUH524508 FKL524508 FAP524508 EQT524508 EGX524508 DXB524508 DNF524508 DDJ524508 CTN524508 CJR524508 BZV524508 BPZ524508 BGD524508 AWH524508 AML524508 ACP524508 ST524508 IX524508 B524508 WVJ458972 WLN458972 WBR458972 VRV458972 VHZ458972 UYD458972 UOH458972 UEL458972 TUP458972 TKT458972 TAX458972 SRB458972 SHF458972 RXJ458972 RNN458972 RDR458972 QTV458972 QJZ458972 QAD458972 PQH458972 PGL458972 OWP458972 OMT458972 OCX458972 NTB458972 NJF458972 MZJ458972 MPN458972 MFR458972 LVV458972 LLZ458972 LCD458972 KSH458972 KIL458972 JYP458972 JOT458972 JEX458972 IVB458972 ILF458972 IBJ458972 HRN458972 HHR458972 GXV458972 GNZ458972 GED458972 FUH458972 FKL458972 FAP458972 EQT458972 EGX458972 DXB458972 DNF458972 DDJ458972 CTN458972 CJR458972 BZV458972 BPZ458972 BGD458972 AWH458972 AML458972 ACP458972 ST458972 IX458972 B458972 WVJ393436 WLN393436 WBR393436 VRV393436 VHZ393436 UYD393436 UOH393436 UEL393436 TUP393436 TKT393436 TAX393436 SRB393436 SHF393436 RXJ393436 RNN393436 RDR393436 QTV393436 QJZ393436 QAD393436 PQH393436 PGL393436 OWP393436 OMT393436 OCX393436 NTB393436 NJF393436 MZJ393436 MPN393436 MFR393436 LVV393436 LLZ393436 LCD393436 KSH393436 KIL393436 JYP393436 JOT393436 JEX393436 IVB393436 ILF393436 IBJ393436 HRN393436 HHR393436 GXV393436 GNZ393436 GED393436 FUH393436 FKL393436 FAP393436 EQT393436 EGX393436 DXB393436 DNF393436 DDJ393436 CTN393436 CJR393436 BZV393436 BPZ393436 BGD393436 AWH393436 AML393436 ACP393436 ST393436 IX393436 B393436 WVJ327900 WLN327900 WBR327900 VRV327900 VHZ327900 UYD327900 UOH327900 UEL327900 TUP327900 TKT327900 TAX327900 SRB327900 SHF327900 RXJ327900 RNN327900 RDR327900 QTV327900 QJZ327900 QAD327900 PQH327900 PGL327900 OWP327900 OMT327900 OCX327900 NTB327900 NJF327900 MZJ327900 MPN327900 MFR327900 LVV327900 LLZ327900 LCD327900 KSH327900 KIL327900 JYP327900 JOT327900 JEX327900 IVB327900 ILF327900 IBJ327900 HRN327900 HHR327900 GXV327900 GNZ327900 GED327900 FUH327900 FKL327900 FAP327900 EQT327900 EGX327900 DXB327900 DNF327900 DDJ327900 CTN327900 CJR327900 BZV327900 BPZ327900 BGD327900 AWH327900 AML327900 ACP327900 ST327900 IX327900 B327900 WVJ262364 WLN262364 WBR262364 VRV262364 VHZ262364 UYD262364 UOH262364 UEL262364 TUP262364 TKT262364 TAX262364 SRB262364 SHF262364 RXJ262364 RNN262364 RDR262364 QTV262364 QJZ262364 QAD262364 PQH262364 PGL262364 OWP262364 OMT262364 OCX262364 NTB262364 NJF262364 MZJ262364 MPN262364 MFR262364 LVV262364 LLZ262364 LCD262364 KSH262364 KIL262364 JYP262364 JOT262364 JEX262364 IVB262364 ILF262364 IBJ262364 HRN262364 HHR262364 GXV262364 GNZ262364 GED262364 FUH262364 FKL262364 FAP262364 EQT262364 EGX262364 DXB262364 DNF262364 DDJ262364 CTN262364 CJR262364 BZV262364 BPZ262364 BGD262364 AWH262364 AML262364 ACP262364 ST262364 IX262364 B262364 WVJ196828 WLN196828 WBR196828 VRV196828 VHZ196828 UYD196828 UOH196828 UEL196828 TUP196828 TKT196828 TAX196828 SRB196828 SHF196828 RXJ196828 RNN196828 RDR196828 QTV196828 QJZ196828 QAD196828 PQH196828 PGL196828 OWP196828 OMT196828 OCX196828 NTB196828 NJF196828 MZJ196828 MPN196828 MFR196828 LVV196828 LLZ196828 LCD196828 KSH196828 KIL196828 JYP196828 JOT196828 JEX196828 IVB196828 ILF196828 IBJ196828 HRN196828 HHR196828 GXV196828 GNZ196828 GED196828 FUH196828 FKL196828 FAP196828 EQT196828 EGX196828 DXB196828 DNF196828 DDJ196828 CTN196828 CJR196828 BZV196828 BPZ196828 BGD196828 AWH196828 AML196828 ACP196828 ST196828 IX196828 B196828 WVJ131292 WLN131292 WBR131292 VRV131292 VHZ131292 UYD131292 UOH131292 UEL131292 TUP131292 TKT131292 TAX131292 SRB131292 SHF131292 RXJ131292 RNN131292 RDR131292 QTV131292 QJZ131292 QAD131292 PQH131292 PGL131292 OWP131292 OMT131292 OCX131292 NTB131292 NJF131292 MZJ131292 MPN131292 MFR131292 LVV131292 LLZ131292 LCD131292 KSH131292 KIL131292 JYP131292 JOT131292 JEX131292 IVB131292 ILF131292 IBJ131292 HRN131292 HHR131292 GXV131292 GNZ131292 GED131292 FUH131292 FKL131292 FAP131292 EQT131292 EGX131292 DXB131292 DNF131292 DDJ131292 CTN131292 CJR131292 BZV131292 BPZ131292 BGD131292 AWH131292 AML131292 ACP131292 ST131292 IX131292 B131292 WVJ65756 WLN65756 WBR65756 VRV65756 VHZ65756 UYD65756 UOH65756 UEL65756 TUP65756 TKT65756 TAX65756 SRB65756 SHF65756 RXJ65756 RNN65756 RDR65756 QTV65756 QJZ65756 QAD65756 PQH65756 PGL65756 OWP65756 OMT65756 OCX65756 NTB65756 NJF65756 MZJ65756 MPN65756 MFR65756 LVV65756 LLZ65756 LCD65756 KSH65756 KIL65756 JYP65756 JOT65756 JEX65756 IVB65756 ILF65756 IBJ65756 HRN65756 HHR65756 GXV65756 GNZ65756 GED65756 FUH65756 FKL65756 FAP65756 EQT65756 EGX65756 DXB65756 DNF65756 DDJ65756 CTN65756 CJR65756 BZV65756 BPZ65756 BGD65756 AWH65756 AML65756 ACP65756 ST65756 IX65756 B65756 WVJ983185 WLN983185 WBR983185 VRV983185 VHZ983185 UYD983185 UOH983185 UEL983185 TUP983185 TKT983185 TAX983185 SRB983185 SHF983185 RXJ983185 RNN983185 RDR983185 QTV983185 QJZ983185 QAD983185 PQH983185 PGL983185 OWP983185 OMT983185 OCX983185 NTB983185 NJF983185 MZJ983185 MPN983185 MFR983185 LVV983185 LLZ983185 LCD983185 KSH983185 KIL983185 JYP983185 JOT983185 JEX983185 IVB983185 ILF983185 IBJ983185 HRN983185 HHR983185 GXV983185 GNZ983185 GED983185 FUH983185 FKL983185 FAP983185 EQT983185 EGX983185 DXB983185 DNF983185 DDJ983185 CTN983185 CJR983185 BZV983185 BPZ983185 BGD983185 AWH983185 AML983185 ACP983185 ST983185 IX983185 B983185 WVJ917649 WLN917649 WBR917649 VRV917649 VHZ917649 UYD917649 UOH917649 UEL917649 TUP917649 TKT917649 TAX917649 SRB917649 SHF917649 RXJ917649 RNN917649 RDR917649 QTV917649 QJZ917649 QAD917649 PQH917649 PGL917649 OWP917649 OMT917649 OCX917649 NTB917649 NJF917649 MZJ917649 MPN917649 MFR917649 LVV917649 LLZ917649 LCD917649 KSH917649 KIL917649 JYP917649 JOT917649 JEX917649 IVB917649 ILF917649 IBJ917649 HRN917649 HHR917649 GXV917649 GNZ917649 GED917649 FUH917649 FKL917649 FAP917649 EQT917649 EGX917649 DXB917649 DNF917649 DDJ917649 CTN917649 CJR917649 BZV917649 BPZ917649 BGD917649 AWH917649 AML917649 ACP917649 ST917649 IX917649 B917649 WVJ852113 WLN852113 WBR852113 VRV852113 VHZ852113 UYD852113 UOH852113 UEL852113 TUP852113 TKT852113 TAX852113 SRB852113 SHF852113 RXJ852113 RNN852113 RDR852113 QTV852113 QJZ852113 QAD852113 PQH852113 PGL852113 OWP852113 OMT852113 OCX852113 NTB852113 NJF852113 MZJ852113 MPN852113 MFR852113 LVV852113 LLZ852113 LCD852113 KSH852113 KIL852113 JYP852113 JOT852113 JEX852113 IVB852113 ILF852113 IBJ852113 HRN852113 HHR852113 GXV852113 GNZ852113 GED852113 FUH852113 FKL852113 FAP852113 EQT852113 EGX852113 DXB852113 DNF852113 DDJ852113 CTN852113 CJR852113 BZV852113 BPZ852113 BGD852113 AWH852113 AML852113 ACP852113 ST852113 IX852113 B852113 WVJ786577 WLN786577 WBR786577 VRV786577 VHZ786577 UYD786577 UOH786577 UEL786577 TUP786577 TKT786577 TAX786577 SRB786577 SHF786577 RXJ786577 RNN786577 RDR786577 QTV786577 QJZ786577 QAD786577 PQH786577 PGL786577 OWP786577 OMT786577 OCX786577 NTB786577 NJF786577 MZJ786577 MPN786577 MFR786577 LVV786577 LLZ786577 LCD786577 KSH786577 KIL786577 JYP786577 JOT786577 JEX786577 IVB786577 ILF786577 IBJ786577 HRN786577 HHR786577 GXV786577 GNZ786577 GED786577 FUH786577 FKL786577 FAP786577 EQT786577 EGX786577 DXB786577 DNF786577 DDJ786577 CTN786577 CJR786577 BZV786577 BPZ786577 BGD786577 AWH786577 AML786577 ACP786577 ST786577 IX786577 B786577 WVJ721041 WLN721041 WBR721041 VRV721041 VHZ721041 UYD721041 UOH721041 UEL721041 TUP721041 TKT721041 TAX721041 SRB721041 SHF721041 RXJ721041 RNN721041 RDR721041 QTV721041 QJZ721041 QAD721041 PQH721041 PGL721041 OWP721041 OMT721041 OCX721041 NTB721041 NJF721041 MZJ721041 MPN721041 MFR721041 LVV721041 LLZ721041 LCD721041 KSH721041 KIL721041 JYP721041 JOT721041 JEX721041 IVB721041 ILF721041 IBJ721041 HRN721041 HHR721041 GXV721041 GNZ721041 GED721041 FUH721041 FKL721041 FAP721041 EQT721041 EGX721041 DXB721041 DNF721041 DDJ721041 CTN721041 CJR721041 BZV721041 BPZ721041 BGD721041 AWH721041 AML721041 ACP721041 ST721041 IX721041 B721041 WVJ655505 WLN655505 WBR655505 VRV655505 VHZ655505 UYD655505 UOH655505 UEL655505 TUP655505 TKT655505 TAX655505 SRB655505 SHF655505 RXJ655505 RNN655505 RDR655505 QTV655505 QJZ655505 QAD655505 PQH655505 PGL655505 OWP655505 OMT655505 OCX655505 NTB655505 NJF655505 MZJ655505 MPN655505 MFR655505 LVV655505 LLZ655505 LCD655505 KSH655505 KIL655505 JYP655505 JOT655505 JEX655505 IVB655505 ILF655505 IBJ655505 HRN655505 HHR655505 GXV655505 GNZ655505 GED655505 FUH655505 FKL655505 FAP655505 EQT655505 EGX655505 DXB655505 DNF655505 DDJ655505 CTN655505 CJR655505 BZV655505 BPZ655505 BGD655505 AWH655505 AML655505 ACP655505 ST655505 IX655505 B655505 WVJ589969 WLN589969 WBR589969 VRV589969 VHZ589969 UYD589969 UOH589969 UEL589969 TUP589969 TKT589969 TAX589969 SRB589969 SHF589969 RXJ589969 RNN589969 RDR589969 QTV589969 QJZ589969 QAD589969 PQH589969 PGL589969 OWP589969 OMT589969 OCX589969 NTB589969 NJF589969 MZJ589969 MPN589969 MFR589969 LVV589969 LLZ589969 LCD589969 KSH589969 KIL589969 JYP589969 JOT589969 JEX589969 IVB589969 ILF589969 IBJ589969 HRN589969 HHR589969 GXV589969 GNZ589969 GED589969 FUH589969 FKL589969 FAP589969 EQT589969 EGX589969 DXB589969 DNF589969 DDJ589969 CTN589969 CJR589969 BZV589969 BPZ589969 BGD589969 AWH589969 AML589969 ACP589969 ST589969 IX589969 B589969 WVJ524433 WLN524433 WBR524433 VRV524433 VHZ524433 UYD524433 UOH524433 UEL524433 TUP524433 TKT524433 TAX524433 SRB524433 SHF524433 RXJ524433 RNN524433 RDR524433 QTV524433 QJZ524433 QAD524433 PQH524433 PGL524433 OWP524433 OMT524433 OCX524433 NTB524433 NJF524433 MZJ524433 MPN524433 MFR524433 LVV524433 LLZ524433 LCD524433 KSH524433 KIL524433 JYP524433 JOT524433 JEX524433 IVB524433 ILF524433 IBJ524433 HRN524433 HHR524433 GXV524433 GNZ524433 GED524433 FUH524433 FKL524433 FAP524433 EQT524433 EGX524433 DXB524433 DNF524433 DDJ524433 CTN524433 CJR524433 BZV524433 BPZ524433 BGD524433 AWH524433 AML524433 ACP524433 ST524433 IX524433 B524433 WVJ458897 WLN458897 WBR458897 VRV458897 VHZ458897 UYD458897 UOH458897 UEL458897 TUP458897 TKT458897 TAX458897 SRB458897 SHF458897 RXJ458897 RNN458897 RDR458897 QTV458897 QJZ458897 QAD458897 PQH458897 PGL458897 OWP458897 OMT458897 OCX458897 NTB458897 NJF458897 MZJ458897 MPN458897 MFR458897 LVV458897 LLZ458897 LCD458897 KSH458897 KIL458897 JYP458897 JOT458897 JEX458897 IVB458897 ILF458897 IBJ458897 HRN458897 HHR458897 GXV458897 GNZ458897 GED458897 FUH458897 FKL458897 FAP458897 EQT458897 EGX458897 DXB458897 DNF458897 DDJ458897 CTN458897 CJR458897 BZV458897 BPZ458897 BGD458897 AWH458897 AML458897 ACP458897 ST458897 IX458897 B458897 WVJ393361 WLN393361 WBR393361 VRV393361 VHZ393361 UYD393361 UOH393361 UEL393361 TUP393361 TKT393361 TAX393361 SRB393361 SHF393361 RXJ393361 RNN393361 RDR393361 QTV393361 QJZ393361 QAD393361 PQH393361 PGL393361 OWP393361 OMT393361 OCX393361 NTB393361 NJF393361 MZJ393361 MPN393361 MFR393361 LVV393361 LLZ393361 LCD393361 KSH393361 KIL393361 JYP393361 JOT393361 JEX393361 IVB393361 ILF393361 IBJ393361 HRN393361 HHR393361 GXV393361 GNZ393361 GED393361 FUH393361 FKL393361 FAP393361 EQT393361 EGX393361 DXB393361 DNF393361 DDJ393361 CTN393361 CJR393361 BZV393361 BPZ393361 BGD393361 AWH393361 AML393361 ACP393361 ST393361 IX393361 B393361 WVJ327825 WLN327825 WBR327825 VRV327825 VHZ327825 UYD327825 UOH327825 UEL327825 TUP327825 TKT327825 TAX327825 SRB327825 SHF327825 RXJ327825 RNN327825 RDR327825 QTV327825 QJZ327825 QAD327825 PQH327825 PGL327825 OWP327825 OMT327825 OCX327825 NTB327825 NJF327825 MZJ327825 MPN327825 MFR327825 LVV327825 LLZ327825 LCD327825 KSH327825 KIL327825 JYP327825 JOT327825 JEX327825 IVB327825 ILF327825 IBJ327825 HRN327825 HHR327825 GXV327825 GNZ327825 GED327825 FUH327825 FKL327825 FAP327825 EQT327825 EGX327825 DXB327825 DNF327825 DDJ327825 CTN327825 CJR327825 BZV327825 BPZ327825 BGD327825 AWH327825 AML327825 ACP327825 ST327825 IX327825 B327825 WVJ262289 WLN262289 WBR262289 VRV262289 VHZ262289 UYD262289 UOH262289 UEL262289 TUP262289 TKT262289 TAX262289 SRB262289 SHF262289 RXJ262289 RNN262289 RDR262289 QTV262289 QJZ262289 QAD262289 PQH262289 PGL262289 OWP262289 OMT262289 OCX262289 NTB262289 NJF262289 MZJ262289 MPN262289 MFR262289 LVV262289 LLZ262289 LCD262289 KSH262289 KIL262289 JYP262289 JOT262289 JEX262289 IVB262289 ILF262289 IBJ262289 HRN262289 HHR262289 GXV262289 GNZ262289 GED262289 FUH262289 FKL262289 FAP262289 EQT262289 EGX262289 DXB262289 DNF262289 DDJ262289 CTN262289 CJR262289 BZV262289 BPZ262289 BGD262289 AWH262289 AML262289 ACP262289 ST262289 IX262289 B262289 WVJ196753 WLN196753 WBR196753 VRV196753 VHZ196753 UYD196753 UOH196753 UEL196753 TUP196753 TKT196753 TAX196753 SRB196753 SHF196753 RXJ196753 RNN196753 RDR196753 QTV196753 QJZ196753 QAD196753 PQH196753 PGL196753 OWP196753 OMT196753 OCX196753 NTB196753 NJF196753 MZJ196753 MPN196753 MFR196753 LVV196753 LLZ196753 LCD196753 KSH196753 KIL196753 JYP196753 JOT196753 JEX196753 IVB196753 ILF196753 IBJ196753 HRN196753 HHR196753 GXV196753 GNZ196753 GED196753 FUH196753 FKL196753 FAP196753 EQT196753 EGX196753 DXB196753 DNF196753 DDJ196753 CTN196753 CJR196753 BZV196753 BPZ196753 BGD196753 AWH196753 AML196753 ACP196753 ST196753 IX196753 B196753 WVJ131217 WLN131217 WBR131217 VRV131217 VHZ131217 UYD131217 UOH131217 UEL131217 TUP131217 TKT131217 TAX131217 SRB131217 SHF131217 RXJ131217 RNN131217 RDR131217 QTV131217 QJZ131217 QAD131217 PQH131217 PGL131217 OWP131217 OMT131217 OCX131217 NTB131217 NJF131217 MZJ131217 MPN131217 MFR131217 LVV131217 LLZ131217 LCD131217 KSH131217 KIL131217 JYP131217 JOT131217 JEX131217 IVB131217 ILF131217 IBJ131217 HRN131217 HHR131217 GXV131217 GNZ131217 GED131217 FUH131217 FKL131217 FAP131217 EQT131217 EGX131217 DXB131217 DNF131217 DDJ131217 CTN131217 CJR131217 BZV131217 BPZ131217 BGD131217 AWH131217 AML131217 ACP131217 ST131217 IX131217 B131217 WVJ65681 WLN65681 WBR65681 VRV65681 VHZ65681 UYD65681 UOH65681 UEL65681 TUP65681 TKT65681 TAX65681 SRB65681 SHF65681 RXJ65681 RNN65681 RDR65681 QTV65681 QJZ65681 QAD65681 PQH65681 PGL65681 OWP65681 OMT65681 OCX65681 NTB65681 NJF65681 MZJ65681 MPN65681 MFR65681 LVV65681 LLZ65681 LCD65681 KSH65681 KIL65681 JYP65681 JOT65681 JEX65681 IVB65681 ILF65681 IBJ65681 HRN65681 HHR65681 GXV65681 GNZ65681 GED65681 FUH65681 FKL65681 FAP65681 EQT65681 EGX65681 DXB65681 DNF65681 DDJ65681 CTN65681 CJR65681 BZV65681 BPZ65681 BGD65681 AWH65681 AML65681 ACP65681 ST65681 IX65681 B65681 WVJ227 WLN227 WBR227 VRV227 VHZ227 UYD227 UOH227 UEL227 TUP227 TKT227 TAX227 SRB227 SHF227 RXJ227 RNN227 RDR227 QTV227 QJZ227 QAD227 PQH227 PGL227 OWP227 OMT227 OCX227 NTB227 NJF227 MZJ227 MPN227 MFR227 LVV227 LLZ227 LCD227 KSH227 KIL227 JYP227 JOT227 JEX227 IVB227 ILF227 IBJ227 HRN227 HHR227 GXV227 GNZ227 GED227 FUH227 FKL227 FAP227 EQT227 EGX227 DXB227 DNF227 DDJ227 CTN227 CJR227 BZV227 BPZ227 BGD227 AWH227 AML227 ACP227 ST227 IX227 BPZ137 WVJ983170 WLN983170 WBR983170 VRV983170 VHZ983170 UYD983170 UOH983170 UEL983170 TUP983170 TKT983170 TAX983170 SRB983170 SHF983170 RXJ983170 RNN983170 RDR983170 QTV983170 QJZ983170 QAD983170 PQH983170 PGL983170 OWP983170 OMT983170 OCX983170 NTB983170 NJF983170 MZJ983170 MPN983170 MFR983170 LVV983170 LLZ983170 LCD983170 KSH983170 KIL983170 JYP983170 JOT983170 JEX983170 IVB983170 ILF983170 IBJ983170 HRN983170 HHR983170 GXV983170 GNZ983170 GED983170 FUH983170 FKL983170 FAP983170 EQT983170 EGX983170 DXB983170 DNF983170 DDJ983170 CTN983170 CJR983170 BZV983170 BPZ983170 BGD983170 AWH983170 AML983170 ACP983170 ST983170 IX983170 B983170 WVJ917634 WLN917634 WBR917634 VRV917634 VHZ917634 UYD917634 UOH917634 UEL917634 TUP917634 TKT917634 TAX917634 SRB917634 SHF917634 RXJ917634 RNN917634 RDR917634 QTV917634 QJZ917634 QAD917634 PQH917634 PGL917634 OWP917634 OMT917634 OCX917634 NTB917634 NJF917634 MZJ917634 MPN917634 MFR917634 LVV917634 LLZ917634 LCD917634 KSH917634 KIL917634 JYP917634 JOT917634 JEX917634 IVB917634 ILF917634 IBJ917634 HRN917634 HHR917634 GXV917634 GNZ917634 GED917634 FUH917634 FKL917634 FAP917634 EQT917634 EGX917634 DXB917634 DNF917634 DDJ917634 CTN917634 CJR917634 BZV917634 BPZ917634 BGD917634 AWH917634 AML917634 ACP917634 ST917634 IX917634 B917634 WVJ852098 WLN852098 WBR852098 VRV852098 VHZ852098 UYD852098 UOH852098 UEL852098 TUP852098 TKT852098 TAX852098 SRB852098 SHF852098 RXJ852098 RNN852098 RDR852098 QTV852098 QJZ852098 QAD852098 PQH852098 PGL852098 OWP852098 OMT852098 OCX852098 NTB852098 NJF852098 MZJ852098 MPN852098 MFR852098 LVV852098 LLZ852098 LCD852098 KSH852098 KIL852098 JYP852098 JOT852098 JEX852098 IVB852098 ILF852098 IBJ852098 HRN852098 HHR852098 GXV852098 GNZ852098 GED852098 FUH852098 FKL852098 FAP852098 EQT852098 EGX852098 DXB852098 DNF852098 DDJ852098 CTN852098 CJR852098 BZV852098 BPZ852098 BGD852098 AWH852098 AML852098 ACP852098 ST852098 IX852098 B852098 WVJ786562 WLN786562 WBR786562 VRV786562 VHZ786562 UYD786562 UOH786562 UEL786562 TUP786562 TKT786562 TAX786562 SRB786562 SHF786562 RXJ786562 RNN786562 RDR786562 QTV786562 QJZ786562 QAD786562 PQH786562 PGL786562 OWP786562 OMT786562 OCX786562 NTB786562 NJF786562 MZJ786562 MPN786562 MFR786562 LVV786562 LLZ786562 LCD786562 KSH786562 KIL786562 JYP786562 JOT786562 JEX786562 IVB786562 ILF786562 IBJ786562 HRN786562 HHR786562 GXV786562 GNZ786562 GED786562 FUH786562 FKL786562 FAP786562 EQT786562 EGX786562 DXB786562 DNF786562 DDJ786562 CTN786562 CJR786562 BZV786562 BPZ786562 BGD786562 AWH786562 AML786562 ACP786562 ST786562 IX786562 B786562 WVJ721026 WLN721026 WBR721026 VRV721026 VHZ721026 UYD721026 UOH721026 UEL721026 TUP721026 TKT721026 TAX721026 SRB721026 SHF721026 RXJ721026 RNN721026 RDR721026 QTV721026 QJZ721026 QAD721026 PQH721026 PGL721026 OWP721026 OMT721026 OCX721026 NTB721026 NJF721026 MZJ721026 MPN721026 MFR721026 LVV721026 LLZ721026 LCD721026 KSH721026 KIL721026 JYP721026 JOT721026 JEX721026 IVB721026 ILF721026 IBJ721026 HRN721026 HHR721026 GXV721026 GNZ721026 GED721026 FUH721026 FKL721026 FAP721026 EQT721026 EGX721026 DXB721026 DNF721026 DDJ721026 CTN721026 CJR721026 BZV721026 BPZ721026 BGD721026 AWH721026 AML721026 ACP721026 ST721026 IX721026 B721026 WVJ655490 WLN655490 WBR655490 VRV655490 VHZ655490 UYD655490 UOH655490 UEL655490 TUP655490 TKT655490 TAX655490 SRB655490 SHF655490 RXJ655490 RNN655490 RDR655490 QTV655490 QJZ655490 QAD655490 PQH655490 PGL655490 OWP655490 OMT655490 OCX655490 NTB655490 NJF655490 MZJ655490 MPN655490 MFR655490 LVV655490 LLZ655490 LCD655490 KSH655490 KIL655490 JYP655490 JOT655490 JEX655490 IVB655490 ILF655490 IBJ655490 HRN655490 HHR655490 GXV655490 GNZ655490 GED655490 FUH655490 FKL655490 FAP655490 EQT655490 EGX655490 DXB655490 DNF655490 DDJ655490 CTN655490 CJR655490 BZV655490 BPZ655490 BGD655490 AWH655490 AML655490 ACP655490 ST655490 IX655490 B655490 WVJ589954 WLN589954 WBR589954 VRV589954 VHZ589954 UYD589954 UOH589954 UEL589954 TUP589954 TKT589954 TAX589954 SRB589954 SHF589954 RXJ589954 RNN589954 RDR589954 QTV589954 QJZ589954 QAD589954 PQH589954 PGL589954 OWP589954 OMT589954 OCX589954 NTB589954 NJF589954 MZJ589954 MPN589954 MFR589954 LVV589954 LLZ589954 LCD589954 KSH589954 KIL589954 JYP589954 JOT589954 JEX589954 IVB589954 ILF589954 IBJ589954 HRN589954 HHR589954 GXV589954 GNZ589954 GED589954 FUH589954 FKL589954 FAP589954 EQT589954 EGX589954 DXB589954 DNF589954 DDJ589954 CTN589954 CJR589954 BZV589954 BPZ589954 BGD589954 AWH589954 AML589954 ACP589954 ST589954 IX589954 B589954 WVJ524418 WLN524418 WBR524418 VRV524418 VHZ524418 UYD524418 UOH524418 UEL524418 TUP524418 TKT524418 TAX524418 SRB524418 SHF524418 RXJ524418 RNN524418 RDR524418 QTV524418 QJZ524418 QAD524418 PQH524418 PGL524418 OWP524418 OMT524418 OCX524418 NTB524418 NJF524418 MZJ524418 MPN524418 MFR524418 LVV524418 LLZ524418 LCD524418 KSH524418 KIL524418 JYP524418 JOT524418 JEX524418 IVB524418 ILF524418 IBJ524418 HRN524418 HHR524418 GXV524418 GNZ524418 GED524418 FUH524418 FKL524418 FAP524418 EQT524418 EGX524418 DXB524418 DNF524418 DDJ524418 CTN524418 CJR524418 BZV524418 BPZ524418 BGD524418 AWH524418 AML524418 ACP524418 ST524418 IX524418 B524418 WVJ458882 WLN458882 WBR458882 VRV458882 VHZ458882 UYD458882 UOH458882 UEL458882 TUP458882 TKT458882 TAX458882 SRB458882 SHF458882 RXJ458882 RNN458882 RDR458882 QTV458882 QJZ458882 QAD458882 PQH458882 PGL458882 OWP458882 OMT458882 OCX458882 NTB458882 NJF458882 MZJ458882 MPN458882 MFR458882 LVV458882 LLZ458882 LCD458882 KSH458882 KIL458882 JYP458882 JOT458882 JEX458882 IVB458882 ILF458882 IBJ458882 HRN458882 HHR458882 GXV458882 GNZ458882 GED458882 FUH458882 FKL458882 FAP458882 EQT458882 EGX458882 DXB458882 DNF458882 DDJ458882 CTN458882 CJR458882 BZV458882 BPZ458882 BGD458882 AWH458882 AML458882 ACP458882 ST458882 IX458882 B458882 WVJ393346 WLN393346 WBR393346 VRV393346 VHZ393346 UYD393346 UOH393346 UEL393346 TUP393346 TKT393346 TAX393346 SRB393346 SHF393346 RXJ393346 RNN393346 RDR393346 QTV393346 QJZ393346 QAD393346 PQH393346 PGL393346 OWP393346 OMT393346 OCX393346 NTB393346 NJF393346 MZJ393346 MPN393346 MFR393346 LVV393346 LLZ393346 LCD393346 KSH393346 KIL393346 JYP393346 JOT393346 JEX393346 IVB393346 ILF393346 IBJ393346 HRN393346 HHR393346 GXV393346 GNZ393346 GED393346 FUH393346 FKL393346 FAP393346 EQT393346 EGX393346 DXB393346 DNF393346 DDJ393346 CTN393346 CJR393346 BZV393346 BPZ393346 BGD393346 AWH393346 AML393346 ACP393346 ST393346 IX393346 B393346 WVJ327810 WLN327810 WBR327810 VRV327810 VHZ327810 UYD327810 UOH327810 UEL327810 TUP327810 TKT327810 TAX327810 SRB327810 SHF327810 RXJ327810 RNN327810 RDR327810 QTV327810 QJZ327810 QAD327810 PQH327810 PGL327810 OWP327810 OMT327810 OCX327810 NTB327810 NJF327810 MZJ327810 MPN327810 MFR327810 LVV327810 LLZ327810 LCD327810 KSH327810 KIL327810 JYP327810 JOT327810 JEX327810 IVB327810 ILF327810 IBJ327810 HRN327810 HHR327810 GXV327810 GNZ327810 GED327810 FUH327810 FKL327810 FAP327810 EQT327810 EGX327810 DXB327810 DNF327810 DDJ327810 CTN327810 CJR327810 BZV327810 BPZ327810 BGD327810 AWH327810 AML327810 ACP327810 ST327810 IX327810 B327810 WVJ262274 WLN262274 WBR262274 VRV262274 VHZ262274 UYD262274 UOH262274 UEL262274 TUP262274 TKT262274 TAX262274 SRB262274 SHF262274 RXJ262274 RNN262274 RDR262274 QTV262274 QJZ262274 QAD262274 PQH262274 PGL262274 OWP262274 OMT262274 OCX262274 NTB262274 NJF262274 MZJ262274 MPN262274 MFR262274 LVV262274 LLZ262274 LCD262274 KSH262274 KIL262274 JYP262274 JOT262274 JEX262274 IVB262274 ILF262274 IBJ262274 HRN262274 HHR262274 GXV262274 GNZ262274 GED262274 FUH262274 FKL262274 FAP262274 EQT262274 EGX262274 DXB262274 DNF262274 DDJ262274 CTN262274 CJR262274 BZV262274 BPZ262274 BGD262274 AWH262274 AML262274 ACP262274 ST262274 IX262274 B262274 WVJ196738 WLN196738 WBR196738 VRV196738 VHZ196738 UYD196738 UOH196738 UEL196738 TUP196738 TKT196738 TAX196738 SRB196738 SHF196738 RXJ196738 RNN196738 RDR196738 QTV196738 QJZ196738 QAD196738 PQH196738 PGL196738 OWP196738 OMT196738 OCX196738 NTB196738 NJF196738 MZJ196738 MPN196738 MFR196738 LVV196738 LLZ196738 LCD196738 KSH196738 KIL196738 JYP196738 JOT196738 JEX196738 IVB196738 ILF196738 IBJ196738 HRN196738 HHR196738 GXV196738 GNZ196738 GED196738 FUH196738 FKL196738 FAP196738 EQT196738 EGX196738 DXB196738 DNF196738 DDJ196738 CTN196738 CJR196738 BZV196738 BPZ196738 BGD196738 AWH196738 AML196738 ACP196738 ST196738 IX196738 B196738 WVJ131202 WLN131202 WBR131202 VRV131202 VHZ131202 UYD131202 UOH131202 UEL131202 TUP131202 TKT131202 TAX131202 SRB131202 SHF131202 RXJ131202 RNN131202 RDR131202 QTV131202 QJZ131202 QAD131202 PQH131202 PGL131202 OWP131202 OMT131202 OCX131202 NTB131202 NJF131202 MZJ131202 MPN131202 MFR131202 LVV131202 LLZ131202 LCD131202 KSH131202 KIL131202 JYP131202 JOT131202 JEX131202 IVB131202 ILF131202 IBJ131202 HRN131202 HHR131202 GXV131202 GNZ131202 GED131202 FUH131202 FKL131202 FAP131202 EQT131202 EGX131202 DXB131202 DNF131202 DDJ131202 CTN131202 CJR131202 BZV131202 BPZ131202 BGD131202 AWH131202 AML131202 ACP131202 ST131202 IX131202 B131202 WVJ65666 WLN65666 WBR65666 VRV65666 VHZ65666 UYD65666 UOH65666 UEL65666 TUP65666 TKT65666 TAX65666 SRB65666 SHF65666 RXJ65666 RNN65666 RDR65666 QTV65666 QJZ65666 QAD65666 PQH65666 PGL65666 OWP65666 OMT65666 OCX65666 NTB65666 NJF65666 MZJ65666 MPN65666 MFR65666 LVV65666 LLZ65666 LCD65666 KSH65666 KIL65666 JYP65666 JOT65666 JEX65666 IVB65666 ILF65666 IBJ65666 HRN65666 HHR65666 GXV65666 GNZ65666 GED65666 FUH65666 FKL65666 FAP65666 EQT65666 EGX65666 DXB65666 DNF65666 DDJ65666 CTN65666 CJR65666 BZV65666 BPZ65666 BGD65666 AWH65666 AML65666 ACP65666 ST65666 IX65666 B65666 WVJ212 WLN212 WBR212 VRV212 VHZ212 UYD212 UOH212 UEL212 TUP212 TKT212 TAX212 SRB212 SHF212 RXJ212 RNN212 RDR212 QTV212 QJZ212 QAD212 PQH212 PGL212 OWP212 OMT212 OCX212 NTB212 NJF212 MZJ212 MPN212 MFR212 LVV212 LLZ212 LCD212 KSH212 KIL212 JYP212 JOT212 JEX212 IVB212 ILF212 IBJ212 HRN212 HHR212 GXV212 GNZ212 GED212 FUH212 FKL212 FAP212 EQT212 EGX212 DXB212 DNF212 DDJ212 CTN212 CJR212 BZV212 BPZ212 BGD212 AWH212 AML212 ACP212 ST212 IX212 BGD137 WVJ983155 WLN983155 WBR983155 VRV983155 VHZ983155 UYD983155 UOH983155 UEL983155 TUP983155 TKT983155 TAX983155 SRB983155 SHF983155 RXJ983155 RNN983155 RDR983155 QTV983155 QJZ983155 QAD983155 PQH983155 PGL983155 OWP983155 OMT983155 OCX983155 NTB983155 NJF983155 MZJ983155 MPN983155 MFR983155 LVV983155 LLZ983155 LCD983155 KSH983155 KIL983155 JYP983155 JOT983155 JEX983155 IVB983155 ILF983155 IBJ983155 HRN983155 HHR983155 GXV983155 GNZ983155 GED983155 FUH983155 FKL983155 FAP983155 EQT983155 EGX983155 DXB983155 DNF983155 DDJ983155 CTN983155 CJR983155 BZV983155 BPZ983155 BGD983155 AWH983155 AML983155 ACP983155 ST983155 IX983155 B983155 WVJ917619 WLN917619 WBR917619 VRV917619 VHZ917619 UYD917619 UOH917619 UEL917619 TUP917619 TKT917619 TAX917619 SRB917619 SHF917619 RXJ917619 RNN917619 RDR917619 QTV917619 QJZ917619 QAD917619 PQH917619 PGL917619 OWP917619 OMT917619 OCX917619 NTB917619 NJF917619 MZJ917619 MPN917619 MFR917619 LVV917619 LLZ917619 LCD917619 KSH917619 KIL917619 JYP917619 JOT917619 JEX917619 IVB917619 ILF917619 IBJ917619 HRN917619 HHR917619 GXV917619 GNZ917619 GED917619 FUH917619 FKL917619 FAP917619 EQT917619 EGX917619 DXB917619 DNF917619 DDJ917619 CTN917619 CJR917619 BZV917619 BPZ917619 BGD917619 AWH917619 AML917619 ACP917619 ST917619 IX917619 B917619 WVJ852083 WLN852083 WBR852083 VRV852083 VHZ852083 UYD852083 UOH852083 UEL852083 TUP852083 TKT852083 TAX852083 SRB852083 SHF852083 RXJ852083 RNN852083 RDR852083 QTV852083 QJZ852083 QAD852083 PQH852083 PGL852083 OWP852083 OMT852083 OCX852083 NTB852083 NJF852083 MZJ852083 MPN852083 MFR852083 LVV852083 LLZ852083 LCD852083 KSH852083 KIL852083 JYP852083 JOT852083 JEX852083 IVB852083 ILF852083 IBJ852083 HRN852083 HHR852083 GXV852083 GNZ852083 GED852083 FUH852083 FKL852083 FAP852083 EQT852083 EGX852083 DXB852083 DNF852083 DDJ852083 CTN852083 CJR852083 BZV852083 BPZ852083 BGD852083 AWH852083 AML852083 ACP852083 ST852083 IX852083 B852083 WVJ786547 WLN786547 WBR786547 VRV786547 VHZ786547 UYD786547 UOH786547 UEL786547 TUP786547 TKT786547 TAX786547 SRB786547 SHF786547 RXJ786547 RNN786547 RDR786547 QTV786547 QJZ786547 QAD786547 PQH786547 PGL786547 OWP786547 OMT786547 OCX786547 NTB786547 NJF786547 MZJ786547 MPN786547 MFR786547 LVV786547 LLZ786547 LCD786547 KSH786547 KIL786547 JYP786547 JOT786547 JEX786547 IVB786547 ILF786547 IBJ786547 HRN786547 HHR786547 GXV786547 GNZ786547 GED786547 FUH786547 FKL786547 FAP786547 EQT786547 EGX786547 DXB786547 DNF786547 DDJ786547 CTN786547 CJR786547 BZV786547 BPZ786547 BGD786547 AWH786547 AML786547 ACP786547 ST786547 IX786547 B786547 WVJ721011 WLN721011 WBR721011 VRV721011 VHZ721011 UYD721011 UOH721011 UEL721011 TUP721011 TKT721011 TAX721011 SRB721011 SHF721011 RXJ721011 RNN721011 RDR721011 QTV721011 QJZ721011 QAD721011 PQH721011 PGL721011 OWP721011 OMT721011 OCX721011 NTB721011 NJF721011 MZJ721011 MPN721011 MFR721011 LVV721011 LLZ721011 LCD721011 KSH721011 KIL721011 JYP721011 JOT721011 JEX721011 IVB721011 ILF721011 IBJ721011 HRN721011 HHR721011 GXV721011 GNZ721011 GED721011 FUH721011 FKL721011 FAP721011 EQT721011 EGX721011 DXB721011 DNF721011 DDJ721011 CTN721011 CJR721011 BZV721011 BPZ721011 BGD721011 AWH721011 AML721011 ACP721011 ST721011 IX721011 B721011 WVJ655475 WLN655475 WBR655475 VRV655475 VHZ655475 UYD655475 UOH655475 UEL655475 TUP655475 TKT655475 TAX655475 SRB655475 SHF655475 RXJ655475 RNN655475 RDR655475 QTV655475 QJZ655475 QAD655475 PQH655475 PGL655475 OWP655475 OMT655475 OCX655475 NTB655475 NJF655475 MZJ655475 MPN655475 MFR655475 LVV655475 LLZ655475 LCD655475 KSH655475 KIL655475 JYP655475 JOT655475 JEX655475 IVB655475 ILF655475 IBJ655475 HRN655475 HHR655475 GXV655475 GNZ655475 GED655475 FUH655475 FKL655475 FAP655475 EQT655475 EGX655475 DXB655475 DNF655475 DDJ655475 CTN655475 CJR655475 BZV655475 BPZ655475 BGD655475 AWH655475 AML655475 ACP655475 ST655475 IX655475 B655475 WVJ589939 WLN589939 WBR589939 VRV589939 VHZ589939 UYD589939 UOH589939 UEL589939 TUP589939 TKT589939 TAX589939 SRB589939 SHF589939 RXJ589939 RNN589939 RDR589939 QTV589939 QJZ589939 QAD589939 PQH589939 PGL589939 OWP589939 OMT589939 OCX589939 NTB589939 NJF589939 MZJ589939 MPN589939 MFR589939 LVV589939 LLZ589939 LCD589939 KSH589939 KIL589939 JYP589939 JOT589939 JEX589939 IVB589939 ILF589939 IBJ589939 HRN589939 HHR589939 GXV589939 GNZ589939 GED589939 FUH589939 FKL589939 FAP589939 EQT589939 EGX589939 DXB589939 DNF589939 DDJ589939 CTN589939 CJR589939 BZV589939 BPZ589939 BGD589939 AWH589939 AML589939 ACP589939 ST589939 IX589939 B589939 WVJ524403 WLN524403 WBR524403 VRV524403 VHZ524403 UYD524403 UOH524403 UEL524403 TUP524403 TKT524403 TAX524403 SRB524403 SHF524403 RXJ524403 RNN524403 RDR524403 QTV524403 QJZ524403 QAD524403 PQH524403 PGL524403 OWP524403 OMT524403 OCX524403 NTB524403 NJF524403 MZJ524403 MPN524403 MFR524403 LVV524403 LLZ524403 LCD524403 KSH524403 KIL524403 JYP524403 JOT524403 JEX524403 IVB524403 ILF524403 IBJ524403 HRN524403 HHR524403 GXV524403 GNZ524403 GED524403 FUH524403 FKL524403 FAP524403 EQT524403 EGX524403 DXB524403 DNF524403 DDJ524403 CTN524403 CJR524403 BZV524403 BPZ524403 BGD524403 AWH524403 AML524403 ACP524403 ST524403 IX524403 B524403 WVJ458867 WLN458867 WBR458867 VRV458867 VHZ458867 UYD458867 UOH458867 UEL458867 TUP458867 TKT458867 TAX458867 SRB458867 SHF458867 RXJ458867 RNN458867 RDR458867 QTV458867 QJZ458867 QAD458867 PQH458867 PGL458867 OWP458867 OMT458867 OCX458867 NTB458867 NJF458867 MZJ458867 MPN458867 MFR458867 LVV458867 LLZ458867 LCD458867 KSH458867 KIL458867 JYP458867 JOT458867 JEX458867 IVB458867 ILF458867 IBJ458867 HRN458867 HHR458867 GXV458867 GNZ458867 GED458867 FUH458867 FKL458867 FAP458867 EQT458867 EGX458867 DXB458867 DNF458867 DDJ458867 CTN458867 CJR458867 BZV458867 BPZ458867 BGD458867 AWH458867 AML458867 ACP458867 ST458867 IX458867 B458867 WVJ393331 WLN393331 WBR393331 VRV393331 VHZ393331 UYD393331 UOH393331 UEL393331 TUP393331 TKT393331 TAX393331 SRB393331 SHF393331 RXJ393331 RNN393331 RDR393331 QTV393331 QJZ393331 QAD393331 PQH393331 PGL393331 OWP393331 OMT393331 OCX393331 NTB393331 NJF393331 MZJ393331 MPN393331 MFR393331 LVV393331 LLZ393331 LCD393331 KSH393331 KIL393331 JYP393331 JOT393331 JEX393331 IVB393331 ILF393331 IBJ393331 HRN393331 HHR393331 GXV393331 GNZ393331 GED393331 FUH393331 FKL393331 FAP393331 EQT393331 EGX393331 DXB393331 DNF393331 DDJ393331 CTN393331 CJR393331 BZV393331 BPZ393331 BGD393331 AWH393331 AML393331 ACP393331 ST393331 IX393331 B393331 WVJ327795 WLN327795 WBR327795 VRV327795 VHZ327795 UYD327795 UOH327795 UEL327795 TUP327795 TKT327795 TAX327795 SRB327795 SHF327795 RXJ327795 RNN327795 RDR327795 QTV327795 QJZ327795 QAD327795 PQH327795 PGL327795 OWP327795 OMT327795 OCX327795 NTB327795 NJF327795 MZJ327795 MPN327795 MFR327795 LVV327795 LLZ327795 LCD327795 KSH327795 KIL327795 JYP327795 JOT327795 JEX327795 IVB327795 ILF327795 IBJ327795 HRN327795 HHR327795 GXV327795 GNZ327795 GED327795 FUH327795 FKL327795 FAP327795 EQT327795 EGX327795 DXB327795 DNF327795 DDJ327795 CTN327795 CJR327795 BZV327795 BPZ327795 BGD327795 AWH327795 AML327795 ACP327795 ST327795 IX327795 B327795 WVJ262259 WLN262259 WBR262259 VRV262259 VHZ262259 UYD262259 UOH262259 UEL262259 TUP262259 TKT262259 TAX262259 SRB262259 SHF262259 RXJ262259 RNN262259 RDR262259 QTV262259 QJZ262259 QAD262259 PQH262259 PGL262259 OWP262259 OMT262259 OCX262259 NTB262259 NJF262259 MZJ262259 MPN262259 MFR262259 LVV262259 LLZ262259 LCD262259 KSH262259 KIL262259 JYP262259 JOT262259 JEX262259 IVB262259 ILF262259 IBJ262259 HRN262259 HHR262259 GXV262259 GNZ262259 GED262259 FUH262259 FKL262259 FAP262259 EQT262259 EGX262259 DXB262259 DNF262259 DDJ262259 CTN262259 CJR262259 BZV262259 BPZ262259 BGD262259 AWH262259 AML262259 ACP262259 ST262259 IX262259 B262259 WVJ196723 WLN196723 WBR196723 VRV196723 VHZ196723 UYD196723 UOH196723 UEL196723 TUP196723 TKT196723 TAX196723 SRB196723 SHF196723 RXJ196723 RNN196723 RDR196723 QTV196723 QJZ196723 QAD196723 PQH196723 PGL196723 OWP196723 OMT196723 OCX196723 NTB196723 NJF196723 MZJ196723 MPN196723 MFR196723 LVV196723 LLZ196723 LCD196723 KSH196723 KIL196723 JYP196723 JOT196723 JEX196723 IVB196723 ILF196723 IBJ196723 HRN196723 HHR196723 GXV196723 GNZ196723 GED196723 FUH196723 FKL196723 FAP196723 EQT196723 EGX196723 DXB196723 DNF196723 DDJ196723 CTN196723 CJR196723 BZV196723 BPZ196723 BGD196723 AWH196723 AML196723 ACP196723 ST196723 IX196723 B196723 WVJ131187 WLN131187 WBR131187 VRV131187 VHZ131187 UYD131187 UOH131187 UEL131187 TUP131187 TKT131187 TAX131187 SRB131187 SHF131187 RXJ131187 RNN131187 RDR131187 QTV131187 QJZ131187 QAD131187 PQH131187 PGL131187 OWP131187 OMT131187 OCX131187 NTB131187 NJF131187 MZJ131187 MPN131187 MFR131187 LVV131187 LLZ131187 LCD131187 KSH131187 KIL131187 JYP131187 JOT131187 JEX131187 IVB131187 ILF131187 IBJ131187 HRN131187 HHR131187 GXV131187 GNZ131187 GED131187 FUH131187 FKL131187 FAP131187 EQT131187 EGX131187 DXB131187 DNF131187 DDJ131187 CTN131187 CJR131187 BZV131187 BPZ131187 BGD131187 AWH131187 AML131187 ACP131187 ST131187 IX131187 B131187 WVJ65651 WLN65651 WBR65651 VRV65651 VHZ65651 UYD65651 UOH65651 UEL65651 TUP65651 TKT65651 TAX65651 SRB65651 SHF65651 RXJ65651 RNN65651 RDR65651 QTV65651 QJZ65651 QAD65651 PQH65651 PGL65651 OWP65651 OMT65651 OCX65651 NTB65651 NJF65651 MZJ65651 MPN65651 MFR65651 LVV65651 LLZ65651 LCD65651 KSH65651 KIL65651 JYP65651 JOT65651 JEX65651 IVB65651 ILF65651 IBJ65651 HRN65651 HHR65651 GXV65651 GNZ65651 GED65651 FUH65651 FKL65651 FAP65651 EQT65651 EGX65651 DXB65651 DNF65651 DDJ65651 CTN65651 CJR65651 BZV65651 BPZ65651 BGD65651 AWH65651 AML65651 ACP65651 ST65651 IX65651 B65651 WVJ197 WLN197 WBR197 VRV197 VHZ197 UYD197 UOH197 UEL197 TUP197 TKT197 TAX197 SRB197 SHF197 RXJ197 RNN197 RDR197 QTV197 QJZ197 QAD197 PQH197 PGL197 OWP197 OMT197 OCX197 NTB197 NJF197 MZJ197 MPN197 MFR197 LVV197 LLZ197 LCD197 KSH197 KIL197 JYP197 JOT197 JEX197 IVB197 ILF197 IBJ197 HRN197 HHR197 GXV197 GNZ197 GED197 FUH197 FKL197 FAP197 EQT197 EGX197 DXB197 DNF197 DDJ197 CTN197 CJR197 BZV197 BPZ197 BGD197 AWH197 AML197 ACP197 ST197 IX197 AWH137 WVJ983140 WLN983140 WBR983140 VRV983140 VHZ983140 UYD983140 UOH983140 UEL983140 TUP983140 TKT983140 TAX983140 SRB983140 SHF983140 RXJ983140 RNN983140 RDR983140 QTV983140 QJZ983140 QAD983140 PQH983140 PGL983140 OWP983140 OMT983140 OCX983140 NTB983140 NJF983140 MZJ983140 MPN983140 MFR983140 LVV983140 LLZ983140 LCD983140 KSH983140 KIL983140 JYP983140 JOT983140 JEX983140 IVB983140 ILF983140 IBJ983140 HRN983140 HHR983140 GXV983140 GNZ983140 GED983140 FUH983140 FKL983140 FAP983140 EQT983140 EGX983140 DXB983140 DNF983140 DDJ983140 CTN983140 CJR983140 BZV983140 BPZ983140 BGD983140 AWH983140 AML983140 ACP983140 ST983140 IX983140 B983140 WVJ917604 WLN917604 WBR917604 VRV917604 VHZ917604 UYD917604 UOH917604 UEL917604 TUP917604 TKT917604 TAX917604 SRB917604 SHF917604 RXJ917604 RNN917604 RDR917604 QTV917604 QJZ917604 QAD917604 PQH917604 PGL917604 OWP917604 OMT917604 OCX917604 NTB917604 NJF917604 MZJ917604 MPN917604 MFR917604 LVV917604 LLZ917604 LCD917604 KSH917604 KIL917604 JYP917604 JOT917604 JEX917604 IVB917604 ILF917604 IBJ917604 HRN917604 HHR917604 GXV917604 GNZ917604 GED917604 FUH917604 FKL917604 FAP917604 EQT917604 EGX917604 DXB917604 DNF917604 DDJ917604 CTN917604 CJR917604 BZV917604 BPZ917604 BGD917604 AWH917604 AML917604 ACP917604 ST917604 IX917604 B917604 WVJ852068 WLN852068 WBR852068 VRV852068 VHZ852068 UYD852068 UOH852068 UEL852068 TUP852068 TKT852068 TAX852068 SRB852068 SHF852068 RXJ852068 RNN852068 RDR852068 QTV852068 QJZ852068 QAD852068 PQH852068 PGL852068 OWP852068 OMT852068 OCX852068 NTB852068 NJF852068 MZJ852068 MPN852068 MFR852068 LVV852068 LLZ852068 LCD852068 KSH852068 KIL852068 JYP852068 JOT852068 JEX852068 IVB852068 ILF852068 IBJ852068 HRN852068 HHR852068 GXV852068 GNZ852068 GED852068 FUH852068 FKL852068 FAP852068 EQT852068 EGX852068 DXB852068 DNF852068 DDJ852068 CTN852068 CJR852068 BZV852068 BPZ852068 BGD852068 AWH852068 AML852068 ACP852068 ST852068 IX852068 B852068 WVJ786532 WLN786532 WBR786532 VRV786532 VHZ786532 UYD786532 UOH786532 UEL786532 TUP786532 TKT786532 TAX786532 SRB786532 SHF786532 RXJ786532 RNN786532 RDR786532 QTV786532 QJZ786532 QAD786532 PQH786532 PGL786532 OWP786532 OMT786532 OCX786532 NTB786532 NJF786532 MZJ786532 MPN786532 MFR786532 LVV786532 LLZ786532 LCD786532 KSH786532 KIL786532 JYP786532 JOT786532 JEX786532 IVB786532 ILF786532 IBJ786532 HRN786532 HHR786532 GXV786532 GNZ786532 GED786532 FUH786532 FKL786532 FAP786532 EQT786532 EGX786532 DXB786532 DNF786532 DDJ786532 CTN786532 CJR786532 BZV786532 BPZ786532 BGD786532 AWH786532 AML786532 ACP786532 ST786532 IX786532 B786532 WVJ720996 WLN720996 WBR720996 VRV720996 VHZ720996 UYD720996 UOH720996 UEL720996 TUP720996 TKT720996 TAX720996 SRB720996 SHF720996 RXJ720996 RNN720996 RDR720996 QTV720996 QJZ720996 QAD720996 PQH720996 PGL720996 OWP720996 OMT720996 OCX720996 NTB720996 NJF720996 MZJ720996 MPN720996 MFR720996 LVV720996 LLZ720996 LCD720996 KSH720996 KIL720996 JYP720996 JOT720996 JEX720996 IVB720996 ILF720996 IBJ720996 HRN720996 HHR720996 GXV720996 GNZ720996 GED720996 FUH720996 FKL720996 FAP720996 EQT720996 EGX720996 DXB720996 DNF720996 DDJ720996 CTN720996 CJR720996 BZV720996 BPZ720996 BGD720996 AWH720996 AML720996 ACP720996 ST720996 IX720996 B720996 WVJ655460 WLN655460 WBR655460 VRV655460 VHZ655460 UYD655460 UOH655460 UEL655460 TUP655460 TKT655460 TAX655460 SRB655460 SHF655460 RXJ655460 RNN655460 RDR655460 QTV655460 QJZ655460 QAD655460 PQH655460 PGL655460 OWP655460 OMT655460 OCX655460 NTB655460 NJF655460 MZJ655460 MPN655460 MFR655460 LVV655460 LLZ655460 LCD655460 KSH655460 KIL655460 JYP655460 JOT655460 JEX655460 IVB655460 ILF655460 IBJ655460 HRN655460 HHR655460 GXV655460 GNZ655460 GED655460 FUH655460 FKL655460 FAP655460 EQT655460 EGX655460 DXB655460 DNF655460 DDJ655460 CTN655460 CJR655460 BZV655460 BPZ655460 BGD655460 AWH655460 AML655460 ACP655460 ST655460 IX655460 B655460 WVJ589924 WLN589924 WBR589924 VRV589924 VHZ589924 UYD589924 UOH589924 UEL589924 TUP589924 TKT589924 TAX589924 SRB589924 SHF589924 RXJ589924 RNN589924 RDR589924 QTV589924 QJZ589924 QAD589924 PQH589924 PGL589924 OWP589924 OMT589924 OCX589924 NTB589924 NJF589924 MZJ589924 MPN589924 MFR589924 LVV589924 LLZ589924 LCD589924 KSH589924 KIL589924 JYP589924 JOT589924 JEX589924 IVB589924 ILF589924 IBJ589924 HRN589924 HHR589924 GXV589924 GNZ589924 GED589924 FUH589924 FKL589924 FAP589924 EQT589924 EGX589924 DXB589924 DNF589924 DDJ589924 CTN589924 CJR589924 BZV589924 BPZ589924 BGD589924 AWH589924 AML589924 ACP589924 ST589924 IX589924 B589924 WVJ524388 WLN524388 WBR524388 VRV524388 VHZ524388 UYD524388 UOH524388 UEL524388 TUP524388 TKT524388 TAX524388 SRB524388 SHF524388 RXJ524388 RNN524388 RDR524388 QTV524388 QJZ524388 QAD524388 PQH524388 PGL524388 OWP524388 OMT524388 OCX524388 NTB524388 NJF524388 MZJ524388 MPN524388 MFR524388 LVV524388 LLZ524388 LCD524388 KSH524388 KIL524388 JYP524388 JOT524388 JEX524388 IVB524388 ILF524388 IBJ524388 HRN524388 HHR524388 GXV524388 GNZ524388 GED524388 FUH524388 FKL524388 FAP524388 EQT524388 EGX524388 DXB524388 DNF524388 DDJ524388 CTN524388 CJR524388 BZV524388 BPZ524388 BGD524388 AWH524388 AML524388 ACP524388 ST524388 IX524388 B524388 WVJ458852 WLN458852 WBR458852 VRV458852 VHZ458852 UYD458852 UOH458852 UEL458852 TUP458852 TKT458852 TAX458852 SRB458852 SHF458852 RXJ458852 RNN458852 RDR458852 QTV458852 QJZ458852 QAD458852 PQH458852 PGL458852 OWP458852 OMT458852 OCX458852 NTB458852 NJF458852 MZJ458852 MPN458852 MFR458852 LVV458852 LLZ458852 LCD458852 KSH458852 KIL458852 JYP458852 JOT458852 JEX458852 IVB458852 ILF458852 IBJ458852 HRN458852 HHR458852 GXV458852 GNZ458852 GED458852 FUH458852 FKL458852 FAP458852 EQT458852 EGX458852 DXB458852 DNF458852 DDJ458852 CTN458852 CJR458852 BZV458852 BPZ458852 BGD458852 AWH458852 AML458852 ACP458852 ST458852 IX458852 B458852 WVJ393316 WLN393316 WBR393316 VRV393316 VHZ393316 UYD393316 UOH393316 UEL393316 TUP393316 TKT393316 TAX393316 SRB393316 SHF393316 RXJ393316 RNN393316 RDR393316 QTV393316 QJZ393316 QAD393316 PQH393316 PGL393316 OWP393316 OMT393316 OCX393316 NTB393316 NJF393316 MZJ393316 MPN393316 MFR393316 LVV393316 LLZ393316 LCD393316 KSH393316 KIL393316 JYP393316 JOT393316 JEX393316 IVB393316 ILF393316 IBJ393316 HRN393316 HHR393316 GXV393316 GNZ393316 GED393316 FUH393316 FKL393316 FAP393316 EQT393316 EGX393316 DXB393316 DNF393316 DDJ393316 CTN393316 CJR393316 BZV393316 BPZ393316 BGD393316 AWH393316 AML393316 ACP393316 ST393316 IX393316 B393316 WVJ327780 WLN327780 WBR327780 VRV327780 VHZ327780 UYD327780 UOH327780 UEL327780 TUP327780 TKT327780 TAX327780 SRB327780 SHF327780 RXJ327780 RNN327780 RDR327780 QTV327780 QJZ327780 QAD327780 PQH327780 PGL327780 OWP327780 OMT327780 OCX327780 NTB327780 NJF327780 MZJ327780 MPN327780 MFR327780 LVV327780 LLZ327780 LCD327780 KSH327780 KIL327780 JYP327780 JOT327780 JEX327780 IVB327780 ILF327780 IBJ327780 HRN327780 HHR327780 GXV327780 GNZ327780 GED327780 FUH327780 FKL327780 FAP327780 EQT327780 EGX327780 DXB327780 DNF327780 DDJ327780 CTN327780 CJR327780 BZV327780 BPZ327780 BGD327780 AWH327780 AML327780 ACP327780 ST327780 IX327780 B327780 WVJ262244 WLN262244 WBR262244 VRV262244 VHZ262244 UYD262244 UOH262244 UEL262244 TUP262244 TKT262244 TAX262244 SRB262244 SHF262244 RXJ262244 RNN262244 RDR262244 QTV262244 QJZ262244 QAD262244 PQH262244 PGL262244 OWP262244 OMT262244 OCX262244 NTB262244 NJF262244 MZJ262244 MPN262244 MFR262244 LVV262244 LLZ262244 LCD262244 KSH262244 KIL262244 JYP262244 JOT262244 JEX262244 IVB262244 ILF262244 IBJ262244 HRN262244 HHR262244 GXV262244 GNZ262244 GED262244 FUH262244 FKL262244 FAP262244 EQT262244 EGX262244 DXB262244 DNF262244 DDJ262244 CTN262244 CJR262244 BZV262244 BPZ262244 BGD262244 AWH262244 AML262244 ACP262244 ST262244 IX262244 B262244 WVJ196708 WLN196708 WBR196708 VRV196708 VHZ196708 UYD196708 UOH196708 UEL196708 TUP196708 TKT196708 TAX196708 SRB196708 SHF196708 RXJ196708 RNN196708 RDR196708 QTV196708 QJZ196708 QAD196708 PQH196708 PGL196708 OWP196708 OMT196708 OCX196708 NTB196708 NJF196708 MZJ196708 MPN196708 MFR196708 LVV196708 LLZ196708 LCD196708 KSH196708 KIL196708 JYP196708 JOT196708 JEX196708 IVB196708 ILF196708 IBJ196708 HRN196708 HHR196708 GXV196708 GNZ196708 GED196708 FUH196708 FKL196708 FAP196708 EQT196708 EGX196708 DXB196708 DNF196708 DDJ196708 CTN196708 CJR196708 BZV196708 BPZ196708 BGD196708 AWH196708 AML196708 ACP196708 ST196708 IX196708 B196708 WVJ131172 WLN131172 WBR131172 VRV131172 VHZ131172 UYD131172 UOH131172 UEL131172 TUP131172 TKT131172 TAX131172 SRB131172 SHF131172 RXJ131172 RNN131172 RDR131172 QTV131172 QJZ131172 QAD131172 PQH131172 PGL131172 OWP131172 OMT131172 OCX131172 NTB131172 NJF131172 MZJ131172 MPN131172 MFR131172 LVV131172 LLZ131172 LCD131172 KSH131172 KIL131172 JYP131172 JOT131172 JEX131172 IVB131172 ILF131172 IBJ131172 HRN131172 HHR131172 GXV131172 GNZ131172 GED131172 FUH131172 FKL131172 FAP131172 EQT131172 EGX131172 DXB131172 DNF131172 DDJ131172 CTN131172 CJR131172 BZV131172 BPZ131172 BGD131172 AWH131172 AML131172 ACP131172 ST131172 IX131172 B131172 WVJ65636 WLN65636 WBR65636 VRV65636 VHZ65636 UYD65636 UOH65636 UEL65636 TUP65636 TKT65636 TAX65636 SRB65636 SHF65636 RXJ65636 RNN65636 RDR65636 QTV65636 QJZ65636 QAD65636 PQH65636 PGL65636 OWP65636 OMT65636 OCX65636 NTB65636 NJF65636 MZJ65636 MPN65636 MFR65636 LVV65636 LLZ65636 LCD65636 KSH65636 KIL65636 JYP65636 JOT65636 JEX65636 IVB65636 ILF65636 IBJ65636 HRN65636 HHR65636 GXV65636 GNZ65636 GED65636 FUH65636 FKL65636 FAP65636 EQT65636 EGX65636 DXB65636 DNF65636 DDJ65636 CTN65636 CJR65636 BZV65636 BPZ65636 BGD65636 AWH65636 AML65636 ACP65636 ST65636 IX65636 B65636 WVJ182 WLN182 WBR182 VRV182 VHZ182 UYD182 UOH182 UEL182 TUP182 TKT182 TAX182 SRB182 SHF182 RXJ182 RNN182 RDR182 QTV182 QJZ182 QAD182 PQH182 PGL182 OWP182 OMT182 OCX182 NTB182 NJF182 MZJ182 MPN182 MFR182 LVV182 LLZ182 LCD182 KSH182 KIL182 JYP182 JOT182 JEX182 IVB182 ILF182 IBJ182 HRN182 HHR182 GXV182 GNZ182 GED182 FUH182 FKL182 FAP182 EQT182 EGX182 DXB182 DNF182 DDJ182 CTN182 CJR182 BZV182 BPZ182 BGD182 AWH182 AML182 ACP182 ST182 IX182 AML137 WVJ983125 WLN983125 WBR983125 VRV983125 VHZ983125 UYD983125 UOH983125 UEL983125 TUP983125 TKT983125 TAX983125 SRB983125 SHF983125 RXJ983125 RNN983125 RDR983125 QTV983125 QJZ983125 QAD983125 PQH983125 PGL983125 OWP983125 OMT983125 OCX983125 NTB983125 NJF983125 MZJ983125 MPN983125 MFR983125 LVV983125 LLZ983125 LCD983125 KSH983125 KIL983125 JYP983125 JOT983125 JEX983125 IVB983125 ILF983125 IBJ983125 HRN983125 HHR983125 GXV983125 GNZ983125 GED983125 FUH983125 FKL983125 FAP983125 EQT983125 EGX983125 DXB983125 DNF983125 DDJ983125 CTN983125 CJR983125 BZV983125 BPZ983125 BGD983125 AWH983125 AML983125 ACP983125 ST983125 IX983125 B983125 WVJ917589 WLN917589 WBR917589 VRV917589 VHZ917589 UYD917589 UOH917589 UEL917589 TUP917589 TKT917589 TAX917589 SRB917589 SHF917589 RXJ917589 RNN917589 RDR917589 QTV917589 QJZ917589 QAD917589 PQH917589 PGL917589 OWP917589 OMT917589 OCX917589 NTB917589 NJF917589 MZJ917589 MPN917589 MFR917589 LVV917589 LLZ917589 LCD917589 KSH917589 KIL917589 JYP917589 JOT917589 JEX917589 IVB917589 ILF917589 IBJ917589 HRN917589 HHR917589 GXV917589 GNZ917589 GED917589 FUH917589 FKL917589 FAP917589 EQT917589 EGX917589 DXB917589 DNF917589 DDJ917589 CTN917589 CJR917589 BZV917589 BPZ917589 BGD917589 AWH917589 AML917589 ACP917589 ST917589 IX917589 B917589 WVJ852053 WLN852053 WBR852053 VRV852053 VHZ852053 UYD852053 UOH852053 UEL852053 TUP852053 TKT852053 TAX852053 SRB852053 SHF852053 RXJ852053 RNN852053 RDR852053 QTV852053 QJZ852053 QAD852053 PQH852053 PGL852053 OWP852053 OMT852053 OCX852053 NTB852053 NJF852053 MZJ852053 MPN852053 MFR852053 LVV852053 LLZ852053 LCD852053 KSH852053 KIL852053 JYP852053 JOT852053 JEX852053 IVB852053 ILF852053 IBJ852053 HRN852053 HHR852053 GXV852053 GNZ852053 GED852053 FUH852053 FKL852053 FAP852053 EQT852053 EGX852053 DXB852053 DNF852053 DDJ852053 CTN852053 CJR852053 BZV852053 BPZ852053 BGD852053 AWH852053 AML852053 ACP852053 ST852053 IX852053 B852053 WVJ786517 WLN786517 WBR786517 VRV786517 VHZ786517 UYD786517 UOH786517 UEL786517 TUP786517 TKT786517 TAX786517 SRB786517 SHF786517 RXJ786517 RNN786517 RDR786517 QTV786517 QJZ786517 QAD786517 PQH786517 PGL786517 OWP786517 OMT786517 OCX786517 NTB786517 NJF786517 MZJ786517 MPN786517 MFR786517 LVV786517 LLZ786517 LCD786517 KSH786517 KIL786517 JYP786517 JOT786517 JEX786517 IVB786517 ILF786517 IBJ786517 HRN786517 HHR786517 GXV786517 GNZ786517 GED786517 FUH786517 FKL786517 FAP786517 EQT786517 EGX786517 DXB786517 DNF786517 DDJ786517 CTN786517 CJR786517 BZV786517 BPZ786517 BGD786517 AWH786517 AML786517 ACP786517 ST786517 IX786517 B786517 WVJ720981 WLN720981 WBR720981 VRV720981 VHZ720981 UYD720981 UOH720981 UEL720981 TUP720981 TKT720981 TAX720981 SRB720981 SHF720981 RXJ720981 RNN720981 RDR720981 QTV720981 QJZ720981 QAD720981 PQH720981 PGL720981 OWP720981 OMT720981 OCX720981 NTB720981 NJF720981 MZJ720981 MPN720981 MFR720981 LVV720981 LLZ720981 LCD720981 KSH720981 KIL720981 JYP720981 JOT720981 JEX720981 IVB720981 ILF720981 IBJ720981 HRN720981 HHR720981 GXV720981 GNZ720981 GED720981 FUH720981 FKL720981 FAP720981 EQT720981 EGX720981 DXB720981 DNF720981 DDJ720981 CTN720981 CJR720981 BZV720981 BPZ720981 BGD720981 AWH720981 AML720981 ACP720981 ST720981 IX720981 B720981 WVJ655445 WLN655445 WBR655445 VRV655445 VHZ655445 UYD655445 UOH655445 UEL655445 TUP655445 TKT655445 TAX655445 SRB655445 SHF655445 RXJ655445 RNN655445 RDR655445 QTV655445 QJZ655445 QAD655445 PQH655445 PGL655445 OWP655445 OMT655445 OCX655445 NTB655445 NJF655445 MZJ655445 MPN655445 MFR655445 LVV655445 LLZ655445 LCD655445 KSH655445 KIL655445 JYP655445 JOT655445 JEX655445 IVB655445 ILF655445 IBJ655445 HRN655445 HHR655445 GXV655445 GNZ655445 GED655445 FUH655445 FKL655445 FAP655445 EQT655445 EGX655445 DXB655445 DNF655445 DDJ655445 CTN655445 CJR655445 BZV655445 BPZ655445 BGD655445 AWH655445 AML655445 ACP655445 ST655445 IX655445 B655445 WVJ589909 WLN589909 WBR589909 VRV589909 VHZ589909 UYD589909 UOH589909 UEL589909 TUP589909 TKT589909 TAX589909 SRB589909 SHF589909 RXJ589909 RNN589909 RDR589909 QTV589909 QJZ589909 QAD589909 PQH589909 PGL589909 OWP589909 OMT589909 OCX589909 NTB589909 NJF589909 MZJ589909 MPN589909 MFR589909 LVV589909 LLZ589909 LCD589909 KSH589909 KIL589909 JYP589909 JOT589909 JEX589909 IVB589909 ILF589909 IBJ589909 HRN589909 HHR589909 GXV589909 GNZ589909 GED589909 FUH589909 FKL589909 FAP589909 EQT589909 EGX589909 DXB589909 DNF589909 DDJ589909 CTN589909 CJR589909 BZV589909 BPZ589909 BGD589909 AWH589909 AML589909 ACP589909 ST589909 IX589909 B589909 WVJ524373 WLN524373 WBR524373 VRV524373 VHZ524373 UYD524373 UOH524373 UEL524373 TUP524373 TKT524373 TAX524373 SRB524373 SHF524373 RXJ524373 RNN524373 RDR524373 QTV524373 QJZ524373 QAD524373 PQH524373 PGL524373 OWP524373 OMT524373 OCX524373 NTB524373 NJF524373 MZJ524373 MPN524373 MFR524373 LVV524373 LLZ524373 LCD524373 KSH524373 KIL524373 JYP524373 JOT524373 JEX524373 IVB524373 ILF524373 IBJ524373 HRN524373 HHR524373 GXV524373 GNZ524373 GED524373 FUH524373 FKL524373 FAP524373 EQT524373 EGX524373 DXB524373 DNF524373 DDJ524373 CTN524373 CJR524373 BZV524373 BPZ524373 BGD524373 AWH524373 AML524373 ACP524373 ST524373 IX524373 B524373 WVJ458837 WLN458837 WBR458837 VRV458837 VHZ458837 UYD458837 UOH458837 UEL458837 TUP458837 TKT458837 TAX458837 SRB458837 SHF458837 RXJ458837 RNN458837 RDR458837 QTV458837 QJZ458837 QAD458837 PQH458837 PGL458837 OWP458837 OMT458837 OCX458837 NTB458837 NJF458837 MZJ458837 MPN458837 MFR458837 LVV458837 LLZ458837 LCD458837 KSH458837 KIL458837 JYP458837 JOT458837 JEX458837 IVB458837 ILF458837 IBJ458837 HRN458837 HHR458837 GXV458837 GNZ458837 GED458837 FUH458837 FKL458837 FAP458837 EQT458837 EGX458837 DXB458837 DNF458837 DDJ458837 CTN458837 CJR458837 BZV458837 BPZ458837 BGD458837 AWH458837 AML458837 ACP458837 ST458837 IX458837 B458837 WVJ393301 WLN393301 WBR393301 VRV393301 VHZ393301 UYD393301 UOH393301 UEL393301 TUP393301 TKT393301 TAX393301 SRB393301 SHF393301 RXJ393301 RNN393301 RDR393301 QTV393301 QJZ393301 QAD393301 PQH393301 PGL393301 OWP393301 OMT393301 OCX393301 NTB393301 NJF393301 MZJ393301 MPN393301 MFR393301 LVV393301 LLZ393301 LCD393301 KSH393301 KIL393301 JYP393301 JOT393301 JEX393301 IVB393301 ILF393301 IBJ393301 HRN393301 HHR393301 GXV393301 GNZ393301 GED393301 FUH393301 FKL393301 FAP393301 EQT393301 EGX393301 DXB393301 DNF393301 DDJ393301 CTN393301 CJR393301 BZV393301 BPZ393301 BGD393301 AWH393301 AML393301 ACP393301 ST393301 IX393301 B393301 WVJ327765 WLN327765 WBR327765 VRV327765 VHZ327765 UYD327765 UOH327765 UEL327765 TUP327765 TKT327765 TAX327765 SRB327765 SHF327765 RXJ327765 RNN327765 RDR327765 QTV327765 QJZ327765 QAD327765 PQH327765 PGL327765 OWP327765 OMT327765 OCX327765 NTB327765 NJF327765 MZJ327765 MPN327765 MFR327765 LVV327765 LLZ327765 LCD327765 KSH327765 KIL327765 JYP327765 JOT327765 JEX327765 IVB327765 ILF327765 IBJ327765 HRN327765 HHR327765 GXV327765 GNZ327765 GED327765 FUH327765 FKL327765 FAP327765 EQT327765 EGX327765 DXB327765 DNF327765 DDJ327765 CTN327765 CJR327765 BZV327765 BPZ327765 BGD327765 AWH327765 AML327765 ACP327765 ST327765 IX327765 B327765 WVJ262229 WLN262229 WBR262229 VRV262229 VHZ262229 UYD262229 UOH262229 UEL262229 TUP262229 TKT262229 TAX262229 SRB262229 SHF262229 RXJ262229 RNN262229 RDR262229 QTV262229 QJZ262229 QAD262229 PQH262229 PGL262229 OWP262229 OMT262229 OCX262229 NTB262229 NJF262229 MZJ262229 MPN262229 MFR262229 LVV262229 LLZ262229 LCD262229 KSH262229 KIL262229 JYP262229 JOT262229 JEX262229 IVB262229 ILF262229 IBJ262229 HRN262229 HHR262229 GXV262229 GNZ262229 GED262229 FUH262229 FKL262229 FAP262229 EQT262229 EGX262229 DXB262229 DNF262229 DDJ262229 CTN262229 CJR262229 BZV262229 BPZ262229 BGD262229 AWH262229 AML262229 ACP262229 ST262229 IX262229 B262229 WVJ196693 WLN196693 WBR196693 VRV196693 VHZ196693 UYD196693 UOH196693 UEL196693 TUP196693 TKT196693 TAX196693 SRB196693 SHF196693 RXJ196693 RNN196693 RDR196693 QTV196693 QJZ196693 QAD196693 PQH196693 PGL196693 OWP196693 OMT196693 OCX196693 NTB196693 NJF196693 MZJ196693 MPN196693 MFR196693 LVV196693 LLZ196693 LCD196693 KSH196693 KIL196693 JYP196693 JOT196693 JEX196693 IVB196693 ILF196693 IBJ196693 HRN196693 HHR196693 GXV196693 GNZ196693 GED196693 FUH196693 FKL196693 FAP196693 EQT196693 EGX196693 DXB196693 DNF196693 DDJ196693 CTN196693 CJR196693 BZV196693 BPZ196693 BGD196693 AWH196693 AML196693 ACP196693 ST196693 IX196693 B196693 WVJ131157 WLN131157 WBR131157 VRV131157 VHZ131157 UYD131157 UOH131157 UEL131157 TUP131157 TKT131157 TAX131157 SRB131157 SHF131157 RXJ131157 RNN131157 RDR131157 QTV131157 QJZ131157 QAD131157 PQH131157 PGL131157 OWP131157 OMT131157 OCX131157 NTB131157 NJF131157 MZJ131157 MPN131157 MFR131157 LVV131157 LLZ131157 LCD131157 KSH131157 KIL131157 JYP131157 JOT131157 JEX131157 IVB131157 ILF131157 IBJ131157 HRN131157 HHR131157 GXV131157 GNZ131157 GED131157 FUH131157 FKL131157 FAP131157 EQT131157 EGX131157 DXB131157 DNF131157 DDJ131157 CTN131157 CJR131157 BZV131157 BPZ131157 BGD131157 AWH131157 AML131157 ACP131157 ST131157 IX131157 B131157 WVJ65621 WLN65621 WBR65621 VRV65621 VHZ65621 UYD65621 UOH65621 UEL65621 TUP65621 TKT65621 TAX65621 SRB65621 SHF65621 RXJ65621 RNN65621 RDR65621 QTV65621 QJZ65621 QAD65621 PQH65621 PGL65621 OWP65621 OMT65621 OCX65621 NTB65621 NJF65621 MZJ65621 MPN65621 MFR65621 LVV65621 LLZ65621 LCD65621 KSH65621 KIL65621 JYP65621 JOT65621 JEX65621 IVB65621 ILF65621 IBJ65621 HRN65621 HHR65621 GXV65621 GNZ65621 GED65621 FUH65621 FKL65621 FAP65621 EQT65621 EGX65621 DXB65621 DNF65621 DDJ65621 CTN65621 CJR65621 BZV65621 BPZ65621 BGD65621 AWH65621 AML65621 ACP65621 ST65621 IX65621 B65621 WVJ167 WLN167 WBR167 VRV167 VHZ167 UYD167 UOH167 UEL167 TUP167 TKT167 TAX167 SRB167 SHF167 RXJ167 RNN167 RDR167 QTV167 QJZ167 QAD167 PQH167 PGL167 OWP167 OMT167 OCX167 NTB167 NJF167 MZJ167 MPN167 MFR167 LVV167 LLZ167 LCD167 KSH167 KIL167 JYP167 JOT167 JEX167 IVB167 ILF167 IBJ167 HRN167 HHR167 GXV167 GNZ167 GED167 FUH167 FKL167 FAP167 EQT167 EGX167 DXB167 DNF167 DDJ167 CTN167 CJR167 BZV167 BPZ167 BGD167 AWH167 AML167 ACP167 ST167 IX167 ACP137 WVJ983110 WLN983110 WBR983110 VRV983110 VHZ983110 UYD983110 UOH983110 UEL983110 TUP983110 TKT983110 TAX983110 SRB983110 SHF983110 RXJ983110 RNN983110 RDR983110 QTV983110 QJZ983110 QAD983110 PQH983110 PGL983110 OWP983110 OMT983110 OCX983110 NTB983110 NJF983110 MZJ983110 MPN983110 MFR983110 LVV983110 LLZ983110 LCD983110 KSH983110 KIL983110 JYP983110 JOT983110 JEX983110 IVB983110 ILF983110 IBJ983110 HRN983110 HHR983110 GXV983110 GNZ983110 GED983110 FUH983110 FKL983110 FAP983110 EQT983110 EGX983110 DXB983110 DNF983110 DDJ983110 CTN983110 CJR983110 BZV983110 BPZ983110 BGD983110 AWH983110 AML983110 ACP983110 ST983110 IX983110 B983110 WVJ917574 WLN917574 WBR917574 VRV917574 VHZ917574 UYD917574 UOH917574 UEL917574 TUP917574 TKT917574 TAX917574 SRB917574 SHF917574 RXJ917574 RNN917574 RDR917574 QTV917574 QJZ917574 QAD917574 PQH917574 PGL917574 OWP917574 OMT917574 OCX917574 NTB917574 NJF917574 MZJ917574 MPN917574 MFR917574 LVV917574 LLZ917574 LCD917574 KSH917574 KIL917574 JYP917574 JOT917574 JEX917574 IVB917574 ILF917574 IBJ917574 HRN917574 HHR917574 GXV917574 GNZ917574 GED917574 FUH917574 FKL917574 FAP917574 EQT917574 EGX917574 DXB917574 DNF917574 DDJ917574 CTN917574 CJR917574 BZV917574 BPZ917574 BGD917574 AWH917574 AML917574 ACP917574 ST917574 IX917574 B917574 WVJ852038 WLN852038 WBR852038 VRV852038 VHZ852038 UYD852038 UOH852038 UEL852038 TUP852038 TKT852038 TAX852038 SRB852038 SHF852038 RXJ852038 RNN852038 RDR852038 QTV852038 QJZ852038 QAD852038 PQH852038 PGL852038 OWP852038 OMT852038 OCX852038 NTB852038 NJF852038 MZJ852038 MPN852038 MFR852038 LVV852038 LLZ852038 LCD852038 KSH852038 KIL852038 JYP852038 JOT852038 JEX852038 IVB852038 ILF852038 IBJ852038 HRN852038 HHR852038 GXV852038 GNZ852038 GED852038 FUH852038 FKL852038 FAP852038 EQT852038 EGX852038 DXB852038 DNF852038 DDJ852038 CTN852038 CJR852038 BZV852038 BPZ852038 BGD852038 AWH852038 AML852038 ACP852038 ST852038 IX852038 B852038 WVJ786502 WLN786502 WBR786502 VRV786502 VHZ786502 UYD786502 UOH786502 UEL786502 TUP786502 TKT786502 TAX786502 SRB786502 SHF786502 RXJ786502 RNN786502 RDR786502 QTV786502 QJZ786502 QAD786502 PQH786502 PGL786502 OWP786502 OMT786502 OCX786502 NTB786502 NJF786502 MZJ786502 MPN786502 MFR786502 LVV786502 LLZ786502 LCD786502 KSH786502 KIL786502 JYP786502 JOT786502 JEX786502 IVB786502 ILF786502 IBJ786502 HRN786502 HHR786502 GXV786502 GNZ786502 GED786502 FUH786502 FKL786502 FAP786502 EQT786502 EGX786502 DXB786502 DNF786502 DDJ786502 CTN786502 CJR786502 BZV786502 BPZ786502 BGD786502 AWH786502 AML786502 ACP786502 ST786502 IX786502 B786502 WVJ720966 WLN720966 WBR720966 VRV720966 VHZ720966 UYD720966 UOH720966 UEL720966 TUP720966 TKT720966 TAX720966 SRB720966 SHF720966 RXJ720966 RNN720966 RDR720966 QTV720966 QJZ720966 QAD720966 PQH720966 PGL720966 OWP720966 OMT720966 OCX720966 NTB720966 NJF720966 MZJ720966 MPN720966 MFR720966 LVV720966 LLZ720966 LCD720966 KSH720966 KIL720966 JYP720966 JOT720966 JEX720966 IVB720966 ILF720966 IBJ720966 HRN720966 HHR720966 GXV720966 GNZ720966 GED720966 FUH720966 FKL720966 FAP720966 EQT720966 EGX720966 DXB720966 DNF720966 DDJ720966 CTN720966 CJR720966 BZV720966 BPZ720966 BGD720966 AWH720966 AML720966 ACP720966 ST720966 IX720966 B720966 WVJ655430 WLN655430 WBR655430 VRV655430 VHZ655430 UYD655430 UOH655430 UEL655430 TUP655430 TKT655430 TAX655430 SRB655430 SHF655430 RXJ655430 RNN655430 RDR655430 QTV655430 QJZ655430 QAD655430 PQH655430 PGL655430 OWP655430 OMT655430 OCX655430 NTB655430 NJF655430 MZJ655430 MPN655430 MFR655430 LVV655430 LLZ655430 LCD655430 KSH655430 KIL655430 JYP655430 JOT655430 JEX655430 IVB655430 ILF655430 IBJ655430 HRN655430 HHR655430 GXV655430 GNZ655430 GED655430 FUH655430 FKL655430 FAP655430 EQT655430 EGX655430 DXB655430 DNF655430 DDJ655430 CTN655430 CJR655430 BZV655430 BPZ655430 BGD655430 AWH655430 AML655430 ACP655430 ST655430 IX655430 B655430 WVJ589894 WLN589894 WBR589894 VRV589894 VHZ589894 UYD589894 UOH589894 UEL589894 TUP589894 TKT589894 TAX589894 SRB589894 SHF589894 RXJ589894 RNN589894 RDR589894 QTV589894 QJZ589894 QAD589894 PQH589894 PGL589894 OWP589894 OMT589894 OCX589894 NTB589894 NJF589894 MZJ589894 MPN589894 MFR589894 LVV589894 LLZ589894 LCD589894 KSH589894 KIL589894 JYP589894 JOT589894 JEX589894 IVB589894 ILF589894 IBJ589894 HRN589894 HHR589894 GXV589894 GNZ589894 GED589894 FUH589894 FKL589894 FAP589894 EQT589894 EGX589894 DXB589894 DNF589894 DDJ589894 CTN589894 CJR589894 BZV589894 BPZ589894 BGD589894 AWH589894 AML589894 ACP589894 ST589894 IX589894 B589894 WVJ524358 WLN524358 WBR524358 VRV524358 VHZ524358 UYD524358 UOH524358 UEL524358 TUP524358 TKT524358 TAX524358 SRB524358 SHF524358 RXJ524358 RNN524358 RDR524358 QTV524358 QJZ524358 QAD524358 PQH524358 PGL524358 OWP524358 OMT524358 OCX524358 NTB524358 NJF524358 MZJ524358 MPN524358 MFR524358 LVV524358 LLZ524358 LCD524358 KSH524358 KIL524358 JYP524358 JOT524358 JEX524358 IVB524358 ILF524358 IBJ524358 HRN524358 HHR524358 GXV524358 GNZ524358 GED524358 FUH524358 FKL524358 FAP524358 EQT524358 EGX524358 DXB524358 DNF524358 DDJ524358 CTN524358 CJR524358 BZV524358 BPZ524358 BGD524358 AWH524358 AML524358 ACP524358 ST524358 IX524358 B524358 WVJ458822 WLN458822 WBR458822 VRV458822 VHZ458822 UYD458822 UOH458822 UEL458822 TUP458822 TKT458822 TAX458822 SRB458822 SHF458822 RXJ458822 RNN458822 RDR458822 QTV458822 QJZ458822 QAD458822 PQH458822 PGL458822 OWP458822 OMT458822 OCX458822 NTB458822 NJF458822 MZJ458822 MPN458822 MFR458822 LVV458822 LLZ458822 LCD458822 KSH458822 KIL458822 JYP458822 JOT458822 JEX458822 IVB458822 ILF458822 IBJ458822 HRN458822 HHR458822 GXV458822 GNZ458822 GED458822 FUH458822 FKL458822 FAP458822 EQT458822 EGX458822 DXB458822 DNF458822 DDJ458822 CTN458822 CJR458822 BZV458822 BPZ458822 BGD458822 AWH458822 AML458822 ACP458822 ST458822 IX458822 B458822 WVJ393286 WLN393286 WBR393286 VRV393286 VHZ393286 UYD393286 UOH393286 UEL393286 TUP393286 TKT393286 TAX393286 SRB393286 SHF393286 RXJ393286 RNN393286 RDR393286 QTV393286 QJZ393286 QAD393286 PQH393286 PGL393286 OWP393286 OMT393286 OCX393286 NTB393286 NJF393286 MZJ393286 MPN393286 MFR393286 LVV393286 LLZ393286 LCD393286 KSH393286 KIL393286 JYP393286 JOT393286 JEX393286 IVB393286 ILF393286 IBJ393286 HRN393286 HHR393286 GXV393286 GNZ393286 GED393286 FUH393286 FKL393286 FAP393286 EQT393286 EGX393286 DXB393286 DNF393286 DDJ393286 CTN393286 CJR393286 BZV393286 BPZ393286 BGD393286 AWH393286 AML393286 ACP393286 ST393286 IX393286 B393286 WVJ327750 WLN327750 WBR327750 VRV327750 VHZ327750 UYD327750 UOH327750 UEL327750 TUP327750 TKT327750 TAX327750 SRB327750 SHF327750 RXJ327750 RNN327750 RDR327750 QTV327750 QJZ327750 QAD327750 PQH327750 PGL327750 OWP327750 OMT327750 OCX327750 NTB327750 NJF327750 MZJ327750 MPN327750 MFR327750 LVV327750 LLZ327750 LCD327750 KSH327750 KIL327750 JYP327750 JOT327750 JEX327750 IVB327750 ILF327750 IBJ327750 HRN327750 HHR327750 GXV327750 GNZ327750 GED327750 FUH327750 FKL327750 FAP327750 EQT327750 EGX327750 DXB327750 DNF327750 DDJ327750 CTN327750 CJR327750 BZV327750 BPZ327750 BGD327750 AWH327750 AML327750 ACP327750 ST327750 IX327750 B327750 WVJ262214 WLN262214 WBR262214 VRV262214 VHZ262214 UYD262214 UOH262214 UEL262214 TUP262214 TKT262214 TAX262214 SRB262214 SHF262214 RXJ262214 RNN262214 RDR262214 QTV262214 QJZ262214 QAD262214 PQH262214 PGL262214 OWP262214 OMT262214 OCX262214 NTB262214 NJF262214 MZJ262214 MPN262214 MFR262214 LVV262214 LLZ262214 LCD262214 KSH262214 KIL262214 JYP262214 JOT262214 JEX262214 IVB262214 ILF262214 IBJ262214 HRN262214 HHR262214 GXV262214 GNZ262214 GED262214 FUH262214 FKL262214 FAP262214 EQT262214 EGX262214 DXB262214 DNF262214 DDJ262214 CTN262214 CJR262214 BZV262214 BPZ262214 BGD262214 AWH262214 AML262214 ACP262214 ST262214 IX262214 B262214 WVJ196678 WLN196678 WBR196678 VRV196678 VHZ196678 UYD196678 UOH196678 UEL196678 TUP196678 TKT196678 TAX196678 SRB196678 SHF196678 RXJ196678 RNN196678 RDR196678 QTV196678 QJZ196678 QAD196678 PQH196678 PGL196678 OWP196678 OMT196678 OCX196678 NTB196678 NJF196678 MZJ196678 MPN196678 MFR196678 LVV196678 LLZ196678 LCD196678 KSH196678 KIL196678 JYP196678 JOT196678 JEX196678 IVB196678 ILF196678 IBJ196678 HRN196678 HHR196678 GXV196678 GNZ196678 GED196678 FUH196678 FKL196678 FAP196678 EQT196678 EGX196678 DXB196678 DNF196678 DDJ196678 CTN196678 CJR196678 BZV196678 BPZ196678 BGD196678 AWH196678 AML196678 ACP196678 ST196678 IX196678 B196678 WVJ131142 WLN131142 WBR131142 VRV131142 VHZ131142 UYD131142 UOH131142 UEL131142 TUP131142 TKT131142 TAX131142 SRB131142 SHF131142 RXJ131142 RNN131142 RDR131142 QTV131142 QJZ131142 QAD131142 PQH131142 PGL131142 OWP131142 OMT131142 OCX131142 NTB131142 NJF131142 MZJ131142 MPN131142 MFR131142 LVV131142 LLZ131142 LCD131142 KSH131142 KIL131142 JYP131142 JOT131142 JEX131142 IVB131142 ILF131142 IBJ131142 HRN131142 HHR131142 GXV131142 GNZ131142 GED131142 FUH131142 FKL131142 FAP131142 EQT131142 EGX131142 DXB131142 DNF131142 DDJ131142 CTN131142 CJR131142 BZV131142 BPZ131142 BGD131142 AWH131142 AML131142 ACP131142 ST131142 IX131142 B131142 WVJ65606 WLN65606 WBR65606 VRV65606 VHZ65606 UYD65606 UOH65606 UEL65606 TUP65606 TKT65606 TAX65606 SRB65606 SHF65606 RXJ65606 RNN65606 RDR65606 QTV65606 QJZ65606 QAD65606 PQH65606 PGL65606 OWP65606 OMT65606 OCX65606 NTB65606 NJF65606 MZJ65606 MPN65606 MFR65606 LVV65606 LLZ65606 LCD65606 KSH65606 KIL65606 JYP65606 JOT65606 JEX65606 IVB65606 ILF65606 IBJ65606 HRN65606 HHR65606 GXV65606 GNZ65606 GED65606 FUH65606 FKL65606 FAP65606 EQT65606 EGX65606 DXB65606 DNF65606 DDJ65606 CTN65606 CJR65606 BZV65606 BPZ65606 BGD65606 AWH65606 AML65606 ACP65606 ST65606 IX65606 B65606 WVJ152 WLN152 WBR152 VRV152 VHZ152 UYD152 UOH152 UEL152 TUP152 TKT152 TAX152 SRB152 SHF152 RXJ152 RNN152 RDR152 QTV152 QJZ152 QAD152 PQH152 PGL152 OWP152 OMT152 OCX152 NTB152 NJF152 MZJ152 MPN152 MFR152 LVV152 LLZ152 LCD152 KSH152 KIL152 JYP152 JOT152 JEX152 IVB152 ILF152 IBJ152 HRN152 HHR152 GXV152 GNZ152 GED152 FUH152 FKL152 FAP152 EQT152 EGX152 DXB152 DNF152 DDJ152 CTN152 CJR152 BZV152 BPZ152 BGD152 AWH152 AML152 ACP152 ST152 IX152 ST137 WVJ983095 WLN983095 WBR983095 VRV983095 VHZ983095 UYD983095 UOH983095 UEL983095 TUP983095 TKT983095 TAX983095 SRB983095 SHF983095 RXJ983095 RNN983095 RDR983095 QTV983095 QJZ983095 QAD983095 PQH983095 PGL983095 OWP983095 OMT983095 OCX983095 NTB983095 NJF983095 MZJ983095 MPN983095 MFR983095 LVV983095 LLZ983095 LCD983095 KSH983095 KIL983095 JYP983095 JOT983095 JEX983095 IVB983095 ILF983095 IBJ983095 HRN983095 HHR983095 GXV983095 GNZ983095 GED983095 FUH983095 FKL983095 FAP983095 EQT983095 EGX983095 DXB983095 DNF983095 DDJ983095 CTN983095 CJR983095 BZV983095 BPZ983095 BGD983095 AWH983095 AML983095 ACP983095 ST983095 IX983095 B983095 WVJ917559 WLN917559 WBR917559 VRV917559 VHZ917559 UYD917559 UOH917559 UEL917559 TUP917559 TKT917559 TAX917559 SRB917559 SHF917559 RXJ917559 RNN917559 RDR917559 QTV917559 QJZ917559 QAD917559 PQH917559 PGL917559 OWP917559 OMT917559 OCX917559 NTB917559 NJF917559 MZJ917559 MPN917559 MFR917559 LVV917559 LLZ917559 LCD917559 KSH917559 KIL917559 JYP917559 JOT917559 JEX917559 IVB917559 ILF917559 IBJ917559 HRN917559 HHR917559 GXV917559 GNZ917559 GED917559 FUH917559 FKL917559 FAP917559 EQT917559 EGX917559 DXB917559 DNF917559 DDJ917559 CTN917559 CJR917559 BZV917559 BPZ917559 BGD917559 AWH917559 AML917559 ACP917559 ST917559 IX917559 B917559 WVJ852023 WLN852023 WBR852023 VRV852023 VHZ852023 UYD852023 UOH852023 UEL852023 TUP852023 TKT852023 TAX852023 SRB852023 SHF852023 RXJ852023 RNN852023 RDR852023 QTV852023 QJZ852023 QAD852023 PQH852023 PGL852023 OWP852023 OMT852023 OCX852023 NTB852023 NJF852023 MZJ852023 MPN852023 MFR852023 LVV852023 LLZ852023 LCD852023 KSH852023 KIL852023 JYP852023 JOT852023 JEX852023 IVB852023 ILF852023 IBJ852023 HRN852023 HHR852023 GXV852023 GNZ852023 GED852023 FUH852023 FKL852023 FAP852023 EQT852023 EGX852023 DXB852023 DNF852023 DDJ852023 CTN852023 CJR852023 BZV852023 BPZ852023 BGD852023 AWH852023 AML852023 ACP852023 ST852023 IX852023 B852023 WVJ786487 WLN786487 WBR786487 VRV786487 VHZ786487 UYD786487 UOH786487 UEL786487 TUP786487 TKT786487 TAX786487 SRB786487 SHF786487 RXJ786487 RNN786487 RDR786487 QTV786487 QJZ786487 QAD786487 PQH786487 PGL786487 OWP786487 OMT786487 OCX786487 NTB786487 NJF786487 MZJ786487 MPN786487 MFR786487 LVV786487 LLZ786487 LCD786487 KSH786487 KIL786487 JYP786487 JOT786487 JEX786487 IVB786487 ILF786487 IBJ786487 HRN786487 HHR786487 GXV786487 GNZ786487 GED786487 FUH786487 FKL786487 FAP786487 EQT786487 EGX786487 DXB786487 DNF786487 DDJ786487 CTN786487 CJR786487 BZV786487 BPZ786487 BGD786487 AWH786487 AML786487 ACP786487 ST786487 IX786487 B786487 WVJ720951 WLN720951 WBR720951 VRV720951 VHZ720951 UYD720951 UOH720951 UEL720951 TUP720951 TKT720951 TAX720951 SRB720951 SHF720951 RXJ720951 RNN720951 RDR720951 QTV720951 QJZ720951 QAD720951 PQH720951 PGL720951 OWP720951 OMT720951 OCX720951 NTB720951 NJF720951 MZJ720951 MPN720951 MFR720951 LVV720951 LLZ720951 LCD720951 KSH720951 KIL720951 JYP720951 JOT720951 JEX720951 IVB720951 ILF720951 IBJ720951 HRN720951 HHR720951 GXV720951 GNZ720951 GED720951 FUH720951 FKL720951 FAP720951 EQT720951 EGX720951 DXB720951 DNF720951 DDJ720951 CTN720951 CJR720951 BZV720951 BPZ720951 BGD720951 AWH720951 AML720951 ACP720951 ST720951 IX720951 B720951 WVJ655415 WLN655415 WBR655415 VRV655415 VHZ655415 UYD655415 UOH655415 UEL655415 TUP655415 TKT655415 TAX655415 SRB655415 SHF655415 RXJ655415 RNN655415 RDR655415 QTV655415 QJZ655415 QAD655415 PQH655415 PGL655415 OWP655415 OMT655415 OCX655415 NTB655415 NJF655415 MZJ655415 MPN655415 MFR655415 LVV655415 LLZ655415 LCD655415 KSH655415 KIL655415 JYP655415 JOT655415 JEX655415 IVB655415 ILF655415 IBJ655415 HRN655415 HHR655415 GXV655415 GNZ655415 GED655415 FUH655415 FKL655415 FAP655415 EQT655415 EGX655415 DXB655415 DNF655415 DDJ655415 CTN655415 CJR655415 BZV655415 BPZ655415 BGD655415 AWH655415 AML655415 ACP655415 ST655415 IX655415 B655415 WVJ589879 WLN589879 WBR589879 VRV589879 VHZ589879 UYD589879 UOH589879 UEL589879 TUP589879 TKT589879 TAX589879 SRB589879 SHF589879 RXJ589879 RNN589879 RDR589879 QTV589879 QJZ589879 QAD589879 PQH589879 PGL589879 OWP589879 OMT589879 OCX589879 NTB589879 NJF589879 MZJ589879 MPN589879 MFR589879 LVV589879 LLZ589879 LCD589879 KSH589879 KIL589879 JYP589879 JOT589879 JEX589879 IVB589879 ILF589879 IBJ589879 HRN589879 HHR589879 GXV589879 GNZ589879 GED589879 FUH589879 FKL589879 FAP589879 EQT589879 EGX589879 DXB589879 DNF589879 DDJ589879 CTN589879 CJR589879 BZV589879 BPZ589879 BGD589879 AWH589879 AML589879 ACP589879 ST589879 IX589879 B589879 WVJ524343 WLN524343 WBR524343 VRV524343 VHZ524343 UYD524343 UOH524343 UEL524343 TUP524343 TKT524343 TAX524343 SRB524343 SHF524343 RXJ524343 RNN524343 RDR524343 QTV524343 QJZ524343 QAD524343 PQH524343 PGL524343 OWP524343 OMT524343 OCX524343 NTB524343 NJF524343 MZJ524343 MPN524343 MFR524343 LVV524343 LLZ524343 LCD524343 KSH524343 KIL524343 JYP524343 JOT524343 JEX524343 IVB524343 ILF524343 IBJ524343 HRN524343 HHR524343 GXV524343 GNZ524343 GED524343 FUH524343 FKL524343 FAP524343 EQT524343 EGX524343 DXB524343 DNF524343 DDJ524343 CTN524343 CJR524343 BZV524343 BPZ524343 BGD524343 AWH524343 AML524343 ACP524343 ST524343 IX524343 B524343 WVJ458807 WLN458807 WBR458807 VRV458807 VHZ458807 UYD458807 UOH458807 UEL458807 TUP458807 TKT458807 TAX458807 SRB458807 SHF458807 RXJ458807 RNN458807 RDR458807 QTV458807 QJZ458807 QAD458807 PQH458807 PGL458807 OWP458807 OMT458807 OCX458807 NTB458807 NJF458807 MZJ458807 MPN458807 MFR458807 LVV458807 LLZ458807 LCD458807 KSH458807 KIL458807 JYP458807 JOT458807 JEX458807 IVB458807 ILF458807 IBJ458807 HRN458807 HHR458807 GXV458807 GNZ458807 GED458807 FUH458807 FKL458807 FAP458807 EQT458807 EGX458807 DXB458807 DNF458807 DDJ458807 CTN458807 CJR458807 BZV458807 BPZ458807 BGD458807 AWH458807 AML458807 ACP458807 ST458807 IX458807 B458807 WVJ393271 WLN393271 WBR393271 VRV393271 VHZ393271 UYD393271 UOH393271 UEL393271 TUP393271 TKT393271 TAX393271 SRB393271 SHF393271 RXJ393271 RNN393271 RDR393271 QTV393271 QJZ393271 QAD393271 PQH393271 PGL393271 OWP393271 OMT393271 OCX393271 NTB393271 NJF393271 MZJ393271 MPN393271 MFR393271 LVV393271 LLZ393271 LCD393271 KSH393271 KIL393271 JYP393271 JOT393271 JEX393271 IVB393271 ILF393271 IBJ393271 HRN393271 HHR393271 GXV393271 GNZ393271 GED393271 FUH393271 FKL393271 FAP393271 EQT393271 EGX393271 DXB393271 DNF393271 DDJ393271 CTN393271 CJR393271 BZV393271 BPZ393271 BGD393271 AWH393271 AML393271 ACP393271 ST393271 IX393271 B393271 WVJ327735 WLN327735 WBR327735 VRV327735 VHZ327735 UYD327735 UOH327735 UEL327735 TUP327735 TKT327735 TAX327735 SRB327735 SHF327735 RXJ327735 RNN327735 RDR327735 QTV327735 QJZ327735 QAD327735 PQH327735 PGL327735 OWP327735 OMT327735 OCX327735 NTB327735 NJF327735 MZJ327735 MPN327735 MFR327735 LVV327735 LLZ327735 LCD327735 KSH327735 KIL327735 JYP327735 JOT327735 JEX327735 IVB327735 ILF327735 IBJ327735 HRN327735 HHR327735 GXV327735 GNZ327735 GED327735 FUH327735 FKL327735 FAP327735 EQT327735 EGX327735 DXB327735 DNF327735 DDJ327735 CTN327735 CJR327735 BZV327735 BPZ327735 BGD327735 AWH327735 AML327735 ACP327735 ST327735 IX327735 B327735 WVJ262199 WLN262199 WBR262199 VRV262199 VHZ262199 UYD262199 UOH262199 UEL262199 TUP262199 TKT262199 TAX262199 SRB262199 SHF262199 RXJ262199 RNN262199 RDR262199 QTV262199 QJZ262199 QAD262199 PQH262199 PGL262199 OWP262199 OMT262199 OCX262199 NTB262199 NJF262199 MZJ262199 MPN262199 MFR262199 LVV262199 LLZ262199 LCD262199 KSH262199 KIL262199 JYP262199 JOT262199 JEX262199 IVB262199 ILF262199 IBJ262199 HRN262199 HHR262199 GXV262199 GNZ262199 GED262199 FUH262199 FKL262199 FAP262199 EQT262199 EGX262199 DXB262199 DNF262199 DDJ262199 CTN262199 CJR262199 BZV262199 BPZ262199 BGD262199 AWH262199 AML262199 ACP262199 ST262199 IX262199 B262199 WVJ196663 WLN196663 WBR196663 VRV196663 VHZ196663 UYD196663 UOH196663 UEL196663 TUP196663 TKT196663 TAX196663 SRB196663 SHF196663 RXJ196663 RNN196663 RDR196663 QTV196663 QJZ196663 QAD196663 PQH196663 PGL196663 OWP196663 OMT196663 OCX196663 NTB196663 NJF196663 MZJ196663 MPN196663 MFR196663 LVV196663 LLZ196663 LCD196663 KSH196663 KIL196663 JYP196663 JOT196663 JEX196663 IVB196663 ILF196663 IBJ196663 HRN196663 HHR196663 GXV196663 GNZ196663 GED196663 FUH196663 FKL196663 FAP196663 EQT196663 EGX196663 DXB196663 DNF196663 DDJ196663 CTN196663 CJR196663 BZV196663 BPZ196663 BGD196663 AWH196663 AML196663 ACP196663 ST196663 IX196663 B196663 WVJ131127 WLN131127 WBR131127 VRV131127 VHZ131127 UYD131127 UOH131127 UEL131127 TUP131127 TKT131127 TAX131127 SRB131127 SHF131127 RXJ131127 RNN131127 RDR131127 QTV131127 QJZ131127 QAD131127 PQH131127 PGL131127 OWP131127 OMT131127 OCX131127 NTB131127 NJF131127 MZJ131127 MPN131127 MFR131127 LVV131127 LLZ131127 LCD131127 KSH131127 KIL131127 JYP131127 JOT131127 JEX131127 IVB131127 ILF131127 IBJ131127 HRN131127 HHR131127 GXV131127 GNZ131127 GED131127 FUH131127 FKL131127 FAP131127 EQT131127 EGX131127 DXB131127 DNF131127 DDJ131127 CTN131127 CJR131127 BZV131127 BPZ131127 BGD131127 AWH131127 AML131127 ACP131127 ST131127 IX131127 B131127 WVJ65591 WLN65591 WBR65591 VRV65591 VHZ65591 UYD65591 UOH65591 UEL65591 TUP65591 TKT65591 TAX65591 SRB65591 SHF65591 RXJ65591 RNN65591 RDR65591 QTV65591 QJZ65591 QAD65591 PQH65591 PGL65591 OWP65591 OMT65591 OCX65591 NTB65591 NJF65591 MZJ65591 MPN65591 MFR65591 LVV65591 LLZ65591 LCD65591 KSH65591 KIL65591 JYP65591 JOT65591 JEX65591 IVB65591 ILF65591 IBJ65591 HRN65591 HHR65591 GXV65591 GNZ65591 GED65591 FUH65591 FKL65591 FAP65591 EQT65591 EGX65591 DXB65591 DNF65591 DDJ65591 CTN65591 CJR65591 BZV65591 BPZ65591 BGD65591 AWH65591 AML65591 ACP65591 ST65591 IX65591 B65591 WVJ137 WLN137 WBR137 VRV137 VHZ137 UYD137 UOH137 UEL137 TUP137 TKT137 TAX137 SRB137 SHF137 RXJ137 RNN137 RDR137 QTV137 QJZ137 QAD137 PQH137 PGL137 OWP137 OMT137 OCX137 NTB137 NJF137 MZJ137 MPN137 MFR137 LVV137 LLZ137 LCD137 KSH137 KIL137 JYP137 JOT137 JEX137 IVB137 ILF137 IBJ137 HRN137 HHR137 GXV137 GNZ137 GED137 FUH137 FKL137 FAP137 EQT137 EGX137 DXB137 DNF137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6"/>
  <dimension ref="A1:P261"/>
  <sheetViews>
    <sheetView topLeftCell="K1" workbookViewId="0">
      <selection sqref="A1:XFD1048576"/>
    </sheetView>
  </sheetViews>
  <sheetFormatPr baseColWidth="10" defaultRowHeight="15" x14ac:dyDescent="0.25"/>
  <cols>
    <col min="1" max="1" width="13.42578125" style="50" bestFit="1" customWidth="1"/>
    <col min="2" max="2" width="42.42578125" style="50" customWidth="1"/>
    <col min="3" max="14" width="14.7109375" style="50" customWidth="1"/>
    <col min="15" max="256" width="11.42578125" style="50"/>
    <col min="257" max="257" width="13.42578125" style="50" bestFit="1" customWidth="1"/>
    <col min="258" max="258" width="42.42578125" style="50" customWidth="1"/>
    <col min="259" max="269" width="14.7109375" style="50" customWidth="1"/>
    <col min="270" max="270" width="12.28515625" style="50" bestFit="1" customWidth="1"/>
    <col min="271" max="512" width="11.42578125" style="50"/>
    <col min="513" max="513" width="13.42578125" style="50" bestFit="1" customWidth="1"/>
    <col min="514" max="514" width="42.42578125" style="50" customWidth="1"/>
    <col min="515" max="525" width="14.7109375" style="50" customWidth="1"/>
    <col min="526" max="526" width="12.28515625" style="50" bestFit="1" customWidth="1"/>
    <col min="527" max="768" width="11.42578125" style="50"/>
    <col min="769" max="769" width="13.42578125" style="50" bestFit="1" customWidth="1"/>
    <col min="770" max="770" width="42.42578125" style="50" customWidth="1"/>
    <col min="771" max="781" width="14.7109375" style="50" customWidth="1"/>
    <col min="782" max="782" width="12.28515625" style="50" bestFit="1" customWidth="1"/>
    <col min="783" max="1024" width="11.42578125" style="50"/>
    <col min="1025" max="1025" width="13.42578125" style="50" bestFit="1" customWidth="1"/>
    <col min="1026" max="1026" width="42.42578125" style="50" customWidth="1"/>
    <col min="1027" max="1037" width="14.7109375" style="50" customWidth="1"/>
    <col min="1038" max="1038" width="12.28515625" style="50" bestFit="1" customWidth="1"/>
    <col min="1039" max="1280" width="11.42578125" style="50"/>
    <col min="1281" max="1281" width="13.42578125" style="50" bestFit="1" customWidth="1"/>
    <col min="1282" max="1282" width="42.42578125" style="50" customWidth="1"/>
    <col min="1283" max="1293" width="14.7109375" style="50" customWidth="1"/>
    <col min="1294" max="1294" width="12.28515625" style="50" bestFit="1" customWidth="1"/>
    <col min="1295" max="1536" width="11.42578125" style="50"/>
    <col min="1537" max="1537" width="13.42578125" style="50" bestFit="1" customWidth="1"/>
    <col min="1538" max="1538" width="42.42578125" style="50" customWidth="1"/>
    <col min="1539" max="1549" width="14.7109375" style="50" customWidth="1"/>
    <col min="1550" max="1550" width="12.28515625" style="50" bestFit="1" customWidth="1"/>
    <col min="1551" max="1792" width="11.42578125" style="50"/>
    <col min="1793" max="1793" width="13.42578125" style="50" bestFit="1" customWidth="1"/>
    <col min="1794" max="1794" width="42.42578125" style="50" customWidth="1"/>
    <col min="1795" max="1805" width="14.7109375" style="50" customWidth="1"/>
    <col min="1806" max="1806" width="12.28515625" style="50" bestFit="1" customWidth="1"/>
    <col min="1807" max="2048" width="11.42578125" style="50"/>
    <col min="2049" max="2049" width="13.42578125" style="50" bestFit="1" customWidth="1"/>
    <col min="2050" max="2050" width="42.42578125" style="50" customWidth="1"/>
    <col min="2051" max="2061" width="14.7109375" style="50" customWidth="1"/>
    <col min="2062" max="2062" width="12.28515625" style="50" bestFit="1" customWidth="1"/>
    <col min="2063" max="2304" width="11.42578125" style="50"/>
    <col min="2305" max="2305" width="13.42578125" style="50" bestFit="1" customWidth="1"/>
    <col min="2306" max="2306" width="42.42578125" style="50" customWidth="1"/>
    <col min="2307" max="2317" width="14.7109375" style="50" customWidth="1"/>
    <col min="2318" max="2318" width="12.28515625" style="50" bestFit="1" customWidth="1"/>
    <col min="2319" max="2560" width="11.42578125" style="50"/>
    <col min="2561" max="2561" width="13.42578125" style="50" bestFit="1" customWidth="1"/>
    <col min="2562" max="2562" width="42.42578125" style="50" customWidth="1"/>
    <col min="2563" max="2573" width="14.7109375" style="50" customWidth="1"/>
    <col min="2574" max="2574" width="12.28515625" style="50" bestFit="1" customWidth="1"/>
    <col min="2575" max="2816" width="11.42578125" style="50"/>
    <col min="2817" max="2817" width="13.42578125" style="50" bestFit="1" customWidth="1"/>
    <col min="2818" max="2818" width="42.42578125" style="50" customWidth="1"/>
    <col min="2819" max="2829" width="14.7109375" style="50" customWidth="1"/>
    <col min="2830" max="2830" width="12.28515625" style="50" bestFit="1" customWidth="1"/>
    <col min="2831" max="3072" width="11.42578125" style="50"/>
    <col min="3073" max="3073" width="13.42578125" style="50" bestFit="1" customWidth="1"/>
    <col min="3074" max="3074" width="42.42578125" style="50" customWidth="1"/>
    <col min="3075" max="3085" width="14.7109375" style="50" customWidth="1"/>
    <col min="3086" max="3086" width="12.28515625" style="50" bestFit="1" customWidth="1"/>
    <col min="3087" max="3328" width="11.42578125" style="50"/>
    <col min="3329" max="3329" width="13.42578125" style="50" bestFit="1" customWidth="1"/>
    <col min="3330" max="3330" width="42.42578125" style="50" customWidth="1"/>
    <col min="3331" max="3341" width="14.7109375" style="50" customWidth="1"/>
    <col min="3342" max="3342" width="12.28515625" style="50" bestFit="1" customWidth="1"/>
    <col min="3343" max="3584" width="11.42578125" style="50"/>
    <col min="3585" max="3585" width="13.42578125" style="50" bestFit="1" customWidth="1"/>
    <col min="3586" max="3586" width="42.42578125" style="50" customWidth="1"/>
    <col min="3587" max="3597" width="14.7109375" style="50" customWidth="1"/>
    <col min="3598" max="3598" width="12.28515625" style="50" bestFit="1" customWidth="1"/>
    <col min="3599" max="3840" width="11.42578125" style="50"/>
    <col min="3841" max="3841" width="13.42578125" style="50" bestFit="1" customWidth="1"/>
    <col min="3842" max="3842" width="42.42578125" style="50" customWidth="1"/>
    <col min="3843" max="3853" width="14.7109375" style="50" customWidth="1"/>
    <col min="3854" max="3854" width="12.28515625" style="50" bestFit="1" customWidth="1"/>
    <col min="3855" max="4096" width="11.42578125" style="50"/>
    <col min="4097" max="4097" width="13.42578125" style="50" bestFit="1" customWidth="1"/>
    <col min="4098" max="4098" width="42.42578125" style="50" customWidth="1"/>
    <col min="4099" max="4109" width="14.7109375" style="50" customWidth="1"/>
    <col min="4110" max="4110" width="12.28515625" style="50" bestFit="1" customWidth="1"/>
    <col min="4111" max="4352" width="11.42578125" style="50"/>
    <col min="4353" max="4353" width="13.42578125" style="50" bestFit="1" customWidth="1"/>
    <col min="4354" max="4354" width="42.42578125" style="50" customWidth="1"/>
    <col min="4355" max="4365" width="14.7109375" style="50" customWidth="1"/>
    <col min="4366" max="4366" width="12.28515625" style="50" bestFit="1" customWidth="1"/>
    <col min="4367" max="4608" width="11.42578125" style="50"/>
    <col min="4609" max="4609" width="13.42578125" style="50" bestFit="1" customWidth="1"/>
    <col min="4610" max="4610" width="42.42578125" style="50" customWidth="1"/>
    <col min="4611" max="4621" width="14.7109375" style="50" customWidth="1"/>
    <col min="4622" max="4622" width="12.28515625" style="50" bestFit="1" customWidth="1"/>
    <col min="4623" max="4864" width="11.42578125" style="50"/>
    <col min="4865" max="4865" width="13.42578125" style="50" bestFit="1" customWidth="1"/>
    <col min="4866" max="4866" width="42.42578125" style="50" customWidth="1"/>
    <col min="4867" max="4877" width="14.7109375" style="50" customWidth="1"/>
    <col min="4878" max="4878" width="12.28515625" style="50" bestFit="1" customWidth="1"/>
    <col min="4879" max="5120" width="11.42578125" style="50"/>
    <col min="5121" max="5121" width="13.42578125" style="50" bestFit="1" customWidth="1"/>
    <col min="5122" max="5122" width="42.42578125" style="50" customWidth="1"/>
    <col min="5123" max="5133" width="14.7109375" style="50" customWidth="1"/>
    <col min="5134" max="5134" width="12.28515625" style="50" bestFit="1" customWidth="1"/>
    <col min="5135" max="5376" width="11.42578125" style="50"/>
    <col min="5377" max="5377" width="13.42578125" style="50" bestFit="1" customWidth="1"/>
    <col min="5378" max="5378" width="42.42578125" style="50" customWidth="1"/>
    <col min="5379" max="5389" width="14.7109375" style="50" customWidth="1"/>
    <col min="5390" max="5390" width="12.28515625" style="50" bestFit="1" customWidth="1"/>
    <col min="5391" max="5632" width="11.42578125" style="50"/>
    <col min="5633" max="5633" width="13.42578125" style="50" bestFit="1" customWidth="1"/>
    <col min="5634" max="5634" width="42.42578125" style="50" customWidth="1"/>
    <col min="5635" max="5645" width="14.7109375" style="50" customWidth="1"/>
    <col min="5646" max="5646" width="12.28515625" style="50" bestFit="1" customWidth="1"/>
    <col min="5647" max="5888" width="11.42578125" style="50"/>
    <col min="5889" max="5889" width="13.42578125" style="50" bestFit="1" customWidth="1"/>
    <col min="5890" max="5890" width="42.42578125" style="50" customWidth="1"/>
    <col min="5891" max="5901" width="14.7109375" style="50" customWidth="1"/>
    <col min="5902" max="5902" width="12.28515625" style="50" bestFit="1" customWidth="1"/>
    <col min="5903" max="6144" width="11.42578125" style="50"/>
    <col min="6145" max="6145" width="13.42578125" style="50" bestFit="1" customWidth="1"/>
    <col min="6146" max="6146" width="42.42578125" style="50" customWidth="1"/>
    <col min="6147" max="6157" width="14.7109375" style="50" customWidth="1"/>
    <col min="6158" max="6158" width="12.28515625" style="50" bestFit="1" customWidth="1"/>
    <col min="6159" max="6400" width="11.42578125" style="50"/>
    <col min="6401" max="6401" width="13.42578125" style="50" bestFit="1" customWidth="1"/>
    <col min="6402" max="6402" width="42.42578125" style="50" customWidth="1"/>
    <col min="6403" max="6413" width="14.7109375" style="50" customWidth="1"/>
    <col min="6414" max="6414" width="12.28515625" style="50" bestFit="1" customWidth="1"/>
    <col min="6415" max="6656" width="11.42578125" style="50"/>
    <col min="6657" max="6657" width="13.42578125" style="50" bestFit="1" customWidth="1"/>
    <col min="6658" max="6658" width="42.42578125" style="50" customWidth="1"/>
    <col min="6659" max="6669" width="14.7109375" style="50" customWidth="1"/>
    <col min="6670" max="6670" width="12.28515625" style="50" bestFit="1" customWidth="1"/>
    <col min="6671" max="6912" width="11.42578125" style="50"/>
    <col min="6913" max="6913" width="13.42578125" style="50" bestFit="1" customWidth="1"/>
    <col min="6914" max="6914" width="42.42578125" style="50" customWidth="1"/>
    <col min="6915" max="6925" width="14.7109375" style="50" customWidth="1"/>
    <col min="6926" max="6926" width="12.28515625" style="50" bestFit="1" customWidth="1"/>
    <col min="6927" max="7168" width="11.42578125" style="50"/>
    <col min="7169" max="7169" width="13.42578125" style="50" bestFit="1" customWidth="1"/>
    <col min="7170" max="7170" width="42.42578125" style="50" customWidth="1"/>
    <col min="7171" max="7181" width="14.7109375" style="50" customWidth="1"/>
    <col min="7182" max="7182" width="12.28515625" style="50" bestFit="1" customWidth="1"/>
    <col min="7183" max="7424" width="11.42578125" style="50"/>
    <col min="7425" max="7425" width="13.42578125" style="50" bestFit="1" customWidth="1"/>
    <col min="7426" max="7426" width="42.42578125" style="50" customWidth="1"/>
    <col min="7427" max="7437" width="14.7109375" style="50" customWidth="1"/>
    <col min="7438" max="7438" width="12.28515625" style="50" bestFit="1" customWidth="1"/>
    <col min="7439" max="7680" width="11.42578125" style="50"/>
    <col min="7681" max="7681" width="13.42578125" style="50" bestFit="1" customWidth="1"/>
    <col min="7682" max="7682" width="42.42578125" style="50" customWidth="1"/>
    <col min="7683" max="7693" width="14.7109375" style="50" customWidth="1"/>
    <col min="7694" max="7694" width="12.28515625" style="50" bestFit="1" customWidth="1"/>
    <col min="7695" max="7936" width="11.42578125" style="50"/>
    <col min="7937" max="7937" width="13.42578125" style="50" bestFit="1" customWidth="1"/>
    <col min="7938" max="7938" width="42.42578125" style="50" customWidth="1"/>
    <col min="7939" max="7949" width="14.7109375" style="50" customWidth="1"/>
    <col min="7950" max="7950" width="12.28515625" style="50" bestFit="1" customWidth="1"/>
    <col min="7951" max="8192" width="11.42578125" style="50"/>
    <col min="8193" max="8193" width="13.42578125" style="50" bestFit="1" customWidth="1"/>
    <col min="8194" max="8194" width="42.42578125" style="50" customWidth="1"/>
    <col min="8195" max="8205" width="14.7109375" style="50" customWidth="1"/>
    <col min="8206" max="8206" width="12.28515625" style="50" bestFit="1" customWidth="1"/>
    <col min="8207" max="8448" width="11.42578125" style="50"/>
    <col min="8449" max="8449" width="13.42578125" style="50" bestFit="1" customWidth="1"/>
    <col min="8450" max="8450" width="42.42578125" style="50" customWidth="1"/>
    <col min="8451" max="8461" width="14.7109375" style="50" customWidth="1"/>
    <col min="8462" max="8462" width="12.28515625" style="50" bestFit="1" customWidth="1"/>
    <col min="8463" max="8704" width="11.42578125" style="50"/>
    <col min="8705" max="8705" width="13.42578125" style="50" bestFit="1" customWidth="1"/>
    <col min="8706" max="8706" width="42.42578125" style="50" customWidth="1"/>
    <col min="8707" max="8717" width="14.7109375" style="50" customWidth="1"/>
    <col min="8718" max="8718" width="12.28515625" style="50" bestFit="1" customWidth="1"/>
    <col min="8719" max="8960" width="11.42578125" style="50"/>
    <col min="8961" max="8961" width="13.42578125" style="50" bestFit="1" customWidth="1"/>
    <col min="8962" max="8962" width="42.42578125" style="50" customWidth="1"/>
    <col min="8963" max="8973" width="14.7109375" style="50" customWidth="1"/>
    <col min="8974" max="8974" width="12.28515625" style="50" bestFit="1" customWidth="1"/>
    <col min="8975" max="9216" width="11.42578125" style="50"/>
    <col min="9217" max="9217" width="13.42578125" style="50" bestFit="1" customWidth="1"/>
    <col min="9218" max="9218" width="42.42578125" style="50" customWidth="1"/>
    <col min="9219" max="9229" width="14.7109375" style="50" customWidth="1"/>
    <col min="9230" max="9230" width="12.28515625" style="50" bestFit="1" customWidth="1"/>
    <col min="9231" max="9472" width="11.42578125" style="50"/>
    <col min="9473" max="9473" width="13.42578125" style="50" bestFit="1" customWidth="1"/>
    <col min="9474" max="9474" width="42.42578125" style="50" customWidth="1"/>
    <col min="9475" max="9485" width="14.7109375" style="50" customWidth="1"/>
    <col min="9486" max="9486" width="12.28515625" style="50" bestFit="1" customWidth="1"/>
    <col min="9487" max="9728" width="11.42578125" style="50"/>
    <col min="9729" max="9729" width="13.42578125" style="50" bestFit="1" customWidth="1"/>
    <col min="9730" max="9730" width="42.42578125" style="50" customWidth="1"/>
    <col min="9731" max="9741" width="14.7109375" style="50" customWidth="1"/>
    <col min="9742" max="9742" width="12.28515625" style="50" bestFit="1" customWidth="1"/>
    <col min="9743" max="9984" width="11.42578125" style="50"/>
    <col min="9985" max="9985" width="13.42578125" style="50" bestFit="1" customWidth="1"/>
    <col min="9986" max="9986" width="42.42578125" style="50" customWidth="1"/>
    <col min="9987" max="9997" width="14.7109375" style="50" customWidth="1"/>
    <col min="9998" max="9998" width="12.28515625" style="50" bestFit="1" customWidth="1"/>
    <col min="9999" max="10240" width="11.42578125" style="50"/>
    <col min="10241" max="10241" width="13.42578125" style="50" bestFit="1" customWidth="1"/>
    <col min="10242" max="10242" width="42.42578125" style="50" customWidth="1"/>
    <col min="10243" max="10253" width="14.7109375" style="50" customWidth="1"/>
    <col min="10254" max="10254" width="12.28515625" style="50" bestFit="1" customWidth="1"/>
    <col min="10255" max="10496" width="11.42578125" style="50"/>
    <col min="10497" max="10497" width="13.42578125" style="50" bestFit="1" customWidth="1"/>
    <col min="10498" max="10498" width="42.42578125" style="50" customWidth="1"/>
    <col min="10499" max="10509" width="14.7109375" style="50" customWidth="1"/>
    <col min="10510" max="10510" width="12.28515625" style="50" bestFit="1" customWidth="1"/>
    <col min="10511" max="10752" width="11.42578125" style="50"/>
    <col min="10753" max="10753" width="13.42578125" style="50" bestFit="1" customWidth="1"/>
    <col min="10754" max="10754" width="42.42578125" style="50" customWidth="1"/>
    <col min="10755" max="10765" width="14.7109375" style="50" customWidth="1"/>
    <col min="10766" max="10766" width="12.28515625" style="50" bestFit="1" customWidth="1"/>
    <col min="10767" max="11008" width="11.42578125" style="50"/>
    <col min="11009" max="11009" width="13.42578125" style="50" bestFit="1" customWidth="1"/>
    <col min="11010" max="11010" width="42.42578125" style="50" customWidth="1"/>
    <col min="11011" max="11021" width="14.7109375" style="50" customWidth="1"/>
    <col min="11022" max="11022" width="12.28515625" style="50" bestFit="1" customWidth="1"/>
    <col min="11023" max="11264" width="11.42578125" style="50"/>
    <col min="11265" max="11265" width="13.42578125" style="50" bestFit="1" customWidth="1"/>
    <col min="11266" max="11266" width="42.42578125" style="50" customWidth="1"/>
    <col min="11267" max="11277" width="14.7109375" style="50" customWidth="1"/>
    <col min="11278" max="11278" width="12.28515625" style="50" bestFit="1" customWidth="1"/>
    <col min="11279" max="11520" width="11.42578125" style="50"/>
    <col min="11521" max="11521" width="13.42578125" style="50" bestFit="1" customWidth="1"/>
    <col min="11522" max="11522" width="42.42578125" style="50" customWidth="1"/>
    <col min="11523" max="11533" width="14.7109375" style="50" customWidth="1"/>
    <col min="11534" max="11534" width="12.28515625" style="50" bestFit="1" customWidth="1"/>
    <col min="11535" max="11776" width="11.42578125" style="50"/>
    <col min="11777" max="11777" width="13.42578125" style="50" bestFit="1" customWidth="1"/>
    <col min="11778" max="11778" width="42.42578125" style="50" customWidth="1"/>
    <col min="11779" max="11789" width="14.7109375" style="50" customWidth="1"/>
    <col min="11790" max="11790" width="12.28515625" style="50" bestFit="1" customWidth="1"/>
    <col min="11791" max="12032" width="11.42578125" style="50"/>
    <col min="12033" max="12033" width="13.42578125" style="50" bestFit="1" customWidth="1"/>
    <col min="12034" max="12034" width="42.42578125" style="50" customWidth="1"/>
    <col min="12035" max="12045" width="14.7109375" style="50" customWidth="1"/>
    <col min="12046" max="12046" width="12.28515625" style="50" bestFit="1" customWidth="1"/>
    <col min="12047" max="12288" width="11.42578125" style="50"/>
    <col min="12289" max="12289" width="13.42578125" style="50" bestFit="1" customWidth="1"/>
    <col min="12290" max="12290" width="42.42578125" style="50" customWidth="1"/>
    <col min="12291" max="12301" width="14.7109375" style="50" customWidth="1"/>
    <col min="12302" max="12302" width="12.28515625" style="50" bestFit="1" customWidth="1"/>
    <col min="12303" max="12544" width="11.42578125" style="50"/>
    <col min="12545" max="12545" width="13.42578125" style="50" bestFit="1" customWidth="1"/>
    <col min="12546" max="12546" width="42.42578125" style="50" customWidth="1"/>
    <col min="12547" max="12557" width="14.7109375" style="50" customWidth="1"/>
    <col min="12558" max="12558" width="12.28515625" style="50" bestFit="1" customWidth="1"/>
    <col min="12559" max="12800" width="11.42578125" style="50"/>
    <col min="12801" max="12801" width="13.42578125" style="50" bestFit="1" customWidth="1"/>
    <col min="12802" max="12802" width="42.42578125" style="50" customWidth="1"/>
    <col min="12803" max="12813" width="14.7109375" style="50" customWidth="1"/>
    <col min="12814" max="12814" width="12.28515625" style="50" bestFit="1" customWidth="1"/>
    <col min="12815" max="13056" width="11.42578125" style="50"/>
    <col min="13057" max="13057" width="13.42578125" style="50" bestFit="1" customWidth="1"/>
    <col min="13058" max="13058" width="42.42578125" style="50" customWidth="1"/>
    <col min="13059" max="13069" width="14.7109375" style="50" customWidth="1"/>
    <col min="13070" max="13070" width="12.28515625" style="50" bestFit="1" customWidth="1"/>
    <col min="13071" max="13312" width="11.42578125" style="50"/>
    <col min="13313" max="13313" width="13.42578125" style="50" bestFit="1" customWidth="1"/>
    <col min="13314" max="13314" width="42.42578125" style="50" customWidth="1"/>
    <col min="13315" max="13325" width="14.7109375" style="50" customWidth="1"/>
    <col min="13326" max="13326" width="12.28515625" style="50" bestFit="1" customWidth="1"/>
    <col min="13327" max="13568" width="11.42578125" style="50"/>
    <col min="13569" max="13569" width="13.42578125" style="50" bestFit="1" customWidth="1"/>
    <col min="13570" max="13570" width="42.42578125" style="50" customWidth="1"/>
    <col min="13571" max="13581" width="14.7109375" style="50" customWidth="1"/>
    <col min="13582" max="13582" width="12.28515625" style="50" bestFit="1" customWidth="1"/>
    <col min="13583" max="13824" width="11.42578125" style="50"/>
    <col min="13825" max="13825" width="13.42578125" style="50" bestFit="1" customWidth="1"/>
    <col min="13826" max="13826" width="42.42578125" style="50" customWidth="1"/>
    <col min="13827" max="13837" width="14.7109375" style="50" customWidth="1"/>
    <col min="13838" max="13838" width="12.28515625" style="50" bestFit="1" customWidth="1"/>
    <col min="13839" max="14080" width="11.42578125" style="50"/>
    <col min="14081" max="14081" width="13.42578125" style="50" bestFit="1" customWidth="1"/>
    <col min="14082" max="14082" width="42.42578125" style="50" customWidth="1"/>
    <col min="14083" max="14093" width="14.7109375" style="50" customWidth="1"/>
    <col min="14094" max="14094" width="12.28515625" style="50" bestFit="1" customWidth="1"/>
    <col min="14095" max="14336" width="11.42578125" style="50"/>
    <col min="14337" max="14337" width="13.42578125" style="50" bestFit="1" customWidth="1"/>
    <col min="14338" max="14338" width="42.42578125" style="50" customWidth="1"/>
    <col min="14339" max="14349" width="14.7109375" style="50" customWidth="1"/>
    <col min="14350" max="14350" width="12.28515625" style="50" bestFit="1" customWidth="1"/>
    <col min="14351" max="14592" width="11.42578125" style="50"/>
    <col min="14593" max="14593" width="13.42578125" style="50" bestFit="1" customWidth="1"/>
    <col min="14594" max="14594" width="42.42578125" style="50" customWidth="1"/>
    <col min="14595" max="14605" width="14.7109375" style="50" customWidth="1"/>
    <col min="14606" max="14606" width="12.28515625" style="50" bestFit="1" customWidth="1"/>
    <col min="14607" max="14848" width="11.42578125" style="50"/>
    <col min="14849" max="14849" width="13.42578125" style="50" bestFit="1" customWidth="1"/>
    <col min="14850" max="14850" width="42.42578125" style="50" customWidth="1"/>
    <col min="14851" max="14861" width="14.7109375" style="50" customWidth="1"/>
    <col min="14862" max="14862" width="12.28515625" style="50" bestFit="1" customWidth="1"/>
    <col min="14863" max="15104" width="11.42578125" style="50"/>
    <col min="15105" max="15105" width="13.42578125" style="50" bestFit="1" customWidth="1"/>
    <col min="15106" max="15106" width="42.42578125" style="50" customWidth="1"/>
    <col min="15107" max="15117" width="14.7109375" style="50" customWidth="1"/>
    <col min="15118" max="15118" width="12.28515625" style="50" bestFit="1" customWidth="1"/>
    <col min="15119" max="15360" width="11.42578125" style="50"/>
    <col min="15361" max="15361" width="13.42578125" style="50" bestFit="1" customWidth="1"/>
    <col min="15362" max="15362" width="42.42578125" style="50" customWidth="1"/>
    <col min="15363" max="15373" width="14.7109375" style="50" customWidth="1"/>
    <col min="15374" max="15374" width="12.28515625" style="50" bestFit="1" customWidth="1"/>
    <col min="15375" max="15616" width="11.42578125" style="50"/>
    <col min="15617" max="15617" width="13.42578125" style="50" bestFit="1" customWidth="1"/>
    <col min="15618" max="15618" width="42.42578125" style="50" customWidth="1"/>
    <col min="15619" max="15629" width="14.7109375" style="50" customWidth="1"/>
    <col min="15630" max="15630" width="12.28515625" style="50" bestFit="1" customWidth="1"/>
    <col min="15631" max="15872" width="11.42578125" style="50"/>
    <col min="15873" max="15873" width="13.42578125" style="50" bestFit="1" customWidth="1"/>
    <col min="15874" max="15874" width="42.42578125" style="50" customWidth="1"/>
    <col min="15875" max="15885" width="14.7109375" style="50" customWidth="1"/>
    <col min="15886" max="15886" width="12.28515625" style="50" bestFit="1" customWidth="1"/>
    <col min="15887" max="16128" width="11.42578125" style="50"/>
    <col min="16129" max="16129" width="13.42578125" style="50" bestFit="1" customWidth="1"/>
    <col min="16130" max="16130" width="42.42578125" style="50" customWidth="1"/>
    <col min="16131" max="16141" width="14.7109375" style="50" customWidth="1"/>
    <col min="16142" max="16142" width="12.28515625" style="50" bestFit="1" customWidth="1"/>
    <col min="16143" max="16384" width="11.42578125" style="50"/>
  </cols>
  <sheetData>
    <row r="1" spans="1:16" ht="18" x14ac:dyDescent="0.25">
      <c r="B1" s="1999" t="s">
        <v>4967</v>
      </c>
      <c r="C1" s="1999"/>
      <c r="D1" s="1999"/>
      <c r="E1" s="1999"/>
      <c r="F1" s="1999"/>
      <c r="G1" s="1999"/>
      <c r="H1" s="1999"/>
      <c r="I1" s="1999"/>
      <c r="J1" s="1999"/>
      <c r="K1" s="1999"/>
      <c r="L1" s="1999"/>
      <c r="M1" s="1999"/>
      <c r="O1" s="50" t="s">
        <v>4968</v>
      </c>
      <c r="P1" s="50">
        <v>0.08</v>
      </c>
    </row>
    <row r="2" spans="1:16" ht="15.75" thickBot="1" x14ac:dyDescent="0.3"/>
    <row r="3" spans="1:16" ht="13.5" customHeight="1" thickBot="1" x14ac:dyDescent="0.3">
      <c r="B3" s="1994" t="s">
        <v>4969</v>
      </c>
      <c r="C3" s="1996" t="s">
        <v>4970</v>
      </c>
      <c r="D3" s="1996"/>
      <c r="E3" s="1996"/>
      <c r="F3" s="1996"/>
      <c r="G3" s="1996"/>
      <c r="H3" s="1996"/>
      <c r="I3" s="1996"/>
      <c r="J3" s="1996"/>
      <c r="K3" s="1996"/>
      <c r="L3" s="1996"/>
      <c r="M3" s="1997" t="s">
        <v>4971</v>
      </c>
    </row>
    <row r="4" spans="1:16" ht="15.75" thickBot="1" x14ac:dyDescent="0.3">
      <c r="B4" s="1995"/>
      <c r="C4" s="954">
        <v>1</v>
      </c>
      <c r="D4" s="955">
        <v>2</v>
      </c>
      <c r="E4" s="955">
        <v>3</v>
      </c>
      <c r="F4" s="955">
        <v>4</v>
      </c>
      <c r="G4" s="955">
        <v>5</v>
      </c>
      <c r="H4" s="955">
        <v>6</v>
      </c>
      <c r="I4" s="955">
        <v>7</v>
      </c>
      <c r="J4" s="955">
        <v>8</v>
      </c>
      <c r="K4" s="955">
        <v>9</v>
      </c>
      <c r="L4" s="955">
        <v>10</v>
      </c>
      <c r="M4" s="1998"/>
    </row>
    <row r="5" spans="1:16" ht="13.5" customHeight="1" thickBot="1" x14ac:dyDescent="0.3">
      <c r="B5" s="956" t="s">
        <v>4972</v>
      </c>
      <c r="C5" s="957"/>
      <c r="D5" s="957"/>
      <c r="E5" s="957"/>
      <c r="F5" s="957"/>
      <c r="G5" s="957"/>
      <c r="H5" s="957"/>
      <c r="I5" s="957"/>
      <c r="J5" s="957"/>
      <c r="K5" s="957"/>
      <c r="L5" s="958"/>
      <c r="M5" s="959"/>
    </row>
    <row r="6" spans="1:16" x14ac:dyDescent="0.25">
      <c r="A6" s="869"/>
      <c r="B6" s="960" t="str">
        <f>IF(ReporteBalance!A101="","",ReporteBalance!A101)</f>
        <v/>
      </c>
      <c r="C6" s="961" t="str">
        <f>IF(ReporteBalance!E101="","",ReporteBalance!E101)</f>
        <v/>
      </c>
      <c r="D6" s="961" t="str">
        <f>C6</f>
        <v/>
      </c>
      <c r="E6" s="961" t="str">
        <f t="shared" ref="D6:L16" si="0">D6</f>
        <v/>
      </c>
      <c r="F6" s="961" t="str">
        <f t="shared" si="0"/>
        <v/>
      </c>
      <c r="G6" s="961" t="str">
        <f t="shared" si="0"/>
        <v/>
      </c>
      <c r="H6" s="961" t="str">
        <f t="shared" si="0"/>
        <v/>
      </c>
      <c r="I6" s="961" t="str">
        <f t="shared" si="0"/>
        <v/>
      </c>
      <c r="J6" s="961" t="str">
        <f t="shared" si="0"/>
        <v/>
      </c>
      <c r="K6" s="961" t="str">
        <f t="shared" si="0"/>
        <v/>
      </c>
      <c r="L6" s="961" t="str">
        <f t="shared" si="0"/>
        <v/>
      </c>
      <c r="M6" s="962">
        <f>NPV($P$1,C6:L6)</f>
        <v>0</v>
      </c>
    </row>
    <row r="7" spans="1:16" x14ac:dyDescent="0.25">
      <c r="A7" s="869"/>
      <c r="B7" s="960" t="str">
        <f>IF(ReporteBalance!A102="","",ReporteBalance!A102)</f>
        <v/>
      </c>
      <c r="C7" s="961" t="str">
        <f>IF(ReporteBalance!E102="","",ReporteBalance!E102)</f>
        <v/>
      </c>
      <c r="D7" s="961" t="str">
        <f t="shared" si="0"/>
        <v/>
      </c>
      <c r="E7" s="961" t="str">
        <f t="shared" si="0"/>
        <v/>
      </c>
      <c r="F7" s="961" t="str">
        <f t="shared" si="0"/>
        <v/>
      </c>
      <c r="G7" s="961" t="str">
        <f t="shared" si="0"/>
        <v/>
      </c>
      <c r="H7" s="961" t="str">
        <f t="shared" si="0"/>
        <v/>
      </c>
      <c r="I7" s="961" t="str">
        <f t="shared" si="0"/>
        <v/>
      </c>
      <c r="J7" s="961" t="str">
        <f t="shared" si="0"/>
        <v/>
      </c>
      <c r="K7" s="961" t="str">
        <f t="shared" si="0"/>
        <v/>
      </c>
      <c r="L7" s="961" t="str">
        <f t="shared" si="0"/>
        <v/>
      </c>
      <c r="M7" s="962">
        <f t="shared" ref="M7:M16" si="1">NPV($P$1,C7:L7)</f>
        <v>0</v>
      </c>
    </row>
    <row r="8" spans="1:16" x14ac:dyDescent="0.25">
      <c r="A8" s="869"/>
      <c r="B8" s="960" t="str">
        <f>IF(ReporteBalance!A103="","",ReporteBalance!A103)</f>
        <v/>
      </c>
      <c r="C8" s="961" t="str">
        <f>IF(ReporteBalance!E103="","",ReporteBalance!E103)</f>
        <v/>
      </c>
      <c r="D8" s="961" t="str">
        <f t="shared" si="0"/>
        <v/>
      </c>
      <c r="E8" s="961" t="str">
        <f t="shared" si="0"/>
        <v/>
      </c>
      <c r="F8" s="961" t="str">
        <f t="shared" si="0"/>
        <v/>
      </c>
      <c r="G8" s="961" t="str">
        <f t="shared" si="0"/>
        <v/>
      </c>
      <c r="H8" s="961" t="str">
        <f t="shared" si="0"/>
        <v/>
      </c>
      <c r="I8" s="961" t="str">
        <f t="shared" si="0"/>
        <v/>
      </c>
      <c r="J8" s="961" t="str">
        <f t="shared" si="0"/>
        <v/>
      </c>
      <c r="K8" s="961" t="str">
        <f t="shared" si="0"/>
        <v/>
      </c>
      <c r="L8" s="961" t="str">
        <f t="shared" si="0"/>
        <v/>
      </c>
      <c r="M8" s="962">
        <f t="shared" si="1"/>
        <v>0</v>
      </c>
    </row>
    <row r="9" spans="1:16" x14ac:dyDescent="0.25">
      <c r="A9" s="869"/>
      <c r="B9" s="960" t="str">
        <f>IF(ReporteBalance!A104="","",ReporteBalance!A104)</f>
        <v/>
      </c>
      <c r="C9" s="961" t="str">
        <f>IF(ReporteBalance!E104="","",ReporteBalance!E104)</f>
        <v/>
      </c>
      <c r="D9" s="961" t="str">
        <f t="shared" si="0"/>
        <v/>
      </c>
      <c r="E9" s="961" t="str">
        <f t="shared" si="0"/>
        <v/>
      </c>
      <c r="F9" s="961" t="str">
        <f t="shared" si="0"/>
        <v/>
      </c>
      <c r="G9" s="961" t="str">
        <f t="shared" si="0"/>
        <v/>
      </c>
      <c r="H9" s="961" t="str">
        <f t="shared" si="0"/>
        <v/>
      </c>
      <c r="I9" s="961" t="str">
        <f t="shared" si="0"/>
        <v/>
      </c>
      <c r="J9" s="961" t="str">
        <f t="shared" si="0"/>
        <v/>
      </c>
      <c r="K9" s="961" t="str">
        <f t="shared" si="0"/>
        <v/>
      </c>
      <c r="L9" s="961" t="str">
        <f t="shared" si="0"/>
        <v/>
      </c>
      <c r="M9" s="962">
        <f t="shared" si="1"/>
        <v>0</v>
      </c>
    </row>
    <row r="10" spans="1:16" x14ac:dyDescent="0.25">
      <c r="A10" s="869"/>
      <c r="B10" s="960" t="str">
        <f>IF(ReporteBalance!A105="","",ReporteBalance!A105)</f>
        <v/>
      </c>
      <c r="C10" s="961" t="str">
        <f>IF(ReporteBalance!E105="","",ReporteBalance!E105)</f>
        <v/>
      </c>
      <c r="D10" s="961" t="str">
        <f t="shared" si="0"/>
        <v/>
      </c>
      <c r="E10" s="961" t="str">
        <f t="shared" si="0"/>
        <v/>
      </c>
      <c r="F10" s="961" t="str">
        <f t="shared" si="0"/>
        <v/>
      </c>
      <c r="G10" s="961" t="str">
        <f t="shared" si="0"/>
        <v/>
      </c>
      <c r="H10" s="961" t="str">
        <f t="shared" si="0"/>
        <v/>
      </c>
      <c r="I10" s="961" t="str">
        <f t="shared" si="0"/>
        <v/>
      </c>
      <c r="J10" s="961" t="str">
        <f t="shared" si="0"/>
        <v/>
      </c>
      <c r="K10" s="961" t="str">
        <f t="shared" si="0"/>
        <v/>
      </c>
      <c r="L10" s="961" t="str">
        <f t="shared" si="0"/>
        <v/>
      </c>
      <c r="M10" s="962">
        <f t="shared" si="1"/>
        <v>0</v>
      </c>
    </row>
    <row r="11" spans="1:16" x14ac:dyDescent="0.25">
      <c r="A11" s="869"/>
      <c r="B11" s="960" t="str">
        <f>IF(ReporteBalance!A106="","",ReporteBalance!A106)</f>
        <v/>
      </c>
      <c r="C11" s="961" t="str">
        <f>IF(ReporteBalance!E106="","",ReporteBalance!E106)</f>
        <v/>
      </c>
      <c r="D11" s="961" t="str">
        <f t="shared" si="0"/>
        <v/>
      </c>
      <c r="E11" s="961" t="str">
        <f t="shared" si="0"/>
        <v/>
      </c>
      <c r="F11" s="961" t="str">
        <f t="shared" si="0"/>
        <v/>
      </c>
      <c r="G11" s="961" t="str">
        <f t="shared" si="0"/>
        <v/>
      </c>
      <c r="H11" s="961" t="str">
        <f t="shared" si="0"/>
        <v/>
      </c>
      <c r="I11" s="961" t="str">
        <f t="shared" si="0"/>
        <v/>
      </c>
      <c r="J11" s="961" t="str">
        <f t="shared" si="0"/>
        <v/>
      </c>
      <c r="K11" s="961" t="str">
        <f t="shared" si="0"/>
        <v/>
      </c>
      <c r="L11" s="961" t="str">
        <f t="shared" si="0"/>
        <v/>
      </c>
      <c r="M11" s="962">
        <f t="shared" si="1"/>
        <v>0</v>
      </c>
    </row>
    <row r="12" spans="1:16" x14ac:dyDescent="0.25">
      <c r="A12" s="869"/>
      <c r="B12" s="960" t="str">
        <f>IF(ReporteBalance!A107="","",ReporteBalance!A107)</f>
        <v/>
      </c>
      <c r="C12" s="961" t="str">
        <f>IF(ReporteBalance!E107="","",ReporteBalance!E107)</f>
        <v/>
      </c>
      <c r="D12" s="961" t="str">
        <f t="shared" si="0"/>
        <v/>
      </c>
      <c r="E12" s="961" t="str">
        <f t="shared" si="0"/>
        <v/>
      </c>
      <c r="F12" s="961" t="str">
        <f t="shared" si="0"/>
        <v/>
      </c>
      <c r="G12" s="961" t="str">
        <f t="shared" si="0"/>
        <v/>
      </c>
      <c r="H12" s="961" t="str">
        <f t="shared" si="0"/>
        <v/>
      </c>
      <c r="I12" s="961" t="str">
        <f t="shared" si="0"/>
        <v/>
      </c>
      <c r="J12" s="961" t="str">
        <f t="shared" si="0"/>
        <v/>
      </c>
      <c r="K12" s="961" t="str">
        <f t="shared" si="0"/>
        <v/>
      </c>
      <c r="L12" s="961" t="str">
        <f t="shared" si="0"/>
        <v/>
      </c>
      <c r="M12" s="962">
        <f t="shared" si="1"/>
        <v>0</v>
      </c>
    </row>
    <row r="13" spans="1:16" x14ac:dyDescent="0.25">
      <c r="A13" s="869"/>
      <c r="B13" s="960" t="str">
        <f>IF(ReporteBalance!A108="","",ReporteBalance!A108)</f>
        <v/>
      </c>
      <c r="C13" s="961" t="str">
        <f>IF(ReporteBalance!E108="","",ReporteBalance!E108)</f>
        <v/>
      </c>
      <c r="D13" s="961" t="str">
        <f t="shared" si="0"/>
        <v/>
      </c>
      <c r="E13" s="961" t="str">
        <f t="shared" si="0"/>
        <v/>
      </c>
      <c r="F13" s="961" t="str">
        <f t="shared" si="0"/>
        <v/>
      </c>
      <c r="G13" s="961" t="str">
        <f t="shared" si="0"/>
        <v/>
      </c>
      <c r="H13" s="961" t="str">
        <f t="shared" si="0"/>
        <v/>
      </c>
      <c r="I13" s="961" t="str">
        <f t="shared" si="0"/>
        <v/>
      </c>
      <c r="J13" s="961" t="str">
        <f t="shared" si="0"/>
        <v/>
      </c>
      <c r="K13" s="961" t="str">
        <f t="shared" si="0"/>
        <v/>
      </c>
      <c r="L13" s="961" t="str">
        <f t="shared" si="0"/>
        <v/>
      </c>
      <c r="M13" s="962">
        <f t="shared" si="1"/>
        <v>0</v>
      </c>
    </row>
    <row r="14" spans="1:16" x14ac:dyDescent="0.25">
      <c r="A14" s="869"/>
      <c r="B14" s="960" t="str">
        <f>IF(ReporteBalance!A109="","",ReporteBalance!A109)</f>
        <v/>
      </c>
      <c r="C14" s="961" t="str">
        <f>IF(ReporteBalance!E109="","",ReporteBalance!E109)</f>
        <v/>
      </c>
      <c r="D14" s="961" t="str">
        <f t="shared" si="0"/>
        <v/>
      </c>
      <c r="E14" s="961" t="str">
        <f t="shared" si="0"/>
        <v/>
      </c>
      <c r="F14" s="961" t="str">
        <f t="shared" si="0"/>
        <v/>
      </c>
      <c r="G14" s="961" t="str">
        <f t="shared" si="0"/>
        <v/>
      </c>
      <c r="H14" s="961" t="str">
        <f t="shared" si="0"/>
        <v/>
      </c>
      <c r="I14" s="961" t="str">
        <f t="shared" si="0"/>
        <v/>
      </c>
      <c r="J14" s="961" t="str">
        <f t="shared" si="0"/>
        <v/>
      </c>
      <c r="K14" s="961" t="str">
        <f t="shared" si="0"/>
        <v/>
      </c>
      <c r="L14" s="961" t="str">
        <f t="shared" si="0"/>
        <v/>
      </c>
      <c r="M14" s="962">
        <f t="shared" si="1"/>
        <v>0</v>
      </c>
    </row>
    <row r="15" spans="1:16" x14ac:dyDescent="0.25">
      <c r="A15" s="869"/>
      <c r="B15" s="960" t="str">
        <f>IF(ReporteBalance!A110="","",ReporteBalance!A110)</f>
        <v/>
      </c>
      <c r="C15" s="961" t="str">
        <f>IF(ReporteBalance!E110="","",ReporteBalance!E110)</f>
        <v/>
      </c>
      <c r="D15" s="961" t="str">
        <f t="shared" si="0"/>
        <v/>
      </c>
      <c r="E15" s="961" t="str">
        <f t="shared" si="0"/>
        <v/>
      </c>
      <c r="F15" s="961" t="str">
        <f t="shared" si="0"/>
        <v/>
      </c>
      <c r="G15" s="961" t="str">
        <f t="shared" si="0"/>
        <v/>
      </c>
      <c r="H15" s="961" t="str">
        <f t="shared" si="0"/>
        <v/>
      </c>
      <c r="I15" s="961" t="str">
        <f t="shared" si="0"/>
        <v/>
      </c>
      <c r="J15" s="961" t="str">
        <f t="shared" si="0"/>
        <v/>
      </c>
      <c r="K15" s="961" t="str">
        <f t="shared" si="0"/>
        <v/>
      </c>
      <c r="L15" s="961" t="str">
        <f t="shared" si="0"/>
        <v/>
      </c>
      <c r="M15" s="962">
        <f t="shared" si="1"/>
        <v>0</v>
      </c>
    </row>
    <row r="16" spans="1:16" ht="15.75" thickBot="1" x14ac:dyDescent="0.3">
      <c r="A16" s="401"/>
      <c r="B16" s="960" t="str">
        <f>IF(ReporteBalance!A111="","",ReporteBalance!A111)</f>
        <v/>
      </c>
      <c r="C16" s="961" t="str">
        <f>IF(ReporteBalance!E111="","",ReporteBalance!E111)</f>
        <v/>
      </c>
      <c r="D16" s="961" t="str">
        <f t="shared" si="0"/>
        <v/>
      </c>
      <c r="E16" s="961" t="str">
        <f t="shared" si="0"/>
        <v/>
      </c>
      <c r="F16" s="961" t="str">
        <f t="shared" si="0"/>
        <v/>
      </c>
      <c r="G16" s="961" t="str">
        <f t="shared" si="0"/>
        <v/>
      </c>
      <c r="H16" s="961" t="str">
        <f t="shared" si="0"/>
        <v/>
      </c>
      <c r="I16" s="961" t="str">
        <f t="shared" si="0"/>
        <v/>
      </c>
      <c r="J16" s="961" t="str">
        <f t="shared" si="0"/>
        <v/>
      </c>
      <c r="K16" s="961" t="str">
        <f t="shared" si="0"/>
        <v/>
      </c>
      <c r="L16" s="961" t="str">
        <f t="shared" si="0"/>
        <v/>
      </c>
      <c r="M16" s="962">
        <f t="shared" si="1"/>
        <v>0</v>
      </c>
    </row>
    <row r="17" spans="1:13" ht="15.75" thickBot="1" x14ac:dyDescent="0.3">
      <c r="B17" s="963" t="s">
        <v>4973</v>
      </c>
      <c r="C17" s="964"/>
      <c r="D17" s="964"/>
      <c r="E17" s="964"/>
      <c r="F17" s="964"/>
      <c r="G17" s="964"/>
      <c r="H17" s="964"/>
      <c r="I17" s="964"/>
      <c r="J17" s="964"/>
      <c r="K17" s="964"/>
      <c r="L17" s="964"/>
      <c r="M17" s="965"/>
    </row>
    <row r="18" spans="1:13" x14ac:dyDescent="0.25">
      <c r="A18" s="869"/>
      <c r="B18" s="966" t="str">
        <f>IF(B6="","",B6)</f>
        <v/>
      </c>
      <c r="C18" s="1006"/>
      <c r="D18" s="961" t="str">
        <f>IF(C18="","",C18)</f>
        <v/>
      </c>
      <c r="E18" s="961" t="str">
        <f t="shared" ref="E18:L28" si="2">D18</f>
        <v/>
      </c>
      <c r="F18" s="961" t="str">
        <f t="shared" si="2"/>
        <v/>
      </c>
      <c r="G18" s="961" t="str">
        <f t="shared" si="2"/>
        <v/>
      </c>
      <c r="H18" s="961" t="str">
        <f t="shared" si="2"/>
        <v/>
      </c>
      <c r="I18" s="961" t="str">
        <f t="shared" si="2"/>
        <v/>
      </c>
      <c r="J18" s="961" t="str">
        <f t="shared" si="2"/>
        <v/>
      </c>
      <c r="K18" s="961" t="str">
        <f t="shared" si="2"/>
        <v/>
      </c>
      <c r="L18" s="961" t="str">
        <f t="shared" si="2"/>
        <v/>
      </c>
      <c r="M18" s="962">
        <f>NPV($P$1,C18:L18)</f>
        <v>0</v>
      </c>
    </row>
    <row r="19" spans="1:13" x14ac:dyDescent="0.25">
      <c r="A19" s="869"/>
      <c r="B19" s="966" t="str">
        <f t="shared" ref="B19:B28" si="3">IF(B7="","",B7)</f>
        <v/>
      </c>
      <c r="C19" s="1006"/>
      <c r="D19" s="961" t="str">
        <f t="shared" ref="D19:D28" si="4">IF(C19="","",C19)</f>
        <v/>
      </c>
      <c r="E19" s="961" t="str">
        <f t="shared" si="2"/>
        <v/>
      </c>
      <c r="F19" s="961" t="str">
        <f t="shared" si="2"/>
        <v/>
      </c>
      <c r="G19" s="961" t="str">
        <f t="shared" si="2"/>
        <v/>
      </c>
      <c r="H19" s="961" t="str">
        <f t="shared" si="2"/>
        <v/>
      </c>
      <c r="I19" s="961" t="str">
        <f t="shared" si="2"/>
        <v/>
      </c>
      <c r="J19" s="961" t="str">
        <f t="shared" si="2"/>
        <v/>
      </c>
      <c r="K19" s="961" t="str">
        <f t="shared" si="2"/>
        <v/>
      </c>
      <c r="L19" s="961" t="str">
        <f t="shared" si="2"/>
        <v/>
      </c>
      <c r="M19" s="962">
        <f t="shared" ref="M19:M28" si="5">NPV($P$1,C19:L19)</f>
        <v>0</v>
      </c>
    </row>
    <row r="20" spans="1:13" x14ac:dyDescent="0.25">
      <c r="A20" s="869"/>
      <c r="B20" s="966" t="str">
        <f t="shared" si="3"/>
        <v/>
      </c>
      <c r="C20" s="1006"/>
      <c r="D20" s="961" t="str">
        <f t="shared" si="4"/>
        <v/>
      </c>
      <c r="E20" s="961" t="str">
        <f t="shared" si="2"/>
        <v/>
      </c>
      <c r="F20" s="961" t="str">
        <f t="shared" si="2"/>
        <v/>
      </c>
      <c r="G20" s="961" t="str">
        <f t="shared" si="2"/>
        <v/>
      </c>
      <c r="H20" s="961" t="str">
        <f t="shared" si="2"/>
        <v/>
      </c>
      <c r="I20" s="961" t="str">
        <f t="shared" si="2"/>
        <v/>
      </c>
      <c r="J20" s="961" t="str">
        <f t="shared" si="2"/>
        <v/>
      </c>
      <c r="K20" s="961" t="str">
        <f t="shared" si="2"/>
        <v/>
      </c>
      <c r="L20" s="961" t="str">
        <f t="shared" si="2"/>
        <v/>
      </c>
      <c r="M20" s="962">
        <f t="shared" si="5"/>
        <v>0</v>
      </c>
    </row>
    <row r="21" spans="1:13" x14ac:dyDescent="0.25">
      <c r="A21" s="869"/>
      <c r="B21" s="966" t="str">
        <f t="shared" si="3"/>
        <v/>
      </c>
      <c r="C21" s="1006"/>
      <c r="D21" s="961" t="str">
        <f t="shared" si="4"/>
        <v/>
      </c>
      <c r="E21" s="961" t="str">
        <f t="shared" si="2"/>
        <v/>
      </c>
      <c r="F21" s="961" t="str">
        <f t="shared" si="2"/>
        <v/>
      </c>
      <c r="G21" s="961" t="str">
        <f t="shared" si="2"/>
        <v/>
      </c>
      <c r="H21" s="961" t="str">
        <f t="shared" si="2"/>
        <v/>
      </c>
      <c r="I21" s="961" t="str">
        <f t="shared" si="2"/>
        <v/>
      </c>
      <c r="J21" s="961" t="str">
        <f t="shared" si="2"/>
        <v/>
      </c>
      <c r="K21" s="961" t="str">
        <f t="shared" si="2"/>
        <v/>
      </c>
      <c r="L21" s="961" t="str">
        <f t="shared" si="2"/>
        <v/>
      </c>
      <c r="M21" s="962">
        <f t="shared" si="5"/>
        <v>0</v>
      </c>
    </row>
    <row r="22" spans="1:13" x14ac:dyDescent="0.25">
      <c r="A22" s="869"/>
      <c r="B22" s="966" t="str">
        <f t="shared" si="3"/>
        <v/>
      </c>
      <c r="C22" s="1006"/>
      <c r="D22" s="961" t="str">
        <f t="shared" si="4"/>
        <v/>
      </c>
      <c r="E22" s="961" t="str">
        <f t="shared" si="2"/>
        <v/>
      </c>
      <c r="F22" s="961" t="str">
        <f t="shared" si="2"/>
        <v/>
      </c>
      <c r="G22" s="961" t="str">
        <f t="shared" si="2"/>
        <v/>
      </c>
      <c r="H22" s="961" t="str">
        <f t="shared" si="2"/>
        <v/>
      </c>
      <c r="I22" s="961" t="str">
        <f t="shared" si="2"/>
        <v/>
      </c>
      <c r="J22" s="961" t="str">
        <f t="shared" si="2"/>
        <v/>
      </c>
      <c r="K22" s="961" t="str">
        <f t="shared" si="2"/>
        <v/>
      </c>
      <c r="L22" s="961" t="str">
        <f t="shared" si="2"/>
        <v/>
      </c>
      <c r="M22" s="962">
        <f t="shared" si="5"/>
        <v>0</v>
      </c>
    </row>
    <row r="23" spans="1:13" x14ac:dyDescent="0.25">
      <c r="A23" s="869"/>
      <c r="B23" s="966" t="str">
        <f t="shared" si="3"/>
        <v/>
      </c>
      <c r="C23" s="1006"/>
      <c r="D23" s="961" t="str">
        <f t="shared" si="4"/>
        <v/>
      </c>
      <c r="E23" s="961" t="str">
        <f t="shared" si="2"/>
        <v/>
      </c>
      <c r="F23" s="961" t="str">
        <f t="shared" si="2"/>
        <v/>
      </c>
      <c r="G23" s="961" t="str">
        <f t="shared" si="2"/>
        <v/>
      </c>
      <c r="H23" s="961" t="str">
        <f t="shared" si="2"/>
        <v/>
      </c>
      <c r="I23" s="961" t="str">
        <f t="shared" si="2"/>
        <v/>
      </c>
      <c r="J23" s="961" t="str">
        <f t="shared" si="2"/>
        <v/>
      </c>
      <c r="K23" s="961" t="str">
        <f t="shared" si="2"/>
        <v/>
      </c>
      <c r="L23" s="961" t="str">
        <f t="shared" si="2"/>
        <v/>
      </c>
      <c r="M23" s="962">
        <f t="shared" si="5"/>
        <v>0</v>
      </c>
    </row>
    <row r="24" spans="1:13" x14ac:dyDescent="0.25">
      <c r="A24" s="869"/>
      <c r="B24" s="966" t="str">
        <f t="shared" si="3"/>
        <v/>
      </c>
      <c r="C24" s="1006"/>
      <c r="D24" s="961" t="str">
        <f t="shared" si="4"/>
        <v/>
      </c>
      <c r="E24" s="961" t="str">
        <f t="shared" si="2"/>
        <v/>
      </c>
      <c r="F24" s="961" t="str">
        <f t="shared" si="2"/>
        <v/>
      </c>
      <c r="G24" s="961" t="str">
        <f t="shared" si="2"/>
        <v/>
      </c>
      <c r="H24" s="961" t="str">
        <f t="shared" si="2"/>
        <v/>
      </c>
      <c r="I24" s="961" t="str">
        <f t="shared" si="2"/>
        <v/>
      </c>
      <c r="J24" s="961" t="str">
        <f t="shared" si="2"/>
        <v/>
      </c>
      <c r="K24" s="961" t="str">
        <f t="shared" si="2"/>
        <v/>
      </c>
      <c r="L24" s="961" t="str">
        <f t="shared" si="2"/>
        <v/>
      </c>
      <c r="M24" s="962">
        <f t="shared" si="5"/>
        <v>0</v>
      </c>
    </row>
    <row r="25" spans="1:13" x14ac:dyDescent="0.25">
      <c r="A25" s="869"/>
      <c r="B25" s="966" t="str">
        <f t="shared" si="3"/>
        <v/>
      </c>
      <c r="C25" s="1006"/>
      <c r="D25" s="961" t="str">
        <f t="shared" si="4"/>
        <v/>
      </c>
      <c r="E25" s="961" t="str">
        <f t="shared" si="2"/>
        <v/>
      </c>
      <c r="F25" s="961" t="str">
        <f t="shared" si="2"/>
        <v/>
      </c>
      <c r="G25" s="961" t="str">
        <f t="shared" si="2"/>
        <v/>
      </c>
      <c r="H25" s="961" t="str">
        <f t="shared" si="2"/>
        <v/>
      </c>
      <c r="I25" s="961" t="str">
        <f t="shared" si="2"/>
        <v/>
      </c>
      <c r="J25" s="961" t="str">
        <f t="shared" si="2"/>
        <v/>
      </c>
      <c r="K25" s="961" t="str">
        <f t="shared" si="2"/>
        <v/>
      </c>
      <c r="L25" s="961" t="str">
        <f t="shared" si="2"/>
        <v/>
      </c>
      <c r="M25" s="962">
        <f t="shared" si="5"/>
        <v>0</v>
      </c>
    </row>
    <row r="26" spans="1:13" x14ac:dyDescent="0.25">
      <c r="B26" s="966" t="str">
        <f t="shared" si="3"/>
        <v/>
      </c>
      <c r="C26" s="1006"/>
      <c r="D26" s="961" t="str">
        <f t="shared" si="4"/>
        <v/>
      </c>
      <c r="E26" s="961" t="str">
        <f t="shared" si="2"/>
        <v/>
      </c>
      <c r="F26" s="961" t="str">
        <f t="shared" si="2"/>
        <v/>
      </c>
      <c r="G26" s="961" t="str">
        <f t="shared" si="2"/>
        <v/>
      </c>
      <c r="H26" s="961" t="str">
        <f t="shared" si="2"/>
        <v/>
      </c>
      <c r="I26" s="961" t="str">
        <f t="shared" si="2"/>
        <v/>
      </c>
      <c r="J26" s="961" t="str">
        <f t="shared" si="2"/>
        <v/>
      </c>
      <c r="K26" s="961" t="str">
        <f t="shared" si="2"/>
        <v/>
      </c>
      <c r="L26" s="961" t="str">
        <f t="shared" si="2"/>
        <v/>
      </c>
      <c r="M26" s="962">
        <f t="shared" si="5"/>
        <v>0</v>
      </c>
    </row>
    <row r="27" spans="1:13" x14ac:dyDescent="0.25">
      <c r="B27" s="966" t="str">
        <f t="shared" si="3"/>
        <v/>
      </c>
      <c r="C27" s="1006"/>
      <c r="D27" s="961" t="str">
        <f t="shared" si="4"/>
        <v/>
      </c>
      <c r="E27" s="961" t="str">
        <f t="shared" si="2"/>
        <v/>
      </c>
      <c r="F27" s="961" t="str">
        <f t="shared" si="2"/>
        <v/>
      </c>
      <c r="G27" s="961" t="str">
        <f t="shared" si="2"/>
        <v/>
      </c>
      <c r="H27" s="961" t="str">
        <f t="shared" si="2"/>
        <v/>
      </c>
      <c r="I27" s="961" t="str">
        <f t="shared" si="2"/>
        <v/>
      </c>
      <c r="J27" s="961" t="str">
        <f t="shared" si="2"/>
        <v/>
      </c>
      <c r="K27" s="961" t="str">
        <f t="shared" si="2"/>
        <v/>
      </c>
      <c r="L27" s="961" t="str">
        <f t="shared" si="2"/>
        <v/>
      </c>
      <c r="M27" s="962">
        <f t="shared" si="5"/>
        <v>0</v>
      </c>
    </row>
    <row r="28" spans="1:13" ht="15.75" thickBot="1" x14ac:dyDescent="0.3">
      <c r="B28" s="966" t="str">
        <f t="shared" si="3"/>
        <v/>
      </c>
      <c r="C28" s="1006"/>
      <c r="D28" s="961" t="str">
        <f t="shared" si="4"/>
        <v/>
      </c>
      <c r="E28" s="961" t="str">
        <f t="shared" si="2"/>
        <v/>
      </c>
      <c r="F28" s="961" t="str">
        <f t="shared" si="2"/>
        <v/>
      </c>
      <c r="G28" s="961" t="str">
        <f t="shared" si="2"/>
        <v/>
      </c>
      <c r="H28" s="961" t="str">
        <f t="shared" si="2"/>
        <v/>
      </c>
      <c r="I28" s="961" t="str">
        <f t="shared" si="2"/>
        <v/>
      </c>
      <c r="J28" s="961" t="str">
        <f t="shared" si="2"/>
        <v/>
      </c>
      <c r="K28" s="961" t="str">
        <f t="shared" si="2"/>
        <v/>
      </c>
      <c r="L28" s="961" t="str">
        <f t="shared" si="2"/>
        <v/>
      </c>
      <c r="M28" s="962">
        <f t="shared" si="5"/>
        <v>0</v>
      </c>
    </row>
    <row r="29" spans="1:13" ht="15.75" thickBot="1" x14ac:dyDescent="0.3">
      <c r="B29" s="963" t="s">
        <v>4974</v>
      </c>
      <c r="C29" s="967"/>
      <c r="D29" s="967"/>
      <c r="E29" s="967"/>
      <c r="F29" s="967"/>
      <c r="G29" s="967"/>
      <c r="H29" s="967"/>
      <c r="I29" s="967"/>
      <c r="J29" s="967"/>
      <c r="K29" s="967"/>
      <c r="L29" s="967"/>
      <c r="M29" s="968"/>
    </row>
    <row r="30" spans="1:13" x14ac:dyDescent="0.25">
      <c r="A30" s="869"/>
      <c r="B30" s="966" t="str">
        <f>IF(B6="","",B6)</f>
        <v/>
      </c>
      <c r="C30" s="1006"/>
      <c r="D30" s="961" t="str">
        <f>IF(C30="","",C30)</f>
        <v/>
      </c>
      <c r="E30" s="961" t="str">
        <f t="shared" ref="E30:L40" si="6">D30</f>
        <v/>
      </c>
      <c r="F30" s="961" t="str">
        <f t="shared" si="6"/>
        <v/>
      </c>
      <c r="G30" s="961" t="str">
        <f t="shared" si="6"/>
        <v/>
      </c>
      <c r="H30" s="961" t="str">
        <f t="shared" si="6"/>
        <v/>
      </c>
      <c r="I30" s="961" t="str">
        <f t="shared" si="6"/>
        <v/>
      </c>
      <c r="J30" s="961" t="str">
        <f t="shared" si="6"/>
        <v/>
      </c>
      <c r="K30" s="961" t="str">
        <f t="shared" si="6"/>
        <v/>
      </c>
      <c r="L30" s="961" t="str">
        <f t="shared" si="6"/>
        <v/>
      </c>
      <c r="M30" s="962">
        <f>NPV($P$1,C30:L30)</f>
        <v>0</v>
      </c>
    </row>
    <row r="31" spans="1:13" x14ac:dyDescent="0.25">
      <c r="A31" s="869"/>
      <c r="B31" s="966" t="str">
        <f t="shared" ref="B31:B40" si="7">IF(B7="","",B7)</f>
        <v/>
      </c>
      <c r="C31" s="1006"/>
      <c r="D31" s="961" t="str">
        <f t="shared" ref="D31:D40" si="8">IF(C31="","",C31)</f>
        <v/>
      </c>
      <c r="E31" s="961" t="str">
        <f t="shared" si="6"/>
        <v/>
      </c>
      <c r="F31" s="961" t="str">
        <f t="shared" si="6"/>
        <v/>
      </c>
      <c r="G31" s="961" t="str">
        <f t="shared" si="6"/>
        <v/>
      </c>
      <c r="H31" s="961" t="str">
        <f t="shared" si="6"/>
        <v/>
      </c>
      <c r="I31" s="961" t="str">
        <f t="shared" si="6"/>
        <v/>
      </c>
      <c r="J31" s="961" t="str">
        <f t="shared" si="6"/>
        <v/>
      </c>
      <c r="K31" s="961" t="str">
        <f t="shared" si="6"/>
        <v/>
      </c>
      <c r="L31" s="961" t="str">
        <f t="shared" si="6"/>
        <v/>
      </c>
      <c r="M31" s="962">
        <f t="shared" ref="M31:M94" si="9">NPV($P$1,C31:L31)</f>
        <v>0</v>
      </c>
    </row>
    <row r="32" spans="1:13" x14ac:dyDescent="0.25">
      <c r="A32" s="869"/>
      <c r="B32" s="966" t="str">
        <f t="shared" si="7"/>
        <v/>
      </c>
      <c r="C32" s="1006"/>
      <c r="D32" s="961" t="str">
        <f t="shared" si="8"/>
        <v/>
      </c>
      <c r="E32" s="961" t="str">
        <f t="shared" si="6"/>
        <v/>
      </c>
      <c r="F32" s="961" t="str">
        <f t="shared" si="6"/>
        <v/>
      </c>
      <c r="G32" s="961" t="str">
        <f t="shared" si="6"/>
        <v/>
      </c>
      <c r="H32" s="961" t="str">
        <f t="shared" si="6"/>
        <v/>
      </c>
      <c r="I32" s="961" t="str">
        <f t="shared" si="6"/>
        <v/>
      </c>
      <c r="J32" s="961" t="str">
        <f t="shared" si="6"/>
        <v/>
      </c>
      <c r="K32" s="961" t="str">
        <f t="shared" si="6"/>
        <v/>
      </c>
      <c r="L32" s="961" t="str">
        <f t="shared" si="6"/>
        <v/>
      </c>
      <c r="M32" s="962">
        <f t="shared" si="9"/>
        <v>0</v>
      </c>
    </row>
    <row r="33" spans="1:13" x14ac:dyDescent="0.25">
      <c r="A33" s="869"/>
      <c r="B33" s="966" t="str">
        <f t="shared" si="7"/>
        <v/>
      </c>
      <c r="C33" s="1006"/>
      <c r="D33" s="961" t="str">
        <f t="shared" si="8"/>
        <v/>
      </c>
      <c r="E33" s="961" t="str">
        <f t="shared" si="6"/>
        <v/>
      </c>
      <c r="F33" s="961" t="str">
        <f t="shared" si="6"/>
        <v/>
      </c>
      <c r="G33" s="961" t="str">
        <f t="shared" si="6"/>
        <v/>
      </c>
      <c r="H33" s="961" t="str">
        <f t="shared" si="6"/>
        <v/>
      </c>
      <c r="I33" s="961" t="str">
        <f t="shared" si="6"/>
        <v/>
      </c>
      <c r="J33" s="961" t="str">
        <f t="shared" si="6"/>
        <v/>
      </c>
      <c r="K33" s="961" t="str">
        <f t="shared" si="6"/>
        <v/>
      </c>
      <c r="L33" s="961" t="str">
        <f t="shared" si="6"/>
        <v/>
      </c>
      <c r="M33" s="962">
        <f t="shared" si="9"/>
        <v>0</v>
      </c>
    </row>
    <row r="34" spans="1:13" x14ac:dyDescent="0.25">
      <c r="A34" s="869"/>
      <c r="B34" s="966" t="str">
        <f t="shared" si="7"/>
        <v/>
      </c>
      <c r="C34" s="1006"/>
      <c r="D34" s="961" t="str">
        <f t="shared" si="8"/>
        <v/>
      </c>
      <c r="E34" s="961" t="str">
        <f t="shared" si="6"/>
        <v/>
      </c>
      <c r="F34" s="961" t="str">
        <f t="shared" si="6"/>
        <v/>
      </c>
      <c r="G34" s="961" t="str">
        <f t="shared" si="6"/>
        <v/>
      </c>
      <c r="H34" s="961" t="str">
        <f t="shared" si="6"/>
        <v/>
      </c>
      <c r="I34" s="961" t="str">
        <f t="shared" si="6"/>
        <v/>
      </c>
      <c r="J34" s="961" t="str">
        <f t="shared" si="6"/>
        <v/>
      </c>
      <c r="K34" s="961" t="str">
        <f t="shared" si="6"/>
        <v/>
      </c>
      <c r="L34" s="961" t="str">
        <f t="shared" si="6"/>
        <v/>
      </c>
      <c r="M34" s="962">
        <f t="shared" si="9"/>
        <v>0</v>
      </c>
    </row>
    <row r="35" spans="1:13" x14ac:dyDescent="0.25">
      <c r="A35" s="869"/>
      <c r="B35" s="966" t="str">
        <f t="shared" si="7"/>
        <v/>
      </c>
      <c r="C35" s="1006"/>
      <c r="D35" s="961" t="str">
        <f t="shared" si="8"/>
        <v/>
      </c>
      <c r="E35" s="961" t="str">
        <f t="shared" si="6"/>
        <v/>
      </c>
      <c r="F35" s="961" t="str">
        <f t="shared" si="6"/>
        <v/>
      </c>
      <c r="G35" s="961" t="str">
        <f t="shared" si="6"/>
        <v/>
      </c>
      <c r="H35" s="961" t="str">
        <f t="shared" si="6"/>
        <v/>
      </c>
      <c r="I35" s="961" t="str">
        <f t="shared" si="6"/>
        <v/>
      </c>
      <c r="J35" s="961" t="str">
        <f t="shared" si="6"/>
        <v/>
      </c>
      <c r="K35" s="961" t="str">
        <f t="shared" si="6"/>
        <v/>
      </c>
      <c r="L35" s="961" t="str">
        <f t="shared" si="6"/>
        <v/>
      </c>
      <c r="M35" s="962">
        <f t="shared" si="9"/>
        <v>0</v>
      </c>
    </row>
    <row r="36" spans="1:13" x14ac:dyDescent="0.25">
      <c r="A36" s="869"/>
      <c r="B36" s="966" t="str">
        <f t="shared" si="7"/>
        <v/>
      </c>
      <c r="C36" s="1006"/>
      <c r="D36" s="961" t="str">
        <f t="shared" si="8"/>
        <v/>
      </c>
      <c r="E36" s="961" t="str">
        <f t="shared" si="6"/>
        <v/>
      </c>
      <c r="F36" s="961" t="str">
        <f t="shared" si="6"/>
        <v/>
      </c>
      <c r="G36" s="961" t="str">
        <f t="shared" si="6"/>
        <v/>
      </c>
      <c r="H36" s="961" t="str">
        <f t="shared" si="6"/>
        <v/>
      </c>
      <c r="I36" s="961" t="str">
        <f t="shared" si="6"/>
        <v/>
      </c>
      <c r="J36" s="961" t="str">
        <f t="shared" si="6"/>
        <v/>
      </c>
      <c r="K36" s="961" t="str">
        <f t="shared" si="6"/>
        <v/>
      </c>
      <c r="L36" s="961" t="str">
        <f t="shared" si="6"/>
        <v/>
      </c>
      <c r="M36" s="962">
        <f t="shared" si="9"/>
        <v>0</v>
      </c>
    </row>
    <row r="37" spans="1:13" x14ac:dyDescent="0.25">
      <c r="A37" s="869"/>
      <c r="B37" s="966" t="str">
        <f t="shared" si="7"/>
        <v/>
      </c>
      <c r="C37" s="1006"/>
      <c r="D37" s="961" t="str">
        <f t="shared" si="8"/>
        <v/>
      </c>
      <c r="E37" s="961" t="str">
        <f t="shared" si="6"/>
        <v/>
      </c>
      <c r="F37" s="961" t="str">
        <f t="shared" si="6"/>
        <v/>
      </c>
      <c r="G37" s="961" t="str">
        <f t="shared" si="6"/>
        <v/>
      </c>
      <c r="H37" s="961" t="str">
        <f t="shared" si="6"/>
        <v/>
      </c>
      <c r="I37" s="961" t="str">
        <f t="shared" si="6"/>
        <v/>
      </c>
      <c r="J37" s="961" t="str">
        <f t="shared" si="6"/>
        <v/>
      </c>
      <c r="K37" s="961" t="str">
        <f t="shared" si="6"/>
        <v/>
      </c>
      <c r="L37" s="961" t="str">
        <f t="shared" si="6"/>
        <v/>
      </c>
      <c r="M37" s="962">
        <f t="shared" si="9"/>
        <v>0</v>
      </c>
    </row>
    <row r="38" spans="1:13" x14ac:dyDescent="0.25">
      <c r="B38" s="966" t="str">
        <f t="shared" si="7"/>
        <v/>
      </c>
      <c r="C38" s="1006"/>
      <c r="D38" s="961" t="str">
        <f t="shared" si="8"/>
        <v/>
      </c>
      <c r="E38" s="961" t="str">
        <f t="shared" si="6"/>
        <v/>
      </c>
      <c r="F38" s="961" t="str">
        <f t="shared" si="6"/>
        <v/>
      </c>
      <c r="G38" s="961" t="str">
        <f t="shared" si="6"/>
        <v/>
      </c>
      <c r="H38" s="961" t="str">
        <f t="shared" si="6"/>
        <v/>
      </c>
      <c r="I38" s="961" t="str">
        <f t="shared" si="6"/>
        <v/>
      </c>
      <c r="J38" s="961" t="str">
        <f t="shared" si="6"/>
        <v/>
      </c>
      <c r="K38" s="961" t="str">
        <f t="shared" si="6"/>
        <v/>
      </c>
      <c r="L38" s="961" t="str">
        <f t="shared" si="6"/>
        <v/>
      </c>
      <c r="M38" s="962">
        <f t="shared" si="9"/>
        <v>0</v>
      </c>
    </row>
    <row r="39" spans="1:13" x14ac:dyDescent="0.25">
      <c r="B39" s="966" t="str">
        <f t="shared" si="7"/>
        <v/>
      </c>
      <c r="C39" s="1006"/>
      <c r="D39" s="961" t="str">
        <f t="shared" si="8"/>
        <v/>
      </c>
      <c r="E39" s="961" t="str">
        <f t="shared" si="6"/>
        <v/>
      </c>
      <c r="F39" s="961" t="str">
        <f t="shared" si="6"/>
        <v/>
      </c>
      <c r="G39" s="961" t="str">
        <f t="shared" si="6"/>
        <v/>
      </c>
      <c r="H39" s="961" t="str">
        <f t="shared" si="6"/>
        <v/>
      </c>
      <c r="I39" s="961" t="str">
        <f t="shared" si="6"/>
        <v/>
      </c>
      <c r="J39" s="961" t="str">
        <f t="shared" si="6"/>
        <v/>
      </c>
      <c r="K39" s="961" t="str">
        <f t="shared" si="6"/>
        <v/>
      </c>
      <c r="L39" s="961" t="str">
        <f t="shared" si="6"/>
        <v/>
      </c>
      <c r="M39" s="962">
        <f t="shared" si="9"/>
        <v>0</v>
      </c>
    </row>
    <row r="40" spans="1:13" ht="15.75" thickBot="1" x14ac:dyDescent="0.3">
      <c r="B40" s="966" t="str">
        <f t="shared" si="7"/>
        <v/>
      </c>
      <c r="C40" s="1006"/>
      <c r="D40" s="961" t="str">
        <f t="shared" si="8"/>
        <v/>
      </c>
      <c r="E40" s="961" t="str">
        <f t="shared" si="6"/>
        <v/>
      </c>
      <c r="F40" s="961" t="str">
        <f t="shared" si="6"/>
        <v/>
      </c>
      <c r="G40" s="961" t="str">
        <f t="shared" si="6"/>
        <v/>
      </c>
      <c r="H40" s="961" t="str">
        <f t="shared" si="6"/>
        <v/>
      </c>
      <c r="I40" s="961" t="str">
        <f t="shared" si="6"/>
        <v/>
      </c>
      <c r="J40" s="961" t="str">
        <f t="shared" si="6"/>
        <v/>
      </c>
      <c r="K40" s="961" t="str">
        <f t="shared" si="6"/>
        <v/>
      </c>
      <c r="L40" s="961" t="str">
        <f t="shared" si="6"/>
        <v/>
      </c>
      <c r="M40" s="962">
        <f t="shared" si="9"/>
        <v>0</v>
      </c>
    </row>
    <row r="41" spans="1:13" ht="15.75" thickBot="1" x14ac:dyDescent="0.3">
      <c r="B41" s="963" t="s">
        <v>4975</v>
      </c>
      <c r="C41" s="967"/>
      <c r="D41" s="967"/>
      <c r="E41" s="967"/>
      <c r="F41" s="967"/>
      <c r="G41" s="967"/>
      <c r="H41" s="967"/>
      <c r="I41" s="967"/>
      <c r="J41" s="967"/>
      <c r="K41" s="967"/>
      <c r="L41" s="967"/>
      <c r="M41" s="968"/>
    </row>
    <row r="42" spans="1:13" x14ac:dyDescent="0.25">
      <c r="A42" s="969"/>
      <c r="B42" s="966" t="str">
        <f>IF(B6="","",B6)</f>
        <v/>
      </c>
      <c r="C42" s="1006"/>
      <c r="D42" s="961" t="str">
        <f>IF(C42="","",C42)</f>
        <v/>
      </c>
      <c r="E42" s="961" t="str">
        <f t="shared" ref="E42:L52" si="10">D42</f>
        <v/>
      </c>
      <c r="F42" s="961" t="str">
        <f t="shared" si="10"/>
        <v/>
      </c>
      <c r="G42" s="961" t="str">
        <f t="shared" si="10"/>
        <v/>
      </c>
      <c r="H42" s="961" t="str">
        <f t="shared" si="10"/>
        <v/>
      </c>
      <c r="I42" s="961" t="str">
        <f t="shared" si="10"/>
        <v/>
      </c>
      <c r="J42" s="961" t="str">
        <f t="shared" si="10"/>
        <v/>
      </c>
      <c r="K42" s="961" t="str">
        <f t="shared" si="10"/>
        <v/>
      </c>
      <c r="L42" s="961" t="str">
        <f t="shared" si="10"/>
        <v/>
      </c>
      <c r="M42" s="962" t="e">
        <f t="shared" ref="M42:M52" si="11">AVERAGE(C42:L42)</f>
        <v>#DIV/0!</v>
      </c>
    </row>
    <row r="43" spans="1:13" x14ac:dyDescent="0.25">
      <c r="A43" s="969"/>
      <c r="B43" s="966" t="str">
        <f t="shared" ref="B43:B52" si="12">IF(B7="","",B7)</f>
        <v/>
      </c>
      <c r="C43" s="1006"/>
      <c r="D43" s="961" t="str">
        <f t="shared" ref="D43:D52" si="13">IF(C43="","",C43)</f>
        <v/>
      </c>
      <c r="E43" s="961" t="str">
        <f t="shared" si="10"/>
        <v/>
      </c>
      <c r="F43" s="961" t="str">
        <f t="shared" si="10"/>
        <v/>
      </c>
      <c r="G43" s="961" t="str">
        <f t="shared" si="10"/>
        <v/>
      </c>
      <c r="H43" s="961" t="str">
        <f t="shared" si="10"/>
        <v/>
      </c>
      <c r="I43" s="961" t="str">
        <f t="shared" si="10"/>
        <v/>
      </c>
      <c r="J43" s="961" t="str">
        <f t="shared" si="10"/>
        <v/>
      </c>
      <c r="K43" s="961" t="str">
        <f t="shared" si="10"/>
        <v/>
      </c>
      <c r="L43" s="961" t="str">
        <f t="shared" si="10"/>
        <v/>
      </c>
      <c r="M43" s="962" t="e">
        <f t="shared" si="11"/>
        <v>#DIV/0!</v>
      </c>
    </row>
    <row r="44" spans="1:13" x14ac:dyDescent="0.25">
      <c r="A44" s="969"/>
      <c r="B44" s="966" t="str">
        <f t="shared" si="12"/>
        <v/>
      </c>
      <c r="C44" s="1006"/>
      <c r="D44" s="961" t="str">
        <f t="shared" si="13"/>
        <v/>
      </c>
      <c r="E44" s="961" t="str">
        <f t="shared" si="10"/>
        <v/>
      </c>
      <c r="F44" s="961" t="str">
        <f t="shared" si="10"/>
        <v/>
      </c>
      <c r="G44" s="961" t="str">
        <f t="shared" si="10"/>
        <v/>
      </c>
      <c r="H44" s="961" t="str">
        <f t="shared" si="10"/>
        <v/>
      </c>
      <c r="I44" s="961" t="str">
        <f t="shared" si="10"/>
        <v/>
      </c>
      <c r="J44" s="961" t="str">
        <f t="shared" si="10"/>
        <v/>
      </c>
      <c r="K44" s="961" t="str">
        <f t="shared" si="10"/>
        <v/>
      </c>
      <c r="L44" s="961" t="str">
        <f t="shared" si="10"/>
        <v/>
      </c>
      <c r="M44" s="962" t="e">
        <f t="shared" si="11"/>
        <v>#DIV/0!</v>
      </c>
    </row>
    <row r="45" spans="1:13" x14ac:dyDescent="0.25">
      <c r="A45" s="969"/>
      <c r="B45" s="966" t="str">
        <f t="shared" si="12"/>
        <v/>
      </c>
      <c r="C45" s="1006"/>
      <c r="D45" s="961" t="str">
        <f t="shared" si="13"/>
        <v/>
      </c>
      <c r="E45" s="961" t="str">
        <f t="shared" si="10"/>
        <v/>
      </c>
      <c r="F45" s="961" t="str">
        <f t="shared" si="10"/>
        <v/>
      </c>
      <c r="G45" s="961" t="str">
        <f t="shared" si="10"/>
        <v/>
      </c>
      <c r="H45" s="961" t="str">
        <f t="shared" si="10"/>
        <v/>
      </c>
      <c r="I45" s="961" t="str">
        <f t="shared" si="10"/>
        <v/>
      </c>
      <c r="J45" s="961" t="str">
        <f t="shared" si="10"/>
        <v/>
      </c>
      <c r="K45" s="961" t="str">
        <f t="shared" si="10"/>
        <v/>
      </c>
      <c r="L45" s="961" t="str">
        <f t="shared" si="10"/>
        <v/>
      </c>
      <c r="M45" s="962" t="e">
        <f t="shared" si="11"/>
        <v>#DIV/0!</v>
      </c>
    </row>
    <row r="46" spans="1:13" x14ac:dyDescent="0.25">
      <c r="A46" s="969"/>
      <c r="B46" s="966" t="str">
        <f t="shared" si="12"/>
        <v/>
      </c>
      <c r="C46" s="1006"/>
      <c r="D46" s="961" t="str">
        <f t="shared" si="13"/>
        <v/>
      </c>
      <c r="E46" s="961" t="str">
        <f t="shared" si="10"/>
        <v/>
      </c>
      <c r="F46" s="961" t="str">
        <f t="shared" si="10"/>
        <v/>
      </c>
      <c r="G46" s="961" t="str">
        <f t="shared" si="10"/>
        <v/>
      </c>
      <c r="H46" s="961" t="str">
        <f t="shared" si="10"/>
        <v/>
      </c>
      <c r="I46" s="961" t="str">
        <f t="shared" si="10"/>
        <v/>
      </c>
      <c r="J46" s="961" t="str">
        <f t="shared" si="10"/>
        <v/>
      </c>
      <c r="K46" s="961" t="str">
        <f t="shared" si="10"/>
        <v/>
      </c>
      <c r="L46" s="961" t="str">
        <f t="shared" si="10"/>
        <v/>
      </c>
      <c r="M46" s="962" t="e">
        <f t="shared" si="11"/>
        <v>#DIV/0!</v>
      </c>
    </row>
    <row r="47" spans="1:13" x14ac:dyDescent="0.25">
      <c r="A47" s="969"/>
      <c r="B47" s="966" t="str">
        <f t="shared" si="12"/>
        <v/>
      </c>
      <c r="C47" s="1006"/>
      <c r="D47" s="961" t="str">
        <f t="shared" si="13"/>
        <v/>
      </c>
      <c r="E47" s="961" t="str">
        <f t="shared" si="10"/>
        <v/>
      </c>
      <c r="F47" s="961" t="str">
        <f t="shared" si="10"/>
        <v/>
      </c>
      <c r="G47" s="961" t="str">
        <f t="shared" si="10"/>
        <v/>
      </c>
      <c r="H47" s="961" t="str">
        <f t="shared" si="10"/>
        <v/>
      </c>
      <c r="I47" s="961" t="str">
        <f t="shared" si="10"/>
        <v/>
      </c>
      <c r="J47" s="961" t="str">
        <f t="shared" si="10"/>
        <v/>
      </c>
      <c r="K47" s="961" t="str">
        <f t="shared" si="10"/>
        <v/>
      </c>
      <c r="L47" s="961" t="str">
        <f t="shared" si="10"/>
        <v/>
      </c>
      <c r="M47" s="962" t="e">
        <f t="shared" si="11"/>
        <v>#DIV/0!</v>
      </c>
    </row>
    <row r="48" spans="1:13" x14ac:dyDescent="0.25">
      <c r="A48" s="969"/>
      <c r="B48" s="966" t="str">
        <f t="shared" si="12"/>
        <v/>
      </c>
      <c r="C48" s="1006"/>
      <c r="D48" s="961" t="str">
        <f t="shared" si="13"/>
        <v/>
      </c>
      <c r="E48" s="961" t="str">
        <f t="shared" si="10"/>
        <v/>
      </c>
      <c r="F48" s="961" t="str">
        <f t="shared" si="10"/>
        <v/>
      </c>
      <c r="G48" s="961" t="str">
        <f t="shared" si="10"/>
        <v/>
      </c>
      <c r="H48" s="961" t="str">
        <f t="shared" si="10"/>
        <v/>
      </c>
      <c r="I48" s="961" t="str">
        <f t="shared" si="10"/>
        <v/>
      </c>
      <c r="J48" s="961" t="str">
        <f t="shared" si="10"/>
        <v/>
      </c>
      <c r="K48" s="961" t="str">
        <f t="shared" si="10"/>
        <v/>
      </c>
      <c r="L48" s="961" t="str">
        <f t="shared" si="10"/>
        <v/>
      </c>
      <c r="M48" s="962" t="e">
        <f t="shared" si="11"/>
        <v>#DIV/0!</v>
      </c>
    </row>
    <row r="49" spans="1:13" x14ac:dyDescent="0.25">
      <c r="A49" s="969"/>
      <c r="B49" s="966" t="str">
        <f t="shared" si="12"/>
        <v/>
      </c>
      <c r="C49" s="1006"/>
      <c r="D49" s="961" t="str">
        <f t="shared" si="13"/>
        <v/>
      </c>
      <c r="E49" s="961" t="str">
        <f t="shared" si="10"/>
        <v/>
      </c>
      <c r="F49" s="961" t="str">
        <f t="shared" si="10"/>
        <v/>
      </c>
      <c r="G49" s="961" t="str">
        <f t="shared" si="10"/>
        <v/>
      </c>
      <c r="H49" s="961" t="str">
        <f t="shared" si="10"/>
        <v/>
      </c>
      <c r="I49" s="961" t="str">
        <f t="shared" si="10"/>
        <v/>
      </c>
      <c r="J49" s="961" t="str">
        <f t="shared" si="10"/>
        <v/>
      </c>
      <c r="K49" s="961" t="str">
        <f t="shared" si="10"/>
        <v/>
      </c>
      <c r="L49" s="961" t="str">
        <f t="shared" si="10"/>
        <v/>
      </c>
      <c r="M49" s="962" t="e">
        <f t="shared" si="11"/>
        <v>#DIV/0!</v>
      </c>
    </row>
    <row r="50" spans="1:13" x14ac:dyDescent="0.25">
      <c r="A50" s="969"/>
      <c r="B50" s="966" t="str">
        <f t="shared" si="12"/>
        <v/>
      </c>
      <c r="C50" s="1006"/>
      <c r="D50" s="961" t="str">
        <f t="shared" si="13"/>
        <v/>
      </c>
      <c r="E50" s="961" t="str">
        <f t="shared" si="10"/>
        <v/>
      </c>
      <c r="F50" s="961" t="str">
        <f t="shared" si="10"/>
        <v/>
      </c>
      <c r="G50" s="961" t="str">
        <f t="shared" si="10"/>
        <v/>
      </c>
      <c r="H50" s="961" t="str">
        <f t="shared" si="10"/>
        <v/>
      </c>
      <c r="I50" s="961" t="str">
        <f t="shared" si="10"/>
        <v/>
      </c>
      <c r="J50" s="961" t="str">
        <f t="shared" si="10"/>
        <v/>
      </c>
      <c r="K50" s="961" t="str">
        <f t="shared" si="10"/>
        <v/>
      </c>
      <c r="L50" s="961" t="str">
        <f t="shared" si="10"/>
        <v/>
      </c>
      <c r="M50" s="962" t="e">
        <f t="shared" si="11"/>
        <v>#DIV/0!</v>
      </c>
    </row>
    <row r="51" spans="1:13" x14ac:dyDescent="0.25">
      <c r="A51" s="969"/>
      <c r="B51" s="966" t="str">
        <f t="shared" si="12"/>
        <v/>
      </c>
      <c r="C51" s="1006"/>
      <c r="D51" s="961" t="str">
        <f t="shared" si="13"/>
        <v/>
      </c>
      <c r="E51" s="961" t="str">
        <f t="shared" si="10"/>
        <v/>
      </c>
      <c r="F51" s="961" t="str">
        <f t="shared" si="10"/>
        <v/>
      </c>
      <c r="G51" s="961" t="str">
        <f t="shared" si="10"/>
        <v/>
      </c>
      <c r="H51" s="961" t="str">
        <f t="shared" si="10"/>
        <v/>
      </c>
      <c r="I51" s="961" t="str">
        <f t="shared" si="10"/>
        <v/>
      </c>
      <c r="J51" s="961" t="str">
        <f t="shared" si="10"/>
        <v/>
      </c>
      <c r="K51" s="961" t="str">
        <f t="shared" si="10"/>
        <v/>
      </c>
      <c r="L51" s="961" t="str">
        <f t="shared" si="10"/>
        <v/>
      </c>
      <c r="M51" s="962" t="e">
        <f t="shared" si="11"/>
        <v>#DIV/0!</v>
      </c>
    </row>
    <row r="52" spans="1:13" ht="15.75" thickBot="1" x14ac:dyDescent="0.3">
      <c r="A52" s="969"/>
      <c r="B52" s="966" t="str">
        <f t="shared" si="12"/>
        <v/>
      </c>
      <c r="C52" s="1006"/>
      <c r="D52" s="961" t="str">
        <f t="shared" si="13"/>
        <v/>
      </c>
      <c r="E52" s="961" t="str">
        <f t="shared" si="10"/>
        <v/>
      </c>
      <c r="F52" s="961" t="str">
        <f t="shared" si="10"/>
        <v/>
      </c>
      <c r="G52" s="961" t="str">
        <f t="shared" si="10"/>
        <v/>
      </c>
      <c r="H52" s="961" t="str">
        <f t="shared" si="10"/>
        <v/>
      </c>
      <c r="I52" s="961" t="str">
        <f t="shared" si="10"/>
        <v/>
      </c>
      <c r="J52" s="961" t="str">
        <f t="shared" si="10"/>
        <v/>
      </c>
      <c r="K52" s="961" t="str">
        <f t="shared" si="10"/>
        <v/>
      </c>
      <c r="L52" s="961" t="str">
        <f t="shared" si="10"/>
        <v/>
      </c>
      <c r="M52" s="962" t="e">
        <f t="shared" si="11"/>
        <v>#DIV/0!</v>
      </c>
    </row>
    <row r="53" spans="1:13" ht="15.75" thickBot="1" x14ac:dyDescent="0.3">
      <c r="B53" s="963" t="s">
        <v>4976</v>
      </c>
      <c r="C53" s="967"/>
      <c r="D53" s="967"/>
      <c r="E53" s="967"/>
      <c r="F53" s="967"/>
      <c r="G53" s="967"/>
      <c r="H53" s="967"/>
      <c r="I53" s="967"/>
      <c r="J53" s="967"/>
      <c r="K53" s="967"/>
      <c r="L53" s="967"/>
      <c r="M53" s="968"/>
    </row>
    <row r="54" spans="1:13" x14ac:dyDescent="0.25">
      <c r="B54" s="966" t="str">
        <f>IF(B6="","",B6)</f>
        <v/>
      </c>
      <c r="C54" s="961">
        <v>1</v>
      </c>
      <c r="D54" s="961">
        <f t="shared" ref="D54:L64" si="14">C54</f>
        <v>1</v>
      </c>
      <c r="E54" s="961">
        <f t="shared" si="14"/>
        <v>1</v>
      </c>
      <c r="F54" s="961">
        <f t="shared" si="14"/>
        <v>1</v>
      </c>
      <c r="G54" s="961">
        <f t="shared" si="14"/>
        <v>1</v>
      </c>
      <c r="H54" s="961">
        <f t="shared" si="14"/>
        <v>1</v>
      </c>
      <c r="I54" s="961">
        <f t="shared" si="14"/>
        <v>1</v>
      </c>
      <c r="J54" s="961">
        <f t="shared" si="14"/>
        <v>1</v>
      </c>
      <c r="K54" s="961">
        <f t="shared" si="14"/>
        <v>1</v>
      </c>
      <c r="L54" s="961">
        <f t="shared" si="14"/>
        <v>1</v>
      </c>
      <c r="M54" s="962">
        <f t="shared" ref="M54:M64" si="15">AVERAGE(C54:L54)</f>
        <v>1</v>
      </c>
    </row>
    <row r="55" spans="1:13" x14ac:dyDescent="0.25">
      <c r="B55" s="966" t="str">
        <f t="shared" ref="B55:B64" si="16">IF(B7="","",B7)</f>
        <v/>
      </c>
      <c r="C55" s="961">
        <v>1</v>
      </c>
      <c r="D55" s="961">
        <f t="shared" si="14"/>
        <v>1</v>
      </c>
      <c r="E55" s="961">
        <f t="shared" si="14"/>
        <v>1</v>
      </c>
      <c r="F55" s="961">
        <f t="shared" si="14"/>
        <v>1</v>
      </c>
      <c r="G55" s="961">
        <f t="shared" si="14"/>
        <v>1</v>
      </c>
      <c r="H55" s="961">
        <f t="shared" si="14"/>
        <v>1</v>
      </c>
      <c r="I55" s="961">
        <f t="shared" si="14"/>
        <v>1</v>
      </c>
      <c r="J55" s="961">
        <f t="shared" si="14"/>
        <v>1</v>
      </c>
      <c r="K55" s="961">
        <f t="shared" si="14"/>
        <v>1</v>
      </c>
      <c r="L55" s="961">
        <f t="shared" si="14"/>
        <v>1</v>
      </c>
      <c r="M55" s="962">
        <f t="shared" si="15"/>
        <v>1</v>
      </c>
    </row>
    <row r="56" spans="1:13" x14ac:dyDescent="0.25">
      <c r="B56" s="966" t="str">
        <f t="shared" si="16"/>
        <v/>
      </c>
      <c r="C56" s="961">
        <v>1</v>
      </c>
      <c r="D56" s="961">
        <f t="shared" si="14"/>
        <v>1</v>
      </c>
      <c r="E56" s="961">
        <f t="shared" si="14"/>
        <v>1</v>
      </c>
      <c r="F56" s="961">
        <f t="shared" si="14"/>
        <v>1</v>
      </c>
      <c r="G56" s="961">
        <f t="shared" si="14"/>
        <v>1</v>
      </c>
      <c r="H56" s="961">
        <f t="shared" si="14"/>
        <v>1</v>
      </c>
      <c r="I56" s="961">
        <f t="shared" si="14"/>
        <v>1</v>
      </c>
      <c r="J56" s="961">
        <f t="shared" si="14"/>
        <v>1</v>
      </c>
      <c r="K56" s="961">
        <f t="shared" si="14"/>
        <v>1</v>
      </c>
      <c r="L56" s="961">
        <f t="shared" si="14"/>
        <v>1</v>
      </c>
      <c r="M56" s="962">
        <f t="shared" si="15"/>
        <v>1</v>
      </c>
    </row>
    <row r="57" spans="1:13" x14ac:dyDescent="0.25">
      <c r="B57" s="966" t="str">
        <f t="shared" si="16"/>
        <v/>
      </c>
      <c r="C57" s="961">
        <v>1</v>
      </c>
      <c r="D57" s="961">
        <f t="shared" si="14"/>
        <v>1</v>
      </c>
      <c r="E57" s="961">
        <f t="shared" si="14"/>
        <v>1</v>
      </c>
      <c r="F57" s="961">
        <f t="shared" si="14"/>
        <v>1</v>
      </c>
      <c r="G57" s="961">
        <f t="shared" si="14"/>
        <v>1</v>
      </c>
      <c r="H57" s="961">
        <f t="shared" si="14"/>
        <v>1</v>
      </c>
      <c r="I57" s="961">
        <f t="shared" si="14"/>
        <v>1</v>
      </c>
      <c r="J57" s="961">
        <f t="shared" si="14"/>
        <v>1</v>
      </c>
      <c r="K57" s="961">
        <f t="shared" si="14"/>
        <v>1</v>
      </c>
      <c r="L57" s="961">
        <f t="shared" si="14"/>
        <v>1</v>
      </c>
      <c r="M57" s="962">
        <f t="shared" si="15"/>
        <v>1</v>
      </c>
    </row>
    <row r="58" spans="1:13" x14ac:dyDescent="0.25">
      <c r="B58" s="966" t="str">
        <f t="shared" si="16"/>
        <v/>
      </c>
      <c r="C58" s="961">
        <v>1</v>
      </c>
      <c r="D58" s="961">
        <f t="shared" si="14"/>
        <v>1</v>
      </c>
      <c r="E58" s="961">
        <f t="shared" si="14"/>
        <v>1</v>
      </c>
      <c r="F58" s="961">
        <f t="shared" si="14"/>
        <v>1</v>
      </c>
      <c r="G58" s="961">
        <f t="shared" si="14"/>
        <v>1</v>
      </c>
      <c r="H58" s="961">
        <f t="shared" si="14"/>
        <v>1</v>
      </c>
      <c r="I58" s="961">
        <f t="shared" si="14"/>
        <v>1</v>
      </c>
      <c r="J58" s="961">
        <f t="shared" si="14"/>
        <v>1</v>
      </c>
      <c r="K58" s="961">
        <f t="shared" si="14"/>
        <v>1</v>
      </c>
      <c r="L58" s="961">
        <f t="shared" si="14"/>
        <v>1</v>
      </c>
      <c r="M58" s="962">
        <f t="shared" si="15"/>
        <v>1</v>
      </c>
    </row>
    <row r="59" spans="1:13" x14ac:dyDescent="0.25">
      <c r="B59" s="966" t="str">
        <f t="shared" si="16"/>
        <v/>
      </c>
      <c r="C59" s="961">
        <v>1</v>
      </c>
      <c r="D59" s="961">
        <f t="shared" si="14"/>
        <v>1</v>
      </c>
      <c r="E59" s="961">
        <f t="shared" si="14"/>
        <v>1</v>
      </c>
      <c r="F59" s="961">
        <f t="shared" si="14"/>
        <v>1</v>
      </c>
      <c r="G59" s="961">
        <f t="shared" si="14"/>
        <v>1</v>
      </c>
      <c r="H59" s="961">
        <f t="shared" si="14"/>
        <v>1</v>
      </c>
      <c r="I59" s="961">
        <f t="shared" si="14"/>
        <v>1</v>
      </c>
      <c r="J59" s="961">
        <f t="shared" si="14"/>
        <v>1</v>
      </c>
      <c r="K59" s="961">
        <f t="shared" si="14"/>
        <v>1</v>
      </c>
      <c r="L59" s="961">
        <f t="shared" si="14"/>
        <v>1</v>
      </c>
      <c r="M59" s="962">
        <f t="shared" si="15"/>
        <v>1</v>
      </c>
    </row>
    <row r="60" spans="1:13" x14ac:dyDescent="0.25">
      <c r="B60" s="966" t="str">
        <f t="shared" si="16"/>
        <v/>
      </c>
      <c r="C60" s="961">
        <v>1</v>
      </c>
      <c r="D60" s="961">
        <f t="shared" si="14"/>
        <v>1</v>
      </c>
      <c r="E60" s="961">
        <f t="shared" si="14"/>
        <v>1</v>
      </c>
      <c r="F60" s="961">
        <f t="shared" si="14"/>
        <v>1</v>
      </c>
      <c r="G60" s="961">
        <f t="shared" si="14"/>
        <v>1</v>
      </c>
      <c r="H60" s="961">
        <f t="shared" si="14"/>
        <v>1</v>
      </c>
      <c r="I60" s="961">
        <f t="shared" si="14"/>
        <v>1</v>
      </c>
      <c r="J60" s="961">
        <f t="shared" si="14"/>
        <v>1</v>
      </c>
      <c r="K60" s="961">
        <f t="shared" si="14"/>
        <v>1</v>
      </c>
      <c r="L60" s="961">
        <f t="shared" si="14"/>
        <v>1</v>
      </c>
      <c r="M60" s="962">
        <f t="shared" si="15"/>
        <v>1</v>
      </c>
    </row>
    <row r="61" spans="1:13" x14ac:dyDescent="0.25">
      <c r="B61" s="966" t="str">
        <f t="shared" si="16"/>
        <v/>
      </c>
      <c r="C61" s="961">
        <v>1</v>
      </c>
      <c r="D61" s="961">
        <f t="shared" si="14"/>
        <v>1</v>
      </c>
      <c r="E61" s="961">
        <f t="shared" si="14"/>
        <v>1</v>
      </c>
      <c r="F61" s="961">
        <f t="shared" si="14"/>
        <v>1</v>
      </c>
      <c r="G61" s="961">
        <f t="shared" si="14"/>
        <v>1</v>
      </c>
      <c r="H61" s="961">
        <f t="shared" si="14"/>
        <v>1</v>
      </c>
      <c r="I61" s="961">
        <f t="shared" si="14"/>
        <v>1</v>
      </c>
      <c r="J61" s="961">
        <f t="shared" si="14"/>
        <v>1</v>
      </c>
      <c r="K61" s="961">
        <f t="shared" si="14"/>
        <v>1</v>
      </c>
      <c r="L61" s="961">
        <f t="shared" si="14"/>
        <v>1</v>
      </c>
      <c r="M61" s="962">
        <f t="shared" si="15"/>
        <v>1</v>
      </c>
    </row>
    <row r="62" spans="1:13" x14ac:dyDescent="0.25">
      <c r="B62" s="966" t="str">
        <f t="shared" si="16"/>
        <v/>
      </c>
      <c r="C62" s="961">
        <v>1</v>
      </c>
      <c r="D62" s="961">
        <f t="shared" si="14"/>
        <v>1</v>
      </c>
      <c r="E62" s="961">
        <f t="shared" si="14"/>
        <v>1</v>
      </c>
      <c r="F62" s="961">
        <f t="shared" si="14"/>
        <v>1</v>
      </c>
      <c r="G62" s="961">
        <f t="shared" si="14"/>
        <v>1</v>
      </c>
      <c r="H62" s="961">
        <f t="shared" si="14"/>
        <v>1</v>
      </c>
      <c r="I62" s="961">
        <f t="shared" si="14"/>
        <v>1</v>
      </c>
      <c r="J62" s="961">
        <f t="shared" si="14"/>
        <v>1</v>
      </c>
      <c r="K62" s="961">
        <f t="shared" si="14"/>
        <v>1</v>
      </c>
      <c r="L62" s="961">
        <f t="shared" si="14"/>
        <v>1</v>
      </c>
      <c r="M62" s="962">
        <f t="shared" si="15"/>
        <v>1</v>
      </c>
    </row>
    <row r="63" spans="1:13" x14ac:dyDescent="0.25">
      <c r="B63" s="966" t="str">
        <f t="shared" si="16"/>
        <v/>
      </c>
      <c r="C63" s="961">
        <v>1</v>
      </c>
      <c r="D63" s="961">
        <f t="shared" si="14"/>
        <v>1</v>
      </c>
      <c r="E63" s="961">
        <f t="shared" si="14"/>
        <v>1</v>
      </c>
      <c r="F63" s="961">
        <f t="shared" si="14"/>
        <v>1</v>
      </c>
      <c r="G63" s="961">
        <f t="shared" si="14"/>
        <v>1</v>
      </c>
      <c r="H63" s="961">
        <f t="shared" si="14"/>
        <v>1</v>
      </c>
      <c r="I63" s="961">
        <f t="shared" si="14"/>
        <v>1</v>
      </c>
      <c r="J63" s="961">
        <f t="shared" si="14"/>
        <v>1</v>
      </c>
      <c r="K63" s="961">
        <f t="shared" si="14"/>
        <v>1</v>
      </c>
      <c r="L63" s="961">
        <f t="shared" si="14"/>
        <v>1</v>
      </c>
      <c r="M63" s="962">
        <f t="shared" si="15"/>
        <v>1</v>
      </c>
    </row>
    <row r="64" spans="1:13" ht="15.75" thickBot="1" x14ac:dyDescent="0.3">
      <c r="B64" s="966" t="str">
        <f t="shared" si="16"/>
        <v/>
      </c>
      <c r="C64" s="961">
        <v>1</v>
      </c>
      <c r="D64" s="961">
        <f t="shared" si="14"/>
        <v>1</v>
      </c>
      <c r="E64" s="961">
        <f t="shared" si="14"/>
        <v>1</v>
      </c>
      <c r="F64" s="961">
        <f t="shared" si="14"/>
        <v>1</v>
      </c>
      <c r="G64" s="961">
        <f t="shared" si="14"/>
        <v>1</v>
      </c>
      <c r="H64" s="961">
        <f t="shared" si="14"/>
        <v>1</v>
      </c>
      <c r="I64" s="961">
        <f t="shared" si="14"/>
        <v>1</v>
      </c>
      <c r="J64" s="961">
        <f t="shared" si="14"/>
        <v>1</v>
      </c>
      <c r="K64" s="961">
        <f t="shared" si="14"/>
        <v>1</v>
      </c>
      <c r="L64" s="961">
        <f t="shared" si="14"/>
        <v>1</v>
      </c>
      <c r="M64" s="962">
        <f t="shared" si="15"/>
        <v>1</v>
      </c>
    </row>
    <row r="65" spans="2:13" ht="15.75" thickBot="1" x14ac:dyDescent="0.3">
      <c r="B65" s="963" t="s">
        <v>4977</v>
      </c>
      <c r="C65" s="967"/>
      <c r="D65" s="967"/>
      <c r="E65" s="967"/>
      <c r="F65" s="967"/>
      <c r="G65" s="967"/>
      <c r="H65" s="967"/>
      <c r="I65" s="967"/>
      <c r="J65" s="967"/>
      <c r="K65" s="967"/>
      <c r="L65" s="967"/>
      <c r="M65" s="968"/>
    </row>
    <row r="66" spans="2:13" x14ac:dyDescent="0.25">
      <c r="B66" s="966" t="str">
        <f>IF(B6="","",B6)</f>
        <v/>
      </c>
      <c r="C66" s="961" t="str">
        <f>IFERROR(C6*C30*C42*C54,"")</f>
        <v/>
      </c>
      <c r="D66" s="961" t="str">
        <f t="shared" ref="D66:L66" si="17">IFERROR(D6*D30*D42*D54,"")</f>
        <v/>
      </c>
      <c r="E66" s="961" t="str">
        <f t="shared" si="17"/>
        <v/>
      </c>
      <c r="F66" s="961" t="str">
        <f t="shared" si="17"/>
        <v/>
      </c>
      <c r="G66" s="961" t="str">
        <f t="shared" si="17"/>
        <v/>
      </c>
      <c r="H66" s="961" t="str">
        <f t="shared" si="17"/>
        <v/>
      </c>
      <c r="I66" s="961" t="str">
        <f t="shared" si="17"/>
        <v/>
      </c>
      <c r="J66" s="961" t="str">
        <f t="shared" si="17"/>
        <v/>
      </c>
      <c r="K66" s="961" t="str">
        <f t="shared" si="17"/>
        <v/>
      </c>
      <c r="L66" s="961" t="str">
        <f t="shared" si="17"/>
        <v/>
      </c>
      <c r="M66" s="962">
        <f t="shared" si="9"/>
        <v>0</v>
      </c>
    </row>
    <row r="67" spans="2:13" x14ac:dyDescent="0.25">
      <c r="B67" s="966" t="str">
        <f t="shared" ref="B67:B76" si="18">IF(B7="","",B7)</f>
        <v/>
      </c>
      <c r="C67" s="961" t="str">
        <f t="shared" ref="C67:L76" si="19">IFERROR(C7*C31*C43*C55,"")</f>
        <v/>
      </c>
      <c r="D67" s="961" t="str">
        <f t="shared" si="19"/>
        <v/>
      </c>
      <c r="E67" s="961" t="str">
        <f t="shared" si="19"/>
        <v/>
      </c>
      <c r="F67" s="961" t="str">
        <f t="shared" si="19"/>
        <v/>
      </c>
      <c r="G67" s="961" t="str">
        <f t="shared" si="19"/>
        <v/>
      </c>
      <c r="H67" s="961" t="str">
        <f t="shared" si="19"/>
        <v/>
      </c>
      <c r="I67" s="961" t="str">
        <f t="shared" si="19"/>
        <v/>
      </c>
      <c r="J67" s="961" t="str">
        <f t="shared" si="19"/>
        <v/>
      </c>
      <c r="K67" s="961" t="str">
        <f t="shared" si="19"/>
        <v/>
      </c>
      <c r="L67" s="961" t="str">
        <f t="shared" si="19"/>
        <v/>
      </c>
      <c r="M67" s="962">
        <f t="shared" si="9"/>
        <v>0</v>
      </c>
    </row>
    <row r="68" spans="2:13" x14ac:dyDescent="0.25">
      <c r="B68" s="966" t="str">
        <f t="shared" si="18"/>
        <v/>
      </c>
      <c r="C68" s="961" t="str">
        <f t="shared" si="19"/>
        <v/>
      </c>
      <c r="D68" s="961" t="str">
        <f t="shared" si="19"/>
        <v/>
      </c>
      <c r="E68" s="961" t="str">
        <f t="shared" si="19"/>
        <v/>
      </c>
      <c r="F68" s="961" t="str">
        <f t="shared" si="19"/>
        <v/>
      </c>
      <c r="G68" s="961" t="str">
        <f t="shared" si="19"/>
        <v/>
      </c>
      <c r="H68" s="961" t="str">
        <f t="shared" si="19"/>
        <v/>
      </c>
      <c r="I68" s="961" t="str">
        <f t="shared" si="19"/>
        <v/>
      </c>
      <c r="J68" s="961" t="str">
        <f t="shared" si="19"/>
        <v/>
      </c>
      <c r="K68" s="961" t="str">
        <f t="shared" si="19"/>
        <v/>
      </c>
      <c r="L68" s="961" t="str">
        <f t="shared" si="19"/>
        <v/>
      </c>
      <c r="M68" s="962">
        <f t="shared" si="9"/>
        <v>0</v>
      </c>
    </row>
    <row r="69" spans="2:13" x14ac:dyDescent="0.25">
      <c r="B69" s="966" t="str">
        <f t="shared" si="18"/>
        <v/>
      </c>
      <c r="C69" s="961" t="str">
        <f t="shared" si="19"/>
        <v/>
      </c>
      <c r="D69" s="961" t="str">
        <f t="shared" si="19"/>
        <v/>
      </c>
      <c r="E69" s="961" t="str">
        <f t="shared" si="19"/>
        <v/>
      </c>
      <c r="F69" s="961" t="str">
        <f t="shared" si="19"/>
        <v/>
      </c>
      <c r="G69" s="961" t="str">
        <f t="shared" si="19"/>
        <v/>
      </c>
      <c r="H69" s="961" t="str">
        <f t="shared" si="19"/>
        <v/>
      </c>
      <c r="I69" s="961" t="str">
        <f t="shared" si="19"/>
        <v/>
      </c>
      <c r="J69" s="961" t="str">
        <f t="shared" si="19"/>
        <v/>
      </c>
      <c r="K69" s="961" t="str">
        <f t="shared" si="19"/>
        <v/>
      </c>
      <c r="L69" s="961" t="str">
        <f t="shared" si="19"/>
        <v/>
      </c>
      <c r="M69" s="962">
        <f t="shared" si="9"/>
        <v>0</v>
      </c>
    </row>
    <row r="70" spans="2:13" x14ac:dyDescent="0.25">
      <c r="B70" s="966" t="str">
        <f t="shared" si="18"/>
        <v/>
      </c>
      <c r="C70" s="961" t="str">
        <f t="shared" si="19"/>
        <v/>
      </c>
      <c r="D70" s="961" t="str">
        <f t="shared" si="19"/>
        <v/>
      </c>
      <c r="E70" s="961" t="str">
        <f t="shared" si="19"/>
        <v/>
      </c>
      <c r="F70" s="961" t="str">
        <f t="shared" si="19"/>
        <v/>
      </c>
      <c r="G70" s="961" t="str">
        <f t="shared" si="19"/>
        <v/>
      </c>
      <c r="H70" s="961" t="str">
        <f t="shared" si="19"/>
        <v/>
      </c>
      <c r="I70" s="961" t="str">
        <f t="shared" si="19"/>
        <v/>
      </c>
      <c r="J70" s="961" t="str">
        <f t="shared" si="19"/>
        <v/>
      </c>
      <c r="K70" s="961" t="str">
        <f t="shared" si="19"/>
        <v/>
      </c>
      <c r="L70" s="961" t="str">
        <f t="shared" si="19"/>
        <v/>
      </c>
      <c r="M70" s="962">
        <f t="shared" si="9"/>
        <v>0</v>
      </c>
    </row>
    <row r="71" spans="2:13" x14ac:dyDescent="0.25">
      <c r="B71" s="966" t="str">
        <f t="shared" si="18"/>
        <v/>
      </c>
      <c r="C71" s="961" t="str">
        <f t="shared" si="19"/>
        <v/>
      </c>
      <c r="D71" s="961" t="str">
        <f t="shared" si="19"/>
        <v/>
      </c>
      <c r="E71" s="961" t="str">
        <f t="shared" si="19"/>
        <v/>
      </c>
      <c r="F71" s="961" t="str">
        <f t="shared" si="19"/>
        <v/>
      </c>
      <c r="G71" s="961" t="str">
        <f t="shared" si="19"/>
        <v/>
      </c>
      <c r="H71" s="961" t="str">
        <f t="shared" si="19"/>
        <v/>
      </c>
      <c r="I71" s="961" t="str">
        <f t="shared" si="19"/>
        <v/>
      </c>
      <c r="J71" s="961" t="str">
        <f t="shared" si="19"/>
        <v/>
      </c>
      <c r="K71" s="961" t="str">
        <f t="shared" si="19"/>
        <v/>
      </c>
      <c r="L71" s="961" t="str">
        <f t="shared" si="19"/>
        <v/>
      </c>
      <c r="M71" s="962">
        <f t="shared" si="9"/>
        <v>0</v>
      </c>
    </row>
    <row r="72" spans="2:13" x14ac:dyDescent="0.25">
      <c r="B72" s="966" t="str">
        <f t="shared" si="18"/>
        <v/>
      </c>
      <c r="C72" s="961" t="str">
        <f t="shared" si="19"/>
        <v/>
      </c>
      <c r="D72" s="961" t="str">
        <f t="shared" si="19"/>
        <v/>
      </c>
      <c r="E72" s="961" t="str">
        <f t="shared" si="19"/>
        <v/>
      </c>
      <c r="F72" s="961" t="str">
        <f t="shared" si="19"/>
        <v/>
      </c>
      <c r="G72" s="961" t="str">
        <f t="shared" si="19"/>
        <v/>
      </c>
      <c r="H72" s="961" t="str">
        <f t="shared" si="19"/>
        <v/>
      </c>
      <c r="I72" s="961" t="str">
        <f t="shared" si="19"/>
        <v/>
      </c>
      <c r="J72" s="961" t="str">
        <f t="shared" si="19"/>
        <v/>
      </c>
      <c r="K72" s="961" t="str">
        <f t="shared" si="19"/>
        <v/>
      </c>
      <c r="L72" s="961" t="str">
        <f t="shared" si="19"/>
        <v/>
      </c>
      <c r="M72" s="962">
        <f t="shared" si="9"/>
        <v>0</v>
      </c>
    </row>
    <row r="73" spans="2:13" x14ac:dyDescent="0.25">
      <c r="B73" s="966" t="str">
        <f t="shared" si="18"/>
        <v/>
      </c>
      <c r="C73" s="961" t="str">
        <f t="shared" si="19"/>
        <v/>
      </c>
      <c r="D73" s="961" t="str">
        <f t="shared" si="19"/>
        <v/>
      </c>
      <c r="E73" s="961" t="str">
        <f t="shared" si="19"/>
        <v/>
      </c>
      <c r="F73" s="961" t="str">
        <f t="shared" si="19"/>
        <v/>
      </c>
      <c r="G73" s="961" t="str">
        <f t="shared" si="19"/>
        <v/>
      </c>
      <c r="H73" s="961" t="str">
        <f t="shared" si="19"/>
        <v/>
      </c>
      <c r="I73" s="961" t="str">
        <f t="shared" si="19"/>
        <v/>
      </c>
      <c r="J73" s="961" t="str">
        <f t="shared" si="19"/>
        <v/>
      </c>
      <c r="K73" s="961" t="str">
        <f t="shared" si="19"/>
        <v/>
      </c>
      <c r="L73" s="961" t="str">
        <f t="shared" si="19"/>
        <v/>
      </c>
      <c r="M73" s="962">
        <f t="shared" si="9"/>
        <v>0</v>
      </c>
    </row>
    <row r="74" spans="2:13" x14ac:dyDescent="0.25">
      <c r="B74" s="966" t="str">
        <f t="shared" si="18"/>
        <v/>
      </c>
      <c r="C74" s="961" t="str">
        <f t="shared" si="19"/>
        <v/>
      </c>
      <c r="D74" s="961" t="str">
        <f t="shared" si="19"/>
        <v/>
      </c>
      <c r="E74" s="961" t="str">
        <f t="shared" si="19"/>
        <v/>
      </c>
      <c r="F74" s="961" t="str">
        <f t="shared" si="19"/>
        <v/>
      </c>
      <c r="G74" s="961" t="str">
        <f t="shared" si="19"/>
        <v/>
      </c>
      <c r="H74" s="961" t="str">
        <f t="shared" si="19"/>
        <v/>
      </c>
      <c r="I74" s="961" t="str">
        <f t="shared" si="19"/>
        <v/>
      </c>
      <c r="J74" s="961" t="str">
        <f t="shared" si="19"/>
        <v/>
      </c>
      <c r="K74" s="961" t="str">
        <f t="shared" si="19"/>
        <v/>
      </c>
      <c r="L74" s="961" t="str">
        <f t="shared" si="19"/>
        <v/>
      </c>
      <c r="M74" s="962">
        <f t="shared" si="9"/>
        <v>0</v>
      </c>
    </row>
    <row r="75" spans="2:13" x14ac:dyDescent="0.25">
      <c r="B75" s="966" t="str">
        <f t="shared" si="18"/>
        <v/>
      </c>
      <c r="C75" s="961" t="str">
        <f t="shared" si="19"/>
        <v/>
      </c>
      <c r="D75" s="961" t="str">
        <f t="shared" si="19"/>
        <v/>
      </c>
      <c r="E75" s="961" t="str">
        <f t="shared" si="19"/>
        <v/>
      </c>
      <c r="F75" s="961" t="str">
        <f t="shared" si="19"/>
        <v/>
      </c>
      <c r="G75" s="961" t="str">
        <f t="shared" si="19"/>
        <v/>
      </c>
      <c r="H75" s="961" t="str">
        <f t="shared" si="19"/>
        <v/>
      </c>
      <c r="I75" s="961" t="str">
        <f t="shared" si="19"/>
        <v/>
      </c>
      <c r="J75" s="961" t="str">
        <f t="shared" si="19"/>
        <v/>
      </c>
      <c r="K75" s="961" t="str">
        <f t="shared" si="19"/>
        <v/>
      </c>
      <c r="L75" s="961" t="str">
        <f t="shared" si="19"/>
        <v/>
      </c>
      <c r="M75" s="962">
        <f t="shared" si="9"/>
        <v>0</v>
      </c>
    </row>
    <row r="76" spans="2:13" ht="15.75" thickBot="1" x14ac:dyDescent="0.3">
      <c r="B76" s="966" t="str">
        <f t="shared" si="18"/>
        <v/>
      </c>
      <c r="C76" s="961" t="str">
        <f t="shared" si="19"/>
        <v/>
      </c>
      <c r="D76" s="961" t="str">
        <f t="shared" si="19"/>
        <v/>
      </c>
      <c r="E76" s="961" t="str">
        <f t="shared" si="19"/>
        <v/>
      </c>
      <c r="F76" s="961" t="str">
        <f t="shared" si="19"/>
        <v/>
      </c>
      <c r="G76" s="961" t="str">
        <f t="shared" si="19"/>
        <v/>
      </c>
      <c r="H76" s="961" t="str">
        <f t="shared" si="19"/>
        <v/>
      </c>
      <c r="I76" s="961" t="str">
        <f t="shared" si="19"/>
        <v/>
      </c>
      <c r="J76" s="961" t="str">
        <f t="shared" si="19"/>
        <v/>
      </c>
      <c r="K76" s="961" t="str">
        <f t="shared" si="19"/>
        <v/>
      </c>
      <c r="L76" s="961" t="str">
        <f t="shared" si="19"/>
        <v/>
      </c>
      <c r="M76" s="962">
        <f t="shared" si="9"/>
        <v>0</v>
      </c>
    </row>
    <row r="77" spans="2:13" ht="15.75" thickBot="1" x14ac:dyDescent="0.3">
      <c r="B77" s="963" t="s">
        <v>4978</v>
      </c>
      <c r="C77" s="967"/>
      <c r="D77" s="967"/>
      <c r="E77" s="967"/>
      <c r="F77" s="967"/>
      <c r="G77" s="967"/>
      <c r="H77" s="967"/>
      <c r="I77" s="967"/>
      <c r="J77" s="967"/>
      <c r="K77" s="967"/>
      <c r="L77" s="967"/>
      <c r="M77" s="968"/>
    </row>
    <row r="78" spans="2:13" x14ac:dyDescent="0.25">
      <c r="B78" s="966" t="str">
        <f>IF(B6="","",B6)</f>
        <v/>
      </c>
      <c r="C78" s="961" t="str">
        <f>IFERROR(C6*C18,"")</f>
        <v/>
      </c>
      <c r="D78" s="961" t="str">
        <f t="shared" ref="D78:L78" si="20">IFERROR(D6*D18,"")</f>
        <v/>
      </c>
      <c r="E78" s="961" t="str">
        <f t="shared" si="20"/>
        <v/>
      </c>
      <c r="F78" s="961" t="str">
        <f t="shared" si="20"/>
        <v/>
      </c>
      <c r="G78" s="961" t="str">
        <f t="shared" si="20"/>
        <v/>
      </c>
      <c r="H78" s="961" t="str">
        <f t="shared" si="20"/>
        <v/>
      </c>
      <c r="I78" s="961" t="str">
        <f t="shared" si="20"/>
        <v/>
      </c>
      <c r="J78" s="961" t="str">
        <f t="shared" si="20"/>
        <v/>
      </c>
      <c r="K78" s="961" t="str">
        <f t="shared" si="20"/>
        <v/>
      </c>
      <c r="L78" s="961" t="str">
        <f t="shared" si="20"/>
        <v/>
      </c>
      <c r="M78" s="962">
        <f t="shared" si="9"/>
        <v>0</v>
      </c>
    </row>
    <row r="79" spans="2:13" x14ac:dyDescent="0.25">
      <c r="B79" s="966" t="str">
        <f t="shared" ref="B79:B88" si="21">IF(B7="","",B7)</f>
        <v/>
      </c>
      <c r="C79" s="961" t="str">
        <f t="shared" ref="C79:L88" si="22">IFERROR(C7*C19,"")</f>
        <v/>
      </c>
      <c r="D79" s="961" t="str">
        <f t="shared" si="22"/>
        <v/>
      </c>
      <c r="E79" s="961" t="str">
        <f t="shared" si="22"/>
        <v/>
      </c>
      <c r="F79" s="961" t="str">
        <f t="shared" si="22"/>
        <v/>
      </c>
      <c r="G79" s="961" t="str">
        <f t="shared" si="22"/>
        <v/>
      </c>
      <c r="H79" s="961" t="str">
        <f t="shared" si="22"/>
        <v/>
      </c>
      <c r="I79" s="961" t="str">
        <f t="shared" si="22"/>
        <v/>
      </c>
      <c r="J79" s="961" t="str">
        <f t="shared" si="22"/>
        <v/>
      </c>
      <c r="K79" s="961" t="str">
        <f t="shared" si="22"/>
        <v/>
      </c>
      <c r="L79" s="961" t="str">
        <f t="shared" si="22"/>
        <v/>
      </c>
      <c r="M79" s="962">
        <f t="shared" si="9"/>
        <v>0</v>
      </c>
    </row>
    <row r="80" spans="2:13" x14ac:dyDescent="0.25">
      <c r="B80" s="966" t="str">
        <f t="shared" si="21"/>
        <v/>
      </c>
      <c r="C80" s="961" t="str">
        <f t="shared" si="22"/>
        <v/>
      </c>
      <c r="D80" s="961" t="str">
        <f t="shared" si="22"/>
        <v/>
      </c>
      <c r="E80" s="961" t="str">
        <f t="shared" si="22"/>
        <v/>
      </c>
      <c r="F80" s="961" t="str">
        <f t="shared" si="22"/>
        <v/>
      </c>
      <c r="G80" s="961" t="str">
        <f t="shared" si="22"/>
        <v/>
      </c>
      <c r="H80" s="961" t="str">
        <f t="shared" si="22"/>
        <v/>
      </c>
      <c r="I80" s="961" t="str">
        <f t="shared" si="22"/>
        <v/>
      </c>
      <c r="J80" s="961" t="str">
        <f t="shared" si="22"/>
        <v/>
      </c>
      <c r="K80" s="961" t="str">
        <f t="shared" si="22"/>
        <v/>
      </c>
      <c r="L80" s="961" t="str">
        <f t="shared" si="22"/>
        <v/>
      </c>
      <c r="M80" s="962">
        <f t="shared" si="9"/>
        <v>0</v>
      </c>
    </row>
    <row r="81" spans="1:13" x14ac:dyDescent="0.25">
      <c r="B81" s="966" t="str">
        <f t="shared" si="21"/>
        <v/>
      </c>
      <c r="C81" s="961" t="str">
        <f t="shared" si="22"/>
        <v/>
      </c>
      <c r="D81" s="961" t="str">
        <f t="shared" si="22"/>
        <v/>
      </c>
      <c r="E81" s="961" t="str">
        <f t="shared" si="22"/>
        <v/>
      </c>
      <c r="F81" s="961" t="str">
        <f t="shared" si="22"/>
        <v/>
      </c>
      <c r="G81" s="961" t="str">
        <f t="shared" si="22"/>
        <v/>
      </c>
      <c r="H81" s="961" t="str">
        <f t="shared" si="22"/>
        <v/>
      </c>
      <c r="I81" s="961" t="str">
        <f t="shared" si="22"/>
        <v/>
      </c>
      <c r="J81" s="961" t="str">
        <f t="shared" si="22"/>
        <v/>
      </c>
      <c r="K81" s="961" t="str">
        <f t="shared" si="22"/>
        <v/>
      </c>
      <c r="L81" s="961" t="str">
        <f t="shared" si="22"/>
        <v/>
      </c>
      <c r="M81" s="962">
        <f t="shared" si="9"/>
        <v>0</v>
      </c>
    </row>
    <row r="82" spans="1:13" x14ac:dyDescent="0.25">
      <c r="B82" s="966" t="str">
        <f t="shared" si="21"/>
        <v/>
      </c>
      <c r="C82" s="961" t="str">
        <f t="shared" si="22"/>
        <v/>
      </c>
      <c r="D82" s="961" t="str">
        <f t="shared" si="22"/>
        <v/>
      </c>
      <c r="E82" s="961" t="str">
        <f t="shared" si="22"/>
        <v/>
      </c>
      <c r="F82" s="961" t="str">
        <f t="shared" si="22"/>
        <v/>
      </c>
      <c r="G82" s="961" t="str">
        <f t="shared" si="22"/>
        <v/>
      </c>
      <c r="H82" s="961" t="str">
        <f t="shared" si="22"/>
        <v/>
      </c>
      <c r="I82" s="961" t="str">
        <f t="shared" si="22"/>
        <v/>
      </c>
      <c r="J82" s="961" t="str">
        <f t="shared" si="22"/>
        <v/>
      </c>
      <c r="K82" s="961" t="str">
        <f t="shared" si="22"/>
        <v/>
      </c>
      <c r="L82" s="961" t="str">
        <f t="shared" si="22"/>
        <v/>
      </c>
      <c r="M82" s="962">
        <f t="shared" si="9"/>
        <v>0</v>
      </c>
    </row>
    <row r="83" spans="1:13" x14ac:dyDescent="0.25">
      <c r="B83" s="966" t="str">
        <f t="shared" si="21"/>
        <v/>
      </c>
      <c r="C83" s="961" t="str">
        <f t="shared" si="22"/>
        <v/>
      </c>
      <c r="D83" s="961" t="str">
        <f t="shared" si="22"/>
        <v/>
      </c>
      <c r="E83" s="961" t="str">
        <f t="shared" si="22"/>
        <v/>
      </c>
      <c r="F83" s="961" t="str">
        <f t="shared" si="22"/>
        <v/>
      </c>
      <c r="G83" s="961" t="str">
        <f t="shared" si="22"/>
        <v/>
      </c>
      <c r="H83" s="961" t="str">
        <f t="shared" si="22"/>
        <v/>
      </c>
      <c r="I83" s="961" t="str">
        <f t="shared" si="22"/>
        <v/>
      </c>
      <c r="J83" s="961" t="str">
        <f t="shared" si="22"/>
        <v/>
      </c>
      <c r="K83" s="961" t="str">
        <f t="shared" si="22"/>
        <v/>
      </c>
      <c r="L83" s="961" t="str">
        <f t="shared" si="22"/>
        <v/>
      </c>
      <c r="M83" s="962">
        <f t="shared" si="9"/>
        <v>0</v>
      </c>
    </row>
    <row r="84" spans="1:13" x14ac:dyDescent="0.25">
      <c r="B84" s="966" t="str">
        <f t="shared" si="21"/>
        <v/>
      </c>
      <c r="C84" s="961" t="str">
        <f t="shared" si="22"/>
        <v/>
      </c>
      <c r="D84" s="961" t="str">
        <f t="shared" si="22"/>
        <v/>
      </c>
      <c r="E84" s="961" t="str">
        <f t="shared" si="22"/>
        <v/>
      </c>
      <c r="F84" s="961" t="str">
        <f t="shared" si="22"/>
        <v/>
      </c>
      <c r="G84" s="961" t="str">
        <f t="shared" si="22"/>
        <v/>
      </c>
      <c r="H84" s="961" t="str">
        <f t="shared" si="22"/>
        <v/>
      </c>
      <c r="I84" s="961" t="str">
        <f t="shared" si="22"/>
        <v/>
      </c>
      <c r="J84" s="961" t="str">
        <f t="shared" si="22"/>
        <v/>
      </c>
      <c r="K84" s="961" t="str">
        <f t="shared" si="22"/>
        <v/>
      </c>
      <c r="L84" s="961" t="str">
        <f t="shared" si="22"/>
        <v/>
      </c>
      <c r="M84" s="962">
        <f t="shared" si="9"/>
        <v>0</v>
      </c>
    </row>
    <row r="85" spans="1:13" x14ac:dyDescent="0.25">
      <c r="B85" s="966" t="str">
        <f t="shared" si="21"/>
        <v/>
      </c>
      <c r="C85" s="961" t="str">
        <f t="shared" si="22"/>
        <v/>
      </c>
      <c r="D85" s="961" t="str">
        <f t="shared" si="22"/>
        <v/>
      </c>
      <c r="E85" s="961" t="str">
        <f t="shared" si="22"/>
        <v/>
      </c>
      <c r="F85" s="961" t="str">
        <f t="shared" si="22"/>
        <v/>
      </c>
      <c r="G85" s="961" t="str">
        <f t="shared" si="22"/>
        <v/>
      </c>
      <c r="H85" s="961" t="str">
        <f t="shared" si="22"/>
        <v/>
      </c>
      <c r="I85" s="961" t="str">
        <f t="shared" si="22"/>
        <v/>
      </c>
      <c r="J85" s="961" t="str">
        <f t="shared" si="22"/>
        <v/>
      </c>
      <c r="K85" s="961" t="str">
        <f t="shared" si="22"/>
        <v/>
      </c>
      <c r="L85" s="961" t="str">
        <f t="shared" si="22"/>
        <v/>
      </c>
      <c r="M85" s="962">
        <f t="shared" si="9"/>
        <v>0</v>
      </c>
    </row>
    <row r="86" spans="1:13" x14ac:dyDescent="0.25">
      <c r="B86" s="966" t="str">
        <f t="shared" si="21"/>
        <v/>
      </c>
      <c r="C86" s="961" t="str">
        <f t="shared" si="22"/>
        <v/>
      </c>
      <c r="D86" s="961" t="str">
        <f t="shared" si="22"/>
        <v/>
      </c>
      <c r="E86" s="961" t="str">
        <f t="shared" si="22"/>
        <v/>
      </c>
      <c r="F86" s="961" t="str">
        <f t="shared" si="22"/>
        <v/>
      </c>
      <c r="G86" s="961" t="str">
        <f t="shared" si="22"/>
        <v/>
      </c>
      <c r="H86" s="961" t="str">
        <f t="shared" si="22"/>
        <v/>
      </c>
      <c r="I86" s="961" t="str">
        <f t="shared" si="22"/>
        <v/>
      </c>
      <c r="J86" s="961" t="str">
        <f t="shared" si="22"/>
        <v/>
      </c>
      <c r="K86" s="961" t="str">
        <f t="shared" si="22"/>
        <v/>
      </c>
      <c r="L86" s="961" t="str">
        <f t="shared" si="22"/>
        <v/>
      </c>
      <c r="M86" s="962">
        <f t="shared" si="9"/>
        <v>0</v>
      </c>
    </row>
    <row r="87" spans="1:13" x14ac:dyDescent="0.25">
      <c r="B87" s="966" t="str">
        <f t="shared" si="21"/>
        <v/>
      </c>
      <c r="C87" s="961" t="str">
        <f t="shared" si="22"/>
        <v/>
      </c>
      <c r="D87" s="961" t="str">
        <f t="shared" si="22"/>
        <v/>
      </c>
      <c r="E87" s="961" t="str">
        <f t="shared" si="22"/>
        <v/>
      </c>
      <c r="F87" s="961" t="str">
        <f t="shared" si="22"/>
        <v/>
      </c>
      <c r="G87" s="961" t="str">
        <f t="shared" si="22"/>
        <v/>
      </c>
      <c r="H87" s="961" t="str">
        <f t="shared" si="22"/>
        <v/>
      </c>
      <c r="I87" s="961" t="str">
        <f t="shared" si="22"/>
        <v/>
      </c>
      <c r="J87" s="961" t="str">
        <f t="shared" si="22"/>
        <v/>
      </c>
      <c r="K87" s="961" t="str">
        <f t="shared" si="22"/>
        <v/>
      </c>
      <c r="L87" s="961" t="str">
        <f t="shared" si="22"/>
        <v/>
      </c>
      <c r="M87" s="962">
        <f t="shared" si="9"/>
        <v>0</v>
      </c>
    </row>
    <row r="88" spans="1:13" ht="15.75" thickBot="1" x14ac:dyDescent="0.3">
      <c r="B88" s="966" t="str">
        <f t="shared" si="21"/>
        <v/>
      </c>
      <c r="C88" s="961" t="str">
        <f t="shared" si="22"/>
        <v/>
      </c>
      <c r="D88" s="961" t="str">
        <f t="shared" si="22"/>
        <v/>
      </c>
      <c r="E88" s="961" t="str">
        <f t="shared" si="22"/>
        <v/>
      </c>
      <c r="F88" s="961" t="str">
        <f t="shared" si="22"/>
        <v/>
      </c>
      <c r="G88" s="961" t="str">
        <f t="shared" si="22"/>
        <v/>
      </c>
      <c r="H88" s="961" t="str">
        <f t="shared" si="22"/>
        <v/>
      </c>
      <c r="I88" s="961" t="str">
        <f t="shared" si="22"/>
        <v/>
      </c>
      <c r="J88" s="961" t="str">
        <f t="shared" si="22"/>
        <v/>
      </c>
      <c r="K88" s="961" t="str">
        <f t="shared" si="22"/>
        <v/>
      </c>
      <c r="L88" s="961" t="str">
        <f t="shared" si="22"/>
        <v/>
      </c>
      <c r="M88" s="962">
        <f t="shared" si="9"/>
        <v>0</v>
      </c>
    </row>
    <row r="89" spans="1:13" ht="15.75" thickBot="1" x14ac:dyDescent="0.3">
      <c r="B89" s="963" t="s">
        <v>4979</v>
      </c>
      <c r="C89" s="967"/>
      <c r="D89" s="967"/>
      <c r="E89" s="967"/>
      <c r="F89" s="967"/>
      <c r="G89" s="967"/>
      <c r="H89" s="967"/>
      <c r="I89" s="967"/>
      <c r="J89" s="967"/>
      <c r="K89" s="967"/>
      <c r="L89" s="967"/>
      <c r="M89" s="968"/>
    </row>
    <row r="90" spans="1:13" x14ac:dyDescent="0.25">
      <c r="A90" s="869"/>
      <c r="B90" s="966" t="str">
        <f>IF(B6="","",B6)</f>
        <v/>
      </c>
      <c r="C90" s="961" t="str">
        <f>IFERROR(C66-C78,"")</f>
        <v/>
      </c>
      <c r="D90" s="961" t="str">
        <f t="shared" ref="D90:L90" si="23">IFERROR(D66-D78,"")</f>
        <v/>
      </c>
      <c r="E90" s="961" t="str">
        <f t="shared" si="23"/>
        <v/>
      </c>
      <c r="F90" s="961" t="str">
        <f t="shared" si="23"/>
        <v/>
      </c>
      <c r="G90" s="961" t="str">
        <f t="shared" si="23"/>
        <v/>
      </c>
      <c r="H90" s="961" t="str">
        <f t="shared" si="23"/>
        <v/>
      </c>
      <c r="I90" s="961" t="str">
        <f t="shared" si="23"/>
        <v/>
      </c>
      <c r="J90" s="961" t="str">
        <f t="shared" si="23"/>
        <v/>
      </c>
      <c r="K90" s="961" t="str">
        <f t="shared" si="23"/>
        <v/>
      </c>
      <c r="L90" s="961" t="str">
        <f t="shared" si="23"/>
        <v/>
      </c>
      <c r="M90" s="962">
        <f t="shared" si="9"/>
        <v>0</v>
      </c>
    </row>
    <row r="91" spans="1:13" x14ac:dyDescent="0.25">
      <c r="A91" s="869"/>
      <c r="B91" s="966" t="str">
        <f t="shared" ref="B91:B100" si="24">IF(B7="","",B7)</f>
        <v/>
      </c>
      <c r="C91" s="961" t="str">
        <f t="shared" ref="C91:L100" si="25">IFERROR(C67-C79,"")</f>
        <v/>
      </c>
      <c r="D91" s="961" t="str">
        <f t="shared" si="25"/>
        <v/>
      </c>
      <c r="E91" s="961" t="str">
        <f t="shared" si="25"/>
        <v/>
      </c>
      <c r="F91" s="961" t="str">
        <f t="shared" si="25"/>
        <v/>
      </c>
      <c r="G91" s="961" t="str">
        <f t="shared" si="25"/>
        <v/>
      </c>
      <c r="H91" s="961" t="str">
        <f t="shared" si="25"/>
        <v/>
      </c>
      <c r="I91" s="961" t="str">
        <f t="shared" si="25"/>
        <v/>
      </c>
      <c r="J91" s="961" t="str">
        <f t="shared" si="25"/>
        <v/>
      </c>
      <c r="K91" s="961" t="str">
        <f t="shared" si="25"/>
        <v/>
      </c>
      <c r="L91" s="961" t="str">
        <f t="shared" si="25"/>
        <v/>
      </c>
      <c r="M91" s="962">
        <f t="shared" si="9"/>
        <v>0</v>
      </c>
    </row>
    <row r="92" spans="1:13" x14ac:dyDescent="0.25">
      <c r="A92" s="869"/>
      <c r="B92" s="966" t="str">
        <f t="shared" si="24"/>
        <v/>
      </c>
      <c r="C92" s="961" t="str">
        <f t="shared" si="25"/>
        <v/>
      </c>
      <c r="D92" s="961" t="str">
        <f t="shared" si="25"/>
        <v/>
      </c>
      <c r="E92" s="961" t="str">
        <f t="shared" si="25"/>
        <v/>
      </c>
      <c r="F92" s="961" t="str">
        <f t="shared" si="25"/>
        <v/>
      </c>
      <c r="G92" s="961" t="str">
        <f t="shared" si="25"/>
        <v/>
      </c>
      <c r="H92" s="961" t="str">
        <f t="shared" si="25"/>
        <v/>
      </c>
      <c r="I92" s="961" t="str">
        <f t="shared" si="25"/>
        <v/>
      </c>
      <c r="J92" s="961" t="str">
        <f t="shared" si="25"/>
        <v/>
      </c>
      <c r="K92" s="961" t="str">
        <f t="shared" si="25"/>
        <v/>
      </c>
      <c r="L92" s="961" t="str">
        <f t="shared" si="25"/>
        <v/>
      </c>
      <c r="M92" s="962">
        <f t="shared" si="9"/>
        <v>0</v>
      </c>
    </row>
    <row r="93" spans="1:13" x14ac:dyDescent="0.25">
      <c r="A93" s="869"/>
      <c r="B93" s="966" t="str">
        <f t="shared" si="24"/>
        <v/>
      </c>
      <c r="C93" s="961" t="str">
        <f t="shared" si="25"/>
        <v/>
      </c>
      <c r="D93" s="961" t="str">
        <f t="shared" si="25"/>
        <v/>
      </c>
      <c r="E93" s="961" t="str">
        <f t="shared" si="25"/>
        <v/>
      </c>
      <c r="F93" s="961" t="str">
        <f t="shared" si="25"/>
        <v/>
      </c>
      <c r="G93" s="961" t="str">
        <f t="shared" si="25"/>
        <v/>
      </c>
      <c r="H93" s="961" t="str">
        <f t="shared" si="25"/>
        <v/>
      </c>
      <c r="I93" s="961" t="str">
        <f t="shared" si="25"/>
        <v/>
      </c>
      <c r="J93" s="961" t="str">
        <f t="shared" si="25"/>
        <v/>
      </c>
      <c r="K93" s="961" t="str">
        <f t="shared" si="25"/>
        <v/>
      </c>
      <c r="L93" s="961" t="str">
        <f t="shared" si="25"/>
        <v/>
      </c>
      <c r="M93" s="962">
        <f t="shared" si="9"/>
        <v>0</v>
      </c>
    </row>
    <row r="94" spans="1:13" x14ac:dyDescent="0.25">
      <c r="A94" s="869"/>
      <c r="B94" s="966" t="str">
        <f t="shared" si="24"/>
        <v/>
      </c>
      <c r="C94" s="961" t="str">
        <f t="shared" si="25"/>
        <v/>
      </c>
      <c r="D94" s="961" t="str">
        <f t="shared" si="25"/>
        <v/>
      </c>
      <c r="E94" s="961" t="str">
        <f t="shared" si="25"/>
        <v/>
      </c>
      <c r="F94" s="961" t="str">
        <f t="shared" si="25"/>
        <v/>
      </c>
      <c r="G94" s="961" t="str">
        <f t="shared" si="25"/>
        <v/>
      </c>
      <c r="H94" s="961" t="str">
        <f t="shared" si="25"/>
        <v/>
      </c>
      <c r="I94" s="961" t="str">
        <f t="shared" si="25"/>
        <v/>
      </c>
      <c r="J94" s="961" t="str">
        <f t="shared" si="25"/>
        <v/>
      </c>
      <c r="K94" s="961" t="str">
        <f t="shared" si="25"/>
        <v/>
      </c>
      <c r="L94" s="961" t="str">
        <f t="shared" si="25"/>
        <v/>
      </c>
      <c r="M94" s="962">
        <f t="shared" si="9"/>
        <v>0</v>
      </c>
    </row>
    <row r="95" spans="1:13" x14ac:dyDescent="0.25">
      <c r="A95" s="869"/>
      <c r="B95" s="966" t="str">
        <f t="shared" si="24"/>
        <v/>
      </c>
      <c r="C95" s="961" t="str">
        <f t="shared" si="25"/>
        <v/>
      </c>
      <c r="D95" s="961" t="str">
        <f t="shared" si="25"/>
        <v/>
      </c>
      <c r="E95" s="961" t="str">
        <f t="shared" si="25"/>
        <v/>
      </c>
      <c r="F95" s="961" t="str">
        <f t="shared" si="25"/>
        <v/>
      </c>
      <c r="G95" s="961" t="str">
        <f t="shared" si="25"/>
        <v/>
      </c>
      <c r="H95" s="961" t="str">
        <f t="shared" si="25"/>
        <v/>
      </c>
      <c r="I95" s="961" t="str">
        <f t="shared" si="25"/>
        <v/>
      </c>
      <c r="J95" s="961" t="str">
        <f t="shared" si="25"/>
        <v/>
      </c>
      <c r="K95" s="961" t="str">
        <f t="shared" si="25"/>
        <v/>
      </c>
      <c r="L95" s="961" t="str">
        <f t="shared" si="25"/>
        <v/>
      </c>
      <c r="M95" s="962">
        <f t="shared" ref="M95:M100" si="26">NPV($P$1,C95:L95)</f>
        <v>0</v>
      </c>
    </row>
    <row r="96" spans="1:13" x14ac:dyDescent="0.25">
      <c r="A96" s="869"/>
      <c r="B96" s="966" t="str">
        <f t="shared" si="24"/>
        <v/>
      </c>
      <c r="C96" s="961" t="str">
        <f t="shared" si="25"/>
        <v/>
      </c>
      <c r="D96" s="961" t="str">
        <f t="shared" si="25"/>
        <v/>
      </c>
      <c r="E96" s="961" t="str">
        <f t="shared" si="25"/>
        <v/>
      </c>
      <c r="F96" s="961" t="str">
        <f t="shared" si="25"/>
        <v/>
      </c>
      <c r="G96" s="961" t="str">
        <f t="shared" si="25"/>
        <v/>
      </c>
      <c r="H96" s="961" t="str">
        <f t="shared" si="25"/>
        <v/>
      </c>
      <c r="I96" s="961" t="str">
        <f t="shared" si="25"/>
        <v/>
      </c>
      <c r="J96" s="961" t="str">
        <f t="shared" si="25"/>
        <v/>
      </c>
      <c r="K96" s="961" t="str">
        <f t="shared" si="25"/>
        <v/>
      </c>
      <c r="L96" s="961" t="str">
        <f t="shared" si="25"/>
        <v/>
      </c>
      <c r="M96" s="962">
        <f t="shared" si="26"/>
        <v>0</v>
      </c>
    </row>
    <row r="97" spans="2:14" x14ac:dyDescent="0.25">
      <c r="B97" s="966" t="str">
        <f t="shared" si="24"/>
        <v/>
      </c>
      <c r="C97" s="961" t="str">
        <f t="shared" si="25"/>
        <v/>
      </c>
      <c r="D97" s="961" t="str">
        <f t="shared" si="25"/>
        <v/>
      </c>
      <c r="E97" s="961" t="str">
        <f t="shared" si="25"/>
        <v/>
      </c>
      <c r="F97" s="961" t="str">
        <f t="shared" si="25"/>
        <v/>
      </c>
      <c r="G97" s="961" t="str">
        <f t="shared" si="25"/>
        <v/>
      </c>
      <c r="H97" s="961" t="str">
        <f t="shared" si="25"/>
        <v/>
      </c>
      <c r="I97" s="961" t="str">
        <f t="shared" si="25"/>
        <v/>
      </c>
      <c r="J97" s="961" t="str">
        <f t="shared" si="25"/>
        <v/>
      </c>
      <c r="K97" s="961" t="str">
        <f t="shared" si="25"/>
        <v/>
      </c>
      <c r="L97" s="961" t="str">
        <f t="shared" si="25"/>
        <v/>
      </c>
      <c r="M97" s="962">
        <f t="shared" si="26"/>
        <v>0</v>
      </c>
    </row>
    <row r="98" spans="2:14" x14ac:dyDescent="0.25">
      <c r="B98" s="966" t="str">
        <f t="shared" si="24"/>
        <v/>
      </c>
      <c r="C98" s="961" t="str">
        <f t="shared" si="25"/>
        <v/>
      </c>
      <c r="D98" s="961" t="str">
        <f t="shared" si="25"/>
        <v/>
      </c>
      <c r="E98" s="961" t="str">
        <f t="shared" si="25"/>
        <v/>
      </c>
      <c r="F98" s="961" t="str">
        <f t="shared" si="25"/>
        <v/>
      </c>
      <c r="G98" s="961" t="str">
        <f t="shared" si="25"/>
        <v/>
      </c>
      <c r="H98" s="961" t="str">
        <f t="shared" si="25"/>
        <v/>
      </c>
      <c r="I98" s="961" t="str">
        <f t="shared" si="25"/>
        <v/>
      </c>
      <c r="J98" s="961" t="str">
        <f t="shared" si="25"/>
        <v/>
      </c>
      <c r="K98" s="961" t="str">
        <f t="shared" si="25"/>
        <v/>
      </c>
      <c r="L98" s="961" t="str">
        <f t="shared" si="25"/>
        <v/>
      </c>
      <c r="M98" s="962">
        <f t="shared" si="26"/>
        <v>0</v>
      </c>
    </row>
    <row r="99" spans="2:14" x14ac:dyDescent="0.25">
      <c r="B99" s="966" t="str">
        <f t="shared" si="24"/>
        <v/>
      </c>
      <c r="C99" s="961" t="str">
        <f t="shared" si="25"/>
        <v/>
      </c>
      <c r="D99" s="961" t="str">
        <f t="shared" si="25"/>
        <v/>
      </c>
      <c r="E99" s="961" t="str">
        <f t="shared" si="25"/>
        <v/>
      </c>
      <c r="F99" s="961" t="str">
        <f t="shared" si="25"/>
        <v/>
      </c>
      <c r="G99" s="961" t="str">
        <f t="shared" si="25"/>
        <v/>
      </c>
      <c r="H99" s="961" t="str">
        <f t="shared" si="25"/>
        <v/>
      </c>
      <c r="I99" s="961" t="str">
        <f t="shared" si="25"/>
        <v/>
      </c>
      <c r="J99" s="961" t="str">
        <f t="shared" si="25"/>
        <v/>
      </c>
      <c r="K99" s="961" t="str">
        <f t="shared" si="25"/>
        <v/>
      </c>
      <c r="L99" s="961" t="str">
        <f t="shared" si="25"/>
        <v/>
      </c>
      <c r="M99" s="962">
        <f t="shared" si="26"/>
        <v>0</v>
      </c>
    </row>
    <row r="100" spans="2:14" ht="15.75" thickBot="1" x14ac:dyDescent="0.3">
      <c r="B100" s="966" t="str">
        <f t="shared" si="24"/>
        <v/>
      </c>
      <c r="C100" s="961" t="str">
        <f t="shared" si="25"/>
        <v/>
      </c>
      <c r="D100" s="961" t="str">
        <f t="shared" si="25"/>
        <v/>
      </c>
      <c r="E100" s="961" t="str">
        <f t="shared" si="25"/>
        <v/>
      </c>
      <c r="F100" s="961" t="str">
        <f t="shared" si="25"/>
        <v/>
      </c>
      <c r="G100" s="961" t="str">
        <f t="shared" si="25"/>
        <v/>
      </c>
      <c r="H100" s="961" t="str">
        <f t="shared" si="25"/>
        <v/>
      </c>
      <c r="I100" s="961" t="str">
        <f t="shared" si="25"/>
        <v/>
      </c>
      <c r="J100" s="961" t="str">
        <f t="shared" si="25"/>
        <v/>
      </c>
      <c r="K100" s="961" t="str">
        <f t="shared" si="25"/>
        <v/>
      </c>
      <c r="L100" s="961" t="str">
        <f t="shared" si="25"/>
        <v/>
      </c>
      <c r="M100" s="962">
        <f t="shared" si="26"/>
        <v>0</v>
      </c>
    </row>
    <row r="101" spans="2:14" ht="15.75" thickBot="1" x14ac:dyDescent="0.3">
      <c r="B101" s="963" t="s">
        <v>4770</v>
      </c>
      <c r="C101" s="970">
        <f t="shared" ref="C101:M101" si="27">SUM(C90:C100)</f>
        <v>0</v>
      </c>
      <c r="D101" s="970">
        <f t="shared" si="27"/>
        <v>0</v>
      </c>
      <c r="E101" s="970">
        <f t="shared" si="27"/>
        <v>0</v>
      </c>
      <c r="F101" s="970">
        <f t="shared" si="27"/>
        <v>0</v>
      </c>
      <c r="G101" s="970">
        <f t="shared" si="27"/>
        <v>0</v>
      </c>
      <c r="H101" s="970">
        <f t="shared" si="27"/>
        <v>0</v>
      </c>
      <c r="I101" s="970">
        <f t="shared" si="27"/>
        <v>0</v>
      </c>
      <c r="J101" s="970">
        <f t="shared" si="27"/>
        <v>0</v>
      </c>
      <c r="K101" s="970">
        <f t="shared" si="27"/>
        <v>0</v>
      </c>
      <c r="L101" s="970">
        <f t="shared" si="27"/>
        <v>0</v>
      </c>
      <c r="M101" s="968">
        <f t="shared" si="27"/>
        <v>0</v>
      </c>
    </row>
    <row r="102" spans="2:14" x14ac:dyDescent="0.25">
      <c r="B102" s="971"/>
      <c r="C102" s="972"/>
      <c r="D102" s="972"/>
      <c r="E102" s="972"/>
      <c r="F102" s="972"/>
      <c r="G102" s="972"/>
      <c r="H102" s="972"/>
      <c r="I102" s="972"/>
      <c r="J102" s="972"/>
      <c r="K102" s="972"/>
      <c r="L102" s="972"/>
      <c r="M102" s="973"/>
    </row>
    <row r="103" spans="2:14" x14ac:dyDescent="0.25">
      <c r="B103" s="974" t="s">
        <v>4980</v>
      </c>
      <c r="C103" s="975">
        <f>1/(1+$P$1)^C4</f>
        <v>0.92592592592592582</v>
      </c>
      <c r="D103" s="975">
        <f t="shared" ref="D103:L103" si="28">1/(1+$P$1)^D4</f>
        <v>0.85733882030178321</v>
      </c>
      <c r="E103" s="975">
        <f t="shared" si="28"/>
        <v>0.79383224102016958</v>
      </c>
      <c r="F103" s="975">
        <f t="shared" si="28"/>
        <v>0.73502985279645328</v>
      </c>
      <c r="G103" s="975">
        <f t="shared" si="28"/>
        <v>0.68058319703375303</v>
      </c>
      <c r="H103" s="975">
        <f t="shared" si="28"/>
        <v>0.63016962688310452</v>
      </c>
      <c r="I103" s="975">
        <f t="shared" si="28"/>
        <v>0.58349039526213387</v>
      </c>
      <c r="J103" s="975">
        <f t="shared" si="28"/>
        <v>0.54026888450197574</v>
      </c>
      <c r="K103" s="975">
        <f t="shared" si="28"/>
        <v>0.50024896713145905</v>
      </c>
      <c r="L103" s="975">
        <f t="shared" si="28"/>
        <v>0.46319348808468425</v>
      </c>
      <c r="M103" s="976">
        <v>1</v>
      </c>
    </row>
    <row r="104" spans="2:14" ht="15.75" thickBot="1" x14ac:dyDescent="0.3">
      <c r="B104" s="971"/>
      <c r="C104" s="972"/>
      <c r="D104" s="972"/>
      <c r="E104" s="972"/>
      <c r="F104" s="972"/>
      <c r="G104" s="972"/>
      <c r="H104" s="972"/>
      <c r="I104" s="972"/>
      <c r="J104" s="972"/>
      <c r="K104" s="972"/>
      <c r="L104" s="972"/>
      <c r="M104" s="973"/>
    </row>
    <row r="105" spans="2:14" ht="15.75" thickBot="1" x14ac:dyDescent="0.3">
      <c r="B105" s="977" t="s">
        <v>4981</v>
      </c>
      <c r="C105" s="978">
        <f>C101*C103</f>
        <v>0</v>
      </c>
      <c r="D105" s="978">
        <f t="shared" ref="D105:K105" si="29">D101*D103</f>
        <v>0</v>
      </c>
      <c r="E105" s="978">
        <f t="shared" si="29"/>
        <v>0</v>
      </c>
      <c r="F105" s="978">
        <f t="shared" si="29"/>
        <v>0</v>
      </c>
      <c r="G105" s="978">
        <f t="shared" si="29"/>
        <v>0</v>
      </c>
      <c r="H105" s="978">
        <f t="shared" si="29"/>
        <v>0</v>
      </c>
      <c r="I105" s="978">
        <f t="shared" si="29"/>
        <v>0</v>
      </c>
      <c r="J105" s="978">
        <f t="shared" si="29"/>
        <v>0</v>
      </c>
      <c r="K105" s="978">
        <f t="shared" si="29"/>
        <v>0</v>
      </c>
      <c r="L105" s="978">
        <f>L101*L103</f>
        <v>0</v>
      </c>
      <c r="M105" s="979">
        <f>M101*M103</f>
        <v>0</v>
      </c>
      <c r="N105" s="869"/>
    </row>
    <row r="106" spans="2:14" ht="15.75" thickBot="1" x14ac:dyDescent="0.3">
      <c r="B106" s="980"/>
      <c r="C106" s="981"/>
      <c r="D106" s="981"/>
      <c r="E106" s="981"/>
      <c r="F106" s="981"/>
      <c r="G106" s="981"/>
      <c r="H106" s="981"/>
      <c r="I106" s="981"/>
      <c r="J106" s="981"/>
      <c r="K106" s="981"/>
      <c r="L106" s="982"/>
      <c r="M106" s="983"/>
    </row>
    <row r="107" spans="2:14" x14ac:dyDescent="0.25">
      <c r="B107" s="869"/>
      <c r="C107" s="869"/>
      <c r="D107" s="869"/>
      <c r="E107" s="869"/>
      <c r="F107" s="869"/>
      <c r="G107" s="869"/>
      <c r="H107" s="869"/>
      <c r="I107" s="869"/>
      <c r="J107" s="869"/>
      <c r="K107" s="869"/>
      <c r="L107" s="869"/>
      <c r="M107" s="869"/>
    </row>
    <row r="108" spans="2:14" ht="18" x14ac:dyDescent="0.25">
      <c r="B108" s="2000" t="s">
        <v>4982</v>
      </c>
      <c r="C108" s="2000"/>
      <c r="D108" s="2000"/>
      <c r="E108" s="2000"/>
      <c r="F108" s="2000"/>
      <c r="G108" s="2000"/>
      <c r="H108" s="2000"/>
      <c r="I108" s="2000"/>
      <c r="J108" s="2000"/>
      <c r="K108" s="2000"/>
      <c r="L108" s="2000"/>
      <c r="M108" s="2000"/>
    </row>
    <row r="109" spans="2:14" ht="15.75" thickBot="1" x14ac:dyDescent="0.3">
      <c r="B109" s="869"/>
      <c r="C109" s="869"/>
      <c r="D109" s="869"/>
      <c r="E109" s="869"/>
      <c r="F109" s="869"/>
      <c r="G109" s="869"/>
      <c r="H109" s="869"/>
      <c r="I109" s="869"/>
      <c r="J109" s="869"/>
      <c r="K109" s="869"/>
      <c r="L109" s="869"/>
      <c r="M109" s="869"/>
    </row>
    <row r="110" spans="2:14" ht="15.75" thickBot="1" x14ac:dyDescent="0.3">
      <c r="B110" s="2001" t="s">
        <v>4969</v>
      </c>
      <c r="C110" s="2003" t="s">
        <v>4970</v>
      </c>
      <c r="D110" s="2003"/>
      <c r="E110" s="2003"/>
      <c r="F110" s="2003"/>
      <c r="G110" s="2003"/>
      <c r="H110" s="2003"/>
      <c r="I110" s="2003"/>
      <c r="J110" s="2003"/>
      <c r="K110" s="2003"/>
      <c r="L110" s="2003"/>
      <c r="M110" s="2004" t="s">
        <v>4971</v>
      </c>
    </row>
    <row r="111" spans="2:14" ht="15.75" thickBot="1" x14ac:dyDescent="0.3">
      <c r="B111" s="2002"/>
      <c r="C111" s="954">
        <v>1</v>
      </c>
      <c r="D111" s="954">
        <v>2</v>
      </c>
      <c r="E111" s="954">
        <v>3</v>
      </c>
      <c r="F111" s="954">
        <v>4</v>
      </c>
      <c r="G111" s="954">
        <v>5</v>
      </c>
      <c r="H111" s="954">
        <v>6</v>
      </c>
      <c r="I111" s="954">
        <v>7</v>
      </c>
      <c r="J111" s="954">
        <v>8</v>
      </c>
      <c r="K111" s="954">
        <v>9</v>
      </c>
      <c r="L111" s="954">
        <v>10</v>
      </c>
      <c r="M111" s="2005"/>
    </row>
    <row r="112" spans="2:14" ht="15.75" thickBot="1" x14ac:dyDescent="0.3">
      <c r="B112" s="984"/>
      <c r="C112" s="985"/>
      <c r="D112" s="985"/>
      <c r="E112" s="985"/>
      <c r="F112" s="985"/>
      <c r="G112" s="985"/>
      <c r="H112" s="985"/>
      <c r="I112" s="985"/>
      <c r="J112" s="985"/>
      <c r="K112" s="985"/>
      <c r="L112" s="985"/>
      <c r="M112" s="986"/>
    </row>
    <row r="113" spans="2:13" ht="15.75" thickBot="1" x14ac:dyDescent="0.3">
      <c r="B113" s="987"/>
      <c r="C113" s="988"/>
      <c r="D113" s="988"/>
      <c r="E113" s="988"/>
      <c r="F113" s="988"/>
      <c r="G113" s="988"/>
      <c r="H113" s="988"/>
      <c r="I113" s="988"/>
      <c r="J113" s="988"/>
      <c r="K113" s="988"/>
      <c r="L113" s="989"/>
      <c r="M113" s="990"/>
    </row>
    <row r="114" spans="2:13" ht="15.75" thickBot="1" x14ac:dyDescent="0.3">
      <c r="B114" s="963" t="s">
        <v>4972</v>
      </c>
      <c r="C114" s="967"/>
      <c r="D114" s="967"/>
      <c r="E114" s="967"/>
      <c r="F114" s="967"/>
      <c r="G114" s="967"/>
      <c r="H114" s="967"/>
      <c r="I114" s="967"/>
      <c r="J114" s="967"/>
      <c r="K114" s="967"/>
      <c r="L114" s="970"/>
      <c r="M114" s="968"/>
    </row>
    <row r="115" spans="2:13" x14ac:dyDescent="0.25">
      <c r="B115" s="966" t="str">
        <f>IF(ReporteBalance!G101="","",ReporteBalance!G101)</f>
        <v/>
      </c>
      <c r="C115" s="961" t="str">
        <f>IF(ReporteBalance!K101="","",ReporteBalance!K101)</f>
        <v/>
      </c>
      <c r="D115" s="961" t="str">
        <f>C115</f>
        <v/>
      </c>
      <c r="E115" s="961" t="str">
        <f t="shared" ref="E115:L115" si="30">D115</f>
        <v/>
      </c>
      <c r="F115" s="961" t="str">
        <f t="shared" si="30"/>
        <v/>
      </c>
      <c r="G115" s="961" t="str">
        <f t="shared" si="30"/>
        <v/>
      </c>
      <c r="H115" s="961" t="str">
        <f t="shared" si="30"/>
        <v/>
      </c>
      <c r="I115" s="961" t="str">
        <f t="shared" si="30"/>
        <v/>
      </c>
      <c r="J115" s="961" t="str">
        <f t="shared" si="30"/>
        <v/>
      </c>
      <c r="K115" s="961" t="str">
        <f t="shared" si="30"/>
        <v/>
      </c>
      <c r="L115" s="961" t="str">
        <f t="shared" si="30"/>
        <v/>
      </c>
      <c r="M115" s="962">
        <f t="shared" ref="M115:M125" si="31">NPV($P$1,C115:L115)</f>
        <v>0</v>
      </c>
    </row>
    <row r="116" spans="2:13" x14ac:dyDescent="0.25">
      <c r="B116" s="966" t="str">
        <f>IF(ReporteBalance!G102="","",ReporteBalance!G102)</f>
        <v/>
      </c>
      <c r="C116" s="961" t="str">
        <f>IF(ReporteBalance!K102="","",ReporteBalance!K102)</f>
        <v/>
      </c>
      <c r="D116" s="961" t="str">
        <f t="shared" ref="D116:L125" si="32">C116</f>
        <v/>
      </c>
      <c r="E116" s="961" t="str">
        <f t="shared" si="32"/>
        <v/>
      </c>
      <c r="F116" s="961" t="str">
        <f t="shared" si="32"/>
        <v/>
      </c>
      <c r="G116" s="961" t="str">
        <f t="shared" si="32"/>
        <v/>
      </c>
      <c r="H116" s="961" t="str">
        <f t="shared" si="32"/>
        <v/>
      </c>
      <c r="I116" s="961" t="str">
        <f t="shared" si="32"/>
        <v/>
      </c>
      <c r="J116" s="961" t="str">
        <f t="shared" si="32"/>
        <v/>
      </c>
      <c r="K116" s="961" t="str">
        <f t="shared" si="32"/>
        <v/>
      </c>
      <c r="L116" s="961" t="str">
        <f t="shared" si="32"/>
        <v/>
      </c>
      <c r="M116" s="962">
        <f t="shared" si="31"/>
        <v>0</v>
      </c>
    </row>
    <row r="117" spans="2:13" x14ac:dyDescent="0.25">
      <c r="B117" s="966" t="str">
        <f>IF(ReporteBalance!G103="","",ReporteBalance!G103)</f>
        <v/>
      </c>
      <c r="C117" s="961" t="str">
        <f>IF(ReporteBalance!K103="","",ReporteBalance!K103)</f>
        <v/>
      </c>
      <c r="D117" s="961" t="str">
        <f t="shared" si="32"/>
        <v/>
      </c>
      <c r="E117" s="961" t="str">
        <f t="shared" si="32"/>
        <v/>
      </c>
      <c r="F117" s="961" t="str">
        <f t="shared" si="32"/>
        <v/>
      </c>
      <c r="G117" s="961" t="str">
        <f t="shared" si="32"/>
        <v/>
      </c>
      <c r="H117" s="961" t="str">
        <f t="shared" si="32"/>
        <v/>
      </c>
      <c r="I117" s="961" t="str">
        <f t="shared" si="32"/>
        <v/>
      </c>
      <c r="J117" s="961" t="str">
        <f t="shared" si="32"/>
        <v/>
      </c>
      <c r="K117" s="961" t="str">
        <f t="shared" si="32"/>
        <v/>
      </c>
      <c r="L117" s="961" t="str">
        <f t="shared" si="32"/>
        <v/>
      </c>
      <c r="M117" s="962">
        <f t="shared" si="31"/>
        <v>0</v>
      </c>
    </row>
    <row r="118" spans="2:13" x14ac:dyDescent="0.25">
      <c r="B118" s="966" t="str">
        <f>IF(ReporteBalance!G104="","",ReporteBalance!G104)</f>
        <v/>
      </c>
      <c r="C118" s="961" t="str">
        <f>IF(ReporteBalance!K104="","",ReporteBalance!K104)</f>
        <v/>
      </c>
      <c r="D118" s="961" t="str">
        <f t="shared" si="32"/>
        <v/>
      </c>
      <c r="E118" s="961" t="str">
        <f t="shared" si="32"/>
        <v/>
      </c>
      <c r="F118" s="961" t="str">
        <f t="shared" si="32"/>
        <v/>
      </c>
      <c r="G118" s="961" t="str">
        <f t="shared" si="32"/>
        <v/>
      </c>
      <c r="H118" s="961" t="str">
        <f t="shared" si="32"/>
        <v/>
      </c>
      <c r="I118" s="961" t="str">
        <f t="shared" si="32"/>
        <v/>
      </c>
      <c r="J118" s="961" t="str">
        <f t="shared" si="32"/>
        <v/>
      </c>
      <c r="K118" s="961" t="str">
        <f t="shared" si="32"/>
        <v/>
      </c>
      <c r="L118" s="961" t="str">
        <f t="shared" si="32"/>
        <v/>
      </c>
      <c r="M118" s="962">
        <f t="shared" si="31"/>
        <v>0</v>
      </c>
    </row>
    <row r="119" spans="2:13" x14ac:dyDescent="0.25">
      <c r="B119" s="966" t="str">
        <f>IF(ReporteBalance!G105="","",ReporteBalance!G105)</f>
        <v/>
      </c>
      <c r="C119" s="961" t="str">
        <f>IF(ReporteBalance!K105="","",ReporteBalance!K105)</f>
        <v/>
      </c>
      <c r="D119" s="961" t="str">
        <f t="shared" si="32"/>
        <v/>
      </c>
      <c r="E119" s="961" t="str">
        <f t="shared" si="32"/>
        <v/>
      </c>
      <c r="F119" s="961" t="str">
        <f t="shared" si="32"/>
        <v/>
      </c>
      <c r="G119" s="961" t="str">
        <f t="shared" si="32"/>
        <v/>
      </c>
      <c r="H119" s="961" t="str">
        <f t="shared" si="32"/>
        <v/>
      </c>
      <c r="I119" s="961" t="str">
        <f t="shared" si="32"/>
        <v/>
      </c>
      <c r="J119" s="961" t="str">
        <f t="shared" si="32"/>
        <v/>
      </c>
      <c r="K119" s="961" t="str">
        <f t="shared" si="32"/>
        <v/>
      </c>
      <c r="L119" s="961" t="str">
        <f t="shared" si="32"/>
        <v/>
      </c>
      <c r="M119" s="962">
        <f t="shared" si="31"/>
        <v>0</v>
      </c>
    </row>
    <row r="120" spans="2:13" x14ac:dyDescent="0.25">
      <c r="B120" s="966" t="str">
        <f>IF(ReporteBalance!G106="","",ReporteBalance!G106)</f>
        <v/>
      </c>
      <c r="C120" s="961" t="str">
        <f>IF(ReporteBalance!K106="","",ReporteBalance!K106)</f>
        <v/>
      </c>
      <c r="D120" s="961" t="str">
        <f t="shared" si="32"/>
        <v/>
      </c>
      <c r="E120" s="961" t="str">
        <f t="shared" si="32"/>
        <v/>
      </c>
      <c r="F120" s="961" t="str">
        <f t="shared" si="32"/>
        <v/>
      </c>
      <c r="G120" s="961" t="str">
        <f t="shared" si="32"/>
        <v/>
      </c>
      <c r="H120" s="961" t="str">
        <f t="shared" si="32"/>
        <v/>
      </c>
      <c r="I120" s="961" t="str">
        <f t="shared" si="32"/>
        <v/>
      </c>
      <c r="J120" s="961" t="str">
        <f t="shared" si="32"/>
        <v/>
      </c>
      <c r="K120" s="961" t="str">
        <f t="shared" si="32"/>
        <v/>
      </c>
      <c r="L120" s="961" t="str">
        <f t="shared" si="32"/>
        <v/>
      </c>
      <c r="M120" s="962">
        <f t="shared" si="31"/>
        <v>0</v>
      </c>
    </row>
    <row r="121" spans="2:13" x14ac:dyDescent="0.25">
      <c r="B121" s="966" t="str">
        <f>IF(ReporteBalance!G107="","",ReporteBalance!G107)</f>
        <v/>
      </c>
      <c r="C121" s="961" t="str">
        <f>IF(ReporteBalance!K107="","",ReporteBalance!K107)</f>
        <v/>
      </c>
      <c r="D121" s="961" t="str">
        <f t="shared" si="32"/>
        <v/>
      </c>
      <c r="E121" s="961" t="str">
        <f t="shared" si="32"/>
        <v/>
      </c>
      <c r="F121" s="961" t="str">
        <f t="shared" si="32"/>
        <v/>
      </c>
      <c r="G121" s="961" t="str">
        <f t="shared" si="32"/>
        <v/>
      </c>
      <c r="H121" s="961" t="str">
        <f t="shared" si="32"/>
        <v/>
      </c>
      <c r="I121" s="961" t="str">
        <f t="shared" si="32"/>
        <v/>
      </c>
      <c r="J121" s="961" t="str">
        <f t="shared" si="32"/>
        <v/>
      </c>
      <c r="K121" s="961" t="str">
        <f t="shared" si="32"/>
        <v/>
      </c>
      <c r="L121" s="961" t="str">
        <f t="shared" si="32"/>
        <v/>
      </c>
      <c r="M121" s="962">
        <f t="shared" si="31"/>
        <v>0</v>
      </c>
    </row>
    <row r="122" spans="2:13" x14ac:dyDescent="0.25">
      <c r="B122" s="966" t="str">
        <f>IF(ReporteBalance!G108="","",ReporteBalance!G108)</f>
        <v/>
      </c>
      <c r="C122" s="961" t="str">
        <f>IF(ReporteBalance!K108="","",ReporteBalance!K108)</f>
        <v/>
      </c>
      <c r="D122" s="961" t="str">
        <f t="shared" si="32"/>
        <v/>
      </c>
      <c r="E122" s="961" t="str">
        <f t="shared" si="32"/>
        <v/>
      </c>
      <c r="F122" s="961" t="str">
        <f t="shared" si="32"/>
        <v/>
      </c>
      <c r="G122" s="961" t="str">
        <f t="shared" si="32"/>
        <v/>
      </c>
      <c r="H122" s="961" t="str">
        <f t="shared" si="32"/>
        <v/>
      </c>
      <c r="I122" s="961" t="str">
        <f t="shared" si="32"/>
        <v/>
      </c>
      <c r="J122" s="961" t="str">
        <f t="shared" si="32"/>
        <v/>
      </c>
      <c r="K122" s="961" t="str">
        <f t="shared" si="32"/>
        <v/>
      </c>
      <c r="L122" s="961" t="str">
        <f t="shared" si="32"/>
        <v/>
      </c>
      <c r="M122" s="962">
        <f t="shared" si="31"/>
        <v>0</v>
      </c>
    </row>
    <row r="123" spans="2:13" x14ac:dyDescent="0.25">
      <c r="B123" s="966" t="str">
        <f>IF(ReporteBalance!G109="","",ReporteBalance!G109)</f>
        <v/>
      </c>
      <c r="C123" s="961" t="str">
        <f>IF(ReporteBalance!K109="","",ReporteBalance!K109)</f>
        <v/>
      </c>
      <c r="D123" s="961" t="str">
        <f t="shared" si="32"/>
        <v/>
      </c>
      <c r="E123" s="961" t="str">
        <f t="shared" si="32"/>
        <v/>
      </c>
      <c r="F123" s="961" t="str">
        <f t="shared" si="32"/>
        <v/>
      </c>
      <c r="G123" s="961" t="str">
        <f t="shared" si="32"/>
        <v/>
      </c>
      <c r="H123" s="961" t="str">
        <f t="shared" si="32"/>
        <v/>
      </c>
      <c r="I123" s="961" t="str">
        <f t="shared" si="32"/>
        <v/>
      </c>
      <c r="J123" s="961" t="str">
        <f t="shared" si="32"/>
        <v/>
      </c>
      <c r="K123" s="961" t="str">
        <f t="shared" si="32"/>
        <v/>
      </c>
      <c r="L123" s="961" t="str">
        <f t="shared" si="32"/>
        <v/>
      </c>
      <c r="M123" s="962">
        <f t="shared" si="31"/>
        <v>0</v>
      </c>
    </row>
    <row r="124" spans="2:13" x14ac:dyDescent="0.25">
      <c r="B124" s="966" t="str">
        <f>IF(ReporteBalance!G110="","",ReporteBalance!G110)</f>
        <v/>
      </c>
      <c r="C124" s="961" t="str">
        <f>IF(ReporteBalance!K110="","",ReporteBalance!K110)</f>
        <v/>
      </c>
      <c r="D124" s="961" t="str">
        <f t="shared" si="32"/>
        <v/>
      </c>
      <c r="E124" s="961" t="str">
        <f t="shared" si="32"/>
        <v/>
      </c>
      <c r="F124" s="961" t="str">
        <f t="shared" si="32"/>
        <v/>
      </c>
      <c r="G124" s="961" t="str">
        <f t="shared" si="32"/>
        <v/>
      </c>
      <c r="H124" s="961" t="str">
        <f t="shared" si="32"/>
        <v/>
      </c>
      <c r="I124" s="961" t="str">
        <f t="shared" si="32"/>
        <v/>
      </c>
      <c r="J124" s="961" t="str">
        <f t="shared" si="32"/>
        <v/>
      </c>
      <c r="K124" s="961" t="str">
        <f t="shared" si="32"/>
        <v/>
      </c>
      <c r="L124" s="961" t="str">
        <f t="shared" si="32"/>
        <v/>
      </c>
      <c r="M124" s="962">
        <f t="shared" si="31"/>
        <v>0</v>
      </c>
    </row>
    <row r="125" spans="2:13" ht="15.75" thickBot="1" x14ac:dyDescent="0.3">
      <c r="B125" s="966" t="str">
        <f>IF(ReporteBalance!G111="","",ReporteBalance!G111)</f>
        <v/>
      </c>
      <c r="C125" s="961" t="str">
        <f>IF(ReporteBalance!K111="","",ReporteBalance!K111)</f>
        <v/>
      </c>
      <c r="D125" s="961" t="str">
        <f t="shared" si="32"/>
        <v/>
      </c>
      <c r="E125" s="961" t="str">
        <f t="shared" si="32"/>
        <v/>
      </c>
      <c r="F125" s="961" t="str">
        <f t="shared" si="32"/>
        <v/>
      </c>
      <c r="G125" s="961" t="str">
        <f t="shared" si="32"/>
        <v/>
      </c>
      <c r="H125" s="961" t="str">
        <f t="shared" si="32"/>
        <v/>
      </c>
      <c r="I125" s="961" t="str">
        <f t="shared" si="32"/>
        <v/>
      </c>
      <c r="J125" s="961" t="str">
        <f t="shared" si="32"/>
        <v/>
      </c>
      <c r="K125" s="961" t="str">
        <f t="shared" si="32"/>
        <v/>
      </c>
      <c r="L125" s="961" t="str">
        <f t="shared" si="32"/>
        <v/>
      </c>
      <c r="M125" s="962">
        <f t="shared" si="31"/>
        <v>0</v>
      </c>
    </row>
    <row r="126" spans="2:13" ht="15.75" thickBot="1" x14ac:dyDescent="0.3">
      <c r="B126" s="963" t="s">
        <v>4983</v>
      </c>
      <c r="C126" s="967"/>
      <c r="D126" s="967"/>
      <c r="E126" s="967"/>
      <c r="F126" s="967"/>
      <c r="G126" s="967"/>
      <c r="H126" s="967"/>
      <c r="I126" s="967"/>
      <c r="J126" s="967"/>
      <c r="K126" s="967"/>
      <c r="L126" s="967"/>
      <c r="M126" s="968"/>
    </row>
    <row r="127" spans="2:13" x14ac:dyDescent="0.25">
      <c r="B127" s="966" t="str">
        <f>IF(B115="","",B115)</f>
        <v/>
      </c>
      <c r="C127" s="1006"/>
      <c r="D127" s="961" t="str">
        <f>IF(C127="","",C127)</f>
        <v/>
      </c>
      <c r="E127" s="961" t="str">
        <f t="shared" ref="E127:L137" si="33">D127</f>
        <v/>
      </c>
      <c r="F127" s="961" t="str">
        <f t="shared" si="33"/>
        <v/>
      </c>
      <c r="G127" s="961" t="str">
        <f t="shared" si="33"/>
        <v/>
      </c>
      <c r="H127" s="961" t="str">
        <f t="shared" si="33"/>
        <v/>
      </c>
      <c r="I127" s="961" t="str">
        <f t="shared" si="33"/>
        <v/>
      </c>
      <c r="J127" s="961" t="str">
        <f t="shared" si="33"/>
        <v/>
      </c>
      <c r="K127" s="961" t="str">
        <f t="shared" si="33"/>
        <v/>
      </c>
      <c r="L127" s="961" t="str">
        <f t="shared" si="33"/>
        <v/>
      </c>
      <c r="M127" s="962">
        <f t="shared" ref="M127:M137" si="34">NPV($P$1,C127:L127)</f>
        <v>0</v>
      </c>
    </row>
    <row r="128" spans="2:13" x14ac:dyDescent="0.25">
      <c r="B128" s="966" t="str">
        <f t="shared" ref="B128:B137" si="35">IF(B116="","",B116)</f>
        <v/>
      </c>
      <c r="C128" s="1006"/>
      <c r="D128" s="961" t="str">
        <f t="shared" ref="D128:D137" si="36">IF(C128="","",C128)</f>
        <v/>
      </c>
      <c r="E128" s="961" t="str">
        <f t="shared" si="33"/>
        <v/>
      </c>
      <c r="F128" s="961" t="str">
        <f t="shared" si="33"/>
        <v/>
      </c>
      <c r="G128" s="961" t="str">
        <f t="shared" si="33"/>
        <v/>
      </c>
      <c r="H128" s="961" t="str">
        <f t="shared" si="33"/>
        <v/>
      </c>
      <c r="I128" s="961" t="str">
        <f t="shared" si="33"/>
        <v/>
      </c>
      <c r="J128" s="961" t="str">
        <f t="shared" si="33"/>
        <v/>
      </c>
      <c r="K128" s="961" t="str">
        <f t="shared" si="33"/>
        <v/>
      </c>
      <c r="L128" s="961" t="str">
        <f t="shared" si="33"/>
        <v/>
      </c>
      <c r="M128" s="962">
        <f t="shared" si="34"/>
        <v>0</v>
      </c>
    </row>
    <row r="129" spans="2:13" x14ac:dyDescent="0.25">
      <c r="B129" s="966" t="str">
        <f t="shared" si="35"/>
        <v/>
      </c>
      <c r="C129" s="1006"/>
      <c r="D129" s="961" t="str">
        <f t="shared" si="36"/>
        <v/>
      </c>
      <c r="E129" s="961" t="str">
        <f t="shared" si="33"/>
        <v/>
      </c>
      <c r="F129" s="961" t="str">
        <f t="shared" si="33"/>
        <v/>
      </c>
      <c r="G129" s="961" t="str">
        <f t="shared" si="33"/>
        <v/>
      </c>
      <c r="H129" s="961" t="str">
        <f t="shared" si="33"/>
        <v/>
      </c>
      <c r="I129" s="961" t="str">
        <f t="shared" si="33"/>
        <v/>
      </c>
      <c r="J129" s="961" t="str">
        <f t="shared" si="33"/>
        <v/>
      </c>
      <c r="K129" s="961" t="str">
        <f t="shared" si="33"/>
        <v/>
      </c>
      <c r="L129" s="961" t="str">
        <f t="shared" si="33"/>
        <v/>
      </c>
      <c r="M129" s="962">
        <f t="shared" si="34"/>
        <v>0</v>
      </c>
    </row>
    <row r="130" spans="2:13" x14ac:dyDescent="0.25">
      <c r="B130" s="966" t="str">
        <f t="shared" si="35"/>
        <v/>
      </c>
      <c r="C130" s="1006"/>
      <c r="D130" s="961" t="str">
        <f t="shared" si="36"/>
        <v/>
      </c>
      <c r="E130" s="961" t="str">
        <f t="shared" si="33"/>
        <v/>
      </c>
      <c r="F130" s="961" t="str">
        <f t="shared" si="33"/>
        <v/>
      </c>
      <c r="G130" s="961" t="str">
        <f t="shared" si="33"/>
        <v/>
      </c>
      <c r="H130" s="961" t="str">
        <f t="shared" si="33"/>
        <v/>
      </c>
      <c r="I130" s="961" t="str">
        <f t="shared" si="33"/>
        <v/>
      </c>
      <c r="J130" s="961" t="str">
        <f t="shared" si="33"/>
        <v/>
      </c>
      <c r="K130" s="961" t="str">
        <f t="shared" si="33"/>
        <v/>
      </c>
      <c r="L130" s="961" t="str">
        <f t="shared" si="33"/>
        <v/>
      </c>
      <c r="M130" s="962">
        <f t="shared" si="34"/>
        <v>0</v>
      </c>
    </row>
    <row r="131" spans="2:13" x14ac:dyDescent="0.25">
      <c r="B131" s="966" t="str">
        <f t="shared" si="35"/>
        <v/>
      </c>
      <c r="C131" s="1006"/>
      <c r="D131" s="961" t="str">
        <f t="shared" si="36"/>
        <v/>
      </c>
      <c r="E131" s="961" t="str">
        <f t="shared" si="33"/>
        <v/>
      </c>
      <c r="F131" s="961" t="str">
        <f t="shared" si="33"/>
        <v/>
      </c>
      <c r="G131" s="961" t="str">
        <f t="shared" si="33"/>
        <v/>
      </c>
      <c r="H131" s="961" t="str">
        <f t="shared" si="33"/>
        <v/>
      </c>
      <c r="I131" s="961" t="str">
        <f t="shared" si="33"/>
        <v/>
      </c>
      <c r="J131" s="961" t="str">
        <f t="shared" si="33"/>
        <v/>
      </c>
      <c r="K131" s="961" t="str">
        <f t="shared" si="33"/>
        <v/>
      </c>
      <c r="L131" s="961" t="str">
        <f t="shared" si="33"/>
        <v/>
      </c>
      <c r="M131" s="962">
        <f t="shared" si="34"/>
        <v>0</v>
      </c>
    </row>
    <row r="132" spans="2:13" x14ac:dyDescent="0.25">
      <c r="B132" s="966" t="str">
        <f t="shared" si="35"/>
        <v/>
      </c>
      <c r="C132" s="1006"/>
      <c r="D132" s="961" t="str">
        <f t="shared" si="36"/>
        <v/>
      </c>
      <c r="E132" s="961" t="str">
        <f t="shared" si="33"/>
        <v/>
      </c>
      <c r="F132" s="961" t="str">
        <f t="shared" si="33"/>
        <v/>
      </c>
      <c r="G132" s="961" t="str">
        <f t="shared" si="33"/>
        <v/>
      </c>
      <c r="H132" s="961" t="str">
        <f t="shared" si="33"/>
        <v/>
      </c>
      <c r="I132" s="961" t="str">
        <f t="shared" si="33"/>
        <v/>
      </c>
      <c r="J132" s="961" t="str">
        <f t="shared" si="33"/>
        <v/>
      </c>
      <c r="K132" s="961" t="str">
        <f t="shared" si="33"/>
        <v/>
      </c>
      <c r="L132" s="961" t="str">
        <f t="shared" si="33"/>
        <v/>
      </c>
      <c r="M132" s="962">
        <f t="shared" si="34"/>
        <v>0</v>
      </c>
    </row>
    <row r="133" spans="2:13" x14ac:dyDescent="0.25">
      <c r="B133" s="966" t="str">
        <f t="shared" si="35"/>
        <v/>
      </c>
      <c r="C133" s="1006"/>
      <c r="D133" s="961" t="str">
        <f t="shared" si="36"/>
        <v/>
      </c>
      <c r="E133" s="961" t="str">
        <f t="shared" si="33"/>
        <v/>
      </c>
      <c r="F133" s="961" t="str">
        <f t="shared" si="33"/>
        <v/>
      </c>
      <c r="G133" s="961" t="str">
        <f t="shared" si="33"/>
        <v/>
      </c>
      <c r="H133" s="961" t="str">
        <f t="shared" si="33"/>
        <v/>
      </c>
      <c r="I133" s="961" t="str">
        <f t="shared" si="33"/>
        <v/>
      </c>
      <c r="J133" s="961" t="str">
        <f t="shared" si="33"/>
        <v/>
      </c>
      <c r="K133" s="961" t="str">
        <f t="shared" si="33"/>
        <v/>
      </c>
      <c r="L133" s="961" t="str">
        <f t="shared" si="33"/>
        <v/>
      </c>
      <c r="M133" s="962">
        <f t="shared" si="34"/>
        <v>0</v>
      </c>
    </row>
    <row r="134" spans="2:13" x14ac:dyDescent="0.25">
      <c r="B134" s="966" t="str">
        <f t="shared" si="35"/>
        <v/>
      </c>
      <c r="C134" s="1006"/>
      <c r="D134" s="961" t="str">
        <f t="shared" si="36"/>
        <v/>
      </c>
      <c r="E134" s="961" t="str">
        <f t="shared" si="33"/>
        <v/>
      </c>
      <c r="F134" s="961" t="str">
        <f t="shared" si="33"/>
        <v/>
      </c>
      <c r="G134" s="961" t="str">
        <f t="shared" si="33"/>
        <v/>
      </c>
      <c r="H134" s="961" t="str">
        <f t="shared" si="33"/>
        <v/>
      </c>
      <c r="I134" s="961" t="str">
        <f t="shared" si="33"/>
        <v/>
      </c>
      <c r="J134" s="961" t="str">
        <f t="shared" si="33"/>
        <v/>
      </c>
      <c r="K134" s="961" t="str">
        <f t="shared" si="33"/>
        <v/>
      </c>
      <c r="L134" s="961" t="str">
        <f t="shared" si="33"/>
        <v/>
      </c>
      <c r="M134" s="962">
        <f t="shared" si="34"/>
        <v>0</v>
      </c>
    </row>
    <row r="135" spans="2:13" x14ac:dyDescent="0.25">
      <c r="B135" s="966" t="str">
        <f t="shared" si="35"/>
        <v/>
      </c>
      <c r="C135" s="1006"/>
      <c r="D135" s="961" t="str">
        <f t="shared" si="36"/>
        <v/>
      </c>
      <c r="E135" s="961" t="str">
        <f t="shared" si="33"/>
        <v/>
      </c>
      <c r="F135" s="961" t="str">
        <f t="shared" si="33"/>
        <v/>
      </c>
      <c r="G135" s="961" t="str">
        <f t="shared" si="33"/>
        <v/>
      </c>
      <c r="H135" s="961" t="str">
        <f t="shared" si="33"/>
        <v/>
      </c>
      <c r="I135" s="961" t="str">
        <f t="shared" si="33"/>
        <v/>
      </c>
      <c r="J135" s="961" t="str">
        <f t="shared" si="33"/>
        <v/>
      </c>
      <c r="K135" s="961" t="str">
        <f t="shared" si="33"/>
        <v/>
      </c>
      <c r="L135" s="961" t="str">
        <f t="shared" si="33"/>
        <v/>
      </c>
      <c r="M135" s="962">
        <f t="shared" si="34"/>
        <v>0</v>
      </c>
    </row>
    <row r="136" spans="2:13" x14ac:dyDescent="0.25">
      <c r="B136" s="966" t="str">
        <f t="shared" si="35"/>
        <v/>
      </c>
      <c r="C136" s="1006"/>
      <c r="D136" s="961" t="str">
        <f t="shared" si="36"/>
        <v/>
      </c>
      <c r="E136" s="961" t="str">
        <f t="shared" si="33"/>
        <v/>
      </c>
      <c r="F136" s="961" t="str">
        <f t="shared" si="33"/>
        <v/>
      </c>
      <c r="G136" s="961" t="str">
        <f t="shared" si="33"/>
        <v/>
      </c>
      <c r="H136" s="961" t="str">
        <f t="shared" si="33"/>
        <v/>
      </c>
      <c r="I136" s="961" t="str">
        <f t="shared" si="33"/>
        <v/>
      </c>
      <c r="J136" s="961" t="str">
        <f t="shared" si="33"/>
        <v/>
      </c>
      <c r="K136" s="961" t="str">
        <f t="shared" si="33"/>
        <v/>
      </c>
      <c r="L136" s="961" t="str">
        <f t="shared" si="33"/>
        <v/>
      </c>
      <c r="M136" s="962">
        <f t="shared" si="34"/>
        <v>0</v>
      </c>
    </row>
    <row r="137" spans="2:13" ht="15.75" thickBot="1" x14ac:dyDescent="0.3">
      <c r="B137" s="966" t="str">
        <f t="shared" si="35"/>
        <v/>
      </c>
      <c r="C137" s="1006"/>
      <c r="D137" s="961" t="str">
        <f t="shared" si="36"/>
        <v/>
      </c>
      <c r="E137" s="961" t="str">
        <f t="shared" si="33"/>
        <v/>
      </c>
      <c r="F137" s="961" t="str">
        <f t="shared" si="33"/>
        <v/>
      </c>
      <c r="G137" s="961" t="str">
        <f t="shared" si="33"/>
        <v/>
      </c>
      <c r="H137" s="961" t="str">
        <f t="shared" si="33"/>
        <v/>
      </c>
      <c r="I137" s="961" t="str">
        <f t="shared" si="33"/>
        <v/>
      </c>
      <c r="J137" s="961" t="str">
        <f t="shared" si="33"/>
        <v/>
      </c>
      <c r="K137" s="961" t="str">
        <f t="shared" si="33"/>
        <v/>
      </c>
      <c r="L137" s="961" t="str">
        <f t="shared" si="33"/>
        <v/>
      </c>
      <c r="M137" s="962">
        <f t="shared" si="34"/>
        <v>0</v>
      </c>
    </row>
    <row r="138" spans="2:13" ht="15.75" thickBot="1" x14ac:dyDescent="0.3">
      <c r="B138" s="963" t="s">
        <v>4974</v>
      </c>
      <c r="C138" s="967"/>
      <c r="D138" s="967"/>
      <c r="E138" s="967"/>
      <c r="F138" s="967"/>
      <c r="G138" s="967"/>
      <c r="H138" s="967"/>
      <c r="I138" s="967"/>
      <c r="J138" s="967"/>
      <c r="K138" s="967"/>
      <c r="L138" s="967"/>
      <c r="M138" s="968"/>
    </row>
    <row r="139" spans="2:13" x14ac:dyDescent="0.25">
      <c r="B139" s="966" t="str">
        <f>IF(B115="","",B115)</f>
        <v/>
      </c>
      <c r="C139" s="1006"/>
      <c r="D139" s="961" t="str">
        <f>IF(C139="","",C139)</f>
        <v/>
      </c>
      <c r="E139" s="961" t="str">
        <f t="shared" ref="E139:L139" si="37">IF(D139="","",D139)</f>
        <v/>
      </c>
      <c r="F139" s="961" t="str">
        <f t="shared" si="37"/>
        <v/>
      </c>
      <c r="G139" s="961" t="str">
        <f t="shared" si="37"/>
        <v/>
      </c>
      <c r="H139" s="961" t="str">
        <f t="shared" si="37"/>
        <v/>
      </c>
      <c r="I139" s="961" t="str">
        <f t="shared" si="37"/>
        <v/>
      </c>
      <c r="J139" s="961" t="str">
        <f t="shared" si="37"/>
        <v/>
      </c>
      <c r="K139" s="961" t="str">
        <f t="shared" si="37"/>
        <v/>
      </c>
      <c r="L139" s="961" t="str">
        <f t="shared" si="37"/>
        <v/>
      </c>
      <c r="M139" s="962">
        <f t="shared" ref="M139:M149" si="38">NPV($P$1,C139:L139)</f>
        <v>0</v>
      </c>
    </row>
    <row r="140" spans="2:13" x14ac:dyDescent="0.25">
      <c r="B140" s="966" t="str">
        <f t="shared" ref="B140:B149" si="39">IF(B116="","",B116)</f>
        <v/>
      </c>
      <c r="C140" s="1006"/>
      <c r="D140" s="961" t="str">
        <f t="shared" ref="D140:L149" si="40">IF(C140="","",C140)</f>
        <v/>
      </c>
      <c r="E140" s="961" t="str">
        <f t="shared" si="40"/>
        <v/>
      </c>
      <c r="F140" s="961" t="str">
        <f t="shared" si="40"/>
        <v/>
      </c>
      <c r="G140" s="961" t="str">
        <f t="shared" si="40"/>
        <v/>
      </c>
      <c r="H140" s="961" t="str">
        <f t="shared" si="40"/>
        <v/>
      </c>
      <c r="I140" s="961" t="str">
        <f t="shared" si="40"/>
        <v/>
      </c>
      <c r="J140" s="961" t="str">
        <f t="shared" si="40"/>
        <v/>
      </c>
      <c r="K140" s="961" t="str">
        <f t="shared" si="40"/>
        <v/>
      </c>
      <c r="L140" s="961" t="str">
        <f t="shared" si="40"/>
        <v/>
      </c>
      <c r="M140" s="962">
        <f t="shared" si="38"/>
        <v>0</v>
      </c>
    </row>
    <row r="141" spans="2:13" x14ac:dyDescent="0.25">
      <c r="B141" s="966" t="str">
        <f t="shared" si="39"/>
        <v/>
      </c>
      <c r="C141" s="1006"/>
      <c r="D141" s="961" t="str">
        <f t="shared" si="40"/>
        <v/>
      </c>
      <c r="E141" s="961" t="str">
        <f t="shared" si="40"/>
        <v/>
      </c>
      <c r="F141" s="961" t="str">
        <f t="shared" si="40"/>
        <v/>
      </c>
      <c r="G141" s="961" t="str">
        <f t="shared" si="40"/>
        <v/>
      </c>
      <c r="H141" s="961" t="str">
        <f t="shared" si="40"/>
        <v/>
      </c>
      <c r="I141" s="961" t="str">
        <f t="shared" si="40"/>
        <v/>
      </c>
      <c r="J141" s="961" t="str">
        <f t="shared" si="40"/>
        <v/>
      </c>
      <c r="K141" s="961" t="str">
        <f t="shared" si="40"/>
        <v/>
      </c>
      <c r="L141" s="961" t="str">
        <f t="shared" si="40"/>
        <v/>
      </c>
      <c r="M141" s="962">
        <f t="shared" si="38"/>
        <v>0</v>
      </c>
    </row>
    <row r="142" spans="2:13" x14ac:dyDescent="0.25">
      <c r="B142" s="966" t="str">
        <f t="shared" si="39"/>
        <v/>
      </c>
      <c r="C142" s="1006"/>
      <c r="D142" s="961" t="str">
        <f t="shared" si="40"/>
        <v/>
      </c>
      <c r="E142" s="961" t="str">
        <f t="shared" si="40"/>
        <v/>
      </c>
      <c r="F142" s="961" t="str">
        <f t="shared" si="40"/>
        <v/>
      </c>
      <c r="G142" s="961" t="str">
        <f t="shared" si="40"/>
        <v/>
      </c>
      <c r="H142" s="961" t="str">
        <f t="shared" si="40"/>
        <v/>
      </c>
      <c r="I142" s="961" t="str">
        <f t="shared" si="40"/>
        <v/>
      </c>
      <c r="J142" s="961" t="str">
        <f t="shared" si="40"/>
        <v/>
      </c>
      <c r="K142" s="961" t="str">
        <f t="shared" si="40"/>
        <v/>
      </c>
      <c r="L142" s="961" t="str">
        <f t="shared" si="40"/>
        <v/>
      </c>
      <c r="M142" s="962">
        <f t="shared" si="38"/>
        <v>0</v>
      </c>
    </row>
    <row r="143" spans="2:13" x14ac:dyDescent="0.25">
      <c r="B143" s="966" t="str">
        <f t="shared" si="39"/>
        <v/>
      </c>
      <c r="C143" s="1006"/>
      <c r="D143" s="961" t="str">
        <f t="shared" si="40"/>
        <v/>
      </c>
      <c r="E143" s="961" t="str">
        <f t="shared" si="40"/>
        <v/>
      </c>
      <c r="F143" s="961" t="str">
        <f t="shared" si="40"/>
        <v/>
      </c>
      <c r="G143" s="961" t="str">
        <f t="shared" si="40"/>
        <v/>
      </c>
      <c r="H143" s="961" t="str">
        <f t="shared" si="40"/>
        <v/>
      </c>
      <c r="I143" s="961" t="str">
        <f t="shared" si="40"/>
        <v/>
      </c>
      <c r="J143" s="961" t="str">
        <f t="shared" si="40"/>
        <v/>
      </c>
      <c r="K143" s="961" t="str">
        <f t="shared" si="40"/>
        <v/>
      </c>
      <c r="L143" s="961" t="str">
        <f t="shared" si="40"/>
        <v/>
      </c>
      <c r="M143" s="962">
        <f t="shared" si="38"/>
        <v>0</v>
      </c>
    </row>
    <row r="144" spans="2:13" x14ac:dyDescent="0.25">
      <c r="B144" s="966" t="str">
        <f t="shared" si="39"/>
        <v/>
      </c>
      <c r="C144" s="1006"/>
      <c r="D144" s="961" t="str">
        <f t="shared" si="40"/>
        <v/>
      </c>
      <c r="E144" s="961" t="str">
        <f t="shared" si="40"/>
        <v/>
      </c>
      <c r="F144" s="961" t="str">
        <f t="shared" si="40"/>
        <v/>
      </c>
      <c r="G144" s="961" t="str">
        <f t="shared" si="40"/>
        <v/>
      </c>
      <c r="H144" s="961" t="str">
        <f t="shared" si="40"/>
        <v/>
      </c>
      <c r="I144" s="961" t="str">
        <f t="shared" si="40"/>
        <v/>
      </c>
      <c r="J144" s="961" t="str">
        <f t="shared" si="40"/>
        <v/>
      </c>
      <c r="K144" s="961" t="str">
        <f t="shared" si="40"/>
        <v/>
      </c>
      <c r="L144" s="961" t="str">
        <f t="shared" si="40"/>
        <v/>
      </c>
      <c r="M144" s="962">
        <f t="shared" si="38"/>
        <v>0</v>
      </c>
    </row>
    <row r="145" spans="2:13" x14ac:dyDescent="0.25">
      <c r="B145" s="966" t="str">
        <f t="shared" si="39"/>
        <v/>
      </c>
      <c r="C145" s="1006"/>
      <c r="D145" s="961" t="str">
        <f t="shared" si="40"/>
        <v/>
      </c>
      <c r="E145" s="961" t="str">
        <f t="shared" si="40"/>
        <v/>
      </c>
      <c r="F145" s="961" t="str">
        <f t="shared" si="40"/>
        <v/>
      </c>
      <c r="G145" s="961" t="str">
        <f t="shared" si="40"/>
        <v/>
      </c>
      <c r="H145" s="961" t="str">
        <f t="shared" si="40"/>
        <v/>
      </c>
      <c r="I145" s="961" t="str">
        <f t="shared" si="40"/>
        <v/>
      </c>
      <c r="J145" s="961" t="str">
        <f t="shared" si="40"/>
        <v/>
      </c>
      <c r="K145" s="961" t="str">
        <f t="shared" si="40"/>
        <v/>
      </c>
      <c r="L145" s="961" t="str">
        <f t="shared" si="40"/>
        <v/>
      </c>
      <c r="M145" s="962">
        <f t="shared" si="38"/>
        <v>0</v>
      </c>
    </row>
    <row r="146" spans="2:13" x14ac:dyDescent="0.25">
      <c r="B146" s="966" t="str">
        <f t="shared" si="39"/>
        <v/>
      </c>
      <c r="C146" s="1006"/>
      <c r="D146" s="961" t="str">
        <f t="shared" si="40"/>
        <v/>
      </c>
      <c r="E146" s="961" t="str">
        <f t="shared" si="40"/>
        <v/>
      </c>
      <c r="F146" s="961" t="str">
        <f t="shared" si="40"/>
        <v/>
      </c>
      <c r="G146" s="961" t="str">
        <f t="shared" si="40"/>
        <v/>
      </c>
      <c r="H146" s="961" t="str">
        <f t="shared" si="40"/>
        <v/>
      </c>
      <c r="I146" s="961" t="str">
        <f t="shared" si="40"/>
        <v/>
      </c>
      <c r="J146" s="961" t="str">
        <f t="shared" si="40"/>
        <v/>
      </c>
      <c r="K146" s="961" t="str">
        <f t="shared" si="40"/>
        <v/>
      </c>
      <c r="L146" s="961" t="str">
        <f t="shared" si="40"/>
        <v/>
      </c>
      <c r="M146" s="962">
        <f t="shared" si="38"/>
        <v>0</v>
      </c>
    </row>
    <row r="147" spans="2:13" x14ac:dyDescent="0.25">
      <c r="B147" s="966" t="str">
        <f t="shared" si="39"/>
        <v/>
      </c>
      <c r="C147" s="1006"/>
      <c r="D147" s="961" t="str">
        <f t="shared" si="40"/>
        <v/>
      </c>
      <c r="E147" s="961" t="str">
        <f t="shared" si="40"/>
        <v/>
      </c>
      <c r="F147" s="961" t="str">
        <f t="shared" si="40"/>
        <v/>
      </c>
      <c r="G147" s="961" t="str">
        <f t="shared" si="40"/>
        <v/>
      </c>
      <c r="H147" s="961" t="str">
        <f t="shared" si="40"/>
        <v/>
      </c>
      <c r="I147" s="961" t="str">
        <f t="shared" si="40"/>
        <v/>
      </c>
      <c r="J147" s="961" t="str">
        <f t="shared" si="40"/>
        <v/>
      </c>
      <c r="K147" s="961" t="str">
        <f t="shared" si="40"/>
        <v/>
      </c>
      <c r="L147" s="961" t="str">
        <f t="shared" si="40"/>
        <v/>
      </c>
      <c r="M147" s="962">
        <f t="shared" si="38"/>
        <v>0</v>
      </c>
    </row>
    <row r="148" spans="2:13" x14ac:dyDescent="0.25">
      <c r="B148" s="966" t="str">
        <f t="shared" si="39"/>
        <v/>
      </c>
      <c r="C148" s="1006"/>
      <c r="D148" s="961" t="str">
        <f t="shared" si="40"/>
        <v/>
      </c>
      <c r="E148" s="961" t="str">
        <f t="shared" si="40"/>
        <v/>
      </c>
      <c r="F148" s="961" t="str">
        <f t="shared" si="40"/>
        <v/>
      </c>
      <c r="G148" s="961" t="str">
        <f t="shared" si="40"/>
        <v/>
      </c>
      <c r="H148" s="961" t="str">
        <f t="shared" si="40"/>
        <v/>
      </c>
      <c r="I148" s="961" t="str">
        <f t="shared" si="40"/>
        <v/>
      </c>
      <c r="J148" s="961" t="str">
        <f t="shared" si="40"/>
        <v/>
      </c>
      <c r="K148" s="961" t="str">
        <f t="shared" si="40"/>
        <v/>
      </c>
      <c r="L148" s="961" t="str">
        <f t="shared" si="40"/>
        <v/>
      </c>
      <c r="M148" s="962">
        <f t="shared" si="38"/>
        <v>0</v>
      </c>
    </row>
    <row r="149" spans="2:13" ht="15.75" thickBot="1" x14ac:dyDescent="0.3">
      <c r="B149" s="966" t="str">
        <f t="shared" si="39"/>
        <v/>
      </c>
      <c r="C149" s="1006"/>
      <c r="D149" s="961" t="str">
        <f t="shared" si="40"/>
        <v/>
      </c>
      <c r="E149" s="961" t="str">
        <f t="shared" si="40"/>
        <v/>
      </c>
      <c r="F149" s="961" t="str">
        <f t="shared" si="40"/>
        <v/>
      </c>
      <c r="G149" s="961" t="str">
        <f t="shared" si="40"/>
        <v/>
      </c>
      <c r="H149" s="961" t="str">
        <f t="shared" si="40"/>
        <v/>
      </c>
      <c r="I149" s="961" t="str">
        <f t="shared" si="40"/>
        <v/>
      </c>
      <c r="J149" s="961" t="str">
        <f t="shared" si="40"/>
        <v/>
      </c>
      <c r="K149" s="961" t="str">
        <f t="shared" si="40"/>
        <v/>
      </c>
      <c r="L149" s="961" t="str">
        <f t="shared" si="40"/>
        <v/>
      </c>
      <c r="M149" s="962">
        <f t="shared" si="38"/>
        <v>0</v>
      </c>
    </row>
    <row r="150" spans="2:13" ht="15.75" thickBot="1" x14ac:dyDescent="0.3">
      <c r="B150" s="963" t="s">
        <v>4984</v>
      </c>
      <c r="C150" s="967"/>
      <c r="D150" s="967"/>
      <c r="E150" s="967"/>
      <c r="F150" s="967"/>
      <c r="G150" s="967"/>
      <c r="H150" s="967"/>
      <c r="I150" s="967"/>
      <c r="J150" s="967"/>
      <c r="K150" s="967"/>
      <c r="L150" s="967"/>
      <c r="M150" s="968"/>
    </row>
    <row r="151" spans="2:13" x14ac:dyDescent="0.25">
      <c r="B151" s="966" t="str">
        <f>IF(B115="","",B115)</f>
        <v/>
      </c>
      <c r="C151" s="961" t="str">
        <f>IF(C42="","",C42)</f>
        <v/>
      </c>
      <c r="D151" s="961" t="str">
        <f t="shared" ref="D151:L161" si="41">IF(C151="","",C151)</f>
        <v/>
      </c>
      <c r="E151" s="961" t="str">
        <f t="shared" si="41"/>
        <v/>
      </c>
      <c r="F151" s="961" t="str">
        <f t="shared" si="41"/>
        <v/>
      </c>
      <c r="G151" s="961" t="str">
        <f t="shared" si="41"/>
        <v/>
      </c>
      <c r="H151" s="961" t="str">
        <f t="shared" si="41"/>
        <v/>
      </c>
      <c r="I151" s="961" t="str">
        <f t="shared" si="41"/>
        <v/>
      </c>
      <c r="J151" s="961" t="str">
        <f t="shared" si="41"/>
        <v/>
      </c>
      <c r="K151" s="961" t="str">
        <f t="shared" si="41"/>
        <v/>
      </c>
      <c r="L151" s="961" t="str">
        <f t="shared" si="41"/>
        <v/>
      </c>
      <c r="M151" s="962" t="e">
        <f t="shared" ref="M151:M161" si="42">AVERAGE(C151:L151)</f>
        <v>#DIV/0!</v>
      </c>
    </row>
    <row r="152" spans="2:13" x14ac:dyDescent="0.25">
      <c r="B152" s="966" t="str">
        <f t="shared" ref="B152:B161" si="43">IF(B116="","",B116)</f>
        <v/>
      </c>
      <c r="C152" s="961" t="str">
        <f t="shared" ref="C152:C161" si="44">IF(C43="","",C43)</f>
        <v/>
      </c>
      <c r="D152" s="961" t="str">
        <f t="shared" si="41"/>
        <v/>
      </c>
      <c r="E152" s="961" t="str">
        <f t="shared" si="41"/>
        <v/>
      </c>
      <c r="F152" s="961" t="str">
        <f t="shared" si="41"/>
        <v/>
      </c>
      <c r="G152" s="961" t="str">
        <f t="shared" si="41"/>
        <v/>
      </c>
      <c r="H152" s="961" t="str">
        <f t="shared" si="41"/>
        <v/>
      </c>
      <c r="I152" s="961" t="str">
        <f t="shared" si="41"/>
        <v/>
      </c>
      <c r="J152" s="961" t="str">
        <f t="shared" si="41"/>
        <v/>
      </c>
      <c r="K152" s="961" t="str">
        <f t="shared" si="41"/>
        <v/>
      </c>
      <c r="L152" s="961" t="str">
        <f t="shared" si="41"/>
        <v/>
      </c>
      <c r="M152" s="962" t="e">
        <f t="shared" si="42"/>
        <v>#DIV/0!</v>
      </c>
    </row>
    <row r="153" spans="2:13" x14ac:dyDescent="0.25">
      <c r="B153" s="966" t="str">
        <f t="shared" si="43"/>
        <v/>
      </c>
      <c r="C153" s="961" t="str">
        <f t="shared" si="44"/>
        <v/>
      </c>
      <c r="D153" s="961" t="str">
        <f t="shared" si="41"/>
        <v/>
      </c>
      <c r="E153" s="961" t="str">
        <f t="shared" si="41"/>
        <v/>
      </c>
      <c r="F153" s="961" t="str">
        <f t="shared" si="41"/>
        <v/>
      </c>
      <c r="G153" s="961" t="str">
        <f t="shared" si="41"/>
        <v/>
      </c>
      <c r="H153" s="961" t="str">
        <f t="shared" si="41"/>
        <v/>
      </c>
      <c r="I153" s="961" t="str">
        <f t="shared" si="41"/>
        <v/>
      </c>
      <c r="J153" s="961" t="str">
        <f t="shared" si="41"/>
        <v/>
      </c>
      <c r="K153" s="961" t="str">
        <f t="shared" si="41"/>
        <v/>
      </c>
      <c r="L153" s="961" t="str">
        <f t="shared" si="41"/>
        <v/>
      </c>
      <c r="M153" s="962" t="e">
        <f t="shared" si="42"/>
        <v>#DIV/0!</v>
      </c>
    </row>
    <row r="154" spans="2:13" x14ac:dyDescent="0.25">
      <c r="B154" s="966" t="str">
        <f t="shared" si="43"/>
        <v/>
      </c>
      <c r="C154" s="961" t="str">
        <f t="shared" si="44"/>
        <v/>
      </c>
      <c r="D154" s="961" t="str">
        <f t="shared" si="41"/>
        <v/>
      </c>
      <c r="E154" s="961" t="str">
        <f t="shared" si="41"/>
        <v/>
      </c>
      <c r="F154" s="961" t="str">
        <f t="shared" si="41"/>
        <v/>
      </c>
      <c r="G154" s="961" t="str">
        <f t="shared" si="41"/>
        <v/>
      </c>
      <c r="H154" s="961" t="str">
        <f t="shared" si="41"/>
        <v/>
      </c>
      <c r="I154" s="961" t="str">
        <f t="shared" si="41"/>
        <v/>
      </c>
      <c r="J154" s="961" t="str">
        <f t="shared" si="41"/>
        <v/>
      </c>
      <c r="K154" s="961" t="str">
        <f t="shared" si="41"/>
        <v/>
      </c>
      <c r="L154" s="961" t="str">
        <f t="shared" si="41"/>
        <v/>
      </c>
      <c r="M154" s="962" t="e">
        <f t="shared" si="42"/>
        <v>#DIV/0!</v>
      </c>
    </row>
    <row r="155" spans="2:13" x14ac:dyDescent="0.25">
      <c r="B155" s="966" t="str">
        <f t="shared" si="43"/>
        <v/>
      </c>
      <c r="C155" s="961" t="str">
        <f t="shared" si="44"/>
        <v/>
      </c>
      <c r="D155" s="961" t="str">
        <f t="shared" si="41"/>
        <v/>
      </c>
      <c r="E155" s="961" t="str">
        <f t="shared" si="41"/>
        <v/>
      </c>
      <c r="F155" s="961" t="str">
        <f t="shared" si="41"/>
        <v/>
      </c>
      <c r="G155" s="961" t="str">
        <f t="shared" si="41"/>
        <v/>
      </c>
      <c r="H155" s="961" t="str">
        <f t="shared" si="41"/>
        <v/>
      </c>
      <c r="I155" s="961" t="str">
        <f t="shared" si="41"/>
        <v/>
      </c>
      <c r="J155" s="961" t="str">
        <f t="shared" si="41"/>
        <v/>
      </c>
      <c r="K155" s="961" t="str">
        <f t="shared" si="41"/>
        <v/>
      </c>
      <c r="L155" s="961" t="str">
        <f t="shared" si="41"/>
        <v/>
      </c>
      <c r="M155" s="962" t="e">
        <f t="shared" si="42"/>
        <v>#DIV/0!</v>
      </c>
    </row>
    <row r="156" spans="2:13" x14ac:dyDescent="0.25">
      <c r="B156" s="966" t="str">
        <f t="shared" si="43"/>
        <v/>
      </c>
      <c r="C156" s="961" t="str">
        <f t="shared" si="44"/>
        <v/>
      </c>
      <c r="D156" s="961" t="str">
        <f t="shared" si="41"/>
        <v/>
      </c>
      <c r="E156" s="961" t="str">
        <f t="shared" si="41"/>
        <v/>
      </c>
      <c r="F156" s="961" t="str">
        <f t="shared" si="41"/>
        <v/>
      </c>
      <c r="G156" s="961" t="str">
        <f t="shared" si="41"/>
        <v/>
      </c>
      <c r="H156" s="961" t="str">
        <f t="shared" si="41"/>
        <v/>
      </c>
      <c r="I156" s="961" t="str">
        <f t="shared" si="41"/>
        <v/>
      </c>
      <c r="J156" s="961" t="str">
        <f t="shared" si="41"/>
        <v/>
      </c>
      <c r="K156" s="961" t="str">
        <f t="shared" si="41"/>
        <v/>
      </c>
      <c r="L156" s="961" t="str">
        <f t="shared" si="41"/>
        <v/>
      </c>
      <c r="M156" s="962" t="e">
        <f t="shared" si="42"/>
        <v>#DIV/0!</v>
      </c>
    </row>
    <row r="157" spans="2:13" x14ac:dyDescent="0.25">
      <c r="B157" s="966" t="str">
        <f t="shared" si="43"/>
        <v/>
      </c>
      <c r="C157" s="961" t="str">
        <f t="shared" si="44"/>
        <v/>
      </c>
      <c r="D157" s="961" t="str">
        <f t="shared" si="41"/>
        <v/>
      </c>
      <c r="E157" s="961" t="str">
        <f t="shared" si="41"/>
        <v/>
      </c>
      <c r="F157" s="961" t="str">
        <f t="shared" si="41"/>
        <v/>
      </c>
      <c r="G157" s="961" t="str">
        <f t="shared" si="41"/>
        <v/>
      </c>
      <c r="H157" s="961" t="str">
        <f t="shared" si="41"/>
        <v/>
      </c>
      <c r="I157" s="961" t="str">
        <f t="shared" si="41"/>
        <v/>
      </c>
      <c r="J157" s="961" t="str">
        <f t="shared" si="41"/>
        <v/>
      </c>
      <c r="K157" s="961" t="str">
        <f t="shared" si="41"/>
        <v/>
      </c>
      <c r="L157" s="961" t="str">
        <f t="shared" si="41"/>
        <v/>
      </c>
      <c r="M157" s="962" t="e">
        <f t="shared" si="42"/>
        <v>#DIV/0!</v>
      </c>
    </row>
    <row r="158" spans="2:13" x14ac:dyDescent="0.25">
      <c r="B158" s="966" t="str">
        <f t="shared" si="43"/>
        <v/>
      </c>
      <c r="C158" s="961" t="str">
        <f t="shared" si="44"/>
        <v/>
      </c>
      <c r="D158" s="961" t="str">
        <f t="shared" si="41"/>
        <v/>
      </c>
      <c r="E158" s="961" t="str">
        <f t="shared" si="41"/>
        <v/>
      </c>
      <c r="F158" s="961" t="str">
        <f t="shared" si="41"/>
        <v/>
      </c>
      <c r="G158" s="961" t="str">
        <f t="shared" si="41"/>
        <v/>
      </c>
      <c r="H158" s="961" t="str">
        <f t="shared" si="41"/>
        <v/>
      </c>
      <c r="I158" s="961" t="str">
        <f t="shared" si="41"/>
        <v/>
      </c>
      <c r="J158" s="961" t="str">
        <f t="shared" si="41"/>
        <v/>
      </c>
      <c r="K158" s="961" t="str">
        <f t="shared" si="41"/>
        <v/>
      </c>
      <c r="L158" s="961" t="str">
        <f t="shared" si="41"/>
        <v/>
      </c>
      <c r="M158" s="962" t="e">
        <f t="shared" si="42"/>
        <v>#DIV/0!</v>
      </c>
    </row>
    <row r="159" spans="2:13" x14ac:dyDescent="0.25">
      <c r="B159" s="966" t="str">
        <f t="shared" si="43"/>
        <v/>
      </c>
      <c r="C159" s="961" t="str">
        <f t="shared" si="44"/>
        <v/>
      </c>
      <c r="D159" s="961" t="str">
        <f t="shared" si="41"/>
        <v/>
      </c>
      <c r="E159" s="961" t="str">
        <f t="shared" si="41"/>
        <v/>
      </c>
      <c r="F159" s="961" t="str">
        <f t="shared" si="41"/>
        <v/>
      </c>
      <c r="G159" s="961" t="str">
        <f t="shared" si="41"/>
        <v/>
      </c>
      <c r="H159" s="961" t="str">
        <f t="shared" si="41"/>
        <v/>
      </c>
      <c r="I159" s="961" t="str">
        <f t="shared" si="41"/>
        <v/>
      </c>
      <c r="J159" s="961" t="str">
        <f t="shared" si="41"/>
        <v/>
      </c>
      <c r="K159" s="961" t="str">
        <f t="shared" si="41"/>
        <v/>
      </c>
      <c r="L159" s="961" t="str">
        <f t="shared" si="41"/>
        <v/>
      </c>
      <c r="M159" s="962" t="e">
        <f t="shared" si="42"/>
        <v>#DIV/0!</v>
      </c>
    </row>
    <row r="160" spans="2:13" x14ac:dyDescent="0.25">
      <c r="B160" s="966" t="str">
        <f t="shared" si="43"/>
        <v/>
      </c>
      <c r="C160" s="961" t="str">
        <f t="shared" si="44"/>
        <v/>
      </c>
      <c r="D160" s="961" t="str">
        <f t="shared" si="41"/>
        <v/>
      </c>
      <c r="E160" s="961" t="str">
        <f t="shared" si="41"/>
        <v/>
      </c>
      <c r="F160" s="961" t="str">
        <f t="shared" si="41"/>
        <v/>
      </c>
      <c r="G160" s="961" t="str">
        <f t="shared" si="41"/>
        <v/>
      </c>
      <c r="H160" s="961" t="str">
        <f t="shared" si="41"/>
        <v/>
      </c>
      <c r="I160" s="961" t="str">
        <f t="shared" si="41"/>
        <v/>
      </c>
      <c r="J160" s="961" t="str">
        <f t="shared" si="41"/>
        <v/>
      </c>
      <c r="K160" s="961" t="str">
        <f t="shared" si="41"/>
        <v/>
      </c>
      <c r="L160" s="961" t="str">
        <f t="shared" si="41"/>
        <v/>
      </c>
      <c r="M160" s="962" t="e">
        <f t="shared" si="42"/>
        <v>#DIV/0!</v>
      </c>
    </row>
    <row r="161" spans="1:13" ht="15.75" thickBot="1" x14ac:dyDescent="0.3">
      <c r="B161" s="966" t="str">
        <f t="shared" si="43"/>
        <v/>
      </c>
      <c r="C161" s="961" t="str">
        <f t="shared" si="44"/>
        <v/>
      </c>
      <c r="D161" s="961" t="str">
        <f t="shared" si="41"/>
        <v/>
      </c>
      <c r="E161" s="961" t="str">
        <f t="shared" si="41"/>
        <v/>
      </c>
      <c r="F161" s="961" t="str">
        <f t="shared" si="41"/>
        <v/>
      </c>
      <c r="G161" s="961" t="str">
        <f t="shared" si="41"/>
        <v/>
      </c>
      <c r="H161" s="961" t="str">
        <f t="shared" si="41"/>
        <v/>
      </c>
      <c r="I161" s="961" t="str">
        <f t="shared" si="41"/>
        <v/>
      </c>
      <c r="J161" s="961" t="str">
        <f t="shared" si="41"/>
        <v/>
      </c>
      <c r="K161" s="961" t="str">
        <f t="shared" si="41"/>
        <v/>
      </c>
      <c r="L161" s="961" t="str">
        <f t="shared" si="41"/>
        <v/>
      </c>
      <c r="M161" s="962" t="e">
        <f t="shared" si="42"/>
        <v>#DIV/0!</v>
      </c>
    </row>
    <row r="162" spans="1:13" ht="15.75" thickBot="1" x14ac:dyDescent="0.3">
      <c r="B162" s="963" t="s">
        <v>4976</v>
      </c>
      <c r="C162" s="967"/>
      <c r="D162" s="967"/>
      <c r="E162" s="967"/>
      <c r="F162" s="967"/>
      <c r="G162" s="967"/>
      <c r="H162" s="967"/>
      <c r="I162" s="967"/>
      <c r="J162" s="967"/>
      <c r="K162" s="967"/>
      <c r="L162" s="967"/>
      <c r="M162" s="968"/>
    </row>
    <row r="163" spans="1:13" x14ac:dyDescent="0.25">
      <c r="B163" s="966" t="str">
        <f>IF(B115="","",B115)</f>
        <v/>
      </c>
      <c r="C163" s="961">
        <f t="shared" ref="C163:L172" si="45">C54</f>
        <v>1</v>
      </c>
      <c r="D163" s="961">
        <f t="shared" si="45"/>
        <v>1</v>
      </c>
      <c r="E163" s="961">
        <f t="shared" si="45"/>
        <v>1</v>
      </c>
      <c r="F163" s="961">
        <f t="shared" si="45"/>
        <v>1</v>
      </c>
      <c r="G163" s="961">
        <f t="shared" si="45"/>
        <v>1</v>
      </c>
      <c r="H163" s="961">
        <f t="shared" si="45"/>
        <v>1</v>
      </c>
      <c r="I163" s="961">
        <f t="shared" si="45"/>
        <v>1</v>
      </c>
      <c r="J163" s="961">
        <f t="shared" si="45"/>
        <v>1</v>
      </c>
      <c r="K163" s="961">
        <f t="shared" si="45"/>
        <v>1</v>
      </c>
      <c r="L163" s="961">
        <f t="shared" si="45"/>
        <v>1</v>
      </c>
      <c r="M163" s="962">
        <f t="shared" ref="M163:M173" si="46">AVERAGE(C163:L163)</f>
        <v>1</v>
      </c>
    </row>
    <row r="164" spans="1:13" x14ac:dyDescent="0.25">
      <c r="B164" s="966" t="str">
        <f t="shared" ref="B164:B173" si="47">IF(B116="","",B116)</f>
        <v/>
      </c>
      <c r="C164" s="961">
        <f t="shared" si="45"/>
        <v>1</v>
      </c>
      <c r="D164" s="961">
        <f t="shared" si="45"/>
        <v>1</v>
      </c>
      <c r="E164" s="961">
        <f t="shared" si="45"/>
        <v>1</v>
      </c>
      <c r="F164" s="961">
        <f t="shared" si="45"/>
        <v>1</v>
      </c>
      <c r="G164" s="961">
        <f t="shared" si="45"/>
        <v>1</v>
      </c>
      <c r="H164" s="961">
        <f t="shared" si="45"/>
        <v>1</v>
      </c>
      <c r="I164" s="961">
        <f t="shared" si="45"/>
        <v>1</v>
      </c>
      <c r="J164" s="961">
        <f t="shared" si="45"/>
        <v>1</v>
      </c>
      <c r="K164" s="961">
        <f t="shared" si="45"/>
        <v>1</v>
      </c>
      <c r="L164" s="961">
        <f t="shared" si="45"/>
        <v>1</v>
      </c>
      <c r="M164" s="962">
        <f t="shared" si="46"/>
        <v>1</v>
      </c>
    </row>
    <row r="165" spans="1:13" x14ac:dyDescent="0.25">
      <c r="B165" s="966" t="str">
        <f t="shared" si="47"/>
        <v/>
      </c>
      <c r="C165" s="961">
        <f t="shared" si="45"/>
        <v>1</v>
      </c>
      <c r="D165" s="961">
        <f t="shared" si="45"/>
        <v>1</v>
      </c>
      <c r="E165" s="961">
        <f t="shared" si="45"/>
        <v>1</v>
      </c>
      <c r="F165" s="961">
        <f t="shared" si="45"/>
        <v>1</v>
      </c>
      <c r="G165" s="961">
        <f t="shared" si="45"/>
        <v>1</v>
      </c>
      <c r="H165" s="961">
        <f t="shared" si="45"/>
        <v>1</v>
      </c>
      <c r="I165" s="961">
        <f t="shared" si="45"/>
        <v>1</v>
      </c>
      <c r="J165" s="961">
        <f t="shared" si="45"/>
        <v>1</v>
      </c>
      <c r="K165" s="961">
        <f t="shared" si="45"/>
        <v>1</v>
      </c>
      <c r="L165" s="961">
        <f t="shared" si="45"/>
        <v>1</v>
      </c>
      <c r="M165" s="962">
        <f t="shared" si="46"/>
        <v>1</v>
      </c>
    </row>
    <row r="166" spans="1:13" x14ac:dyDescent="0.25">
      <c r="B166" s="966" t="str">
        <f t="shared" si="47"/>
        <v/>
      </c>
      <c r="C166" s="961">
        <f t="shared" si="45"/>
        <v>1</v>
      </c>
      <c r="D166" s="961">
        <f t="shared" si="45"/>
        <v>1</v>
      </c>
      <c r="E166" s="961">
        <f t="shared" si="45"/>
        <v>1</v>
      </c>
      <c r="F166" s="961">
        <f t="shared" si="45"/>
        <v>1</v>
      </c>
      <c r="G166" s="961">
        <f t="shared" si="45"/>
        <v>1</v>
      </c>
      <c r="H166" s="961">
        <f t="shared" si="45"/>
        <v>1</v>
      </c>
      <c r="I166" s="961">
        <f t="shared" si="45"/>
        <v>1</v>
      </c>
      <c r="J166" s="961">
        <f t="shared" si="45"/>
        <v>1</v>
      </c>
      <c r="K166" s="961">
        <f t="shared" si="45"/>
        <v>1</v>
      </c>
      <c r="L166" s="961">
        <f t="shared" si="45"/>
        <v>1</v>
      </c>
      <c r="M166" s="962">
        <f t="shared" si="46"/>
        <v>1</v>
      </c>
    </row>
    <row r="167" spans="1:13" x14ac:dyDescent="0.25">
      <c r="B167" s="966" t="str">
        <f t="shared" si="47"/>
        <v/>
      </c>
      <c r="C167" s="961">
        <f t="shared" si="45"/>
        <v>1</v>
      </c>
      <c r="D167" s="961">
        <f t="shared" si="45"/>
        <v>1</v>
      </c>
      <c r="E167" s="961">
        <f t="shared" si="45"/>
        <v>1</v>
      </c>
      <c r="F167" s="961">
        <f t="shared" si="45"/>
        <v>1</v>
      </c>
      <c r="G167" s="961">
        <f t="shared" si="45"/>
        <v>1</v>
      </c>
      <c r="H167" s="961">
        <f t="shared" si="45"/>
        <v>1</v>
      </c>
      <c r="I167" s="961">
        <f t="shared" si="45"/>
        <v>1</v>
      </c>
      <c r="J167" s="961">
        <f t="shared" si="45"/>
        <v>1</v>
      </c>
      <c r="K167" s="961">
        <f t="shared" si="45"/>
        <v>1</v>
      </c>
      <c r="L167" s="961">
        <f t="shared" si="45"/>
        <v>1</v>
      </c>
      <c r="M167" s="962">
        <f t="shared" si="46"/>
        <v>1</v>
      </c>
    </row>
    <row r="168" spans="1:13" x14ac:dyDescent="0.25">
      <c r="B168" s="966" t="str">
        <f t="shared" si="47"/>
        <v/>
      </c>
      <c r="C168" s="961">
        <f t="shared" si="45"/>
        <v>1</v>
      </c>
      <c r="D168" s="961">
        <f t="shared" si="45"/>
        <v>1</v>
      </c>
      <c r="E168" s="961">
        <f t="shared" si="45"/>
        <v>1</v>
      </c>
      <c r="F168" s="961">
        <f t="shared" si="45"/>
        <v>1</v>
      </c>
      <c r="G168" s="961">
        <f t="shared" si="45"/>
        <v>1</v>
      </c>
      <c r="H168" s="961">
        <f t="shared" si="45"/>
        <v>1</v>
      </c>
      <c r="I168" s="961">
        <f t="shared" si="45"/>
        <v>1</v>
      </c>
      <c r="J168" s="961">
        <f t="shared" si="45"/>
        <v>1</v>
      </c>
      <c r="K168" s="961">
        <f t="shared" si="45"/>
        <v>1</v>
      </c>
      <c r="L168" s="961">
        <f t="shared" si="45"/>
        <v>1</v>
      </c>
      <c r="M168" s="962">
        <f t="shared" si="46"/>
        <v>1</v>
      </c>
    </row>
    <row r="169" spans="1:13" x14ac:dyDescent="0.25">
      <c r="B169" s="966" t="str">
        <f t="shared" si="47"/>
        <v/>
      </c>
      <c r="C169" s="961">
        <f t="shared" si="45"/>
        <v>1</v>
      </c>
      <c r="D169" s="961">
        <f t="shared" si="45"/>
        <v>1</v>
      </c>
      <c r="E169" s="961">
        <f t="shared" si="45"/>
        <v>1</v>
      </c>
      <c r="F169" s="961">
        <f t="shared" si="45"/>
        <v>1</v>
      </c>
      <c r="G169" s="961">
        <f t="shared" si="45"/>
        <v>1</v>
      </c>
      <c r="H169" s="961">
        <f t="shared" si="45"/>
        <v>1</v>
      </c>
      <c r="I169" s="961">
        <f t="shared" si="45"/>
        <v>1</v>
      </c>
      <c r="J169" s="961">
        <f t="shared" si="45"/>
        <v>1</v>
      </c>
      <c r="K169" s="961">
        <f t="shared" si="45"/>
        <v>1</v>
      </c>
      <c r="L169" s="961">
        <f t="shared" si="45"/>
        <v>1</v>
      </c>
      <c r="M169" s="962">
        <f t="shared" si="46"/>
        <v>1</v>
      </c>
    </row>
    <row r="170" spans="1:13" x14ac:dyDescent="0.25">
      <c r="B170" s="966" t="str">
        <f t="shared" si="47"/>
        <v/>
      </c>
      <c r="C170" s="961">
        <f t="shared" si="45"/>
        <v>1</v>
      </c>
      <c r="D170" s="961">
        <f t="shared" si="45"/>
        <v>1</v>
      </c>
      <c r="E170" s="961">
        <f t="shared" si="45"/>
        <v>1</v>
      </c>
      <c r="F170" s="961">
        <f t="shared" si="45"/>
        <v>1</v>
      </c>
      <c r="G170" s="961">
        <f t="shared" si="45"/>
        <v>1</v>
      </c>
      <c r="H170" s="961">
        <f t="shared" si="45"/>
        <v>1</v>
      </c>
      <c r="I170" s="961">
        <f t="shared" si="45"/>
        <v>1</v>
      </c>
      <c r="J170" s="961">
        <f t="shared" si="45"/>
        <v>1</v>
      </c>
      <c r="K170" s="961">
        <f t="shared" si="45"/>
        <v>1</v>
      </c>
      <c r="L170" s="961">
        <f t="shared" si="45"/>
        <v>1</v>
      </c>
      <c r="M170" s="962">
        <f t="shared" si="46"/>
        <v>1</v>
      </c>
    </row>
    <row r="171" spans="1:13" x14ac:dyDescent="0.25">
      <c r="B171" s="966" t="str">
        <f t="shared" si="47"/>
        <v/>
      </c>
      <c r="C171" s="961">
        <f t="shared" si="45"/>
        <v>1</v>
      </c>
      <c r="D171" s="961">
        <f t="shared" si="45"/>
        <v>1</v>
      </c>
      <c r="E171" s="961">
        <f t="shared" si="45"/>
        <v>1</v>
      </c>
      <c r="F171" s="961">
        <f t="shared" si="45"/>
        <v>1</v>
      </c>
      <c r="G171" s="961">
        <f t="shared" si="45"/>
        <v>1</v>
      </c>
      <c r="H171" s="961">
        <f t="shared" si="45"/>
        <v>1</v>
      </c>
      <c r="I171" s="961">
        <f t="shared" si="45"/>
        <v>1</v>
      </c>
      <c r="J171" s="961">
        <f t="shared" si="45"/>
        <v>1</v>
      </c>
      <c r="K171" s="961">
        <f t="shared" si="45"/>
        <v>1</v>
      </c>
      <c r="L171" s="961">
        <f t="shared" si="45"/>
        <v>1</v>
      </c>
      <c r="M171" s="962">
        <f t="shared" si="46"/>
        <v>1</v>
      </c>
    </row>
    <row r="172" spans="1:13" x14ac:dyDescent="0.25">
      <c r="B172" s="966" t="str">
        <f t="shared" si="47"/>
        <v/>
      </c>
      <c r="C172" s="961">
        <f t="shared" si="45"/>
        <v>1</v>
      </c>
      <c r="D172" s="961">
        <f t="shared" si="45"/>
        <v>1</v>
      </c>
      <c r="E172" s="961">
        <f t="shared" si="45"/>
        <v>1</v>
      </c>
      <c r="F172" s="961">
        <f t="shared" si="45"/>
        <v>1</v>
      </c>
      <c r="G172" s="961">
        <f t="shared" si="45"/>
        <v>1</v>
      </c>
      <c r="H172" s="961">
        <f t="shared" si="45"/>
        <v>1</v>
      </c>
      <c r="I172" s="961">
        <f t="shared" si="45"/>
        <v>1</v>
      </c>
      <c r="J172" s="961">
        <f t="shared" si="45"/>
        <v>1</v>
      </c>
      <c r="K172" s="961">
        <f t="shared" si="45"/>
        <v>1</v>
      </c>
      <c r="L172" s="961">
        <f t="shared" si="45"/>
        <v>1</v>
      </c>
      <c r="M172" s="962">
        <f t="shared" si="46"/>
        <v>1</v>
      </c>
    </row>
    <row r="173" spans="1:13" ht="15.75" thickBot="1" x14ac:dyDescent="0.3">
      <c r="B173" s="966" t="str">
        <f t="shared" si="47"/>
        <v/>
      </c>
      <c r="C173" s="961">
        <f>C64</f>
        <v>1</v>
      </c>
      <c r="D173" s="961">
        <f t="shared" ref="D173:L173" si="48">D59</f>
        <v>1</v>
      </c>
      <c r="E173" s="961">
        <f t="shared" si="48"/>
        <v>1</v>
      </c>
      <c r="F173" s="961">
        <f t="shared" si="48"/>
        <v>1</v>
      </c>
      <c r="G173" s="961">
        <f t="shared" si="48"/>
        <v>1</v>
      </c>
      <c r="H173" s="961">
        <f t="shared" si="48"/>
        <v>1</v>
      </c>
      <c r="I173" s="961">
        <f t="shared" si="48"/>
        <v>1</v>
      </c>
      <c r="J173" s="961">
        <f t="shared" si="48"/>
        <v>1</v>
      </c>
      <c r="K173" s="961">
        <f t="shared" si="48"/>
        <v>1</v>
      </c>
      <c r="L173" s="961">
        <f t="shared" si="48"/>
        <v>1</v>
      </c>
      <c r="M173" s="962">
        <f t="shared" si="46"/>
        <v>1</v>
      </c>
    </row>
    <row r="174" spans="1:13" ht="15.75" thickBot="1" x14ac:dyDescent="0.3">
      <c r="B174" s="963" t="s">
        <v>4977</v>
      </c>
      <c r="C174" s="967"/>
      <c r="D174" s="967"/>
      <c r="E174" s="967"/>
      <c r="F174" s="967"/>
      <c r="G174" s="967"/>
      <c r="H174" s="967"/>
      <c r="I174" s="967"/>
      <c r="J174" s="967"/>
      <c r="K174" s="967"/>
      <c r="L174" s="967"/>
      <c r="M174" s="968"/>
    </row>
    <row r="175" spans="1:13" x14ac:dyDescent="0.25">
      <c r="A175" s="869"/>
      <c r="B175" s="966" t="str">
        <f>IF(B115="","",B115)</f>
        <v/>
      </c>
      <c r="C175" s="961" t="str">
        <f>IFERROR(C115*C139*C151*C163,"")</f>
        <v/>
      </c>
      <c r="D175" s="961" t="str">
        <f t="shared" ref="D175:L175" si="49">IFERROR(D115*D139*D151*D163,"")</f>
        <v/>
      </c>
      <c r="E175" s="961" t="str">
        <f t="shared" si="49"/>
        <v/>
      </c>
      <c r="F175" s="961" t="str">
        <f t="shared" si="49"/>
        <v/>
      </c>
      <c r="G175" s="961" t="str">
        <f t="shared" si="49"/>
        <v/>
      </c>
      <c r="H175" s="961" t="str">
        <f t="shared" si="49"/>
        <v/>
      </c>
      <c r="I175" s="961" t="str">
        <f t="shared" si="49"/>
        <v/>
      </c>
      <c r="J175" s="961" t="str">
        <f t="shared" si="49"/>
        <v/>
      </c>
      <c r="K175" s="961" t="str">
        <f t="shared" si="49"/>
        <v/>
      </c>
      <c r="L175" s="961" t="str">
        <f t="shared" si="49"/>
        <v/>
      </c>
      <c r="M175" s="962">
        <f t="shared" ref="M175:M185" si="50">NPV($P$1,C175:L175)</f>
        <v>0</v>
      </c>
    </row>
    <row r="176" spans="1:13" x14ac:dyDescent="0.25">
      <c r="A176" s="869"/>
      <c r="B176" s="966" t="str">
        <f t="shared" ref="B176:B185" si="51">IF(B116="","",B116)</f>
        <v/>
      </c>
      <c r="C176" s="961" t="str">
        <f t="shared" ref="C176:L185" si="52">IFERROR(C116*C140*C152*C164,"")</f>
        <v/>
      </c>
      <c r="D176" s="961" t="str">
        <f t="shared" si="52"/>
        <v/>
      </c>
      <c r="E176" s="961" t="str">
        <f t="shared" si="52"/>
        <v/>
      </c>
      <c r="F176" s="961" t="str">
        <f t="shared" si="52"/>
        <v/>
      </c>
      <c r="G176" s="961" t="str">
        <f t="shared" si="52"/>
        <v/>
      </c>
      <c r="H176" s="961" t="str">
        <f t="shared" si="52"/>
        <v/>
      </c>
      <c r="I176" s="961" t="str">
        <f t="shared" si="52"/>
        <v/>
      </c>
      <c r="J176" s="961" t="str">
        <f t="shared" si="52"/>
        <v/>
      </c>
      <c r="K176" s="961" t="str">
        <f t="shared" si="52"/>
        <v/>
      </c>
      <c r="L176" s="961" t="str">
        <f t="shared" si="52"/>
        <v/>
      </c>
      <c r="M176" s="962">
        <f t="shared" si="50"/>
        <v>0</v>
      </c>
    </row>
    <row r="177" spans="1:13" x14ac:dyDescent="0.25">
      <c r="A177" s="869"/>
      <c r="B177" s="966" t="str">
        <f t="shared" si="51"/>
        <v/>
      </c>
      <c r="C177" s="961" t="str">
        <f t="shared" si="52"/>
        <v/>
      </c>
      <c r="D177" s="961" t="str">
        <f t="shared" si="52"/>
        <v/>
      </c>
      <c r="E177" s="961" t="str">
        <f t="shared" si="52"/>
        <v/>
      </c>
      <c r="F177" s="961" t="str">
        <f t="shared" si="52"/>
        <v/>
      </c>
      <c r="G177" s="961" t="str">
        <f t="shared" si="52"/>
        <v/>
      </c>
      <c r="H177" s="961" t="str">
        <f t="shared" si="52"/>
        <v/>
      </c>
      <c r="I177" s="961" t="str">
        <f t="shared" si="52"/>
        <v/>
      </c>
      <c r="J177" s="961" t="str">
        <f t="shared" si="52"/>
        <v/>
      </c>
      <c r="K177" s="961" t="str">
        <f t="shared" si="52"/>
        <v/>
      </c>
      <c r="L177" s="961" t="str">
        <f t="shared" si="52"/>
        <v/>
      </c>
      <c r="M177" s="962">
        <f t="shared" si="50"/>
        <v>0</v>
      </c>
    </row>
    <row r="178" spans="1:13" x14ac:dyDescent="0.25">
      <c r="A178" s="869"/>
      <c r="B178" s="966" t="str">
        <f t="shared" si="51"/>
        <v/>
      </c>
      <c r="C178" s="961" t="str">
        <f t="shared" si="52"/>
        <v/>
      </c>
      <c r="D178" s="961" t="str">
        <f t="shared" si="52"/>
        <v/>
      </c>
      <c r="E178" s="961" t="str">
        <f t="shared" si="52"/>
        <v/>
      </c>
      <c r="F178" s="961" t="str">
        <f t="shared" si="52"/>
        <v/>
      </c>
      <c r="G178" s="961" t="str">
        <f t="shared" si="52"/>
        <v/>
      </c>
      <c r="H178" s="961" t="str">
        <f t="shared" si="52"/>
        <v/>
      </c>
      <c r="I178" s="961" t="str">
        <f t="shared" si="52"/>
        <v/>
      </c>
      <c r="J178" s="961" t="str">
        <f t="shared" si="52"/>
        <v/>
      </c>
      <c r="K178" s="961" t="str">
        <f t="shared" si="52"/>
        <v/>
      </c>
      <c r="L178" s="961" t="str">
        <f t="shared" si="52"/>
        <v/>
      </c>
      <c r="M178" s="962">
        <f t="shared" si="50"/>
        <v>0</v>
      </c>
    </row>
    <row r="179" spans="1:13" ht="13.5" customHeight="1" x14ac:dyDescent="0.25">
      <c r="A179" s="869"/>
      <c r="B179" s="966" t="str">
        <f t="shared" si="51"/>
        <v/>
      </c>
      <c r="C179" s="961" t="str">
        <f t="shared" si="52"/>
        <v/>
      </c>
      <c r="D179" s="961" t="str">
        <f t="shared" si="52"/>
        <v/>
      </c>
      <c r="E179" s="961" t="str">
        <f t="shared" si="52"/>
        <v/>
      </c>
      <c r="F179" s="961" t="str">
        <f t="shared" si="52"/>
        <v/>
      </c>
      <c r="G179" s="961" t="str">
        <f t="shared" si="52"/>
        <v/>
      </c>
      <c r="H179" s="961" t="str">
        <f t="shared" si="52"/>
        <v/>
      </c>
      <c r="I179" s="961" t="str">
        <f t="shared" si="52"/>
        <v/>
      </c>
      <c r="J179" s="961" t="str">
        <f t="shared" si="52"/>
        <v/>
      </c>
      <c r="K179" s="961" t="str">
        <f t="shared" si="52"/>
        <v/>
      </c>
      <c r="L179" s="961" t="str">
        <f t="shared" si="52"/>
        <v/>
      </c>
      <c r="M179" s="962">
        <f t="shared" si="50"/>
        <v>0</v>
      </c>
    </row>
    <row r="180" spans="1:13" x14ac:dyDescent="0.25">
      <c r="A180" s="869"/>
      <c r="B180" s="966" t="str">
        <f t="shared" si="51"/>
        <v/>
      </c>
      <c r="C180" s="961" t="str">
        <f t="shared" si="52"/>
        <v/>
      </c>
      <c r="D180" s="961" t="str">
        <f t="shared" si="52"/>
        <v/>
      </c>
      <c r="E180" s="961" t="str">
        <f t="shared" si="52"/>
        <v/>
      </c>
      <c r="F180" s="961" t="str">
        <f t="shared" si="52"/>
        <v/>
      </c>
      <c r="G180" s="961" t="str">
        <f t="shared" si="52"/>
        <v/>
      </c>
      <c r="H180" s="961" t="str">
        <f t="shared" si="52"/>
        <v/>
      </c>
      <c r="I180" s="961" t="str">
        <f t="shared" si="52"/>
        <v/>
      </c>
      <c r="J180" s="961" t="str">
        <f t="shared" si="52"/>
        <v/>
      </c>
      <c r="K180" s="961" t="str">
        <f t="shared" si="52"/>
        <v/>
      </c>
      <c r="L180" s="961" t="str">
        <f t="shared" si="52"/>
        <v/>
      </c>
      <c r="M180" s="962">
        <f t="shared" si="50"/>
        <v>0</v>
      </c>
    </row>
    <row r="181" spans="1:13" x14ac:dyDescent="0.25">
      <c r="A181" s="869"/>
      <c r="B181" s="966" t="str">
        <f t="shared" si="51"/>
        <v/>
      </c>
      <c r="C181" s="961" t="str">
        <f t="shared" si="52"/>
        <v/>
      </c>
      <c r="D181" s="961" t="str">
        <f t="shared" si="52"/>
        <v/>
      </c>
      <c r="E181" s="961" t="str">
        <f t="shared" si="52"/>
        <v/>
      </c>
      <c r="F181" s="961" t="str">
        <f t="shared" si="52"/>
        <v/>
      </c>
      <c r="G181" s="961" t="str">
        <f t="shared" si="52"/>
        <v/>
      </c>
      <c r="H181" s="961" t="str">
        <f t="shared" si="52"/>
        <v/>
      </c>
      <c r="I181" s="961" t="str">
        <f t="shared" si="52"/>
        <v/>
      </c>
      <c r="J181" s="961" t="str">
        <f t="shared" si="52"/>
        <v/>
      </c>
      <c r="K181" s="961" t="str">
        <f t="shared" si="52"/>
        <v/>
      </c>
      <c r="L181" s="961" t="str">
        <f t="shared" si="52"/>
        <v/>
      </c>
      <c r="M181" s="962">
        <f t="shared" si="50"/>
        <v>0</v>
      </c>
    </row>
    <row r="182" spans="1:13" x14ac:dyDescent="0.25">
      <c r="A182" s="869"/>
      <c r="B182" s="966" t="str">
        <f t="shared" si="51"/>
        <v/>
      </c>
      <c r="C182" s="961" t="str">
        <f t="shared" si="52"/>
        <v/>
      </c>
      <c r="D182" s="961" t="str">
        <f t="shared" si="52"/>
        <v/>
      </c>
      <c r="E182" s="961" t="str">
        <f t="shared" si="52"/>
        <v/>
      </c>
      <c r="F182" s="961" t="str">
        <f t="shared" si="52"/>
        <v/>
      </c>
      <c r="G182" s="961" t="str">
        <f t="shared" si="52"/>
        <v/>
      </c>
      <c r="H182" s="961" t="str">
        <f t="shared" si="52"/>
        <v/>
      </c>
      <c r="I182" s="961" t="str">
        <f t="shared" si="52"/>
        <v/>
      </c>
      <c r="J182" s="961" t="str">
        <f t="shared" si="52"/>
        <v/>
      </c>
      <c r="K182" s="961" t="str">
        <f t="shared" si="52"/>
        <v/>
      </c>
      <c r="L182" s="961" t="str">
        <f t="shared" si="52"/>
        <v/>
      </c>
      <c r="M182" s="962">
        <f t="shared" si="50"/>
        <v>0</v>
      </c>
    </row>
    <row r="183" spans="1:13" x14ac:dyDescent="0.25">
      <c r="A183" s="869"/>
      <c r="B183" s="966" t="str">
        <f t="shared" si="51"/>
        <v/>
      </c>
      <c r="C183" s="961" t="str">
        <f t="shared" si="52"/>
        <v/>
      </c>
      <c r="D183" s="961" t="str">
        <f t="shared" si="52"/>
        <v/>
      </c>
      <c r="E183" s="961" t="str">
        <f t="shared" si="52"/>
        <v/>
      </c>
      <c r="F183" s="961" t="str">
        <f t="shared" si="52"/>
        <v/>
      </c>
      <c r="G183" s="961" t="str">
        <f t="shared" si="52"/>
        <v/>
      </c>
      <c r="H183" s="961" t="str">
        <f t="shared" si="52"/>
        <v/>
      </c>
      <c r="I183" s="961" t="str">
        <f t="shared" si="52"/>
        <v/>
      </c>
      <c r="J183" s="961" t="str">
        <f t="shared" si="52"/>
        <v/>
      </c>
      <c r="K183" s="961" t="str">
        <f t="shared" si="52"/>
        <v/>
      </c>
      <c r="L183" s="961" t="str">
        <f t="shared" si="52"/>
        <v/>
      </c>
      <c r="M183" s="962">
        <f t="shared" si="50"/>
        <v>0</v>
      </c>
    </row>
    <row r="184" spans="1:13" x14ac:dyDescent="0.25">
      <c r="A184" s="869"/>
      <c r="B184" s="966" t="str">
        <f t="shared" si="51"/>
        <v/>
      </c>
      <c r="C184" s="961" t="str">
        <f t="shared" si="52"/>
        <v/>
      </c>
      <c r="D184" s="961" t="str">
        <f t="shared" si="52"/>
        <v/>
      </c>
      <c r="E184" s="961" t="str">
        <f t="shared" si="52"/>
        <v/>
      </c>
      <c r="F184" s="961" t="str">
        <f t="shared" si="52"/>
        <v/>
      </c>
      <c r="G184" s="961" t="str">
        <f t="shared" si="52"/>
        <v/>
      </c>
      <c r="H184" s="961" t="str">
        <f t="shared" si="52"/>
        <v/>
      </c>
      <c r="I184" s="961" t="str">
        <f t="shared" si="52"/>
        <v/>
      </c>
      <c r="J184" s="961" t="str">
        <f t="shared" si="52"/>
        <v/>
      </c>
      <c r="K184" s="961" t="str">
        <f t="shared" si="52"/>
        <v/>
      </c>
      <c r="L184" s="961" t="str">
        <f t="shared" si="52"/>
        <v/>
      </c>
      <c r="M184" s="962">
        <f t="shared" si="50"/>
        <v>0</v>
      </c>
    </row>
    <row r="185" spans="1:13" ht="15.75" thickBot="1" x14ac:dyDescent="0.3">
      <c r="A185" s="869"/>
      <c r="B185" s="966" t="str">
        <f t="shared" si="51"/>
        <v/>
      </c>
      <c r="C185" s="961" t="str">
        <f t="shared" si="52"/>
        <v/>
      </c>
      <c r="D185" s="961" t="str">
        <f t="shared" si="52"/>
        <v/>
      </c>
      <c r="E185" s="961" t="str">
        <f t="shared" si="52"/>
        <v/>
      </c>
      <c r="F185" s="961" t="str">
        <f t="shared" si="52"/>
        <v/>
      </c>
      <c r="G185" s="961" t="str">
        <f t="shared" si="52"/>
        <v/>
      </c>
      <c r="H185" s="961" t="str">
        <f t="shared" si="52"/>
        <v/>
      </c>
      <c r="I185" s="961" t="str">
        <f t="shared" si="52"/>
        <v/>
      </c>
      <c r="J185" s="961" t="str">
        <f t="shared" si="52"/>
        <v/>
      </c>
      <c r="K185" s="961" t="str">
        <f t="shared" si="52"/>
        <v/>
      </c>
      <c r="L185" s="961" t="str">
        <f t="shared" si="52"/>
        <v/>
      </c>
      <c r="M185" s="962">
        <f t="shared" si="50"/>
        <v>0</v>
      </c>
    </row>
    <row r="186" spans="1:13" ht="15.75" thickBot="1" x14ac:dyDescent="0.3">
      <c r="B186" s="963" t="s">
        <v>4978</v>
      </c>
      <c r="C186" s="967"/>
      <c r="D186" s="967"/>
      <c r="E186" s="967"/>
      <c r="F186" s="967"/>
      <c r="G186" s="967"/>
      <c r="H186" s="967"/>
      <c r="I186" s="967"/>
      <c r="J186" s="967"/>
      <c r="K186" s="967"/>
      <c r="L186" s="967"/>
      <c r="M186" s="968"/>
    </row>
    <row r="187" spans="1:13" x14ac:dyDescent="0.25">
      <c r="B187" s="966" t="str">
        <f>IF(B115="","",B115)</f>
        <v/>
      </c>
      <c r="C187" s="961" t="str">
        <f>IFERROR(C115*C127,"")</f>
        <v/>
      </c>
      <c r="D187" s="961" t="str">
        <f t="shared" ref="D187:L187" si="53">IFERROR(D115*D127,"")</f>
        <v/>
      </c>
      <c r="E187" s="961" t="str">
        <f t="shared" si="53"/>
        <v/>
      </c>
      <c r="F187" s="961" t="str">
        <f t="shared" si="53"/>
        <v/>
      </c>
      <c r="G187" s="961" t="str">
        <f t="shared" si="53"/>
        <v/>
      </c>
      <c r="H187" s="961" t="str">
        <f t="shared" si="53"/>
        <v/>
      </c>
      <c r="I187" s="961" t="str">
        <f t="shared" si="53"/>
        <v/>
      </c>
      <c r="J187" s="961" t="str">
        <f t="shared" si="53"/>
        <v/>
      </c>
      <c r="K187" s="961" t="str">
        <f t="shared" si="53"/>
        <v/>
      </c>
      <c r="L187" s="961" t="str">
        <f t="shared" si="53"/>
        <v/>
      </c>
      <c r="M187" s="962">
        <f t="shared" ref="M187:M197" si="54">NPV($P$1,C187:L187)</f>
        <v>0</v>
      </c>
    </row>
    <row r="188" spans="1:13" x14ac:dyDescent="0.25">
      <c r="B188" s="966" t="str">
        <f t="shared" ref="B188:B197" si="55">IF(B116="","",B116)</f>
        <v/>
      </c>
      <c r="C188" s="961" t="str">
        <f t="shared" ref="C188:L197" si="56">IFERROR(C116*C128,"")</f>
        <v/>
      </c>
      <c r="D188" s="961" t="str">
        <f t="shared" si="56"/>
        <v/>
      </c>
      <c r="E188" s="961" t="str">
        <f t="shared" si="56"/>
        <v/>
      </c>
      <c r="F188" s="961" t="str">
        <f t="shared" si="56"/>
        <v/>
      </c>
      <c r="G188" s="961" t="str">
        <f t="shared" si="56"/>
        <v/>
      </c>
      <c r="H188" s="961" t="str">
        <f t="shared" si="56"/>
        <v/>
      </c>
      <c r="I188" s="961" t="str">
        <f t="shared" si="56"/>
        <v/>
      </c>
      <c r="J188" s="961" t="str">
        <f t="shared" si="56"/>
        <v/>
      </c>
      <c r="K188" s="961" t="str">
        <f t="shared" si="56"/>
        <v/>
      </c>
      <c r="L188" s="961" t="str">
        <f t="shared" si="56"/>
        <v/>
      </c>
      <c r="M188" s="962">
        <f t="shared" si="54"/>
        <v>0</v>
      </c>
    </row>
    <row r="189" spans="1:13" x14ac:dyDescent="0.25">
      <c r="B189" s="966" t="str">
        <f t="shared" si="55"/>
        <v/>
      </c>
      <c r="C189" s="961" t="str">
        <f t="shared" si="56"/>
        <v/>
      </c>
      <c r="D189" s="961" t="str">
        <f t="shared" si="56"/>
        <v/>
      </c>
      <c r="E189" s="961" t="str">
        <f t="shared" si="56"/>
        <v/>
      </c>
      <c r="F189" s="961" t="str">
        <f t="shared" si="56"/>
        <v/>
      </c>
      <c r="G189" s="961" t="str">
        <f t="shared" si="56"/>
        <v/>
      </c>
      <c r="H189" s="961" t="str">
        <f t="shared" si="56"/>
        <v/>
      </c>
      <c r="I189" s="961" t="str">
        <f t="shared" si="56"/>
        <v/>
      </c>
      <c r="J189" s="961" t="str">
        <f t="shared" si="56"/>
        <v/>
      </c>
      <c r="K189" s="961" t="str">
        <f t="shared" si="56"/>
        <v/>
      </c>
      <c r="L189" s="961" t="str">
        <f t="shared" si="56"/>
        <v/>
      </c>
      <c r="M189" s="962">
        <f t="shared" si="54"/>
        <v>0</v>
      </c>
    </row>
    <row r="190" spans="1:13" x14ac:dyDescent="0.25">
      <c r="B190" s="966" t="str">
        <f t="shared" si="55"/>
        <v/>
      </c>
      <c r="C190" s="961" t="str">
        <f t="shared" si="56"/>
        <v/>
      </c>
      <c r="D190" s="961" t="str">
        <f t="shared" si="56"/>
        <v/>
      </c>
      <c r="E190" s="961" t="str">
        <f t="shared" si="56"/>
        <v/>
      </c>
      <c r="F190" s="961" t="str">
        <f t="shared" si="56"/>
        <v/>
      </c>
      <c r="G190" s="961" t="str">
        <f t="shared" si="56"/>
        <v/>
      </c>
      <c r="H190" s="961" t="str">
        <f t="shared" si="56"/>
        <v/>
      </c>
      <c r="I190" s="961" t="str">
        <f t="shared" si="56"/>
        <v/>
      </c>
      <c r="J190" s="961" t="str">
        <f t="shared" si="56"/>
        <v/>
      </c>
      <c r="K190" s="961" t="str">
        <f t="shared" si="56"/>
        <v/>
      </c>
      <c r="L190" s="961" t="str">
        <f t="shared" si="56"/>
        <v/>
      </c>
      <c r="M190" s="962">
        <f t="shared" si="54"/>
        <v>0</v>
      </c>
    </row>
    <row r="191" spans="1:13" x14ac:dyDescent="0.25">
      <c r="B191" s="966" t="str">
        <f t="shared" si="55"/>
        <v/>
      </c>
      <c r="C191" s="961" t="str">
        <f t="shared" si="56"/>
        <v/>
      </c>
      <c r="D191" s="961" t="str">
        <f t="shared" si="56"/>
        <v/>
      </c>
      <c r="E191" s="961" t="str">
        <f t="shared" si="56"/>
        <v/>
      </c>
      <c r="F191" s="961" t="str">
        <f t="shared" si="56"/>
        <v/>
      </c>
      <c r="G191" s="961" t="str">
        <f t="shared" si="56"/>
        <v/>
      </c>
      <c r="H191" s="961" t="str">
        <f t="shared" si="56"/>
        <v/>
      </c>
      <c r="I191" s="961" t="str">
        <f t="shared" si="56"/>
        <v/>
      </c>
      <c r="J191" s="961" t="str">
        <f t="shared" si="56"/>
        <v/>
      </c>
      <c r="K191" s="961" t="str">
        <f t="shared" si="56"/>
        <v/>
      </c>
      <c r="L191" s="961" t="str">
        <f t="shared" si="56"/>
        <v/>
      </c>
      <c r="M191" s="962">
        <f t="shared" si="54"/>
        <v>0</v>
      </c>
    </row>
    <row r="192" spans="1:13" x14ac:dyDescent="0.25">
      <c r="B192" s="966" t="str">
        <f t="shared" si="55"/>
        <v/>
      </c>
      <c r="C192" s="961" t="str">
        <f t="shared" si="56"/>
        <v/>
      </c>
      <c r="D192" s="961" t="str">
        <f t="shared" si="56"/>
        <v/>
      </c>
      <c r="E192" s="961" t="str">
        <f t="shared" si="56"/>
        <v/>
      </c>
      <c r="F192" s="961" t="str">
        <f t="shared" si="56"/>
        <v/>
      </c>
      <c r="G192" s="961" t="str">
        <f t="shared" si="56"/>
        <v/>
      </c>
      <c r="H192" s="961" t="str">
        <f t="shared" si="56"/>
        <v/>
      </c>
      <c r="I192" s="961" t="str">
        <f t="shared" si="56"/>
        <v/>
      </c>
      <c r="J192" s="961" t="str">
        <f t="shared" si="56"/>
        <v/>
      </c>
      <c r="K192" s="961" t="str">
        <f t="shared" si="56"/>
        <v/>
      </c>
      <c r="L192" s="961" t="str">
        <f t="shared" si="56"/>
        <v/>
      </c>
      <c r="M192" s="962">
        <f t="shared" si="54"/>
        <v>0</v>
      </c>
    </row>
    <row r="193" spans="2:13" x14ac:dyDescent="0.25">
      <c r="B193" s="966" t="str">
        <f t="shared" si="55"/>
        <v/>
      </c>
      <c r="C193" s="961" t="str">
        <f t="shared" si="56"/>
        <v/>
      </c>
      <c r="D193" s="961" t="str">
        <f t="shared" si="56"/>
        <v/>
      </c>
      <c r="E193" s="961" t="str">
        <f t="shared" si="56"/>
        <v/>
      </c>
      <c r="F193" s="961" t="str">
        <f t="shared" si="56"/>
        <v/>
      </c>
      <c r="G193" s="961" t="str">
        <f t="shared" si="56"/>
        <v/>
      </c>
      <c r="H193" s="961" t="str">
        <f t="shared" si="56"/>
        <v/>
      </c>
      <c r="I193" s="961" t="str">
        <f t="shared" si="56"/>
        <v/>
      </c>
      <c r="J193" s="961" t="str">
        <f t="shared" si="56"/>
        <v/>
      </c>
      <c r="K193" s="961" t="str">
        <f t="shared" si="56"/>
        <v/>
      </c>
      <c r="L193" s="961" t="str">
        <f t="shared" si="56"/>
        <v/>
      </c>
      <c r="M193" s="962">
        <f t="shared" si="54"/>
        <v>0</v>
      </c>
    </row>
    <row r="194" spans="2:13" x14ac:dyDescent="0.25">
      <c r="B194" s="966" t="str">
        <f t="shared" si="55"/>
        <v/>
      </c>
      <c r="C194" s="961" t="str">
        <f t="shared" si="56"/>
        <v/>
      </c>
      <c r="D194" s="961" t="str">
        <f t="shared" si="56"/>
        <v/>
      </c>
      <c r="E194" s="961" t="str">
        <f t="shared" si="56"/>
        <v/>
      </c>
      <c r="F194" s="961" t="str">
        <f t="shared" si="56"/>
        <v/>
      </c>
      <c r="G194" s="961" t="str">
        <f t="shared" si="56"/>
        <v/>
      </c>
      <c r="H194" s="961" t="str">
        <f t="shared" si="56"/>
        <v/>
      </c>
      <c r="I194" s="961" t="str">
        <f t="shared" si="56"/>
        <v/>
      </c>
      <c r="J194" s="961" t="str">
        <f t="shared" si="56"/>
        <v/>
      </c>
      <c r="K194" s="961" t="str">
        <f t="shared" si="56"/>
        <v/>
      </c>
      <c r="L194" s="961" t="str">
        <f t="shared" si="56"/>
        <v/>
      </c>
      <c r="M194" s="962">
        <f t="shared" si="54"/>
        <v>0</v>
      </c>
    </row>
    <row r="195" spans="2:13" x14ac:dyDescent="0.25">
      <c r="B195" s="966" t="str">
        <f t="shared" si="55"/>
        <v/>
      </c>
      <c r="C195" s="961" t="str">
        <f t="shared" si="56"/>
        <v/>
      </c>
      <c r="D195" s="961" t="str">
        <f t="shared" si="56"/>
        <v/>
      </c>
      <c r="E195" s="961" t="str">
        <f t="shared" si="56"/>
        <v/>
      </c>
      <c r="F195" s="961" t="str">
        <f t="shared" si="56"/>
        <v/>
      </c>
      <c r="G195" s="961" t="str">
        <f t="shared" si="56"/>
        <v/>
      </c>
      <c r="H195" s="961" t="str">
        <f t="shared" si="56"/>
        <v/>
      </c>
      <c r="I195" s="961" t="str">
        <f t="shared" si="56"/>
        <v/>
      </c>
      <c r="J195" s="961" t="str">
        <f t="shared" si="56"/>
        <v/>
      </c>
      <c r="K195" s="961" t="str">
        <f t="shared" si="56"/>
        <v/>
      </c>
      <c r="L195" s="961" t="str">
        <f t="shared" si="56"/>
        <v/>
      </c>
      <c r="M195" s="962">
        <f t="shared" si="54"/>
        <v>0</v>
      </c>
    </row>
    <row r="196" spans="2:13" x14ac:dyDescent="0.25">
      <c r="B196" s="966" t="str">
        <f t="shared" si="55"/>
        <v/>
      </c>
      <c r="C196" s="961" t="str">
        <f t="shared" si="56"/>
        <v/>
      </c>
      <c r="D196" s="961" t="str">
        <f t="shared" si="56"/>
        <v/>
      </c>
      <c r="E196" s="961" t="str">
        <f t="shared" si="56"/>
        <v/>
      </c>
      <c r="F196" s="961" t="str">
        <f t="shared" si="56"/>
        <v/>
      </c>
      <c r="G196" s="961" t="str">
        <f t="shared" si="56"/>
        <v/>
      </c>
      <c r="H196" s="961" t="str">
        <f t="shared" si="56"/>
        <v/>
      </c>
      <c r="I196" s="961" t="str">
        <f t="shared" si="56"/>
        <v/>
      </c>
      <c r="J196" s="961" t="str">
        <f t="shared" si="56"/>
        <v/>
      </c>
      <c r="K196" s="961" t="str">
        <f t="shared" si="56"/>
        <v/>
      </c>
      <c r="L196" s="961" t="str">
        <f t="shared" si="56"/>
        <v/>
      </c>
      <c r="M196" s="962">
        <f t="shared" si="54"/>
        <v>0</v>
      </c>
    </row>
    <row r="197" spans="2:13" ht="15.75" thickBot="1" x14ac:dyDescent="0.3">
      <c r="B197" s="966" t="str">
        <f t="shared" si="55"/>
        <v/>
      </c>
      <c r="C197" s="961" t="str">
        <f t="shared" si="56"/>
        <v/>
      </c>
      <c r="D197" s="961" t="str">
        <f t="shared" si="56"/>
        <v/>
      </c>
      <c r="E197" s="961" t="str">
        <f t="shared" si="56"/>
        <v/>
      </c>
      <c r="F197" s="961" t="str">
        <f t="shared" si="56"/>
        <v/>
      </c>
      <c r="G197" s="961" t="str">
        <f t="shared" si="56"/>
        <v/>
      </c>
      <c r="H197" s="961" t="str">
        <f t="shared" si="56"/>
        <v/>
      </c>
      <c r="I197" s="961" t="str">
        <f t="shared" si="56"/>
        <v/>
      </c>
      <c r="J197" s="961" t="str">
        <f t="shared" si="56"/>
        <v/>
      </c>
      <c r="K197" s="961" t="str">
        <f t="shared" si="56"/>
        <v/>
      </c>
      <c r="L197" s="961" t="str">
        <f t="shared" si="56"/>
        <v/>
      </c>
      <c r="M197" s="962">
        <f t="shared" si="54"/>
        <v>0</v>
      </c>
    </row>
    <row r="198" spans="2:13" ht="15.75" thickBot="1" x14ac:dyDescent="0.3">
      <c r="B198" s="963" t="s">
        <v>4979</v>
      </c>
      <c r="C198" s="967"/>
      <c r="D198" s="967"/>
      <c r="E198" s="967"/>
      <c r="F198" s="967"/>
      <c r="G198" s="967"/>
      <c r="H198" s="967"/>
      <c r="I198" s="967"/>
      <c r="J198" s="967"/>
      <c r="K198" s="967"/>
      <c r="L198" s="967"/>
      <c r="M198" s="968"/>
    </row>
    <row r="199" spans="2:13" x14ac:dyDescent="0.25">
      <c r="B199" s="966" t="str">
        <f>IF(B115="","",B115)</f>
        <v/>
      </c>
      <c r="C199" s="961" t="str">
        <f>IFERROR(C175-C187,"")</f>
        <v/>
      </c>
      <c r="D199" s="961" t="str">
        <f t="shared" ref="D199:L199" si="57">IFERROR(D175-D187,"")</f>
        <v/>
      </c>
      <c r="E199" s="961" t="str">
        <f t="shared" si="57"/>
        <v/>
      </c>
      <c r="F199" s="961" t="str">
        <f t="shared" si="57"/>
        <v/>
      </c>
      <c r="G199" s="961" t="str">
        <f t="shared" si="57"/>
        <v/>
      </c>
      <c r="H199" s="961" t="str">
        <f t="shared" si="57"/>
        <v/>
      </c>
      <c r="I199" s="961" t="str">
        <f t="shared" si="57"/>
        <v/>
      </c>
      <c r="J199" s="961" t="str">
        <f t="shared" si="57"/>
        <v/>
      </c>
      <c r="K199" s="961" t="str">
        <f t="shared" si="57"/>
        <v/>
      </c>
      <c r="L199" s="961" t="str">
        <f t="shared" si="57"/>
        <v/>
      </c>
      <c r="M199" s="962">
        <f t="shared" ref="M199:M209" si="58">NPV($P$1,C199:L199)</f>
        <v>0</v>
      </c>
    </row>
    <row r="200" spans="2:13" x14ac:dyDescent="0.25">
      <c r="B200" s="966" t="str">
        <f t="shared" ref="B200:B209" si="59">IF(B116="","",B116)</f>
        <v/>
      </c>
      <c r="C200" s="961" t="str">
        <f t="shared" ref="C200:L209" si="60">IFERROR(C176-C188,"")</f>
        <v/>
      </c>
      <c r="D200" s="961" t="str">
        <f t="shared" si="60"/>
        <v/>
      </c>
      <c r="E200" s="961" t="str">
        <f t="shared" si="60"/>
        <v/>
      </c>
      <c r="F200" s="961" t="str">
        <f t="shared" si="60"/>
        <v/>
      </c>
      <c r="G200" s="961" t="str">
        <f t="shared" si="60"/>
        <v/>
      </c>
      <c r="H200" s="961" t="str">
        <f t="shared" si="60"/>
        <v/>
      </c>
      <c r="I200" s="961" t="str">
        <f t="shared" si="60"/>
        <v/>
      </c>
      <c r="J200" s="961" t="str">
        <f t="shared" si="60"/>
        <v/>
      </c>
      <c r="K200" s="961" t="str">
        <f t="shared" si="60"/>
        <v/>
      </c>
      <c r="L200" s="961" t="str">
        <f t="shared" si="60"/>
        <v/>
      </c>
      <c r="M200" s="962">
        <f t="shared" si="58"/>
        <v>0</v>
      </c>
    </row>
    <row r="201" spans="2:13" x14ac:dyDescent="0.25">
      <c r="B201" s="966" t="str">
        <f t="shared" si="59"/>
        <v/>
      </c>
      <c r="C201" s="961" t="str">
        <f t="shared" si="60"/>
        <v/>
      </c>
      <c r="D201" s="961" t="str">
        <f t="shared" si="60"/>
        <v/>
      </c>
      <c r="E201" s="961" t="str">
        <f t="shared" si="60"/>
        <v/>
      </c>
      <c r="F201" s="961" t="str">
        <f t="shared" si="60"/>
        <v/>
      </c>
      <c r="G201" s="961" t="str">
        <f t="shared" si="60"/>
        <v/>
      </c>
      <c r="H201" s="961" t="str">
        <f t="shared" si="60"/>
        <v/>
      </c>
      <c r="I201" s="961" t="str">
        <f t="shared" si="60"/>
        <v/>
      </c>
      <c r="J201" s="961" t="str">
        <f t="shared" si="60"/>
        <v/>
      </c>
      <c r="K201" s="961" t="str">
        <f t="shared" si="60"/>
        <v/>
      </c>
      <c r="L201" s="961" t="str">
        <f t="shared" si="60"/>
        <v/>
      </c>
      <c r="M201" s="962">
        <f t="shared" si="58"/>
        <v>0</v>
      </c>
    </row>
    <row r="202" spans="2:13" x14ac:dyDescent="0.25">
      <c r="B202" s="966" t="str">
        <f t="shared" si="59"/>
        <v/>
      </c>
      <c r="C202" s="961" t="str">
        <f t="shared" si="60"/>
        <v/>
      </c>
      <c r="D202" s="961" t="str">
        <f t="shared" si="60"/>
        <v/>
      </c>
      <c r="E202" s="961" t="str">
        <f t="shared" si="60"/>
        <v/>
      </c>
      <c r="F202" s="961" t="str">
        <f t="shared" si="60"/>
        <v/>
      </c>
      <c r="G202" s="961" t="str">
        <f t="shared" si="60"/>
        <v/>
      </c>
      <c r="H202" s="961" t="str">
        <f t="shared" si="60"/>
        <v/>
      </c>
      <c r="I202" s="961" t="str">
        <f t="shared" si="60"/>
        <v/>
      </c>
      <c r="J202" s="961" t="str">
        <f t="shared" si="60"/>
        <v/>
      </c>
      <c r="K202" s="961" t="str">
        <f t="shared" si="60"/>
        <v/>
      </c>
      <c r="L202" s="961" t="str">
        <f t="shared" si="60"/>
        <v/>
      </c>
      <c r="M202" s="962">
        <f t="shared" si="58"/>
        <v>0</v>
      </c>
    </row>
    <row r="203" spans="2:13" x14ac:dyDescent="0.25">
      <c r="B203" s="966" t="str">
        <f t="shared" si="59"/>
        <v/>
      </c>
      <c r="C203" s="961" t="str">
        <f t="shared" si="60"/>
        <v/>
      </c>
      <c r="D203" s="961" t="str">
        <f t="shared" si="60"/>
        <v/>
      </c>
      <c r="E203" s="961" t="str">
        <f t="shared" si="60"/>
        <v/>
      </c>
      <c r="F203" s="961" t="str">
        <f t="shared" si="60"/>
        <v/>
      </c>
      <c r="G203" s="961" t="str">
        <f t="shared" si="60"/>
        <v/>
      </c>
      <c r="H203" s="961" t="str">
        <f t="shared" si="60"/>
        <v/>
      </c>
      <c r="I203" s="961" t="str">
        <f t="shared" si="60"/>
        <v/>
      </c>
      <c r="J203" s="961" t="str">
        <f t="shared" si="60"/>
        <v/>
      </c>
      <c r="K203" s="961" t="str">
        <f t="shared" si="60"/>
        <v/>
      </c>
      <c r="L203" s="961" t="str">
        <f t="shared" si="60"/>
        <v/>
      </c>
      <c r="M203" s="962">
        <f t="shared" si="58"/>
        <v>0</v>
      </c>
    </row>
    <row r="204" spans="2:13" x14ac:dyDescent="0.25">
      <c r="B204" s="966" t="str">
        <f t="shared" si="59"/>
        <v/>
      </c>
      <c r="C204" s="961" t="str">
        <f t="shared" si="60"/>
        <v/>
      </c>
      <c r="D204" s="961" t="str">
        <f t="shared" si="60"/>
        <v/>
      </c>
      <c r="E204" s="961" t="str">
        <f t="shared" si="60"/>
        <v/>
      </c>
      <c r="F204" s="961" t="str">
        <f t="shared" si="60"/>
        <v/>
      </c>
      <c r="G204" s="961" t="str">
        <f t="shared" si="60"/>
        <v/>
      </c>
      <c r="H204" s="961" t="str">
        <f t="shared" si="60"/>
        <v/>
      </c>
      <c r="I204" s="961" t="str">
        <f t="shared" si="60"/>
        <v/>
      </c>
      <c r="J204" s="961" t="str">
        <f t="shared" si="60"/>
        <v/>
      </c>
      <c r="K204" s="961" t="str">
        <f t="shared" si="60"/>
        <v/>
      </c>
      <c r="L204" s="961" t="str">
        <f t="shared" si="60"/>
        <v/>
      </c>
      <c r="M204" s="962">
        <f t="shared" si="58"/>
        <v>0</v>
      </c>
    </row>
    <row r="205" spans="2:13" x14ac:dyDescent="0.25">
      <c r="B205" s="966" t="str">
        <f t="shared" si="59"/>
        <v/>
      </c>
      <c r="C205" s="961" t="str">
        <f t="shared" si="60"/>
        <v/>
      </c>
      <c r="D205" s="961" t="str">
        <f t="shared" si="60"/>
        <v/>
      </c>
      <c r="E205" s="961" t="str">
        <f t="shared" si="60"/>
        <v/>
      </c>
      <c r="F205" s="961" t="str">
        <f t="shared" si="60"/>
        <v/>
      </c>
      <c r="G205" s="961" t="str">
        <f t="shared" si="60"/>
        <v/>
      </c>
      <c r="H205" s="961" t="str">
        <f t="shared" si="60"/>
        <v/>
      </c>
      <c r="I205" s="961" t="str">
        <f t="shared" si="60"/>
        <v/>
      </c>
      <c r="J205" s="961" t="str">
        <f t="shared" si="60"/>
        <v/>
      </c>
      <c r="K205" s="961" t="str">
        <f t="shared" si="60"/>
        <v/>
      </c>
      <c r="L205" s="961" t="str">
        <f t="shared" si="60"/>
        <v/>
      </c>
      <c r="M205" s="962">
        <f t="shared" si="58"/>
        <v>0</v>
      </c>
    </row>
    <row r="206" spans="2:13" x14ac:dyDescent="0.25">
      <c r="B206" s="966" t="str">
        <f t="shared" si="59"/>
        <v/>
      </c>
      <c r="C206" s="961" t="str">
        <f t="shared" si="60"/>
        <v/>
      </c>
      <c r="D206" s="961" t="str">
        <f t="shared" si="60"/>
        <v/>
      </c>
      <c r="E206" s="961" t="str">
        <f t="shared" si="60"/>
        <v/>
      </c>
      <c r="F206" s="961" t="str">
        <f t="shared" si="60"/>
        <v/>
      </c>
      <c r="G206" s="961" t="str">
        <f t="shared" si="60"/>
        <v/>
      </c>
      <c r="H206" s="961" t="str">
        <f t="shared" si="60"/>
        <v/>
      </c>
      <c r="I206" s="961" t="str">
        <f t="shared" si="60"/>
        <v/>
      </c>
      <c r="J206" s="961" t="str">
        <f t="shared" si="60"/>
        <v/>
      </c>
      <c r="K206" s="961" t="str">
        <f t="shared" si="60"/>
        <v/>
      </c>
      <c r="L206" s="961" t="str">
        <f t="shared" si="60"/>
        <v/>
      </c>
      <c r="M206" s="962">
        <f t="shared" si="58"/>
        <v>0</v>
      </c>
    </row>
    <row r="207" spans="2:13" x14ac:dyDescent="0.25">
      <c r="B207" s="966" t="str">
        <f t="shared" si="59"/>
        <v/>
      </c>
      <c r="C207" s="961" t="str">
        <f t="shared" si="60"/>
        <v/>
      </c>
      <c r="D207" s="961" t="str">
        <f t="shared" si="60"/>
        <v/>
      </c>
      <c r="E207" s="961" t="str">
        <f t="shared" si="60"/>
        <v/>
      </c>
      <c r="F207" s="961" t="str">
        <f t="shared" si="60"/>
        <v/>
      </c>
      <c r="G207" s="961" t="str">
        <f t="shared" si="60"/>
        <v/>
      </c>
      <c r="H207" s="961" t="str">
        <f t="shared" si="60"/>
        <v/>
      </c>
      <c r="I207" s="961" t="str">
        <f t="shared" si="60"/>
        <v/>
      </c>
      <c r="J207" s="961" t="str">
        <f t="shared" si="60"/>
        <v/>
      </c>
      <c r="K207" s="961" t="str">
        <f t="shared" si="60"/>
        <v/>
      </c>
      <c r="L207" s="961" t="str">
        <f t="shared" si="60"/>
        <v/>
      </c>
      <c r="M207" s="962">
        <f t="shared" si="58"/>
        <v>0</v>
      </c>
    </row>
    <row r="208" spans="2:13" x14ac:dyDescent="0.25">
      <c r="B208" s="966" t="str">
        <f t="shared" si="59"/>
        <v/>
      </c>
      <c r="C208" s="961" t="str">
        <f t="shared" si="60"/>
        <v/>
      </c>
      <c r="D208" s="961" t="str">
        <f t="shared" si="60"/>
        <v/>
      </c>
      <c r="E208" s="961" t="str">
        <f t="shared" si="60"/>
        <v/>
      </c>
      <c r="F208" s="961" t="str">
        <f t="shared" si="60"/>
        <v/>
      </c>
      <c r="G208" s="961" t="str">
        <f t="shared" si="60"/>
        <v/>
      </c>
      <c r="H208" s="961" t="str">
        <f t="shared" si="60"/>
        <v/>
      </c>
      <c r="I208" s="961" t="str">
        <f t="shared" si="60"/>
        <v/>
      </c>
      <c r="J208" s="961" t="str">
        <f t="shared" si="60"/>
        <v/>
      </c>
      <c r="K208" s="961" t="str">
        <f t="shared" si="60"/>
        <v/>
      </c>
      <c r="L208" s="961" t="str">
        <f t="shared" si="60"/>
        <v/>
      </c>
      <c r="M208" s="962">
        <f t="shared" si="58"/>
        <v>0</v>
      </c>
    </row>
    <row r="209" spans="2:14" ht="15.75" thickBot="1" x14ac:dyDescent="0.3">
      <c r="B209" s="966" t="str">
        <f t="shared" si="59"/>
        <v/>
      </c>
      <c r="C209" s="961" t="str">
        <f t="shared" si="60"/>
        <v/>
      </c>
      <c r="D209" s="961" t="str">
        <f t="shared" si="60"/>
        <v/>
      </c>
      <c r="E209" s="961" t="str">
        <f t="shared" si="60"/>
        <v/>
      </c>
      <c r="F209" s="961" t="str">
        <f t="shared" si="60"/>
        <v/>
      </c>
      <c r="G209" s="961" t="str">
        <f t="shared" si="60"/>
        <v/>
      </c>
      <c r="H209" s="961" t="str">
        <f t="shared" si="60"/>
        <v/>
      </c>
      <c r="I209" s="961" t="str">
        <f t="shared" si="60"/>
        <v/>
      </c>
      <c r="J209" s="961" t="str">
        <f t="shared" si="60"/>
        <v/>
      </c>
      <c r="K209" s="961" t="str">
        <f t="shared" si="60"/>
        <v/>
      </c>
      <c r="L209" s="961" t="str">
        <f t="shared" si="60"/>
        <v/>
      </c>
      <c r="M209" s="962">
        <f t="shared" si="58"/>
        <v>0</v>
      </c>
    </row>
    <row r="210" spans="2:14" ht="15.75" thickBot="1" x14ac:dyDescent="0.3">
      <c r="B210" s="963" t="s">
        <v>4770</v>
      </c>
      <c r="C210" s="970">
        <f t="shared" ref="C210:M210" si="61">SUM(C199:C209)</f>
        <v>0</v>
      </c>
      <c r="D210" s="970">
        <f t="shared" si="61"/>
        <v>0</v>
      </c>
      <c r="E210" s="970">
        <f t="shared" si="61"/>
        <v>0</v>
      </c>
      <c r="F210" s="970">
        <f t="shared" si="61"/>
        <v>0</v>
      </c>
      <c r="G210" s="970">
        <f t="shared" si="61"/>
        <v>0</v>
      </c>
      <c r="H210" s="970">
        <f t="shared" si="61"/>
        <v>0</v>
      </c>
      <c r="I210" s="970">
        <f t="shared" si="61"/>
        <v>0</v>
      </c>
      <c r="J210" s="970">
        <f t="shared" si="61"/>
        <v>0</v>
      </c>
      <c r="K210" s="970">
        <f t="shared" si="61"/>
        <v>0</v>
      </c>
      <c r="L210" s="970">
        <f t="shared" si="61"/>
        <v>0</v>
      </c>
      <c r="M210" s="968">
        <f t="shared" si="61"/>
        <v>0</v>
      </c>
    </row>
    <row r="211" spans="2:14" x14ac:dyDescent="0.25">
      <c r="B211" s="991"/>
      <c r="C211" s="961"/>
      <c r="D211" s="961"/>
      <c r="E211" s="961"/>
      <c r="F211" s="961"/>
      <c r="G211" s="961"/>
      <c r="H211" s="961"/>
      <c r="I211" s="961"/>
      <c r="J211" s="961"/>
      <c r="K211" s="961"/>
      <c r="L211" s="961"/>
      <c r="M211" s="962"/>
    </row>
    <row r="212" spans="2:14" x14ac:dyDescent="0.25">
      <c r="B212" s="974" t="s">
        <v>4980</v>
      </c>
      <c r="C212" s="975">
        <f>1/(1+$P$1)^C111</f>
        <v>0.92592592592592582</v>
      </c>
      <c r="D212" s="975">
        <f t="shared" ref="D212:L212" si="62">1/(1+$P$1)^D111</f>
        <v>0.85733882030178321</v>
      </c>
      <c r="E212" s="975">
        <f t="shared" si="62"/>
        <v>0.79383224102016958</v>
      </c>
      <c r="F212" s="975">
        <f t="shared" si="62"/>
        <v>0.73502985279645328</v>
      </c>
      <c r="G212" s="975">
        <f t="shared" si="62"/>
        <v>0.68058319703375303</v>
      </c>
      <c r="H212" s="975">
        <f t="shared" si="62"/>
        <v>0.63016962688310452</v>
      </c>
      <c r="I212" s="975">
        <f t="shared" si="62"/>
        <v>0.58349039526213387</v>
      </c>
      <c r="J212" s="975">
        <f t="shared" si="62"/>
        <v>0.54026888450197574</v>
      </c>
      <c r="K212" s="975">
        <f t="shared" si="62"/>
        <v>0.50024896713145905</v>
      </c>
      <c r="L212" s="975">
        <f t="shared" si="62"/>
        <v>0.46319348808468425</v>
      </c>
      <c r="M212" s="976">
        <v>1</v>
      </c>
    </row>
    <row r="213" spans="2:14" ht="15.75" thickBot="1" x14ac:dyDescent="0.3">
      <c r="B213" s="992"/>
      <c r="C213" s="993"/>
      <c r="D213" s="993"/>
      <c r="E213" s="993"/>
      <c r="F213" s="993"/>
      <c r="G213" s="993"/>
      <c r="H213" s="993"/>
      <c r="I213" s="993"/>
      <c r="J213" s="993"/>
      <c r="K213" s="993"/>
      <c r="L213" s="993"/>
      <c r="M213" s="994"/>
    </row>
    <row r="214" spans="2:14" ht="15.75" thickBot="1" x14ac:dyDescent="0.3">
      <c r="B214" s="977" t="s">
        <v>4981</v>
      </c>
      <c r="C214" s="978">
        <f>C210*C212</f>
        <v>0</v>
      </c>
      <c r="D214" s="978">
        <f t="shared" ref="D214:K214" si="63">D210*D212</f>
        <v>0</v>
      </c>
      <c r="E214" s="978">
        <f t="shared" si="63"/>
        <v>0</v>
      </c>
      <c r="F214" s="978">
        <f t="shared" si="63"/>
        <v>0</v>
      </c>
      <c r="G214" s="978">
        <f t="shared" si="63"/>
        <v>0</v>
      </c>
      <c r="H214" s="978">
        <f t="shared" si="63"/>
        <v>0</v>
      </c>
      <c r="I214" s="978">
        <f t="shared" si="63"/>
        <v>0</v>
      </c>
      <c r="J214" s="978">
        <f t="shared" si="63"/>
        <v>0</v>
      </c>
      <c r="K214" s="978">
        <f t="shared" si="63"/>
        <v>0</v>
      </c>
      <c r="L214" s="978">
        <f>L210*L212</f>
        <v>0</v>
      </c>
      <c r="M214" s="979">
        <f>M210*M212</f>
        <v>0</v>
      </c>
      <c r="N214" s="869"/>
    </row>
    <row r="215" spans="2:14" ht="15.75" thickBot="1" x14ac:dyDescent="0.3">
      <c r="B215" s="980"/>
      <c r="C215" s="981"/>
      <c r="D215" s="981"/>
      <c r="E215" s="981"/>
      <c r="F215" s="981"/>
      <c r="G215" s="981"/>
      <c r="H215" s="981"/>
      <c r="I215" s="981"/>
      <c r="J215" s="981"/>
      <c r="K215" s="981"/>
      <c r="L215" s="982"/>
      <c r="M215" s="983"/>
    </row>
    <row r="217" spans="2:14" ht="13.5" customHeight="1" x14ac:dyDescent="0.25"/>
    <row r="220" spans="2:14" ht="19.5" x14ac:dyDescent="0.4">
      <c r="B220" s="1993" t="s">
        <v>4985</v>
      </c>
      <c r="C220" s="1993"/>
      <c r="D220" s="1993"/>
      <c r="E220" s="1993"/>
      <c r="F220" s="1993"/>
      <c r="G220" s="1993"/>
      <c r="H220" s="1993"/>
      <c r="I220" s="1993"/>
      <c r="J220" s="1993"/>
      <c r="K220" s="1993"/>
      <c r="L220" s="1993"/>
      <c r="M220" s="1993"/>
      <c r="N220" s="1993"/>
    </row>
    <row r="221" spans="2:14" ht="15.75" thickBot="1" x14ac:dyDescent="0.3">
      <c r="B221" s="321"/>
      <c r="C221" s="321"/>
      <c r="D221" s="321"/>
      <c r="E221" s="321"/>
      <c r="F221" s="321"/>
      <c r="G221" s="321"/>
      <c r="H221" s="321"/>
      <c r="I221" s="321"/>
      <c r="J221" s="321"/>
      <c r="K221" s="321"/>
      <c r="L221" s="321"/>
      <c r="M221" s="321"/>
      <c r="N221" s="321"/>
    </row>
    <row r="222" spans="2:14" ht="15.75" thickBot="1" x14ac:dyDescent="0.3">
      <c r="B222" s="1994" t="s">
        <v>4969</v>
      </c>
      <c r="C222" s="995"/>
      <c r="D222" s="1996" t="s">
        <v>4970</v>
      </c>
      <c r="E222" s="1996"/>
      <c r="F222" s="1996"/>
      <c r="G222" s="1996"/>
      <c r="H222" s="1996"/>
      <c r="I222" s="1996"/>
      <c r="J222" s="1996"/>
      <c r="K222" s="1996"/>
      <c r="L222" s="1996"/>
      <c r="M222" s="1996"/>
      <c r="N222" s="1997" t="s">
        <v>4971</v>
      </c>
    </row>
    <row r="223" spans="2:14" ht="15.75" thickBot="1" x14ac:dyDescent="0.3">
      <c r="B223" s="1995"/>
      <c r="C223" s="954">
        <v>0</v>
      </c>
      <c r="D223" s="954">
        <v>1</v>
      </c>
      <c r="E223" s="955">
        <v>2</v>
      </c>
      <c r="F223" s="955">
        <v>3</v>
      </c>
      <c r="G223" s="955">
        <v>4</v>
      </c>
      <c r="H223" s="955">
        <v>5</v>
      </c>
      <c r="I223" s="955">
        <v>6</v>
      </c>
      <c r="J223" s="955">
        <v>7</v>
      </c>
      <c r="K223" s="955">
        <v>8</v>
      </c>
      <c r="L223" s="955">
        <v>9</v>
      </c>
      <c r="M223" s="955">
        <v>10</v>
      </c>
      <c r="N223" s="1998"/>
    </row>
    <row r="224" spans="2:14" x14ac:dyDescent="0.25">
      <c r="B224" s="996" t="s">
        <v>4986</v>
      </c>
      <c r="C224" s="997"/>
      <c r="D224" s="998"/>
      <c r="E224" s="998"/>
      <c r="F224" s="998"/>
      <c r="G224" s="998"/>
      <c r="H224" s="998"/>
      <c r="I224" s="998"/>
      <c r="J224" s="998"/>
      <c r="K224" s="998"/>
      <c r="L224" s="998"/>
      <c r="M224" s="999"/>
      <c r="N224" s="1000"/>
    </row>
    <row r="225" spans="2:14" x14ac:dyDescent="0.25">
      <c r="B225" s="850" t="s">
        <v>4987</v>
      </c>
      <c r="C225" s="1001"/>
      <c r="D225" s="961">
        <f>SUM(C175:C185)</f>
        <v>0</v>
      </c>
      <c r="E225" s="961">
        <f t="shared" ref="E225:M225" si="64">SUM(D175:D185)</f>
        <v>0</v>
      </c>
      <c r="F225" s="961">
        <f t="shared" si="64"/>
        <v>0</v>
      </c>
      <c r="G225" s="961">
        <f t="shared" si="64"/>
        <v>0</v>
      </c>
      <c r="H225" s="961">
        <f t="shared" si="64"/>
        <v>0</v>
      </c>
      <c r="I225" s="961">
        <f t="shared" si="64"/>
        <v>0</v>
      </c>
      <c r="J225" s="961">
        <f t="shared" si="64"/>
        <v>0</v>
      </c>
      <c r="K225" s="961">
        <f t="shared" si="64"/>
        <v>0</v>
      </c>
      <c r="L225" s="961">
        <f t="shared" si="64"/>
        <v>0</v>
      </c>
      <c r="M225" s="961">
        <f t="shared" si="64"/>
        <v>0</v>
      </c>
      <c r="N225" s="962">
        <f>NPV($P$1,D225:M225)+C225</f>
        <v>0</v>
      </c>
    </row>
    <row r="226" spans="2:14" ht="15.75" thickBot="1" x14ac:dyDescent="0.3">
      <c r="B226" s="850" t="s">
        <v>4988</v>
      </c>
      <c r="C226" s="1001"/>
      <c r="D226" s="961">
        <f>SUM(C66:C76)</f>
        <v>0</v>
      </c>
      <c r="E226" s="961">
        <f t="shared" ref="E226:M226" si="65">SUM(D66:D76)</f>
        <v>0</v>
      </c>
      <c r="F226" s="961">
        <f t="shared" si="65"/>
        <v>0</v>
      </c>
      <c r="G226" s="961">
        <f t="shared" si="65"/>
        <v>0</v>
      </c>
      <c r="H226" s="961">
        <f t="shared" si="65"/>
        <v>0</v>
      </c>
      <c r="I226" s="961">
        <f t="shared" si="65"/>
        <v>0</v>
      </c>
      <c r="J226" s="961">
        <f t="shared" si="65"/>
        <v>0</v>
      </c>
      <c r="K226" s="961">
        <f t="shared" si="65"/>
        <v>0</v>
      </c>
      <c r="L226" s="961">
        <f t="shared" si="65"/>
        <v>0</v>
      </c>
      <c r="M226" s="961">
        <f t="shared" si="65"/>
        <v>0</v>
      </c>
      <c r="N226" s="962">
        <f>NPV($P$1,D226:M226)+C226</f>
        <v>0</v>
      </c>
    </row>
    <row r="227" spans="2:14" ht="15.75" thickBot="1" x14ac:dyDescent="0.3">
      <c r="B227" s="956" t="s">
        <v>4770</v>
      </c>
      <c r="C227" s="967">
        <f>C225-C226</f>
        <v>0</v>
      </c>
      <c r="D227" s="967">
        <f>D225-D226</f>
        <v>0</v>
      </c>
      <c r="E227" s="967">
        <f t="shared" ref="E227:L227" si="66">E225-E226</f>
        <v>0</v>
      </c>
      <c r="F227" s="967">
        <f t="shared" si="66"/>
        <v>0</v>
      </c>
      <c r="G227" s="967">
        <f t="shared" si="66"/>
        <v>0</v>
      </c>
      <c r="H227" s="967">
        <f t="shared" si="66"/>
        <v>0</v>
      </c>
      <c r="I227" s="967">
        <f t="shared" si="66"/>
        <v>0</v>
      </c>
      <c r="J227" s="967">
        <f t="shared" si="66"/>
        <v>0</v>
      </c>
      <c r="K227" s="967">
        <f t="shared" si="66"/>
        <v>0</v>
      </c>
      <c r="L227" s="967">
        <f t="shared" si="66"/>
        <v>0</v>
      </c>
      <c r="M227" s="967">
        <f>M225-M226</f>
        <v>0</v>
      </c>
      <c r="N227" s="968">
        <f>N225-N226</f>
        <v>0</v>
      </c>
    </row>
    <row r="228" spans="2:14" ht="15.75" thickBot="1" x14ac:dyDescent="0.3">
      <c r="B228" s="956" t="s">
        <v>4989</v>
      </c>
      <c r="C228" s="967">
        <f>1/(1+$P$1)^C223</f>
        <v>1</v>
      </c>
      <c r="D228" s="967">
        <f>1/(1+$P$1)^D223</f>
        <v>0.92592592592592582</v>
      </c>
      <c r="E228" s="967">
        <f t="shared" ref="E228:M228" si="67">1/(1+$P$1)^E223</f>
        <v>0.85733882030178321</v>
      </c>
      <c r="F228" s="967">
        <f t="shared" si="67"/>
        <v>0.79383224102016958</v>
      </c>
      <c r="G228" s="967">
        <f t="shared" si="67"/>
        <v>0.73502985279645328</v>
      </c>
      <c r="H228" s="967">
        <f t="shared" si="67"/>
        <v>0.68058319703375303</v>
      </c>
      <c r="I228" s="967">
        <f t="shared" si="67"/>
        <v>0.63016962688310452</v>
      </c>
      <c r="J228" s="967">
        <f t="shared" si="67"/>
        <v>0.58349039526213387</v>
      </c>
      <c r="K228" s="967">
        <f t="shared" si="67"/>
        <v>0.54026888450197574</v>
      </c>
      <c r="L228" s="967">
        <f t="shared" si="67"/>
        <v>0.50024896713145905</v>
      </c>
      <c r="M228" s="967">
        <f t="shared" si="67"/>
        <v>0.46319348808468425</v>
      </c>
      <c r="N228" s="968">
        <v>1</v>
      </c>
    </row>
    <row r="229" spans="2:14" ht="15.75" thickBot="1" x14ac:dyDescent="0.3">
      <c r="B229" s="1002" t="s">
        <v>4990</v>
      </c>
      <c r="C229" s="978">
        <f t="shared" ref="C229:N229" si="68">C227*C228</f>
        <v>0</v>
      </c>
      <c r="D229" s="978">
        <f t="shared" si="68"/>
        <v>0</v>
      </c>
      <c r="E229" s="978">
        <f t="shared" si="68"/>
        <v>0</v>
      </c>
      <c r="F229" s="978">
        <f t="shared" si="68"/>
        <v>0</v>
      </c>
      <c r="G229" s="978">
        <f t="shared" si="68"/>
        <v>0</v>
      </c>
      <c r="H229" s="978">
        <f t="shared" si="68"/>
        <v>0</v>
      </c>
      <c r="I229" s="978">
        <f t="shared" si="68"/>
        <v>0</v>
      </c>
      <c r="J229" s="978">
        <f t="shared" si="68"/>
        <v>0</v>
      </c>
      <c r="K229" s="978">
        <f t="shared" si="68"/>
        <v>0</v>
      </c>
      <c r="L229" s="978">
        <f t="shared" si="68"/>
        <v>0</v>
      </c>
      <c r="M229" s="978">
        <f>M227*M228</f>
        <v>0</v>
      </c>
      <c r="N229" s="979">
        <f t="shared" si="68"/>
        <v>0</v>
      </c>
    </row>
    <row r="230" spans="2:14" x14ac:dyDescent="0.25">
      <c r="B230" s="850"/>
      <c r="C230" s="1001"/>
      <c r="D230" s="961"/>
      <c r="E230" s="961"/>
      <c r="F230" s="961"/>
      <c r="G230" s="961"/>
      <c r="H230" s="961"/>
      <c r="I230" s="961"/>
      <c r="J230" s="961"/>
      <c r="K230" s="961"/>
      <c r="L230" s="961"/>
      <c r="M230" s="961"/>
      <c r="N230" s="962"/>
    </row>
    <row r="231" spans="2:14" x14ac:dyDescent="0.25">
      <c r="B231" s="1003" t="s">
        <v>4991</v>
      </c>
      <c r="C231" s="1004"/>
      <c r="D231" s="1005" t="s">
        <v>4992</v>
      </c>
      <c r="E231" s="961"/>
      <c r="F231" s="961"/>
      <c r="G231" s="961"/>
      <c r="H231" s="961"/>
      <c r="I231" s="961"/>
      <c r="J231" s="961"/>
      <c r="K231" s="961"/>
      <c r="L231" s="961"/>
      <c r="M231" s="961"/>
      <c r="N231" s="962"/>
    </row>
    <row r="232" spans="2:14" x14ac:dyDescent="0.25">
      <c r="B232" s="850" t="s">
        <v>4987</v>
      </c>
      <c r="C232" s="1001"/>
      <c r="D232" s="961">
        <f>SUM(C187:C197)</f>
        <v>0</v>
      </c>
      <c r="E232" s="961">
        <f t="shared" ref="E232:M232" si="69">SUM(D187:D197)</f>
        <v>0</v>
      </c>
      <c r="F232" s="961">
        <f t="shared" si="69"/>
        <v>0</v>
      </c>
      <c r="G232" s="961">
        <f t="shared" si="69"/>
        <v>0</v>
      </c>
      <c r="H232" s="961">
        <f t="shared" si="69"/>
        <v>0</v>
      </c>
      <c r="I232" s="961">
        <f t="shared" si="69"/>
        <v>0</v>
      </c>
      <c r="J232" s="961">
        <f t="shared" si="69"/>
        <v>0</v>
      </c>
      <c r="K232" s="961">
        <f t="shared" si="69"/>
        <v>0</v>
      </c>
      <c r="L232" s="961">
        <f t="shared" si="69"/>
        <v>0</v>
      </c>
      <c r="M232" s="961">
        <f t="shared" si="69"/>
        <v>0</v>
      </c>
      <c r="N232" s="962">
        <f>NPV($P$1,D232:M232)+C232</f>
        <v>0</v>
      </c>
    </row>
    <row r="233" spans="2:14" ht="15.75" thickBot="1" x14ac:dyDescent="0.3">
      <c r="B233" s="850" t="s">
        <v>4993</v>
      </c>
      <c r="C233" s="1001"/>
      <c r="D233" s="961">
        <f>SUM(C78:C88)</f>
        <v>0</v>
      </c>
      <c r="E233" s="961">
        <f t="shared" ref="E233:M233" si="70">SUM(D78:D88)</f>
        <v>0</v>
      </c>
      <c r="F233" s="961">
        <f t="shared" si="70"/>
        <v>0</v>
      </c>
      <c r="G233" s="961">
        <f t="shared" si="70"/>
        <v>0</v>
      </c>
      <c r="H233" s="961">
        <f t="shared" si="70"/>
        <v>0</v>
      </c>
      <c r="I233" s="961">
        <f t="shared" si="70"/>
        <v>0</v>
      </c>
      <c r="J233" s="961">
        <f t="shared" si="70"/>
        <v>0</v>
      </c>
      <c r="K233" s="961">
        <f t="shared" si="70"/>
        <v>0</v>
      </c>
      <c r="L233" s="961">
        <f t="shared" si="70"/>
        <v>0</v>
      </c>
      <c r="M233" s="961">
        <f t="shared" si="70"/>
        <v>0</v>
      </c>
      <c r="N233" s="962">
        <f>NPV($P$1,D233:M233)+C233</f>
        <v>0</v>
      </c>
    </row>
    <row r="234" spans="2:14" ht="15.75" thickBot="1" x14ac:dyDescent="0.3">
      <c r="B234" s="956" t="s">
        <v>4770</v>
      </c>
      <c r="C234" s="967">
        <f t="shared" ref="C234:L234" si="71">C232-C233</f>
        <v>0</v>
      </c>
      <c r="D234" s="967">
        <f t="shared" si="71"/>
        <v>0</v>
      </c>
      <c r="E234" s="967">
        <f t="shared" si="71"/>
        <v>0</v>
      </c>
      <c r="F234" s="967">
        <f t="shared" si="71"/>
        <v>0</v>
      </c>
      <c r="G234" s="967">
        <f t="shared" si="71"/>
        <v>0</v>
      </c>
      <c r="H234" s="967">
        <f t="shared" si="71"/>
        <v>0</v>
      </c>
      <c r="I234" s="967">
        <f t="shared" si="71"/>
        <v>0</v>
      </c>
      <c r="J234" s="967">
        <f t="shared" si="71"/>
        <v>0</v>
      </c>
      <c r="K234" s="967">
        <f t="shared" si="71"/>
        <v>0</v>
      </c>
      <c r="L234" s="967">
        <f t="shared" si="71"/>
        <v>0</v>
      </c>
      <c r="M234" s="967">
        <f>M232-M233</f>
        <v>0</v>
      </c>
      <c r="N234" s="968">
        <f>N232-N233</f>
        <v>0</v>
      </c>
    </row>
    <row r="235" spans="2:14" ht="15.75" thickBot="1" x14ac:dyDescent="0.3">
      <c r="B235" s="956" t="s">
        <v>4989</v>
      </c>
      <c r="C235" s="967">
        <f>1/(1+$P$1)^C223</f>
        <v>1</v>
      </c>
      <c r="D235" s="967">
        <f t="shared" ref="D235:M235" si="72">1/(1+$P$1)^D223</f>
        <v>0.92592592592592582</v>
      </c>
      <c r="E235" s="967">
        <f t="shared" si="72"/>
        <v>0.85733882030178321</v>
      </c>
      <c r="F235" s="967">
        <f t="shared" si="72"/>
        <v>0.79383224102016958</v>
      </c>
      <c r="G235" s="967">
        <f t="shared" si="72"/>
        <v>0.73502985279645328</v>
      </c>
      <c r="H235" s="967">
        <f t="shared" si="72"/>
        <v>0.68058319703375303</v>
      </c>
      <c r="I235" s="967">
        <f t="shared" si="72"/>
        <v>0.63016962688310452</v>
      </c>
      <c r="J235" s="967">
        <f t="shared" si="72"/>
        <v>0.58349039526213387</v>
      </c>
      <c r="K235" s="967">
        <f t="shared" si="72"/>
        <v>0.54026888450197574</v>
      </c>
      <c r="L235" s="967">
        <f t="shared" si="72"/>
        <v>0.50024896713145905</v>
      </c>
      <c r="M235" s="967">
        <f t="shared" si="72"/>
        <v>0.46319348808468425</v>
      </c>
      <c r="N235" s="968">
        <v>1</v>
      </c>
    </row>
    <row r="236" spans="2:14" ht="15.75" thickBot="1" x14ac:dyDescent="0.3">
      <c r="B236" s="1002" t="s">
        <v>4994</v>
      </c>
      <c r="C236" s="978">
        <f>C234*C235</f>
        <v>0</v>
      </c>
      <c r="D236" s="978">
        <f>D234*D235</f>
        <v>0</v>
      </c>
      <c r="E236" s="978">
        <f t="shared" ref="E236:N236" si="73">E234*E235</f>
        <v>0</v>
      </c>
      <c r="F236" s="978">
        <f t="shared" si="73"/>
        <v>0</v>
      </c>
      <c r="G236" s="978">
        <f t="shared" si="73"/>
        <v>0</v>
      </c>
      <c r="H236" s="978">
        <f t="shared" si="73"/>
        <v>0</v>
      </c>
      <c r="I236" s="978">
        <f t="shared" si="73"/>
        <v>0</v>
      </c>
      <c r="J236" s="978">
        <f t="shared" si="73"/>
        <v>0</v>
      </c>
      <c r="K236" s="978">
        <f t="shared" si="73"/>
        <v>0</v>
      </c>
      <c r="L236" s="978">
        <f t="shared" si="73"/>
        <v>0</v>
      </c>
      <c r="M236" s="978">
        <f>M234*M235</f>
        <v>0</v>
      </c>
      <c r="N236" s="979">
        <f t="shared" si="73"/>
        <v>0</v>
      </c>
    </row>
    <row r="237" spans="2:14" x14ac:dyDescent="0.25">
      <c r="B237" s="850"/>
      <c r="C237" s="1001"/>
      <c r="D237" s="961"/>
      <c r="E237" s="961"/>
      <c r="F237" s="961"/>
      <c r="G237" s="961"/>
      <c r="H237" s="961"/>
      <c r="I237" s="961"/>
      <c r="J237" s="961"/>
      <c r="K237" s="961"/>
      <c r="L237" s="961"/>
      <c r="M237" s="961"/>
      <c r="N237" s="962"/>
    </row>
    <row r="238" spans="2:14" x14ac:dyDescent="0.25">
      <c r="B238" s="1003" t="s">
        <v>4995</v>
      </c>
      <c r="C238" s="1004"/>
      <c r="D238" s="961"/>
      <c r="E238" s="961"/>
      <c r="F238" s="961"/>
      <c r="G238" s="961"/>
      <c r="H238" s="961"/>
      <c r="I238" s="961"/>
      <c r="J238" s="961"/>
      <c r="K238" s="961"/>
      <c r="L238" s="961"/>
      <c r="M238" s="961"/>
      <c r="N238" s="962"/>
    </row>
    <row r="239" spans="2:14" ht="13.5" customHeight="1" x14ac:dyDescent="0.25">
      <c r="B239" s="850" t="s">
        <v>4987</v>
      </c>
      <c r="C239" s="1001"/>
      <c r="D239" s="961">
        <f>C210</f>
        <v>0</v>
      </c>
      <c r="E239" s="961">
        <f t="shared" ref="E239:M239" si="74">D210</f>
        <v>0</v>
      </c>
      <c r="F239" s="961">
        <f t="shared" si="74"/>
        <v>0</v>
      </c>
      <c r="G239" s="961">
        <f t="shared" si="74"/>
        <v>0</v>
      </c>
      <c r="H239" s="961">
        <f t="shared" si="74"/>
        <v>0</v>
      </c>
      <c r="I239" s="961">
        <f t="shared" si="74"/>
        <v>0</v>
      </c>
      <c r="J239" s="961">
        <f t="shared" si="74"/>
        <v>0</v>
      </c>
      <c r="K239" s="961">
        <f t="shared" si="74"/>
        <v>0</v>
      </c>
      <c r="L239" s="961">
        <f t="shared" si="74"/>
        <v>0</v>
      </c>
      <c r="M239" s="961">
        <f t="shared" si="74"/>
        <v>0</v>
      </c>
      <c r="N239" s="962">
        <f>NPV($P$1,D239:M239)+C239</f>
        <v>0</v>
      </c>
    </row>
    <row r="240" spans="2:14" ht="15.75" thickBot="1" x14ac:dyDescent="0.3">
      <c r="B240" s="850" t="s">
        <v>4988</v>
      </c>
      <c r="C240" s="1001"/>
      <c r="D240" s="961">
        <f>C101</f>
        <v>0</v>
      </c>
      <c r="E240" s="961">
        <f t="shared" ref="E240:M240" si="75">D101</f>
        <v>0</v>
      </c>
      <c r="F240" s="961">
        <f t="shared" si="75"/>
        <v>0</v>
      </c>
      <c r="G240" s="961">
        <f t="shared" si="75"/>
        <v>0</v>
      </c>
      <c r="H240" s="961">
        <f t="shared" si="75"/>
        <v>0</v>
      </c>
      <c r="I240" s="961">
        <f t="shared" si="75"/>
        <v>0</v>
      </c>
      <c r="J240" s="961">
        <f t="shared" si="75"/>
        <v>0</v>
      </c>
      <c r="K240" s="961">
        <f t="shared" si="75"/>
        <v>0</v>
      </c>
      <c r="L240" s="961">
        <f t="shared" si="75"/>
        <v>0</v>
      </c>
      <c r="M240" s="961">
        <f t="shared" si="75"/>
        <v>0</v>
      </c>
      <c r="N240" s="962">
        <f>NPV($P$1,D240:M240)+C240</f>
        <v>0</v>
      </c>
    </row>
    <row r="241" spans="2:14" ht="15.75" thickBot="1" x14ac:dyDescent="0.3">
      <c r="B241" s="956" t="s">
        <v>4770</v>
      </c>
      <c r="C241" s="967">
        <f t="shared" ref="C241:L241" si="76">C239-C240</f>
        <v>0</v>
      </c>
      <c r="D241" s="967">
        <f t="shared" si="76"/>
        <v>0</v>
      </c>
      <c r="E241" s="967">
        <f t="shared" si="76"/>
        <v>0</v>
      </c>
      <c r="F241" s="967">
        <f t="shared" si="76"/>
        <v>0</v>
      </c>
      <c r="G241" s="967">
        <f t="shared" si="76"/>
        <v>0</v>
      </c>
      <c r="H241" s="967">
        <f t="shared" si="76"/>
        <v>0</v>
      </c>
      <c r="I241" s="967">
        <f t="shared" si="76"/>
        <v>0</v>
      </c>
      <c r="J241" s="967">
        <f t="shared" si="76"/>
        <v>0</v>
      </c>
      <c r="K241" s="967">
        <f t="shared" si="76"/>
        <v>0</v>
      </c>
      <c r="L241" s="967">
        <f t="shared" si="76"/>
        <v>0</v>
      </c>
      <c r="M241" s="967">
        <f>M239-M240</f>
        <v>0</v>
      </c>
      <c r="N241" s="968">
        <f>N239-N240</f>
        <v>0</v>
      </c>
    </row>
    <row r="242" spans="2:14" ht="15.75" thickBot="1" x14ac:dyDescent="0.3">
      <c r="B242" s="956" t="s">
        <v>4989</v>
      </c>
      <c r="C242" s="967">
        <f>1/(1+$P$1)^C223</f>
        <v>1</v>
      </c>
      <c r="D242" s="967">
        <f t="shared" ref="D242:M242" si="77">1/(1+$P$1)^D223</f>
        <v>0.92592592592592582</v>
      </c>
      <c r="E242" s="967">
        <f t="shared" si="77"/>
        <v>0.85733882030178321</v>
      </c>
      <c r="F242" s="967">
        <f t="shared" si="77"/>
        <v>0.79383224102016958</v>
      </c>
      <c r="G242" s="967">
        <f t="shared" si="77"/>
        <v>0.73502985279645328</v>
      </c>
      <c r="H242" s="967">
        <f t="shared" si="77"/>
        <v>0.68058319703375303</v>
      </c>
      <c r="I242" s="967">
        <f t="shared" si="77"/>
        <v>0.63016962688310452</v>
      </c>
      <c r="J242" s="967">
        <f t="shared" si="77"/>
        <v>0.58349039526213387</v>
      </c>
      <c r="K242" s="967">
        <f t="shared" si="77"/>
        <v>0.54026888450197574</v>
      </c>
      <c r="L242" s="967">
        <f t="shared" si="77"/>
        <v>0.50024896713145905</v>
      </c>
      <c r="M242" s="967">
        <f t="shared" si="77"/>
        <v>0.46319348808468425</v>
      </c>
      <c r="N242" s="968">
        <v>1</v>
      </c>
    </row>
    <row r="243" spans="2:14" ht="15.75" thickBot="1" x14ac:dyDescent="0.3">
      <c r="B243" s="1002" t="s">
        <v>4996</v>
      </c>
      <c r="C243" s="978">
        <f>C241*C242</f>
        <v>0</v>
      </c>
      <c r="D243" s="978">
        <f>D241*D242</f>
        <v>0</v>
      </c>
      <c r="E243" s="978">
        <f t="shared" ref="E243:N243" si="78">E241*E242</f>
        <v>0</v>
      </c>
      <c r="F243" s="978">
        <f t="shared" si="78"/>
        <v>0</v>
      </c>
      <c r="G243" s="978">
        <f t="shared" si="78"/>
        <v>0</v>
      </c>
      <c r="H243" s="978">
        <f t="shared" si="78"/>
        <v>0</v>
      </c>
      <c r="I243" s="978">
        <f t="shared" si="78"/>
        <v>0</v>
      </c>
      <c r="J243" s="978">
        <f t="shared" si="78"/>
        <v>0</v>
      </c>
      <c r="K243" s="978">
        <f t="shared" si="78"/>
        <v>0</v>
      </c>
      <c r="L243" s="978">
        <f t="shared" si="78"/>
        <v>0</v>
      </c>
      <c r="M243" s="978">
        <f>M241*M242</f>
        <v>0</v>
      </c>
      <c r="N243" s="979">
        <f t="shared" si="78"/>
        <v>0</v>
      </c>
    </row>
    <row r="261" ht="13.5" customHeight="1" x14ac:dyDescent="0.25"/>
  </sheetData>
  <mergeCells count="12">
    <mergeCell ref="B220:N220"/>
    <mergeCell ref="B222:B223"/>
    <mergeCell ref="D222:M222"/>
    <mergeCell ref="N222:N223"/>
    <mergeCell ref="B1:M1"/>
    <mergeCell ref="B3:B4"/>
    <mergeCell ref="C3:L3"/>
    <mergeCell ref="M3:M4"/>
    <mergeCell ref="B108:M108"/>
    <mergeCell ref="B110:B111"/>
    <mergeCell ref="C110:L110"/>
    <mergeCell ref="M110:M111"/>
  </mergeCells>
  <pageMargins left="0.70866141732283472" right="0.70866141732283472" top="0.74803149606299213" bottom="0.74803149606299213" header="0.31496062992125984" footer="0.31496062992125984"/>
  <pageSetup paperSize="9" scale="55" orientation="landscape" r:id="rId1"/>
  <headerFooter>
    <oddHeader>&amp;L&amp;"Arial,Negrita"&amp;9MINISTERIO DE DESARROLLO AGRARIO Y RIEGO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legacyDrawing r:id="rId3"/>
  <controls>
    <mc:AlternateContent xmlns:mc="http://schemas.openxmlformats.org/markup-compatibility/2006">
      <mc:Choice Requires="x14">
        <control shapeId="88065" r:id="rId4" name="Regresar_Evaluacion_Social">
          <controlPr defaultSize="0" autoLine="0" r:id="rId5">
            <anchor moveWithCells="1">
              <from>
                <xdr:col>13</xdr:col>
                <xdr:colOff>457200</xdr:colOff>
                <xdr:row>0</xdr:row>
                <xdr:rowOff>38100</xdr:rowOff>
              </from>
              <to>
                <xdr:col>16</xdr:col>
                <xdr:colOff>95250</xdr:colOff>
                <xdr:row>1</xdr:row>
                <xdr:rowOff>171450</xdr:rowOff>
              </to>
            </anchor>
          </controlPr>
        </control>
      </mc:Choice>
      <mc:Fallback>
        <control shapeId="88065" r:id="rId4" name="Regresar_Evaluacion_Social"/>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BO226"/>
  <sheetViews>
    <sheetView topLeftCell="AB1" workbookViewId="0">
      <selection activeCell="AN10" sqref="AN10"/>
    </sheetView>
  </sheetViews>
  <sheetFormatPr baseColWidth="10" defaultColWidth="11.42578125" defaultRowHeight="15" x14ac:dyDescent="0.25"/>
  <cols>
    <col min="1" max="1" width="28" style="572" bestFit="1" customWidth="1"/>
    <col min="2" max="2" width="34.5703125" style="572" customWidth="1"/>
    <col min="3" max="14" width="11.42578125" style="572"/>
    <col min="15" max="15" width="12.7109375" style="572" customWidth="1"/>
    <col min="16" max="19" width="11.42578125" style="572"/>
    <col min="20" max="20" width="12.42578125" style="572" customWidth="1"/>
    <col min="21" max="36" width="11.42578125" style="572"/>
    <col min="37" max="37" width="11.85546875" style="572" bestFit="1" customWidth="1"/>
    <col min="38" max="16384" width="11.42578125" style="572"/>
  </cols>
  <sheetData>
    <row r="1" spans="1:67" x14ac:dyDescent="0.25">
      <c r="F1" s="572" t="s">
        <v>5119</v>
      </c>
      <c r="G1" s="572">
        <f>(I3-H3)/D3</f>
        <v>7.7777777777777802E-3</v>
      </c>
      <c r="H1" s="572" t="s">
        <v>4797</v>
      </c>
      <c r="I1" s="572">
        <f>I3-G1*D3</f>
        <v>0.7</v>
      </c>
      <c r="K1" s="572" t="s">
        <v>5120</v>
      </c>
      <c r="L1" s="572">
        <f>(J3-I3)/F3</f>
        <v>-6.6666666666666723E-3</v>
      </c>
      <c r="M1" s="572" t="s">
        <v>4798</v>
      </c>
      <c r="N1" s="572">
        <f>J3-L1*F3</f>
        <v>1.05</v>
      </c>
      <c r="O1" s="572">
        <f>N1+L1*15</f>
        <v>0.95</v>
      </c>
      <c r="V1" s="572">
        <f>I1+U3*30</f>
        <v>0.93333333333333335</v>
      </c>
      <c r="AB1" s="572" t="s">
        <v>46</v>
      </c>
      <c r="AC1" s="572" t="s">
        <v>5121</v>
      </c>
      <c r="AD1" s="573" t="s">
        <v>5122</v>
      </c>
      <c r="AE1" s="572" t="s">
        <v>5123</v>
      </c>
      <c r="AF1" s="572" t="s">
        <v>5124</v>
      </c>
      <c r="AG1" s="572" t="s">
        <v>186</v>
      </c>
      <c r="AH1" s="572" t="s">
        <v>5125</v>
      </c>
      <c r="AI1" s="572" t="s">
        <v>434</v>
      </c>
      <c r="AJ1" s="572" t="s">
        <v>5126</v>
      </c>
      <c r="AK1" s="572" t="s">
        <v>157</v>
      </c>
      <c r="AL1" s="572" t="s">
        <v>5127</v>
      </c>
      <c r="AM1" s="572" t="s">
        <v>5128</v>
      </c>
      <c r="AP1" s="576" t="s">
        <v>5062</v>
      </c>
      <c r="AQ1" s="576" t="s">
        <v>5063</v>
      </c>
      <c r="AR1" s="576" t="s">
        <v>5064</v>
      </c>
      <c r="AS1" s="576" t="s">
        <v>5065</v>
      </c>
      <c r="AT1" s="576" t="s">
        <v>5066</v>
      </c>
      <c r="AU1" s="576" t="s">
        <v>5067</v>
      </c>
      <c r="AV1" s="576" t="s">
        <v>5068</v>
      </c>
      <c r="AW1" s="576" t="s">
        <v>5069</v>
      </c>
      <c r="AX1" s="576" t="s">
        <v>5070</v>
      </c>
      <c r="AY1" s="576" t="s">
        <v>5071</v>
      </c>
      <c r="AZ1" s="576" t="s">
        <v>5072</v>
      </c>
      <c r="BA1" s="576" t="s">
        <v>5073</v>
      </c>
    </row>
    <row r="2" spans="1:67" x14ac:dyDescent="0.25">
      <c r="B2" s="576" t="s">
        <v>5050</v>
      </c>
      <c r="C2" s="576" t="s">
        <v>5129</v>
      </c>
      <c r="D2" s="576" t="s">
        <v>5125</v>
      </c>
      <c r="E2" s="576" t="s">
        <v>5130</v>
      </c>
      <c r="F2" s="576" t="s">
        <v>5131</v>
      </c>
      <c r="G2" s="576" t="s">
        <v>157</v>
      </c>
      <c r="H2" s="576" t="s">
        <v>5132</v>
      </c>
      <c r="I2" s="576" t="s">
        <v>5133</v>
      </c>
      <c r="J2" s="576" t="s">
        <v>5134</v>
      </c>
      <c r="K2" s="576" t="s">
        <v>5135</v>
      </c>
      <c r="L2" s="576" t="s">
        <v>5136</v>
      </c>
      <c r="M2" s="576" t="s">
        <v>5137</v>
      </c>
      <c r="N2" s="576" t="s">
        <v>5138</v>
      </c>
      <c r="O2" s="576" t="s">
        <v>5139</v>
      </c>
      <c r="P2" s="576" t="s">
        <v>5140</v>
      </c>
      <c r="Q2" s="576" t="s">
        <v>5141</v>
      </c>
      <c r="R2" s="576" t="s">
        <v>5142</v>
      </c>
      <c r="S2" s="576" t="s">
        <v>5143</v>
      </c>
      <c r="T2" s="576" t="s">
        <v>5144</v>
      </c>
      <c r="U2" s="576" t="s">
        <v>5119</v>
      </c>
      <c r="V2" s="576" t="s">
        <v>4797</v>
      </c>
      <c r="W2" s="576" t="s">
        <v>5120</v>
      </c>
      <c r="X2" s="576" t="s">
        <v>4798</v>
      </c>
      <c r="Y2" s="576"/>
      <c r="Z2" s="576"/>
      <c r="AA2" s="576"/>
      <c r="AB2" s="572">
        <v>1</v>
      </c>
      <c r="AC2" s="574" t="s">
        <v>5148</v>
      </c>
      <c r="AD2" s="577">
        <v>0.7</v>
      </c>
      <c r="AE2" s="572">
        <v>1.05</v>
      </c>
      <c r="AF2" s="572">
        <v>0.95</v>
      </c>
      <c r="AG2" s="572">
        <v>40</v>
      </c>
      <c r="AH2" s="572">
        <v>60</v>
      </c>
      <c r="AI2" s="572">
        <v>50</v>
      </c>
      <c r="AJ2" s="572">
        <v>15</v>
      </c>
      <c r="AK2" s="572">
        <v>165</v>
      </c>
      <c r="AL2" s="572">
        <v>0.1</v>
      </c>
      <c r="AM2" s="572">
        <v>0.3</v>
      </c>
      <c r="AN2" s="576"/>
      <c r="AO2" s="576">
        <v>1</v>
      </c>
      <c r="AP2" s="576"/>
      <c r="AQ2" s="576"/>
      <c r="AR2" s="576"/>
      <c r="AS2" s="576"/>
      <c r="AT2" s="576"/>
      <c r="AU2" s="576"/>
      <c r="AX2" s="578">
        <v>44075</v>
      </c>
      <c r="BB2" s="578">
        <f>AX2+240</f>
        <v>44315</v>
      </c>
      <c r="BE2" s="574"/>
      <c r="BF2" s="577"/>
      <c r="BG2" s="1023"/>
      <c r="BH2" s="1023"/>
      <c r="BI2" s="1023"/>
      <c r="BJ2" s="1023"/>
      <c r="BK2" s="1023"/>
      <c r="BL2" s="1023"/>
      <c r="BM2" s="1023"/>
      <c r="BN2" s="1023"/>
      <c r="BO2" s="1023"/>
    </row>
    <row r="3" spans="1:67" x14ac:dyDescent="0.25">
      <c r="A3" s="572" t="str">
        <f>B3&amp;G3</f>
        <v>Brocoli135</v>
      </c>
      <c r="B3" s="572" t="s">
        <v>5146</v>
      </c>
      <c r="C3" s="572">
        <v>35</v>
      </c>
      <c r="D3" s="572">
        <v>45</v>
      </c>
      <c r="E3" s="572">
        <v>40</v>
      </c>
      <c r="F3" s="572">
        <v>15</v>
      </c>
      <c r="G3" s="572">
        <f>SUM(C3:F3)</f>
        <v>135</v>
      </c>
      <c r="H3" s="575">
        <v>0.7</v>
      </c>
      <c r="I3" s="572">
        <v>1.05</v>
      </c>
      <c r="J3" s="572">
        <v>0.95</v>
      </c>
      <c r="K3" s="572">
        <v>1</v>
      </c>
      <c r="L3" s="572">
        <f>C3</f>
        <v>35</v>
      </c>
      <c r="M3" s="572">
        <f t="shared" ref="M3:O34" si="0">L3+D3</f>
        <v>80</v>
      </c>
      <c r="N3" s="572">
        <f t="shared" si="0"/>
        <v>120</v>
      </c>
      <c r="O3" s="572">
        <f t="shared" si="0"/>
        <v>135</v>
      </c>
      <c r="P3" s="575">
        <f>H3</f>
        <v>0.7</v>
      </c>
      <c r="Q3" s="575">
        <f>H3</f>
        <v>0.7</v>
      </c>
      <c r="R3" s="575">
        <f>I3</f>
        <v>1.05</v>
      </c>
      <c r="S3" s="575">
        <f>I3</f>
        <v>1.05</v>
      </c>
      <c r="T3" s="575">
        <f>J3</f>
        <v>0.95</v>
      </c>
      <c r="U3" s="579">
        <f>(R3-Q3)/(M3-L3)</f>
        <v>7.7777777777777802E-3</v>
      </c>
      <c r="V3" s="580">
        <f>R3-(U3*M3)</f>
        <v>0.42777777777777759</v>
      </c>
      <c r="W3" s="579">
        <f>(T3-S3)/(O3-N3)</f>
        <v>-6.6666666666666723E-3</v>
      </c>
      <c r="X3" s="580">
        <f>T3-W3*O3</f>
        <v>1.8500000000000008</v>
      </c>
      <c r="Z3" s="572" t="s">
        <v>5013</v>
      </c>
      <c r="AB3" s="572">
        <v>2</v>
      </c>
      <c r="AC3" s="574" t="s">
        <v>5145</v>
      </c>
      <c r="AD3" s="577">
        <v>0.7</v>
      </c>
      <c r="AE3" s="572">
        <v>1.05</v>
      </c>
      <c r="AF3" s="572">
        <v>0.95</v>
      </c>
      <c r="AG3" s="572">
        <v>30</v>
      </c>
      <c r="AH3" s="572">
        <v>50</v>
      </c>
      <c r="AI3" s="572">
        <v>90</v>
      </c>
      <c r="AJ3" s="572">
        <v>30</v>
      </c>
      <c r="AK3" s="572">
        <v>200</v>
      </c>
      <c r="AL3" s="572">
        <v>0.15</v>
      </c>
      <c r="AM3" s="572">
        <v>0.36</v>
      </c>
      <c r="AO3" s="576">
        <v>2</v>
      </c>
      <c r="BB3" s="572">
        <f>MONTH(BB2)</f>
        <v>4</v>
      </c>
      <c r="BE3" s="581"/>
      <c r="BF3" s="581"/>
      <c r="BG3" s="581"/>
    </row>
    <row r="4" spans="1:67" x14ac:dyDescent="0.25">
      <c r="A4" s="572" t="str">
        <f t="shared" ref="A4:A67" si="1">B4&amp;G4</f>
        <v>Repollo165</v>
      </c>
      <c r="B4" s="572" t="s">
        <v>5148</v>
      </c>
      <c r="C4" s="572">
        <v>40</v>
      </c>
      <c r="D4" s="572">
        <v>60</v>
      </c>
      <c r="E4" s="572">
        <v>50</v>
      </c>
      <c r="F4" s="572">
        <v>15</v>
      </c>
      <c r="G4" s="572">
        <f t="shared" ref="G4:G69" si="2">SUM(C4:F4)</f>
        <v>165</v>
      </c>
      <c r="H4" s="575">
        <v>0.7</v>
      </c>
      <c r="I4" s="572">
        <v>1.05</v>
      </c>
      <c r="J4" s="572">
        <v>0.95</v>
      </c>
      <c r="K4" s="572">
        <v>1</v>
      </c>
      <c r="L4" s="572">
        <f t="shared" ref="L4:L67" si="3">C4</f>
        <v>40</v>
      </c>
      <c r="M4" s="572">
        <f t="shared" si="0"/>
        <v>100</v>
      </c>
      <c r="N4" s="572">
        <f t="shared" si="0"/>
        <v>150</v>
      </c>
      <c r="O4" s="572">
        <f t="shared" si="0"/>
        <v>165</v>
      </c>
      <c r="P4" s="575">
        <f t="shared" ref="P4:P67" si="4">H4</f>
        <v>0.7</v>
      </c>
      <c r="Q4" s="575">
        <f t="shared" ref="Q4:R67" si="5">H4</f>
        <v>0.7</v>
      </c>
      <c r="R4" s="575">
        <f t="shared" si="5"/>
        <v>1.05</v>
      </c>
      <c r="S4" s="575">
        <f t="shared" ref="S4:T67" si="6">I4</f>
        <v>1.05</v>
      </c>
      <c r="T4" s="575">
        <f t="shared" si="6"/>
        <v>0.95</v>
      </c>
      <c r="U4" s="579">
        <f t="shared" ref="U4:U67" si="7">(R4-Q4)/(M4-L4)</f>
        <v>5.8333333333333345E-3</v>
      </c>
      <c r="V4" s="580">
        <f t="shared" ref="V4:V67" si="8">R4-(U4*M4)</f>
        <v>0.46666666666666656</v>
      </c>
      <c r="W4" s="579">
        <f t="shared" ref="W4:W67" si="9">(T4-S4)/(O4-N4)</f>
        <v>-6.6666666666666723E-3</v>
      </c>
      <c r="X4" s="580">
        <f t="shared" ref="X4:X67" si="10">T4-W4*O4</f>
        <v>2.0500000000000007</v>
      </c>
      <c r="Z4" s="572" t="s">
        <v>5149</v>
      </c>
      <c r="AB4" s="572">
        <v>3</v>
      </c>
      <c r="AC4" s="1026" t="s">
        <v>5147</v>
      </c>
      <c r="AD4" s="577">
        <v>0.7</v>
      </c>
      <c r="AE4" s="572">
        <v>1.05</v>
      </c>
      <c r="AF4" s="572">
        <v>0.95</v>
      </c>
      <c r="AG4" s="572">
        <v>35</v>
      </c>
      <c r="AH4" s="572">
        <v>50</v>
      </c>
      <c r="AI4" s="572">
        <v>40</v>
      </c>
      <c r="AJ4" s="572">
        <v>15</v>
      </c>
      <c r="AK4" s="572">
        <v>140</v>
      </c>
      <c r="AL4" s="572">
        <v>0.5</v>
      </c>
      <c r="AM4" s="572">
        <v>0.6</v>
      </c>
      <c r="AO4" s="576">
        <v>3</v>
      </c>
    </row>
    <row r="5" spans="1:67" x14ac:dyDescent="0.25">
      <c r="A5" s="572" t="str">
        <f t="shared" si="1"/>
        <v>Zanahoria100</v>
      </c>
      <c r="B5" s="572" t="s">
        <v>5145</v>
      </c>
      <c r="C5" s="572">
        <v>20</v>
      </c>
      <c r="D5" s="572">
        <v>30</v>
      </c>
      <c r="E5" s="572">
        <v>30</v>
      </c>
      <c r="F5" s="572">
        <v>20</v>
      </c>
      <c r="G5" s="572">
        <f t="shared" si="2"/>
        <v>100</v>
      </c>
      <c r="H5" s="575">
        <v>0.7</v>
      </c>
      <c r="I5" s="572">
        <v>1.05</v>
      </c>
      <c r="J5" s="572">
        <v>0.95</v>
      </c>
      <c r="K5" s="572">
        <v>1</v>
      </c>
      <c r="L5" s="572">
        <f t="shared" si="3"/>
        <v>20</v>
      </c>
      <c r="M5" s="572">
        <f t="shared" si="0"/>
        <v>50</v>
      </c>
      <c r="N5" s="572">
        <f t="shared" si="0"/>
        <v>80</v>
      </c>
      <c r="O5" s="572">
        <f t="shared" si="0"/>
        <v>100</v>
      </c>
      <c r="P5" s="575">
        <f t="shared" si="4"/>
        <v>0.7</v>
      </c>
      <c r="Q5" s="575">
        <f t="shared" si="5"/>
        <v>0.7</v>
      </c>
      <c r="R5" s="575">
        <f t="shared" si="5"/>
        <v>1.05</v>
      </c>
      <c r="S5" s="575">
        <f t="shared" si="6"/>
        <v>1.05</v>
      </c>
      <c r="T5" s="575">
        <f t="shared" si="6"/>
        <v>0.95</v>
      </c>
      <c r="U5" s="579">
        <f t="shared" si="7"/>
        <v>1.1666666666666669E-2</v>
      </c>
      <c r="V5" s="580">
        <f t="shared" si="8"/>
        <v>0.46666666666666656</v>
      </c>
      <c r="W5" s="579">
        <f t="shared" si="9"/>
        <v>-5.0000000000000044E-3</v>
      </c>
      <c r="X5" s="580">
        <f t="shared" si="10"/>
        <v>1.4500000000000004</v>
      </c>
      <c r="Z5" s="572" t="s">
        <v>5015</v>
      </c>
      <c r="AB5" s="572">
        <v>4</v>
      </c>
      <c r="AC5" s="574" t="s">
        <v>5061</v>
      </c>
      <c r="AD5" s="577">
        <v>0.7</v>
      </c>
      <c r="AE5" s="572">
        <v>1</v>
      </c>
      <c r="AF5" s="572">
        <v>0.95</v>
      </c>
      <c r="AG5" s="572">
        <v>20</v>
      </c>
      <c r="AH5" s="572">
        <v>30</v>
      </c>
      <c r="AI5" s="572">
        <v>15</v>
      </c>
      <c r="AJ5" s="572">
        <v>10</v>
      </c>
      <c r="AK5" s="572">
        <v>75</v>
      </c>
      <c r="AL5" s="572">
        <v>0.1</v>
      </c>
      <c r="AM5" s="572">
        <v>0.3</v>
      </c>
      <c r="AO5" s="576">
        <v>4</v>
      </c>
    </row>
    <row r="6" spans="1:67" x14ac:dyDescent="0.25">
      <c r="A6" s="572" t="str">
        <f t="shared" si="1"/>
        <v>Zanahoria150</v>
      </c>
      <c r="B6" s="572" t="s">
        <v>5145</v>
      </c>
      <c r="C6" s="572">
        <v>30</v>
      </c>
      <c r="D6" s="572">
        <v>40</v>
      </c>
      <c r="E6" s="572">
        <v>60</v>
      </c>
      <c r="F6" s="572">
        <v>20</v>
      </c>
      <c r="G6" s="572">
        <f t="shared" si="2"/>
        <v>150</v>
      </c>
      <c r="H6" s="575">
        <v>0.7</v>
      </c>
      <c r="I6" s="572">
        <v>1.05</v>
      </c>
      <c r="J6" s="572">
        <v>0.95</v>
      </c>
      <c r="K6" s="572">
        <v>1</v>
      </c>
      <c r="L6" s="572">
        <f t="shared" si="3"/>
        <v>30</v>
      </c>
      <c r="M6" s="572">
        <f t="shared" si="0"/>
        <v>70</v>
      </c>
      <c r="N6" s="572">
        <f t="shared" si="0"/>
        <v>130</v>
      </c>
      <c r="O6" s="572">
        <f t="shared" si="0"/>
        <v>150</v>
      </c>
      <c r="P6" s="575">
        <f t="shared" si="4"/>
        <v>0.7</v>
      </c>
      <c r="Q6" s="575">
        <f t="shared" si="5"/>
        <v>0.7</v>
      </c>
      <c r="R6" s="575">
        <f t="shared" si="5"/>
        <v>1.05</v>
      </c>
      <c r="S6" s="575">
        <f t="shared" si="6"/>
        <v>1.05</v>
      </c>
      <c r="T6" s="575">
        <f t="shared" si="6"/>
        <v>0.95</v>
      </c>
      <c r="U6" s="579">
        <f t="shared" si="7"/>
        <v>8.7500000000000026E-3</v>
      </c>
      <c r="V6" s="580">
        <f t="shared" si="8"/>
        <v>0.43749999999999989</v>
      </c>
      <c r="W6" s="579">
        <f t="shared" si="9"/>
        <v>-5.0000000000000044E-3</v>
      </c>
      <c r="X6" s="580">
        <f t="shared" si="10"/>
        <v>1.7000000000000006</v>
      </c>
      <c r="Z6" s="572" t="s">
        <v>5016</v>
      </c>
      <c r="AB6" s="572">
        <v>5</v>
      </c>
      <c r="AC6" s="574" t="s">
        <v>5151</v>
      </c>
      <c r="AD6" s="577">
        <v>0.7</v>
      </c>
      <c r="AE6" s="572">
        <v>1.05</v>
      </c>
      <c r="AF6" s="572">
        <v>1</v>
      </c>
      <c r="AG6" s="572">
        <v>25</v>
      </c>
      <c r="AH6" s="572">
        <v>40</v>
      </c>
      <c r="AI6" s="572">
        <v>45</v>
      </c>
      <c r="AJ6" s="572">
        <v>15</v>
      </c>
      <c r="AK6" s="572">
        <v>125</v>
      </c>
      <c r="AL6" s="572">
        <v>0.1</v>
      </c>
      <c r="AM6" s="572">
        <v>0.35</v>
      </c>
      <c r="AO6" s="576">
        <v>5</v>
      </c>
    </row>
    <row r="7" spans="1:67" x14ac:dyDescent="0.25">
      <c r="A7" s="572" t="str">
        <f t="shared" si="1"/>
        <v>Zanahoria200</v>
      </c>
      <c r="B7" s="572" t="s">
        <v>5145</v>
      </c>
      <c r="C7" s="572">
        <v>30</v>
      </c>
      <c r="D7" s="572">
        <v>50</v>
      </c>
      <c r="E7" s="572">
        <v>90</v>
      </c>
      <c r="F7" s="572">
        <v>30</v>
      </c>
      <c r="G7" s="572">
        <f t="shared" si="2"/>
        <v>200</v>
      </c>
      <c r="H7" s="575">
        <v>0.7</v>
      </c>
      <c r="I7" s="572">
        <v>1.05</v>
      </c>
      <c r="J7" s="572">
        <v>0.95</v>
      </c>
      <c r="K7" s="572">
        <v>1</v>
      </c>
      <c r="L7" s="572">
        <f t="shared" si="3"/>
        <v>30</v>
      </c>
      <c r="M7" s="572">
        <f t="shared" si="0"/>
        <v>80</v>
      </c>
      <c r="N7" s="572">
        <f t="shared" si="0"/>
        <v>170</v>
      </c>
      <c r="O7" s="572">
        <f t="shared" si="0"/>
        <v>200</v>
      </c>
      <c r="P7" s="575">
        <f t="shared" si="4"/>
        <v>0.7</v>
      </c>
      <c r="Q7" s="575">
        <f t="shared" si="5"/>
        <v>0.7</v>
      </c>
      <c r="R7" s="575">
        <f t="shared" si="5"/>
        <v>1.05</v>
      </c>
      <c r="S7" s="575">
        <f t="shared" si="6"/>
        <v>1.05</v>
      </c>
      <c r="T7" s="575">
        <f t="shared" si="6"/>
        <v>0.95</v>
      </c>
      <c r="U7" s="579">
        <f t="shared" si="7"/>
        <v>7.0000000000000019E-3</v>
      </c>
      <c r="V7" s="580">
        <f t="shared" si="8"/>
        <v>0.48999999999999988</v>
      </c>
      <c r="W7" s="579">
        <f t="shared" si="9"/>
        <v>-3.3333333333333361E-3</v>
      </c>
      <c r="X7" s="580">
        <f t="shared" si="10"/>
        <v>1.6166666666666671</v>
      </c>
      <c r="Z7" s="572" t="s">
        <v>5017</v>
      </c>
      <c r="AB7" s="572">
        <v>6</v>
      </c>
      <c r="AC7" s="574"/>
      <c r="AD7" s="577"/>
      <c r="AO7" s="576">
        <v>6</v>
      </c>
    </row>
    <row r="8" spans="1:67" x14ac:dyDescent="0.25">
      <c r="A8" s="572" t="str">
        <f t="shared" si="1"/>
        <v>Coliflor140</v>
      </c>
      <c r="B8" s="572" t="s">
        <v>5147</v>
      </c>
      <c r="C8" s="572">
        <v>35</v>
      </c>
      <c r="D8" s="572">
        <v>50</v>
      </c>
      <c r="E8" s="572">
        <v>40</v>
      </c>
      <c r="F8" s="572">
        <v>15</v>
      </c>
      <c r="G8" s="572">
        <f t="shared" si="2"/>
        <v>140</v>
      </c>
      <c r="H8" s="575">
        <v>0.7</v>
      </c>
      <c r="I8" s="572">
        <v>1.05</v>
      </c>
      <c r="J8" s="572">
        <v>0.95</v>
      </c>
      <c r="K8" s="572">
        <v>1</v>
      </c>
      <c r="L8" s="572">
        <f t="shared" si="3"/>
        <v>35</v>
      </c>
      <c r="M8" s="572">
        <f t="shared" si="0"/>
        <v>85</v>
      </c>
      <c r="N8" s="572">
        <f t="shared" si="0"/>
        <v>125</v>
      </c>
      <c r="O8" s="572">
        <f t="shared" si="0"/>
        <v>140</v>
      </c>
      <c r="P8" s="575">
        <f t="shared" si="4"/>
        <v>0.7</v>
      </c>
      <c r="Q8" s="575">
        <f t="shared" si="5"/>
        <v>0.7</v>
      </c>
      <c r="R8" s="575">
        <f t="shared" si="5"/>
        <v>1.05</v>
      </c>
      <c r="S8" s="575">
        <f t="shared" si="6"/>
        <v>1.05</v>
      </c>
      <c r="T8" s="575">
        <f t="shared" si="6"/>
        <v>0.95</v>
      </c>
      <c r="U8" s="579">
        <f t="shared" si="7"/>
        <v>7.0000000000000019E-3</v>
      </c>
      <c r="V8" s="580">
        <f t="shared" si="8"/>
        <v>0.45499999999999985</v>
      </c>
      <c r="W8" s="579">
        <f t="shared" si="9"/>
        <v>-6.6666666666666723E-3</v>
      </c>
      <c r="X8" s="580">
        <f t="shared" si="10"/>
        <v>1.8833333333333342</v>
      </c>
      <c r="Z8" s="572" t="s">
        <v>5018</v>
      </c>
      <c r="AB8" s="572">
        <v>7</v>
      </c>
      <c r="AC8" s="574"/>
      <c r="AD8" s="577"/>
      <c r="AO8" s="576">
        <v>7</v>
      </c>
    </row>
    <row r="9" spans="1:67" x14ac:dyDescent="0.25">
      <c r="A9" s="572" t="str">
        <f t="shared" si="1"/>
        <v>Apio180</v>
      </c>
      <c r="B9" s="572" t="s">
        <v>5151</v>
      </c>
      <c r="C9" s="572">
        <v>25</v>
      </c>
      <c r="D9" s="572">
        <v>40</v>
      </c>
      <c r="E9" s="572">
        <v>95</v>
      </c>
      <c r="F9" s="572">
        <v>20</v>
      </c>
      <c r="G9" s="572">
        <f t="shared" si="2"/>
        <v>180</v>
      </c>
      <c r="H9" s="575">
        <v>0.7</v>
      </c>
      <c r="I9" s="572">
        <v>1.05</v>
      </c>
      <c r="J9" s="575">
        <v>1</v>
      </c>
      <c r="K9" s="572">
        <v>1</v>
      </c>
      <c r="L9" s="572">
        <f t="shared" si="3"/>
        <v>25</v>
      </c>
      <c r="M9" s="572">
        <f t="shared" si="0"/>
        <v>65</v>
      </c>
      <c r="N9" s="572">
        <f t="shared" si="0"/>
        <v>160</v>
      </c>
      <c r="O9" s="572">
        <f t="shared" si="0"/>
        <v>180</v>
      </c>
      <c r="P9" s="575">
        <f t="shared" si="4"/>
        <v>0.7</v>
      </c>
      <c r="Q9" s="575">
        <f t="shared" si="5"/>
        <v>0.7</v>
      </c>
      <c r="R9" s="575">
        <f t="shared" si="5"/>
        <v>1.05</v>
      </c>
      <c r="S9" s="575">
        <f t="shared" si="6"/>
        <v>1.05</v>
      </c>
      <c r="T9" s="575">
        <f t="shared" si="6"/>
        <v>1</v>
      </c>
      <c r="U9" s="579">
        <f t="shared" si="7"/>
        <v>8.7500000000000026E-3</v>
      </c>
      <c r="V9" s="580">
        <f t="shared" si="8"/>
        <v>0.48124999999999984</v>
      </c>
      <c r="W9" s="579">
        <f t="shared" si="9"/>
        <v>-2.5000000000000022E-3</v>
      </c>
      <c r="X9" s="580">
        <f t="shared" si="10"/>
        <v>1.4500000000000004</v>
      </c>
      <c r="Z9" s="572" t="s">
        <v>5019</v>
      </c>
      <c r="AB9" s="572">
        <v>8</v>
      </c>
      <c r="AC9" s="574"/>
      <c r="AD9" s="577"/>
      <c r="AO9" s="576">
        <v>8</v>
      </c>
    </row>
    <row r="10" spans="1:67" x14ac:dyDescent="0.25">
      <c r="A10" s="572" t="str">
        <f t="shared" si="1"/>
        <v>Apio125</v>
      </c>
      <c r="B10" s="572" t="s">
        <v>5151</v>
      </c>
      <c r="C10" s="572">
        <v>25</v>
      </c>
      <c r="D10" s="572">
        <v>40</v>
      </c>
      <c r="E10" s="572">
        <v>45</v>
      </c>
      <c r="F10" s="572">
        <v>15</v>
      </c>
      <c r="G10" s="572">
        <f t="shared" si="2"/>
        <v>125</v>
      </c>
      <c r="H10" s="575">
        <v>0.7</v>
      </c>
      <c r="I10" s="572">
        <v>1.05</v>
      </c>
      <c r="J10" s="575">
        <v>1</v>
      </c>
      <c r="K10" s="572">
        <v>1</v>
      </c>
      <c r="L10" s="572">
        <f t="shared" si="3"/>
        <v>25</v>
      </c>
      <c r="M10" s="572">
        <f t="shared" si="0"/>
        <v>65</v>
      </c>
      <c r="N10" s="572">
        <f t="shared" si="0"/>
        <v>110</v>
      </c>
      <c r="O10" s="572">
        <f t="shared" si="0"/>
        <v>125</v>
      </c>
      <c r="P10" s="575">
        <f t="shared" si="4"/>
        <v>0.7</v>
      </c>
      <c r="Q10" s="575">
        <f t="shared" si="5"/>
        <v>0.7</v>
      </c>
      <c r="R10" s="575">
        <f t="shared" si="5"/>
        <v>1.05</v>
      </c>
      <c r="S10" s="575">
        <f t="shared" si="6"/>
        <v>1.05</v>
      </c>
      <c r="T10" s="575">
        <f t="shared" si="6"/>
        <v>1</v>
      </c>
      <c r="U10" s="579">
        <f t="shared" si="7"/>
        <v>8.7500000000000026E-3</v>
      </c>
      <c r="V10" s="580">
        <f t="shared" si="8"/>
        <v>0.48124999999999984</v>
      </c>
      <c r="W10" s="579">
        <f t="shared" si="9"/>
        <v>-3.3333333333333361E-3</v>
      </c>
      <c r="X10" s="580">
        <f t="shared" si="10"/>
        <v>1.416666666666667</v>
      </c>
      <c r="Z10" s="572" t="s">
        <v>5020</v>
      </c>
      <c r="AB10" s="572">
        <v>9</v>
      </c>
      <c r="AC10" s="574"/>
      <c r="AD10" s="577"/>
      <c r="AO10" s="576">
        <v>9</v>
      </c>
    </row>
    <row r="11" spans="1:67" x14ac:dyDescent="0.25">
      <c r="A11" s="572" t="str">
        <f t="shared" si="1"/>
        <v>Apio210</v>
      </c>
      <c r="B11" s="572" t="s">
        <v>5151</v>
      </c>
      <c r="C11" s="572">
        <v>30</v>
      </c>
      <c r="D11" s="572">
        <v>55</v>
      </c>
      <c r="E11" s="572">
        <v>105</v>
      </c>
      <c r="F11" s="572">
        <v>20</v>
      </c>
      <c r="G11" s="572">
        <f t="shared" si="2"/>
        <v>210</v>
      </c>
      <c r="H11" s="575">
        <v>0.7</v>
      </c>
      <c r="I11" s="572">
        <v>1.05</v>
      </c>
      <c r="J11" s="575">
        <v>1</v>
      </c>
      <c r="K11" s="572">
        <v>1</v>
      </c>
      <c r="L11" s="572">
        <f t="shared" si="3"/>
        <v>30</v>
      </c>
      <c r="M11" s="572">
        <f t="shared" si="0"/>
        <v>85</v>
      </c>
      <c r="N11" s="572">
        <f t="shared" si="0"/>
        <v>190</v>
      </c>
      <c r="O11" s="572">
        <f t="shared" si="0"/>
        <v>210</v>
      </c>
      <c r="P11" s="575">
        <f t="shared" si="4"/>
        <v>0.7</v>
      </c>
      <c r="Q11" s="575">
        <f t="shared" si="5"/>
        <v>0.7</v>
      </c>
      <c r="R11" s="575">
        <f t="shared" si="5"/>
        <v>1.05</v>
      </c>
      <c r="S11" s="575">
        <f t="shared" si="6"/>
        <v>1.05</v>
      </c>
      <c r="T11" s="575">
        <f t="shared" si="6"/>
        <v>1</v>
      </c>
      <c r="U11" s="579">
        <f t="shared" si="7"/>
        <v>6.3636363636363656E-3</v>
      </c>
      <c r="V11" s="580">
        <f t="shared" si="8"/>
        <v>0.50909090909090893</v>
      </c>
      <c r="W11" s="579">
        <f t="shared" si="9"/>
        <v>-2.5000000000000022E-3</v>
      </c>
      <c r="X11" s="580">
        <f t="shared" si="10"/>
        <v>1.5250000000000004</v>
      </c>
      <c r="Z11" s="572" t="s">
        <v>5021</v>
      </c>
      <c r="AB11" s="572">
        <v>10</v>
      </c>
      <c r="AC11" s="574"/>
      <c r="AD11" s="577"/>
      <c r="AO11" s="576">
        <v>10</v>
      </c>
    </row>
    <row r="12" spans="1:67" x14ac:dyDescent="0.25">
      <c r="A12" s="572" t="str">
        <f t="shared" si="1"/>
        <v>Lechuga75</v>
      </c>
      <c r="B12" s="572" t="s">
        <v>5061</v>
      </c>
      <c r="C12" s="572">
        <v>20</v>
      </c>
      <c r="D12" s="572">
        <v>30</v>
      </c>
      <c r="E12" s="572">
        <v>15</v>
      </c>
      <c r="F12" s="572">
        <v>10</v>
      </c>
      <c r="G12" s="572">
        <f t="shared" si="2"/>
        <v>75</v>
      </c>
      <c r="H12" s="575">
        <v>0.7</v>
      </c>
      <c r="I12" s="575">
        <v>1</v>
      </c>
      <c r="J12" s="572">
        <v>0.95</v>
      </c>
      <c r="K12" s="572">
        <v>1</v>
      </c>
      <c r="L12" s="572">
        <f t="shared" si="3"/>
        <v>20</v>
      </c>
      <c r="M12" s="572">
        <f t="shared" si="0"/>
        <v>50</v>
      </c>
      <c r="N12" s="572">
        <f t="shared" si="0"/>
        <v>65</v>
      </c>
      <c r="O12" s="572">
        <f t="shared" si="0"/>
        <v>75</v>
      </c>
      <c r="P12" s="575">
        <f t="shared" si="4"/>
        <v>0.7</v>
      </c>
      <c r="Q12" s="575">
        <f t="shared" si="5"/>
        <v>0.7</v>
      </c>
      <c r="R12" s="575">
        <f t="shared" si="5"/>
        <v>1</v>
      </c>
      <c r="S12" s="575">
        <f t="shared" si="6"/>
        <v>1</v>
      </c>
      <c r="T12" s="575">
        <f t="shared" si="6"/>
        <v>0.95</v>
      </c>
      <c r="U12" s="579">
        <f t="shared" si="7"/>
        <v>1.0000000000000002E-2</v>
      </c>
      <c r="V12" s="580">
        <f t="shared" si="8"/>
        <v>0.49999999999999989</v>
      </c>
      <c r="W12" s="579">
        <f t="shared" si="9"/>
        <v>-5.0000000000000044E-3</v>
      </c>
      <c r="X12" s="580">
        <f t="shared" si="10"/>
        <v>1.3250000000000002</v>
      </c>
      <c r="Z12" s="572" t="s">
        <v>5022</v>
      </c>
      <c r="AB12" s="572">
        <v>11</v>
      </c>
      <c r="AC12" s="574"/>
      <c r="AD12" s="577"/>
      <c r="AO12" s="576">
        <v>11</v>
      </c>
    </row>
    <row r="13" spans="1:67" x14ac:dyDescent="0.25">
      <c r="A13" s="572" t="str">
        <f t="shared" si="1"/>
        <v>Lechuga105</v>
      </c>
      <c r="B13" s="572" t="s">
        <v>5061</v>
      </c>
      <c r="C13" s="572">
        <v>30</v>
      </c>
      <c r="D13" s="572">
        <v>40</v>
      </c>
      <c r="E13" s="572">
        <v>25</v>
      </c>
      <c r="F13" s="572">
        <v>10</v>
      </c>
      <c r="G13" s="572">
        <f t="shared" si="2"/>
        <v>105</v>
      </c>
      <c r="H13" s="575">
        <v>0.7</v>
      </c>
      <c r="I13" s="575">
        <v>1</v>
      </c>
      <c r="J13" s="572">
        <v>0.95</v>
      </c>
      <c r="K13" s="572">
        <v>1</v>
      </c>
      <c r="L13" s="572">
        <f t="shared" si="3"/>
        <v>30</v>
      </c>
      <c r="M13" s="572">
        <f t="shared" si="0"/>
        <v>70</v>
      </c>
      <c r="N13" s="572">
        <f t="shared" si="0"/>
        <v>95</v>
      </c>
      <c r="O13" s="572">
        <f t="shared" si="0"/>
        <v>105</v>
      </c>
      <c r="P13" s="575">
        <f t="shared" si="4"/>
        <v>0.7</v>
      </c>
      <c r="Q13" s="575">
        <f t="shared" si="5"/>
        <v>0.7</v>
      </c>
      <c r="R13" s="575">
        <f t="shared" si="5"/>
        <v>1</v>
      </c>
      <c r="S13" s="575">
        <f t="shared" si="6"/>
        <v>1</v>
      </c>
      <c r="T13" s="575">
        <f t="shared" si="6"/>
        <v>0.95</v>
      </c>
      <c r="U13" s="579">
        <f t="shared" si="7"/>
        <v>7.5000000000000015E-3</v>
      </c>
      <c r="V13" s="580">
        <f t="shared" si="8"/>
        <v>0.47499999999999987</v>
      </c>
      <c r="W13" s="579">
        <f t="shared" si="9"/>
        <v>-5.0000000000000044E-3</v>
      </c>
      <c r="X13" s="580">
        <f t="shared" si="10"/>
        <v>1.4750000000000005</v>
      </c>
      <c r="Z13" s="572" t="s">
        <v>5023</v>
      </c>
      <c r="AB13" s="572">
        <v>12</v>
      </c>
    </row>
    <row r="14" spans="1:67" x14ac:dyDescent="0.25">
      <c r="A14" s="572" t="str">
        <f t="shared" si="1"/>
        <v>Lechuga100</v>
      </c>
      <c r="B14" s="572" t="s">
        <v>5061</v>
      </c>
      <c r="C14" s="572">
        <v>25</v>
      </c>
      <c r="D14" s="572">
        <v>35</v>
      </c>
      <c r="E14" s="572">
        <v>30</v>
      </c>
      <c r="F14" s="572">
        <v>10</v>
      </c>
      <c r="G14" s="572">
        <f t="shared" si="2"/>
        <v>100</v>
      </c>
      <c r="H14" s="575">
        <v>0.7</v>
      </c>
      <c r="I14" s="575">
        <v>1</v>
      </c>
      <c r="J14" s="572">
        <v>0.95</v>
      </c>
      <c r="K14" s="572">
        <v>1</v>
      </c>
      <c r="L14" s="572">
        <f t="shared" si="3"/>
        <v>25</v>
      </c>
      <c r="M14" s="572">
        <f t="shared" si="0"/>
        <v>60</v>
      </c>
      <c r="N14" s="572">
        <f t="shared" si="0"/>
        <v>90</v>
      </c>
      <c r="O14" s="572">
        <f t="shared" si="0"/>
        <v>100</v>
      </c>
      <c r="P14" s="575">
        <f t="shared" si="4"/>
        <v>0.7</v>
      </c>
      <c r="Q14" s="575">
        <f t="shared" si="5"/>
        <v>0.7</v>
      </c>
      <c r="R14" s="575">
        <f t="shared" si="5"/>
        <v>1</v>
      </c>
      <c r="S14" s="575">
        <f t="shared" si="6"/>
        <v>1</v>
      </c>
      <c r="T14" s="575">
        <f t="shared" si="6"/>
        <v>0.95</v>
      </c>
      <c r="U14" s="579">
        <f t="shared" si="7"/>
        <v>8.5714285714285719E-3</v>
      </c>
      <c r="V14" s="580">
        <f t="shared" si="8"/>
        <v>0.48571428571428565</v>
      </c>
      <c r="W14" s="579">
        <f t="shared" si="9"/>
        <v>-5.0000000000000044E-3</v>
      </c>
      <c r="X14" s="580">
        <f t="shared" si="10"/>
        <v>1.4500000000000004</v>
      </c>
      <c r="Z14" s="572" t="s">
        <v>5024</v>
      </c>
      <c r="AB14" s="572">
        <v>13</v>
      </c>
    </row>
    <row r="15" spans="1:67" x14ac:dyDescent="0.25">
      <c r="A15" s="572" t="str">
        <f t="shared" si="1"/>
        <v>Lechuga140</v>
      </c>
      <c r="B15" s="572" t="s">
        <v>5061</v>
      </c>
      <c r="C15" s="572">
        <v>35</v>
      </c>
      <c r="D15" s="572">
        <v>50</v>
      </c>
      <c r="E15" s="572">
        <v>45</v>
      </c>
      <c r="F15" s="572">
        <v>10</v>
      </c>
      <c r="G15" s="572">
        <f t="shared" si="2"/>
        <v>140</v>
      </c>
      <c r="H15" s="575">
        <v>0.7</v>
      </c>
      <c r="I15" s="575">
        <v>1</v>
      </c>
      <c r="J15" s="572">
        <v>0.95</v>
      </c>
      <c r="K15" s="572">
        <v>1</v>
      </c>
      <c r="L15" s="572">
        <f t="shared" si="3"/>
        <v>35</v>
      </c>
      <c r="M15" s="572">
        <f t="shared" si="0"/>
        <v>85</v>
      </c>
      <c r="N15" s="572">
        <f t="shared" si="0"/>
        <v>130</v>
      </c>
      <c r="O15" s="572">
        <f t="shared" si="0"/>
        <v>140</v>
      </c>
      <c r="P15" s="575">
        <f t="shared" si="4"/>
        <v>0.7</v>
      </c>
      <c r="Q15" s="575">
        <f t="shared" si="5"/>
        <v>0.7</v>
      </c>
      <c r="R15" s="575">
        <f t="shared" si="5"/>
        <v>1</v>
      </c>
      <c r="S15" s="575">
        <f t="shared" si="6"/>
        <v>1</v>
      </c>
      <c r="T15" s="575">
        <f t="shared" si="6"/>
        <v>0.95</v>
      </c>
      <c r="U15" s="579">
        <f t="shared" si="7"/>
        <v>6.000000000000001E-3</v>
      </c>
      <c r="V15" s="580">
        <f t="shared" si="8"/>
        <v>0.48999999999999988</v>
      </c>
      <c r="W15" s="579">
        <f t="shared" si="9"/>
        <v>-5.0000000000000044E-3</v>
      </c>
      <c r="X15" s="580">
        <f t="shared" si="10"/>
        <v>1.6500000000000006</v>
      </c>
      <c r="AB15" s="572">
        <v>14</v>
      </c>
      <c r="AP15" s="576" t="s">
        <v>5062</v>
      </c>
      <c r="AQ15" s="576" t="s">
        <v>5063</v>
      </c>
      <c r="AR15" s="576" t="s">
        <v>5064</v>
      </c>
      <c r="AS15" s="576" t="s">
        <v>5065</v>
      </c>
      <c r="AT15" s="576" t="s">
        <v>5066</v>
      </c>
      <c r="AU15" s="576" t="s">
        <v>5067</v>
      </c>
      <c r="AV15" s="576" t="s">
        <v>5068</v>
      </c>
      <c r="AW15" s="576" t="s">
        <v>5069</v>
      </c>
      <c r="AX15" s="576" t="s">
        <v>5070</v>
      </c>
      <c r="AY15" s="576" t="s">
        <v>5071</v>
      </c>
      <c r="AZ15" s="576" t="s">
        <v>5072</v>
      </c>
      <c r="BA15" s="576" t="s">
        <v>5073</v>
      </c>
    </row>
    <row r="16" spans="1:67" x14ac:dyDescent="0.25">
      <c r="A16" s="572" t="str">
        <f t="shared" si="1"/>
        <v>Cebolla (seca)150</v>
      </c>
      <c r="B16" s="572" t="s">
        <v>5152</v>
      </c>
      <c r="C16" s="572">
        <v>15</v>
      </c>
      <c r="D16" s="572">
        <v>25</v>
      </c>
      <c r="E16" s="572">
        <v>70</v>
      </c>
      <c r="F16" s="572">
        <v>40</v>
      </c>
      <c r="G16" s="572">
        <f t="shared" si="2"/>
        <v>150</v>
      </c>
      <c r="H16" s="575">
        <v>0.7</v>
      </c>
      <c r="I16" s="572">
        <v>1.05</v>
      </c>
      <c r="J16" s="572">
        <v>0.75</v>
      </c>
      <c r="K16" s="572">
        <v>1</v>
      </c>
      <c r="L16" s="572">
        <f t="shared" si="3"/>
        <v>15</v>
      </c>
      <c r="M16" s="572">
        <f t="shared" si="0"/>
        <v>40</v>
      </c>
      <c r="N16" s="572">
        <f t="shared" si="0"/>
        <v>110</v>
      </c>
      <c r="O16" s="572">
        <f t="shared" si="0"/>
        <v>150</v>
      </c>
      <c r="P16" s="575">
        <f t="shared" si="4"/>
        <v>0.7</v>
      </c>
      <c r="Q16" s="575">
        <f t="shared" si="5"/>
        <v>0.7</v>
      </c>
      <c r="R16" s="575">
        <f t="shared" si="5"/>
        <v>1.05</v>
      </c>
      <c r="S16" s="575">
        <f t="shared" si="6"/>
        <v>1.05</v>
      </c>
      <c r="T16" s="575">
        <f t="shared" si="6"/>
        <v>0.75</v>
      </c>
      <c r="U16" s="579">
        <f t="shared" si="7"/>
        <v>1.4000000000000004E-2</v>
      </c>
      <c r="V16" s="580">
        <f t="shared" si="8"/>
        <v>0.48999999999999988</v>
      </c>
      <c r="W16" s="579">
        <f t="shared" si="9"/>
        <v>-7.5000000000000015E-3</v>
      </c>
      <c r="X16" s="580">
        <f t="shared" si="10"/>
        <v>1.8750000000000002</v>
      </c>
      <c r="AB16" s="572">
        <v>15</v>
      </c>
      <c r="AO16" s="576">
        <v>1</v>
      </c>
    </row>
    <row r="17" spans="1:53" x14ac:dyDescent="0.25">
      <c r="A17" s="572" t="str">
        <f t="shared" si="1"/>
        <v>Cebolla (seca)210</v>
      </c>
      <c r="B17" s="572" t="s">
        <v>5152</v>
      </c>
      <c r="C17" s="572">
        <v>20</v>
      </c>
      <c r="D17" s="572">
        <v>35</v>
      </c>
      <c r="E17" s="572">
        <v>110</v>
      </c>
      <c r="F17" s="572">
        <v>45</v>
      </c>
      <c r="G17" s="572">
        <f t="shared" si="2"/>
        <v>210</v>
      </c>
      <c r="H17" s="575">
        <v>0.7</v>
      </c>
      <c r="I17" s="572">
        <v>1.05</v>
      </c>
      <c r="J17" s="572">
        <v>0.75</v>
      </c>
      <c r="K17" s="572">
        <v>1</v>
      </c>
      <c r="L17" s="572">
        <f t="shared" si="3"/>
        <v>20</v>
      </c>
      <c r="M17" s="572">
        <f t="shared" si="0"/>
        <v>55</v>
      </c>
      <c r="N17" s="572">
        <f t="shared" si="0"/>
        <v>165</v>
      </c>
      <c r="O17" s="572">
        <f t="shared" si="0"/>
        <v>210</v>
      </c>
      <c r="P17" s="575">
        <f t="shared" si="4"/>
        <v>0.7</v>
      </c>
      <c r="Q17" s="575">
        <f t="shared" si="5"/>
        <v>0.7</v>
      </c>
      <c r="R17" s="575">
        <f t="shared" si="5"/>
        <v>1.05</v>
      </c>
      <c r="S17" s="575">
        <f t="shared" si="6"/>
        <v>1.05</v>
      </c>
      <c r="T17" s="575">
        <f t="shared" si="6"/>
        <v>0.75</v>
      </c>
      <c r="U17" s="579">
        <f t="shared" si="7"/>
        <v>1.0000000000000002E-2</v>
      </c>
      <c r="V17" s="580">
        <f t="shared" si="8"/>
        <v>0.49999999999999989</v>
      </c>
      <c r="W17" s="579">
        <f t="shared" si="9"/>
        <v>-6.666666666666668E-3</v>
      </c>
      <c r="X17" s="580">
        <f t="shared" si="10"/>
        <v>2.1500000000000004</v>
      </c>
      <c r="AB17" s="572">
        <v>16</v>
      </c>
      <c r="AO17" s="576">
        <v>2</v>
      </c>
    </row>
    <row r="18" spans="1:53" x14ac:dyDescent="0.25">
      <c r="A18" s="572" t="str">
        <f t="shared" si="1"/>
        <v>Cebolla (verde)70</v>
      </c>
      <c r="B18" s="572" t="s">
        <v>5153</v>
      </c>
      <c r="C18" s="572">
        <v>25</v>
      </c>
      <c r="D18" s="572">
        <v>30</v>
      </c>
      <c r="E18" s="572">
        <v>10</v>
      </c>
      <c r="F18" s="572">
        <v>5</v>
      </c>
      <c r="G18" s="572">
        <f t="shared" si="2"/>
        <v>70</v>
      </c>
      <c r="H18" s="575">
        <v>0.7</v>
      </c>
      <c r="I18" s="575">
        <v>1</v>
      </c>
      <c r="J18" s="575">
        <v>1</v>
      </c>
      <c r="K18" s="572">
        <v>1</v>
      </c>
      <c r="L18" s="572">
        <f t="shared" si="3"/>
        <v>25</v>
      </c>
      <c r="M18" s="572">
        <f t="shared" si="0"/>
        <v>55</v>
      </c>
      <c r="N18" s="572">
        <f t="shared" si="0"/>
        <v>65</v>
      </c>
      <c r="O18" s="572">
        <f t="shared" si="0"/>
        <v>70</v>
      </c>
      <c r="P18" s="575">
        <f t="shared" si="4"/>
        <v>0.7</v>
      </c>
      <c r="Q18" s="575">
        <f t="shared" si="5"/>
        <v>0.7</v>
      </c>
      <c r="R18" s="575">
        <f t="shared" si="5"/>
        <v>1</v>
      </c>
      <c r="S18" s="575">
        <f t="shared" si="6"/>
        <v>1</v>
      </c>
      <c r="T18" s="575">
        <f t="shared" si="6"/>
        <v>1</v>
      </c>
      <c r="U18" s="579">
        <f t="shared" si="7"/>
        <v>1.0000000000000002E-2</v>
      </c>
      <c r="V18" s="580">
        <f t="shared" si="8"/>
        <v>0.44999999999999984</v>
      </c>
      <c r="W18" s="579">
        <f t="shared" si="9"/>
        <v>0</v>
      </c>
      <c r="X18" s="580">
        <f t="shared" si="10"/>
        <v>1</v>
      </c>
      <c r="AB18" s="572">
        <v>17</v>
      </c>
      <c r="AO18" s="576">
        <v>3</v>
      </c>
    </row>
    <row r="19" spans="1:53" x14ac:dyDescent="0.25">
      <c r="A19" s="572" t="str">
        <f t="shared" si="1"/>
        <v>Cebolla (verde)95</v>
      </c>
      <c r="B19" s="572" t="s">
        <v>5153</v>
      </c>
      <c r="C19" s="572">
        <v>20</v>
      </c>
      <c r="D19" s="572">
        <v>45</v>
      </c>
      <c r="E19" s="572">
        <v>20</v>
      </c>
      <c r="F19" s="572">
        <v>10</v>
      </c>
      <c r="G19" s="572">
        <f t="shared" si="2"/>
        <v>95</v>
      </c>
      <c r="H19" s="575">
        <v>0.7</v>
      </c>
      <c r="I19" s="575">
        <v>1</v>
      </c>
      <c r="J19" s="575">
        <v>1</v>
      </c>
      <c r="K19" s="572">
        <v>1</v>
      </c>
      <c r="L19" s="572">
        <f t="shared" si="3"/>
        <v>20</v>
      </c>
      <c r="M19" s="572">
        <f t="shared" si="0"/>
        <v>65</v>
      </c>
      <c r="N19" s="572">
        <f t="shared" si="0"/>
        <v>85</v>
      </c>
      <c r="O19" s="572">
        <f t="shared" si="0"/>
        <v>95</v>
      </c>
      <c r="P19" s="575">
        <f t="shared" si="4"/>
        <v>0.7</v>
      </c>
      <c r="Q19" s="575">
        <f t="shared" si="5"/>
        <v>0.7</v>
      </c>
      <c r="R19" s="575">
        <f t="shared" si="5"/>
        <v>1</v>
      </c>
      <c r="S19" s="575">
        <f t="shared" si="6"/>
        <v>1</v>
      </c>
      <c r="T19" s="575">
        <f t="shared" si="6"/>
        <v>1</v>
      </c>
      <c r="U19" s="579">
        <f t="shared" si="7"/>
        <v>6.666666666666668E-3</v>
      </c>
      <c r="V19" s="580">
        <f t="shared" si="8"/>
        <v>0.56666666666666665</v>
      </c>
      <c r="W19" s="579">
        <f t="shared" si="9"/>
        <v>0</v>
      </c>
      <c r="X19" s="580">
        <f t="shared" si="10"/>
        <v>1</v>
      </c>
      <c r="AB19" s="572">
        <v>18</v>
      </c>
      <c r="AO19" s="576">
        <v>4</v>
      </c>
    </row>
    <row r="20" spans="1:53" x14ac:dyDescent="0.25">
      <c r="A20" s="572" t="str">
        <f t="shared" si="1"/>
        <v>Cebolla (verde)180</v>
      </c>
      <c r="B20" s="572" t="s">
        <v>5153</v>
      </c>
      <c r="C20" s="572">
        <v>30</v>
      </c>
      <c r="D20" s="572">
        <v>55</v>
      </c>
      <c r="E20" s="572">
        <v>55</v>
      </c>
      <c r="F20" s="572">
        <v>40</v>
      </c>
      <c r="G20" s="572">
        <f t="shared" si="2"/>
        <v>180</v>
      </c>
      <c r="H20" s="575">
        <v>0.7</v>
      </c>
      <c r="I20" s="575">
        <v>1</v>
      </c>
      <c r="J20" s="575">
        <v>1</v>
      </c>
      <c r="K20" s="572">
        <v>1</v>
      </c>
      <c r="L20" s="572">
        <f t="shared" si="3"/>
        <v>30</v>
      </c>
      <c r="M20" s="572">
        <f t="shared" si="0"/>
        <v>85</v>
      </c>
      <c r="N20" s="572">
        <f t="shared" si="0"/>
        <v>140</v>
      </c>
      <c r="O20" s="572">
        <f t="shared" si="0"/>
        <v>180</v>
      </c>
      <c r="P20" s="575">
        <f t="shared" si="4"/>
        <v>0.7</v>
      </c>
      <c r="Q20" s="575">
        <f t="shared" si="5"/>
        <v>0.7</v>
      </c>
      <c r="R20" s="575">
        <f t="shared" si="5"/>
        <v>1</v>
      </c>
      <c r="S20" s="575">
        <f t="shared" si="6"/>
        <v>1</v>
      </c>
      <c r="T20" s="575">
        <f t="shared" si="6"/>
        <v>1</v>
      </c>
      <c r="U20" s="579">
        <f t="shared" si="7"/>
        <v>5.454545454545455E-3</v>
      </c>
      <c r="V20" s="580">
        <f t="shared" si="8"/>
        <v>0.53636363636363638</v>
      </c>
      <c r="W20" s="579">
        <f t="shared" si="9"/>
        <v>0</v>
      </c>
      <c r="X20" s="580">
        <f t="shared" si="10"/>
        <v>1</v>
      </c>
      <c r="AB20" s="572">
        <v>19</v>
      </c>
      <c r="AO20" s="576">
        <v>5</v>
      </c>
    </row>
    <row r="21" spans="1:53" x14ac:dyDescent="0.25">
      <c r="A21" s="572" t="str">
        <f t="shared" si="1"/>
        <v>Cebolla (semilla)275</v>
      </c>
      <c r="B21" s="572" t="s">
        <v>5154</v>
      </c>
      <c r="C21" s="572">
        <v>20</v>
      </c>
      <c r="D21" s="572">
        <v>45</v>
      </c>
      <c r="E21" s="572">
        <v>165</v>
      </c>
      <c r="F21" s="572">
        <v>45</v>
      </c>
      <c r="G21" s="572">
        <f t="shared" si="2"/>
        <v>275</v>
      </c>
      <c r="H21" s="575">
        <v>0.7</v>
      </c>
      <c r="I21" s="572">
        <v>1.05</v>
      </c>
      <c r="J21" s="575">
        <v>0.8</v>
      </c>
      <c r="K21" s="572">
        <v>1</v>
      </c>
      <c r="L21" s="572">
        <f t="shared" si="3"/>
        <v>20</v>
      </c>
      <c r="M21" s="572">
        <f t="shared" si="0"/>
        <v>65</v>
      </c>
      <c r="N21" s="572">
        <f t="shared" si="0"/>
        <v>230</v>
      </c>
      <c r="O21" s="572">
        <f t="shared" si="0"/>
        <v>275</v>
      </c>
      <c r="P21" s="575">
        <f t="shared" si="4"/>
        <v>0.7</v>
      </c>
      <c r="Q21" s="575">
        <f t="shared" si="5"/>
        <v>0.7</v>
      </c>
      <c r="R21" s="575">
        <f t="shared" si="5"/>
        <v>1.05</v>
      </c>
      <c r="S21" s="575">
        <f t="shared" si="6"/>
        <v>1.05</v>
      </c>
      <c r="T21" s="575">
        <f t="shared" si="6"/>
        <v>0.8</v>
      </c>
      <c r="U21" s="579">
        <f t="shared" si="7"/>
        <v>7.7777777777777802E-3</v>
      </c>
      <c r="V21" s="580">
        <f t="shared" si="8"/>
        <v>0.54444444444444429</v>
      </c>
      <c r="W21" s="579">
        <f t="shared" si="9"/>
        <v>-5.5555555555555558E-3</v>
      </c>
      <c r="X21" s="580">
        <f t="shared" si="10"/>
        <v>2.3277777777777779</v>
      </c>
      <c r="AB21" s="572">
        <v>20</v>
      </c>
      <c r="AO21" s="576">
        <v>6</v>
      </c>
    </row>
    <row r="22" spans="1:53" x14ac:dyDescent="0.25">
      <c r="A22" s="572" t="str">
        <f t="shared" si="1"/>
        <v>Espinaca65</v>
      </c>
      <c r="B22" s="572" t="s">
        <v>5155</v>
      </c>
      <c r="C22" s="572">
        <v>20</v>
      </c>
      <c r="D22" s="572">
        <v>20</v>
      </c>
      <c r="E22" s="572">
        <v>20</v>
      </c>
      <c r="F22" s="572">
        <v>5</v>
      </c>
      <c r="G22" s="572">
        <f t="shared" si="2"/>
        <v>65</v>
      </c>
      <c r="H22" s="575">
        <v>0.7</v>
      </c>
      <c r="I22" s="575">
        <v>1</v>
      </c>
      <c r="J22" s="572">
        <v>0.95</v>
      </c>
      <c r="K22" s="572">
        <v>1</v>
      </c>
      <c r="L22" s="572">
        <f t="shared" si="3"/>
        <v>20</v>
      </c>
      <c r="M22" s="572">
        <f t="shared" si="0"/>
        <v>40</v>
      </c>
      <c r="N22" s="572">
        <f t="shared" si="0"/>
        <v>60</v>
      </c>
      <c r="O22" s="572">
        <f t="shared" si="0"/>
        <v>65</v>
      </c>
      <c r="P22" s="575">
        <f t="shared" si="4"/>
        <v>0.7</v>
      </c>
      <c r="Q22" s="575">
        <f t="shared" si="5"/>
        <v>0.7</v>
      </c>
      <c r="R22" s="575">
        <f t="shared" si="5"/>
        <v>1</v>
      </c>
      <c r="S22" s="575">
        <f t="shared" si="6"/>
        <v>1</v>
      </c>
      <c r="T22" s="575">
        <f t="shared" si="6"/>
        <v>0.95</v>
      </c>
      <c r="U22" s="579">
        <f t="shared" si="7"/>
        <v>1.5000000000000003E-2</v>
      </c>
      <c r="V22" s="580">
        <f t="shared" si="8"/>
        <v>0.39999999999999991</v>
      </c>
      <c r="W22" s="579">
        <f t="shared" si="9"/>
        <v>-1.0000000000000009E-2</v>
      </c>
      <c r="X22" s="580">
        <f t="shared" si="10"/>
        <v>1.6000000000000005</v>
      </c>
      <c r="AB22" s="572">
        <v>21</v>
      </c>
      <c r="AO22" s="576">
        <v>7</v>
      </c>
    </row>
    <row r="23" spans="1:53" x14ac:dyDescent="0.25">
      <c r="A23" s="572" t="str">
        <f t="shared" si="1"/>
        <v>Espinaca100</v>
      </c>
      <c r="B23" s="572" t="s">
        <v>5155</v>
      </c>
      <c r="C23" s="572">
        <v>20</v>
      </c>
      <c r="D23" s="572">
        <v>30</v>
      </c>
      <c r="E23" s="572">
        <v>40</v>
      </c>
      <c r="F23" s="572">
        <v>10</v>
      </c>
      <c r="G23" s="572">
        <f t="shared" si="2"/>
        <v>100</v>
      </c>
      <c r="H23" s="575">
        <v>0.7</v>
      </c>
      <c r="I23" s="575">
        <v>1</v>
      </c>
      <c r="J23" s="572">
        <v>0.95</v>
      </c>
      <c r="K23" s="572">
        <v>1</v>
      </c>
      <c r="L23" s="572">
        <f t="shared" si="3"/>
        <v>20</v>
      </c>
      <c r="M23" s="572">
        <f t="shared" si="0"/>
        <v>50</v>
      </c>
      <c r="N23" s="572">
        <f t="shared" si="0"/>
        <v>90</v>
      </c>
      <c r="O23" s="572">
        <f t="shared" si="0"/>
        <v>100</v>
      </c>
      <c r="P23" s="575">
        <f t="shared" si="4"/>
        <v>0.7</v>
      </c>
      <c r="Q23" s="575">
        <f t="shared" si="5"/>
        <v>0.7</v>
      </c>
      <c r="R23" s="575">
        <f t="shared" si="5"/>
        <v>1</v>
      </c>
      <c r="S23" s="575">
        <f t="shared" si="6"/>
        <v>1</v>
      </c>
      <c r="T23" s="575">
        <f t="shared" si="6"/>
        <v>0.95</v>
      </c>
      <c r="U23" s="579">
        <f t="shared" si="7"/>
        <v>1.0000000000000002E-2</v>
      </c>
      <c r="V23" s="580">
        <f t="shared" si="8"/>
        <v>0.49999999999999989</v>
      </c>
      <c r="W23" s="579">
        <f t="shared" si="9"/>
        <v>-5.0000000000000044E-3</v>
      </c>
      <c r="X23" s="580">
        <f t="shared" si="10"/>
        <v>1.4500000000000004</v>
      </c>
      <c r="AB23" s="572">
        <v>22</v>
      </c>
      <c r="AO23" s="576">
        <v>8</v>
      </c>
    </row>
    <row r="24" spans="1:53" x14ac:dyDescent="0.25">
      <c r="A24" s="572" t="str">
        <f t="shared" si="1"/>
        <v>Rábano35</v>
      </c>
      <c r="B24" s="572" t="s">
        <v>5156</v>
      </c>
      <c r="C24" s="572">
        <v>5</v>
      </c>
      <c r="D24" s="572">
        <v>10</v>
      </c>
      <c r="E24" s="572">
        <v>15</v>
      </c>
      <c r="F24" s="572">
        <v>5</v>
      </c>
      <c r="G24" s="572">
        <f t="shared" si="2"/>
        <v>35</v>
      </c>
      <c r="H24" s="575">
        <v>0.7</v>
      </c>
      <c r="I24" s="575">
        <v>0.9</v>
      </c>
      <c r="J24" s="572">
        <v>0.85</v>
      </c>
      <c r="K24" s="572">
        <v>1</v>
      </c>
      <c r="L24" s="572">
        <f t="shared" si="3"/>
        <v>5</v>
      </c>
      <c r="M24" s="572">
        <f t="shared" si="0"/>
        <v>15</v>
      </c>
      <c r="N24" s="572">
        <f t="shared" si="0"/>
        <v>30</v>
      </c>
      <c r="O24" s="572">
        <f t="shared" si="0"/>
        <v>35</v>
      </c>
      <c r="P24" s="575">
        <f t="shared" si="4"/>
        <v>0.7</v>
      </c>
      <c r="Q24" s="575">
        <f t="shared" si="5"/>
        <v>0.7</v>
      </c>
      <c r="R24" s="575">
        <f t="shared" si="5"/>
        <v>0.9</v>
      </c>
      <c r="S24" s="575">
        <f t="shared" si="6"/>
        <v>0.9</v>
      </c>
      <c r="T24" s="575">
        <f t="shared" si="6"/>
        <v>0.85</v>
      </c>
      <c r="U24" s="579">
        <f t="shared" si="7"/>
        <v>2.0000000000000007E-2</v>
      </c>
      <c r="V24" s="580">
        <f t="shared" si="8"/>
        <v>0.59999999999999987</v>
      </c>
      <c r="W24" s="579">
        <f t="shared" si="9"/>
        <v>-1.0000000000000009E-2</v>
      </c>
      <c r="X24" s="580">
        <f t="shared" si="10"/>
        <v>1.2000000000000002</v>
      </c>
      <c r="AB24" s="572">
        <v>23</v>
      </c>
      <c r="AO24" s="576">
        <v>9</v>
      </c>
    </row>
    <row r="25" spans="1:53" x14ac:dyDescent="0.25">
      <c r="A25" s="572" t="str">
        <f t="shared" si="1"/>
        <v>Rábano40</v>
      </c>
      <c r="B25" s="572" t="s">
        <v>5156</v>
      </c>
      <c r="C25" s="572">
        <v>10</v>
      </c>
      <c r="D25" s="572">
        <v>10</v>
      </c>
      <c r="E25" s="572">
        <v>15</v>
      </c>
      <c r="F25" s="572">
        <v>5</v>
      </c>
      <c r="G25" s="572">
        <f t="shared" si="2"/>
        <v>40</v>
      </c>
      <c r="H25" s="575">
        <v>0.7</v>
      </c>
      <c r="I25" s="575">
        <v>0.9</v>
      </c>
      <c r="J25" s="572">
        <v>0.85</v>
      </c>
      <c r="K25" s="572">
        <v>1</v>
      </c>
      <c r="L25" s="572">
        <f t="shared" si="3"/>
        <v>10</v>
      </c>
      <c r="M25" s="572">
        <f t="shared" si="0"/>
        <v>20</v>
      </c>
      <c r="N25" s="572">
        <f t="shared" si="0"/>
        <v>35</v>
      </c>
      <c r="O25" s="572">
        <f t="shared" si="0"/>
        <v>40</v>
      </c>
      <c r="P25" s="575">
        <f t="shared" si="4"/>
        <v>0.7</v>
      </c>
      <c r="Q25" s="575">
        <f t="shared" si="5"/>
        <v>0.7</v>
      </c>
      <c r="R25" s="575">
        <f t="shared" si="5"/>
        <v>0.9</v>
      </c>
      <c r="S25" s="575">
        <f t="shared" si="6"/>
        <v>0.9</v>
      </c>
      <c r="T25" s="575">
        <f t="shared" si="6"/>
        <v>0.85</v>
      </c>
      <c r="U25" s="579">
        <f t="shared" si="7"/>
        <v>2.0000000000000007E-2</v>
      </c>
      <c r="V25" s="580">
        <f t="shared" si="8"/>
        <v>0.49999999999999989</v>
      </c>
      <c r="W25" s="579">
        <f t="shared" si="9"/>
        <v>-1.0000000000000009E-2</v>
      </c>
      <c r="X25" s="580">
        <f t="shared" si="10"/>
        <v>1.2500000000000004</v>
      </c>
      <c r="AB25" s="572">
        <v>24</v>
      </c>
      <c r="AO25" s="576">
        <v>10</v>
      </c>
    </row>
    <row r="26" spans="1:53" x14ac:dyDescent="0.25">
      <c r="A26" s="572" t="str">
        <f t="shared" si="1"/>
        <v>Berenjena130</v>
      </c>
      <c r="B26" s="572" t="s">
        <v>5157</v>
      </c>
      <c r="C26" s="572">
        <v>30</v>
      </c>
      <c r="D26" s="572">
        <v>40</v>
      </c>
      <c r="E26" s="572">
        <v>40</v>
      </c>
      <c r="F26" s="572">
        <v>20</v>
      </c>
      <c r="G26" s="572">
        <f t="shared" si="2"/>
        <v>130</v>
      </c>
      <c r="H26" s="575">
        <v>0.6</v>
      </c>
      <c r="I26" s="575">
        <v>1.05</v>
      </c>
      <c r="J26" s="575">
        <v>0.9</v>
      </c>
      <c r="K26" s="572">
        <v>1</v>
      </c>
      <c r="L26" s="572">
        <f t="shared" si="3"/>
        <v>30</v>
      </c>
      <c r="M26" s="572">
        <f t="shared" si="0"/>
        <v>70</v>
      </c>
      <c r="N26" s="572">
        <f t="shared" si="0"/>
        <v>110</v>
      </c>
      <c r="O26" s="572">
        <f t="shared" si="0"/>
        <v>130</v>
      </c>
      <c r="P26" s="575">
        <f t="shared" si="4"/>
        <v>0.6</v>
      </c>
      <c r="Q26" s="575">
        <f t="shared" si="5"/>
        <v>0.6</v>
      </c>
      <c r="R26" s="575">
        <f t="shared" si="5"/>
        <v>1.05</v>
      </c>
      <c r="S26" s="575">
        <f t="shared" si="6"/>
        <v>1.05</v>
      </c>
      <c r="T26" s="575">
        <f t="shared" si="6"/>
        <v>0.9</v>
      </c>
      <c r="U26" s="579">
        <f t="shared" si="7"/>
        <v>1.1250000000000001E-2</v>
      </c>
      <c r="V26" s="580">
        <f t="shared" si="8"/>
        <v>0.26249999999999996</v>
      </c>
      <c r="W26" s="579">
        <f t="shared" si="9"/>
        <v>-7.5000000000000015E-3</v>
      </c>
      <c r="X26" s="580">
        <f t="shared" si="10"/>
        <v>1.8750000000000002</v>
      </c>
      <c r="AB26" s="572">
        <v>25</v>
      </c>
      <c r="AO26" s="576">
        <v>11</v>
      </c>
    </row>
    <row r="27" spans="1:53" x14ac:dyDescent="0.25">
      <c r="A27" s="572" t="str">
        <f t="shared" si="1"/>
        <v>Berenjena140</v>
      </c>
      <c r="B27" s="572" t="s">
        <v>5157</v>
      </c>
      <c r="C27" s="572">
        <v>30</v>
      </c>
      <c r="D27" s="572">
        <v>45</v>
      </c>
      <c r="E27" s="572">
        <v>40</v>
      </c>
      <c r="F27" s="572">
        <v>25</v>
      </c>
      <c r="G27" s="572">
        <f t="shared" si="2"/>
        <v>140</v>
      </c>
      <c r="H27" s="575">
        <v>0.6</v>
      </c>
      <c r="I27" s="575">
        <v>1.05</v>
      </c>
      <c r="J27" s="575">
        <v>0.9</v>
      </c>
      <c r="K27" s="572">
        <v>1</v>
      </c>
      <c r="L27" s="572">
        <f t="shared" si="3"/>
        <v>30</v>
      </c>
      <c r="M27" s="572">
        <f t="shared" si="0"/>
        <v>75</v>
      </c>
      <c r="N27" s="572">
        <f t="shared" si="0"/>
        <v>115</v>
      </c>
      <c r="O27" s="572">
        <f t="shared" si="0"/>
        <v>140</v>
      </c>
      <c r="P27" s="575">
        <f t="shared" si="4"/>
        <v>0.6</v>
      </c>
      <c r="Q27" s="575">
        <f t="shared" si="5"/>
        <v>0.6</v>
      </c>
      <c r="R27" s="575">
        <f t="shared" si="5"/>
        <v>1.05</v>
      </c>
      <c r="S27" s="575">
        <f t="shared" si="6"/>
        <v>1.05</v>
      </c>
      <c r="T27" s="575">
        <f t="shared" si="6"/>
        <v>0.9</v>
      </c>
      <c r="U27" s="579">
        <f t="shared" si="7"/>
        <v>1.0000000000000002E-2</v>
      </c>
      <c r="V27" s="580">
        <f t="shared" si="8"/>
        <v>0.29999999999999993</v>
      </c>
      <c r="W27" s="579">
        <f t="shared" si="9"/>
        <v>-6.000000000000001E-3</v>
      </c>
      <c r="X27" s="580">
        <f t="shared" si="10"/>
        <v>1.7400000000000002</v>
      </c>
      <c r="AB27" s="572">
        <v>26</v>
      </c>
    </row>
    <row r="28" spans="1:53" x14ac:dyDescent="0.25">
      <c r="A28" s="572" t="str">
        <f t="shared" si="1"/>
        <v>Ají125</v>
      </c>
      <c r="B28" s="572" t="s">
        <v>5158</v>
      </c>
      <c r="C28" s="572">
        <v>30</v>
      </c>
      <c r="D28" s="572">
        <v>35</v>
      </c>
      <c r="E28" s="572">
        <v>40</v>
      </c>
      <c r="F28" s="572">
        <v>20</v>
      </c>
      <c r="G28" s="572">
        <f t="shared" si="2"/>
        <v>125</v>
      </c>
      <c r="H28" s="575">
        <v>0.6</v>
      </c>
      <c r="I28" s="575">
        <v>1.05</v>
      </c>
      <c r="J28" s="575">
        <v>0.9</v>
      </c>
      <c r="K28" s="572">
        <v>1</v>
      </c>
      <c r="L28" s="572">
        <f t="shared" si="3"/>
        <v>30</v>
      </c>
      <c r="M28" s="572">
        <f t="shared" si="0"/>
        <v>65</v>
      </c>
      <c r="N28" s="572">
        <f t="shared" si="0"/>
        <v>105</v>
      </c>
      <c r="O28" s="572">
        <f t="shared" si="0"/>
        <v>125</v>
      </c>
      <c r="P28" s="575">
        <f t="shared" si="4"/>
        <v>0.6</v>
      </c>
      <c r="Q28" s="575">
        <f t="shared" si="5"/>
        <v>0.6</v>
      </c>
      <c r="R28" s="575">
        <f t="shared" si="5"/>
        <v>1.05</v>
      </c>
      <c r="S28" s="575">
        <f t="shared" si="6"/>
        <v>1.05</v>
      </c>
      <c r="T28" s="575">
        <f t="shared" si="6"/>
        <v>0.9</v>
      </c>
      <c r="U28" s="579">
        <f t="shared" si="7"/>
        <v>1.2857142857142859E-2</v>
      </c>
      <c r="V28" s="580">
        <f t="shared" si="8"/>
        <v>0.21428571428571419</v>
      </c>
      <c r="W28" s="579">
        <f t="shared" si="9"/>
        <v>-7.5000000000000015E-3</v>
      </c>
      <c r="X28" s="580">
        <f t="shared" si="10"/>
        <v>1.8375000000000004</v>
      </c>
      <c r="AB28" s="572">
        <v>27</v>
      </c>
      <c r="AO28" s="572" t="s">
        <v>5159</v>
      </c>
    </row>
    <row r="29" spans="1:53" x14ac:dyDescent="0.25">
      <c r="A29" s="572" t="str">
        <f t="shared" si="1"/>
        <v>Ají210</v>
      </c>
      <c r="B29" s="572" t="s">
        <v>5158</v>
      </c>
      <c r="C29" s="572">
        <v>30</v>
      </c>
      <c r="D29" s="572">
        <v>40</v>
      </c>
      <c r="E29" s="572">
        <v>110</v>
      </c>
      <c r="F29" s="572">
        <v>30</v>
      </c>
      <c r="G29" s="572">
        <f t="shared" si="2"/>
        <v>210</v>
      </c>
      <c r="H29" s="575">
        <v>0.6</v>
      </c>
      <c r="I29" s="575">
        <v>1.05</v>
      </c>
      <c r="J29" s="575">
        <v>0.9</v>
      </c>
      <c r="K29" s="572">
        <v>1</v>
      </c>
      <c r="L29" s="572">
        <f t="shared" si="3"/>
        <v>30</v>
      </c>
      <c r="M29" s="572">
        <f t="shared" si="0"/>
        <v>70</v>
      </c>
      <c r="N29" s="572">
        <f t="shared" si="0"/>
        <v>180</v>
      </c>
      <c r="O29" s="572">
        <f t="shared" si="0"/>
        <v>210</v>
      </c>
      <c r="P29" s="575">
        <f t="shared" si="4"/>
        <v>0.6</v>
      </c>
      <c r="Q29" s="575">
        <f t="shared" si="5"/>
        <v>0.6</v>
      </c>
      <c r="R29" s="575">
        <f t="shared" si="5"/>
        <v>1.05</v>
      </c>
      <c r="S29" s="575">
        <f t="shared" si="6"/>
        <v>1.05</v>
      </c>
      <c r="T29" s="575">
        <f t="shared" si="6"/>
        <v>0.9</v>
      </c>
      <c r="U29" s="579">
        <f t="shared" si="7"/>
        <v>1.1250000000000001E-2</v>
      </c>
      <c r="V29" s="580">
        <f t="shared" si="8"/>
        <v>0.26249999999999996</v>
      </c>
      <c r="W29" s="579">
        <f t="shared" si="9"/>
        <v>-5.000000000000001E-3</v>
      </c>
      <c r="X29" s="580">
        <f t="shared" si="10"/>
        <v>1.9500000000000002</v>
      </c>
      <c r="AB29" s="572">
        <v>28</v>
      </c>
      <c r="AP29" s="576" t="s">
        <v>5062</v>
      </c>
      <c r="AQ29" s="576" t="s">
        <v>5063</v>
      </c>
      <c r="AR29" s="576" t="s">
        <v>5064</v>
      </c>
      <c r="AS29" s="576" t="s">
        <v>5065</v>
      </c>
      <c r="AT29" s="576" t="s">
        <v>5066</v>
      </c>
      <c r="AU29" s="576" t="s">
        <v>5067</v>
      </c>
      <c r="AV29" s="576" t="s">
        <v>5068</v>
      </c>
      <c r="AW29" s="576" t="s">
        <v>5069</v>
      </c>
      <c r="AX29" s="576" t="s">
        <v>5070</v>
      </c>
      <c r="AY29" s="576" t="s">
        <v>5071</v>
      </c>
      <c r="AZ29" s="576" t="s">
        <v>5072</v>
      </c>
      <c r="BA29" s="576" t="s">
        <v>5073</v>
      </c>
    </row>
    <row r="30" spans="1:53" x14ac:dyDescent="0.25">
      <c r="A30" s="572" t="str">
        <f t="shared" si="1"/>
        <v>Tomate135</v>
      </c>
      <c r="B30" s="572" t="s">
        <v>5160</v>
      </c>
      <c r="C30" s="572">
        <v>30</v>
      </c>
      <c r="D30" s="572">
        <v>40</v>
      </c>
      <c r="E30" s="572">
        <v>40</v>
      </c>
      <c r="F30" s="572">
        <v>25</v>
      </c>
      <c r="G30" s="572">
        <f t="shared" si="2"/>
        <v>135</v>
      </c>
      <c r="H30" s="575">
        <v>0.6</v>
      </c>
      <c r="I30" s="575">
        <v>1.1499999999999999</v>
      </c>
      <c r="J30" s="575">
        <v>0.8</v>
      </c>
      <c r="K30" s="572">
        <v>1</v>
      </c>
      <c r="L30" s="572">
        <f t="shared" si="3"/>
        <v>30</v>
      </c>
      <c r="M30" s="572">
        <f t="shared" si="0"/>
        <v>70</v>
      </c>
      <c r="N30" s="572">
        <f t="shared" si="0"/>
        <v>110</v>
      </c>
      <c r="O30" s="572">
        <f t="shared" si="0"/>
        <v>135</v>
      </c>
      <c r="P30" s="575">
        <f t="shared" si="4"/>
        <v>0.6</v>
      </c>
      <c r="Q30" s="575">
        <f t="shared" si="5"/>
        <v>0.6</v>
      </c>
      <c r="R30" s="575">
        <f t="shared" si="5"/>
        <v>1.1499999999999999</v>
      </c>
      <c r="S30" s="575">
        <f t="shared" si="6"/>
        <v>1.1499999999999999</v>
      </c>
      <c r="T30" s="575">
        <f t="shared" si="6"/>
        <v>0.8</v>
      </c>
      <c r="U30" s="579">
        <f t="shared" si="7"/>
        <v>1.3749999999999998E-2</v>
      </c>
      <c r="V30" s="580">
        <f t="shared" si="8"/>
        <v>0.1875</v>
      </c>
      <c r="W30" s="579">
        <f t="shared" si="9"/>
        <v>-1.3999999999999995E-2</v>
      </c>
      <c r="X30" s="580">
        <f t="shared" si="10"/>
        <v>2.6899999999999995</v>
      </c>
      <c r="AB30" s="572">
        <v>29</v>
      </c>
      <c r="AO30" s="576">
        <v>1</v>
      </c>
      <c r="AP30" s="581">
        <v>2.7879999999999998</v>
      </c>
      <c r="AQ30" s="572">
        <v>2.117</v>
      </c>
      <c r="AR30" s="581">
        <v>2.3540000000000001</v>
      </c>
      <c r="AS30" s="572">
        <v>2.1970000000000001</v>
      </c>
      <c r="AT30" s="581">
        <v>2.137</v>
      </c>
      <c r="AU30" s="581">
        <v>1.99</v>
      </c>
      <c r="AV30" s="581">
        <v>2.0910000000000002</v>
      </c>
      <c r="AW30" s="581">
        <v>2.2160000000000002</v>
      </c>
      <c r="AX30" s="581">
        <v>2.2559999999999998</v>
      </c>
      <c r="AY30" s="581">
        <v>2.3580000000000001</v>
      </c>
      <c r="AZ30" s="581">
        <v>2.234</v>
      </c>
      <c r="BA30" s="581">
        <v>2.2650000000000001</v>
      </c>
    </row>
    <row r="31" spans="1:53" x14ac:dyDescent="0.25">
      <c r="A31" s="572" t="str">
        <f t="shared" si="1"/>
        <v>Tomate155</v>
      </c>
      <c r="B31" s="572" t="s">
        <v>5160</v>
      </c>
      <c r="C31" s="572">
        <v>35</v>
      </c>
      <c r="D31" s="572">
        <v>40</v>
      </c>
      <c r="E31" s="572">
        <v>50</v>
      </c>
      <c r="F31" s="572">
        <v>30</v>
      </c>
      <c r="G31" s="572">
        <f t="shared" si="2"/>
        <v>155</v>
      </c>
      <c r="H31" s="575">
        <v>0.6</v>
      </c>
      <c r="I31" s="575">
        <v>1.1499999999999999</v>
      </c>
      <c r="J31" s="575">
        <v>0.8</v>
      </c>
      <c r="K31" s="572">
        <v>1</v>
      </c>
      <c r="L31" s="572">
        <f t="shared" si="3"/>
        <v>35</v>
      </c>
      <c r="M31" s="572">
        <f t="shared" si="0"/>
        <v>75</v>
      </c>
      <c r="N31" s="572">
        <f t="shared" si="0"/>
        <v>125</v>
      </c>
      <c r="O31" s="572">
        <f t="shared" si="0"/>
        <v>155</v>
      </c>
      <c r="P31" s="575">
        <f t="shared" si="4"/>
        <v>0.6</v>
      </c>
      <c r="Q31" s="575">
        <f t="shared" si="5"/>
        <v>0.6</v>
      </c>
      <c r="R31" s="575">
        <f t="shared" si="5"/>
        <v>1.1499999999999999</v>
      </c>
      <c r="S31" s="575">
        <f t="shared" si="6"/>
        <v>1.1499999999999999</v>
      </c>
      <c r="T31" s="575">
        <f t="shared" si="6"/>
        <v>0.8</v>
      </c>
      <c r="U31" s="579">
        <f t="shared" si="7"/>
        <v>1.3749999999999998E-2</v>
      </c>
      <c r="V31" s="580">
        <f t="shared" si="8"/>
        <v>0.11875000000000013</v>
      </c>
      <c r="W31" s="579">
        <f t="shared" si="9"/>
        <v>-1.1666666666666662E-2</v>
      </c>
      <c r="X31" s="580">
        <f t="shared" si="10"/>
        <v>2.6083333333333325</v>
      </c>
      <c r="AB31" s="572">
        <v>30</v>
      </c>
      <c r="AO31" s="576">
        <v>2</v>
      </c>
      <c r="AP31" s="581">
        <v>2.371</v>
      </c>
      <c r="AQ31" s="572">
        <v>2.1360000000000001</v>
      </c>
      <c r="AR31" s="581">
        <v>2.3570000000000002</v>
      </c>
      <c r="AS31" s="572">
        <v>2.1819999999999999</v>
      </c>
      <c r="AT31" s="581">
        <v>2.1080000000000001</v>
      </c>
      <c r="AU31" s="581">
        <v>1.956</v>
      </c>
      <c r="AV31" s="581">
        <v>2.0499999999999998</v>
      </c>
      <c r="AW31" s="581">
        <v>2.194</v>
      </c>
      <c r="AX31" s="581">
        <v>2.2509999999999999</v>
      </c>
      <c r="AY31" s="581">
        <v>2.3719999999999999</v>
      </c>
      <c r="AZ31" s="581">
        <v>2.2629999999999999</v>
      </c>
      <c r="BA31" s="581">
        <v>2.3010000000000002</v>
      </c>
    </row>
    <row r="32" spans="1:53" x14ac:dyDescent="0.25">
      <c r="A32" s="572" t="str">
        <f t="shared" si="1"/>
        <v>Tomate155</v>
      </c>
      <c r="B32" s="572" t="s">
        <v>5160</v>
      </c>
      <c r="C32" s="572">
        <v>25</v>
      </c>
      <c r="D32" s="572">
        <v>40</v>
      </c>
      <c r="E32" s="572">
        <v>60</v>
      </c>
      <c r="F32" s="572">
        <v>30</v>
      </c>
      <c r="G32" s="572">
        <f t="shared" si="2"/>
        <v>155</v>
      </c>
      <c r="H32" s="575">
        <v>0.6</v>
      </c>
      <c r="I32" s="575">
        <v>1.1499999999999999</v>
      </c>
      <c r="J32" s="575">
        <v>0.8</v>
      </c>
      <c r="K32" s="572">
        <v>1</v>
      </c>
      <c r="L32" s="572">
        <f t="shared" si="3"/>
        <v>25</v>
      </c>
      <c r="M32" s="572">
        <f t="shared" si="0"/>
        <v>65</v>
      </c>
      <c r="N32" s="572">
        <f t="shared" si="0"/>
        <v>125</v>
      </c>
      <c r="O32" s="572">
        <f t="shared" si="0"/>
        <v>155</v>
      </c>
      <c r="P32" s="575">
        <f t="shared" si="4"/>
        <v>0.6</v>
      </c>
      <c r="Q32" s="575">
        <f t="shared" si="5"/>
        <v>0.6</v>
      </c>
      <c r="R32" s="575">
        <f t="shared" si="5"/>
        <v>1.1499999999999999</v>
      </c>
      <c r="S32" s="575">
        <f t="shared" si="6"/>
        <v>1.1499999999999999</v>
      </c>
      <c r="T32" s="575">
        <f t="shared" si="6"/>
        <v>0.8</v>
      </c>
      <c r="U32" s="579">
        <f t="shared" si="7"/>
        <v>1.3749999999999998E-2</v>
      </c>
      <c r="V32" s="580">
        <f t="shared" si="8"/>
        <v>0.25624999999999998</v>
      </c>
      <c r="W32" s="579">
        <f t="shared" si="9"/>
        <v>-1.1666666666666662E-2</v>
      </c>
      <c r="X32" s="580">
        <f t="shared" si="10"/>
        <v>2.6083333333333325</v>
      </c>
      <c r="AB32" s="572">
        <v>31</v>
      </c>
      <c r="AO32" s="576">
        <v>3</v>
      </c>
      <c r="AP32" s="581">
        <v>2.3530000000000002</v>
      </c>
      <c r="AQ32" s="572">
        <v>2.1539999999999999</v>
      </c>
      <c r="AR32" s="581">
        <v>2.36</v>
      </c>
      <c r="AS32" s="572">
        <v>2.1669999999999998</v>
      </c>
      <c r="AT32" s="581">
        <v>2.0790000000000002</v>
      </c>
      <c r="AU32" s="581">
        <v>1.9219999999999999</v>
      </c>
      <c r="AV32" s="581">
        <v>2.0259999999999998</v>
      </c>
      <c r="AW32" s="581">
        <v>2.1720000000000002</v>
      </c>
      <c r="AX32" s="581">
        <v>2.246</v>
      </c>
      <c r="AY32" s="581">
        <v>2.3860000000000001</v>
      </c>
      <c r="AZ32" s="581">
        <v>2.29</v>
      </c>
      <c r="BA32" s="581">
        <v>2.3370000000000002</v>
      </c>
    </row>
    <row r="33" spans="1:53" x14ac:dyDescent="0.25">
      <c r="A33" s="572" t="str">
        <f t="shared" si="1"/>
        <v>Tomate180</v>
      </c>
      <c r="B33" s="572" t="s">
        <v>5160</v>
      </c>
      <c r="C33" s="572">
        <v>35</v>
      </c>
      <c r="D33" s="572">
        <v>45</v>
      </c>
      <c r="E33" s="572">
        <v>70</v>
      </c>
      <c r="F33" s="572">
        <v>30</v>
      </c>
      <c r="G33" s="572">
        <f t="shared" si="2"/>
        <v>180</v>
      </c>
      <c r="H33" s="575">
        <v>0.6</v>
      </c>
      <c r="I33" s="575">
        <v>1.1499999999999999</v>
      </c>
      <c r="J33" s="575">
        <v>0.8</v>
      </c>
      <c r="K33" s="572">
        <v>1</v>
      </c>
      <c r="L33" s="572">
        <f t="shared" si="3"/>
        <v>35</v>
      </c>
      <c r="M33" s="572">
        <f t="shared" si="0"/>
        <v>80</v>
      </c>
      <c r="N33" s="572">
        <f t="shared" si="0"/>
        <v>150</v>
      </c>
      <c r="O33" s="572">
        <f t="shared" si="0"/>
        <v>180</v>
      </c>
      <c r="P33" s="575">
        <f t="shared" si="4"/>
        <v>0.6</v>
      </c>
      <c r="Q33" s="575">
        <f t="shared" si="5"/>
        <v>0.6</v>
      </c>
      <c r="R33" s="575">
        <f t="shared" si="5"/>
        <v>1.1499999999999999</v>
      </c>
      <c r="S33" s="575">
        <f t="shared" si="6"/>
        <v>1.1499999999999999</v>
      </c>
      <c r="T33" s="575">
        <f t="shared" si="6"/>
        <v>0.8</v>
      </c>
      <c r="U33" s="579">
        <f t="shared" si="7"/>
        <v>1.2222222222222221E-2</v>
      </c>
      <c r="V33" s="580">
        <f t="shared" si="8"/>
        <v>0.17222222222222228</v>
      </c>
      <c r="W33" s="579">
        <f t="shared" si="9"/>
        <v>-1.1666666666666662E-2</v>
      </c>
      <c r="X33" s="580">
        <f t="shared" si="10"/>
        <v>2.8999999999999995</v>
      </c>
      <c r="AB33" s="572">
        <v>32</v>
      </c>
      <c r="AO33" s="576">
        <v>4</v>
      </c>
      <c r="AP33" s="581">
        <v>2.3849999999999998</v>
      </c>
      <c r="AQ33" s="572">
        <v>2.1720000000000002</v>
      </c>
      <c r="AR33" s="581">
        <v>2.3620000000000001</v>
      </c>
      <c r="AS33" s="572">
        <v>2.1509999999999998</v>
      </c>
      <c r="AT33" s="581">
        <v>2.0499999999999998</v>
      </c>
      <c r="AU33" s="581">
        <v>1.8879999999999999</v>
      </c>
      <c r="AV33" s="581">
        <v>1.9950000000000001</v>
      </c>
      <c r="AW33" s="581">
        <v>2.15</v>
      </c>
      <c r="AX33" s="581">
        <v>2.2400000000000002</v>
      </c>
      <c r="AY33" s="581">
        <v>2.3980000000000001</v>
      </c>
      <c r="AZ33" s="581">
        <v>2.3180000000000001</v>
      </c>
      <c r="BA33" s="581">
        <v>2.3719999999999999</v>
      </c>
    </row>
    <row r="34" spans="1:53" x14ac:dyDescent="0.25">
      <c r="A34" s="572" t="str">
        <f t="shared" si="1"/>
        <v>Tomate145</v>
      </c>
      <c r="B34" s="572" t="s">
        <v>5160</v>
      </c>
      <c r="C34" s="572">
        <v>30</v>
      </c>
      <c r="D34" s="572">
        <v>40</v>
      </c>
      <c r="E34" s="572">
        <v>45</v>
      </c>
      <c r="F34" s="572">
        <v>30</v>
      </c>
      <c r="G34" s="572">
        <f t="shared" si="2"/>
        <v>145</v>
      </c>
      <c r="H34" s="575">
        <v>0.6</v>
      </c>
      <c r="I34" s="575">
        <v>1.1499999999999999</v>
      </c>
      <c r="J34" s="575">
        <v>0.8</v>
      </c>
      <c r="K34" s="572">
        <v>1</v>
      </c>
      <c r="L34" s="572">
        <f t="shared" si="3"/>
        <v>30</v>
      </c>
      <c r="M34" s="572">
        <f t="shared" si="0"/>
        <v>70</v>
      </c>
      <c r="N34" s="572">
        <f t="shared" si="0"/>
        <v>115</v>
      </c>
      <c r="O34" s="572">
        <f t="shared" si="0"/>
        <v>145</v>
      </c>
      <c r="P34" s="575">
        <f t="shared" si="4"/>
        <v>0.6</v>
      </c>
      <c r="Q34" s="575">
        <f t="shared" si="5"/>
        <v>0.6</v>
      </c>
      <c r="R34" s="575">
        <f t="shared" si="5"/>
        <v>1.1499999999999999</v>
      </c>
      <c r="S34" s="575">
        <f t="shared" si="6"/>
        <v>1.1499999999999999</v>
      </c>
      <c r="T34" s="575">
        <f t="shared" si="6"/>
        <v>0.8</v>
      </c>
      <c r="U34" s="579">
        <f t="shared" si="7"/>
        <v>1.3749999999999998E-2</v>
      </c>
      <c r="V34" s="580">
        <f t="shared" si="8"/>
        <v>0.1875</v>
      </c>
      <c r="W34" s="579">
        <f t="shared" si="9"/>
        <v>-1.1666666666666662E-2</v>
      </c>
      <c r="X34" s="580">
        <f t="shared" si="10"/>
        <v>2.4916666666666663</v>
      </c>
      <c r="AB34" s="572">
        <v>33</v>
      </c>
      <c r="AO34" s="576">
        <v>5</v>
      </c>
      <c r="AP34" s="581">
        <v>2.4159999999999999</v>
      </c>
      <c r="AQ34" s="572">
        <v>2.1890000000000001</v>
      </c>
      <c r="AR34" s="581">
        <v>2.363</v>
      </c>
      <c r="AS34" s="572">
        <v>2.1339999999999999</v>
      </c>
      <c r="AT34" s="581">
        <v>2.02</v>
      </c>
      <c r="AU34" s="581">
        <v>1.8540000000000001</v>
      </c>
      <c r="AV34" s="581">
        <v>1.96</v>
      </c>
      <c r="AW34" s="581">
        <v>2.1259999999999999</v>
      </c>
      <c r="AX34" s="581">
        <v>2.234</v>
      </c>
      <c r="AY34" s="581">
        <v>2.411</v>
      </c>
      <c r="AZ34" s="581">
        <v>2.3450000000000002</v>
      </c>
      <c r="BA34" s="581">
        <v>2.407</v>
      </c>
    </row>
    <row r="35" spans="1:53" x14ac:dyDescent="0.25">
      <c r="A35" s="572" t="str">
        <f t="shared" si="1"/>
        <v>Pepino105</v>
      </c>
      <c r="B35" s="572" t="s">
        <v>5161</v>
      </c>
      <c r="C35" s="572">
        <v>20</v>
      </c>
      <c r="D35" s="572">
        <v>30</v>
      </c>
      <c r="E35" s="572">
        <v>40</v>
      </c>
      <c r="F35" s="572">
        <v>15</v>
      </c>
      <c r="G35" s="572">
        <f t="shared" si="2"/>
        <v>105</v>
      </c>
      <c r="H35" s="575">
        <v>0.6</v>
      </c>
      <c r="I35" s="575">
        <v>1</v>
      </c>
      <c r="J35" s="575">
        <v>0.75</v>
      </c>
      <c r="K35" s="572">
        <v>1</v>
      </c>
      <c r="L35" s="572">
        <f t="shared" si="3"/>
        <v>20</v>
      </c>
      <c r="M35" s="572">
        <f t="shared" ref="M35:O66" si="11">L35+D35</f>
        <v>50</v>
      </c>
      <c r="N35" s="572">
        <f t="shared" si="11"/>
        <v>90</v>
      </c>
      <c r="O35" s="572">
        <f t="shared" si="11"/>
        <v>105</v>
      </c>
      <c r="P35" s="575">
        <f t="shared" si="4"/>
        <v>0.6</v>
      </c>
      <c r="Q35" s="575">
        <f t="shared" si="5"/>
        <v>0.6</v>
      </c>
      <c r="R35" s="575">
        <f t="shared" si="5"/>
        <v>1</v>
      </c>
      <c r="S35" s="575">
        <f t="shared" si="6"/>
        <v>1</v>
      </c>
      <c r="T35" s="575">
        <f t="shared" si="6"/>
        <v>0.75</v>
      </c>
      <c r="U35" s="579">
        <f t="shared" si="7"/>
        <v>1.3333333333333334E-2</v>
      </c>
      <c r="V35" s="580">
        <f t="shared" si="8"/>
        <v>0.33333333333333326</v>
      </c>
      <c r="W35" s="579">
        <f t="shared" si="9"/>
        <v>-1.6666666666666666E-2</v>
      </c>
      <c r="X35" s="580">
        <f t="shared" si="10"/>
        <v>2.5</v>
      </c>
      <c r="AB35" s="572">
        <v>34</v>
      </c>
      <c r="AO35" s="576">
        <v>6</v>
      </c>
      <c r="AP35" s="581">
        <v>2.4470000000000001</v>
      </c>
      <c r="AQ35" s="572">
        <v>2.0499999999999998</v>
      </c>
      <c r="AR35" s="581">
        <v>2.363</v>
      </c>
      <c r="AS35" s="572">
        <v>2.117</v>
      </c>
      <c r="AT35" s="581">
        <v>1.98</v>
      </c>
      <c r="AU35" s="581">
        <v>1.82</v>
      </c>
      <c r="AV35" s="581">
        <v>1.976</v>
      </c>
      <c r="AW35" s="581">
        <v>2.1030000000000002</v>
      </c>
      <c r="AX35" s="581">
        <v>2.226</v>
      </c>
      <c r="AY35" s="581">
        <v>2.4220000000000002</v>
      </c>
      <c r="AZ35" s="581">
        <v>2.371</v>
      </c>
      <c r="BA35" s="581">
        <v>2.4420000000000002</v>
      </c>
    </row>
    <row r="36" spans="1:53" x14ac:dyDescent="0.25">
      <c r="A36" s="572" t="str">
        <f t="shared" si="1"/>
        <v>Pepino130</v>
      </c>
      <c r="B36" s="572" t="s">
        <v>5161</v>
      </c>
      <c r="C36" s="572">
        <v>25</v>
      </c>
      <c r="D36" s="572">
        <v>35</v>
      </c>
      <c r="E36" s="572">
        <v>50</v>
      </c>
      <c r="F36" s="572">
        <v>20</v>
      </c>
      <c r="G36" s="572">
        <f t="shared" si="2"/>
        <v>130</v>
      </c>
      <c r="H36" s="575">
        <v>0.6</v>
      </c>
      <c r="I36" s="575">
        <v>1</v>
      </c>
      <c r="J36" s="575">
        <v>0.75</v>
      </c>
      <c r="K36" s="572">
        <v>1</v>
      </c>
      <c r="L36" s="572">
        <f t="shared" si="3"/>
        <v>25</v>
      </c>
      <c r="M36" s="572">
        <f t="shared" si="11"/>
        <v>60</v>
      </c>
      <c r="N36" s="572">
        <f t="shared" si="11"/>
        <v>110</v>
      </c>
      <c r="O36" s="572">
        <f t="shared" si="11"/>
        <v>130</v>
      </c>
      <c r="P36" s="575">
        <f t="shared" si="4"/>
        <v>0.6</v>
      </c>
      <c r="Q36" s="575">
        <f t="shared" si="5"/>
        <v>0.6</v>
      </c>
      <c r="R36" s="575">
        <f t="shared" si="5"/>
        <v>1</v>
      </c>
      <c r="S36" s="575">
        <f t="shared" si="6"/>
        <v>1</v>
      </c>
      <c r="T36" s="575">
        <f t="shared" si="6"/>
        <v>0.75</v>
      </c>
      <c r="U36" s="579">
        <f t="shared" si="7"/>
        <v>1.1428571428571429E-2</v>
      </c>
      <c r="V36" s="580">
        <f t="shared" si="8"/>
        <v>0.31428571428571428</v>
      </c>
      <c r="W36" s="579">
        <f t="shared" si="9"/>
        <v>-1.2500000000000001E-2</v>
      </c>
      <c r="X36" s="580">
        <f t="shared" si="10"/>
        <v>2.375</v>
      </c>
      <c r="AB36" s="572">
        <v>35</v>
      </c>
      <c r="AO36" s="576">
        <v>7</v>
      </c>
      <c r="AP36" s="581">
        <v>2.4780000000000002</v>
      </c>
      <c r="AQ36" s="572">
        <v>2.2210000000000001</v>
      </c>
      <c r="AR36" s="581">
        <v>2.363</v>
      </c>
      <c r="AS36" s="572">
        <v>2.0990000000000002</v>
      </c>
      <c r="AT36" s="581">
        <v>1.9590000000000001</v>
      </c>
      <c r="AU36" s="581">
        <v>1.7849999999999999</v>
      </c>
      <c r="AV36" s="581">
        <v>1.893</v>
      </c>
      <c r="AW36" s="581">
        <v>2.0779999999999998</v>
      </c>
      <c r="AX36" s="581">
        <v>2.218</v>
      </c>
      <c r="AY36" s="581">
        <v>2.2330000000000001</v>
      </c>
      <c r="AZ36" s="581">
        <v>2.3969999999999998</v>
      </c>
      <c r="BA36" s="581">
        <v>2.476</v>
      </c>
    </row>
    <row r="37" spans="1:53" x14ac:dyDescent="0.25">
      <c r="A37" s="572" t="str">
        <f t="shared" si="1"/>
        <v>Calabaza100</v>
      </c>
      <c r="B37" s="572" t="s">
        <v>5162</v>
      </c>
      <c r="C37" s="572">
        <v>20</v>
      </c>
      <c r="D37" s="572">
        <v>30</v>
      </c>
      <c r="E37" s="572">
        <v>30</v>
      </c>
      <c r="F37" s="572">
        <v>20</v>
      </c>
      <c r="G37" s="572">
        <f t="shared" si="2"/>
        <v>100</v>
      </c>
      <c r="H37" s="575">
        <v>0.6</v>
      </c>
      <c r="I37" s="575">
        <v>1</v>
      </c>
      <c r="J37" s="575">
        <v>0.8</v>
      </c>
      <c r="K37" s="572">
        <v>1</v>
      </c>
      <c r="L37" s="572">
        <f t="shared" si="3"/>
        <v>20</v>
      </c>
      <c r="M37" s="572">
        <f t="shared" si="11"/>
        <v>50</v>
      </c>
      <c r="N37" s="572">
        <f t="shared" si="11"/>
        <v>80</v>
      </c>
      <c r="O37" s="572">
        <f t="shared" si="11"/>
        <v>100</v>
      </c>
      <c r="P37" s="575">
        <f t="shared" si="4"/>
        <v>0.6</v>
      </c>
      <c r="Q37" s="575">
        <f t="shared" si="5"/>
        <v>0.6</v>
      </c>
      <c r="R37" s="575">
        <f t="shared" si="5"/>
        <v>1</v>
      </c>
      <c r="S37" s="575">
        <f t="shared" si="6"/>
        <v>1</v>
      </c>
      <c r="T37" s="575">
        <f t="shared" si="6"/>
        <v>0.8</v>
      </c>
      <c r="U37" s="579">
        <f t="shared" si="7"/>
        <v>1.3333333333333334E-2</v>
      </c>
      <c r="V37" s="580">
        <f t="shared" si="8"/>
        <v>0.33333333333333326</v>
      </c>
      <c r="W37" s="579">
        <f t="shared" si="9"/>
        <v>-9.9999999999999985E-3</v>
      </c>
      <c r="X37" s="580">
        <f t="shared" si="10"/>
        <v>1.7999999999999998</v>
      </c>
      <c r="AB37" s="572">
        <v>36</v>
      </c>
      <c r="AO37" s="576">
        <v>8</v>
      </c>
      <c r="AP37" s="581">
        <v>2.508</v>
      </c>
      <c r="AQ37" s="572">
        <v>2.2370000000000001</v>
      </c>
      <c r="AR37" s="581">
        <v>2.3620000000000001</v>
      </c>
      <c r="AS37" s="572">
        <v>2.081</v>
      </c>
      <c r="AT37" s="581">
        <v>1.927</v>
      </c>
      <c r="AU37" s="581">
        <v>1.75</v>
      </c>
      <c r="AV37" s="581">
        <v>1.8580000000000001</v>
      </c>
      <c r="AW37" s="581">
        <v>2.0539999999999998</v>
      </c>
      <c r="AX37" s="581">
        <v>2.21</v>
      </c>
      <c r="AY37" s="581">
        <v>2.4430000000000001</v>
      </c>
      <c r="AZ37" s="581">
        <v>2.423</v>
      </c>
      <c r="BA37" s="581">
        <v>2.5099999999999998</v>
      </c>
    </row>
    <row r="38" spans="1:53" x14ac:dyDescent="0.25">
      <c r="A38" s="572" t="str">
        <f t="shared" si="1"/>
        <v>Calabaza120</v>
      </c>
      <c r="B38" s="572" t="s">
        <v>5162</v>
      </c>
      <c r="C38" s="572">
        <v>25</v>
      </c>
      <c r="D38" s="572">
        <v>35</v>
      </c>
      <c r="E38" s="572">
        <v>35</v>
      </c>
      <c r="F38" s="572">
        <v>25</v>
      </c>
      <c r="G38" s="572">
        <f t="shared" si="2"/>
        <v>120</v>
      </c>
      <c r="H38" s="575">
        <v>0.6</v>
      </c>
      <c r="I38" s="575">
        <v>1</v>
      </c>
      <c r="J38" s="575">
        <v>0.8</v>
      </c>
      <c r="K38" s="572">
        <v>1</v>
      </c>
      <c r="L38" s="572">
        <f t="shared" si="3"/>
        <v>25</v>
      </c>
      <c r="M38" s="572">
        <f t="shared" si="11"/>
        <v>60</v>
      </c>
      <c r="N38" s="572">
        <f t="shared" si="11"/>
        <v>95</v>
      </c>
      <c r="O38" s="572">
        <f t="shared" si="11"/>
        <v>120</v>
      </c>
      <c r="P38" s="575">
        <f t="shared" si="4"/>
        <v>0.6</v>
      </c>
      <c r="Q38" s="575">
        <f t="shared" si="5"/>
        <v>0.6</v>
      </c>
      <c r="R38" s="575">
        <f t="shared" si="5"/>
        <v>1</v>
      </c>
      <c r="S38" s="575">
        <f t="shared" si="6"/>
        <v>1</v>
      </c>
      <c r="T38" s="575">
        <f t="shared" si="6"/>
        <v>0.8</v>
      </c>
      <c r="U38" s="579">
        <f t="shared" si="7"/>
        <v>1.1428571428571429E-2</v>
      </c>
      <c r="V38" s="580">
        <f t="shared" si="8"/>
        <v>0.31428571428571428</v>
      </c>
      <c r="W38" s="579">
        <f t="shared" si="9"/>
        <v>-7.9999999999999984E-3</v>
      </c>
      <c r="X38" s="580">
        <f t="shared" si="10"/>
        <v>1.7599999999999998</v>
      </c>
      <c r="AB38" s="572">
        <v>37</v>
      </c>
      <c r="AO38" s="576">
        <v>9</v>
      </c>
      <c r="AP38" s="581">
        <v>2.5379999999999998</v>
      </c>
      <c r="AQ38" s="572">
        <v>2.2509999999999999</v>
      </c>
      <c r="AR38" s="581">
        <v>2.36</v>
      </c>
      <c r="AS38" s="572">
        <v>2.0619999999999998</v>
      </c>
      <c r="AT38" s="581">
        <v>1.8959999999999999</v>
      </c>
      <c r="AU38" s="581">
        <v>1.7150000000000001</v>
      </c>
      <c r="AV38" s="581">
        <v>1.8240000000000001</v>
      </c>
      <c r="AW38" s="581">
        <v>2.028</v>
      </c>
      <c r="AX38" s="581">
        <v>2.2010000000000001</v>
      </c>
      <c r="AY38" s="581">
        <v>2.4529999999999998</v>
      </c>
      <c r="AZ38" s="581">
        <v>2.448</v>
      </c>
      <c r="BA38" s="581">
        <v>2.544</v>
      </c>
    </row>
    <row r="39" spans="1:53" x14ac:dyDescent="0.25">
      <c r="A39" s="572" t="str">
        <f t="shared" si="1"/>
        <v>Zapallo100</v>
      </c>
      <c r="B39" s="572" t="s">
        <v>5163</v>
      </c>
      <c r="C39" s="572">
        <v>25</v>
      </c>
      <c r="D39" s="572">
        <v>35</v>
      </c>
      <c r="E39" s="572">
        <v>25</v>
      </c>
      <c r="F39" s="572">
        <v>15</v>
      </c>
      <c r="G39" s="572">
        <f t="shared" si="2"/>
        <v>100</v>
      </c>
      <c r="H39" s="575">
        <v>0.6</v>
      </c>
      <c r="I39" s="575">
        <v>0.95</v>
      </c>
      <c r="J39" s="575">
        <v>0.75</v>
      </c>
      <c r="K39" s="572">
        <v>1</v>
      </c>
      <c r="L39" s="572">
        <f t="shared" si="3"/>
        <v>25</v>
      </c>
      <c r="M39" s="572">
        <f t="shared" si="11"/>
        <v>60</v>
      </c>
      <c r="N39" s="572">
        <f t="shared" si="11"/>
        <v>85</v>
      </c>
      <c r="O39" s="572">
        <f t="shared" si="11"/>
        <v>100</v>
      </c>
      <c r="P39" s="575">
        <f t="shared" si="4"/>
        <v>0.6</v>
      </c>
      <c r="Q39" s="575">
        <f t="shared" si="5"/>
        <v>0.6</v>
      </c>
      <c r="R39" s="575">
        <f t="shared" si="5"/>
        <v>0.95</v>
      </c>
      <c r="S39" s="575">
        <f t="shared" si="6"/>
        <v>0.95</v>
      </c>
      <c r="T39" s="575">
        <f t="shared" si="6"/>
        <v>0.75</v>
      </c>
      <c r="U39" s="579">
        <f t="shared" si="7"/>
        <v>0.01</v>
      </c>
      <c r="V39" s="580">
        <f t="shared" si="8"/>
        <v>0.35</v>
      </c>
      <c r="W39" s="579">
        <f t="shared" si="9"/>
        <v>-1.3333333333333331E-2</v>
      </c>
      <c r="X39" s="580">
        <f t="shared" si="10"/>
        <v>2.083333333333333</v>
      </c>
      <c r="AB39" s="572">
        <v>38</v>
      </c>
      <c r="AO39" s="576">
        <v>10</v>
      </c>
      <c r="AP39" s="581">
        <v>2.5670000000000002</v>
      </c>
      <c r="AQ39" s="572">
        <v>2.266</v>
      </c>
      <c r="AR39" s="581">
        <v>2.3570000000000002</v>
      </c>
      <c r="AS39" s="572">
        <v>2.0430000000000001</v>
      </c>
      <c r="AT39" s="581">
        <v>1.8640000000000001</v>
      </c>
      <c r="AU39" s="581">
        <v>1.679</v>
      </c>
      <c r="AV39" s="581">
        <v>1.7889999999999999</v>
      </c>
      <c r="AW39" s="581">
        <v>2.0030000000000001</v>
      </c>
      <c r="AX39" s="581">
        <v>2.1909999999999998</v>
      </c>
      <c r="AY39" s="581">
        <v>2.4620000000000002</v>
      </c>
      <c r="AZ39" s="581">
        <v>2.4729999999999999</v>
      </c>
      <c r="BA39" s="581">
        <v>2.577</v>
      </c>
    </row>
    <row r="40" spans="1:53" x14ac:dyDescent="0.25">
      <c r="A40" s="572" t="str">
        <f t="shared" si="1"/>
        <v>Zapallo90</v>
      </c>
      <c r="B40" s="572" t="s">
        <v>5163</v>
      </c>
      <c r="C40" s="572">
        <v>20</v>
      </c>
      <c r="D40" s="572">
        <v>30</v>
      </c>
      <c r="E40" s="572">
        <v>25</v>
      </c>
      <c r="F40" s="572">
        <v>15</v>
      </c>
      <c r="G40" s="572">
        <f t="shared" si="2"/>
        <v>90</v>
      </c>
      <c r="H40" s="575">
        <v>0.6</v>
      </c>
      <c r="I40" s="575">
        <v>0.95</v>
      </c>
      <c r="J40" s="575">
        <v>0.75</v>
      </c>
      <c r="K40" s="572">
        <v>1</v>
      </c>
      <c r="L40" s="572">
        <f t="shared" si="3"/>
        <v>20</v>
      </c>
      <c r="M40" s="572">
        <f t="shared" si="11"/>
        <v>50</v>
      </c>
      <c r="N40" s="572">
        <f t="shared" si="11"/>
        <v>75</v>
      </c>
      <c r="O40" s="572">
        <f t="shared" si="11"/>
        <v>90</v>
      </c>
      <c r="P40" s="575">
        <f t="shared" si="4"/>
        <v>0.6</v>
      </c>
      <c r="Q40" s="575">
        <f t="shared" si="5"/>
        <v>0.6</v>
      </c>
      <c r="R40" s="575">
        <f t="shared" si="5"/>
        <v>0.95</v>
      </c>
      <c r="S40" s="575">
        <f t="shared" si="6"/>
        <v>0.95</v>
      </c>
      <c r="T40" s="575">
        <f t="shared" si="6"/>
        <v>0.75</v>
      </c>
      <c r="U40" s="579">
        <f t="shared" si="7"/>
        <v>1.1666666666666665E-2</v>
      </c>
      <c r="V40" s="580">
        <f t="shared" si="8"/>
        <v>0.3666666666666667</v>
      </c>
      <c r="W40" s="579">
        <f t="shared" si="9"/>
        <v>-1.3333333333333331E-2</v>
      </c>
      <c r="X40" s="580">
        <f t="shared" si="10"/>
        <v>1.9499999999999997</v>
      </c>
      <c r="AB40" s="572">
        <v>39</v>
      </c>
      <c r="AO40" s="576">
        <v>11</v>
      </c>
      <c r="AP40" s="581">
        <v>2.5960000000000001</v>
      </c>
      <c r="AQ40" s="572">
        <v>2.2789999999999999</v>
      </c>
      <c r="AR40" s="581">
        <v>2.3540000000000001</v>
      </c>
      <c r="AS40" s="572">
        <v>2.0230000000000001</v>
      </c>
      <c r="AT40" s="581">
        <v>1.8320000000000001</v>
      </c>
      <c r="AU40" s="581">
        <v>1.6439999999999999</v>
      </c>
      <c r="AV40" s="581">
        <v>1.754</v>
      </c>
      <c r="AW40" s="581">
        <v>1.976</v>
      </c>
      <c r="AX40" s="581">
        <v>2.1800000000000002</v>
      </c>
      <c r="AY40" s="581">
        <v>2.4700000000000002</v>
      </c>
      <c r="AZ40" s="581">
        <v>2.4969999999999999</v>
      </c>
      <c r="BA40" s="581">
        <v>2.61</v>
      </c>
    </row>
    <row r="41" spans="1:53" x14ac:dyDescent="0.25">
      <c r="A41" s="572" t="str">
        <f t="shared" si="1"/>
        <v>Zapallito italiano100</v>
      </c>
      <c r="B41" s="572" t="s">
        <v>5164</v>
      </c>
      <c r="C41" s="572">
        <v>25</v>
      </c>
      <c r="D41" s="572">
        <v>35</v>
      </c>
      <c r="E41" s="572">
        <v>25</v>
      </c>
      <c r="F41" s="572">
        <v>15</v>
      </c>
      <c r="G41" s="572">
        <f>SUM(C41:F41)</f>
        <v>100</v>
      </c>
      <c r="H41" s="575">
        <v>0.6</v>
      </c>
      <c r="I41" s="575">
        <v>0.95</v>
      </c>
      <c r="J41" s="575">
        <v>0.75</v>
      </c>
      <c r="K41" s="572">
        <v>1</v>
      </c>
      <c r="L41" s="572">
        <f t="shared" si="3"/>
        <v>25</v>
      </c>
      <c r="M41" s="572">
        <f t="shared" si="11"/>
        <v>60</v>
      </c>
      <c r="N41" s="572">
        <f t="shared" si="11"/>
        <v>85</v>
      </c>
      <c r="O41" s="572">
        <f t="shared" si="11"/>
        <v>100</v>
      </c>
      <c r="P41" s="575">
        <f t="shared" si="4"/>
        <v>0.6</v>
      </c>
      <c r="Q41" s="575">
        <f t="shared" si="5"/>
        <v>0.6</v>
      </c>
      <c r="R41" s="575">
        <f t="shared" si="5"/>
        <v>0.95</v>
      </c>
      <c r="S41" s="575">
        <f t="shared" si="6"/>
        <v>0.95</v>
      </c>
      <c r="T41" s="575">
        <f t="shared" si="6"/>
        <v>0.75</v>
      </c>
      <c r="U41" s="579">
        <f t="shared" si="7"/>
        <v>0.01</v>
      </c>
      <c r="V41" s="580">
        <f t="shared" si="8"/>
        <v>0.35</v>
      </c>
      <c r="W41" s="579">
        <f t="shared" si="9"/>
        <v>-1.3333333333333331E-2</v>
      </c>
      <c r="X41" s="580">
        <f t="shared" si="10"/>
        <v>2.083333333333333</v>
      </c>
      <c r="AB41" s="572">
        <v>40</v>
      </c>
      <c r="AO41" s="576">
        <v>12</v>
      </c>
      <c r="AP41" s="581">
        <v>2.625</v>
      </c>
      <c r="AQ41" s="572">
        <v>2.2919999999999998</v>
      </c>
      <c r="AR41" s="581">
        <v>2.35</v>
      </c>
      <c r="AS41" s="572">
        <v>2.0019999999999998</v>
      </c>
      <c r="AT41" s="581">
        <v>1.7989999999999999</v>
      </c>
      <c r="AU41" s="581">
        <v>1.6080000000000001</v>
      </c>
      <c r="AV41" s="581">
        <v>1.7190000000000001</v>
      </c>
      <c r="AW41" s="581">
        <v>1.95</v>
      </c>
      <c r="AX41" s="581">
        <v>2.169</v>
      </c>
      <c r="AY41" s="581">
        <v>2.4769999999999999</v>
      </c>
      <c r="AZ41" s="581">
        <v>2.52</v>
      </c>
      <c r="BA41" s="581">
        <v>2.6429999999999998</v>
      </c>
    </row>
    <row r="42" spans="1:53" x14ac:dyDescent="0.25">
      <c r="A42" s="572" t="str">
        <f t="shared" si="1"/>
        <v>Zapallito italiano90</v>
      </c>
      <c r="B42" s="572" t="s">
        <v>5164</v>
      </c>
      <c r="C42" s="572">
        <v>20</v>
      </c>
      <c r="D42" s="572">
        <v>30</v>
      </c>
      <c r="E42" s="572">
        <v>25</v>
      </c>
      <c r="F42" s="572">
        <v>15</v>
      </c>
      <c r="G42" s="572">
        <f>SUM(C42:F42)</f>
        <v>90</v>
      </c>
      <c r="H42" s="575">
        <v>0.6</v>
      </c>
      <c r="I42" s="575">
        <v>0.95</v>
      </c>
      <c r="J42" s="575">
        <v>0.75</v>
      </c>
      <c r="K42" s="572">
        <v>1</v>
      </c>
      <c r="L42" s="572">
        <f t="shared" si="3"/>
        <v>20</v>
      </c>
      <c r="M42" s="572">
        <f t="shared" si="11"/>
        <v>50</v>
      </c>
      <c r="N42" s="572">
        <f t="shared" si="11"/>
        <v>75</v>
      </c>
      <c r="O42" s="572">
        <f t="shared" si="11"/>
        <v>90</v>
      </c>
      <c r="P42" s="575">
        <f t="shared" si="4"/>
        <v>0.6</v>
      </c>
      <c r="Q42" s="575">
        <f t="shared" si="5"/>
        <v>0.6</v>
      </c>
      <c r="R42" s="575">
        <f t="shared" si="5"/>
        <v>0.95</v>
      </c>
      <c r="S42" s="575">
        <f t="shared" si="6"/>
        <v>0.95</v>
      </c>
      <c r="T42" s="575">
        <f t="shared" si="6"/>
        <v>0.75</v>
      </c>
      <c r="U42" s="579">
        <f t="shared" si="7"/>
        <v>1.1666666666666665E-2</v>
      </c>
      <c r="V42" s="580">
        <f t="shared" si="8"/>
        <v>0.3666666666666667</v>
      </c>
      <c r="W42" s="579">
        <f t="shared" si="9"/>
        <v>-1.3333333333333331E-2</v>
      </c>
      <c r="X42" s="580">
        <f t="shared" si="10"/>
        <v>1.9499999999999997</v>
      </c>
      <c r="AO42" s="576">
        <v>13</v>
      </c>
      <c r="AP42" s="581">
        <v>2.6520000000000001</v>
      </c>
      <c r="AQ42" s="572">
        <v>2.3050000000000002</v>
      </c>
      <c r="AR42" s="581">
        <v>2.3450000000000002</v>
      </c>
      <c r="AS42" s="572">
        <v>1.9810000000000001</v>
      </c>
      <c r="AT42" s="581">
        <v>1.7669999999999999</v>
      </c>
      <c r="AU42" s="581">
        <v>1.5720000000000001</v>
      </c>
      <c r="AV42" s="581">
        <v>1.6839999999999999</v>
      </c>
      <c r="AW42" s="581">
        <v>1.9219999999999999</v>
      </c>
      <c r="AX42" s="581">
        <v>2.157</v>
      </c>
      <c r="AY42" s="581">
        <v>2.464</v>
      </c>
      <c r="AZ42" s="581">
        <v>2.5430000000000001</v>
      </c>
      <c r="BA42" s="581">
        <v>2.6749999999999998</v>
      </c>
    </row>
    <row r="43" spans="1:53" x14ac:dyDescent="0.25">
      <c r="A43" s="572" t="str">
        <f t="shared" si="1"/>
        <v>Pipian100</v>
      </c>
      <c r="B43" s="572" t="s">
        <v>5165</v>
      </c>
      <c r="C43" s="572">
        <v>25</v>
      </c>
      <c r="D43" s="572">
        <v>35</v>
      </c>
      <c r="E43" s="572">
        <v>25</v>
      </c>
      <c r="F43" s="572">
        <v>15</v>
      </c>
      <c r="G43" s="572">
        <f>SUM(C43:F43)</f>
        <v>100</v>
      </c>
      <c r="H43" s="575">
        <v>0.6</v>
      </c>
      <c r="I43" s="575">
        <v>0.95</v>
      </c>
      <c r="J43" s="575">
        <v>0.75</v>
      </c>
      <c r="K43" s="572">
        <v>1</v>
      </c>
      <c r="L43" s="572">
        <f t="shared" si="3"/>
        <v>25</v>
      </c>
      <c r="M43" s="572">
        <f t="shared" si="11"/>
        <v>60</v>
      </c>
      <c r="N43" s="572">
        <f t="shared" si="11"/>
        <v>85</v>
      </c>
      <c r="O43" s="572">
        <f t="shared" si="11"/>
        <v>100</v>
      </c>
      <c r="P43" s="575">
        <f t="shared" si="4"/>
        <v>0.6</v>
      </c>
      <c r="Q43" s="575">
        <f t="shared" si="5"/>
        <v>0.6</v>
      </c>
      <c r="R43" s="575">
        <f t="shared" si="5"/>
        <v>0.95</v>
      </c>
      <c r="S43" s="575">
        <f t="shared" si="6"/>
        <v>0.95</v>
      </c>
      <c r="T43" s="575">
        <f t="shared" si="6"/>
        <v>0.75</v>
      </c>
      <c r="U43" s="579">
        <f t="shared" si="7"/>
        <v>0.01</v>
      </c>
      <c r="V43" s="580">
        <f t="shared" si="8"/>
        <v>0.35</v>
      </c>
      <c r="W43" s="579">
        <f t="shared" si="9"/>
        <v>-1.3333333333333331E-2</v>
      </c>
      <c r="X43" s="580">
        <f t="shared" si="10"/>
        <v>2.083333333333333</v>
      </c>
      <c r="AO43" s="576">
        <v>14</v>
      </c>
      <c r="AP43" s="581">
        <v>2.68</v>
      </c>
      <c r="AQ43" s="572">
        <v>2.3170000000000002</v>
      </c>
      <c r="AR43" s="581">
        <v>2.34</v>
      </c>
      <c r="AS43" s="572">
        <v>1.9590000000000001</v>
      </c>
      <c r="AT43" s="581">
        <v>1.7330000000000001</v>
      </c>
      <c r="AU43" s="581">
        <v>1.536</v>
      </c>
      <c r="AV43" s="581">
        <v>1.6479999999999999</v>
      </c>
      <c r="AW43" s="581">
        <v>1.895</v>
      </c>
      <c r="AX43" s="581">
        <v>2.1440000000000001</v>
      </c>
      <c r="AY43" s="581">
        <v>2.4900000000000002</v>
      </c>
      <c r="AZ43" s="581">
        <v>2.5659999999999998</v>
      </c>
      <c r="BA43" s="581">
        <v>2.706</v>
      </c>
    </row>
    <row r="44" spans="1:53" x14ac:dyDescent="0.25">
      <c r="A44" s="572" t="str">
        <f t="shared" si="1"/>
        <v>Pipian90</v>
      </c>
      <c r="B44" s="572" t="s">
        <v>5165</v>
      </c>
      <c r="C44" s="572">
        <v>20</v>
      </c>
      <c r="D44" s="572">
        <v>30</v>
      </c>
      <c r="E44" s="572">
        <v>25</v>
      </c>
      <c r="F44" s="572">
        <v>15</v>
      </c>
      <c r="G44" s="572">
        <f>SUM(C44:F44)</f>
        <v>90</v>
      </c>
      <c r="H44" s="575">
        <v>0.6</v>
      </c>
      <c r="I44" s="575">
        <v>0.95</v>
      </c>
      <c r="J44" s="575">
        <v>0.75</v>
      </c>
      <c r="K44" s="572">
        <v>1</v>
      </c>
      <c r="L44" s="572">
        <f t="shared" si="3"/>
        <v>20</v>
      </c>
      <c r="M44" s="572">
        <f t="shared" si="11"/>
        <v>50</v>
      </c>
      <c r="N44" s="572">
        <f t="shared" si="11"/>
        <v>75</v>
      </c>
      <c r="O44" s="572">
        <f t="shared" si="11"/>
        <v>90</v>
      </c>
      <c r="P44" s="575">
        <f t="shared" si="4"/>
        <v>0.6</v>
      </c>
      <c r="Q44" s="575">
        <f t="shared" si="5"/>
        <v>0.6</v>
      </c>
      <c r="R44" s="575">
        <f t="shared" si="5"/>
        <v>0.95</v>
      </c>
      <c r="S44" s="575">
        <f t="shared" si="6"/>
        <v>0.95</v>
      </c>
      <c r="T44" s="575">
        <f t="shared" si="6"/>
        <v>0.75</v>
      </c>
      <c r="U44" s="579">
        <f t="shared" si="7"/>
        <v>1.1666666666666665E-2</v>
      </c>
      <c r="V44" s="580">
        <f t="shared" si="8"/>
        <v>0.3666666666666667</v>
      </c>
      <c r="W44" s="579">
        <f t="shared" si="9"/>
        <v>-1.3333333333333331E-2</v>
      </c>
      <c r="X44" s="580">
        <f t="shared" si="10"/>
        <v>1.9499999999999997</v>
      </c>
      <c r="AO44" s="576">
        <v>15</v>
      </c>
      <c r="AP44" s="581">
        <v>2.7069999999999999</v>
      </c>
      <c r="AQ44" s="572">
        <v>2.3260000000000001</v>
      </c>
      <c r="AR44" s="581">
        <v>2.3340000000000001</v>
      </c>
      <c r="AS44" s="572">
        <v>2.9369999999999998</v>
      </c>
      <c r="AT44" s="581">
        <v>1.7</v>
      </c>
      <c r="AU44" s="581">
        <v>1.5</v>
      </c>
      <c r="AV44" s="581">
        <v>1.6120000000000001</v>
      </c>
      <c r="AW44" s="581">
        <v>1.867</v>
      </c>
      <c r="AX44" s="581">
        <v>2.1309999999999998</v>
      </c>
      <c r="AY44" s="581">
        <v>2.496</v>
      </c>
      <c r="AZ44" s="581">
        <v>2.5880000000000001</v>
      </c>
      <c r="BA44" s="581">
        <v>2.738</v>
      </c>
    </row>
    <row r="45" spans="1:53" x14ac:dyDescent="0.25">
      <c r="A45" s="572" t="str">
        <f t="shared" si="1"/>
        <v>Melón120</v>
      </c>
      <c r="B45" s="572" t="s">
        <v>5166</v>
      </c>
      <c r="C45" s="572">
        <v>25</v>
      </c>
      <c r="D45" s="572">
        <v>35</v>
      </c>
      <c r="E45" s="572">
        <v>40</v>
      </c>
      <c r="F45" s="572">
        <v>20</v>
      </c>
      <c r="G45" s="572">
        <f t="shared" si="2"/>
        <v>120</v>
      </c>
      <c r="H45" s="575">
        <v>0.6</v>
      </c>
      <c r="I45" s="572">
        <v>1.05</v>
      </c>
      <c r="J45" s="572">
        <v>0.75</v>
      </c>
      <c r="K45" s="572">
        <v>1</v>
      </c>
      <c r="L45" s="572">
        <f t="shared" si="3"/>
        <v>25</v>
      </c>
      <c r="M45" s="572">
        <f t="shared" si="11"/>
        <v>60</v>
      </c>
      <c r="N45" s="572">
        <f t="shared" si="11"/>
        <v>100</v>
      </c>
      <c r="O45" s="572">
        <f t="shared" si="11"/>
        <v>120</v>
      </c>
      <c r="P45" s="575">
        <f t="shared" si="4"/>
        <v>0.6</v>
      </c>
      <c r="Q45" s="575">
        <f t="shared" si="5"/>
        <v>0.6</v>
      </c>
      <c r="R45" s="575">
        <f t="shared" si="5"/>
        <v>1.05</v>
      </c>
      <c r="S45" s="575">
        <f t="shared" si="6"/>
        <v>1.05</v>
      </c>
      <c r="T45" s="575">
        <f t="shared" si="6"/>
        <v>0.75</v>
      </c>
      <c r="U45" s="579">
        <f t="shared" si="7"/>
        <v>1.2857142857142859E-2</v>
      </c>
      <c r="V45" s="580">
        <f t="shared" si="8"/>
        <v>0.27857142857142847</v>
      </c>
      <c r="W45" s="579">
        <f t="shared" si="9"/>
        <v>-1.5000000000000003E-2</v>
      </c>
      <c r="X45" s="580">
        <f t="shared" si="10"/>
        <v>2.5500000000000003</v>
      </c>
      <c r="AO45" s="576">
        <v>16</v>
      </c>
      <c r="AP45" s="581">
        <v>2.734</v>
      </c>
      <c r="AQ45" s="572">
        <v>2.339</v>
      </c>
      <c r="AR45" s="581">
        <v>2.3170000000000002</v>
      </c>
      <c r="AS45" s="572">
        <v>1.9139999999999999</v>
      </c>
      <c r="AT45" s="581">
        <v>1.6659999999999999</v>
      </c>
      <c r="AU45" s="581">
        <v>1.464</v>
      </c>
      <c r="AV45" s="581">
        <v>1.5760000000000001</v>
      </c>
      <c r="AW45" s="581">
        <v>1.8380000000000001</v>
      </c>
      <c r="AX45" s="581">
        <v>2.117</v>
      </c>
      <c r="AY45" s="581">
        <v>2.5</v>
      </c>
      <c r="AZ45" s="581">
        <v>2.61</v>
      </c>
      <c r="BA45" s="581">
        <v>2.7690000000000001</v>
      </c>
    </row>
    <row r="46" spans="1:53" x14ac:dyDescent="0.25">
      <c r="A46" s="572" t="str">
        <f t="shared" si="1"/>
        <v>Melón140</v>
      </c>
      <c r="B46" s="572" t="s">
        <v>5166</v>
      </c>
      <c r="C46" s="572">
        <v>30</v>
      </c>
      <c r="D46" s="572">
        <v>30</v>
      </c>
      <c r="E46" s="572">
        <v>50</v>
      </c>
      <c r="F46" s="572">
        <v>30</v>
      </c>
      <c r="G46" s="572">
        <f t="shared" si="2"/>
        <v>140</v>
      </c>
      <c r="H46" s="575">
        <v>0.6</v>
      </c>
      <c r="I46" s="572">
        <v>1.05</v>
      </c>
      <c r="J46" s="572">
        <v>0.75</v>
      </c>
      <c r="K46" s="572">
        <v>1</v>
      </c>
      <c r="L46" s="572">
        <f t="shared" si="3"/>
        <v>30</v>
      </c>
      <c r="M46" s="572">
        <f t="shared" si="11"/>
        <v>60</v>
      </c>
      <c r="N46" s="572">
        <f t="shared" si="11"/>
        <v>110</v>
      </c>
      <c r="O46" s="572">
        <f t="shared" si="11"/>
        <v>140</v>
      </c>
      <c r="P46" s="575">
        <f t="shared" si="4"/>
        <v>0.6</v>
      </c>
      <c r="Q46" s="575">
        <f t="shared" si="5"/>
        <v>0.6</v>
      </c>
      <c r="R46" s="575">
        <f t="shared" si="5"/>
        <v>1.05</v>
      </c>
      <c r="S46" s="575">
        <f t="shared" si="6"/>
        <v>1.05</v>
      </c>
      <c r="T46" s="575">
        <f t="shared" si="6"/>
        <v>0.75</v>
      </c>
      <c r="U46" s="579">
        <f t="shared" si="7"/>
        <v>1.5000000000000003E-2</v>
      </c>
      <c r="V46" s="580">
        <f t="shared" si="8"/>
        <v>0.14999999999999991</v>
      </c>
      <c r="W46" s="579">
        <f t="shared" si="9"/>
        <v>-1.0000000000000002E-2</v>
      </c>
      <c r="X46" s="580">
        <f t="shared" si="10"/>
        <v>2.1500000000000004</v>
      </c>
      <c r="AO46" s="576">
        <v>17</v>
      </c>
      <c r="AP46" s="581">
        <v>2.76</v>
      </c>
      <c r="AQ46" s="572">
        <v>2.3490000000000002</v>
      </c>
      <c r="AR46" s="581">
        <v>2.319</v>
      </c>
      <c r="AS46" s="572">
        <v>1.891</v>
      </c>
      <c r="AT46" s="581">
        <v>1.6319999999999999</v>
      </c>
      <c r="AU46" s="581">
        <v>1.427</v>
      </c>
      <c r="AV46" s="581">
        <v>1.54</v>
      </c>
      <c r="AW46" s="581">
        <v>1.8089999999999999</v>
      </c>
      <c r="AX46" s="581">
        <v>2.1030000000000002</v>
      </c>
      <c r="AY46" s="581">
        <v>2.504</v>
      </c>
      <c r="AZ46" s="581">
        <v>2.6309999999999998</v>
      </c>
      <c r="BA46" s="581">
        <v>2.7989999999999999</v>
      </c>
    </row>
    <row r="47" spans="1:53" x14ac:dyDescent="0.25">
      <c r="A47" s="572" t="str">
        <f t="shared" si="1"/>
        <v>Melón135</v>
      </c>
      <c r="B47" s="572" t="s">
        <v>5166</v>
      </c>
      <c r="C47" s="572">
        <v>15</v>
      </c>
      <c r="D47" s="572">
        <v>40</v>
      </c>
      <c r="E47" s="572">
        <v>65</v>
      </c>
      <c r="F47" s="572">
        <v>15</v>
      </c>
      <c r="G47" s="572">
        <f t="shared" si="2"/>
        <v>135</v>
      </c>
      <c r="H47" s="575">
        <v>0.6</v>
      </c>
      <c r="I47" s="572">
        <v>1.05</v>
      </c>
      <c r="J47" s="572">
        <v>0.75</v>
      </c>
      <c r="K47" s="572">
        <v>1</v>
      </c>
      <c r="L47" s="572">
        <f t="shared" si="3"/>
        <v>15</v>
      </c>
      <c r="M47" s="572">
        <f t="shared" si="11"/>
        <v>55</v>
      </c>
      <c r="N47" s="572">
        <f t="shared" si="11"/>
        <v>120</v>
      </c>
      <c r="O47" s="572">
        <f t="shared" si="11"/>
        <v>135</v>
      </c>
      <c r="P47" s="575">
        <f t="shared" si="4"/>
        <v>0.6</v>
      </c>
      <c r="Q47" s="575">
        <f t="shared" si="5"/>
        <v>0.6</v>
      </c>
      <c r="R47" s="575">
        <f t="shared" si="5"/>
        <v>1.05</v>
      </c>
      <c r="S47" s="575">
        <f t="shared" si="6"/>
        <v>1.05</v>
      </c>
      <c r="T47" s="575">
        <f t="shared" si="6"/>
        <v>0.75</v>
      </c>
      <c r="U47" s="579">
        <f t="shared" si="7"/>
        <v>1.1250000000000001E-2</v>
      </c>
      <c r="V47" s="580">
        <f t="shared" si="8"/>
        <v>0.43125000000000002</v>
      </c>
      <c r="W47" s="579">
        <f t="shared" si="9"/>
        <v>-2.0000000000000004E-2</v>
      </c>
      <c r="X47" s="580">
        <f t="shared" si="10"/>
        <v>3.4500000000000006</v>
      </c>
      <c r="AO47" s="576">
        <v>18</v>
      </c>
      <c r="AP47" s="581">
        <v>2.7850000000000001</v>
      </c>
      <c r="AQ47" s="572">
        <v>2.359</v>
      </c>
      <c r="AR47" s="581">
        <v>2.3109999999999999</v>
      </c>
      <c r="AS47" s="572">
        <v>1.867</v>
      </c>
      <c r="AT47" s="581">
        <v>2.5979999999999999</v>
      </c>
      <c r="AU47" s="581">
        <v>1.391</v>
      </c>
      <c r="AV47" s="581">
        <v>1.504</v>
      </c>
      <c r="AW47" s="581">
        <v>1.78</v>
      </c>
      <c r="AX47" s="581">
        <v>2.0680000000000001</v>
      </c>
      <c r="AY47" s="581">
        <v>2.508</v>
      </c>
      <c r="AZ47" s="581">
        <v>2.6509999999999998</v>
      </c>
      <c r="BA47" s="581">
        <v>2.83</v>
      </c>
    </row>
    <row r="48" spans="1:53" x14ac:dyDescent="0.25">
      <c r="A48" s="572" t="str">
        <f t="shared" si="1"/>
        <v>Melón160</v>
      </c>
      <c r="B48" s="572" t="s">
        <v>5166</v>
      </c>
      <c r="C48" s="572">
        <v>30</v>
      </c>
      <c r="D48" s="572">
        <v>45</v>
      </c>
      <c r="E48" s="572">
        <v>65</v>
      </c>
      <c r="F48" s="572">
        <v>20</v>
      </c>
      <c r="G48" s="572">
        <f t="shared" si="2"/>
        <v>160</v>
      </c>
      <c r="H48" s="575">
        <v>0.6</v>
      </c>
      <c r="I48" s="572">
        <v>1.05</v>
      </c>
      <c r="J48" s="572">
        <v>0.75</v>
      </c>
      <c r="K48" s="572">
        <v>1</v>
      </c>
      <c r="L48" s="572">
        <f t="shared" si="3"/>
        <v>30</v>
      </c>
      <c r="M48" s="572">
        <f t="shared" si="11"/>
        <v>75</v>
      </c>
      <c r="N48" s="572">
        <f t="shared" si="11"/>
        <v>140</v>
      </c>
      <c r="O48" s="572">
        <f t="shared" si="11"/>
        <v>160</v>
      </c>
      <c r="P48" s="575">
        <f t="shared" si="4"/>
        <v>0.6</v>
      </c>
      <c r="Q48" s="575">
        <f t="shared" si="5"/>
        <v>0.6</v>
      </c>
      <c r="R48" s="575">
        <f t="shared" si="5"/>
        <v>1.05</v>
      </c>
      <c r="S48" s="575">
        <f t="shared" si="6"/>
        <v>1.05</v>
      </c>
      <c r="T48" s="575">
        <f t="shared" si="6"/>
        <v>0.75</v>
      </c>
      <c r="U48" s="579">
        <f t="shared" si="7"/>
        <v>1.0000000000000002E-2</v>
      </c>
      <c r="V48" s="580">
        <f t="shared" si="8"/>
        <v>0.29999999999999993</v>
      </c>
      <c r="W48" s="579">
        <f t="shared" si="9"/>
        <v>-1.5000000000000003E-2</v>
      </c>
      <c r="X48" s="580">
        <f t="shared" si="10"/>
        <v>3.1500000000000004</v>
      </c>
      <c r="AO48" s="576">
        <v>19</v>
      </c>
      <c r="AP48" s="581">
        <v>2.8109999999999999</v>
      </c>
      <c r="AQ48" s="572">
        <v>2.3679999999999999</v>
      </c>
      <c r="AR48" s="581">
        <v>2.302</v>
      </c>
      <c r="AS48" s="572">
        <v>1.843</v>
      </c>
      <c r="AT48" s="581">
        <v>1.5640000000000001</v>
      </c>
      <c r="AU48" s="581">
        <v>1.3540000000000001</v>
      </c>
      <c r="AV48" s="581">
        <v>1.4670000000000001</v>
      </c>
      <c r="AW48" s="581">
        <v>1.75</v>
      </c>
      <c r="AX48" s="581">
        <v>2.0720000000000001</v>
      </c>
      <c r="AY48" s="581">
        <v>2.5099999999999998</v>
      </c>
      <c r="AZ48" s="581">
        <v>2.6709999999999998</v>
      </c>
      <c r="BA48" s="581">
        <v>2.859</v>
      </c>
    </row>
    <row r="49" spans="1:54" x14ac:dyDescent="0.25">
      <c r="A49" s="572" t="str">
        <f t="shared" si="1"/>
        <v>Sandía110</v>
      </c>
      <c r="B49" s="572" t="s">
        <v>5167</v>
      </c>
      <c r="C49" s="572">
        <v>20</v>
      </c>
      <c r="D49" s="572">
        <v>30</v>
      </c>
      <c r="E49" s="572">
        <v>30</v>
      </c>
      <c r="F49" s="572">
        <v>30</v>
      </c>
      <c r="G49" s="572">
        <f t="shared" si="2"/>
        <v>110</v>
      </c>
      <c r="H49" s="575">
        <v>0.4</v>
      </c>
      <c r="I49" s="575">
        <v>1</v>
      </c>
      <c r="J49" s="572">
        <v>0.75</v>
      </c>
      <c r="K49" s="572">
        <v>1</v>
      </c>
      <c r="L49" s="572">
        <f t="shared" si="3"/>
        <v>20</v>
      </c>
      <c r="M49" s="572">
        <f t="shared" si="11"/>
        <v>50</v>
      </c>
      <c r="N49" s="572">
        <f t="shared" si="11"/>
        <v>80</v>
      </c>
      <c r="O49" s="572">
        <f t="shared" si="11"/>
        <v>110</v>
      </c>
      <c r="P49" s="575">
        <f t="shared" si="4"/>
        <v>0.4</v>
      </c>
      <c r="Q49" s="575">
        <f t="shared" si="5"/>
        <v>0.4</v>
      </c>
      <c r="R49" s="575">
        <f t="shared" si="5"/>
        <v>1</v>
      </c>
      <c r="S49" s="575">
        <f t="shared" si="6"/>
        <v>1</v>
      </c>
      <c r="T49" s="575">
        <f t="shared" si="6"/>
        <v>0.75</v>
      </c>
      <c r="U49" s="579">
        <f t="shared" si="7"/>
        <v>0.02</v>
      </c>
      <c r="V49" s="580">
        <f t="shared" si="8"/>
        <v>0</v>
      </c>
      <c r="W49" s="579">
        <f t="shared" si="9"/>
        <v>-8.3333333333333332E-3</v>
      </c>
      <c r="X49" s="580">
        <f t="shared" si="10"/>
        <v>1.6666666666666665</v>
      </c>
    </row>
    <row r="50" spans="1:54" x14ac:dyDescent="0.25">
      <c r="A50" s="572" t="str">
        <f t="shared" si="1"/>
        <v>Sandía80</v>
      </c>
      <c r="B50" s="572" t="s">
        <v>5167</v>
      </c>
      <c r="C50" s="572">
        <v>10</v>
      </c>
      <c r="D50" s="572">
        <v>20</v>
      </c>
      <c r="E50" s="572">
        <v>20</v>
      </c>
      <c r="F50" s="572">
        <v>30</v>
      </c>
      <c r="G50" s="572">
        <f t="shared" si="2"/>
        <v>80</v>
      </c>
      <c r="H50" s="575">
        <v>0.4</v>
      </c>
      <c r="I50" s="575">
        <v>1</v>
      </c>
      <c r="J50" s="572">
        <v>0.75</v>
      </c>
      <c r="K50" s="572">
        <v>1</v>
      </c>
      <c r="L50" s="572">
        <f t="shared" si="3"/>
        <v>10</v>
      </c>
      <c r="M50" s="572">
        <f t="shared" si="11"/>
        <v>30</v>
      </c>
      <c r="N50" s="572">
        <f t="shared" si="11"/>
        <v>50</v>
      </c>
      <c r="O50" s="572">
        <f t="shared" si="11"/>
        <v>80</v>
      </c>
      <c r="P50" s="575">
        <f t="shared" si="4"/>
        <v>0.4</v>
      </c>
      <c r="Q50" s="575">
        <f t="shared" si="5"/>
        <v>0.4</v>
      </c>
      <c r="R50" s="575">
        <f t="shared" si="5"/>
        <v>1</v>
      </c>
      <c r="S50" s="575">
        <f t="shared" si="6"/>
        <v>1</v>
      </c>
      <c r="T50" s="575">
        <f t="shared" si="6"/>
        <v>0.75</v>
      </c>
      <c r="U50" s="579">
        <f t="shared" si="7"/>
        <v>0.03</v>
      </c>
      <c r="V50" s="580">
        <f t="shared" si="8"/>
        <v>0.10000000000000009</v>
      </c>
      <c r="W50" s="579">
        <f t="shared" si="9"/>
        <v>-8.3333333333333332E-3</v>
      </c>
      <c r="X50" s="580">
        <f t="shared" si="10"/>
        <v>1.4166666666666665</v>
      </c>
      <c r="AO50" s="2006" t="s">
        <v>5168</v>
      </c>
      <c r="AP50" s="2006"/>
      <c r="AQ50" s="2006"/>
      <c r="AR50" s="582"/>
      <c r="AS50" s="582"/>
      <c r="AT50" s="582"/>
      <c r="AU50" s="582"/>
      <c r="AV50" s="582"/>
      <c r="AW50" s="582"/>
    </row>
    <row r="51" spans="1:54" x14ac:dyDescent="0.25">
      <c r="A51" s="572" t="str">
        <f t="shared" si="1"/>
        <v>Betarraga70</v>
      </c>
      <c r="B51" s="572" t="s">
        <v>5169</v>
      </c>
      <c r="C51" s="572">
        <v>15</v>
      </c>
      <c r="D51" s="572">
        <v>25</v>
      </c>
      <c r="E51" s="572">
        <v>20</v>
      </c>
      <c r="F51" s="572">
        <v>10</v>
      </c>
      <c r="G51" s="572">
        <f t="shared" si="2"/>
        <v>70</v>
      </c>
      <c r="H51" s="575">
        <v>0.5</v>
      </c>
      <c r="I51" s="572">
        <v>1.05</v>
      </c>
      <c r="J51" s="572">
        <v>0.95</v>
      </c>
      <c r="K51" s="572">
        <v>1</v>
      </c>
      <c r="L51" s="572">
        <f t="shared" si="3"/>
        <v>15</v>
      </c>
      <c r="M51" s="572">
        <f t="shared" si="11"/>
        <v>40</v>
      </c>
      <c r="N51" s="572">
        <f t="shared" si="11"/>
        <v>60</v>
      </c>
      <c r="O51" s="572">
        <f t="shared" si="11"/>
        <v>70</v>
      </c>
      <c r="P51" s="575">
        <f t="shared" si="4"/>
        <v>0.5</v>
      </c>
      <c r="Q51" s="575">
        <f t="shared" si="5"/>
        <v>0.5</v>
      </c>
      <c r="R51" s="575">
        <f t="shared" si="5"/>
        <v>1.05</v>
      </c>
      <c r="S51" s="575">
        <f t="shared" si="6"/>
        <v>1.05</v>
      </c>
      <c r="T51" s="575">
        <f t="shared" si="6"/>
        <v>0.95</v>
      </c>
      <c r="U51" s="579">
        <f t="shared" si="7"/>
        <v>2.2000000000000002E-2</v>
      </c>
      <c r="V51" s="580">
        <f t="shared" si="8"/>
        <v>0.16999999999999993</v>
      </c>
      <c r="W51" s="579">
        <f t="shared" si="9"/>
        <v>-1.0000000000000009E-2</v>
      </c>
      <c r="X51" s="580">
        <f t="shared" si="10"/>
        <v>1.6500000000000006</v>
      </c>
      <c r="AO51" s="2006"/>
      <c r="AP51" s="2006"/>
      <c r="AQ51" s="2006"/>
      <c r="AR51" s="582"/>
      <c r="AS51" s="582"/>
      <c r="AT51" s="582"/>
      <c r="AU51" s="582"/>
      <c r="AV51" s="582"/>
      <c r="AW51" s="582"/>
    </row>
    <row r="52" spans="1:54" ht="17.25" x14ac:dyDescent="0.25">
      <c r="A52" s="572" t="str">
        <f t="shared" si="1"/>
        <v>Betarraga90</v>
      </c>
      <c r="B52" s="572" t="s">
        <v>5169</v>
      </c>
      <c r="C52" s="572">
        <v>25</v>
      </c>
      <c r="D52" s="572">
        <v>30</v>
      </c>
      <c r="E52" s="572">
        <v>25</v>
      </c>
      <c r="F52" s="572">
        <v>10</v>
      </c>
      <c r="G52" s="572">
        <f t="shared" si="2"/>
        <v>90</v>
      </c>
      <c r="H52" s="575">
        <v>0.5</v>
      </c>
      <c r="I52" s="572">
        <v>1.05</v>
      </c>
      <c r="J52" s="572">
        <v>0.95</v>
      </c>
      <c r="K52" s="572">
        <v>1</v>
      </c>
      <c r="L52" s="572">
        <f t="shared" si="3"/>
        <v>25</v>
      </c>
      <c r="M52" s="572">
        <f t="shared" si="11"/>
        <v>55</v>
      </c>
      <c r="N52" s="572">
        <f t="shared" si="11"/>
        <v>80</v>
      </c>
      <c r="O52" s="572">
        <f t="shared" si="11"/>
        <v>90</v>
      </c>
      <c r="P52" s="575">
        <f t="shared" si="4"/>
        <v>0.5</v>
      </c>
      <c r="Q52" s="575">
        <f t="shared" si="5"/>
        <v>0.5</v>
      </c>
      <c r="R52" s="575">
        <f t="shared" si="5"/>
        <v>1.05</v>
      </c>
      <c r="S52" s="575">
        <f t="shared" si="6"/>
        <v>1.05</v>
      </c>
      <c r="T52" s="575">
        <f t="shared" si="6"/>
        <v>0.95</v>
      </c>
      <c r="U52" s="579">
        <f t="shared" si="7"/>
        <v>1.8333333333333333E-2</v>
      </c>
      <c r="V52" s="580">
        <f t="shared" si="8"/>
        <v>4.1666666666666741E-2</v>
      </c>
      <c r="W52" s="579">
        <f t="shared" si="9"/>
        <v>-1.0000000000000009E-2</v>
      </c>
      <c r="X52" s="580">
        <f t="shared" si="10"/>
        <v>1.8500000000000008</v>
      </c>
      <c r="AO52" s="583" t="s">
        <v>5170</v>
      </c>
      <c r="AP52" s="583" t="s">
        <v>5171</v>
      </c>
      <c r="AR52" s="583"/>
      <c r="AS52" s="583"/>
      <c r="AU52" s="583"/>
      <c r="AV52" s="583"/>
    </row>
    <row r="53" spans="1:54" x14ac:dyDescent="0.25">
      <c r="A53" s="572" t="str">
        <f t="shared" si="1"/>
        <v>Yuca (año 1)210</v>
      </c>
      <c r="B53" s="572" t="s">
        <v>5172</v>
      </c>
      <c r="C53" s="572">
        <v>20</v>
      </c>
      <c r="D53" s="572">
        <v>40</v>
      </c>
      <c r="E53" s="572">
        <v>90</v>
      </c>
      <c r="F53" s="572">
        <v>60</v>
      </c>
      <c r="G53" s="572">
        <f t="shared" si="2"/>
        <v>210</v>
      </c>
      <c r="H53" s="575">
        <v>0.3</v>
      </c>
      <c r="I53" s="575">
        <v>0.8</v>
      </c>
      <c r="J53" s="575">
        <v>0.3</v>
      </c>
      <c r="K53" s="572">
        <v>1</v>
      </c>
      <c r="L53" s="572">
        <f t="shared" si="3"/>
        <v>20</v>
      </c>
      <c r="M53" s="572">
        <f t="shared" si="11"/>
        <v>60</v>
      </c>
      <c r="N53" s="572">
        <f t="shared" si="11"/>
        <v>150</v>
      </c>
      <c r="O53" s="572">
        <f t="shared" si="11"/>
        <v>210</v>
      </c>
      <c r="P53" s="575">
        <f t="shared" si="4"/>
        <v>0.3</v>
      </c>
      <c r="Q53" s="575">
        <f t="shared" si="5"/>
        <v>0.3</v>
      </c>
      <c r="R53" s="575">
        <f t="shared" si="5"/>
        <v>0.8</v>
      </c>
      <c r="S53" s="575">
        <f t="shared" si="6"/>
        <v>0.8</v>
      </c>
      <c r="T53" s="575">
        <f t="shared" si="6"/>
        <v>0.3</v>
      </c>
      <c r="U53" s="579">
        <f t="shared" si="7"/>
        <v>1.2500000000000001E-2</v>
      </c>
      <c r="V53" s="580">
        <f t="shared" si="8"/>
        <v>5.0000000000000044E-2</v>
      </c>
      <c r="W53" s="579">
        <f t="shared" si="9"/>
        <v>-8.3333333333333332E-3</v>
      </c>
      <c r="X53" s="580">
        <f t="shared" si="10"/>
        <v>2.0499999999999998</v>
      </c>
      <c r="AO53" s="575">
        <v>1</v>
      </c>
      <c r="AP53" s="575">
        <v>27.7</v>
      </c>
      <c r="AR53" s="575"/>
      <c r="AS53" s="584" t="s">
        <v>5173</v>
      </c>
      <c r="AT53" s="584" t="s">
        <v>5174</v>
      </c>
      <c r="AU53" s="584" t="s">
        <v>5175</v>
      </c>
      <c r="AW53" s="584" t="s">
        <v>5176</v>
      </c>
      <c r="AX53" s="584" t="s">
        <v>5177</v>
      </c>
      <c r="BB53" s="581"/>
    </row>
    <row r="54" spans="1:54" x14ac:dyDescent="0.25">
      <c r="A54" s="572" t="str">
        <f t="shared" si="1"/>
        <v>Yuca (año 2)360</v>
      </c>
      <c r="B54" s="572" t="s">
        <v>5150</v>
      </c>
      <c r="C54" s="572">
        <v>150</v>
      </c>
      <c r="D54" s="572">
        <v>40</v>
      </c>
      <c r="E54" s="572">
        <v>110</v>
      </c>
      <c r="F54" s="572">
        <v>60</v>
      </c>
      <c r="G54" s="572">
        <f t="shared" si="2"/>
        <v>360</v>
      </c>
      <c r="H54" s="575">
        <v>0.3</v>
      </c>
      <c r="I54" s="575">
        <v>1.1000000000000001</v>
      </c>
      <c r="J54" s="575">
        <v>0.5</v>
      </c>
      <c r="K54" s="572">
        <v>1</v>
      </c>
      <c r="L54" s="572">
        <f t="shared" si="3"/>
        <v>150</v>
      </c>
      <c r="M54" s="572">
        <f t="shared" si="11"/>
        <v>190</v>
      </c>
      <c r="N54" s="572">
        <f t="shared" si="11"/>
        <v>300</v>
      </c>
      <c r="O54" s="572">
        <f t="shared" si="11"/>
        <v>360</v>
      </c>
      <c r="P54" s="575">
        <f t="shared" si="4"/>
        <v>0.3</v>
      </c>
      <c r="Q54" s="575">
        <f t="shared" si="5"/>
        <v>0.3</v>
      </c>
      <c r="R54" s="575">
        <f t="shared" si="5"/>
        <v>1.1000000000000001</v>
      </c>
      <c r="S54" s="575">
        <f t="shared" si="6"/>
        <v>1.1000000000000001</v>
      </c>
      <c r="T54" s="575">
        <f t="shared" si="6"/>
        <v>0.5</v>
      </c>
      <c r="U54" s="579">
        <f t="shared" si="7"/>
        <v>0.02</v>
      </c>
      <c r="V54" s="580">
        <f t="shared" si="8"/>
        <v>-2.7</v>
      </c>
      <c r="W54" s="579">
        <f t="shared" si="9"/>
        <v>-1.0000000000000002E-2</v>
      </c>
      <c r="X54" s="580">
        <f t="shared" si="10"/>
        <v>4.1000000000000005</v>
      </c>
      <c r="AM54" s="575"/>
      <c r="AO54" s="575">
        <v>1.5</v>
      </c>
      <c r="AP54" s="575">
        <v>27.9</v>
      </c>
      <c r="AR54" s="575"/>
      <c r="AS54" s="584" t="s">
        <v>5178</v>
      </c>
      <c r="AT54" s="584" t="s">
        <v>5179</v>
      </c>
      <c r="AU54" s="584" t="s">
        <v>5180</v>
      </c>
      <c r="AW54" s="584" t="s">
        <v>5181</v>
      </c>
      <c r="AX54" s="584" t="s">
        <v>5182</v>
      </c>
    </row>
    <row r="55" spans="1:54" x14ac:dyDescent="0.25">
      <c r="A55" s="572" t="str">
        <f t="shared" si="1"/>
        <v>Papa125</v>
      </c>
      <c r="B55" s="572" t="s">
        <v>5053</v>
      </c>
      <c r="C55" s="572">
        <v>25</v>
      </c>
      <c r="D55" s="572">
        <v>30</v>
      </c>
      <c r="E55" s="572">
        <v>40</v>
      </c>
      <c r="F55" s="572">
        <v>30</v>
      </c>
      <c r="G55" s="572">
        <f t="shared" si="2"/>
        <v>125</v>
      </c>
      <c r="H55" s="575">
        <v>0.5</v>
      </c>
      <c r="I55" s="572">
        <v>1.1499999999999999</v>
      </c>
      <c r="J55" s="572">
        <v>0.75</v>
      </c>
      <c r="K55" s="572">
        <v>1</v>
      </c>
      <c r="L55" s="572">
        <f t="shared" si="3"/>
        <v>25</v>
      </c>
      <c r="M55" s="572">
        <f t="shared" si="11"/>
        <v>55</v>
      </c>
      <c r="N55" s="572">
        <f t="shared" si="11"/>
        <v>95</v>
      </c>
      <c r="O55" s="572">
        <f t="shared" si="11"/>
        <v>125</v>
      </c>
      <c r="P55" s="575">
        <f t="shared" si="4"/>
        <v>0.5</v>
      </c>
      <c r="Q55" s="575">
        <f t="shared" si="5"/>
        <v>0.5</v>
      </c>
      <c r="R55" s="575">
        <f t="shared" si="5"/>
        <v>1.1499999999999999</v>
      </c>
      <c r="S55" s="575">
        <f t="shared" si="6"/>
        <v>1.1499999999999999</v>
      </c>
      <c r="T55" s="575">
        <f t="shared" si="6"/>
        <v>0.75</v>
      </c>
      <c r="U55" s="579">
        <f t="shared" si="7"/>
        <v>2.1666666666666664E-2</v>
      </c>
      <c r="V55" s="580">
        <f t="shared" si="8"/>
        <v>-4.1666666666666519E-2</v>
      </c>
      <c r="W55" s="579">
        <f t="shared" si="9"/>
        <v>-1.3333333333333331E-2</v>
      </c>
      <c r="X55" s="580">
        <f t="shared" si="10"/>
        <v>2.4166666666666661</v>
      </c>
      <c r="AO55" s="575">
        <v>2</v>
      </c>
      <c r="AP55" s="575">
        <v>28.11</v>
      </c>
      <c r="AR55" s="575"/>
      <c r="AS55" s="584" t="s">
        <v>5183</v>
      </c>
      <c r="AT55" s="584" t="s">
        <v>5184</v>
      </c>
      <c r="AU55" s="584" t="s">
        <v>5028</v>
      </c>
      <c r="AW55" s="584" t="s">
        <v>5185</v>
      </c>
      <c r="AX55" s="584" t="s">
        <v>5186</v>
      </c>
    </row>
    <row r="56" spans="1:54" x14ac:dyDescent="0.25">
      <c r="A56" s="572" t="str">
        <f t="shared" si="1"/>
        <v>Papa130</v>
      </c>
      <c r="B56" s="572" t="s">
        <v>5053</v>
      </c>
      <c r="C56" s="572">
        <v>25</v>
      </c>
      <c r="D56" s="572">
        <v>30</v>
      </c>
      <c r="E56" s="572">
        <v>45</v>
      </c>
      <c r="F56" s="572">
        <v>30</v>
      </c>
      <c r="G56" s="572">
        <f t="shared" si="2"/>
        <v>130</v>
      </c>
      <c r="H56" s="575">
        <v>0.5</v>
      </c>
      <c r="I56" s="572">
        <v>1.1499999999999999</v>
      </c>
      <c r="J56" s="572">
        <v>0.75</v>
      </c>
      <c r="K56" s="572">
        <v>1</v>
      </c>
      <c r="L56" s="572">
        <f t="shared" si="3"/>
        <v>25</v>
      </c>
      <c r="M56" s="572">
        <f t="shared" si="11"/>
        <v>55</v>
      </c>
      <c r="N56" s="572">
        <f t="shared" si="11"/>
        <v>100</v>
      </c>
      <c r="O56" s="572">
        <f t="shared" si="11"/>
        <v>130</v>
      </c>
      <c r="P56" s="575">
        <f t="shared" si="4"/>
        <v>0.5</v>
      </c>
      <c r="Q56" s="575">
        <f t="shared" si="5"/>
        <v>0.5</v>
      </c>
      <c r="R56" s="575">
        <f t="shared" si="5"/>
        <v>1.1499999999999999</v>
      </c>
      <c r="S56" s="575">
        <f t="shared" si="6"/>
        <v>1.1499999999999999</v>
      </c>
      <c r="T56" s="575">
        <f t="shared" si="6"/>
        <v>0.75</v>
      </c>
      <c r="U56" s="579">
        <f t="shared" si="7"/>
        <v>2.1666666666666664E-2</v>
      </c>
      <c r="V56" s="580">
        <f t="shared" si="8"/>
        <v>-4.1666666666666519E-2</v>
      </c>
      <c r="W56" s="579">
        <f t="shared" si="9"/>
        <v>-1.3333333333333331E-2</v>
      </c>
      <c r="X56" s="580">
        <f t="shared" si="10"/>
        <v>2.4833333333333329</v>
      </c>
      <c r="AM56" s="585"/>
      <c r="AO56" s="575">
        <v>2.5</v>
      </c>
      <c r="AP56" s="575">
        <v>28.31</v>
      </c>
      <c r="AR56" s="575"/>
      <c r="AU56" s="575"/>
      <c r="AV56" s="581"/>
    </row>
    <row r="57" spans="1:54" x14ac:dyDescent="0.25">
      <c r="A57" s="572" t="str">
        <f t="shared" si="1"/>
        <v>Papa145</v>
      </c>
      <c r="B57" s="572" t="s">
        <v>5053</v>
      </c>
      <c r="C57" s="572">
        <v>30</v>
      </c>
      <c r="D57" s="572">
        <v>35</v>
      </c>
      <c r="E57" s="572">
        <v>50</v>
      </c>
      <c r="F57" s="572">
        <v>30</v>
      </c>
      <c r="G57" s="572">
        <f t="shared" si="2"/>
        <v>145</v>
      </c>
      <c r="H57" s="575">
        <v>0.5</v>
      </c>
      <c r="I57" s="572">
        <v>1.1499999999999999</v>
      </c>
      <c r="J57" s="572">
        <v>0.75</v>
      </c>
      <c r="K57" s="572">
        <v>1</v>
      </c>
      <c r="L57" s="572">
        <f t="shared" si="3"/>
        <v>30</v>
      </c>
      <c r="M57" s="572">
        <f t="shared" si="11"/>
        <v>65</v>
      </c>
      <c r="N57" s="572">
        <f t="shared" si="11"/>
        <v>115</v>
      </c>
      <c r="O57" s="572">
        <f t="shared" si="11"/>
        <v>145</v>
      </c>
      <c r="P57" s="575">
        <f t="shared" si="4"/>
        <v>0.5</v>
      </c>
      <c r="Q57" s="575">
        <f t="shared" si="5"/>
        <v>0.5</v>
      </c>
      <c r="R57" s="575">
        <f t="shared" si="5"/>
        <v>1.1499999999999999</v>
      </c>
      <c r="S57" s="575">
        <f t="shared" si="6"/>
        <v>1.1499999999999999</v>
      </c>
      <c r="T57" s="575">
        <f t="shared" si="6"/>
        <v>0.75</v>
      </c>
      <c r="U57" s="579">
        <f t="shared" si="7"/>
        <v>1.8571428571428569E-2</v>
      </c>
      <c r="V57" s="580">
        <f t="shared" si="8"/>
        <v>-5.714285714285694E-2</v>
      </c>
      <c r="W57" s="579">
        <f t="shared" si="9"/>
        <v>-1.3333333333333331E-2</v>
      </c>
      <c r="X57" s="580">
        <f t="shared" si="10"/>
        <v>2.6833333333333327</v>
      </c>
      <c r="AO57" s="575">
        <v>3</v>
      </c>
      <c r="AP57" s="575">
        <v>28.52</v>
      </c>
      <c r="AR57" s="575"/>
      <c r="AU57" s="575"/>
      <c r="AV57" s="581"/>
    </row>
    <row r="58" spans="1:54" x14ac:dyDescent="0.25">
      <c r="A58" s="572" t="str">
        <f t="shared" si="1"/>
        <v>Papa165</v>
      </c>
      <c r="B58" s="572" t="s">
        <v>5053</v>
      </c>
      <c r="C58" s="572">
        <v>45</v>
      </c>
      <c r="D58" s="572">
        <v>30</v>
      </c>
      <c r="E58" s="572">
        <v>70</v>
      </c>
      <c r="F58" s="572">
        <v>20</v>
      </c>
      <c r="G58" s="572">
        <f t="shared" si="2"/>
        <v>165</v>
      </c>
      <c r="H58" s="575">
        <v>0.5</v>
      </c>
      <c r="I58" s="572">
        <v>1.1499999999999999</v>
      </c>
      <c r="J58" s="572">
        <v>0.75</v>
      </c>
      <c r="K58" s="572">
        <v>1</v>
      </c>
      <c r="L58" s="572">
        <f t="shared" si="3"/>
        <v>45</v>
      </c>
      <c r="M58" s="572">
        <f t="shared" si="11"/>
        <v>75</v>
      </c>
      <c r="N58" s="572">
        <f t="shared" si="11"/>
        <v>145</v>
      </c>
      <c r="O58" s="572">
        <f t="shared" si="11"/>
        <v>165</v>
      </c>
      <c r="P58" s="575">
        <f t="shared" si="4"/>
        <v>0.5</v>
      </c>
      <c r="Q58" s="575">
        <f t="shared" si="5"/>
        <v>0.5</v>
      </c>
      <c r="R58" s="575">
        <f t="shared" si="5"/>
        <v>1.1499999999999999</v>
      </c>
      <c r="S58" s="575">
        <f t="shared" si="6"/>
        <v>1.1499999999999999</v>
      </c>
      <c r="T58" s="575">
        <f t="shared" si="6"/>
        <v>0.75</v>
      </c>
      <c r="U58" s="579">
        <f t="shared" si="7"/>
        <v>2.1666666666666664E-2</v>
      </c>
      <c r="V58" s="580">
        <f t="shared" si="8"/>
        <v>-0.47499999999999987</v>
      </c>
      <c r="W58" s="579">
        <f t="shared" si="9"/>
        <v>-1.9999999999999997E-2</v>
      </c>
      <c r="X58" s="580">
        <f t="shared" si="10"/>
        <v>4.0499999999999989</v>
      </c>
      <c r="AO58" s="575">
        <v>3.5</v>
      </c>
      <c r="AP58" s="575">
        <v>28.72</v>
      </c>
      <c r="AR58" s="575"/>
      <c r="AU58" s="575"/>
      <c r="AV58" s="581"/>
    </row>
    <row r="59" spans="1:54" x14ac:dyDescent="0.25">
      <c r="A59" s="572" t="str">
        <f t="shared" si="1"/>
        <v>Papa140</v>
      </c>
      <c r="B59" s="572" t="s">
        <v>5053</v>
      </c>
      <c r="C59" s="572">
        <v>30</v>
      </c>
      <c r="D59" s="572">
        <v>35</v>
      </c>
      <c r="E59" s="572">
        <v>50</v>
      </c>
      <c r="F59" s="572">
        <v>25</v>
      </c>
      <c r="G59" s="572">
        <f t="shared" si="2"/>
        <v>140</v>
      </c>
      <c r="H59" s="575">
        <v>0.5</v>
      </c>
      <c r="I59" s="572">
        <v>1.1499999999999999</v>
      </c>
      <c r="J59" s="572">
        <v>0.75</v>
      </c>
      <c r="K59" s="572">
        <v>1</v>
      </c>
      <c r="L59" s="572">
        <f t="shared" si="3"/>
        <v>30</v>
      </c>
      <c r="M59" s="572">
        <f t="shared" si="11"/>
        <v>65</v>
      </c>
      <c r="N59" s="572">
        <f t="shared" si="11"/>
        <v>115</v>
      </c>
      <c r="O59" s="572">
        <f t="shared" si="11"/>
        <v>140</v>
      </c>
      <c r="P59" s="575">
        <f t="shared" si="4"/>
        <v>0.5</v>
      </c>
      <c r="Q59" s="575">
        <f t="shared" si="5"/>
        <v>0.5</v>
      </c>
      <c r="R59" s="575">
        <f t="shared" si="5"/>
        <v>1.1499999999999999</v>
      </c>
      <c r="S59" s="575">
        <f t="shared" si="6"/>
        <v>1.1499999999999999</v>
      </c>
      <c r="T59" s="575">
        <f t="shared" si="6"/>
        <v>0.75</v>
      </c>
      <c r="U59" s="579">
        <f t="shared" si="7"/>
        <v>1.8571428571428569E-2</v>
      </c>
      <c r="V59" s="580">
        <f t="shared" si="8"/>
        <v>-5.714285714285694E-2</v>
      </c>
      <c r="W59" s="579">
        <f t="shared" si="9"/>
        <v>-1.5999999999999997E-2</v>
      </c>
      <c r="X59" s="580">
        <f t="shared" si="10"/>
        <v>2.9899999999999998</v>
      </c>
      <c r="AO59" s="575">
        <v>4</v>
      </c>
      <c r="AP59" s="575">
        <v>28.93</v>
      </c>
      <c r="AR59" s="575"/>
      <c r="AU59" s="575"/>
      <c r="AV59" s="581"/>
    </row>
    <row r="60" spans="1:54" x14ac:dyDescent="0.25">
      <c r="A60" s="572" t="str">
        <f t="shared" si="1"/>
        <v>Camote150</v>
      </c>
      <c r="B60" s="572" t="s">
        <v>5187</v>
      </c>
      <c r="C60" s="572">
        <v>20</v>
      </c>
      <c r="D60" s="572">
        <v>30</v>
      </c>
      <c r="E60" s="572">
        <v>60</v>
      </c>
      <c r="F60" s="572">
        <v>40</v>
      </c>
      <c r="G60" s="572">
        <f t="shared" si="2"/>
        <v>150</v>
      </c>
      <c r="H60" s="575">
        <v>0.5</v>
      </c>
      <c r="I60" s="572">
        <v>1.1499999999999999</v>
      </c>
      <c r="J60" s="572">
        <v>0.65</v>
      </c>
      <c r="K60" s="572">
        <v>1</v>
      </c>
      <c r="L60" s="572">
        <f t="shared" si="3"/>
        <v>20</v>
      </c>
      <c r="M60" s="572">
        <f t="shared" si="11"/>
        <v>50</v>
      </c>
      <c r="N60" s="572">
        <f t="shared" si="11"/>
        <v>110</v>
      </c>
      <c r="O60" s="572">
        <f t="shared" si="11"/>
        <v>150</v>
      </c>
      <c r="P60" s="575">
        <f t="shared" si="4"/>
        <v>0.5</v>
      </c>
      <c r="Q60" s="575">
        <f t="shared" si="5"/>
        <v>0.5</v>
      </c>
      <c r="R60" s="575">
        <f t="shared" si="5"/>
        <v>1.1499999999999999</v>
      </c>
      <c r="S60" s="575">
        <f t="shared" si="6"/>
        <v>1.1499999999999999</v>
      </c>
      <c r="T60" s="575">
        <f t="shared" si="6"/>
        <v>0.65</v>
      </c>
      <c r="U60" s="579">
        <f t="shared" si="7"/>
        <v>2.1666666666666664E-2</v>
      </c>
      <c r="V60" s="580">
        <f t="shared" si="8"/>
        <v>6.6666666666666652E-2</v>
      </c>
      <c r="W60" s="579">
        <f t="shared" si="9"/>
        <v>-1.2499999999999997E-2</v>
      </c>
      <c r="X60" s="580">
        <f t="shared" si="10"/>
        <v>2.5249999999999995</v>
      </c>
      <c r="AO60" s="575">
        <v>4.5</v>
      </c>
      <c r="AP60" s="575">
        <v>29.14</v>
      </c>
      <c r="AR60" s="575"/>
      <c r="AU60" s="575"/>
      <c r="AV60" s="581"/>
    </row>
    <row r="61" spans="1:54" x14ac:dyDescent="0.25">
      <c r="A61" s="572" t="str">
        <f t="shared" si="1"/>
        <v>Camote125</v>
      </c>
      <c r="B61" s="572" t="s">
        <v>5187</v>
      </c>
      <c r="C61" s="572">
        <v>15</v>
      </c>
      <c r="D61" s="572">
        <v>30</v>
      </c>
      <c r="E61" s="572">
        <v>50</v>
      </c>
      <c r="F61" s="572">
        <v>30</v>
      </c>
      <c r="G61" s="572">
        <f t="shared" si="2"/>
        <v>125</v>
      </c>
      <c r="H61" s="575">
        <v>0.5</v>
      </c>
      <c r="I61" s="572">
        <v>1.1499999999999999</v>
      </c>
      <c r="J61" s="572">
        <v>0.65</v>
      </c>
      <c r="K61" s="572">
        <v>1</v>
      </c>
      <c r="L61" s="572">
        <f t="shared" si="3"/>
        <v>15</v>
      </c>
      <c r="M61" s="572">
        <f t="shared" si="11"/>
        <v>45</v>
      </c>
      <c r="N61" s="572">
        <f t="shared" si="11"/>
        <v>95</v>
      </c>
      <c r="O61" s="572">
        <f t="shared" si="11"/>
        <v>125</v>
      </c>
      <c r="P61" s="575">
        <f t="shared" si="4"/>
        <v>0.5</v>
      </c>
      <c r="Q61" s="575">
        <f t="shared" si="5"/>
        <v>0.5</v>
      </c>
      <c r="R61" s="575">
        <f t="shared" si="5"/>
        <v>1.1499999999999999</v>
      </c>
      <c r="S61" s="575">
        <f t="shared" si="6"/>
        <v>1.1499999999999999</v>
      </c>
      <c r="T61" s="575">
        <f t="shared" si="6"/>
        <v>0.65</v>
      </c>
      <c r="U61" s="579">
        <f t="shared" si="7"/>
        <v>2.1666666666666664E-2</v>
      </c>
      <c r="V61" s="580">
        <f t="shared" si="8"/>
        <v>0.17500000000000004</v>
      </c>
      <c r="W61" s="579">
        <f t="shared" si="9"/>
        <v>-1.6666666666666663E-2</v>
      </c>
      <c r="X61" s="580">
        <f t="shared" si="10"/>
        <v>2.7333333333333329</v>
      </c>
      <c r="AO61" s="575">
        <v>5</v>
      </c>
      <c r="AP61" s="575">
        <v>29.35</v>
      </c>
      <c r="AR61" s="575"/>
      <c r="AU61" s="575"/>
      <c r="AV61" s="581"/>
    </row>
    <row r="62" spans="1:54" x14ac:dyDescent="0.25">
      <c r="A62" s="572" t="str">
        <f t="shared" si="1"/>
        <v>Remolacha azucarera180</v>
      </c>
      <c r="B62" s="572" t="s">
        <v>5188</v>
      </c>
      <c r="C62" s="572">
        <v>30</v>
      </c>
      <c r="D62" s="572">
        <v>45</v>
      </c>
      <c r="E62" s="572">
        <v>90</v>
      </c>
      <c r="F62" s="572">
        <v>15</v>
      </c>
      <c r="G62" s="572">
        <f t="shared" si="2"/>
        <v>180</v>
      </c>
      <c r="H62" s="575">
        <v>0.35</v>
      </c>
      <c r="I62" s="575">
        <v>1.2</v>
      </c>
      <c r="J62" s="575">
        <v>0.7</v>
      </c>
      <c r="K62" s="572">
        <v>1</v>
      </c>
      <c r="L62" s="572">
        <f t="shared" si="3"/>
        <v>30</v>
      </c>
      <c r="M62" s="572">
        <f t="shared" si="11"/>
        <v>75</v>
      </c>
      <c r="N62" s="572">
        <f t="shared" si="11"/>
        <v>165</v>
      </c>
      <c r="O62" s="572">
        <f t="shared" si="11"/>
        <v>180</v>
      </c>
      <c r="P62" s="575">
        <f t="shared" si="4"/>
        <v>0.35</v>
      </c>
      <c r="Q62" s="575">
        <f t="shared" si="5"/>
        <v>0.35</v>
      </c>
      <c r="R62" s="575">
        <f t="shared" si="5"/>
        <v>1.2</v>
      </c>
      <c r="S62" s="575">
        <f t="shared" si="6"/>
        <v>1.2</v>
      </c>
      <c r="T62" s="575">
        <f t="shared" si="6"/>
        <v>0.7</v>
      </c>
      <c r="U62" s="579">
        <f t="shared" si="7"/>
        <v>1.8888888888888889E-2</v>
      </c>
      <c r="V62" s="580">
        <f t="shared" si="8"/>
        <v>-0.21666666666666679</v>
      </c>
      <c r="W62" s="579">
        <f t="shared" si="9"/>
        <v>-3.3333333333333333E-2</v>
      </c>
      <c r="X62" s="580">
        <f t="shared" si="10"/>
        <v>6.7</v>
      </c>
      <c r="AO62" s="575">
        <v>5.5</v>
      </c>
      <c r="AP62" s="575">
        <v>29.56</v>
      </c>
      <c r="AR62" s="575"/>
      <c r="AU62" s="575"/>
      <c r="AV62" s="581"/>
    </row>
    <row r="63" spans="1:54" x14ac:dyDescent="0.25">
      <c r="A63" s="572" t="str">
        <f t="shared" si="1"/>
        <v>Remolacha azucarera155</v>
      </c>
      <c r="B63" s="572" t="s">
        <v>5188</v>
      </c>
      <c r="C63" s="572">
        <v>25</v>
      </c>
      <c r="D63" s="572">
        <v>30</v>
      </c>
      <c r="E63" s="572">
        <v>90</v>
      </c>
      <c r="F63" s="572">
        <v>10</v>
      </c>
      <c r="G63" s="572">
        <f t="shared" si="2"/>
        <v>155</v>
      </c>
      <c r="H63" s="575">
        <v>0.35</v>
      </c>
      <c r="I63" s="575">
        <v>1.2</v>
      </c>
      <c r="J63" s="575">
        <v>0.7</v>
      </c>
      <c r="K63" s="572">
        <v>1</v>
      </c>
      <c r="L63" s="572">
        <f t="shared" si="3"/>
        <v>25</v>
      </c>
      <c r="M63" s="572">
        <f t="shared" si="11"/>
        <v>55</v>
      </c>
      <c r="N63" s="572">
        <f t="shared" si="11"/>
        <v>145</v>
      </c>
      <c r="O63" s="572">
        <f t="shared" si="11"/>
        <v>155</v>
      </c>
      <c r="P63" s="575">
        <f t="shared" si="4"/>
        <v>0.35</v>
      </c>
      <c r="Q63" s="575">
        <f t="shared" si="5"/>
        <v>0.35</v>
      </c>
      <c r="R63" s="575">
        <f t="shared" si="5"/>
        <v>1.2</v>
      </c>
      <c r="S63" s="575">
        <f t="shared" si="6"/>
        <v>1.2</v>
      </c>
      <c r="T63" s="575">
        <f t="shared" si="6"/>
        <v>0.7</v>
      </c>
      <c r="U63" s="579">
        <f t="shared" si="7"/>
        <v>2.8333333333333332E-2</v>
      </c>
      <c r="V63" s="580">
        <f t="shared" si="8"/>
        <v>-0.35833333333333339</v>
      </c>
      <c r="W63" s="579">
        <f t="shared" si="9"/>
        <v>-0.05</v>
      </c>
      <c r="X63" s="580">
        <f t="shared" si="10"/>
        <v>8.4499999999999993</v>
      </c>
      <c r="AO63" s="575">
        <v>6</v>
      </c>
      <c r="AP63" s="575">
        <v>29.78</v>
      </c>
      <c r="AR63" s="575"/>
      <c r="AU63" s="575"/>
      <c r="AV63" s="581"/>
    </row>
    <row r="64" spans="1:54" x14ac:dyDescent="0.25">
      <c r="A64" s="572" t="str">
        <f t="shared" si="1"/>
        <v>Remolacha azucarera255</v>
      </c>
      <c r="B64" s="572" t="s">
        <v>5188</v>
      </c>
      <c r="C64" s="572">
        <v>25</v>
      </c>
      <c r="D64" s="572">
        <v>65</v>
      </c>
      <c r="E64" s="572">
        <v>100</v>
      </c>
      <c r="F64" s="572">
        <v>65</v>
      </c>
      <c r="G64" s="572">
        <f t="shared" si="2"/>
        <v>255</v>
      </c>
      <c r="H64" s="575">
        <v>0.35</v>
      </c>
      <c r="I64" s="575">
        <v>1.2</v>
      </c>
      <c r="J64" s="575">
        <v>0.7</v>
      </c>
      <c r="K64" s="572">
        <v>1</v>
      </c>
      <c r="L64" s="572">
        <f t="shared" si="3"/>
        <v>25</v>
      </c>
      <c r="M64" s="572">
        <f t="shared" si="11"/>
        <v>90</v>
      </c>
      <c r="N64" s="572">
        <f t="shared" si="11"/>
        <v>190</v>
      </c>
      <c r="O64" s="572">
        <f t="shared" si="11"/>
        <v>255</v>
      </c>
      <c r="P64" s="575">
        <f t="shared" si="4"/>
        <v>0.35</v>
      </c>
      <c r="Q64" s="575">
        <f t="shared" si="5"/>
        <v>0.35</v>
      </c>
      <c r="R64" s="575">
        <f t="shared" si="5"/>
        <v>1.2</v>
      </c>
      <c r="S64" s="575">
        <f t="shared" si="6"/>
        <v>1.2</v>
      </c>
      <c r="T64" s="575">
        <f t="shared" si="6"/>
        <v>0.7</v>
      </c>
      <c r="U64" s="579">
        <f t="shared" si="7"/>
        <v>1.3076923076923076E-2</v>
      </c>
      <c r="V64" s="580">
        <f t="shared" si="8"/>
        <v>2.3076923076922995E-2</v>
      </c>
      <c r="W64" s="579">
        <f t="shared" si="9"/>
        <v>-7.6923076923076927E-3</v>
      </c>
      <c r="X64" s="580">
        <f t="shared" si="10"/>
        <v>2.6615384615384619</v>
      </c>
      <c r="AO64" s="575">
        <v>6.5</v>
      </c>
      <c r="AP64" s="575">
        <v>29.99</v>
      </c>
      <c r="AR64" s="575"/>
      <c r="AU64" s="575"/>
      <c r="AV64" s="581"/>
    </row>
    <row r="65" spans="1:48" x14ac:dyDescent="0.25">
      <c r="A65" s="572" t="str">
        <f t="shared" si="1"/>
        <v>Remolacha azucarera180</v>
      </c>
      <c r="B65" s="572" t="s">
        <v>5188</v>
      </c>
      <c r="C65" s="572">
        <v>50</v>
      </c>
      <c r="D65" s="572">
        <v>40</v>
      </c>
      <c r="E65" s="572">
        <v>50</v>
      </c>
      <c r="F65" s="572">
        <v>40</v>
      </c>
      <c r="G65" s="572">
        <f t="shared" si="2"/>
        <v>180</v>
      </c>
      <c r="H65" s="575">
        <v>0.35</v>
      </c>
      <c r="I65" s="575">
        <v>1.2</v>
      </c>
      <c r="J65" s="575">
        <v>0.7</v>
      </c>
      <c r="K65" s="572">
        <v>1</v>
      </c>
      <c r="L65" s="572">
        <f t="shared" si="3"/>
        <v>50</v>
      </c>
      <c r="M65" s="572">
        <f t="shared" si="11"/>
        <v>90</v>
      </c>
      <c r="N65" s="572">
        <f t="shared" si="11"/>
        <v>140</v>
      </c>
      <c r="O65" s="572">
        <f t="shared" si="11"/>
        <v>180</v>
      </c>
      <c r="P65" s="575">
        <f t="shared" si="4"/>
        <v>0.35</v>
      </c>
      <c r="Q65" s="575">
        <f t="shared" si="5"/>
        <v>0.35</v>
      </c>
      <c r="R65" s="575">
        <f t="shared" si="5"/>
        <v>1.2</v>
      </c>
      <c r="S65" s="575">
        <f t="shared" si="6"/>
        <v>1.2</v>
      </c>
      <c r="T65" s="575">
        <f t="shared" si="6"/>
        <v>0.7</v>
      </c>
      <c r="U65" s="579">
        <f t="shared" si="7"/>
        <v>2.1249999999999998E-2</v>
      </c>
      <c r="V65" s="580">
        <f t="shared" si="8"/>
        <v>-0.71249999999999991</v>
      </c>
      <c r="W65" s="579">
        <f t="shared" si="9"/>
        <v>-1.2500000000000001E-2</v>
      </c>
      <c r="X65" s="580">
        <f t="shared" si="10"/>
        <v>2.95</v>
      </c>
      <c r="AO65" s="575">
        <v>7</v>
      </c>
      <c r="AP65" s="575">
        <v>30.21</v>
      </c>
      <c r="AR65" s="575"/>
      <c r="AU65" s="575"/>
      <c r="AV65" s="581"/>
    </row>
    <row r="66" spans="1:48" x14ac:dyDescent="0.25">
      <c r="A66" s="572" t="str">
        <f t="shared" si="1"/>
        <v>Remolacha azucarera160</v>
      </c>
      <c r="B66" s="572" t="s">
        <v>5188</v>
      </c>
      <c r="C66" s="572">
        <v>25</v>
      </c>
      <c r="D66" s="572">
        <v>35</v>
      </c>
      <c r="E66" s="572">
        <v>50</v>
      </c>
      <c r="F66" s="572">
        <v>50</v>
      </c>
      <c r="G66" s="572">
        <f t="shared" si="2"/>
        <v>160</v>
      </c>
      <c r="H66" s="575">
        <v>0.35</v>
      </c>
      <c r="I66" s="575">
        <v>1.2</v>
      </c>
      <c r="J66" s="575">
        <v>0.7</v>
      </c>
      <c r="K66" s="572">
        <v>1</v>
      </c>
      <c r="L66" s="572">
        <f t="shared" si="3"/>
        <v>25</v>
      </c>
      <c r="M66" s="572">
        <f t="shared" si="11"/>
        <v>60</v>
      </c>
      <c r="N66" s="572">
        <f t="shared" si="11"/>
        <v>110</v>
      </c>
      <c r="O66" s="572">
        <f t="shared" si="11"/>
        <v>160</v>
      </c>
      <c r="P66" s="575">
        <f t="shared" si="4"/>
        <v>0.35</v>
      </c>
      <c r="Q66" s="575">
        <f t="shared" si="5"/>
        <v>0.35</v>
      </c>
      <c r="R66" s="575">
        <f t="shared" si="5"/>
        <v>1.2</v>
      </c>
      <c r="S66" s="575">
        <f t="shared" si="6"/>
        <v>1.2</v>
      </c>
      <c r="T66" s="575">
        <f t="shared" si="6"/>
        <v>0.7</v>
      </c>
      <c r="U66" s="579">
        <f t="shared" si="7"/>
        <v>2.4285714285714285E-2</v>
      </c>
      <c r="V66" s="580">
        <f t="shared" si="8"/>
        <v>-0.25714285714285712</v>
      </c>
      <c r="W66" s="579">
        <f t="shared" si="9"/>
        <v>-0.01</v>
      </c>
      <c r="X66" s="580">
        <f t="shared" si="10"/>
        <v>2.2999999999999998</v>
      </c>
      <c r="AG66" s="572">
        <v>20</v>
      </c>
      <c r="AH66" s="572">
        <v>50</v>
      </c>
      <c r="AO66" s="575">
        <v>7.5</v>
      </c>
      <c r="AP66" s="575">
        <v>30.42</v>
      </c>
      <c r="AR66" s="575"/>
      <c r="AU66" s="575"/>
      <c r="AV66" s="581"/>
    </row>
    <row r="67" spans="1:48" x14ac:dyDescent="0.25">
      <c r="A67" s="572" t="str">
        <f t="shared" si="1"/>
        <v>Remolacha azucarera230</v>
      </c>
      <c r="B67" s="572" t="s">
        <v>5188</v>
      </c>
      <c r="C67" s="572">
        <v>45</v>
      </c>
      <c r="D67" s="572">
        <v>75</v>
      </c>
      <c r="E67" s="572">
        <v>80</v>
      </c>
      <c r="F67" s="572">
        <v>30</v>
      </c>
      <c r="G67" s="572">
        <f t="shared" si="2"/>
        <v>230</v>
      </c>
      <c r="H67" s="575">
        <v>0.35</v>
      </c>
      <c r="I67" s="575">
        <v>1.2</v>
      </c>
      <c r="J67" s="575">
        <v>0.7</v>
      </c>
      <c r="K67" s="572">
        <v>1</v>
      </c>
      <c r="L67" s="572">
        <f t="shared" si="3"/>
        <v>45</v>
      </c>
      <c r="M67" s="572">
        <f t="shared" ref="M67:O98" si="12">L67+D67</f>
        <v>120</v>
      </c>
      <c r="N67" s="572">
        <f t="shared" si="12"/>
        <v>200</v>
      </c>
      <c r="O67" s="572">
        <f t="shared" si="12"/>
        <v>230</v>
      </c>
      <c r="P67" s="575">
        <f t="shared" si="4"/>
        <v>0.35</v>
      </c>
      <c r="Q67" s="575">
        <f t="shared" si="5"/>
        <v>0.35</v>
      </c>
      <c r="R67" s="575">
        <f t="shared" si="5"/>
        <v>1.2</v>
      </c>
      <c r="S67" s="575">
        <f t="shared" si="6"/>
        <v>1.2</v>
      </c>
      <c r="T67" s="575">
        <f t="shared" si="6"/>
        <v>0.7</v>
      </c>
      <c r="U67" s="579">
        <f t="shared" si="7"/>
        <v>1.1333333333333332E-2</v>
      </c>
      <c r="V67" s="580">
        <f t="shared" si="8"/>
        <v>-0.15999999999999992</v>
      </c>
      <c r="W67" s="579">
        <f t="shared" si="9"/>
        <v>-1.6666666666666666E-2</v>
      </c>
      <c r="X67" s="580">
        <f t="shared" si="10"/>
        <v>4.5333333333333332</v>
      </c>
      <c r="AG67" s="572">
        <v>0.7</v>
      </c>
      <c r="AH67" s="572">
        <v>1.05</v>
      </c>
      <c r="AO67" s="575">
        <v>8</v>
      </c>
      <c r="AP67" s="575">
        <v>30.64</v>
      </c>
      <c r="AR67" s="575"/>
      <c r="AU67" s="575"/>
      <c r="AV67" s="581"/>
    </row>
    <row r="68" spans="1:48" x14ac:dyDescent="0.25">
      <c r="A68" s="572" t="str">
        <f t="shared" ref="A68:A131" si="13">B68&amp;G68</f>
        <v>Remolacha azucarera205</v>
      </c>
      <c r="B68" s="572" t="s">
        <v>5188</v>
      </c>
      <c r="C68" s="572">
        <v>35</v>
      </c>
      <c r="D68" s="572">
        <v>60</v>
      </c>
      <c r="E68" s="572">
        <v>70</v>
      </c>
      <c r="F68" s="572">
        <v>40</v>
      </c>
      <c r="G68" s="572">
        <f t="shared" si="2"/>
        <v>205</v>
      </c>
      <c r="H68" s="575">
        <v>0.35</v>
      </c>
      <c r="I68" s="575">
        <v>1.2</v>
      </c>
      <c r="J68" s="575">
        <v>0.7</v>
      </c>
      <c r="K68" s="572">
        <v>1</v>
      </c>
      <c r="L68" s="572">
        <f t="shared" ref="L68:L131" si="14">C68</f>
        <v>35</v>
      </c>
      <c r="M68" s="572">
        <f t="shared" si="12"/>
        <v>95</v>
      </c>
      <c r="N68" s="572">
        <f t="shared" si="12"/>
        <v>165</v>
      </c>
      <c r="O68" s="572">
        <f t="shared" si="12"/>
        <v>205</v>
      </c>
      <c r="P68" s="575">
        <f t="shared" ref="P68:P131" si="15">H68</f>
        <v>0.35</v>
      </c>
      <c r="Q68" s="575">
        <f t="shared" ref="Q68:R131" si="16">H68</f>
        <v>0.35</v>
      </c>
      <c r="R68" s="575">
        <f t="shared" si="16"/>
        <v>1.2</v>
      </c>
      <c r="S68" s="575">
        <f t="shared" ref="S68:T131" si="17">I68</f>
        <v>1.2</v>
      </c>
      <c r="T68" s="575">
        <f t="shared" si="17"/>
        <v>0.7</v>
      </c>
      <c r="U68" s="579">
        <f t="shared" ref="U68:U131" si="18">(R68-Q68)/(M68-L68)</f>
        <v>1.4166666666666666E-2</v>
      </c>
      <c r="V68" s="580">
        <f t="shared" ref="V68:V131" si="19">R68-(U68*M68)</f>
        <v>-0.14583333333333326</v>
      </c>
      <c r="W68" s="579">
        <f t="shared" ref="W68:W131" si="20">(T68-S68)/(O68-N68)</f>
        <v>-1.2500000000000001E-2</v>
      </c>
      <c r="X68" s="580">
        <f t="shared" ref="X68:X131" si="21">T68-W68*O68</f>
        <v>3.2625000000000002</v>
      </c>
      <c r="AO68" s="575">
        <v>8.5</v>
      </c>
      <c r="AP68" s="575">
        <v>30.86</v>
      </c>
      <c r="AR68" s="575"/>
      <c r="AU68" s="575"/>
      <c r="AV68" s="581"/>
    </row>
    <row r="69" spans="1:48" x14ac:dyDescent="0.25">
      <c r="A69" s="572" t="str">
        <f t="shared" si="13"/>
        <v>Vainita90</v>
      </c>
      <c r="B69" s="572" t="s">
        <v>5189</v>
      </c>
      <c r="C69" s="572">
        <v>20</v>
      </c>
      <c r="D69" s="572">
        <v>30</v>
      </c>
      <c r="E69" s="572">
        <v>30</v>
      </c>
      <c r="F69" s="572">
        <v>10</v>
      </c>
      <c r="G69" s="572">
        <f t="shared" si="2"/>
        <v>90</v>
      </c>
      <c r="H69" s="575">
        <v>0.5</v>
      </c>
      <c r="I69" s="575">
        <v>1.05</v>
      </c>
      <c r="J69" s="575">
        <v>0.9</v>
      </c>
      <c r="K69" s="572">
        <v>1</v>
      </c>
      <c r="L69" s="572">
        <f t="shared" si="14"/>
        <v>20</v>
      </c>
      <c r="M69" s="572">
        <f t="shared" si="12"/>
        <v>50</v>
      </c>
      <c r="N69" s="572">
        <f t="shared" si="12"/>
        <v>80</v>
      </c>
      <c r="O69" s="572">
        <f t="shared" si="12"/>
        <v>90</v>
      </c>
      <c r="P69" s="575">
        <f t="shared" si="15"/>
        <v>0.5</v>
      </c>
      <c r="Q69" s="575">
        <f t="shared" si="16"/>
        <v>0.5</v>
      </c>
      <c r="R69" s="575">
        <f t="shared" si="16"/>
        <v>1.05</v>
      </c>
      <c r="S69" s="575">
        <f t="shared" si="17"/>
        <v>1.05</v>
      </c>
      <c r="T69" s="575">
        <f t="shared" si="17"/>
        <v>0.9</v>
      </c>
      <c r="U69" s="579">
        <f t="shared" si="18"/>
        <v>1.8333333333333333E-2</v>
      </c>
      <c r="V69" s="580">
        <f t="shared" si="19"/>
        <v>0.13333333333333341</v>
      </c>
      <c r="W69" s="579">
        <f t="shared" si="20"/>
        <v>-1.5000000000000003E-2</v>
      </c>
      <c r="X69" s="580">
        <f t="shared" si="21"/>
        <v>2.2500000000000004</v>
      </c>
      <c r="AH69" s="572">
        <f>AH67-AG67</f>
        <v>0.35000000000000009</v>
      </c>
      <c r="AO69" s="575">
        <v>9</v>
      </c>
      <c r="AP69" s="575">
        <v>31.08</v>
      </c>
      <c r="AR69" s="575"/>
      <c r="AU69" s="575"/>
      <c r="AV69" s="581"/>
    </row>
    <row r="70" spans="1:48" x14ac:dyDescent="0.25">
      <c r="A70" s="572" t="str">
        <f t="shared" si="13"/>
        <v>Vainita75</v>
      </c>
      <c r="B70" s="572" t="s">
        <v>5189</v>
      </c>
      <c r="C70" s="572">
        <v>15</v>
      </c>
      <c r="D70" s="572">
        <v>25</v>
      </c>
      <c r="E70" s="572">
        <v>25</v>
      </c>
      <c r="F70" s="572">
        <v>10</v>
      </c>
      <c r="G70" s="572">
        <f t="shared" ref="G70:G133" si="22">SUM(C70:F70)</f>
        <v>75</v>
      </c>
      <c r="H70" s="575">
        <v>0.5</v>
      </c>
      <c r="I70" s="575">
        <v>1.05</v>
      </c>
      <c r="J70" s="575">
        <v>0.9</v>
      </c>
      <c r="K70" s="572">
        <v>1</v>
      </c>
      <c r="L70" s="572">
        <f t="shared" si="14"/>
        <v>15</v>
      </c>
      <c r="M70" s="572">
        <f t="shared" si="12"/>
        <v>40</v>
      </c>
      <c r="N70" s="572">
        <f t="shared" si="12"/>
        <v>65</v>
      </c>
      <c r="O70" s="572">
        <f t="shared" si="12"/>
        <v>75</v>
      </c>
      <c r="P70" s="575">
        <f t="shared" si="15"/>
        <v>0.5</v>
      </c>
      <c r="Q70" s="575">
        <f t="shared" si="16"/>
        <v>0.5</v>
      </c>
      <c r="R70" s="575">
        <f t="shared" si="16"/>
        <v>1.05</v>
      </c>
      <c r="S70" s="575">
        <f t="shared" si="17"/>
        <v>1.05</v>
      </c>
      <c r="T70" s="575">
        <f t="shared" si="17"/>
        <v>0.9</v>
      </c>
      <c r="U70" s="579">
        <f t="shared" si="18"/>
        <v>2.2000000000000002E-2</v>
      </c>
      <c r="V70" s="580">
        <f t="shared" si="19"/>
        <v>0.16999999999999993</v>
      </c>
      <c r="W70" s="579">
        <f t="shared" si="20"/>
        <v>-1.5000000000000003E-2</v>
      </c>
      <c r="X70" s="580">
        <f t="shared" si="21"/>
        <v>2.0250000000000004</v>
      </c>
      <c r="AH70" s="572">
        <f>AH66-AG66</f>
        <v>30</v>
      </c>
      <c r="AO70" s="575">
        <v>9.5</v>
      </c>
      <c r="AP70" s="575">
        <v>31.3</v>
      </c>
      <c r="AR70" s="575"/>
      <c r="AS70" s="575"/>
      <c r="AT70" s="575"/>
      <c r="AU70" s="575"/>
      <c r="AV70" s="581"/>
    </row>
    <row r="71" spans="1:48" x14ac:dyDescent="0.25">
      <c r="A71" s="572" t="str">
        <f t="shared" si="13"/>
        <v>Frijol verde90</v>
      </c>
      <c r="B71" s="572" t="s">
        <v>5190</v>
      </c>
      <c r="C71" s="572">
        <v>20</v>
      </c>
      <c r="D71" s="572">
        <v>30</v>
      </c>
      <c r="E71" s="572">
        <v>30</v>
      </c>
      <c r="F71" s="572">
        <v>10</v>
      </c>
      <c r="G71" s="572">
        <f t="shared" si="22"/>
        <v>90</v>
      </c>
      <c r="H71" s="575">
        <v>0.5</v>
      </c>
      <c r="I71" s="575">
        <v>1.05</v>
      </c>
      <c r="J71" s="575">
        <v>0.9</v>
      </c>
      <c r="K71" s="572">
        <v>1</v>
      </c>
      <c r="L71" s="572">
        <f t="shared" si="14"/>
        <v>20</v>
      </c>
      <c r="M71" s="572">
        <f t="shared" si="12"/>
        <v>50</v>
      </c>
      <c r="N71" s="572">
        <f t="shared" si="12"/>
        <v>80</v>
      </c>
      <c r="O71" s="572">
        <f t="shared" si="12"/>
        <v>90</v>
      </c>
      <c r="P71" s="575">
        <f t="shared" si="15"/>
        <v>0.5</v>
      </c>
      <c r="Q71" s="575">
        <f t="shared" si="16"/>
        <v>0.5</v>
      </c>
      <c r="R71" s="575">
        <f t="shared" si="16"/>
        <v>1.05</v>
      </c>
      <c r="S71" s="575">
        <f t="shared" si="17"/>
        <v>1.05</v>
      </c>
      <c r="T71" s="575">
        <f t="shared" si="17"/>
        <v>0.9</v>
      </c>
      <c r="U71" s="579">
        <f t="shared" si="18"/>
        <v>1.8333333333333333E-2</v>
      </c>
      <c r="V71" s="580">
        <f t="shared" si="19"/>
        <v>0.13333333333333341</v>
      </c>
      <c r="W71" s="579">
        <f t="shared" si="20"/>
        <v>-1.5000000000000003E-2</v>
      </c>
      <c r="X71" s="580">
        <f t="shared" si="21"/>
        <v>2.2500000000000004</v>
      </c>
      <c r="AH71" s="586">
        <f>AH69/AH70</f>
        <v>1.1666666666666669E-2</v>
      </c>
      <c r="AO71" s="575">
        <v>10</v>
      </c>
      <c r="AP71" s="575">
        <v>31.52</v>
      </c>
      <c r="AR71" s="575"/>
      <c r="AS71" s="575"/>
      <c r="AU71" s="575"/>
      <c r="AV71" s="581"/>
    </row>
    <row r="72" spans="1:48" x14ac:dyDescent="0.25">
      <c r="A72" s="572" t="str">
        <f t="shared" si="13"/>
        <v>Frijol verde75</v>
      </c>
      <c r="B72" s="572" t="s">
        <v>5190</v>
      </c>
      <c r="C72" s="572">
        <v>15</v>
      </c>
      <c r="D72" s="572">
        <v>25</v>
      </c>
      <c r="E72" s="572">
        <v>25</v>
      </c>
      <c r="F72" s="572">
        <v>10</v>
      </c>
      <c r="G72" s="572">
        <f>SUM(C72:F72)</f>
        <v>75</v>
      </c>
      <c r="H72" s="575">
        <v>0.5</v>
      </c>
      <c r="I72" s="575">
        <v>1.05</v>
      </c>
      <c r="J72" s="575">
        <v>0.9</v>
      </c>
      <c r="K72" s="572">
        <v>1</v>
      </c>
      <c r="L72" s="572">
        <f t="shared" si="14"/>
        <v>15</v>
      </c>
      <c r="M72" s="572">
        <f t="shared" si="12"/>
        <v>40</v>
      </c>
      <c r="N72" s="572">
        <f t="shared" si="12"/>
        <v>65</v>
      </c>
      <c r="O72" s="572">
        <f t="shared" si="12"/>
        <v>75</v>
      </c>
      <c r="P72" s="575">
        <f t="shared" si="15"/>
        <v>0.5</v>
      </c>
      <c r="Q72" s="575">
        <f t="shared" si="16"/>
        <v>0.5</v>
      </c>
      <c r="R72" s="575">
        <f t="shared" si="16"/>
        <v>1.05</v>
      </c>
      <c r="S72" s="575">
        <f t="shared" si="17"/>
        <v>1.05</v>
      </c>
      <c r="T72" s="575">
        <f t="shared" si="17"/>
        <v>0.9</v>
      </c>
      <c r="U72" s="579">
        <f t="shared" si="18"/>
        <v>2.2000000000000002E-2</v>
      </c>
      <c r="V72" s="580">
        <f t="shared" si="19"/>
        <v>0.16999999999999993</v>
      </c>
      <c r="W72" s="579">
        <f t="shared" si="20"/>
        <v>-1.5000000000000003E-2</v>
      </c>
      <c r="X72" s="580">
        <f t="shared" si="21"/>
        <v>2.0250000000000004</v>
      </c>
      <c r="AO72" s="575">
        <v>10.5</v>
      </c>
      <c r="AP72" s="575">
        <v>31.74</v>
      </c>
      <c r="AR72" s="575"/>
      <c r="AS72" s="575"/>
      <c r="AU72" s="575"/>
      <c r="AV72" s="581"/>
    </row>
    <row r="73" spans="1:48" x14ac:dyDescent="0.25">
      <c r="A73" s="572" t="str">
        <f t="shared" si="13"/>
        <v>Frijol seco110</v>
      </c>
      <c r="B73" s="572" t="s">
        <v>5191</v>
      </c>
      <c r="C73" s="572">
        <v>20</v>
      </c>
      <c r="D73" s="572">
        <v>30</v>
      </c>
      <c r="E73" s="572">
        <v>40</v>
      </c>
      <c r="F73" s="572">
        <v>20</v>
      </c>
      <c r="G73" s="572">
        <f t="shared" si="22"/>
        <v>110</v>
      </c>
      <c r="H73" s="575">
        <v>0.4</v>
      </c>
      <c r="I73" s="575">
        <v>1.1499999999999999</v>
      </c>
      <c r="J73" s="575">
        <v>0.35</v>
      </c>
      <c r="K73" s="572">
        <v>1</v>
      </c>
      <c r="L73" s="572">
        <f t="shared" si="14"/>
        <v>20</v>
      </c>
      <c r="M73" s="572">
        <f t="shared" si="12"/>
        <v>50</v>
      </c>
      <c r="N73" s="572">
        <f t="shared" si="12"/>
        <v>90</v>
      </c>
      <c r="O73" s="572">
        <f t="shared" si="12"/>
        <v>110</v>
      </c>
      <c r="P73" s="575">
        <f t="shared" si="15"/>
        <v>0.4</v>
      </c>
      <c r="Q73" s="575">
        <f t="shared" si="16"/>
        <v>0.4</v>
      </c>
      <c r="R73" s="575">
        <f t="shared" si="16"/>
        <v>1.1499999999999999</v>
      </c>
      <c r="S73" s="575">
        <f t="shared" si="17"/>
        <v>1.1499999999999999</v>
      </c>
      <c r="T73" s="575">
        <f t="shared" si="17"/>
        <v>0.35</v>
      </c>
      <c r="U73" s="579">
        <f t="shared" si="18"/>
        <v>2.4999999999999998E-2</v>
      </c>
      <c r="V73" s="580">
        <f t="shared" si="19"/>
        <v>-0.10000000000000009</v>
      </c>
      <c r="W73" s="579">
        <f t="shared" si="20"/>
        <v>-3.9999999999999994E-2</v>
      </c>
      <c r="X73" s="580">
        <f t="shared" si="21"/>
        <v>4.7499999999999991</v>
      </c>
      <c r="AH73" s="586">
        <f>AH67-AH71*AH66</f>
        <v>0.46666666666666656</v>
      </c>
      <c r="AO73" s="575">
        <v>11</v>
      </c>
      <c r="AP73" s="575">
        <v>31.97</v>
      </c>
      <c r="AR73" s="575"/>
      <c r="AS73" s="575"/>
      <c r="AU73" s="575"/>
      <c r="AV73" s="581"/>
    </row>
    <row r="74" spans="1:48" x14ac:dyDescent="0.25">
      <c r="A74" s="572" t="str">
        <f t="shared" si="13"/>
        <v>Frijol seco95</v>
      </c>
      <c r="B74" s="572" t="s">
        <v>5191</v>
      </c>
      <c r="C74" s="572">
        <v>15</v>
      </c>
      <c r="D74" s="572">
        <v>25</v>
      </c>
      <c r="E74" s="572">
        <v>35</v>
      </c>
      <c r="F74" s="572">
        <v>20</v>
      </c>
      <c r="G74" s="572">
        <f t="shared" si="22"/>
        <v>95</v>
      </c>
      <c r="H74" s="575">
        <v>0.4</v>
      </c>
      <c r="I74" s="575">
        <v>1.1499999999999999</v>
      </c>
      <c r="J74" s="575">
        <v>0.35</v>
      </c>
      <c r="K74" s="572">
        <v>1</v>
      </c>
      <c r="L74" s="572">
        <f t="shared" si="14"/>
        <v>15</v>
      </c>
      <c r="M74" s="572">
        <f t="shared" si="12"/>
        <v>40</v>
      </c>
      <c r="N74" s="572">
        <f t="shared" si="12"/>
        <v>75</v>
      </c>
      <c r="O74" s="572">
        <f t="shared" si="12"/>
        <v>95</v>
      </c>
      <c r="P74" s="575">
        <f t="shared" si="15"/>
        <v>0.4</v>
      </c>
      <c r="Q74" s="575">
        <f t="shared" si="16"/>
        <v>0.4</v>
      </c>
      <c r="R74" s="575">
        <f t="shared" si="16"/>
        <v>1.1499999999999999</v>
      </c>
      <c r="S74" s="575">
        <f t="shared" si="17"/>
        <v>1.1499999999999999</v>
      </c>
      <c r="T74" s="575">
        <f t="shared" si="17"/>
        <v>0.35</v>
      </c>
      <c r="U74" s="579">
        <f t="shared" si="18"/>
        <v>2.9999999999999995E-2</v>
      </c>
      <c r="V74" s="580">
        <f t="shared" si="19"/>
        <v>-4.9999999999999822E-2</v>
      </c>
      <c r="W74" s="579">
        <f t="shared" si="20"/>
        <v>-3.9999999999999994E-2</v>
      </c>
      <c r="X74" s="580">
        <f t="shared" si="21"/>
        <v>4.1499999999999995</v>
      </c>
      <c r="AO74" s="575">
        <v>11.5</v>
      </c>
      <c r="AP74" s="575">
        <v>32.19</v>
      </c>
      <c r="AR74" s="575"/>
      <c r="AS74" s="575"/>
      <c r="AU74" s="575"/>
      <c r="AV74" s="581"/>
    </row>
    <row r="75" spans="1:48" x14ac:dyDescent="0.25">
      <c r="A75" s="572" t="str">
        <f t="shared" si="13"/>
        <v>Frijol seco100</v>
      </c>
      <c r="B75" s="572" t="s">
        <v>5191</v>
      </c>
      <c r="C75" s="572">
        <v>25</v>
      </c>
      <c r="D75" s="572">
        <v>25</v>
      </c>
      <c r="E75" s="572">
        <v>30</v>
      </c>
      <c r="F75" s="572">
        <v>20</v>
      </c>
      <c r="G75" s="572">
        <f t="shared" si="22"/>
        <v>100</v>
      </c>
      <c r="H75" s="575">
        <v>0.4</v>
      </c>
      <c r="I75" s="575">
        <v>1.1499999999999999</v>
      </c>
      <c r="J75" s="575">
        <v>0.35</v>
      </c>
      <c r="K75" s="572">
        <v>1</v>
      </c>
      <c r="L75" s="572">
        <f t="shared" si="14"/>
        <v>25</v>
      </c>
      <c r="M75" s="572">
        <f t="shared" si="12"/>
        <v>50</v>
      </c>
      <c r="N75" s="572">
        <f t="shared" si="12"/>
        <v>80</v>
      </c>
      <c r="O75" s="572">
        <f t="shared" si="12"/>
        <v>100</v>
      </c>
      <c r="P75" s="575">
        <f t="shared" si="15"/>
        <v>0.4</v>
      </c>
      <c r="Q75" s="575">
        <f t="shared" si="16"/>
        <v>0.4</v>
      </c>
      <c r="R75" s="575">
        <f t="shared" si="16"/>
        <v>1.1499999999999999</v>
      </c>
      <c r="S75" s="575">
        <f t="shared" si="17"/>
        <v>1.1499999999999999</v>
      </c>
      <c r="T75" s="575">
        <f t="shared" si="17"/>
        <v>0.35</v>
      </c>
      <c r="U75" s="579">
        <f t="shared" si="18"/>
        <v>2.9999999999999995E-2</v>
      </c>
      <c r="V75" s="580">
        <f t="shared" si="19"/>
        <v>-0.34999999999999987</v>
      </c>
      <c r="W75" s="579">
        <f t="shared" si="20"/>
        <v>-3.9999999999999994E-2</v>
      </c>
      <c r="X75" s="580">
        <f t="shared" si="21"/>
        <v>4.3499999999999996</v>
      </c>
      <c r="AG75" s="572">
        <v>0</v>
      </c>
      <c r="AH75" s="572">
        <f>$AH$73+$AH$71*AG75</f>
        <v>0.46666666666666656</v>
      </c>
      <c r="AO75" s="575">
        <v>12</v>
      </c>
      <c r="AP75" s="575">
        <v>32.42</v>
      </c>
      <c r="AR75" s="575"/>
      <c r="AS75" s="575"/>
      <c r="AU75" s="575"/>
      <c r="AV75" s="581"/>
    </row>
    <row r="76" spans="1:48" x14ac:dyDescent="0.25">
      <c r="A76" s="572" t="str">
        <f t="shared" si="13"/>
        <v>Haba verde90</v>
      </c>
      <c r="B76" s="572" t="s">
        <v>5057</v>
      </c>
      <c r="C76" s="572">
        <v>15</v>
      </c>
      <c r="D76" s="572">
        <v>25</v>
      </c>
      <c r="E76" s="572">
        <v>35</v>
      </c>
      <c r="F76" s="572">
        <v>15</v>
      </c>
      <c r="G76" s="572">
        <f t="shared" si="22"/>
        <v>90</v>
      </c>
      <c r="H76" s="575">
        <v>0.5</v>
      </c>
      <c r="I76" s="575">
        <v>1.1499999999999999</v>
      </c>
      <c r="J76" s="575">
        <v>1.1000000000000001</v>
      </c>
      <c r="K76" s="572">
        <v>1</v>
      </c>
      <c r="L76" s="572">
        <f t="shared" si="14"/>
        <v>15</v>
      </c>
      <c r="M76" s="572">
        <f t="shared" si="12"/>
        <v>40</v>
      </c>
      <c r="N76" s="572">
        <f t="shared" si="12"/>
        <v>75</v>
      </c>
      <c r="O76" s="572">
        <f t="shared" si="12"/>
        <v>90</v>
      </c>
      <c r="P76" s="575">
        <f t="shared" si="15"/>
        <v>0.5</v>
      </c>
      <c r="Q76" s="575">
        <f t="shared" si="16"/>
        <v>0.5</v>
      </c>
      <c r="R76" s="575">
        <f t="shared" si="16"/>
        <v>1.1499999999999999</v>
      </c>
      <c r="S76" s="575">
        <f t="shared" si="17"/>
        <v>1.1499999999999999</v>
      </c>
      <c r="T76" s="575">
        <f t="shared" si="17"/>
        <v>1.1000000000000001</v>
      </c>
      <c r="U76" s="579">
        <f t="shared" si="18"/>
        <v>2.5999999999999995E-2</v>
      </c>
      <c r="V76" s="580">
        <f t="shared" si="19"/>
        <v>0.1100000000000001</v>
      </c>
      <c r="W76" s="579">
        <f t="shared" si="20"/>
        <v>-3.3333333333333214E-3</v>
      </c>
      <c r="X76" s="580">
        <f t="shared" si="21"/>
        <v>1.399999999999999</v>
      </c>
      <c r="AG76" s="586">
        <v>31</v>
      </c>
      <c r="AH76" s="586">
        <f>$AH$73+$AH$71*AG76</f>
        <v>0.82833333333333337</v>
      </c>
      <c r="AO76" s="575">
        <v>12.5</v>
      </c>
      <c r="AP76" s="575">
        <v>32.65</v>
      </c>
      <c r="AR76" s="575"/>
      <c r="AU76" s="575"/>
      <c r="AV76" s="581"/>
    </row>
    <row r="77" spans="1:48" x14ac:dyDescent="0.25">
      <c r="A77" s="572" t="str">
        <f t="shared" si="13"/>
        <v>Haba verde100</v>
      </c>
      <c r="B77" s="572" t="s">
        <v>5057</v>
      </c>
      <c r="C77" s="572">
        <v>20</v>
      </c>
      <c r="D77" s="572">
        <v>30</v>
      </c>
      <c r="E77" s="572">
        <v>35</v>
      </c>
      <c r="F77" s="572">
        <v>15</v>
      </c>
      <c r="G77" s="572">
        <f t="shared" si="22"/>
        <v>100</v>
      </c>
      <c r="H77" s="575">
        <v>0.5</v>
      </c>
      <c r="I77" s="575">
        <v>1.1499999999999999</v>
      </c>
      <c r="J77" s="575">
        <v>1.1000000000000001</v>
      </c>
      <c r="K77" s="572">
        <v>1</v>
      </c>
      <c r="L77" s="572">
        <f t="shared" si="14"/>
        <v>20</v>
      </c>
      <c r="M77" s="572">
        <f t="shared" si="12"/>
        <v>50</v>
      </c>
      <c r="N77" s="572">
        <f t="shared" si="12"/>
        <v>85</v>
      </c>
      <c r="O77" s="572">
        <f t="shared" si="12"/>
        <v>100</v>
      </c>
      <c r="P77" s="575">
        <f t="shared" si="15"/>
        <v>0.5</v>
      </c>
      <c r="Q77" s="575">
        <f t="shared" si="16"/>
        <v>0.5</v>
      </c>
      <c r="R77" s="575">
        <f t="shared" si="16"/>
        <v>1.1499999999999999</v>
      </c>
      <c r="S77" s="575">
        <f t="shared" si="17"/>
        <v>1.1499999999999999</v>
      </c>
      <c r="T77" s="575">
        <f t="shared" si="17"/>
        <v>1.1000000000000001</v>
      </c>
      <c r="U77" s="579">
        <f t="shared" si="18"/>
        <v>2.1666666666666664E-2</v>
      </c>
      <c r="V77" s="580">
        <f t="shared" si="19"/>
        <v>6.6666666666666652E-2</v>
      </c>
      <c r="W77" s="579">
        <f t="shared" si="20"/>
        <v>-3.3333333333333214E-3</v>
      </c>
      <c r="X77" s="580">
        <f t="shared" si="21"/>
        <v>1.4333333333333322</v>
      </c>
      <c r="AG77" s="572">
        <v>50</v>
      </c>
      <c r="AH77" s="572">
        <f>$AH$73+$AH$71*AG77</f>
        <v>1.05</v>
      </c>
      <c r="AO77" s="575">
        <v>13</v>
      </c>
      <c r="AP77" s="575">
        <v>32.880000000000003</v>
      </c>
      <c r="AR77" s="575"/>
      <c r="AU77" s="575"/>
      <c r="AV77" s="581"/>
    </row>
    <row r="78" spans="1:48" x14ac:dyDescent="0.25">
      <c r="A78" s="572" t="str">
        <f t="shared" si="13"/>
        <v>Haba verde235</v>
      </c>
      <c r="B78" s="572" t="s">
        <v>5057</v>
      </c>
      <c r="C78" s="572">
        <v>90</v>
      </c>
      <c r="D78" s="572">
        <v>45</v>
      </c>
      <c r="E78" s="572">
        <v>40</v>
      </c>
      <c r="F78" s="572">
        <v>60</v>
      </c>
      <c r="G78" s="572">
        <f t="shared" si="22"/>
        <v>235</v>
      </c>
      <c r="H78" s="575">
        <v>0.5</v>
      </c>
      <c r="I78" s="575">
        <v>1.1499999999999999</v>
      </c>
      <c r="J78" s="575">
        <v>1.1000000000000001</v>
      </c>
      <c r="K78" s="572">
        <v>1</v>
      </c>
      <c r="L78" s="572">
        <f t="shared" si="14"/>
        <v>90</v>
      </c>
      <c r="M78" s="572">
        <f t="shared" si="12"/>
        <v>135</v>
      </c>
      <c r="N78" s="572">
        <f t="shared" si="12"/>
        <v>175</v>
      </c>
      <c r="O78" s="572">
        <f t="shared" si="12"/>
        <v>235</v>
      </c>
      <c r="P78" s="575">
        <f t="shared" si="15"/>
        <v>0.5</v>
      </c>
      <c r="Q78" s="575">
        <f t="shared" si="16"/>
        <v>0.5</v>
      </c>
      <c r="R78" s="575">
        <f t="shared" si="16"/>
        <v>1.1499999999999999</v>
      </c>
      <c r="S78" s="575">
        <f t="shared" si="17"/>
        <v>1.1499999999999999</v>
      </c>
      <c r="T78" s="575">
        <f t="shared" si="17"/>
        <v>1.1000000000000001</v>
      </c>
      <c r="U78" s="579">
        <f t="shared" si="18"/>
        <v>1.4444444444444442E-2</v>
      </c>
      <c r="V78" s="580">
        <f t="shared" si="19"/>
        <v>-0.79999999999999982</v>
      </c>
      <c r="W78" s="579">
        <f t="shared" si="20"/>
        <v>-8.3333333333333035E-4</v>
      </c>
      <c r="X78" s="580">
        <f t="shared" si="21"/>
        <v>1.2958333333333327</v>
      </c>
      <c r="AO78" s="575">
        <v>13.5</v>
      </c>
      <c r="AP78" s="575">
        <v>33.11</v>
      </c>
      <c r="AR78" s="575"/>
      <c r="AU78" s="575"/>
      <c r="AV78" s="581"/>
    </row>
    <row r="79" spans="1:48" x14ac:dyDescent="0.25">
      <c r="A79" s="572" t="str">
        <f t="shared" si="13"/>
        <v>Haba verde175</v>
      </c>
      <c r="B79" s="572" t="s">
        <v>5057</v>
      </c>
      <c r="C79" s="572">
        <v>90</v>
      </c>
      <c r="D79" s="572">
        <v>45</v>
      </c>
      <c r="E79" s="572">
        <v>40</v>
      </c>
      <c r="F79" s="572">
        <v>0</v>
      </c>
      <c r="G79" s="572">
        <f t="shared" si="22"/>
        <v>175</v>
      </c>
      <c r="H79" s="575">
        <v>0.5</v>
      </c>
      <c r="I79" s="575">
        <v>1.1499999999999999</v>
      </c>
      <c r="J79" s="575">
        <v>1.1000000000000001</v>
      </c>
      <c r="K79" s="572">
        <v>1</v>
      </c>
      <c r="L79" s="572">
        <f t="shared" si="14"/>
        <v>90</v>
      </c>
      <c r="M79" s="572">
        <f t="shared" si="12"/>
        <v>135</v>
      </c>
      <c r="N79" s="572">
        <f t="shared" si="12"/>
        <v>175</v>
      </c>
      <c r="O79" s="572">
        <f t="shared" si="12"/>
        <v>175</v>
      </c>
      <c r="P79" s="575">
        <f t="shared" si="15"/>
        <v>0.5</v>
      </c>
      <c r="Q79" s="575">
        <f t="shared" si="16"/>
        <v>0.5</v>
      </c>
      <c r="R79" s="575">
        <f t="shared" si="16"/>
        <v>1.1499999999999999</v>
      </c>
      <c r="S79" s="575">
        <f t="shared" si="17"/>
        <v>1.1499999999999999</v>
      </c>
      <c r="T79" s="575">
        <f t="shared" si="17"/>
        <v>1.1000000000000001</v>
      </c>
      <c r="U79" s="579">
        <f t="shared" si="18"/>
        <v>1.4444444444444442E-2</v>
      </c>
      <c r="V79" s="580">
        <f t="shared" si="19"/>
        <v>-0.79999999999999982</v>
      </c>
      <c r="W79" s="579" t="e">
        <f t="shared" si="20"/>
        <v>#DIV/0!</v>
      </c>
      <c r="X79" s="580" t="e">
        <f t="shared" si="21"/>
        <v>#DIV/0!</v>
      </c>
      <c r="AO79" s="575">
        <v>14</v>
      </c>
      <c r="AP79" s="575">
        <v>33.340000000000003</v>
      </c>
      <c r="AR79" s="575"/>
      <c r="AU79" s="575"/>
      <c r="AV79" s="581"/>
    </row>
    <row r="80" spans="1:48" x14ac:dyDescent="0.25">
      <c r="A80" s="572" t="str">
        <f t="shared" si="13"/>
        <v>Haba seca90</v>
      </c>
      <c r="B80" s="572" t="s">
        <v>5192</v>
      </c>
      <c r="C80" s="572">
        <v>15</v>
      </c>
      <c r="D80" s="572">
        <v>25</v>
      </c>
      <c r="E80" s="572">
        <v>35</v>
      </c>
      <c r="F80" s="572">
        <v>15</v>
      </c>
      <c r="G80" s="572">
        <f t="shared" si="22"/>
        <v>90</v>
      </c>
      <c r="H80" s="575">
        <v>0.5</v>
      </c>
      <c r="I80" s="575">
        <v>1.1499999999999999</v>
      </c>
      <c r="J80" s="575">
        <v>0.3</v>
      </c>
      <c r="K80" s="572">
        <v>1</v>
      </c>
      <c r="L80" s="572">
        <f t="shared" si="14"/>
        <v>15</v>
      </c>
      <c r="M80" s="572">
        <f t="shared" si="12"/>
        <v>40</v>
      </c>
      <c r="N80" s="572">
        <f t="shared" si="12"/>
        <v>75</v>
      </c>
      <c r="O80" s="572">
        <f t="shared" si="12"/>
        <v>90</v>
      </c>
      <c r="P80" s="575">
        <f t="shared" si="15"/>
        <v>0.5</v>
      </c>
      <c r="Q80" s="575">
        <f t="shared" si="16"/>
        <v>0.5</v>
      </c>
      <c r="R80" s="575">
        <f t="shared" si="16"/>
        <v>1.1499999999999999</v>
      </c>
      <c r="S80" s="575">
        <f t="shared" si="17"/>
        <v>1.1499999999999999</v>
      </c>
      <c r="T80" s="575">
        <f t="shared" si="17"/>
        <v>0.3</v>
      </c>
      <c r="U80" s="579">
        <f t="shared" si="18"/>
        <v>2.5999999999999995E-2</v>
      </c>
      <c r="V80" s="580">
        <f t="shared" si="19"/>
        <v>0.1100000000000001</v>
      </c>
      <c r="W80" s="579">
        <f t="shared" si="20"/>
        <v>-5.6666666666666657E-2</v>
      </c>
      <c r="X80" s="580">
        <f t="shared" si="21"/>
        <v>5.3999999999999986</v>
      </c>
      <c r="AO80" s="575">
        <v>14.5</v>
      </c>
      <c r="AP80" s="575">
        <v>33.57</v>
      </c>
      <c r="AR80" s="575"/>
      <c r="AU80" s="575"/>
      <c r="AV80" s="581"/>
    </row>
    <row r="81" spans="1:48" x14ac:dyDescent="0.25">
      <c r="A81" s="572" t="str">
        <f t="shared" si="13"/>
        <v>Haba seca100</v>
      </c>
      <c r="B81" s="572" t="s">
        <v>5192</v>
      </c>
      <c r="C81" s="572">
        <v>20</v>
      </c>
      <c r="D81" s="572">
        <v>30</v>
      </c>
      <c r="E81" s="572">
        <v>35</v>
      </c>
      <c r="F81" s="572">
        <v>15</v>
      </c>
      <c r="G81" s="572">
        <f t="shared" si="22"/>
        <v>100</v>
      </c>
      <c r="H81" s="575">
        <v>0.5</v>
      </c>
      <c r="I81" s="575">
        <v>1.1499999999999999</v>
      </c>
      <c r="J81" s="575">
        <v>0.3</v>
      </c>
      <c r="K81" s="572">
        <v>1</v>
      </c>
      <c r="L81" s="572">
        <f t="shared" si="14"/>
        <v>20</v>
      </c>
      <c r="M81" s="572">
        <f t="shared" si="12"/>
        <v>50</v>
      </c>
      <c r="N81" s="572">
        <f t="shared" si="12"/>
        <v>85</v>
      </c>
      <c r="O81" s="572">
        <f t="shared" si="12"/>
        <v>100</v>
      </c>
      <c r="P81" s="575">
        <f t="shared" si="15"/>
        <v>0.5</v>
      </c>
      <c r="Q81" s="575">
        <f t="shared" si="16"/>
        <v>0.5</v>
      </c>
      <c r="R81" s="575">
        <f t="shared" si="16"/>
        <v>1.1499999999999999</v>
      </c>
      <c r="S81" s="575">
        <f t="shared" si="17"/>
        <v>1.1499999999999999</v>
      </c>
      <c r="T81" s="575">
        <f t="shared" si="17"/>
        <v>0.3</v>
      </c>
      <c r="U81" s="579">
        <f t="shared" si="18"/>
        <v>2.1666666666666664E-2</v>
      </c>
      <c r="V81" s="580">
        <f t="shared" si="19"/>
        <v>6.6666666666666652E-2</v>
      </c>
      <c r="W81" s="579">
        <f t="shared" si="20"/>
        <v>-5.6666666666666657E-2</v>
      </c>
      <c r="X81" s="580">
        <f t="shared" si="21"/>
        <v>5.9666666666666659</v>
      </c>
      <c r="AO81" s="575">
        <v>15</v>
      </c>
      <c r="AP81" s="575">
        <v>33.81</v>
      </c>
      <c r="AR81" s="575"/>
      <c r="AU81" s="575"/>
      <c r="AV81" s="581"/>
    </row>
    <row r="82" spans="1:48" x14ac:dyDescent="0.25">
      <c r="A82" s="572" t="str">
        <f t="shared" si="13"/>
        <v>Haba seca235</v>
      </c>
      <c r="B82" s="572" t="s">
        <v>5192</v>
      </c>
      <c r="C82" s="572">
        <v>90</v>
      </c>
      <c r="D82" s="572">
        <v>45</v>
      </c>
      <c r="E82" s="572">
        <v>40</v>
      </c>
      <c r="F82" s="572">
        <v>60</v>
      </c>
      <c r="G82" s="572">
        <f t="shared" si="22"/>
        <v>235</v>
      </c>
      <c r="H82" s="575">
        <v>0.5</v>
      </c>
      <c r="I82" s="575">
        <v>1.1499999999999999</v>
      </c>
      <c r="J82" s="575">
        <v>0.3</v>
      </c>
      <c r="K82" s="572">
        <v>1</v>
      </c>
      <c r="L82" s="572">
        <f t="shared" si="14"/>
        <v>90</v>
      </c>
      <c r="M82" s="572">
        <f t="shared" si="12"/>
        <v>135</v>
      </c>
      <c r="N82" s="572">
        <f t="shared" si="12"/>
        <v>175</v>
      </c>
      <c r="O82" s="572">
        <f t="shared" si="12"/>
        <v>235</v>
      </c>
      <c r="P82" s="575">
        <f t="shared" si="15"/>
        <v>0.5</v>
      </c>
      <c r="Q82" s="575">
        <f t="shared" si="16"/>
        <v>0.5</v>
      </c>
      <c r="R82" s="575">
        <f t="shared" si="16"/>
        <v>1.1499999999999999</v>
      </c>
      <c r="S82" s="575">
        <f t="shared" si="17"/>
        <v>1.1499999999999999</v>
      </c>
      <c r="T82" s="575">
        <f t="shared" si="17"/>
        <v>0.3</v>
      </c>
      <c r="U82" s="579">
        <f t="shared" si="18"/>
        <v>1.4444444444444442E-2</v>
      </c>
      <c r="V82" s="580">
        <f t="shared" si="19"/>
        <v>-0.79999999999999982</v>
      </c>
      <c r="W82" s="579">
        <f t="shared" si="20"/>
        <v>-1.4166666666666664E-2</v>
      </c>
      <c r="X82" s="580">
        <f t="shared" si="21"/>
        <v>3.629166666666666</v>
      </c>
      <c r="AO82" s="575">
        <v>15.5</v>
      </c>
      <c r="AP82" s="575">
        <v>34.04</v>
      </c>
      <c r="AR82" s="575"/>
      <c r="AU82" s="575"/>
      <c r="AV82" s="581"/>
    </row>
    <row r="83" spans="1:48" x14ac:dyDescent="0.25">
      <c r="A83" s="572" t="str">
        <f t="shared" si="13"/>
        <v>Haba seca175</v>
      </c>
      <c r="B83" s="572" t="s">
        <v>5192</v>
      </c>
      <c r="C83" s="572">
        <v>90</v>
      </c>
      <c r="D83" s="572">
        <v>45</v>
      </c>
      <c r="E83" s="572">
        <v>40</v>
      </c>
      <c r="F83" s="572">
        <v>0</v>
      </c>
      <c r="G83" s="572">
        <f t="shared" si="22"/>
        <v>175</v>
      </c>
      <c r="H83" s="575">
        <v>0.5</v>
      </c>
      <c r="I83" s="575">
        <v>1.1499999999999999</v>
      </c>
      <c r="J83" s="575">
        <v>0.3</v>
      </c>
      <c r="K83" s="572">
        <v>1</v>
      </c>
      <c r="L83" s="572">
        <f t="shared" si="14"/>
        <v>90</v>
      </c>
      <c r="M83" s="572">
        <f t="shared" si="12"/>
        <v>135</v>
      </c>
      <c r="N83" s="572">
        <f t="shared" si="12"/>
        <v>175</v>
      </c>
      <c r="O83" s="572">
        <f t="shared" si="12"/>
        <v>175</v>
      </c>
      <c r="P83" s="575">
        <f t="shared" si="15"/>
        <v>0.5</v>
      </c>
      <c r="Q83" s="575">
        <f t="shared" si="16"/>
        <v>0.5</v>
      </c>
      <c r="R83" s="575">
        <f t="shared" si="16"/>
        <v>1.1499999999999999</v>
      </c>
      <c r="S83" s="575">
        <f t="shared" si="17"/>
        <v>1.1499999999999999</v>
      </c>
      <c r="T83" s="575">
        <f t="shared" si="17"/>
        <v>0.3</v>
      </c>
      <c r="U83" s="579">
        <f t="shared" si="18"/>
        <v>1.4444444444444442E-2</v>
      </c>
      <c r="V83" s="580">
        <f t="shared" si="19"/>
        <v>-0.79999999999999982</v>
      </c>
      <c r="W83" s="579" t="e">
        <f t="shared" si="20"/>
        <v>#DIV/0!</v>
      </c>
      <c r="X83" s="580" t="e">
        <f t="shared" si="21"/>
        <v>#DIV/0!</v>
      </c>
      <c r="AO83" s="575">
        <v>16</v>
      </c>
      <c r="AP83" s="575">
        <v>34.28</v>
      </c>
      <c r="AR83" s="575"/>
      <c r="AU83" s="575"/>
      <c r="AV83" s="581"/>
    </row>
    <row r="84" spans="1:48" x14ac:dyDescent="0.25">
      <c r="A84" s="572" t="str">
        <f t="shared" si="13"/>
        <v>Maní130</v>
      </c>
      <c r="B84" s="572" t="s">
        <v>5193</v>
      </c>
      <c r="C84" s="572">
        <v>25</v>
      </c>
      <c r="D84" s="572">
        <v>35</v>
      </c>
      <c r="E84" s="572">
        <v>45</v>
      </c>
      <c r="F84" s="572">
        <v>25</v>
      </c>
      <c r="G84" s="572">
        <f t="shared" si="22"/>
        <v>130</v>
      </c>
      <c r="H84" s="575">
        <v>0.5</v>
      </c>
      <c r="I84" s="575">
        <v>1.1499999999999999</v>
      </c>
      <c r="J84" s="575">
        <v>0.6</v>
      </c>
      <c r="K84" s="572">
        <v>1</v>
      </c>
      <c r="L84" s="572">
        <f t="shared" si="14"/>
        <v>25</v>
      </c>
      <c r="M84" s="572">
        <f t="shared" si="12"/>
        <v>60</v>
      </c>
      <c r="N84" s="572">
        <f t="shared" si="12"/>
        <v>105</v>
      </c>
      <c r="O84" s="572">
        <f t="shared" si="12"/>
        <v>130</v>
      </c>
      <c r="P84" s="575">
        <f t="shared" si="15"/>
        <v>0.5</v>
      </c>
      <c r="Q84" s="575">
        <f t="shared" si="16"/>
        <v>0.5</v>
      </c>
      <c r="R84" s="575">
        <f t="shared" si="16"/>
        <v>1.1499999999999999</v>
      </c>
      <c r="S84" s="575">
        <f t="shared" si="17"/>
        <v>1.1499999999999999</v>
      </c>
      <c r="T84" s="575">
        <f t="shared" si="17"/>
        <v>0.6</v>
      </c>
      <c r="U84" s="579">
        <f t="shared" si="18"/>
        <v>1.8571428571428569E-2</v>
      </c>
      <c r="V84" s="580">
        <f t="shared" si="19"/>
        <v>3.5714285714285809E-2</v>
      </c>
      <c r="W84" s="579">
        <f t="shared" si="20"/>
        <v>-2.1999999999999999E-2</v>
      </c>
      <c r="X84" s="580">
        <f t="shared" si="21"/>
        <v>3.46</v>
      </c>
      <c r="AO84" s="575">
        <v>16.5</v>
      </c>
      <c r="AP84" s="575">
        <v>34.520000000000003</v>
      </c>
      <c r="AR84" s="575"/>
      <c r="AU84" s="575"/>
      <c r="AV84" s="581"/>
    </row>
    <row r="85" spans="1:48" x14ac:dyDescent="0.25">
      <c r="A85" s="572" t="str">
        <f t="shared" si="13"/>
        <v>Maní140</v>
      </c>
      <c r="B85" s="572" t="s">
        <v>5193</v>
      </c>
      <c r="C85" s="572">
        <v>35</v>
      </c>
      <c r="D85" s="572">
        <v>35</v>
      </c>
      <c r="E85" s="572">
        <v>35</v>
      </c>
      <c r="F85" s="572">
        <v>35</v>
      </c>
      <c r="G85" s="572">
        <f t="shared" si="22"/>
        <v>140</v>
      </c>
      <c r="H85" s="575">
        <v>0.5</v>
      </c>
      <c r="I85" s="575">
        <v>1.1499999999999999</v>
      </c>
      <c r="J85" s="575">
        <v>0.6</v>
      </c>
      <c r="K85" s="572">
        <v>1</v>
      </c>
      <c r="L85" s="572">
        <f t="shared" si="14"/>
        <v>35</v>
      </c>
      <c r="M85" s="572">
        <f t="shared" si="12"/>
        <v>70</v>
      </c>
      <c r="N85" s="572">
        <f t="shared" si="12"/>
        <v>105</v>
      </c>
      <c r="O85" s="572">
        <f t="shared" si="12"/>
        <v>140</v>
      </c>
      <c r="P85" s="575">
        <f t="shared" si="15"/>
        <v>0.5</v>
      </c>
      <c r="Q85" s="575">
        <f t="shared" si="16"/>
        <v>0.5</v>
      </c>
      <c r="R85" s="575">
        <f t="shared" si="16"/>
        <v>1.1499999999999999</v>
      </c>
      <c r="S85" s="575">
        <f t="shared" si="17"/>
        <v>1.1499999999999999</v>
      </c>
      <c r="T85" s="575">
        <f t="shared" si="17"/>
        <v>0.6</v>
      </c>
      <c r="U85" s="579">
        <f t="shared" si="18"/>
        <v>1.8571428571428569E-2</v>
      </c>
      <c r="V85" s="580">
        <f t="shared" si="19"/>
        <v>-0.14999999999999991</v>
      </c>
      <c r="W85" s="579">
        <f t="shared" si="20"/>
        <v>-1.5714285714285712E-2</v>
      </c>
      <c r="X85" s="580">
        <f t="shared" si="21"/>
        <v>2.8</v>
      </c>
      <c r="AO85" s="575">
        <v>17</v>
      </c>
      <c r="AP85" s="575">
        <v>34.75</v>
      </c>
      <c r="AR85" s="575"/>
      <c r="AU85" s="575"/>
      <c r="AV85" s="581"/>
    </row>
    <row r="86" spans="1:48" x14ac:dyDescent="0.25">
      <c r="A86" s="572" t="str">
        <f t="shared" si="13"/>
        <v>Maní140</v>
      </c>
      <c r="B86" s="572" t="s">
        <v>5193</v>
      </c>
      <c r="C86" s="572">
        <v>35</v>
      </c>
      <c r="D86" s="572">
        <v>45</v>
      </c>
      <c r="E86" s="572">
        <v>35</v>
      </c>
      <c r="F86" s="572">
        <v>25</v>
      </c>
      <c r="G86" s="572">
        <f t="shared" si="22"/>
        <v>140</v>
      </c>
      <c r="H86" s="575">
        <v>0.5</v>
      </c>
      <c r="I86" s="575">
        <v>1.1499999999999999</v>
      </c>
      <c r="J86" s="575">
        <v>0.6</v>
      </c>
      <c r="K86" s="572">
        <v>1</v>
      </c>
      <c r="L86" s="572">
        <f t="shared" si="14"/>
        <v>35</v>
      </c>
      <c r="M86" s="572">
        <f t="shared" si="12"/>
        <v>80</v>
      </c>
      <c r="N86" s="572">
        <f t="shared" si="12"/>
        <v>115</v>
      </c>
      <c r="O86" s="572">
        <f t="shared" si="12"/>
        <v>140</v>
      </c>
      <c r="P86" s="575">
        <f t="shared" si="15"/>
        <v>0.5</v>
      </c>
      <c r="Q86" s="575">
        <f t="shared" si="16"/>
        <v>0.5</v>
      </c>
      <c r="R86" s="575">
        <f t="shared" si="16"/>
        <v>1.1499999999999999</v>
      </c>
      <c r="S86" s="575">
        <f t="shared" si="17"/>
        <v>1.1499999999999999</v>
      </c>
      <c r="T86" s="575">
        <f t="shared" si="17"/>
        <v>0.6</v>
      </c>
      <c r="U86" s="579">
        <f t="shared" si="18"/>
        <v>1.4444444444444442E-2</v>
      </c>
      <c r="V86" s="580">
        <f t="shared" si="19"/>
        <v>-5.5555555555555358E-3</v>
      </c>
      <c r="W86" s="579">
        <f t="shared" si="20"/>
        <v>-2.1999999999999999E-2</v>
      </c>
      <c r="X86" s="580">
        <f t="shared" si="21"/>
        <v>3.6799999999999997</v>
      </c>
      <c r="AO86" s="575">
        <v>17.5</v>
      </c>
      <c r="AP86" s="575">
        <v>34.99</v>
      </c>
      <c r="AR86" s="575"/>
      <c r="AS86" s="587"/>
      <c r="AU86" s="575"/>
      <c r="AV86" s="581"/>
    </row>
    <row r="87" spans="1:48" x14ac:dyDescent="0.25">
      <c r="A87" s="572" t="str">
        <f t="shared" si="13"/>
        <v>Frijol castilla verde100</v>
      </c>
      <c r="B87" s="572" t="s">
        <v>5194</v>
      </c>
      <c r="C87" s="572">
        <v>20</v>
      </c>
      <c r="D87" s="572">
        <v>30</v>
      </c>
      <c r="E87" s="572">
        <v>30</v>
      </c>
      <c r="F87" s="572">
        <v>20</v>
      </c>
      <c r="G87" s="572">
        <f t="shared" si="22"/>
        <v>100</v>
      </c>
      <c r="H87" s="575">
        <v>0.5</v>
      </c>
      <c r="I87" s="575">
        <v>1.05</v>
      </c>
      <c r="J87" s="575">
        <v>0.6</v>
      </c>
      <c r="K87" s="572">
        <v>1</v>
      </c>
      <c r="L87" s="572">
        <f t="shared" si="14"/>
        <v>20</v>
      </c>
      <c r="M87" s="572">
        <f t="shared" si="12"/>
        <v>50</v>
      </c>
      <c r="N87" s="572">
        <f t="shared" si="12"/>
        <v>80</v>
      </c>
      <c r="O87" s="572">
        <f t="shared" si="12"/>
        <v>100</v>
      </c>
      <c r="P87" s="575">
        <f t="shared" si="15"/>
        <v>0.5</v>
      </c>
      <c r="Q87" s="575">
        <f t="shared" si="16"/>
        <v>0.5</v>
      </c>
      <c r="R87" s="575">
        <f t="shared" si="16"/>
        <v>1.05</v>
      </c>
      <c r="S87" s="575">
        <f t="shared" si="17"/>
        <v>1.05</v>
      </c>
      <c r="T87" s="575">
        <f t="shared" si="17"/>
        <v>0.6</v>
      </c>
      <c r="U87" s="579">
        <f t="shared" si="18"/>
        <v>1.8333333333333333E-2</v>
      </c>
      <c r="V87" s="580">
        <f t="shared" si="19"/>
        <v>0.13333333333333341</v>
      </c>
      <c r="W87" s="579">
        <f t="shared" si="20"/>
        <v>-2.2500000000000003E-2</v>
      </c>
      <c r="X87" s="580">
        <f t="shared" si="21"/>
        <v>2.8500000000000005</v>
      </c>
      <c r="AG87" s="572">
        <v>80</v>
      </c>
      <c r="AH87" s="572">
        <v>100</v>
      </c>
      <c r="AO87" s="575">
        <v>18</v>
      </c>
      <c r="AP87" s="575">
        <v>35.21</v>
      </c>
      <c r="AR87" s="575"/>
      <c r="AU87" s="575"/>
      <c r="AV87" s="581"/>
    </row>
    <row r="88" spans="1:48" x14ac:dyDescent="0.25">
      <c r="A88" s="572" t="str">
        <f t="shared" si="13"/>
        <v>Frijol castilla seco100</v>
      </c>
      <c r="B88" s="572" t="s">
        <v>5195</v>
      </c>
      <c r="C88" s="572">
        <v>20</v>
      </c>
      <c r="D88" s="572">
        <v>30</v>
      </c>
      <c r="E88" s="572">
        <v>30</v>
      </c>
      <c r="F88" s="572">
        <v>20</v>
      </c>
      <c r="G88" s="572">
        <f t="shared" si="22"/>
        <v>100</v>
      </c>
      <c r="H88" s="575">
        <v>0.5</v>
      </c>
      <c r="I88" s="575">
        <v>1.05</v>
      </c>
      <c r="J88" s="575">
        <v>0.35</v>
      </c>
      <c r="K88" s="572">
        <v>1</v>
      </c>
      <c r="L88" s="572">
        <f t="shared" si="14"/>
        <v>20</v>
      </c>
      <c r="M88" s="572">
        <f t="shared" si="12"/>
        <v>50</v>
      </c>
      <c r="N88" s="572">
        <f t="shared" si="12"/>
        <v>80</v>
      </c>
      <c r="O88" s="572">
        <f t="shared" si="12"/>
        <v>100</v>
      </c>
      <c r="P88" s="575">
        <f t="shared" si="15"/>
        <v>0.5</v>
      </c>
      <c r="Q88" s="575">
        <f t="shared" si="16"/>
        <v>0.5</v>
      </c>
      <c r="R88" s="575">
        <f t="shared" si="16"/>
        <v>1.05</v>
      </c>
      <c r="S88" s="575">
        <f t="shared" si="17"/>
        <v>1.05</v>
      </c>
      <c r="T88" s="575">
        <f t="shared" si="17"/>
        <v>0.35</v>
      </c>
      <c r="U88" s="579">
        <f t="shared" si="18"/>
        <v>1.8333333333333333E-2</v>
      </c>
      <c r="V88" s="580">
        <f t="shared" si="19"/>
        <v>0.13333333333333341</v>
      </c>
      <c r="W88" s="579">
        <f t="shared" si="20"/>
        <v>-3.5000000000000003E-2</v>
      </c>
      <c r="X88" s="580">
        <f t="shared" si="21"/>
        <v>3.8500000000000005</v>
      </c>
      <c r="AG88" s="572">
        <v>1.05</v>
      </c>
      <c r="AH88" s="572">
        <v>0.95</v>
      </c>
      <c r="AO88" s="575">
        <v>18.5</v>
      </c>
      <c r="AP88" s="575">
        <v>35.479999999999997</v>
      </c>
      <c r="AR88" s="575"/>
      <c r="AS88" s="587"/>
      <c r="AU88" s="575"/>
      <c r="AV88" s="581"/>
    </row>
    <row r="89" spans="1:48" x14ac:dyDescent="0.25">
      <c r="A89" s="572" t="str">
        <f t="shared" si="13"/>
        <v>Lenteja150</v>
      </c>
      <c r="B89" s="572" t="s">
        <v>5196</v>
      </c>
      <c r="C89" s="572">
        <v>20</v>
      </c>
      <c r="D89" s="572">
        <v>30</v>
      </c>
      <c r="E89" s="572">
        <v>60</v>
      </c>
      <c r="F89" s="572">
        <v>40</v>
      </c>
      <c r="G89" s="572">
        <f t="shared" si="22"/>
        <v>150</v>
      </c>
      <c r="H89" s="575">
        <v>0.5</v>
      </c>
      <c r="I89" s="575">
        <v>1.1000000000000001</v>
      </c>
      <c r="J89" s="575">
        <v>0.3</v>
      </c>
      <c r="K89" s="572">
        <v>1</v>
      </c>
      <c r="L89" s="572">
        <f t="shared" si="14"/>
        <v>20</v>
      </c>
      <c r="M89" s="572">
        <f t="shared" si="12"/>
        <v>50</v>
      </c>
      <c r="N89" s="572">
        <f t="shared" si="12"/>
        <v>110</v>
      </c>
      <c r="O89" s="572">
        <f t="shared" si="12"/>
        <v>150</v>
      </c>
      <c r="P89" s="575">
        <f t="shared" si="15"/>
        <v>0.5</v>
      </c>
      <c r="Q89" s="575">
        <f t="shared" si="16"/>
        <v>0.5</v>
      </c>
      <c r="R89" s="575">
        <f t="shared" si="16"/>
        <v>1.1000000000000001</v>
      </c>
      <c r="S89" s="575">
        <f t="shared" si="17"/>
        <v>1.1000000000000001</v>
      </c>
      <c r="T89" s="575">
        <f t="shared" si="17"/>
        <v>0.3</v>
      </c>
      <c r="U89" s="579">
        <f t="shared" si="18"/>
        <v>2.0000000000000004E-2</v>
      </c>
      <c r="V89" s="580">
        <f t="shared" si="19"/>
        <v>9.9999999999999867E-2</v>
      </c>
      <c r="W89" s="579">
        <f t="shared" si="20"/>
        <v>-0.02</v>
      </c>
      <c r="X89" s="580">
        <f t="shared" si="21"/>
        <v>3.3</v>
      </c>
      <c r="AO89" s="575">
        <v>19</v>
      </c>
      <c r="AP89" s="575">
        <v>35.72</v>
      </c>
      <c r="AR89" s="575"/>
      <c r="AU89" s="575"/>
      <c r="AV89" s="581"/>
    </row>
    <row r="90" spans="1:48" x14ac:dyDescent="0.25">
      <c r="A90" s="572" t="str">
        <f t="shared" si="13"/>
        <v>Lenteja170</v>
      </c>
      <c r="B90" s="572" t="s">
        <v>5196</v>
      </c>
      <c r="C90" s="572">
        <v>25</v>
      </c>
      <c r="D90" s="572">
        <v>35</v>
      </c>
      <c r="E90" s="572">
        <v>70</v>
      </c>
      <c r="F90" s="572">
        <v>40</v>
      </c>
      <c r="G90" s="572">
        <f t="shared" si="22"/>
        <v>170</v>
      </c>
      <c r="H90" s="575">
        <v>0.5</v>
      </c>
      <c r="I90" s="575">
        <v>1.1000000000000001</v>
      </c>
      <c r="J90" s="575">
        <v>0.3</v>
      </c>
      <c r="K90" s="572">
        <v>1</v>
      </c>
      <c r="L90" s="572">
        <f t="shared" si="14"/>
        <v>25</v>
      </c>
      <c r="M90" s="572">
        <f t="shared" si="12"/>
        <v>60</v>
      </c>
      <c r="N90" s="572">
        <f t="shared" si="12"/>
        <v>130</v>
      </c>
      <c r="O90" s="572">
        <f t="shared" si="12"/>
        <v>170</v>
      </c>
      <c r="P90" s="575">
        <f t="shared" si="15"/>
        <v>0.5</v>
      </c>
      <c r="Q90" s="575">
        <f t="shared" si="16"/>
        <v>0.5</v>
      </c>
      <c r="R90" s="575">
        <f t="shared" si="16"/>
        <v>1.1000000000000001</v>
      </c>
      <c r="S90" s="575">
        <f t="shared" si="17"/>
        <v>1.1000000000000001</v>
      </c>
      <c r="T90" s="575">
        <f t="shared" si="17"/>
        <v>0.3</v>
      </c>
      <c r="U90" s="579">
        <f t="shared" si="18"/>
        <v>1.7142857142857144E-2</v>
      </c>
      <c r="V90" s="580">
        <f t="shared" si="19"/>
        <v>7.1428571428571397E-2</v>
      </c>
      <c r="W90" s="579">
        <f t="shared" si="20"/>
        <v>-0.02</v>
      </c>
      <c r="X90" s="580">
        <f t="shared" si="21"/>
        <v>3.6999999999999997</v>
      </c>
      <c r="AH90" s="572">
        <f>AH88-AG88</f>
        <v>-0.10000000000000009</v>
      </c>
      <c r="AO90" s="575">
        <v>19.5</v>
      </c>
      <c r="AP90" s="575">
        <v>35.97</v>
      </c>
      <c r="AR90" s="575"/>
      <c r="AS90" s="587"/>
      <c r="AU90" s="575"/>
      <c r="AV90" s="581"/>
    </row>
    <row r="91" spans="1:48" x14ac:dyDescent="0.25">
      <c r="A91" s="572" t="str">
        <f t="shared" si="13"/>
        <v>Arveja90</v>
      </c>
      <c r="B91" s="572" t="s">
        <v>5058</v>
      </c>
      <c r="C91" s="572">
        <v>15</v>
      </c>
      <c r="D91" s="572">
        <v>25</v>
      </c>
      <c r="E91" s="572">
        <v>35</v>
      </c>
      <c r="F91" s="572">
        <v>15</v>
      </c>
      <c r="G91" s="572">
        <f t="shared" si="22"/>
        <v>90</v>
      </c>
      <c r="H91" s="575">
        <v>0.5</v>
      </c>
      <c r="I91" s="575">
        <v>1.1499999999999999</v>
      </c>
      <c r="J91" s="575">
        <v>1.1000000000000001</v>
      </c>
      <c r="K91" s="572">
        <v>1</v>
      </c>
      <c r="L91" s="572">
        <f t="shared" si="14"/>
        <v>15</v>
      </c>
      <c r="M91" s="572">
        <f t="shared" si="12"/>
        <v>40</v>
      </c>
      <c r="N91" s="572">
        <f t="shared" si="12"/>
        <v>75</v>
      </c>
      <c r="O91" s="572">
        <f t="shared" si="12"/>
        <v>90</v>
      </c>
      <c r="P91" s="575">
        <f t="shared" si="15"/>
        <v>0.5</v>
      </c>
      <c r="Q91" s="575">
        <f t="shared" si="16"/>
        <v>0.5</v>
      </c>
      <c r="R91" s="575">
        <f t="shared" si="16"/>
        <v>1.1499999999999999</v>
      </c>
      <c r="S91" s="575">
        <f t="shared" si="17"/>
        <v>1.1499999999999999</v>
      </c>
      <c r="T91" s="575">
        <f t="shared" si="17"/>
        <v>1.1000000000000001</v>
      </c>
      <c r="U91" s="579">
        <f t="shared" si="18"/>
        <v>2.5999999999999995E-2</v>
      </c>
      <c r="V91" s="580">
        <f t="shared" si="19"/>
        <v>0.1100000000000001</v>
      </c>
      <c r="W91" s="579">
        <f t="shared" si="20"/>
        <v>-3.3333333333333214E-3</v>
      </c>
      <c r="X91" s="580">
        <f t="shared" si="21"/>
        <v>1.399999999999999</v>
      </c>
      <c r="AH91" s="572">
        <f>AH87-AG87</f>
        <v>20</v>
      </c>
      <c r="AO91" s="575">
        <v>20</v>
      </c>
      <c r="AP91" s="575">
        <v>36.21</v>
      </c>
      <c r="AR91" s="575"/>
      <c r="AU91" s="575"/>
      <c r="AV91" s="581"/>
    </row>
    <row r="92" spans="1:48" x14ac:dyDescent="0.25">
      <c r="A92" s="572" t="str">
        <f t="shared" si="13"/>
        <v>Arveja100</v>
      </c>
      <c r="B92" s="572" t="s">
        <v>5058</v>
      </c>
      <c r="C92" s="572">
        <v>20</v>
      </c>
      <c r="D92" s="572">
        <v>30</v>
      </c>
      <c r="E92" s="572">
        <v>35</v>
      </c>
      <c r="F92" s="572">
        <v>15</v>
      </c>
      <c r="G92" s="572">
        <f t="shared" si="22"/>
        <v>100</v>
      </c>
      <c r="H92" s="575">
        <v>0.5</v>
      </c>
      <c r="I92" s="575">
        <v>1.1499999999999999</v>
      </c>
      <c r="J92" s="575">
        <v>1.1000000000000001</v>
      </c>
      <c r="K92" s="572">
        <v>1</v>
      </c>
      <c r="L92" s="572">
        <f t="shared" si="14"/>
        <v>20</v>
      </c>
      <c r="M92" s="572">
        <f t="shared" si="12"/>
        <v>50</v>
      </c>
      <c r="N92" s="572">
        <f t="shared" si="12"/>
        <v>85</v>
      </c>
      <c r="O92" s="572">
        <f t="shared" si="12"/>
        <v>100</v>
      </c>
      <c r="P92" s="575">
        <f t="shared" si="15"/>
        <v>0.5</v>
      </c>
      <c r="Q92" s="575">
        <f t="shared" si="16"/>
        <v>0.5</v>
      </c>
      <c r="R92" s="575">
        <f t="shared" si="16"/>
        <v>1.1499999999999999</v>
      </c>
      <c r="S92" s="575">
        <f t="shared" si="17"/>
        <v>1.1499999999999999</v>
      </c>
      <c r="T92" s="575">
        <f t="shared" si="17"/>
        <v>1.1000000000000001</v>
      </c>
      <c r="U92" s="579">
        <f t="shared" si="18"/>
        <v>2.1666666666666664E-2</v>
      </c>
      <c r="V92" s="580">
        <f t="shared" si="19"/>
        <v>6.6666666666666652E-2</v>
      </c>
      <c r="W92" s="579">
        <f t="shared" si="20"/>
        <v>-3.3333333333333214E-3</v>
      </c>
      <c r="X92" s="580">
        <f t="shared" si="21"/>
        <v>1.4333333333333322</v>
      </c>
      <c r="AH92" s="586">
        <f>AH90/AH91</f>
        <v>-5.0000000000000044E-3</v>
      </c>
      <c r="AO92" s="575">
        <v>20.5</v>
      </c>
      <c r="AP92" s="575">
        <v>36.46</v>
      </c>
      <c r="AR92" s="575"/>
      <c r="AS92" s="587"/>
      <c r="AU92" s="575"/>
      <c r="AV92" s="581"/>
    </row>
    <row r="93" spans="1:48" x14ac:dyDescent="0.25">
      <c r="A93" s="572" t="str">
        <f t="shared" si="13"/>
        <v>Arveja110</v>
      </c>
      <c r="B93" s="572" t="s">
        <v>5058</v>
      </c>
      <c r="C93" s="572">
        <v>35</v>
      </c>
      <c r="D93" s="572">
        <v>25</v>
      </c>
      <c r="E93" s="572">
        <v>30</v>
      </c>
      <c r="F93" s="572">
        <v>20</v>
      </c>
      <c r="G93" s="572">
        <f t="shared" si="22"/>
        <v>110</v>
      </c>
      <c r="H93" s="575">
        <v>0.5</v>
      </c>
      <c r="I93" s="575">
        <v>1.1499999999999999</v>
      </c>
      <c r="J93" s="575">
        <v>1.1000000000000001</v>
      </c>
      <c r="K93" s="572">
        <v>1</v>
      </c>
      <c r="L93" s="572">
        <f t="shared" si="14"/>
        <v>35</v>
      </c>
      <c r="M93" s="572">
        <f t="shared" si="12"/>
        <v>60</v>
      </c>
      <c r="N93" s="572">
        <f t="shared" si="12"/>
        <v>90</v>
      </c>
      <c r="O93" s="572">
        <f t="shared" si="12"/>
        <v>110</v>
      </c>
      <c r="P93" s="575">
        <f t="shared" si="15"/>
        <v>0.5</v>
      </c>
      <c r="Q93" s="575">
        <f t="shared" si="16"/>
        <v>0.5</v>
      </c>
      <c r="R93" s="575">
        <f t="shared" si="16"/>
        <v>1.1499999999999999</v>
      </c>
      <c r="S93" s="575">
        <f t="shared" si="17"/>
        <v>1.1499999999999999</v>
      </c>
      <c r="T93" s="575">
        <f t="shared" si="17"/>
        <v>1.1000000000000001</v>
      </c>
      <c r="U93" s="579">
        <f t="shared" si="18"/>
        <v>2.5999999999999995E-2</v>
      </c>
      <c r="V93" s="580">
        <f t="shared" si="19"/>
        <v>-0.4099999999999997</v>
      </c>
      <c r="W93" s="579">
        <f t="shared" si="20"/>
        <v>-2.4999999999999909E-3</v>
      </c>
      <c r="X93" s="580">
        <f t="shared" si="21"/>
        <v>1.3749999999999991</v>
      </c>
      <c r="AO93" s="575">
        <v>21</v>
      </c>
      <c r="AP93" s="575">
        <v>36.71</v>
      </c>
      <c r="AR93" s="575"/>
      <c r="AU93" s="575"/>
      <c r="AV93" s="581"/>
    </row>
    <row r="94" spans="1:48" x14ac:dyDescent="0.25">
      <c r="A94" s="572" t="str">
        <f t="shared" si="13"/>
        <v>Arveja partida90</v>
      </c>
      <c r="B94" s="572" t="s">
        <v>5197</v>
      </c>
      <c r="C94" s="572">
        <v>15</v>
      </c>
      <c r="D94" s="572">
        <v>25</v>
      </c>
      <c r="E94" s="572">
        <v>35</v>
      </c>
      <c r="F94" s="572">
        <v>15</v>
      </c>
      <c r="G94" s="572">
        <f t="shared" si="22"/>
        <v>90</v>
      </c>
      <c r="H94" s="575">
        <v>0.5</v>
      </c>
      <c r="I94" s="575">
        <v>1.1499999999999999</v>
      </c>
      <c r="J94" s="575">
        <v>0.3</v>
      </c>
      <c r="K94" s="572">
        <v>1</v>
      </c>
      <c r="L94" s="572">
        <f t="shared" si="14"/>
        <v>15</v>
      </c>
      <c r="M94" s="572">
        <f t="shared" si="12"/>
        <v>40</v>
      </c>
      <c r="N94" s="572">
        <f t="shared" si="12"/>
        <v>75</v>
      </c>
      <c r="O94" s="572">
        <f t="shared" si="12"/>
        <v>90</v>
      </c>
      <c r="P94" s="575">
        <f t="shared" si="15"/>
        <v>0.5</v>
      </c>
      <c r="Q94" s="575">
        <f t="shared" si="16"/>
        <v>0.5</v>
      </c>
      <c r="R94" s="575">
        <f t="shared" si="16"/>
        <v>1.1499999999999999</v>
      </c>
      <c r="S94" s="575">
        <f t="shared" si="17"/>
        <v>1.1499999999999999</v>
      </c>
      <c r="T94" s="575">
        <f t="shared" si="17"/>
        <v>0.3</v>
      </c>
      <c r="U94" s="579">
        <f t="shared" si="18"/>
        <v>2.5999999999999995E-2</v>
      </c>
      <c r="V94" s="580">
        <f t="shared" si="19"/>
        <v>0.1100000000000001</v>
      </c>
      <c r="W94" s="579">
        <f t="shared" si="20"/>
        <v>-5.6666666666666657E-2</v>
      </c>
      <c r="X94" s="580">
        <f t="shared" si="21"/>
        <v>5.3999999999999986</v>
      </c>
      <c r="AH94" s="586">
        <f>AH88-AH92*AH87</f>
        <v>1.4500000000000004</v>
      </c>
      <c r="AO94" s="575">
        <v>21.5</v>
      </c>
      <c r="AP94" s="575">
        <v>36.96</v>
      </c>
      <c r="AR94" s="575"/>
      <c r="AS94" s="587"/>
      <c r="AU94" s="575"/>
      <c r="AV94" s="581"/>
    </row>
    <row r="95" spans="1:48" x14ac:dyDescent="0.25">
      <c r="A95" s="572" t="str">
        <f t="shared" si="13"/>
        <v>Arveja partida100</v>
      </c>
      <c r="B95" s="572" t="s">
        <v>5197</v>
      </c>
      <c r="C95" s="572">
        <v>20</v>
      </c>
      <c r="D95" s="572">
        <v>30</v>
      </c>
      <c r="E95" s="572">
        <v>35</v>
      </c>
      <c r="F95" s="572">
        <v>15</v>
      </c>
      <c r="G95" s="572">
        <f t="shared" si="22"/>
        <v>100</v>
      </c>
      <c r="H95" s="575">
        <v>0.5</v>
      </c>
      <c r="I95" s="575">
        <v>1.1499999999999999</v>
      </c>
      <c r="J95" s="575">
        <v>0.3</v>
      </c>
      <c r="K95" s="572">
        <v>1</v>
      </c>
      <c r="L95" s="572">
        <f t="shared" si="14"/>
        <v>20</v>
      </c>
      <c r="M95" s="572">
        <f t="shared" si="12"/>
        <v>50</v>
      </c>
      <c r="N95" s="572">
        <f t="shared" si="12"/>
        <v>85</v>
      </c>
      <c r="O95" s="572">
        <f t="shared" si="12"/>
        <v>100</v>
      </c>
      <c r="P95" s="575">
        <f t="shared" si="15"/>
        <v>0.5</v>
      </c>
      <c r="Q95" s="575">
        <f t="shared" si="16"/>
        <v>0.5</v>
      </c>
      <c r="R95" s="575">
        <f t="shared" si="16"/>
        <v>1.1499999999999999</v>
      </c>
      <c r="S95" s="575">
        <f t="shared" si="17"/>
        <v>1.1499999999999999</v>
      </c>
      <c r="T95" s="575">
        <f t="shared" si="17"/>
        <v>0.3</v>
      </c>
      <c r="U95" s="579">
        <f t="shared" si="18"/>
        <v>2.1666666666666664E-2</v>
      </c>
      <c r="V95" s="580">
        <f t="shared" si="19"/>
        <v>6.6666666666666652E-2</v>
      </c>
      <c r="W95" s="579">
        <f t="shared" si="20"/>
        <v>-5.6666666666666657E-2</v>
      </c>
      <c r="X95" s="580">
        <f t="shared" si="21"/>
        <v>5.9666666666666659</v>
      </c>
      <c r="AO95" s="575">
        <v>22</v>
      </c>
      <c r="AP95" s="575">
        <v>37.21</v>
      </c>
      <c r="AR95" s="575"/>
      <c r="AU95" s="575"/>
      <c r="AV95" s="581"/>
    </row>
    <row r="96" spans="1:48" x14ac:dyDescent="0.25">
      <c r="A96" s="572" t="str">
        <f t="shared" si="13"/>
        <v>Arveja partida110</v>
      </c>
      <c r="B96" s="572" t="s">
        <v>5197</v>
      </c>
      <c r="C96" s="572">
        <v>35</v>
      </c>
      <c r="D96" s="572">
        <v>25</v>
      </c>
      <c r="E96" s="572">
        <v>30</v>
      </c>
      <c r="F96" s="572">
        <v>20</v>
      </c>
      <c r="G96" s="572">
        <f t="shared" si="22"/>
        <v>110</v>
      </c>
      <c r="H96" s="575">
        <v>0.5</v>
      </c>
      <c r="I96" s="575">
        <v>1.1499999999999999</v>
      </c>
      <c r="J96" s="575">
        <v>0.3</v>
      </c>
      <c r="K96" s="572">
        <v>1</v>
      </c>
      <c r="L96" s="572">
        <f t="shared" si="14"/>
        <v>35</v>
      </c>
      <c r="M96" s="572">
        <f t="shared" si="12"/>
        <v>60</v>
      </c>
      <c r="N96" s="572">
        <f t="shared" si="12"/>
        <v>90</v>
      </c>
      <c r="O96" s="572">
        <f t="shared" si="12"/>
        <v>110</v>
      </c>
      <c r="P96" s="575">
        <f t="shared" si="15"/>
        <v>0.5</v>
      </c>
      <c r="Q96" s="575">
        <f t="shared" si="16"/>
        <v>0.5</v>
      </c>
      <c r="R96" s="575">
        <f t="shared" si="16"/>
        <v>1.1499999999999999</v>
      </c>
      <c r="S96" s="575">
        <f t="shared" si="17"/>
        <v>1.1499999999999999</v>
      </c>
      <c r="T96" s="575">
        <f t="shared" si="17"/>
        <v>0.3</v>
      </c>
      <c r="U96" s="579">
        <f t="shared" si="18"/>
        <v>2.5999999999999995E-2</v>
      </c>
      <c r="V96" s="580">
        <f t="shared" si="19"/>
        <v>-0.4099999999999997</v>
      </c>
      <c r="W96" s="579">
        <f t="shared" si="20"/>
        <v>-4.2499999999999996E-2</v>
      </c>
      <c r="X96" s="580">
        <f t="shared" si="21"/>
        <v>4.9749999999999996</v>
      </c>
      <c r="AG96" s="572">
        <v>0</v>
      </c>
      <c r="AH96" s="572">
        <f>$AH$94+$AH$92*AG96</f>
        <v>1.4500000000000004</v>
      </c>
      <c r="AO96" s="575">
        <v>22.5</v>
      </c>
      <c r="AP96" s="575">
        <v>37.47</v>
      </c>
      <c r="AR96" s="575"/>
      <c r="AS96" s="587"/>
      <c r="AU96" s="575"/>
      <c r="AV96" s="581"/>
    </row>
    <row r="97" spans="1:48" x14ac:dyDescent="0.25">
      <c r="A97" s="572" t="str">
        <f t="shared" si="13"/>
        <v>Soya85</v>
      </c>
      <c r="B97" s="572" t="s">
        <v>5198</v>
      </c>
      <c r="C97" s="572">
        <v>15</v>
      </c>
      <c r="D97" s="572">
        <v>15</v>
      </c>
      <c r="E97" s="572">
        <v>40</v>
      </c>
      <c r="F97" s="572">
        <v>15</v>
      </c>
      <c r="G97" s="572">
        <f t="shared" si="22"/>
        <v>85</v>
      </c>
      <c r="H97" s="575">
        <v>0.5</v>
      </c>
      <c r="I97" s="572">
        <v>1.1499999999999999</v>
      </c>
      <c r="J97" s="575">
        <v>0.5</v>
      </c>
      <c r="K97" s="572">
        <v>1</v>
      </c>
      <c r="L97" s="572">
        <f t="shared" si="14"/>
        <v>15</v>
      </c>
      <c r="M97" s="572">
        <f t="shared" si="12"/>
        <v>30</v>
      </c>
      <c r="N97" s="572">
        <f t="shared" si="12"/>
        <v>70</v>
      </c>
      <c r="O97" s="572">
        <f t="shared" si="12"/>
        <v>85</v>
      </c>
      <c r="P97" s="575">
        <f t="shared" si="15"/>
        <v>0.5</v>
      </c>
      <c r="Q97" s="575">
        <f t="shared" si="16"/>
        <v>0.5</v>
      </c>
      <c r="R97" s="575">
        <f t="shared" si="16"/>
        <v>1.1499999999999999</v>
      </c>
      <c r="S97" s="575">
        <f t="shared" si="17"/>
        <v>1.1499999999999999</v>
      </c>
      <c r="T97" s="575">
        <f t="shared" si="17"/>
        <v>0.5</v>
      </c>
      <c r="U97" s="579">
        <f t="shared" si="18"/>
        <v>4.3333333333333328E-2</v>
      </c>
      <c r="V97" s="580">
        <f t="shared" si="19"/>
        <v>-0.14999999999999991</v>
      </c>
      <c r="W97" s="579">
        <f t="shared" si="20"/>
        <v>-4.3333333333333328E-2</v>
      </c>
      <c r="X97" s="580">
        <f t="shared" si="21"/>
        <v>4.1833333333333327</v>
      </c>
      <c r="AG97" s="586">
        <v>82</v>
      </c>
      <c r="AH97" s="586">
        <f>$AH$94+$AH$92*AG97</f>
        <v>1.04</v>
      </c>
      <c r="AO97" s="575">
        <v>23</v>
      </c>
      <c r="AP97" s="575">
        <v>37.72</v>
      </c>
      <c r="AR97" s="575"/>
      <c r="AU97" s="575"/>
      <c r="AV97" s="581"/>
    </row>
    <row r="98" spans="1:48" x14ac:dyDescent="0.25">
      <c r="A98" s="572" t="str">
        <f t="shared" si="13"/>
        <v>Soya135</v>
      </c>
      <c r="B98" s="572" t="s">
        <v>5198</v>
      </c>
      <c r="C98" s="572">
        <v>20</v>
      </c>
      <c r="D98" s="572">
        <v>30</v>
      </c>
      <c r="E98" s="572">
        <v>60</v>
      </c>
      <c r="F98" s="572">
        <v>25</v>
      </c>
      <c r="G98" s="572">
        <f t="shared" si="22"/>
        <v>135</v>
      </c>
      <c r="H98" s="575">
        <v>0.5</v>
      </c>
      <c r="I98" s="572">
        <v>1.1499999999999999</v>
      </c>
      <c r="J98" s="575">
        <v>0.5</v>
      </c>
      <c r="K98" s="572">
        <v>1</v>
      </c>
      <c r="L98" s="572">
        <f t="shared" si="14"/>
        <v>20</v>
      </c>
      <c r="M98" s="572">
        <f t="shared" si="12"/>
        <v>50</v>
      </c>
      <c r="N98" s="572">
        <f t="shared" si="12"/>
        <v>110</v>
      </c>
      <c r="O98" s="572">
        <f t="shared" si="12"/>
        <v>135</v>
      </c>
      <c r="P98" s="575">
        <f t="shared" si="15"/>
        <v>0.5</v>
      </c>
      <c r="Q98" s="575">
        <f t="shared" si="16"/>
        <v>0.5</v>
      </c>
      <c r="R98" s="575">
        <f t="shared" si="16"/>
        <v>1.1499999999999999</v>
      </c>
      <c r="S98" s="575">
        <f t="shared" si="17"/>
        <v>1.1499999999999999</v>
      </c>
      <c r="T98" s="575">
        <f t="shared" si="17"/>
        <v>0.5</v>
      </c>
      <c r="U98" s="579">
        <f t="shared" si="18"/>
        <v>2.1666666666666664E-2</v>
      </c>
      <c r="V98" s="580">
        <f t="shared" si="19"/>
        <v>6.6666666666666652E-2</v>
      </c>
      <c r="W98" s="579">
        <f t="shared" si="20"/>
        <v>-2.5999999999999995E-2</v>
      </c>
      <c r="X98" s="580">
        <f t="shared" si="21"/>
        <v>4.01</v>
      </c>
      <c r="AG98" s="572">
        <v>100</v>
      </c>
      <c r="AH98" s="572">
        <f>$AH$94+$AH$92*AG98</f>
        <v>0.95</v>
      </c>
      <c r="AO98" s="575">
        <v>23.5</v>
      </c>
      <c r="AP98" s="575">
        <v>37.979999999999997</v>
      </c>
      <c r="AR98" s="575"/>
      <c r="AS98" s="587"/>
      <c r="AU98" s="575"/>
      <c r="AV98" s="581"/>
    </row>
    <row r="99" spans="1:48" x14ac:dyDescent="0.25">
      <c r="A99" s="572" t="str">
        <f t="shared" si="13"/>
        <v>Soya150</v>
      </c>
      <c r="B99" s="572" t="s">
        <v>5198</v>
      </c>
      <c r="C99" s="572">
        <v>20</v>
      </c>
      <c r="D99" s="572">
        <v>25</v>
      </c>
      <c r="E99" s="572">
        <v>75</v>
      </c>
      <c r="F99" s="572">
        <v>30</v>
      </c>
      <c r="G99" s="572">
        <f t="shared" si="22"/>
        <v>150</v>
      </c>
      <c r="H99" s="575">
        <v>0.5</v>
      </c>
      <c r="I99" s="572">
        <v>1.1499999999999999</v>
      </c>
      <c r="J99" s="575">
        <v>0.5</v>
      </c>
      <c r="K99" s="572">
        <v>1</v>
      </c>
      <c r="L99" s="572">
        <f t="shared" si="14"/>
        <v>20</v>
      </c>
      <c r="M99" s="572">
        <f t="shared" ref="M99:O130" si="23">L99+D99</f>
        <v>45</v>
      </c>
      <c r="N99" s="572">
        <f t="shared" si="23"/>
        <v>120</v>
      </c>
      <c r="O99" s="572">
        <f t="shared" si="23"/>
        <v>150</v>
      </c>
      <c r="P99" s="575">
        <f t="shared" si="15"/>
        <v>0.5</v>
      </c>
      <c r="Q99" s="575">
        <f t="shared" si="16"/>
        <v>0.5</v>
      </c>
      <c r="R99" s="575">
        <f t="shared" si="16"/>
        <v>1.1499999999999999</v>
      </c>
      <c r="S99" s="575">
        <f t="shared" si="17"/>
        <v>1.1499999999999999</v>
      </c>
      <c r="T99" s="575">
        <f t="shared" si="17"/>
        <v>0.5</v>
      </c>
      <c r="U99" s="579">
        <f t="shared" si="18"/>
        <v>2.5999999999999995E-2</v>
      </c>
      <c r="V99" s="580">
        <f t="shared" si="19"/>
        <v>-1.9999999999999796E-2</v>
      </c>
      <c r="W99" s="579">
        <f t="shared" si="20"/>
        <v>-2.1666666666666664E-2</v>
      </c>
      <c r="X99" s="580">
        <f t="shared" si="21"/>
        <v>3.7499999999999996</v>
      </c>
      <c r="AO99" s="575">
        <v>24</v>
      </c>
      <c r="AP99" s="575">
        <v>38.229999999999997</v>
      </c>
      <c r="AR99" s="575"/>
      <c r="AU99" s="575"/>
      <c r="AV99" s="581"/>
    </row>
    <row r="100" spans="1:48" x14ac:dyDescent="0.25">
      <c r="A100" s="572" t="str">
        <f t="shared" si="13"/>
        <v>Alcachofa360</v>
      </c>
      <c r="B100" s="572" t="s">
        <v>5056</v>
      </c>
      <c r="C100" s="572">
        <v>40</v>
      </c>
      <c r="D100" s="572">
        <v>40</v>
      </c>
      <c r="E100" s="572">
        <v>250</v>
      </c>
      <c r="F100" s="572">
        <v>30</v>
      </c>
      <c r="G100" s="572">
        <f t="shared" si="22"/>
        <v>360</v>
      </c>
      <c r="H100" s="575">
        <v>0.5</v>
      </c>
      <c r="I100" s="575">
        <v>1</v>
      </c>
      <c r="J100" s="575">
        <v>0.95</v>
      </c>
      <c r="K100" s="572">
        <v>1</v>
      </c>
      <c r="L100" s="572">
        <f t="shared" si="14"/>
        <v>40</v>
      </c>
      <c r="M100" s="572">
        <f t="shared" si="23"/>
        <v>80</v>
      </c>
      <c r="N100" s="572">
        <f t="shared" si="23"/>
        <v>330</v>
      </c>
      <c r="O100" s="572">
        <f t="shared" si="23"/>
        <v>360</v>
      </c>
      <c r="P100" s="575">
        <f t="shared" si="15"/>
        <v>0.5</v>
      </c>
      <c r="Q100" s="575">
        <f t="shared" si="16"/>
        <v>0.5</v>
      </c>
      <c r="R100" s="575">
        <f t="shared" si="16"/>
        <v>1</v>
      </c>
      <c r="S100" s="575">
        <f t="shared" si="17"/>
        <v>1</v>
      </c>
      <c r="T100" s="575">
        <f t="shared" si="17"/>
        <v>0.95</v>
      </c>
      <c r="U100" s="579">
        <f t="shared" si="18"/>
        <v>1.2500000000000001E-2</v>
      </c>
      <c r="V100" s="580">
        <f t="shared" si="19"/>
        <v>0</v>
      </c>
      <c r="W100" s="579">
        <f t="shared" si="20"/>
        <v>-1.6666666666666681E-3</v>
      </c>
      <c r="X100" s="580">
        <f t="shared" si="21"/>
        <v>1.5500000000000005</v>
      </c>
      <c r="AO100" s="575">
        <v>24.5</v>
      </c>
      <c r="AP100" s="575">
        <v>38.49</v>
      </c>
      <c r="AR100" s="575"/>
      <c r="AS100" s="587"/>
      <c r="AU100" s="575"/>
      <c r="AV100" s="581"/>
    </row>
    <row r="101" spans="1:48" x14ac:dyDescent="0.25">
      <c r="A101" s="572" t="str">
        <f t="shared" si="13"/>
        <v>Alcachofa325</v>
      </c>
      <c r="B101" s="572" t="s">
        <v>5056</v>
      </c>
      <c r="C101" s="572">
        <v>20</v>
      </c>
      <c r="D101" s="572">
        <v>25</v>
      </c>
      <c r="E101" s="572">
        <v>250</v>
      </c>
      <c r="F101" s="572">
        <v>30</v>
      </c>
      <c r="G101" s="572">
        <f t="shared" si="22"/>
        <v>325</v>
      </c>
      <c r="H101" s="575">
        <v>0.5</v>
      </c>
      <c r="I101" s="575">
        <v>1</v>
      </c>
      <c r="J101" s="575">
        <v>0.95</v>
      </c>
      <c r="K101" s="572">
        <v>1</v>
      </c>
      <c r="L101" s="572">
        <f t="shared" si="14"/>
        <v>20</v>
      </c>
      <c r="M101" s="572">
        <f t="shared" si="23"/>
        <v>45</v>
      </c>
      <c r="N101" s="572">
        <f t="shared" si="23"/>
        <v>295</v>
      </c>
      <c r="O101" s="572">
        <f t="shared" si="23"/>
        <v>325</v>
      </c>
      <c r="P101" s="575">
        <f t="shared" si="15"/>
        <v>0.5</v>
      </c>
      <c r="Q101" s="575">
        <f t="shared" si="16"/>
        <v>0.5</v>
      </c>
      <c r="R101" s="575">
        <f t="shared" si="16"/>
        <v>1</v>
      </c>
      <c r="S101" s="575">
        <f t="shared" si="17"/>
        <v>1</v>
      </c>
      <c r="T101" s="575">
        <f t="shared" si="17"/>
        <v>0.95</v>
      </c>
      <c r="U101" s="579">
        <f t="shared" si="18"/>
        <v>0.02</v>
      </c>
      <c r="V101" s="580">
        <f t="shared" si="19"/>
        <v>9.9999999999999978E-2</v>
      </c>
      <c r="W101" s="579">
        <f t="shared" si="20"/>
        <v>-1.6666666666666681E-3</v>
      </c>
      <c r="X101" s="580">
        <f t="shared" si="21"/>
        <v>1.4916666666666671</v>
      </c>
      <c r="AO101" s="575">
        <v>25</v>
      </c>
      <c r="AP101" s="575">
        <v>38.75</v>
      </c>
      <c r="AR101" s="575"/>
      <c r="AU101" s="575"/>
      <c r="AV101" s="581"/>
    </row>
    <row r="102" spans="1:48" x14ac:dyDescent="0.25">
      <c r="A102" s="572" t="str">
        <f t="shared" si="13"/>
        <v>Esparrago230</v>
      </c>
      <c r="B102" s="572" t="s">
        <v>5199</v>
      </c>
      <c r="C102" s="572">
        <v>50</v>
      </c>
      <c r="D102" s="572">
        <v>30</v>
      </c>
      <c r="E102" s="572">
        <v>100</v>
      </c>
      <c r="F102" s="572">
        <v>50</v>
      </c>
      <c r="G102" s="572">
        <f t="shared" si="22"/>
        <v>230</v>
      </c>
      <c r="H102" s="575">
        <v>0.5</v>
      </c>
      <c r="I102" s="572">
        <v>0.95</v>
      </c>
      <c r="J102" s="575">
        <v>0.3</v>
      </c>
      <c r="K102" s="572">
        <v>1</v>
      </c>
      <c r="L102" s="572">
        <f t="shared" si="14"/>
        <v>50</v>
      </c>
      <c r="M102" s="572">
        <f t="shared" si="23"/>
        <v>80</v>
      </c>
      <c r="N102" s="572">
        <f t="shared" si="23"/>
        <v>180</v>
      </c>
      <c r="O102" s="572">
        <f t="shared" si="23"/>
        <v>230</v>
      </c>
      <c r="P102" s="575">
        <f t="shared" si="15"/>
        <v>0.5</v>
      </c>
      <c r="Q102" s="575">
        <f t="shared" si="16"/>
        <v>0.5</v>
      </c>
      <c r="R102" s="575">
        <f t="shared" si="16"/>
        <v>0.95</v>
      </c>
      <c r="S102" s="575">
        <f t="shared" si="17"/>
        <v>0.95</v>
      </c>
      <c r="T102" s="575">
        <f t="shared" si="17"/>
        <v>0.3</v>
      </c>
      <c r="U102" s="579">
        <f t="shared" si="18"/>
        <v>1.4999999999999998E-2</v>
      </c>
      <c r="V102" s="580">
        <f t="shared" si="19"/>
        <v>-0.24999999999999978</v>
      </c>
      <c r="W102" s="579">
        <f t="shared" si="20"/>
        <v>-1.2999999999999998E-2</v>
      </c>
      <c r="X102" s="580">
        <f t="shared" si="21"/>
        <v>3.2899999999999991</v>
      </c>
      <c r="AO102" s="575">
        <v>25.5</v>
      </c>
      <c r="AP102" s="575">
        <v>39.01</v>
      </c>
      <c r="AR102" s="575"/>
      <c r="AS102" s="587"/>
      <c r="AU102" s="575"/>
      <c r="AV102" s="581"/>
    </row>
    <row r="103" spans="1:48" x14ac:dyDescent="0.25">
      <c r="A103" s="572" t="str">
        <f t="shared" si="13"/>
        <v>Esparrago365</v>
      </c>
      <c r="B103" s="572" t="s">
        <v>5199</v>
      </c>
      <c r="C103" s="572">
        <v>90</v>
      </c>
      <c r="D103" s="572">
        <v>30</v>
      </c>
      <c r="E103" s="572">
        <v>200</v>
      </c>
      <c r="F103" s="572">
        <v>45</v>
      </c>
      <c r="G103" s="572">
        <f t="shared" si="22"/>
        <v>365</v>
      </c>
      <c r="H103" s="575">
        <v>0.5</v>
      </c>
      <c r="I103" s="572">
        <v>0.95</v>
      </c>
      <c r="J103" s="575">
        <v>0.3</v>
      </c>
      <c r="K103" s="572">
        <v>1</v>
      </c>
      <c r="L103" s="572">
        <f t="shared" si="14"/>
        <v>90</v>
      </c>
      <c r="M103" s="572">
        <f t="shared" si="23"/>
        <v>120</v>
      </c>
      <c r="N103" s="572">
        <f t="shared" si="23"/>
        <v>320</v>
      </c>
      <c r="O103" s="572">
        <f t="shared" si="23"/>
        <v>365</v>
      </c>
      <c r="P103" s="575">
        <f t="shared" si="15"/>
        <v>0.5</v>
      </c>
      <c r="Q103" s="575">
        <f t="shared" si="16"/>
        <v>0.5</v>
      </c>
      <c r="R103" s="575">
        <f t="shared" si="16"/>
        <v>0.95</v>
      </c>
      <c r="S103" s="575">
        <f t="shared" si="17"/>
        <v>0.95</v>
      </c>
      <c r="T103" s="575">
        <f t="shared" si="17"/>
        <v>0.3</v>
      </c>
      <c r="U103" s="579">
        <f t="shared" si="18"/>
        <v>1.4999999999999998E-2</v>
      </c>
      <c r="V103" s="580">
        <f t="shared" si="19"/>
        <v>-0.84999999999999987</v>
      </c>
      <c r="W103" s="579">
        <f t="shared" si="20"/>
        <v>-1.4444444444444442E-2</v>
      </c>
      <c r="X103" s="580">
        <f t="shared" si="21"/>
        <v>5.5722222222222211</v>
      </c>
      <c r="AO103" s="575">
        <v>26</v>
      </c>
      <c r="AP103" s="575">
        <v>39.270000000000003</v>
      </c>
      <c r="AR103" s="575"/>
      <c r="AU103" s="575"/>
      <c r="AV103" s="581"/>
    </row>
    <row r="104" spans="1:48" x14ac:dyDescent="0.25">
      <c r="A104" s="572" t="str">
        <f t="shared" si="13"/>
        <v>Fresa365</v>
      </c>
      <c r="B104" s="572" t="s">
        <v>5200</v>
      </c>
      <c r="C104" s="572">
        <v>90</v>
      </c>
      <c r="D104" s="572">
        <v>30</v>
      </c>
      <c r="E104" s="572">
        <v>200</v>
      </c>
      <c r="F104" s="572">
        <v>45</v>
      </c>
      <c r="G104" s="572">
        <f t="shared" si="22"/>
        <v>365</v>
      </c>
      <c r="H104" s="575">
        <v>0.4</v>
      </c>
      <c r="I104" s="572">
        <v>0.85</v>
      </c>
      <c r="J104" s="575">
        <v>0.75</v>
      </c>
      <c r="K104" s="572">
        <v>1</v>
      </c>
      <c r="L104" s="572">
        <f t="shared" si="14"/>
        <v>90</v>
      </c>
      <c r="M104" s="572">
        <f t="shared" si="23"/>
        <v>120</v>
      </c>
      <c r="N104" s="572">
        <f t="shared" si="23"/>
        <v>320</v>
      </c>
      <c r="O104" s="572">
        <f t="shared" si="23"/>
        <v>365</v>
      </c>
      <c r="P104" s="575">
        <f t="shared" si="15"/>
        <v>0.4</v>
      </c>
      <c r="Q104" s="575">
        <f t="shared" si="16"/>
        <v>0.4</v>
      </c>
      <c r="R104" s="575">
        <f t="shared" si="16"/>
        <v>0.85</v>
      </c>
      <c r="S104" s="575">
        <f t="shared" si="17"/>
        <v>0.85</v>
      </c>
      <c r="T104" s="575">
        <f t="shared" si="17"/>
        <v>0.75</v>
      </c>
      <c r="U104" s="579">
        <f t="shared" si="18"/>
        <v>1.4999999999999998E-2</v>
      </c>
      <c r="V104" s="580">
        <f t="shared" si="19"/>
        <v>-0.94999999999999984</v>
      </c>
      <c r="W104" s="579">
        <f t="shared" si="20"/>
        <v>-2.2222222222222218E-3</v>
      </c>
      <c r="X104" s="580">
        <f t="shared" si="21"/>
        <v>1.5611111111111109</v>
      </c>
      <c r="AO104" s="575">
        <v>26.5</v>
      </c>
      <c r="AP104" s="575">
        <v>39.53</v>
      </c>
      <c r="AR104" s="575"/>
      <c r="AS104" s="587"/>
      <c r="AU104" s="575"/>
      <c r="AV104" s="581"/>
    </row>
    <row r="105" spans="1:48" x14ac:dyDescent="0.25">
      <c r="A105" s="572" t="str">
        <f t="shared" si="13"/>
        <v>Algodón195</v>
      </c>
      <c r="B105" s="572" t="s">
        <v>5201</v>
      </c>
      <c r="C105" s="572">
        <v>30</v>
      </c>
      <c r="D105" s="572">
        <v>50</v>
      </c>
      <c r="E105" s="572">
        <v>60</v>
      </c>
      <c r="F105" s="572">
        <v>55</v>
      </c>
      <c r="G105" s="572">
        <f t="shared" si="22"/>
        <v>195</v>
      </c>
      <c r="H105" s="575">
        <v>0.35</v>
      </c>
      <c r="I105" s="572">
        <v>1.1499999999999999</v>
      </c>
      <c r="J105" s="575">
        <v>0.7</v>
      </c>
      <c r="K105" s="572">
        <v>1</v>
      </c>
      <c r="L105" s="572">
        <f t="shared" si="14"/>
        <v>30</v>
      </c>
      <c r="M105" s="572">
        <f t="shared" si="23"/>
        <v>80</v>
      </c>
      <c r="N105" s="572">
        <f t="shared" si="23"/>
        <v>140</v>
      </c>
      <c r="O105" s="572">
        <f t="shared" si="23"/>
        <v>195</v>
      </c>
      <c r="P105" s="575">
        <f t="shared" si="15"/>
        <v>0.35</v>
      </c>
      <c r="Q105" s="575">
        <f t="shared" si="16"/>
        <v>0.35</v>
      </c>
      <c r="R105" s="575">
        <f t="shared" si="16"/>
        <v>1.1499999999999999</v>
      </c>
      <c r="S105" s="575">
        <f t="shared" si="17"/>
        <v>1.1499999999999999</v>
      </c>
      <c r="T105" s="575">
        <f t="shared" si="17"/>
        <v>0.7</v>
      </c>
      <c r="U105" s="579">
        <f t="shared" si="18"/>
        <v>1.6E-2</v>
      </c>
      <c r="V105" s="580">
        <f t="shared" si="19"/>
        <v>-0.13000000000000012</v>
      </c>
      <c r="W105" s="579">
        <f t="shared" si="20"/>
        <v>-8.1818181818181807E-3</v>
      </c>
      <c r="X105" s="580">
        <f t="shared" si="21"/>
        <v>2.295454545454545</v>
      </c>
      <c r="AO105" s="575">
        <v>27</v>
      </c>
      <c r="AP105" s="575">
        <v>39.799999999999997</v>
      </c>
      <c r="AR105" s="575"/>
      <c r="AU105" s="575"/>
      <c r="AV105" s="581"/>
    </row>
    <row r="106" spans="1:48" x14ac:dyDescent="0.25">
      <c r="A106" s="572" t="str">
        <f t="shared" si="13"/>
        <v>Algodón225</v>
      </c>
      <c r="B106" s="572" t="s">
        <v>5201</v>
      </c>
      <c r="C106" s="572">
        <v>45</v>
      </c>
      <c r="D106" s="572">
        <v>90</v>
      </c>
      <c r="E106" s="572">
        <v>45</v>
      </c>
      <c r="F106" s="572">
        <v>45</v>
      </c>
      <c r="G106" s="572">
        <f t="shared" si="22"/>
        <v>225</v>
      </c>
      <c r="H106" s="575">
        <v>0.35</v>
      </c>
      <c r="I106" s="572">
        <v>1.1499999999999999</v>
      </c>
      <c r="J106" s="575">
        <v>0.7</v>
      </c>
      <c r="K106" s="572">
        <v>1</v>
      </c>
      <c r="L106" s="572">
        <f t="shared" si="14"/>
        <v>45</v>
      </c>
      <c r="M106" s="572">
        <f t="shared" si="23"/>
        <v>135</v>
      </c>
      <c r="N106" s="572">
        <f t="shared" si="23"/>
        <v>180</v>
      </c>
      <c r="O106" s="572">
        <f t="shared" si="23"/>
        <v>225</v>
      </c>
      <c r="P106" s="575">
        <f t="shared" si="15"/>
        <v>0.35</v>
      </c>
      <c r="Q106" s="575">
        <f t="shared" si="16"/>
        <v>0.35</v>
      </c>
      <c r="R106" s="575">
        <f t="shared" si="16"/>
        <v>1.1499999999999999</v>
      </c>
      <c r="S106" s="575">
        <f t="shared" si="17"/>
        <v>1.1499999999999999</v>
      </c>
      <c r="T106" s="575">
        <f t="shared" si="17"/>
        <v>0.7</v>
      </c>
      <c r="U106" s="579">
        <f t="shared" si="18"/>
        <v>8.8888888888888889E-3</v>
      </c>
      <c r="V106" s="580">
        <f t="shared" si="19"/>
        <v>-5.0000000000000044E-2</v>
      </c>
      <c r="W106" s="579">
        <f t="shared" si="20"/>
        <v>-9.9999999999999985E-3</v>
      </c>
      <c r="X106" s="580">
        <f t="shared" si="21"/>
        <v>2.9499999999999993</v>
      </c>
      <c r="AO106" s="575">
        <v>27.5</v>
      </c>
      <c r="AP106" s="575">
        <v>40.06</v>
      </c>
      <c r="AR106" s="575"/>
      <c r="AS106" s="587"/>
      <c r="AU106" s="575"/>
      <c r="AV106" s="581"/>
    </row>
    <row r="107" spans="1:48" x14ac:dyDescent="0.25">
      <c r="A107" s="572" t="str">
        <f t="shared" si="13"/>
        <v>Algodón195</v>
      </c>
      <c r="B107" s="572" t="s">
        <v>5201</v>
      </c>
      <c r="C107" s="572">
        <v>30</v>
      </c>
      <c r="D107" s="572">
        <v>50</v>
      </c>
      <c r="E107" s="572">
        <v>60</v>
      </c>
      <c r="F107" s="572">
        <v>55</v>
      </c>
      <c r="G107" s="572">
        <f t="shared" si="22"/>
        <v>195</v>
      </c>
      <c r="H107" s="575">
        <v>0.35</v>
      </c>
      <c r="I107" s="572">
        <v>1.1499999999999999</v>
      </c>
      <c r="J107" s="575">
        <v>0.7</v>
      </c>
      <c r="K107" s="572">
        <v>1</v>
      </c>
      <c r="L107" s="572">
        <f t="shared" si="14"/>
        <v>30</v>
      </c>
      <c r="M107" s="572">
        <f t="shared" si="23"/>
        <v>80</v>
      </c>
      <c r="N107" s="572">
        <f t="shared" si="23"/>
        <v>140</v>
      </c>
      <c r="O107" s="572">
        <f t="shared" si="23"/>
        <v>195</v>
      </c>
      <c r="P107" s="575">
        <f t="shared" si="15"/>
        <v>0.35</v>
      </c>
      <c r="Q107" s="575">
        <f t="shared" si="16"/>
        <v>0.35</v>
      </c>
      <c r="R107" s="575">
        <f t="shared" si="16"/>
        <v>1.1499999999999999</v>
      </c>
      <c r="S107" s="575">
        <f t="shared" si="17"/>
        <v>1.1499999999999999</v>
      </c>
      <c r="T107" s="575">
        <f t="shared" si="17"/>
        <v>0.7</v>
      </c>
      <c r="U107" s="579">
        <f t="shared" si="18"/>
        <v>1.6E-2</v>
      </c>
      <c r="V107" s="580">
        <f t="shared" si="19"/>
        <v>-0.13000000000000012</v>
      </c>
      <c r="W107" s="579">
        <f t="shared" si="20"/>
        <v>-8.1818181818181807E-3</v>
      </c>
      <c r="X107" s="580">
        <f t="shared" si="21"/>
        <v>2.295454545454545</v>
      </c>
      <c r="AO107" s="575">
        <v>28</v>
      </c>
      <c r="AP107" s="575">
        <v>40.33</v>
      </c>
      <c r="AR107" s="575"/>
      <c r="AU107" s="575"/>
      <c r="AV107" s="581"/>
    </row>
    <row r="108" spans="1:48" x14ac:dyDescent="0.25">
      <c r="A108" s="572" t="str">
        <f t="shared" si="13"/>
        <v>Algodón180</v>
      </c>
      <c r="B108" s="572" t="s">
        <v>5201</v>
      </c>
      <c r="C108" s="572">
        <v>30</v>
      </c>
      <c r="D108" s="572">
        <v>50</v>
      </c>
      <c r="E108" s="572">
        <v>55</v>
      </c>
      <c r="F108" s="572">
        <v>45</v>
      </c>
      <c r="G108" s="572">
        <f t="shared" si="22"/>
        <v>180</v>
      </c>
      <c r="H108" s="575">
        <v>0.35</v>
      </c>
      <c r="I108" s="572">
        <v>1.1499999999999999</v>
      </c>
      <c r="J108" s="575">
        <v>0.7</v>
      </c>
      <c r="K108" s="572">
        <v>1</v>
      </c>
      <c r="L108" s="572">
        <f t="shared" si="14"/>
        <v>30</v>
      </c>
      <c r="M108" s="572">
        <f t="shared" si="23"/>
        <v>80</v>
      </c>
      <c r="N108" s="572">
        <f t="shared" si="23"/>
        <v>135</v>
      </c>
      <c r="O108" s="572">
        <f t="shared" si="23"/>
        <v>180</v>
      </c>
      <c r="P108" s="575">
        <f t="shared" si="15"/>
        <v>0.35</v>
      </c>
      <c r="Q108" s="575">
        <f t="shared" si="16"/>
        <v>0.35</v>
      </c>
      <c r="R108" s="575">
        <f t="shared" si="16"/>
        <v>1.1499999999999999</v>
      </c>
      <c r="S108" s="575">
        <f t="shared" si="17"/>
        <v>1.1499999999999999</v>
      </c>
      <c r="T108" s="575">
        <f t="shared" si="17"/>
        <v>0.7</v>
      </c>
      <c r="U108" s="579">
        <f t="shared" si="18"/>
        <v>1.6E-2</v>
      </c>
      <c r="V108" s="580">
        <f t="shared" si="19"/>
        <v>-0.13000000000000012</v>
      </c>
      <c r="W108" s="579">
        <f t="shared" si="20"/>
        <v>-9.9999999999999985E-3</v>
      </c>
      <c r="X108" s="580">
        <f t="shared" si="21"/>
        <v>2.5</v>
      </c>
      <c r="AO108" s="575">
        <v>28.5</v>
      </c>
      <c r="AP108" s="575">
        <v>40.6</v>
      </c>
      <c r="AR108" s="575"/>
      <c r="AS108" s="587"/>
      <c r="AU108" s="575"/>
      <c r="AV108" s="581"/>
    </row>
    <row r="109" spans="1:48" x14ac:dyDescent="0.25">
      <c r="A109" s="572" t="str">
        <f t="shared" si="13"/>
        <v>Lino150</v>
      </c>
      <c r="B109" s="572" t="s">
        <v>5202</v>
      </c>
      <c r="C109" s="572">
        <v>25</v>
      </c>
      <c r="D109" s="572">
        <v>35</v>
      </c>
      <c r="E109" s="572">
        <v>50</v>
      </c>
      <c r="F109" s="572">
        <v>40</v>
      </c>
      <c r="G109" s="572">
        <f t="shared" si="22"/>
        <v>150</v>
      </c>
      <c r="H109" s="575">
        <v>0.35</v>
      </c>
      <c r="I109" s="575">
        <v>1.1000000000000001</v>
      </c>
      <c r="J109" s="575">
        <v>0.25</v>
      </c>
      <c r="K109" s="572">
        <v>1</v>
      </c>
      <c r="L109" s="572">
        <f t="shared" si="14"/>
        <v>25</v>
      </c>
      <c r="M109" s="572">
        <f t="shared" si="23"/>
        <v>60</v>
      </c>
      <c r="N109" s="572">
        <f t="shared" si="23"/>
        <v>110</v>
      </c>
      <c r="O109" s="572">
        <f t="shared" si="23"/>
        <v>150</v>
      </c>
      <c r="P109" s="575">
        <f t="shared" si="15"/>
        <v>0.35</v>
      </c>
      <c r="Q109" s="575">
        <f t="shared" si="16"/>
        <v>0.35</v>
      </c>
      <c r="R109" s="575">
        <f t="shared" si="16"/>
        <v>1.1000000000000001</v>
      </c>
      <c r="S109" s="575">
        <f t="shared" si="17"/>
        <v>1.1000000000000001</v>
      </c>
      <c r="T109" s="575">
        <f t="shared" si="17"/>
        <v>0.25</v>
      </c>
      <c r="U109" s="579">
        <f t="shared" si="18"/>
        <v>2.1428571428571432E-2</v>
      </c>
      <c r="V109" s="580">
        <f t="shared" si="19"/>
        <v>-0.18571428571428594</v>
      </c>
      <c r="W109" s="579">
        <f t="shared" si="20"/>
        <v>-2.1250000000000002E-2</v>
      </c>
      <c r="X109" s="580">
        <f t="shared" si="21"/>
        <v>3.4375000000000004</v>
      </c>
      <c r="AO109" s="575">
        <v>29</v>
      </c>
      <c r="AP109" s="575">
        <v>40.869999999999997</v>
      </c>
      <c r="AR109" s="575"/>
      <c r="AU109" s="575"/>
      <c r="AV109" s="581"/>
    </row>
    <row r="110" spans="1:48" x14ac:dyDescent="0.25">
      <c r="A110" s="572" t="str">
        <f t="shared" si="13"/>
        <v>Lino220</v>
      </c>
      <c r="B110" s="572" t="s">
        <v>5202</v>
      </c>
      <c r="C110" s="572">
        <v>30</v>
      </c>
      <c r="D110" s="572">
        <v>40</v>
      </c>
      <c r="E110" s="572">
        <v>100</v>
      </c>
      <c r="F110" s="572">
        <v>50</v>
      </c>
      <c r="G110" s="572">
        <f t="shared" si="22"/>
        <v>220</v>
      </c>
      <c r="H110" s="575">
        <v>0.35</v>
      </c>
      <c r="I110" s="575">
        <v>1.1000000000000001</v>
      </c>
      <c r="J110" s="575">
        <v>0.25</v>
      </c>
      <c r="K110" s="572">
        <v>1</v>
      </c>
      <c r="L110" s="572">
        <f t="shared" si="14"/>
        <v>30</v>
      </c>
      <c r="M110" s="572">
        <f t="shared" si="23"/>
        <v>70</v>
      </c>
      <c r="N110" s="572">
        <f t="shared" si="23"/>
        <v>170</v>
      </c>
      <c r="O110" s="572">
        <f t="shared" si="23"/>
        <v>220</v>
      </c>
      <c r="P110" s="575">
        <f t="shared" si="15"/>
        <v>0.35</v>
      </c>
      <c r="Q110" s="575">
        <f t="shared" si="16"/>
        <v>0.35</v>
      </c>
      <c r="R110" s="575">
        <f t="shared" si="16"/>
        <v>1.1000000000000001</v>
      </c>
      <c r="S110" s="575">
        <f t="shared" si="17"/>
        <v>1.1000000000000001</v>
      </c>
      <c r="T110" s="575">
        <f t="shared" si="17"/>
        <v>0.25</v>
      </c>
      <c r="U110" s="579">
        <f t="shared" si="18"/>
        <v>1.8750000000000003E-2</v>
      </c>
      <c r="V110" s="580">
        <f t="shared" si="19"/>
        <v>-0.21250000000000013</v>
      </c>
      <c r="W110" s="579">
        <f t="shared" si="20"/>
        <v>-1.7000000000000001E-2</v>
      </c>
      <c r="X110" s="580">
        <f t="shared" si="21"/>
        <v>3.99</v>
      </c>
      <c r="AO110" s="575">
        <v>29.5</v>
      </c>
      <c r="AP110" s="575">
        <v>41.14</v>
      </c>
      <c r="AR110" s="575"/>
      <c r="AS110" s="587"/>
      <c r="AU110" s="575"/>
      <c r="AV110" s="581"/>
    </row>
    <row r="111" spans="1:48" x14ac:dyDescent="0.25">
      <c r="A111" s="572" t="str">
        <f t="shared" si="13"/>
        <v>Ajonjoli110</v>
      </c>
      <c r="B111" s="572" t="s">
        <v>5203</v>
      </c>
      <c r="C111" s="572">
        <v>20</v>
      </c>
      <c r="D111" s="572">
        <v>30</v>
      </c>
      <c r="E111" s="572">
        <v>40</v>
      </c>
      <c r="F111" s="572">
        <v>20</v>
      </c>
      <c r="G111" s="572">
        <f t="shared" si="22"/>
        <v>110</v>
      </c>
      <c r="H111" s="575">
        <v>0.35</v>
      </c>
      <c r="I111" s="575">
        <v>0.1</v>
      </c>
      <c r="J111" s="575">
        <v>0.25</v>
      </c>
      <c r="K111" s="572">
        <v>1</v>
      </c>
      <c r="L111" s="572">
        <f t="shared" si="14"/>
        <v>20</v>
      </c>
      <c r="M111" s="572">
        <f t="shared" si="23"/>
        <v>50</v>
      </c>
      <c r="N111" s="572">
        <f t="shared" si="23"/>
        <v>90</v>
      </c>
      <c r="O111" s="572">
        <f t="shared" si="23"/>
        <v>110</v>
      </c>
      <c r="P111" s="575">
        <f t="shared" si="15"/>
        <v>0.35</v>
      </c>
      <c r="Q111" s="575">
        <f t="shared" si="16"/>
        <v>0.35</v>
      </c>
      <c r="R111" s="575">
        <f t="shared" si="16"/>
        <v>0.1</v>
      </c>
      <c r="S111" s="575">
        <f t="shared" si="17"/>
        <v>0.1</v>
      </c>
      <c r="T111" s="575">
        <f t="shared" si="17"/>
        <v>0.25</v>
      </c>
      <c r="U111" s="579">
        <f t="shared" si="18"/>
        <v>-8.3333333333333332E-3</v>
      </c>
      <c r="V111" s="580">
        <f t="shared" si="19"/>
        <v>0.51666666666666672</v>
      </c>
      <c r="W111" s="579">
        <f t="shared" si="20"/>
        <v>7.4999999999999997E-3</v>
      </c>
      <c r="X111" s="580">
        <f t="shared" si="21"/>
        <v>-0.57499999999999996</v>
      </c>
      <c r="AO111" s="575">
        <v>30</v>
      </c>
      <c r="AP111" s="575">
        <v>41.41</v>
      </c>
      <c r="AR111" s="575"/>
      <c r="AU111" s="575"/>
      <c r="AV111" s="581"/>
    </row>
    <row r="112" spans="1:48" x14ac:dyDescent="0.25">
      <c r="A112" s="572" t="str">
        <f t="shared" si="13"/>
        <v>Girasol130</v>
      </c>
      <c r="B112" s="572" t="s">
        <v>5204</v>
      </c>
      <c r="C112" s="572">
        <v>25</v>
      </c>
      <c r="D112" s="572">
        <v>35</v>
      </c>
      <c r="E112" s="572">
        <v>45</v>
      </c>
      <c r="F112" s="572">
        <v>25</v>
      </c>
      <c r="G112" s="572">
        <f t="shared" si="22"/>
        <v>130</v>
      </c>
      <c r="H112" s="575">
        <v>0.35</v>
      </c>
      <c r="I112" s="575">
        <v>0.1</v>
      </c>
      <c r="J112" s="575">
        <v>0.35</v>
      </c>
      <c r="K112" s="572">
        <v>1</v>
      </c>
      <c r="L112" s="572">
        <f t="shared" si="14"/>
        <v>25</v>
      </c>
      <c r="M112" s="572">
        <f t="shared" si="23"/>
        <v>60</v>
      </c>
      <c r="N112" s="572">
        <f t="shared" si="23"/>
        <v>105</v>
      </c>
      <c r="O112" s="572">
        <f t="shared" si="23"/>
        <v>130</v>
      </c>
      <c r="P112" s="575">
        <f t="shared" si="15"/>
        <v>0.35</v>
      </c>
      <c r="Q112" s="575">
        <f t="shared" si="16"/>
        <v>0.35</v>
      </c>
      <c r="R112" s="575">
        <f t="shared" si="16"/>
        <v>0.1</v>
      </c>
      <c r="S112" s="575">
        <f t="shared" si="17"/>
        <v>0.1</v>
      </c>
      <c r="T112" s="575">
        <f t="shared" si="17"/>
        <v>0.35</v>
      </c>
      <c r="U112" s="579">
        <f t="shared" si="18"/>
        <v>-7.1428571428571418E-3</v>
      </c>
      <c r="V112" s="580">
        <f t="shared" si="19"/>
        <v>0.52857142857142847</v>
      </c>
      <c r="W112" s="579">
        <f t="shared" si="20"/>
        <v>9.9999999999999985E-3</v>
      </c>
      <c r="X112" s="580">
        <f t="shared" si="21"/>
        <v>-0.94999999999999984</v>
      </c>
      <c r="AO112" s="575">
        <v>30.5</v>
      </c>
      <c r="AP112" s="575">
        <v>41.69</v>
      </c>
      <c r="AR112" s="575"/>
      <c r="AS112" s="587"/>
      <c r="AU112" s="575"/>
      <c r="AV112" s="581"/>
    </row>
    <row r="113" spans="1:48" x14ac:dyDescent="0.25">
      <c r="A113" s="572" t="str">
        <f t="shared" si="13"/>
        <v>Cebada120</v>
      </c>
      <c r="B113" s="572" t="s">
        <v>5060</v>
      </c>
      <c r="C113" s="572">
        <v>15</v>
      </c>
      <c r="D113" s="572">
        <v>25</v>
      </c>
      <c r="E113" s="572">
        <v>50</v>
      </c>
      <c r="F113" s="572">
        <v>30</v>
      </c>
      <c r="G113" s="572">
        <f t="shared" si="22"/>
        <v>120</v>
      </c>
      <c r="H113" s="575">
        <v>0.3</v>
      </c>
      <c r="I113" s="575">
        <v>1.1499999999999999</v>
      </c>
      <c r="J113" s="575">
        <v>0.25</v>
      </c>
      <c r="K113" s="572">
        <v>1</v>
      </c>
      <c r="L113" s="572">
        <f t="shared" si="14"/>
        <v>15</v>
      </c>
      <c r="M113" s="572">
        <f t="shared" si="23"/>
        <v>40</v>
      </c>
      <c r="N113" s="572">
        <f t="shared" si="23"/>
        <v>90</v>
      </c>
      <c r="O113" s="572">
        <f t="shared" si="23"/>
        <v>120</v>
      </c>
      <c r="P113" s="575">
        <f t="shared" si="15"/>
        <v>0.3</v>
      </c>
      <c r="Q113" s="575">
        <f t="shared" si="16"/>
        <v>0.3</v>
      </c>
      <c r="R113" s="575">
        <f t="shared" si="16"/>
        <v>1.1499999999999999</v>
      </c>
      <c r="S113" s="575">
        <f t="shared" si="17"/>
        <v>1.1499999999999999</v>
      </c>
      <c r="T113" s="575">
        <f t="shared" si="17"/>
        <v>0.25</v>
      </c>
      <c r="U113" s="579">
        <f t="shared" si="18"/>
        <v>3.3999999999999996E-2</v>
      </c>
      <c r="V113" s="580">
        <f t="shared" si="19"/>
        <v>-0.20999999999999996</v>
      </c>
      <c r="W113" s="579">
        <f t="shared" si="20"/>
        <v>-2.9999999999999995E-2</v>
      </c>
      <c r="X113" s="580">
        <f t="shared" si="21"/>
        <v>3.8499999999999996</v>
      </c>
      <c r="AO113" s="575">
        <v>31</v>
      </c>
      <c r="AP113" s="575">
        <v>41.96</v>
      </c>
      <c r="AR113" s="575"/>
      <c r="AU113" s="575"/>
      <c r="AV113" s="581"/>
    </row>
    <row r="114" spans="1:48" x14ac:dyDescent="0.25">
      <c r="A114" s="572" t="str">
        <f t="shared" si="13"/>
        <v>Cebada135</v>
      </c>
      <c r="B114" s="572" t="s">
        <v>5060</v>
      </c>
      <c r="C114" s="572">
        <v>20</v>
      </c>
      <c r="D114" s="572">
        <v>25</v>
      </c>
      <c r="E114" s="572">
        <v>60</v>
      </c>
      <c r="F114" s="572">
        <v>30</v>
      </c>
      <c r="G114" s="572">
        <f t="shared" si="22"/>
        <v>135</v>
      </c>
      <c r="H114" s="575">
        <v>0.3</v>
      </c>
      <c r="I114" s="575">
        <v>1.1499999999999999</v>
      </c>
      <c r="J114" s="575">
        <v>0.25</v>
      </c>
      <c r="K114" s="572">
        <v>1</v>
      </c>
      <c r="L114" s="572">
        <f t="shared" si="14"/>
        <v>20</v>
      </c>
      <c r="M114" s="572">
        <f t="shared" si="23"/>
        <v>45</v>
      </c>
      <c r="N114" s="572">
        <f t="shared" si="23"/>
        <v>105</v>
      </c>
      <c r="O114" s="572">
        <f t="shared" si="23"/>
        <v>135</v>
      </c>
      <c r="P114" s="575">
        <f t="shared" si="15"/>
        <v>0.3</v>
      </c>
      <c r="Q114" s="575">
        <f t="shared" si="16"/>
        <v>0.3</v>
      </c>
      <c r="R114" s="575">
        <f t="shared" si="16"/>
        <v>1.1499999999999999</v>
      </c>
      <c r="S114" s="575">
        <f t="shared" si="17"/>
        <v>1.1499999999999999</v>
      </c>
      <c r="T114" s="575">
        <f t="shared" si="17"/>
        <v>0.25</v>
      </c>
      <c r="U114" s="579">
        <f t="shared" si="18"/>
        <v>3.3999999999999996E-2</v>
      </c>
      <c r="V114" s="580">
        <f t="shared" si="19"/>
        <v>-0.37999999999999989</v>
      </c>
      <c r="W114" s="579">
        <f t="shared" si="20"/>
        <v>-2.9999999999999995E-2</v>
      </c>
      <c r="X114" s="580">
        <f t="shared" si="21"/>
        <v>4.3</v>
      </c>
      <c r="AO114" s="575">
        <v>31.5</v>
      </c>
      <c r="AP114" s="575">
        <v>42.24</v>
      </c>
      <c r="AR114" s="575"/>
      <c r="AS114" s="587"/>
      <c r="AU114" s="575"/>
      <c r="AV114" s="581"/>
    </row>
    <row r="115" spans="1:48" x14ac:dyDescent="0.25">
      <c r="A115" s="572" t="str">
        <f t="shared" si="13"/>
        <v>Cebada150</v>
      </c>
      <c r="B115" s="572" t="s">
        <v>5060</v>
      </c>
      <c r="C115" s="572">
        <v>15</v>
      </c>
      <c r="D115" s="572">
        <v>30</v>
      </c>
      <c r="E115" s="572">
        <v>65</v>
      </c>
      <c r="F115" s="572">
        <v>40</v>
      </c>
      <c r="G115" s="572">
        <f t="shared" si="22"/>
        <v>150</v>
      </c>
      <c r="H115" s="575">
        <v>0.3</v>
      </c>
      <c r="I115" s="575">
        <v>1.1499999999999999</v>
      </c>
      <c r="J115" s="575">
        <v>0.25</v>
      </c>
      <c r="K115" s="572">
        <v>1</v>
      </c>
      <c r="L115" s="572">
        <f t="shared" si="14"/>
        <v>15</v>
      </c>
      <c r="M115" s="572">
        <f t="shared" si="23"/>
        <v>45</v>
      </c>
      <c r="N115" s="572">
        <f t="shared" si="23"/>
        <v>110</v>
      </c>
      <c r="O115" s="572">
        <f t="shared" si="23"/>
        <v>150</v>
      </c>
      <c r="P115" s="575">
        <f t="shared" si="15"/>
        <v>0.3</v>
      </c>
      <c r="Q115" s="575">
        <f t="shared" si="16"/>
        <v>0.3</v>
      </c>
      <c r="R115" s="575">
        <f t="shared" si="16"/>
        <v>1.1499999999999999</v>
      </c>
      <c r="S115" s="575">
        <f t="shared" si="17"/>
        <v>1.1499999999999999</v>
      </c>
      <c r="T115" s="575">
        <f t="shared" si="17"/>
        <v>0.25</v>
      </c>
      <c r="U115" s="579">
        <f t="shared" si="18"/>
        <v>2.8333333333333328E-2</v>
      </c>
      <c r="V115" s="580">
        <f t="shared" si="19"/>
        <v>-0.12499999999999978</v>
      </c>
      <c r="W115" s="579">
        <f t="shared" si="20"/>
        <v>-2.2499999999999999E-2</v>
      </c>
      <c r="X115" s="580">
        <f t="shared" si="21"/>
        <v>3.625</v>
      </c>
      <c r="AO115" s="575">
        <v>32</v>
      </c>
      <c r="AP115" s="575">
        <v>42.52</v>
      </c>
      <c r="AR115" s="575"/>
      <c r="AU115" s="575"/>
      <c r="AV115" s="581"/>
    </row>
    <row r="116" spans="1:48" x14ac:dyDescent="0.25">
      <c r="A116" s="572" t="str">
        <f t="shared" si="13"/>
        <v>Cebada130</v>
      </c>
      <c r="B116" s="572" t="s">
        <v>5060</v>
      </c>
      <c r="C116" s="572">
        <v>40</v>
      </c>
      <c r="D116" s="572">
        <v>30</v>
      </c>
      <c r="E116" s="572">
        <v>40</v>
      </c>
      <c r="F116" s="572">
        <v>20</v>
      </c>
      <c r="G116" s="572">
        <f t="shared" si="22"/>
        <v>130</v>
      </c>
      <c r="H116" s="575">
        <v>0.3</v>
      </c>
      <c r="I116" s="575">
        <v>1.1499999999999999</v>
      </c>
      <c r="J116" s="575">
        <v>0.25</v>
      </c>
      <c r="K116" s="572">
        <v>1</v>
      </c>
      <c r="L116" s="572">
        <f t="shared" si="14"/>
        <v>40</v>
      </c>
      <c r="M116" s="572">
        <f t="shared" si="23"/>
        <v>70</v>
      </c>
      <c r="N116" s="572">
        <f t="shared" si="23"/>
        <v>110</v>
      </c>
      <c r="O116" s="572">
        <f t="shared" si="23"/>
        <v>130</v>
      </c>
      <c r="P116" s="575">
        <f t="shared" si="15"/>
        <v>0.3</v>
      </c>
      <c r="Q116" s="575">
        <f t="shared" si="16"/>
        <v>0.3</v>
      </c>
      <c r="R116" s="575">
        <f t="shared" si="16"/>
        <v>1.1499999999999999</v>
      </c>
      <c r="S116" s="575">
        <f t="shared" si="17"/>
        <v>1.1499999999999999</v>
      </c>
      <c r="T116" s="575">
        <f t="shared" si="17"/>
        <v>0.25</v>
      </c>
      <c r="U116" s="579">
        <f t="shared" si="18"/>
        <v>2.8333333333333328E-2</v>
      </c>
      <c r="V116" s="580">
        <f t="shared" si="19"/>
        <v>-0.83333333333333304</v>
      </c>
      <c r="W116" s="579">
        <f t="shared" si="20"/>
        <v>-4.4999999999999998E-2</v>
      </c>
      <c r="X116" s="580">
        <f t="shared" si="21"/>
        <v>6.1</v>
      </c>
      <c r="AO116" s="575">
        <v>32.5</v>
      </c>
      <c r="AP116" s="575">
        <v>42.8</v>
      </c>
      <c r="AR116" s="575"/>
      <c r="AS116" s="587"/>
      <c r="AU116" s="575"/>
      <c r="AV116" s="581"/>
    </row>
    <row r="117" spans="1:48" x14ac:dyDescent="0.25">
      <c r="A117" s="572" t="str">
        <f t="shared" si="13"/>
        <v>Cebada200</v>
      </c>
      <c r="B117" s="572" t="s">
        <v>5060</v>
      </c>
      <c r="C117" s="572">
        <v>40</v>
      </c>
      <c r="D117" s="572">
        <v>60</v>
      </c>
      <c r="E117" s="572">
        <v>60</v>
      </c>
      <c r="F117" s="572">
        <v>40</v>
      </c>
      <c r="G117" s="572">
        <f t="shared" si="22"/>
        <v>200</v>
      </c>
      <c r="H117" s="575">
        <v>0.3</v>
      </c>
      <c r="I117" s="575">
        <v>1.1499999999999999</v>
      </c>
      <c r="J117" s="575">
        <v>0.25</v>
      </c>
      <c r="K117" s="572">
        <v>1</v>
      </c>
      <c r="L117" s="572">
        <f t="shared" si="14"/>
        <v>40</v>
      </c>
      <c r="M117" s="572">
        <f t="shared" si="23"/>
        <v>100</v>
      </c>
      <c r="N117" s="572">
        <f t="shared" si="23"/>
        <v>160</v>
      </c>
      <c r="O117" s="572">
        <f t="shared" si="23"/>
        <v>200</v>
      </c>
      <c r="P117" s="575">
        <f t="shared" si="15"/>
        <v>0.3</v>
      </c>
      <c r="Q117" s="575">
        <f t="shared" si="16"/>
        <v>0.3</v>
      </c>
      <c r="R117" s="575">
        <f t="shared" si="16"/>
        <v>1.1499999999999999</v>
      </c>
      <c r="S117" s="575">
        <f t="shared" si="17"/>
        <v>1.1499999999999999</v>
      </c>
      <c r="T117" s="575">
        <f t="shared" si="17"/>
        <v>0.25</v>
      </c>
      <c r="U117" s="579">
        <f t="shared" si="18"/>
        <v>1.4166666666666664E-2</v>
      </c>
      <c r="V117" s="580">
        <f t="shared" si="19"/>
        <v>-0.26666666666666661</v>
      </c>
      <c r="W117" s="579">
        <f t="shared" si="20"/>
        <v>-2.2499999999999999E-2</v>
      </c>
      <c r="X117" s="580">
        <f t="shared" si="21"/>
        <v>4.75</v>
      </c>
      <c r="AO117" s="575">
        <v>33</v>
      </c>
      <c r="AP117" s="575">
        <v>43.08</v>
      </c>
      <c r="AR117" s="575"/>
      <c r="AU117" s="575"/>
      <c r="AV117" s="581"/>
    </row>
    <row r="118" spans="1:48" x14ac:dyDescent="0.25">
      <c r="A118" s="572" t="str">
        <f t="shared" si="13"/>
        <v>Cebada160</v>
      </c>
      <c r="B118" s="572" t="s">
        <v>5060</v>
      </c>
      <c r="C118" s="572">
        <v>20</v>
      </c>
      <c r="D118" s="572">
        <v>50</v>
      </c>
      <c r="E118" s="572">
        <v>60</v>
      </c>
      <c r="F118" s="572">
        <v>30</v>
      </c>
      <c r="G118" s="572">
        <f t="shared" si="22"/>
        <v>160</v>
      </c>
      <c r="H118" s="575">
        <v>0.3</v>
      </c>
      <c r="I118" s="575">
        <v>1.1499999999999999</v>
      </c>
      <c r="J118" s="575">
        <v>0.25</v>
      </c>
      <c r="K118" s="572">
        <v>1</v>
      </c>
      <c r="L118" s="572">
        <f t="shared" si="14"/>
        <v>20</v>
      </c>
      <c r="M118" s="572">
        <f t="shared" si="23"/>
        <v>70</v>
      </c>
      <c r="N118" s="572">
        <f t="shared" si="23"/>
        <v>130</v>
      </c>
      <c r="O118" s="572">
        <f t="shared" si="23"/>
        <v>160</v>
      </c>
      <c r="P118" s="575">
        <f t="shared" si="15"/>
        <v>0.3</v>
      </c>
      <c r="Q118" s="575">
        <f t="shared" si="16"/>
        <v>0.3</v>
      </c>
      <c r="R118" s="575">
        <f t="shared" si="16"/>
        <v>1.1499999999999999</v>
      </c>
      <c r="S118" s="575">
        <f t="shared" si="17"/>
        <v>1.1499999999999999</v>
      </c>
      <c r="T118" s="575">
        <f t="shared" si="17"/>
        <v>0.25</v>
      </c>
      <c r="U118" s="579">
        <f t="shared" si="18"/>
        <v>1.6999999999999998E-2</v>
      </c>
      <c r="V118" s="580">
        <f t="shared" si="19"/>
        <v>-4.0000000000000036E-2</v>
      </c>
      <c r="W118" s="579">
        <f t="shared" si="20"/>
        <v>-2.9999999999999995E-2</v>
      </c>
      <c r="X118" s="580">
        <f t="shared" si="21"/>
        <v>5.0499999999999989</v>
      </c>
      <c r="AO118" s="575">
        <v>33.5</v>
      </c>
      <c r="AP118" s="575">
        <v>43.36</v>
      </c>
      <c r="AR118" s="575"/>
      <c r="AS118" s="587"/>
      <c r="AU118" s="575"/>
      <c r="AV118" s="581"/>
    </row>
    <row r="119" spans="1:48" x14ac:dyDescent="0.25">
      <c r="A119" s="572" t="str">
        <f t="shared" si="13"/>
        <v>Avena120</v>
      </c>
      <c r="B119" s="572" t="s">
        <v>5205</v>
      </c>
      <c r="C119" s="572">
        <v>15</v>
      </c>
      <c r="D119" s="572">
        <v>25</v>
      </c>
      <c r="E119" s="572">
        <v>50</v>
      </c>
      <c r="F119" s="572">
        <v>30</v>
      </c>
      <c r="G119" s="572">
        <f t="shared" si="22"/>
        <v>120</v>
      </c>
      <c r="H119" s="575">
        <v>0.3</v>
      </c>
      <c r="I119" s="575">
        <v>1.1499999999999999</v>
      </c>
      <c r="J119" s="575">
        <v>0.25</v>
      </c>
      <c r="K119" s="572">
        <v>1</v>
      </c>
      <c r="L119" s="572">
        <f t="shared" si="14"/>
        <v>15</v>
      </c>
      <c r="M119" s="572">
        <f t="shared" si="23"/>
        <v>40</v>
      </c>
      <c r="N119" s="572">
        <f t="shared" si="23"/>
        <v>90</v>
      </c>
      <c r="O119" s="572">
        <f t="shared" si="23"/>
        <v>120</v>
      </c>
      <c r="P119" s="575">
        <f t="shared" si="15"/>
        <v>0.3</v>
      </c>
      <c r="Q119" s="575">
        <f t="shared" si="16"/>
        <v>0.3</v>
      </c>
      <c r="R119" s="575">
        <f t="shared" si="16"/>
        <v>1.1499999999999999</v>
      </c>
      <c r="S119" s="575">
        <f t="shared" si="17"/>
        <v>1.1499999999999999</v>
      </c>
      <c r="T119" s="575">
        <f t="shared" si="17"/>
        <v>0.25</v>
      </c>
      <c r="U119" s="579">
        <f t="shared" si="18"/>
        <v>3.3999999999999996E-2</v>
      </c>
      <c r="V119" s="580">
        <f t="shared" si="19"/>
        <v>-0.20999999999999996</v>
      </c>
      <c r="W119" s="579">
        <f t="shared" si="20"/>
        <v>-2.9999999999999995E-2</v>
      </c>
      <c r="X119" s="580">
        <f t="shared" si="21"/>
        <v>3.8499999999999996</v>
      </c>
      <c r="AO119" s="575">
        <v>34</v>
      </c>
      <c r="AP119" s="575">
        <v>43.64</v>
      </c>
      <c r="AR119" s="575"/>
      <c r="AU119" s="575"/>
      <c r="AV119" s="581"/>
    </row>
    <row r="120" spans="1:48" x14ac:dyDescent="0.25">
      <c r="A120" s="572" t="str">
        <f t="shared" si="13"/>
        <v>Avena135</v>
      </c>
      <c r="B120" s="572" t="s">
        <v>5205</v>
      </c>
      <c r="C120" s="572">
        <v>20</v>
      </c>
      <c r="D120" s="572">
        <v>25</v>
      </c>
      <c r="E120" s="572">
        <v>60</v>
      </c>
      <c r="F120" s="572">
        <v>30</v>
      </c>
      <c r="G120" s="572">
        <f t="shared" si="22"/>
        <v>135</v>
      </c>
      <c r="H120" s="575">
        <v>0.3</v>
      </c>
      <c r="I120" s="575">
        <v>1.1499999999999999</v>
      </c>
      <c r="J120" s="575">
        <v>0.25</v>
      </c>
      <c r="K120" s="572">
        <v>1</v>
      </c>
      <c r="L120" s="572">
        <f t="shared" si="14"/>
        <v>20</v>
      </c>
      <c r="M120" s="572">
        <f t="shared" si="23"/>
        <v>45</v>
      </c>
      <c r="N120" s="572">
        <f t="shared" si="23"/>
        <v>105</v>
      </c>
      <c r="O120" s="572">
        <f t="shared" si="23"/>
        <v>135</v>
      </c>
      <c r="P120" s="575">
        <f t="shared" si="15"/>
        <v>0.3</v>
      </c>
      <c r="Q120" s="575">
        <f t="shared" si="16"/>
        <v>0.3</v>
      </c>
      <c r="R120" s="575">
        <f t="shared" si="16"/>
        <v>1.1499999999999999</v>
      </c>
      <c r="S120" s="575">
        <f t="shared" si="17"/>
        <v>1.1499999999999999</v>
      </c>
      <c r="T120" s="575">
        <f t="shared" si="17"/>
        <v>0.25</v>
      </c>
      <c r="U120" s="579">
        <f t="shared" si="18"/>
        <v>3.3999999999999996E-2</v>
      </c>
      <c r="V120" s="580">
        <f t="shared" si="19"/>
        <v>-0.37999999999999989</v>
      </c>
      <c r="W120" s="579">
        <f t="shared" si="20"/>
        <v>-2.9999999999999995E-2</v>
      </c>
      <c r="X120" s="580">
        <f t="shared" si="21"/>
        <v>4.3</v>
      </c>
      <c r="AO120" s="575">
        <v>34.5</v>
      </c>
      <c r="AP120" s="575">
        <v>43.93</v>
      </c>
      <c r="AR120" s="575"/>
      <c r="AS120" s="587"/>
      <c r="AU120" s="575"/>
      <c r="AV120" s="581"/>
    </row>
    <row r="121" spans="1:48" x14ac:dyDescent="0.25">
      <c r="A121" s="572" t="str">
        <f t="shared" si="13"/>
        <v>Avena150</v>
      </c>
      <c r="B121" s="572" t="s">
        <v>5205</v>
      </c>
      <c r="C121" s="572">
        <v>15</v>
      </c>
      <c r="D121" s="572">
        <v>30</v>
      </c>
      <c r="E121" s="572">
        <v>65</v>
      </c>
      <c r="F121" s="572">
        <v>40</v>
      </c>
      <c r="G121" s="572">
        <f t="shared" si="22"/>
        <v>150</v>
      </c>
      <c r="H121" s="575">
        <v>0.3</v>
      </c>
      <c r="I121" s="575">
        <v>1.1499999999999999</v>
      </c>
      <c r="J121" s="575">
        <v>0.25</v>
      </c>
      <c r="K121" s="572">
        <v>1</v>
      </c>
      <c r="L121" s="572">
        <f t="shared" si="14"/>
        <v>15</v>
      </c>
      <c r="M121" s="572">
        <f t="shared" si="23"/>
        <v>45</v>
      </c>
      <c r="N121" s="572">
        <f t="shared" si="23"/>
        <v>110</v>
      </c>
      <c r="O121" s="572">
        <f t="shared" si="23"/>
        <v>150</v>
      </c>
      <c r="P121" s="575">
        <f t="shared" si="15"/>
        <v>0.3</v>
      </c>
      <c r="Q121" s="575">
        <f t="shared" si="16"/>
        <v>0.3</v>
      </c>
      <c r="R121" s="575">
        <f t="shared" si="16"/>
        <v>1.1499999999999999</v>
      </c>
      <c r="S121" s="575">
        <f t="shared" si="17"/>
        <v>1.1499999999999999</v>
      </c>
      <c r="T121" s="575">
        <f t="shared" si="17"/>
        <v>0.25</v>
      </c>
      <c r="U121" s="579">
        <f t="shared" si="18"/>
        <v>2.8333333333333328E-2</v>
      </c>
      <c r="V121" s="580">
        <f t="shared" si="19"/>
        <v>-0.12499999999999978</v>
      </c>
      <c r="W121" s="579">
        <f t="shared" si="20"/>
        <v>-2.2499999999999999E-2</v>
      </c>
      <c r="X121" s="580">
        <f t="shared" si="21"/>
        <v>3.625</v>
      </c>
      <c r="AO121" s="575">
        <v>35</v>
      </c>
      <c r="AP121" s="575">
        <v>44.21</v>
      </c>
      <c r="AR121" s="575"/>
      <c r="AU121" s="575"/>
      <c r="AV121" s="581"/>
    </row>
    <row r="122" spans="1:48" x14ac:dyDescent="0.25">
      <c r="A122" s="572" t="str">
        <f t="shared" si="13"/>
        <v>Avena130</v>
      </c>
      <c r="B122" s="572" t="s">
        <v>5205</v>
      </c>
      <c r="C122" s="572">
        <v>40</v>
      </c>
      <c r="D122" s="572">
        <v>30</v>
      </c>
      <c r="E122" s="572">
        <v>40</v>
      </c>
      <c r="F122" s="572">
        <v>20</v>
      </c>
      <c r="G122" s="572">
        <f t="shared" si="22"/>
        <v>130</v>
      </c>
      <c r="H122" s="575">
        <v>0.3</v>
      </c>
      <c r="I122" s="575">
        <v>1.1499999999999999</v>
      </c>
      <c r="J122" s="575">
        <v>0.25</v>
      </c>
      <c r="K122" s="572">
        <v>1</v>
      </c>
      <c r="L122" s="572">
        <f t="shared" si="14"/>
        <v>40</v>
      </c>
      <c r="M122" s="572">
        <f t="shared" si="23"/>
        <v>70</v>
      </c>
      <c r="N122" s="572">
        <f t="shared" si="23"/>
        <v>110</v>
      </c>
      <c r="O122" s="572">
        <f t="shared" si="23"/>
        <v>130</v>
      </c>
      <c r="P122" s="575">
        <f t="shared" si="15"/>
        <v>0.3</v>
      </c>
      <c r="Q122" s="575">
        <f t="shared" si="16"/>
        <v>0.3</v>
      </c>
      <c r="R122" s="575">
        <f t="shared" si="16"/>
        <v>1.1499999999999999</v>
      </c>
      <c r="S122" s="575">
        <f t="shared" si="17"/>
        <v>1.1499999999999999</v>
      </c>
      <c r="T122" s="575">
        <f t="shared" si="17"/>
        <v>0.25</v>
      </c>
      <c r="U122" s="579">
        <f t="shared" si="18"/>
        <v>2.8333333333333328E-2</v>
      </c>
      <c r="V122" s="580">
        <f t="shared" si="19"/>
        <v>-0.83333333333333304</v>
      </c>
      <c r="W122" s="579">
        <f t="shared" si="20"/>
        <v>-4.4999999999999998E-2</v>
      </c>
      <c r="X122" s="580">
        <f t="shared" si="21"/>
        <v>6.1</v>
      </c>
      <c r="AO122" s="575">
        <v>35.5</v>
      </c>
      <c r="AP122" s="575">
        <v>44.5</v>
      </c>
      <c r="AR122" s="575"/>
      <c r="AS122" s="587"/>
      <c r="AU122" s="575"/>
      <c r="AV122" s="581"/>
    </row>
    <row r="123" spans="1:48" x14ac:dyDescent="0.25">
      <c r="A123" s="572" t="str">
        <f t="shared" si="13"/>
        <v>Avena200</v>
      </c>
      <c r="B123" s="572" t="s">
        <v>5205</v>
      </c>
      <c r="C123" s="572">
        <v>40</v>
      </c>
      <c r="D123" s="572">
        <v>60</v>
      </c>
      <c r="E123" s="572">
        <v>60</v>
      </c>
      <c r="F123" s="572">
        <v>40</v>
      </c>
      <c r="G123" s="572">
        <f t="shared" si="22"/>
        <v>200</v>
      </c>
      <c r="H123" s="575">
        <v>0.3</v>
      </c>
      <c r="I123" s="575">
        <v>1.1499999999999999</v>
      </c>
      <c r="J123" s="575">
        <v>0.25</v>
      </c>
      <c r="K123" s="572">
        <v>1</v>
      </c>
      <c r="L123" s="572">
        <f t="shared" si="14"/>
        <v>40</v>
      </c>
      <c r="M123" s="572">
        <f t="shared" si="23"/>
        <v>100</v>
      </c>
      <c r="N123" s="572">
        <f t="shared" si="23"/>
        <v>160</v>
      </c>
      <c r="O123" s="572">
        <f t="shared" si="23"/>
        <v>200</v>
      </c>
      <c r="P123" s="575">
        <f t="shared" si="15"/>
        <v>0.3</v>
      </c>
      <c r="Q123" s="575">
        <f t="shared" si="16"/>
        <v>0.3</v>
      </c>
      <c r="R123" s="575">
        <f t="shared" si="16"/>
        <v>1.1499999999999999</v>
      </c>
      <c r="S123" s="575">
        <f t="shared" si="17"/>
        <v>1.1499999999999999</v>
      </c>
      <c r="T123" s="575">
        <f t="shared" si="17"/>
        <v>0.25</v>
      </c>
      <c r="U123" s="579">
        <f t="shared" si="18"/>
        <v>1.4166666666666664E-2</v>
      </c>
      <c r="V123" s="580">
        <f t="shared" si="19"/>
        <v>-0.26666666666666661</v>
      </c>
      <c r="W123" s="579">
        <f t="shared" si="20"/>
        <v>-2.2499999999999999E-2</v>
      </c>
      <c r="X123" s="580">
        <f t="shared" si="21"/>
        <v>4.75</v>
      </c>
      <c r="AO123" s="575">
        <v>36</v>
      </c>
      <c r="AP123" s="575">
        <v>44.79</v>
      </c>
      <c r="AR123" s="575"/>
      <c r="AU123" s="575"/>
      <c r="AV123" s="581"/>
    </row>
    <row r="124" spans="1:48" x14ac:dyDescent="0.25">
      <c r="A124" s="572" t="str">
        <f t="shared" si="13"/>
        <v>Avena160</v>
      </c>
      <c r="B124" s="572" t="s">
        <v>5205</v>
      </c>
      <c r="C124" s="572">
        <v>20</v>
      </c>
      <c r="D124" s="572">
        <v>50</v>
      </c>
      <c r="E124" s="572">
        <v>60</v>
      </c>
      <c r="F124" s="572">
        <v>30</v>
      </c>
      <c r="G124" s="572">
        <f t="shared" si="22"/>
        <v>160</v>
      </c>
      <c r="H124" s="575">
        <v>0.3</v>
      </c>
      <c r="I124" s="575">
        <v>1.1499999999999999</v>
      </c>
      <c r="J124" s="575">
        <v>0.25</v>
      </c>
      <c r="K124" s="572">
        <v>1</v>
      </c>
      <c r="L124" s="572">
        <f t="shared" si="14"/>
        <v>20</v>
      </c>
      <c r="M124" s="572">
        <f t="shared" si="23"/>
        <v>70</v>
      </c>
      <c r="N124" s="572">
        <f t="shared" si="23"/>
        <v>130</v>
      </c>
      <c r="O124" s="572">
        <f t="shared" si="23"/>
        <v>160</v>
      </c>
      <c r="P124" s="575">
        <f t="shared" si="15"/>
        <v>0.3</v>
      </c>
      <c r="Q124" s="575">
        <f t="shared" si="16"/>
        <v>0.3</v>
      </c>
      <c r="R124" s="575">
        <f t="shared" si="16"/>
        <v>1.1499999999999999</v>
      </c>
      <c r="S124" s="575">
        <f t="shared" si="17"/>
        <v>1.1499999999999999</v>
      </c>
      <c r="T124" s="575">
        <f t="shared" si="17"/>
        <v>0.25</v>
      </c>
      <c r="U124" s="579">
        <f t="shared" si="18"/>
        <v>1.6999999999999998E-2</v>
      </c>
      <c r="V124" s="580">
        <f t="shared" si="19"/>
        <v>-4.0000000000000036E-2</v>
      </c>
      <c r="W124" s="579">
        <f t="shared" si="20"/>
        <v>-2.9999999999999995E-2</v>
      </c>
      <c r="X124" s="580">
        <f t="shared" si="21"/>
        <v>5.0499999999999989</v>
      </c>
      <c r="AO124" s="575">
        <v>36.5</v>
      </c>
      <c r="AP124" s="575">
        <v>45.08</v>
      </c>
      <c r="AR124" s="575"/>
      <c r="AS124" s="587"/>
      <c r="AU124" s="575"/>
      <c r="AV124" s="581"/>
    </row>
    <row r="125" spans="1:48" x14ac:dyDescent="0.25">
      <c r="A125" s="572" t="str">
        <f t="shared" si="13"/>
        <v>Trigo120</v>
      </c>
      <c r="B125" s="572" t="s">
        <v>5206</v>
      </c>
      <c r="C125" s="572">
        <v>15</v>
      </c>
      <c r="D125" s="572">
        <v>25</v>
      </c>
      <c r="E125" s="572">
        <v>50</v>
      </c>
      <c r="F125" s="572">
        <v>30</v>
      </c>
      <c r="G125" s="572">
        <f t="shared" si="22"/>
        <v>120</v>
      </c>
      <c r="H125" s="575">
        <v>0.3</v>
      </c>
      <c r="I125" s="575">
        <v>1.1499999999999999</v>
      </c>
      <c r="J125" s="575">
        <v>0.25</v>
      </c>
      <c r="K125" s="572">
        <v>1</v>
      </c>
      <c r="L125" s="572">
        <f t="shared" si="14"/>
        <v>15</v>
      </c>
      <c r="M125" s="572">
        <f t="shared" si="23"/>
        <v>40</v>
      </c>
      <c r="N125" s="572">
        <f t="shared" si="23"/>
        <v>90</v>
      </c>
      <c r="O125" s="572">
        <f t="shared" si="23"/>
        <v>120</v>
      </c>
      <c r="P125" s="575">
        <f t="shared" si="15"/>
        <v>0.3</v>
      </c>
      <c r="Q125" s="575">
        <f t="shared" si="16"/>
        <v>0.3</v>
      </c>
      <c r="R125" s="575">
        <f t="shared" si="16"/>
        <v>1.1499999999999999</v>
      </c>
      <c r="S125" s="575">
        <f t="shared" si="17"/>
        <v>1.1499999999999999</v>
      </c>
      <c r="T125" s="575">
        <f t="shared" si="17"/>
        <v>0.25</v>
      </c>
      <c r="U125" s="579">
        <f t="shared" si="18"/>
        <v>3.3999999999999996E-2</v>
      </c>
      <c r="V125" s="580">
        <f t="shared" si="19"/>
        <v>-0.20999999999999996</v>
      </c>
      <c r="W125" s="579">
        <f t="shared" si="20"/>
        <v>-2.9999999999999995E-2</v>
      </c>
      <c r="X125" s="580">
        <f t="shared" si="21"/>
        <v>3.8499999999999996</v>
      </c>
      <c r="AO125" s="575">
        <v>37</v>
      </c>
      <c r="AP125" s="575">
        <v>45.37</v>
      </c>
      <c r="AR125" s="575"/>
      <c r="AU125" s="575"/>
      <c r="AV125" s="581"/>
    </row>
    <row r="126" spans="1:48" x14ac:dyDescent="0.25">
      <c r="A126" s="572" t="str">
        <f t="shared" si="13"/>
        <v>Trigo135</v>
      </c>
      <c r="B126" s="572" t="s">
        <v>5206</v>
      </c>
      <c r="C126" s="572">
        <v>20</v>
      </c>
      <c r="D126" s="572">
        <v>25</v>
      </c>
      <c r="E126" s="572">
        <v>60</v>
      </c>
      <c r="F126" s="572">
        <v>30</v>
      </c>
      <c r="G126" s="572">
        <f t="shared" si="22"/>
        <v>135</v>
      </c>
      <c r="H126" s="575">
        <v>0.3</v>
      </c>
      <c r="I126" s="575">
        <v>1.1499999999999999</v>
      </c>
      <c r="J126" s="575">
        <v>0.25</v>
      </c>
      <c r="K126" s="572">
        <v>1</v>
      </c>
      <c r="L126" s="572">
        <f t="shared" si="14"/>
        <v>20</v>
      </c>
      <c r="M126" s="572">
        <f t="shared" si="23"/>
        <v>45</v>
      </c>
      <c r="N126" s="572">
        <f t="shared" si="23"/>
        <v>105</v>
      </c>
      <c r="O126" s="572">
        <f t="shared" si="23"/>
        <v>135</v>
      </c>
      <c r="P126" s="575">
        <f t="shared" si="15"/>
        <v>0.3</v>
      </c>
      <c r="Q126" s="575">
        <f t="shared" si="16"/>
        <v>0.3</v>
      </c>
      <c r="R126" s="575">
        <f t="shared" si="16"/>
        <v>1.1499999999999999</v>
      </c>
      <c r="S126" s="575">
        <f t="shared" si="17"/>
        <v>1.1499999999999999</v>
      </c>
      <c r="T126" s="575">
        <f t="shared" si="17"/>
        <v>0.25</v>
      </c>
      <c r="U126" s="579">
        <f t="shared" si="18"/>
        <v>3.3999999999999996E-2</v>
      </c>
      <c r="V126" s="580">
        <f t="shared" si="19"/>
        <v>-0.37999999999999989</v>
      </c>
      <c r="W126" s="579">
        <f t="shared" si="20"/>
        <v>-2.9999999999999995E-2</v>
      </c>
      <c r="X126" s="580">
        <f t="shared" si="21"/>
        <v>4.3</v>
      </c>
      <c r="AO126" s="575">
        <v>37.5</v>
      </c>
      <c r="AP126" s="575">
        <v>45.67</v>
      </c>
      <c r="AR126" s="575"/>
      <c r="AS126" s="587"/>
      <c r="AU126" s="575"/>
      <c r="AV126" s="581"/>
    </row>
    <row r="127" spans="1:48" x14ac:dyDescent="0.25">
      <c r="A127" s="572" t="str">
        <f t="shared" si="13"/>
        <v>Trigo150</v>
      </c>
      <c r="B127" s="572" t="s">
        <v>5206</v>
      </c>
      <c r="C127" s="572">
        <v>15</v>
      </c>
      <c r="D127" s="572">
        <v>30</v>
      </c>
      <c r="E127" s="572">
        <v>65</v>
      </c>
      <c r="F127" s="572">
        <v>40</v>
      </c>
      <c r="G127" s="572">
        <f t="shared" si="22"/>
        <v>150</v>
      </c>
      <c r="H127" s="575">
        <v>0.3</v>
      </c>
      <c r="I127" s="575">
        <v>1.1499999999999999</v>
      </c>
      <c r="J127" s="575">
        <v>0.25</v>
      </c>
      <c r="K127" s="572">
        <v>1</v>
      </c>
      <c r="L127" s="572">
        <f t="shared" si="14"/>
        <v>15</v>
      </c>
      <c r="M127" s="572">
        <f t="shared" si="23"/>
        <v>45</v>
      </c>
      <c r="N127" s="572">
        <f t="shared" si="23"/>
        <v>110</v>
      </c>
      <c r="O127" s="572">
        <f t="shared" si="23"/>
        <v>150</v>
      </c>
      <c r="P127" s="575">
        <f t="shared" si="15"/>
        <v>0.3</v>
      </c>
      <c r="Q127" s="575">
        <f t="shared" si="16"/>
        <v>0.3</v>
      </c>
      <c r="R127" s="575">
        <f t="shared" si="16"/>
        <v>1.1499999999999999</v>
      </c>
      <c r="S127" s="575">
        <f t="shared" si="17"/>
        <v>1.1499999999999999</v>
      </c>
      <c r="T127" s="575">
        <f t="shared" si="17"/>
        <v>0.25</v>
      </c>
      <c r="U127" s="579">
        <f t="shared" si="18"/>
        <v>2.8333333333333328E-2</v>
      </c>
      <c r="V127" s="580">
        <f t="shared" si="19"/>
        <v>-0.12499999999999978</v>
      </c>
      <c r="W127" s="579">
        <f t="shared" si="20"/>
        <v>-2.2499999999999999E-2</v>
      </c>
      <c r="X127" s="580">
        <f t="shared" si="21"/>
        <v>3.625</v>
      </c>
      <c r="AO127" s="575">
        <v>38</v>
      </c>
      <c r="AP127" s="575">
        <v>45.96</v>
      </c>
      <c r="AR127" s="575"/>
      <c r="AU127" s="575"/>
      <c r="AV127" s="581"/>
    </row>
    <row r="128" spans="1:48" x14ac:dyDescent="0.25">
      <c r="A128" s="572" t="str">
        <f t="shared" si="13"/>
        <v>Trigo130</v>
      </c>
      <c r="B128" s="572" t="s">
        <v>5206</v>
      </c>
      <c r="C128" s="572">
        <v>40</v>
      </c>
      <c r="D128" s="572">
        <v>30</v>
      </c>
      <c r="E128" s="572">
        <v>40</v>
      </c>
      <c r="F128" s="572">
        <v>20</v>
      </c>
      <c r="G128" s="572">
        <f t="shared" si="22"/>
        <v>130</v>
      </c>
      <c r="H128" s="575">
        <v>0.3</v>
      </c>
      <c r="I128" s="575">
        <v>1.1499999999999999</v>
      </c>
      <c r="J128" s="575">
        <v>0.25</v>
      </c>
      <c r="K128" s="572">
        <v>1</v>
      </c>
      <c r="L128" s="572">
        <f t="shared" si="14"/>
        <v>40</v>
      </c>
      <c r="M128" s="572">
        <f t="shared" si="23"/>
        <v>70</v>
      </c>
      <c r="N128" s="572">
        <f t="shared" si="23"/>
        <v>110</v>
      </c>
      <c r="O128" s="572">
        <f t="shared" si="23"/>
        <v>130</v>
      </c>
      <c r="P128" s="575">
        <f t="shared" si="15"/>
        <v>0.3</v>
      </c>
      <c r="Q128" s="575">
        <f t="shared" si="16"/>
        <v>0.3</v>
      </c>
      <c r="R128" s="575">
        <f t="shared" si="16"/>
        <v>1.1499999999999999</v>
      </c>
      <c r="S128" s="575">
        <f t="shared" si="17"/>
        <v>1.1499999999999999</v>
      </c>
      <c r="T128" s="575">
        <f t="shared" si="17"/>
        <v>0.25</v>
      </c>
      <c r="U128" s="579">
        <f t="shared" si="18"/>
        <v>2.8333333333333328E-2</v>
      </c>
      <c r="V128" s="580">
        <f t="shared" si="19"/>
        <v>-0.83333333333333304</v>
      </c>
      <c r="W128" s="579">
        <f t="shared" si="20"/>
        <v>-4.4999999999999998E-2</v>
      </c>
      <c r="X128" s="580">
        <f t="shared" si="21"/>
        <v>6.1</v>
      </c>
      <c r="AO128" s="575">
        <v>38.5</v>
      </c>
      <c r="AP128" s="575">
        <v>46.26</v>
      </c>
      <c r="AR128" s="575"/>
      <c r="AS128" s="587"/>
      <c r="AU128" s="575"/>
      <c r="AV128" s="581"/>
    </row>
    <row r="129" spans="1:48" x14ac:dyDescent="0.25">
      <c r="A129" s="572" t="str">
        <f t="shared" si="13"/>
        <v>Trigo200</v>
      </c>
      <c r="B129" s="572" t="s">
        <v>5206</v>
      </c>
      <c r="C129" s="572">
        <v>40</v>
      </c>
      <c r="D129" s="572">
        <v>60</v>
      </c>
      <c r="E129" s="572">
        <v>60</v>
      </c>
      <c r="F129" s="572">
        <v>40</v>
      </c>
      <c r="G129" s="572">
        <f t="shared" si="22"/>
        <v>200</v>
      </c>
      <c r="H129" s="575">
        <v>0.3</v>
      </c>
      <c r="I129" s="575">
        <v>1.1499999999999999</v>
      </c>
      <c r="J129" s="575">
        <v>0.25</v>
      </c>
      <c r="K129" s="572">
        <v>1</v>
      </c>
      <c r="L129" s="572">
        <f t="shared" si="14"/>
        <v>40</v>
      </c>
      <c r="M129" s="572">
        <f t="shared" si="23"/>
        <v>100</v>
      </c>
      <c r="N129" s="572">
        <f t="shared" si="23"/>
        <v>160</v>
      </c>
      <c r="O129" s="572">
        <f t="shared" si="23"/>
        <v>200</v>
      </c>
      <c r="P129" s="575">
        <f t="shared" si="15"/>
        <v>0.3</v>
      </c>
      <c r="Q129" s="575">
        <f t="shared" si="16"/>
        <v>0.3</v>
      </c>
      <c r="R129" s="575">
        <f t="shared" si="16"/>
        <v>1.1499999999999999</v>
      </c>
      <c r="S129" s="575">
        <f t="shared" si="17"/>
        <v>1.1499999999999999</v>
      </c>
      <c r="T129" s="575">
        <f t="shared" si="17"/>
        <v>0.25</v>
      </c>
      <c r="U129" s="579">
        <f t="shared" si="18"/>
        <v>1.4166666666666664E-2</v>
      </c>
      <c r="V129" s="580">
        <f t="shared" si="19"/>
        <v>-0.26666666666666661</v>
      </c>
      <c r="W129" s="579">
        <f t="shared" si="20"/>
        <v>-2.2499999999999999E-2</v>
      </c>
      <c r="X129" s="580">
        <f t="shared" si="21"/>
        <v>4.75</v>
      </c>
      <c r="AO129" s="575">
        <v>39</v>
      </c>
      <c r="AP129" s="575">
        <v>46.56</v>
      </c>
      <c r="AR129" s="575"/>
      <c r="AU129" s="575"/>
      <c r="AV129" s="581"/>
    </row>
    <row r="130" spans="1:48" x14ac:dyDescent="0.25">
      <c r="A130" s="572" t="str">
        <f t="shared" si="13"/>
        <v>Trigo160</v>
      </c>
      <c r="B130" s="572" t="s">
        <v>5206</v>
      </c>
      <c r="C130" s="572">
        <v>20</v>
      </c>
      <c r="D130" s="572">
        <v>50</v>
      </c>
      <c r="E130" s="572">
        <v>60</v>
      </c>
      <c r="F130" s="572">
        <v>30</v>
      </c>
      <c r="G130" s="572">
        <f t="shared" si="22"/>
        <v>160</v>
      </c>
      <c r="H130" s="575">
        <v>0.3</v>
      </c>
      <c r="I130" s="575">
        <v>1.1499999999999999</v>
      </c>
      <c r="J130" s="575">
        <v>0.25</v>
      </c>
      <c r="K130" s="572">
        <v>1</v>
      </c>
      <c r="L130" s="572">
        <f t="shared" si="14"/>
        <v>20</v>
      </c>
      <c r="M130" s="572">
        <f t="shared" si="23"/>
        <v>70</v>
      </c>
      <c r="N130" s="572">
        <f t="shared" si="23"/>
        <v>130</v>
      </c>
      <c r="O130" s="572">
        <f t="shared" si="23"/>
        <v>160</v>
      </c>
      <c r="P130" s="575">
        <f t="shared" si="15"/>
        <v>0.3</v>
      </c>
      <c r="Q130" s="575">
        <f t="shared" si="16"/>
        <v>0.3</v>
      </c>
      <c r="R130" s="575">
        <f t="shared" si="16"/>
        <v>1.1499999999999999</v>
      </c>
      <c r="S130" s="575">
        <f t="shared" si="17"/>
        <v>1.1499999999999999</v>
      </c>
      <c r="T130" s="575">
        <f t="shared" si="17"/>
        <v>0.25</v>
      </c>
      <c r="U130" s="579">
        <f t="shared" si="18"/>
        <v>1.6999999999999998E-2</v>
      </c>
      <c r="V130" s="580">
        <f t="shared" si="19"/>
        <v>-4.0000000000000036E-2</v>
      </c>
      <c r="W130" s="579">
        <f t="shared" si="20"/>
        <v>-2.9999999999999995E-2</v>
      </c>
      <c r="X130" s="580">
        <f t="shared" si="21"/>
        <v>5.0499999999999989</v>
      </c>
      <c r="AO130" s="575">
        <v>39.5</v>
      </c>
      <c r="AP130" s="575">
        <v>46.85</v>
      </c>
      <c r="AR130" s="575"/>
      <c r="AS130" s="587"/>
      <c r="AU130" s="575"/>
      <c r="AV130" s="581"/>
    </row>
    <row r="131" spans="1:48" x14ac:dyDescent="0.25">
      <c r="A131" s="572" t="str">
        <f t="shared" si="13"/>
        <v>Trigo de invierno180</v>
      </c>
      <c r="B131" s="572" t="s">
        <v>5207</v>
      </c>
      <c r="C131" s="572">
        <v>20</v>
      </c>
      <c r="D131" s="572">
        <v>60</v>
      </c>
      <c r="E131" s="572">
        <v>70</v>
      </c>
      <c r="F131" s="572">
        <v>30</v>
      </c>
      <c r="G131" s="572">
        <f t="shared" si="22"/>
        <v>180</v>
      </c>
      <c r="H131" s="575">
        <v>0.7</v>
      </c>
      <c r="I131" s="575">
        <v>1.1499999999999999</v>
      </c>
      <c r="J131" s="575">
        <v>0.25</v>
      </c>
      <c r="K131" s="572">
        <v>1</v>
      </c>
      <c r="L131" s="572">
        <f t="shared" si="14"/>
        <v>20</v>
      </c>
      <c r="M131" s="572">
        <f t="shared" ref="M131:O162" si="24">L131+D131</f>
        <v>80</v>
      </c>
      <c r="N131" s="572">
        <f t="shared" si="24"/>
        <v>150</v>
      </c>
      <c r="O131" s="572">
        <f t="shared" si="24"/>
        <v>180</v>
      </c>
      <c r="P131" s="575">
        <f t="shared" si="15"/>
        <v>0.7</v>
      </c>
      <c r="Q131" s="575">
        <f t="shared" si="16"/>
        <v>0.7</v>
      </c>
      <c r="R131" s="575">
        <f t="shared" si="16"/>
        <v>1.1499999999999999</v>
      </c>
      <c r="S131" s="575">
        <f t="shared" si="17"/>
        <v>1.1499999999999999</v>
      </c>
      <c r="T131" s="575">
        <f t="shared" si="17"/>
        <v>0.25</v>
      </c>
      <c r="U131" s="579">
        <f t="shared" si="18"/>
        <v>7.4999999999999989E-3</v>
      </c>
      <c r="V131" s="580">
        <f t="shared" si="19"/>
        <v>0.55000000000000004</v>
      </c>
      <c r="W131" s="579">
        <f t="shared" si="20"/>
        <v>-2.9999999999999995E-2</v>
      </c>
      <c r="X131" s="580">
        <f t="shared" si="21"/>
        <v>5.6499999999999995</v>
      </c>
      <c r="AO131" s="575">
        <v>40</v>
      </c>
      <c r="AP131" s="575">
        <v>47.15</v>
      </c>
      <c r="AR131" s="575"/>
      <c r="AU131" s="575"/>
      <c r="AV131" s="581"/>
    </row>
    <row r="132" spans="1:48" x14ac:dyDescent="0.25">
      <c r="A132" s="572" t="str">
        <f t="shared" ref="A132:A191" si="25">B132&amp;G132</f>
        <v>Trigo de invierno240</v>
      </c>
      <c r="B132" s="572" t="s">
        <v>5207</v>
      </c>
      <c r="C132" s="572">
        <v>30</v>
      </c>
      <c r="D132" s="572">
        <v>140</v>
      </c>
      <c r="E132" s="572">
        <v>40</v>
      </c>
      <c r="F132" s="572">
        <v>30</v>
      </c>
      <c r="G132" s="572">
        <f t="shared" si="22"/>
        <v>240</v>
      </c>
      <c r="H132" s="575">
        <v>0.7</v>
      </c>
      <c r="I132" s="575">
        <v>1.1499999999999999</v>
      </c>
      <c r="J132" s="575">
        <v>0.25</v>
      </c>
      <c r="K132" s="572">
        <v>1</v>
      </c>
      <c r="L132" s="572">
        <f t="shared" ref="L132:L191" si="26">C132</f>
        <v>30</v>
      </c>
      <c r="M132" s="572">
        <f t="shared" si="24"/>
        <v>170</v>
      </c>
      <c r="N132" s="572">
        <f t="shared" si="24"/>
        <v>210</v>
      </c>
      <c r="O132" s="572">
        <f t="shared" si="24"/>
        <v>240</v>
      </c>
      <c r="P132" s="575">
        <f t="shared" ref="P132:P191" si="27">H132</f>
        <v>0.7</v>
      </c>
      <c r="Q132" s="575">
        <f t="shared" ref="Q132:R191" si="28">H132</f>
        <v>0.7</v>
      </c>
      <c r="R132" s="575">
        <f t="shared" si="28"/>
        <v>1.1499999999999999</v>
      </c>
      <c r="S132" s="575">
        <f t="shared" ref="S132:T191" si="29">I132</f>
        <v>1.1499999999999999</v>
      </c>
      <c r="T132" s="575">
        <f t="shared" si="29"/>
        <v>0.25</v>
      </c>
      <c r="U132" s="579">
        <f t="shared" ref="U132:U191" si="30">(R132-Q132)/(M132-L132)</f>
        <v>3.2142857142857138E-3</v>
      </c>
      <c r="V132" s="580">
        <f t="shared" ref="V132:V191" si="31">R132-(U132*M132)</f>
        <v>0.60357142857142854</v>
      </c>
      <c r="W132" s="579">
        <f t="shared" ref="W132:W191" si="32">(T132-S132)/(O132-N132)</f>
        <v>-2.9999999999999995E-2</v>
      </c>
      <c r="X132" s="580">
        <f t="shared" ref="X132:X191" si="33">T132-W132*O132</f>
        <v>7.4499999999999993</v>
      </c>
      <c r="AO132" s="575">
        <v>40.5</v>
      </c>
      <c r="AP132" s="575">
        <v>47.46</v>
      </c>
      <c r="AR132" s="575"/>
      <c r="AS132" s="587"/>
      <c r="AU132" s="575"/>
      <c r="AV132" s="581"/>
    </row>
    <row r="133" spans="1:48" x14ac:dyDescent="0.25">
      <c r="A133" s="572" t="str">
        <f t="shared" si="25"/>
        <v>Trigo de invierno335</v>
      </c>
      <c r="B133" s="572" t="s">
        <v>5207</v>
      </c>
      <c r="C133" s="572">
        <v>160</v>
      </c>
      <c r="D133" s="572">
        <v>75</v>
      </c>
      <c r="E133" s="572">
        <v>75</v>
      </c>
      <c r="F133" s="572">
        <v>25</v>
      </c>
      <c r="G133" s="572">
        <f t="shared" si="22"/>
        <v>335</v>
      </c>
      <c r="H133" s="575">
        <v>0.7</v>
      </c>
      <c r="I133" s="575">
        <v>1.1499999999999999</v>
      </c>
      <c r="J133" s="575">
        <v>0.25</v>
      </c>
      <c r="K133" s="572">
        <v>1</v>
      </c>
      <c r="L133" s="572">
        <f t="shared" si="26"/>
        <v>160</v>
      </c>
      <c r="M133" s="572">
        <f t="shared" si="24"/>
        <v>235</v>
      </c>
      <c r="N133" s="572">
        <f t="shared" si="24"/>
        <v>310</v>
      </c>
      <c r="O133" s="572">
        <f t="shared" si="24"/>
        <v>335</v>
      </c>
      <c r="P133" s="575">
        <f t="shared" si="27"/>
        <v>0.7</v>
      </c>
      <c r="Q133" s="575">
        <f t="shared" si="28"/>
        <v>0.7</v>
      </c>
      <c r="R133" s="575">
        <f t="shared" si="28"/>
        <v>1.1499999999999999</v>
      </c>
      <c r="S133" s="575">
        <f t="shared" si="29"/>
        <v>1.1499999999999999</v>
      </c>
      <c r="T133" s="575">
        <f t="shared" si="29"/>
        <v>0.25</v>
      </c>
      <c r="U133" s="579">
        <f t="shared" si="30"/>
        <v>5.9999999999999993E-3</v>
      </c>
      <c r="V133" s="580">
        <f t="shared" si="31"/>
        <v>-0.26</v>
      </c>
      <c r="W133" s="579">
        <f t="shared" si="32"/>
        <v>-3.5999999999999997E-2</v>
      </c>
      <c r="X133" s="580">
        <f t="shared" si="33"/>
        <v>12.309999999999999</v>
      </c>
      <c r="AO133" s="575">
        <v>41</v>
      </c>
      <c r="AP133" s="575">
        <v>47.76</v>
      </c>
      <c r="AR133" s="575"/>
      <c r="AU133" s="575"/>
      <c r="AV133" s="581"/>
    </row>
    <row r="134" spans="1:48" x14ac:dyDescent="0.25">
      <c r="A134" s="572" t="str">
        <f t="shared" si="25"/>
        <v>Maíz grano180</v>
      </c>
      <c r="B134" s="572" t="s">
        <v>5054</v>
      </c>
      <c r="C134" s="572">
        <v>30</v>
      </c>
      <c r="D134" s="572">
        <v>50</v>
      </c>
      <c r="E134" s="572">
        <v>60</v>
      </c>
      <c r="F134" s="572">
        <v>40</v>
      </c>
      <c r="G134" s="572">
        <f t="shared" ref="G134:G191" si="34">SUM(C134:F134)</f>
        <v>180</v>
      </c>
      <c r="H134" s="575">
        <v>0.7</v>
      </c>
      <c r="I134" s="575">
        <v>1.2</v>
      </c>
      <c r="J134" s="575">
        <v>0.35</v>
      </c>
      <c r="K134" s="572">
        <v>1</v>
      </c>
      <c r="L134" s="572">
        <f t="shared" si="26"/>
        <v>30</v>
      </c>
      <c r="M134" s="572">
        <f t="shared" si="24"/>
        <v>80</v>
      </c>
      <c r="N134" s="572">
        <f t="shared" si="24"/>
        <v>140</v>
      </c>
      <c r="O134" s="572">
        <f t="shared" si="24"/>
        <v>180</v>
      </c>
      <c r="P134" s="575">
        <f t="shared" si="27"/>
        <v>0.7</v>
      </c>
      <c r="Q134" s="575">
        <f t="shared" si="28"/>
        <v>0.7</v>
      </c>
      <c r="R134" s="575">
        <f t="shared" si="28"/>
        <v>1.2</v>
      </c>
      <c r="S134" s="575">
        <f t="shared" si="29"/>
        <v>1.2</v>
      </c>
      <c r="T134" s="575">
        <f t="shared" si="29"/>
        <v>0.35</v>
      </c>
      <c r="U134" s="579">
        <f t="shared" si="30"/>
        <v>0.01</v>
      </c>
      <c r="V134" s="580">
        <f t="shared" si="31"/>
        <v>0.39999999999999991</v>
      </c>
      <c r="W134" s="579">
        <f t="shared" si="32"/>
        <v>-2.1249999999999998E-2</v>
      </c>
      <c r="X134" s="580">
        <f t="shared" si="33"/>
        <v>4.1749999999999998</v>
      </c>
      <c r="AO134" s="575">
        <v>41.5</v>
      </c>
      <c r="AP134" s="575">
        <v>48.06</v>
      </c>
      <c r="AR134" s="575"/>
      <c r="AS134" s="587"/>
      <c r="AU134" s="575"/>
      <c r="AV134" s="581"/>
    </row>
    <row r="135" spans="1:48" x14ac:dyDescent="0.25">
      <c r="A135" s="572" t="str">
        <f t="shared" si="25"/>
        <v>Maíz grano140</v>
      </c>
      <c r="B135" s="572" t="s">
        <v>5054</v>
      </c>
      <c r="C135" s="572">
        <v>25</v>
      </c>
      <c r="D135" s="572">
        <v>40</v>
      </c>
      <c r="E135" s="572">
        <v>45</v>
      </c>
      <c r="F135" s="572">
        <v>30</v>
      </c>
      <c r="G135" s="572">
        <f t="shared" si="34"/>
        <v>140</v>
      </c>
      <c r="H135" s="575">
        <v>0.7</v>
      </c>
      <c r="I135" s="575">
        <v>1.2</v>
      </c>
      <c r="J135" s="575">
        <v>0.35</v>
      </c>
      <c r="K135" s="572">
        <v>1</v>
      </c>
      <c r="L135" s="572">
        <f t="shared" si="26"/>
        <v>25</v>
      </c>
      <c r="M135" s="572">
        <f t="shared" si="24"/>
        <v>65</v>
      </c>
      <c r="N135" s="572">
        <f t="shared" si="24"/>
        <v>110</v>
      </c>
      <c r="O135" s="572">
        <f t="shared" si="24"/>
        <v>140</v>
      </c>
      <c r="P135" s="575">
        <f t="shared" si="27"/>
        <v>0.7</v>
      </c>
      <c r="Q135" s="575">
        <f t="shared" si="28"/>
        <v>0.7</v>
      </c>
      <c r="R135" s="575">
        <f t="shared" si="28"/>
        <v>1.2</v>
      </c>
      <c r="S135" s="575">
        <f t="shared" si="29"/>
        <v>1.2</v>
      </c>
      <c r="T135" s="575">
        <f t="shared" si="29"/>
        <v>0.35</v>
      </c>
      <c r="U135" s="579">
        <f t="shared" si="30"/>
        <v>1.2500000000000001E-2</v>
      </c>
      <c r="V135" s="580">
        <f t="shared" si="31"/>
        <v>0.38749999999999996</v>
      </c>
      <c r="W135" s="579">
        <f t="shared" si="32"/>
        <v>-2.8333333333333332E-2</v>
      </c>
      <c r="X135" s="580">
        <f t="shared" si="33"/>
        <v>4.3166666666666664</v>
      </c>
      <c r="AO135" s="575">
        <v>42</v>
      </c>
      <c r="AP135" s="575">
        <v>48.37</v>
      </c>
      <c r="AR135" s="575"/>
      <c r="AU135" s="575"/>
      <c r="AV135" s="581"/>
    </row>
    <row r="136" spans="1:48" x14ac:dyDescent="0.25">
      <c r="A136" s="572" t="str">
        <f t="shared" si="25"/>
        <v>Maíz grano125</v>
      </c>
      <c r="B136" s="572" t="s">
        <v>5054</v>
      </c>
      <c r="C136" s="572">
        <v>20</v>
      </c>
      <c r="D136" s="572">
        <v>35</v>
      </c>
      <c r="E136" s="572">
        <v>40</v>
      </c>
      <c r="F136" s="572">
        <v>30</v>
      </c>
      <c r="G136" s="572">
        <f t="shared" si="34"/>
        <v>125</v>
      </c>
      <c r="H136" s="575">
        <v>0.7</v>
      </c>
      <c r="I136" s="575">
        <v>1.2</v>
      </c>
      <c r="J136" s="575">
        <v>0.35</v>
      </c>
      <c r="K136" s="572">
        <v>1</v>
      </c>
      <c r="L136" s="572">
        <f t="shared" si="26"/>
        <v>20</v>
      </c>
      <c r="M136" s="572">
        <f t="shared" si="24"/>
        <v>55</v>
      </c>
      <c r="N136" s="572">
        <f t="shared" si="24"/>
        <v>95</v>
      </c>
      <c r="O136" s="572">
        <f t="shared" si="24"/>
        <v>125</v>
      </c>
      <c r="P136" s="575">
        <f t="shared" si="27"/>
        <v>0.7</v>
      </c>
      <c r="Q136" s="575">
        <f t="shared" si="28"/>
        <v>0.7</v>
      </c>
      <c r="R136" s="575">
        <f t="shared" si="28"/>
        <v>1.2</v>
      </c>
      <c r="S136" s="575">
        <f t="shared" si="29"/>
        <v>1.2</v>
      </c>
      <c r="T136" s="575">
        <f t="shared" si="29"/>
        <v>0.35</v>
      </c>
      <c r="U136" s="579">
        <f t="shared" si="30"/>
        <v>1.4285714285714285E-2</v>
      </c>
      <c r="V136" s="580">
        <f t="shared" si="31"/>
        <v>0.41428571428571426</v>
      </c>
      <c r="W136" s="579">
        <f t="shared" si="32"/>
        <v>-2.8333333333333332E-2</v>
      </c>
      <c r="X136" s="580">
        <f t="shared" si="33"/>
        <v>3.8916666666666666</v>
      </c>
      <c r="AO136" s="575">
        <v>42.5</v>
      </c>
      <c r="AP136" s="575">
        <v>48.68</v>
      </c>
      <c r="AR136" s="575"/>
      <c r="AS136" s="587"/>
      <c r="AU136" s="575"/>
      <c r="AV136" s="581"/>
    </row>
    <row r="137" spans="1:48" x14ac:dyDescent="0.25">
      <c r="A137" s="572" t="str">
        <f t="shared" si="25"/>
        <v>Maíz grano150</v>
      </c>
      <c r="B137" s="572" t="s">
        <v>5054</v>
      </c>
      <c r="C137" s="572">
        <v>30</v>
      </c>
      <c r="D137" s="572">
        <v>40</v>
      </c>
      <c r="E137" s="572">
        <v>50</v>
      </c>
      <c r="F137" s="572">
        <v>30</v>
      </c>
      <c r="G137" s="572">
        <f t="shared" si="34"/>
        <v>150</v>
      </c>
      <c r="H137" s="575">
        <v>0.7</v>
      </c>
      <c r="I137" s="575">
        <v>1.2</v>
      </c>
      <c r="J137" s="575">
        <v>0.35</v>
      </c>
      <c r="K137" s="572">
        <v>1</v>
      </c>
      <c r="L137" s="572">
        <f t="shared" si="26"/>
        <v>30</v>
      </c>
      <c r="M137" s="572">
        <f t="shared" si="24"/>
        <v>70</v>
      </c>
      <c r="N137" s="572">
        <f t="shared" si="24"/>
        <v>120</v>
      </c>
      <c r="O137" s="572">
        <f t="shared" si="24"/>
        <v>150</v>
      </c>
      <c r="P137" s="575">
        <f t="shared" si="27"/>
        <v>0.7</v>
      </c>
      <c r="Q137" s="575">
        <f t="shared" si="28"/>
        <v>0.7</v>
      </c>
      <c r="R137" s="575">
        <f t="shared" si="28"/>
        <v>1.2</v>
      </c>
      <c r="S137" s="575">
        <f t="shared" si="29"/>
        <v>1.2</v>
      </c>
      <c r="T137" s="575">
        <f t="shared" si="29"/>
        <v>0.35</v>
      </c>
      <c r="U137" s="579">
        <f t="shared" si="30"/>
        <v>1.2500000000000001E-2</v>
      </c>
      <c r="V137" s="580">
        <f t="shared" si="31"/>
        <v>0.32499999999999996</v>
      </c>
      <c r="W137" s="579">
        <f t="shared" si="32"/>
        <v>-2.8333333333333332E-2</v>
      </c>
      <c r="X137" s="580">
        <f t="shared" si="33"/>
        <v>4.5999999999999996</v>
      </c>
      <c r="AO137" s="575">
        <v>43</v>
      </c>
      <c r="AP137" s="575">
        <v>48.99</v>
      </c>
      <c r="AR137" s="575"/>
      <c r="AU137" s="575"/>
      <c r="AV137" s="581"/>
    </row>
    <row r="138" spans="1:48" x14ac:dyDescent="0.25">
      <c r="A138" s="572" t="str">
        <f t="shared" si="25"/>
        <v>Maíz grano170</v>
      </c>
      <c r="B138" s="572" t="s">
        <v>5054</v>
      </c>
      <c r="C138" s="572">
        <v>30</v>
      </c>
      <c r="D138" s="572">
        <v>40</v>
      </c>
      <c r="E138" s="572">
        <v>50</v>
      </c>
      <c r="F138" s="572">
        <v>50</v>
      </c>
      <c r="G138" s="572">
        <f t="shared" si="34"/>
        <v>170</v>
      </c>
      <c r="H138" s="575">
        <v>0.7</v>
      </c>
      <c r="I138" s="575">
        <v>1.2</v>
      </c>
      <c r="J138" s="575">
        <v>0.35</v>
      </c>
      <c r="K138" s="572">
        <v>1</v>
      </c>
      <c r="L138" s="572">
        <f t="shared" si="26"/>
        <v>30</v>
      </c>
      <c r="M138" s="572">
        <f t="shared" si="24"/>
        <v>70</v>
      </c>
      <c r="N138" s="572">
        <f t="shared" si="24"/>
        <v>120</v>
      </c>
      <c r="O138" s="572">
        <f t="shared" si="24"/>
        <v>170</v>
      </c>
      <c r="P138" s="575">
        <f t="shared" si="27"/>
        <v>0.7</v>
      </c>
      <c r="Q138" s="575">
        <f t="shared" si="28"/>
        <v>0.7</v>
      </c>
      <c r="R138" s="575">
        <f t="shared" si="28"/>
        <v>1.2</v>
      </c>
      <c r="S138" s="575">
        <f t="shared" si="29"/>
        <v>1.2</v>
      </c>
      <c r="T138" s="575">
        <f t="shared" si="29"/>
        <v>0.35</v>
      </c>
      <c r="U138" s="579">
        <f t="shared" si="30"/>
        <v>1.2500000000000001E-2</v>
      </c>
      <c r="V138" s="580">
        <f t="shared" si="31"/>
        <v>0.32499999999999996</v>
      </c>
      <c r="W138" s="579">
        <f t="shared" si="32"/>
        <v>-1.7000000000000001E-2</v>
      </c>
      <c r="X138" s="580">
        <f t="shared" si="33"/>
        <v>3.24</v>
      </c>
      <c r="AO138" s="575">
        <v>43.5</v>
      </c>
      <c r="AP138" s="575">
        <v>49.3</v>
      </c>
      <c r="AR138" s="575"/>
      <c r="AS138" s="587"/>
      <c r="AU138" s="575"/>
      <c r="AV138" s="581"/>
    </row>
    <row r="139" spans="1:48" x14ac:dyDescent="0.25">
      <c r="A139" s="572" t="str">
        <f t="shared" si="25"/>
        <v>Maíz dulce80</v>
      </c>
      <c r="B139" s="572" t="s">
        <v>5055</v>
      </c>
      <c r="C139" s="572">
        <v>20</v>
      </c>
      <c r="D139" s="572">
        <v>20</v>
      </c>
      <c r="E139" s="572">
        <v>30</v>
      </c>
      <c r="F139" s="572">
        <v>10</v>
      </c>
      <c r="G139" s="572">
        <f t="shared" si="34"/>
        <v>80</v>
      </c>
      <c r="H139" s="575">
        <v>0.7</v>
      </c>
      <c r="I139" s="575">
        <v>1.1499999999999999</v>
      </c>
      <c r="J139" s="575">
        <v>1.05</v>
      </c>
      <c r="K139" s="572">
        <v>1</v>
      </c>
      <c r="L139" s="572">
        <f t="shared" si="26"/>
        <v>20</v>
      </c>
      <c r="M139" s="572">
        <f t="shared" si="24"/>
        <v>40</v>
      </c>
      <c r="N139" s="572">
        <f t="shared" si="24"/>
        <v>70</v>
      </c>
      <c r="O139" s="572">
        <f t="shared" si="24"/>
        <v>80</v>
      </c>
      <c r="P139" s="575">
        <f t="shared" si="27"/>
        <v>0.7</v>
      </c>
      <c r="Q139" s="575">
        <f t="shared" si="28"/>
        <v>0.7</v>
      </c>
      <c r="R139" s="575">
        <f t="shared" si="28"/>
        <v>1.1499999999999999</v>
      </c>
      <c r="S139" s="575">
        <f t="shared" si="29"/>
        <v>1.1499999999999999</v>
      </c>
      <c r="T139" s="575">
        <f t="shared" si="29"/>
        <v>1.05</v>
      </c>
      <c r="U139" s="579">
        <f t="shared" si="30"/>
        <v>2.2499999999999999E-2</v>
      </c>
      <c r="V139" s="580">
        <f t="shared" si="31"/>
        <v>0.25</v>
      </c>
      <c r="W139" s="579">
        <f t="shared" si="32"/>
        <v>-9.9999999999999863E-3</v>
      </c>
      <c r="X139" s="580">
        <f t="shared" si="33"/>
        <v>1.849999999999999</v>
      </c>
      <c r="AO139" s="575">
        <v>44</v>
      </c>
      <c r="AP139" s="575">
        <v>49.61</v>
      </c>
      <c r="AR139" s="575"/>
      <c r="AU139" s="575"/>
      <c r="AV139" s="581"/>
    </row>
    <row r="140" spans="1:48" x14ac:dyDescent="0.25">
      <c r="A140" s="586" t="str">
        <f t="shared" si="25"/>
        <v>Maíz dulce80</v>
      </c>
      <c r="B140" s="586" t="s">
        <v>5055</v>
      </c>
      <c r="C140" s="572">
        <v>20</v>
      </c>
      <c r="D140" s="572">
        <v>25</v>
      </c>
      <c r="E140" s="572">
        <v>25</v>
      </c>
      <c r="F140" s="572">
        <v>10</v>
      </c>
      <c r="G140" s="572">
        <f t="shared" si="34"/>
        <v>80</v>
      </c>
      <c r="H140" s="575">
        <v>0.7</v>
      </c>
      <c r="I140" s="575">
        <v>1.1499999999999999</v>
      </c>
      <c r="J140" s="575">
        <v>1.05</v>
      </c>
      <c r="K140" s="572">
        <v>1</v>
      </c>
      <c r="L140" s="572">
        <f t="shared" si="26"/>
        <v>20</v>
      </c>
      <c r="M140" s="572">
        <f t="shared" si="24"/>
        <v>45</v>
      </c>
      <c r="N140" s="572">
        <f t="shared" si="24"/>
        <v>70</v>
      </c>
      <c r="O140" s="572">
        <f t="shared" si="24"/>
        <v>80</v>
      </c>
      <c r="P140" s="575">
        <f t="shared" si="27"/>
        <v>0.7</v>
      </c>
      <c r="Q140" s="575">
        <f t="shared" si="28"/>
        <v>0.7</v>
      </c>
      <c r="R140" s="575">
        <f t="shared" si="28"/>
        <v>1.1499999999999999</v>
      </c>
      <c r="S140" s="575">
        <f t="shared" si="29"/>
        <v>1.1499999999999999</v>
      </c>
      <c r="T140" s="575">
        <f t="shared" si="29"/>
        <v>1.05</v>
      </c>
      <c r="U140" s="579">
        <f t="shared" si="30"/>
        <v>1.7999999999999999E-2</v>
      </c>
      <c r="V140" s="580">
        <f t="shared" si="31"/>
        <v>0.33999999999999997</v>
      </c>
      <c r="W140" s="579">
        <f t="shared" si="32"/>
        <v>-9.9999999999999863E-3</v>
      </c>
      <c r="X140" s="580">
        <f t="shared" si="33"/>
        <v>1.849999999999999</v>
      </c>
      <c r="AO140" s="575">
        <v>44.5</v>
      </c>
      <c r="AP140" s="575">
        <v>49.92</v>
      </c>
      <c r="AR140" s="575"/>
      <c r="AS140" s="587"/>
      <c r="AU140" s="575"/>
      <c r="AV140" s="581"/>
    </row>
    <row r="141" spans="1:48" x14ac:dyDescent="0.25">
      <c r="A141" s="572" t="str">
        <f t="shared" si="25"/>
        <v>Maíz dulce90</v>
      </c>
      <c r="B141" s="572" t="s">
        <v>5055</v>
      </c>
      <c r="C141" s="572">
        <v>20</v>
      </c>
      <c r="D141" s="572">
        <v>30</v>
      </c>
      <c r="E141" s="572">
        <v>30</v>
      </c>
      <c r="F141" s="572">
        <v>10</v>
      </c>
      <c r="G141" s="572">
        <f t="shared" si="34"/>
        <v>90</v>
      </c>
      <c r="H141" s="575">
        <v>0.7</v>
      </c>
      <c r="I141" s="575">
        <v>1.1499999999999999</v>
      </c>
      <c r="J141" s="575">
        <v>1.05</v>
      </c>
      <c r="K141" s="572">
        <v>1</v>
      </c>
      <c r="L141" s="572">
        <f t="shared" si="26"/>
        <v>20</v>
      </c>
      <c r="M141" s="572">
        <f t="shared" si="24"/>
        <v>50</v>
      </c>
      <c r="N141" s="572">
        <f t="shared" si="24"/>
        <v>80</v>
      </c>
      <c r="O141" s="572">
        <f t="shared" si="24"/>
        <v>90</v>
      </c>
      <c r="P141" s="575">
        <f t="shared" si="27"/>
        <v>0.7</v>
      </c>
      <c r="Q141" s="575">
        <f t="shared" si="28"/>
        <v>0.7</v>
      </c>
      <c r="R141" s="575">
        <f t="shared" si="28"/>
        <v>1.1499999999999999</v>
      </c>
      <c r="S141" s="575">
        <f t="shared" si="29"/>
        <v>1.1499999999999999</v>
      </c>
      <c r="T141" s="575">
        <f t="shared" si="29"/>
        <v>1.05</v>
      </c>
      <c r="U141" s="579">
        <f t="shared" si="30"/>
        <v>1.4999999999999998E-2</v>
      </c>
      <c r="V141" s="580">
        <f t="shared" si="31"/>
        <v>0.4</v>
      </c>
      <c r="W141" s="579">
        <f t="shared" si="32"/>
        <v>-9.9999999999999863E-3</v>
      </c>
      <c r="X141" s="580">
        <f t="shared" si="33"/>
        <v>1.9499999999999988</v>
      </c>
      <c r="AO141" s="575">
        <v>45</v>
      </c>
      <c r="AP141" s="575">
        <v>50.24</v>
      </c>
      <c r="AR141" s="575"/>
      <c r="AU141" s="575"/>
      <c r="AV141" s="581"/>
    </row>
    <row r="142" spans="1:48" x14ac:dyDescent="0.25">
      <c r="A142" s="572" t="str">
        <f t="shared" si="25"/>
        <v>Maíz dulce110</v>
      </c>
      <c r="B142" s="572" t="s">
        <v>5055</v>
      </c>
      <c r="C142" s="572">
        <v>30</v>
      </c>
      <c r="D142" s="572">
        <v>30</v>
      </c>
      <c r="E142" s="572">
        <v>30</v>
      </c>
      <c r="F142" s="572">
        <v>20</v>
      </c>
      <c r="G142" s="572">
        <f t="shared" si="34"/>
        <v>110</v>
      </c>
      <c r="H142" s="575">
        <v>0.7</v>
      </c>
      <c r="I142" s="575">
        <v>1.1499999999999999</v>
      </c>
      <c r="J142" s="575">
        <v>1.05</v>
      </c>
      <c r="K142" s="572">
        <v>1</v>
      </c>
      <c r="L142" s="572">
        <f t="shared" si="26"/>
        <v>30</v>
      </c>
      <c r="M142" s="572">
        <f t="shared" si="24"/>
        <v>60</v>
      </c>
      <c r="N142" s="572">
        <f t="shared" si="24"/>
        <v>90</v>
      </c>
      <c r="O142" s="572">
        <f t="shared" si="24"/>
        <v>110</v>
      </c>
      <c r="P142" s="575">
        <f t="shared" si="27"/>
        <v>0.7</v>
      </c>
      <c r="Q142" s="575">
        <f t="shared" si="28"/>
        <v>0.7</v>
      </c>
      <c r="R142" s="575">
        <f t="shared" si="28"/>
        <v>1.1499999999999999</v>
      </c>
      <c r="S142" s="575">
        <f t="shared" si="29"/>
        <v>1.1499999999999999</v>
      </c>
      <c r="T142" s="575">
        <f t="shared" si="29"/>
        <v>1.05</v>
      </c>
      <c r="U142" s="579">
        <f t="shared" si="30"/>
        <v>1.4999999999999998E-2</v>
      </c>
      <c r="V142" s="580">
        <f t="shared" si="31"/>
        <v>0.25</v>
      </c>
      <c r="W142" s="579">
        <f t="shared" si="32"/>
        <v>-4.9999999999999932E-3</v>
      </c>
      <c r="X142" s="580">
        <f t="shared" si="33"/>
        <v>1.5999999999999992</v>
      </c>
      <c r="AO142" s="575">
        <v>45.5</v>
      </c>
      <c r="AP142" s="575">
        <v>50.56</v>
      </c>
      <c r="AR142" s="575"/>
      <c r="AS142" s="587"/>
      <c r="AU142" s="575"/>
      <c r="AV142" s="581"/>
    </row>
    <row r="143" spans="1:48" x14ac:dyDescent="0.25">
      <c r="A143" s="572" t="str">
        <f t="shared" si="25"/>
        <v>Maíz dulce140</v>
      </c>
      <c r="B143" s="572" t="s">
        <v>5055</v>
      </c>
      <c r="C143" s="572">
        <v>20</v>
      </c>
      <c r="D143" s="572">
        <v>40</v>
      </c>
      <c r="E143" s="572">
        <v>70</v>
      </c>
      <c r="F143" s="572">
        <v>10</v>
      </c>
      <c r="G143" s="572">
        <f t="shared" si="34"/>
        <v>140</v>
      </c>
      <c r="H143" s="575">
        <v>0.7</v>
      </c>
      <c r="I143" s="575">
        <v>1.1499999999999999</v>
      </c>
      <c r="J143" s="575">
        <v>1.05</v>
      </c>
      <c r="K143" s="572">
        <v>1</v>
      </c>
      <c r="L143" s="572">
        <f t="shared" si="26"/>
        <v>20</v>
      </c>
      <c r="M143" s="572">
        <f t="shared" si="24"/>
        <v>60</v>
      </c>
      <c r="N143" s="572">
        <f t="shared" si="24"/>
        <v>130</v>
      </c>
      <c r="O143" s="572">
        <f t="shared" si="24"/>
        <v>140</v>
      </c>
      <c r="P143" s="575">
        <f t="shared" si="27"/>
        <v>0.7</v>
      </c>
      <c r="Q143" s="575">
        <f t="shared" si="28"/>
        <v>0.7</v>
      </c>
      <c r="R143" s="575">
        <f t="shared" si="28"/>
        <v>1.1499999999999999</v>
      </c>
      <c r="S143" s="575">
        <f t="shared" si="29"/>
        <v>1.1499999999999999</v>
      </c>
      <c r="T143" s="575">
        <f t="shared" si="29"/>
        <v>1.05</v>
      </c>
      <c r="U143" s="579">
        <f t="shared" si="30"/>
        <v>1.125E-2</v>
      </c>
      <c r="V143" s="580">
        <f t="shared" si="31"/>
        <v>0.47499999999999998</v>
      </c>
      <c r="W143" s="579">
        <f t="shared" si="32"/>
        <v>-9.9999999999999863E-3</v>
      </c>
      <c r="X143" s="580">
        <f t="shared" si="33"/>
        <v>2.4499999999999984</v>
      </c>
      <c r="AO143" s="575">
        <v>46</v>
      </c>
      <c r="AP143" s="575">
        <v>50.87</v>
      </c>
      <c r="AR143" s="575"/>
      <c r="AU143" s="575"/>
      <c r="AV143" s="581"/>
    </row>
    <row r="144" spans="1:48" x14ac:dyDescent="0.25">
      <c r="A144" s="572" t="str">
        <f t="shared" si="25"/>
        <v>Mijo105</v>
      </c>
      <c r="B144" s="572" t="s">
        <v>5208</v>
      </c>
      <c r="C144" s="572">
        <v>15</v>
      </c>
      <c r="D144" s="572">
        <v>25</v>
      </c>
      <c r="E144" s="572">
        <v>40</v>
      </c>
      <c r="F144" s="572">
        <v>25</v>
      </c>
      <c r="G144" s="572">
        <f t="shared" si="34"/>
        <v>105</v>
      </c>
      <c r="H144" s="575">
        <v>0.7</v>
      </c>
      <c r="I144" s="575">
        <v>1</v>
      </c>
      <c r="J144" s="575">
        <v>0.3</v>
      </c>
      <c r="K144" s="572">
        <v>1</v>
      </c>
      <c r="L144" s="572">
        <f t="shared" si="26"/>
        <v>15</v>
      </c>
      <c r="M144" s="572">
        <f t="shared" si="24"/>
        <v>40</v>
      </c>
      <c r="N144" s="572">
        <f t="shared" si="24"/>
        <v>80</v>
      </c>
      <c r="O144" s="572">
        <f t="shared" si="24"/>
        <v>105</v>
      </c>
      <c r="P144" s="575">
        <f t="shared" si="27"/>
        <v>0.7</v>
      </c>
      <c r="Q144" s="575">
        <f t="shared" si="28"/>
        <v>0.7</v>
      </c>
      <c r="R144" s="575">
        <f t="shared" si="28"/>
        <v>1</v>
      </c>
      <c r="S144" s="575">
        <f t="shared" si="29"/>
        <v>1</v>
      </c>
      <c r="T144" s="575">
        <f t="shared" si="29"/>
        <v>0.3</v>
      </c>
      <c r="U144" s="579">
        <f t="shared" si="30"/>
        <v>1.2000000000000002E-2</v>
      </c>
      <c r="V144" s="580">
        <f t="shared" si="31"/>
        <v>0.51999999999999991</v>
      </c>
      <c r="W144" s="579">
        <f t="shared" si="32"/>
        <v>-2.7999999999999997E-2</v>
      </c>
      <c r="X144" s="580">
        <f t="shared" si="33"/>
        <v>3.2399999999999993</v>
      </c>
      <c r="AO144" s="575">
        <v>46.5</v>
      </c>
      <c r="AP144" s="575">
        <v>51.19</v>
      </c>
      <c r="AR144" s="575"/>
      <c r="AS144" s="587"/>
      <c r="AU144" s="575"/>
      <c r="AV144" s="581"/>
    </row>
    <row r="145" spans="1:66" x14ac:dyDescent="0.25">
      <c r="A145" s="572" t="str">
        <f t="shared" si="25"/>
        <v>Mijo140</v>
      </c>
      <c r="B145" s="572" t="s">
        <v>5208</v>
      </c>
      <c r="C145" s="572">
        <v>20</v>
      </c>
      <c r="D145" s="572">
        <v>30</v>
      </c>
      <c r="E145" s="572">
        <v>55</v>
      </c>
      <c r="F145" s="572">
        <v>35</v>
      </c>
      <c r="G145" s="572">
        <f t="shared" si="34"/>
        <v>140</v>
      </c>
      <c r="H145" s="575">
        <v>0.7</v>
      </c>
      <c r="I145" s="575">
        <v>1</v>
      </c>
      <c r="J145" s="575">
        <v>0.3</v>
      </c>
      <c r="K145" s="572">
        <v>1</v>
      </c>
      <c r="L145" s="572">
        <f t="shared" si="26"/>
        <v>20</v>
      </c>
      <c r="M145" s="572">
        <f t="shared" si="24"/>
        <v>50</v>
      </c>
      <c r="N145" s="572">
        <f t="shared" si="24"/>
        <v>105</v>
      </c>
      <c r="O145" s="572">
        <f t="shared" si="24"/>
        <v>140</v>
      </c>
      <c r="P145" s="575">
        <f t="shared" si="27"/>
        <v>0.7</v>
      </c>
      <c r="Q145" s="575">
        <f t="shared" si="28"/>
        <v>0.7</v>
      </c>
      <c r="R145" s="575">
        <f t="shared" si="28"/>
        <v>1</v>
      </c>
      <c r="S145" s="575">
        <f t="shared" si="29"/>
        <v>1</v>
      </c>
      <c r="T145" s="575">
        <f t="shared" si="29"/>
        <v>0.3</v>
      </c>
      <c r="U145" s="579">
        <f t="shared" si="30"/>
        <v>1.0000000000000002E-2</v>
      </c>
      <c r="V145" s="580">
        <f t="shared" si="31"/>
        <v>0.49999999999999989</v>
      </c>
      <c r="W145" s="579">
        <f t="shared" si="32"/>
        <v>-0.02</v>
      </c>
      <c r="X145" s="580">
        <f t="shared" si="33"/>
        <v>3.1</v>
      </c>
      <c r="AO145" s="575">
        <v>47</v>
      </c>
      <c r="AP145" s="575">
        <v>51.51</v>
      </c>
      <c r="AR145" s="575"/>
      <c r="AU145" s="575"/>
      <c r="AV145" s="581"/>
    </row>
    <row r="146" spans="1:66" x14ac:dyDescent="0.25">
      <c r="A146" s="572" t="str">
        <f t="shared" si="25"/>
        <v>Sorgo125</v>
      </c>
      <c r="B146" s="572" t="s">
        <v>5209</v>
      </c>
      <c r="C146" s="572">
        <v>20</v>
      </c>
      <c r="D146" s="572">
        <v>35</v>
      </c>
      <c r="E146" s="572">
        <v>40</v>
      </c>
      <c r="F146" s="572">
        <v>30</v>
      </c>
      <c r="G146" s="572">
        <f t="shared" si="34"/>
        <v>125</v>
      </c>
      <c r="H146" s="575">
        <v>0.7</v>
      </c>
      <c r="I146" s="575">
        <v>1.05</v>
      </c>
      <c r="J146" s="575">
        <v>0.55000000000000004</v>
      </c>
      <c r="K146" s="572">
        <v>1</v>
      </c>
      <c r="L146" s="572">
        <f t="shared" si="26"/>
        <v>20</v>
      </c>
      <c r="M146" s="572">
        <f t="shared" si="24"/>
        <v>55</v>
      </c>
      <c r="N146" s="572">
        <f t="shared" si="24"/>
        <v>95</v>
      </c>
      <c r="O146" s="572">
        <f t="shared" si="24"/>
        <v>125</v>
      </c>
      <c r="P146" s="575">
        <f t="shared" si="27"/>
        <v>0.7</v>
      </c>
      <c r="Q146" s="575">
        <f t="shared" si="28"/>
        <v>0.7</v>
      </c>
      <c r="R146" s="575">
        <f t="shared" si="28"/>
        <v>1.05</v>
      </c>
      <c r="S146" s="575">
        <f t="shared" si="29"/>
        <v>1.05</v>
      </c>
      <c r="T146" s="575">
        <f t="shared" si="29"/>
        <v>0.55000000000000004</v>
      </c>
      <c r="U146" s="579">
        <f t="shared" si="30"/>
        <v>1.0000000000000002E-2</v>
      </c>
      <c r="V146" s="580">
        <f t="shared" si="31"/>
        <v>0.49999999999999989</v>
      </c>
      <c r="W146" s="579">
        <f t="shared" si="32"/>
        <v>-1.6666666666666666E-2</v>
      </c>
      <c r="X146" s="580">
        <f t="shared" si="33"/>
        <v>2.6333333333333337</v>
      </c>
      <c r="AO146" s="575">
        <v>47.5</v>
      </c>
      <c r="AP146" s="575">
        <v>51.84</v>
      </c>
      <c r="AR146" s="575"/>
      <c r="AS146" s="587"/>
      <c r="AU146" s="575"/>
      <c r="AV146" s="581"/>
    </row>
    <row r="147" spans="1:66" x14ac:dyDescent="0.25">
      <c r="A147" s="572" t="str">
        <f t="shared" si="25"/>
        <v>Sorgo130</v>
      </c>
      <c r="B147" s="572" t="s">
        <v>5209</v>
      </c>
      <c r="C147" s="572">
        <v>20</v>
      </c>
      <c r="D147" s="572">
        <v>35</v>
      </c>
      <c r="E147" s="572">
        <v>45</v>
      </c>
      <c r="F147" s="572">
        <v>30</v>
      </c>
      <c r="G147" s="572">
        <f t="shared" si="34"/>
        <v>130</v>
      </c>
      <c r="H147" s="575">
        <v>0.7</v>
      </c>
      <c r="I147" s="575">
        <v>1.05</v>
      </c>
      <c r="J147" s="575">
        <v>0.55000000000000004</v>
      </c>
      <c r="K147" s="572">
        <v>1</v>
      </c>
      <c r="L147" s="572">
        <f t="shared" si="26"/>
        <v>20</v>
      </c>
      <c r="M147" s="572">
        <f t="shared" si="24"/>
        <v>55</v>
      </c>
      <c r="N147" s="572">
        <f t="shared" si="24"/>
        <v>100</v>
      </c>
      <c r="O147" s="572">
        <f t="shared" si="24"/>
        <v>130</v>
      </c>
      <c r="P147" s="575">
        <f t="shared" si="27"/>
        <v>0.7</v>
      </c>
      <c r="Q147" s="575">
        <f t="shared" si="28"/>
        <v>0.7</v>
      </c>
      <c r="R147" s="575">
        <f t="shared" si="28"/>
        <v>1.05</v>
      </c>
      <c r="S147" s="575">
        <f t="shared" si="29"/>
        <v>1.05</v>
      </c>
      <c r="T147" s="575">
        <f t="shared" si="29"/>
        <v>0.55000000000000004</v>
      </c>
      <c r="U147" s="579">
        <f t="shared" si="30"/>
        <v>1.0000000000000002E-2</v>
      </c>
      <c r="V147" s="580">
        <f t="shared" si="31"/>
        <v>0.49999999999999989</v>
      </c>
      <c r="W147" s="579">
        <f t="shared" si="32"/>
        <v>-1.6666666666666666E-2</v>
      </c>
      <c r="X147" s="580">
        <f t="shared" si="33"/>
        <v>2.7166666666666668</v>
      </c>
      <c r="AO147" s="575">
        <v>48</v>
      </c>
      <c r="AP147" s="575">
        <v>52.16</v>
      </c>
      <c r="AR147" s="575"/>
      <c r="AU147" s="575"/>
      <c r="AV147" s="581"/>
    </row>
    <row r="148" spans="1:66" x14ac:dyDescent="0.25">
      <c r="A148" s="572" t="str">
        <f t="shared" si="25"/>
        <v>Arroz150</v>
      </c>
      <c r="B148" s="572" t="s">
        <v>5210</v>
      </c>
      <c r="C148" s="572">
        <v>30</v>
      </c>
      <c r="D148" s="572">
        <v>30</v>
      </c>
      <c r="E148" s="572">
        <v>60</v>
      </c>
      <c r="F148" s="572">
        <v>30</v>
      </c>
      <c r="G148" s="572">
        <f t="shared" si="34"/>
        <v>150</v>
      </c>
      <c r="H148" s="572">
        <v>1.05</v>
      </c>
      <c r="I148" s="572">
        <v>1.2</v>
      </c>
      <c r="J148" s="572">
        <v>0.75</v>
      </c>
      <c r="K148" s="572">
        <v>1</v>
      </c>
      <c r="L148" s="572">
        <f t="shared" si="26"/>
        <v>30</v>
      </c>
      <c r="M148" s="572">
        <f t="shared" si="24"/>
        <v>60</v>
      </c>
      <c r="N148" s="572">
        <f t="shared" si="24"/>
        <v>120</v>
      </c>
      <c r="O148" s="572">
        <f t="shared" si="24"/>
        <v>150</v>
      </c>
      <c r="P148" s="575">
        <f t="shared" si="27"/>
        <v>1.05</v>
      </c>
      <c r="Q148" s="575">
        <f t="shared" si="28"/>
        <v>1.05</v>
      </c>
      <c r="R148" s="575">
        <f t="shared" si="28"/>
        <v>1.2</v>
      </c>
      <c r="S148" s="575">
        <f t="shared" si="29"/>
        <v>1.2</v>
      </c>
      <c r="T148" s="575">
        <f t="shared" si="29"/>
        <v>0.75</v>
      </c>
      <c r="U148" s="579">
        <f t="shared" si="30"/>
        <v>4.9999999999999966E-3</v>
      </c>
      <c r="V148" s="580">
        <f t="shared" si="31"/>
        <v>0.90000000000000013</v>
      </c>
      <c r="W148" s="579">
        <f t="shared" si="32"/>
        <v>-1.4999999999999998E-2</v>
      </c>
      <c r="X148" s="580">
        <f t="shared" si="33"/>
        <v>2.9999999999999996</v>
      </c>
      <c r="AO148" s="575">
        <v>48.5</v>
      </c>
      <c r="AP148" s="575">
        <v>52.49</v>
      </c>
      <c r="AR148" s="575"/>
      <c r="AS148" s="587"/>
      <c r="AU148" s="575"/>
      <c r="AV148" s="581"/>
    </row>
    <row r="149" spans="1:66" x14ac:dyDescent="0.25">
      <c r="A149" s="572" t="str">
        <f t="shared" si="25"/>
        <v>Arroz180</v>
      </c>
      <c r="B149" s="572" t="s">
        <v>5210</v>
      </c>
      <c r="C149" s="572">
        <v>30</v>
      </c>
      <c r="D149" s="572">
        <v>30</v>
      </c>
      <c r="E149" s="572">
        <v>80</v>
      </c>
      <c r="F149" s="572">
        <v>40</v>
      </c>
      <c r="G149" s="572">
        <f t="shared" si="34"/>
        <v>180</v>
      </c>
      <c r="H149" s="572">
        <v>1.05</v>
      </c>
      <c r="I149" s="572">
        <v>1.2</v>
      </c>
      <c r="J149" s="572">
        <v>0.75</v>
      </c>
      <c r="K149" s="572">
        <v>1</v>
      </c>
      <c r="L149" s="572">
        <f t="shared" si="26"/>
        <v>30</v>
      </c>
      <c r="M149" s="572">
        <f t="shared" si="24"/>
        <v>60</v>
      </c>
      <c r="N149" s="572">
        <f t="shared" si="24"/>
        <v>140</v>
      </c>
      <c r="O149" s="572">
        <f t="shared" si="24"/>
        <v>180</v>
      </c>
      <c r="P149" s="575">
        <f t="shared" si="27"/>
        <v>1.05</v>
      </c>
      <c r="Q149" s="575">
        <f t="shared" si="28"/>
        <v>1.05</v>
      </c>
      <c r="R149" s="575">
        <f t="shared" si="28"/>
        <v>1.2</v>
      </c>
      <c r="S149" s="575">
        <f t="shared" si="29"/>
        <v>1.2</v>
      </c>
      <c r="T149" s="575">
        <f t="shared" si="29"/>
        <v>0.75</v>
      </c>
      <c r="U149" s="579">
        <f t="shared" si="30"/>
        <v>4.9999999999999966E-3</v>
      </c>
      <c r="V149" s="580">
        <f t="shared" si="31"/>
        <v>0.90000000000000013</v>
      </c>
      <c r="W149" s="579">
        <f t="shared" si="32"/>
        <v>-1.125E-2</v>
      </c>
      <c r="X149" s="580">
        <f t="shared" si="33"/>
        <v>2.7749999999999999</v>
      </c>
    </row>
    <row r="150" spans="1:66" x14ac:dyDescent="0.25">
      <c r="A150" s="572" t="str">
        <f t="shared" si="25"/>
        <v>Alfalfa365</v>
      </c>
      <c r="B150" s="572" t="s">
        <v>5059</v>
      </c>
      <c r="C150" s="572">
        <v>10</v>
      </c>
      <c r="D150" s="572">
        <v>30</v>
      </c>
      <c r="E150" s="572">
        <v>280</v>
      </c>
      <c r="F150" s="572">
        <v>45</v>
      </c>
      <c r="G150" s="572">
        <f t="shared" si="34"/>
        <v>365</v>
      </c>
      <c r="H150" s="572">
        <v>0.45</v>
      </c>
      <c r="I150" s="572">
        <v>0.95</v>
      </c>
      <c r="J150" s="575">
        <v>0.9</v>
      </c>
      <c r="K150" s="572">
        <v>1</v>
      </c>
      <c r="L150" s="572">
        <f t="shared" si="26"/>
        <v>10</v>
      </c>
      <c r="M150" s="572">
        <f t="shared" si="24"/>
        <v>40</v>
      </c>
      <c r="N150" s="572">
        <f t="shared" si="24"/>
        <v>320</v>
      </c>
      <c r="O150" s="572">
        <f t="shared" si="24"/>
        <v>365</v>
      </c>
      <c r="P150" s="575">
        <f t="shared" si="27"/>
        <v>0.45</v>
      </c>
      <c r="Q150" s="575">
        <f t="shared" si="28"/>
        <v>0.45</v>
      </c>
      <c r="R150" s="575">
        <f t="shared" si="28"/>
        <v>0.95</v>
      </c>
      <c r="S150" s="575">
        <f t="shared" si="29"/>
        <v>0.95</v>
      </c>
      <c r="T150" s="575">
        <f t="shared" si="29"/>
        <v>0.9</v>
      </c>
      <c r="U150" s="579">
        <f t="shared" si="30"/>
        <v>1.6666666666666666E-2</v>
      </c>
      <c r="V150" s="580">
        <f t="shared" si="31"/>
        <v>0.28333333333333333</v>
      </c>
      <c r="W150" s="579">
        <f t="shared" si="32"/>
        <v>-1.1111111111111096E-3</v>
      </c>
      <c r="X150" s="580">
        <f t="shared" si="33"/>
        <v>1.3055555555555549</v>
      </c>
    </row>
    <row r="151" spans="1:66" x14ac:dyDescent="0.25">
      <c r="A151" s="572" t="str">
        <f t="shared" si="25"/>
        <v>Heno135</v>
      </c>
      <c r="B151" s="572" t="s">
        <v>5211</v>
      </c>
      <c r="C151" s="572">
        <v>10</v>
      </c>
      <c r="D151" s="572">
        <v>15</v>
      </c>
      <c r="E151" s="572">
        <v>75</v>
      </c>
      <c r="F151" s="572">
        <v>35</v>
      </c>
      <c r="G151" s="572">
        <f t="shared" si="34"/>
        <v>135</v>
      </c>
      <c r="H151" s="572">
        <v>0.55000000000000004</v>
      </c>
      <c r="I151" s="575">
        <v>1</v>
      </c>
      <c r="J151" s="572">
        <v>0.85</v>
      </c>
      <c r="K151" s="572">
        <v>1</v>
      </c>
      <c r="L151" s="572">
        <f t="shared" si="26"/>
        <v>10</v>
      </c>
      <c r="M151" s="572">
        <f t="shared" si="24"/>
        <v>25</v>
      </c>
      <c r="N151" s="572">
        <f t="shared" si="24"/>
        <v>100</v>
      </c>
      <c r="O151" s="572">
        <f t="shared" si="24"/>
        <v>135</v>
      </c>
      <c r="P151" s="575">
        <f t="shared" si="27"/>
        <v>0.55000000000000004</v>
      </c>
      <c r="Q151" s="575">
        <f t="shared" si="28"/>
        <v>0.55000000000000004</v>
      </c>
      <c r="R151" s="575">
        <f t="shared" si="28"/>
        <v>1</v>
      </c>
      <c r="S151" s="575">
        <f t="shared" si="29"/>
        <v>1</v>
      </c>
      <c r="T151" s="575">
        <f t="shared" si="29"/>
        <v>0.85</v>
      </c>
      <c r="U151" s="579">
        <f t="shared" si="30"/>
        <v>2.9999999999999995E-2</v>
      </c>
      <c r="V151" s="580">
        <f t="shared" si="31"/>
        <v>0.25000000000000011</v>
      </c>
      <c r="W151" s="579">
        <f t="shared" si="32"/>
        <v>-4.2857142857142859E-3</v>
      </c>
      <c r="X151" s="580">
        <f t="shared" si="33"/>
        <v>1.4285714285714286</v>
      </c>
      <c r="AP151" s="576"/>
      <c r="AQ151" s="576"/>
      <c r="AR151" s="576"/>
      <c r="AS151" s="576"/>
      <c r="AT151" s="576"/>
      <c r="AU151" s="576"/>
      <c r="AV151" s="576"/>
      <c r="AW151" s="576"/>
      <c r="AX151" s="576"/>
      <c r="AY151" s="576"/>
      <c r="AZ151" s="576"/>
      <c r="BA151" s="576"/>
      <c r="BC151" s="576"/>
      <c r="BD151" s="576"/>
      <c r="BE151" s="576"/>
      <c r="BF151" s="576"/>
      <c r="BG151" s="576"/>
      <c r="BH151" s="576"/>
      <c r="BI151" s="576"/>
      <c r="BJ151" s="576"/>
      <c r="BK151" s="576"/>
      <c r="BL151" s="576"/>
      <c r="BM151" s="576"/>
      <c r="BN151" s="576"/>
    </row>
    <row r="152" spans="1:66" x14ac:dyDescent="0.25">
      <c r="A152" s="572" t="str">
        <f t="shared" si="25"/>
        <v>Lolium sp365</v>
      </c>
      <c r="B152" s="572" t="s">
        <v>5212</v>
      </c>
      <c r="C152" s="572">
        <v>10</v>
      </c>
      <c r="D152" s="572">
        <v>20</v>
      </c>
      <c r="E152" s="572">
        <v>290</v>
      </c>
      <c r="F152" s="572">
        <v>45</v>
      </c>
      <c r="G152" s="572">
        <f t="shared" si="34"/>
        <v>365</v>
      </c>
      <c r="H152" s="572">
        <v>0.95</v>
      </c>
      <c r="I152" s="572">
        <v>1.05</v>
      </c>
      <c r="J152" s="575">
        <v>1</v>
      </c>
      <c r="K152" s="572">
        <v>1</v>
      </c>
      <c r="L152" s="572">
        <f t="shared" si="26"/>
        <v>10</v>
      </c>
      <c r="M152" s="572">
        <f t="shared" si="24"/>
        <v>30</v>
      </c>
      <c r="N152" s="572">
        <f t="shared" si="24"/>
        <v>320</v>
      </c>
      <c r="O152" s="572">
        <f t="shared" si="24"/>
        <v>365</v>
      </c>
      <c r="P152" s="575">
        <f t="shared" si="27"/>
        <v>0.95</v>
      </c>
      <c r="Q152" s="575">
        <f t="shared" si="28"/>
        <v>0.95</v>
      </c>
      <c r="R152" s="575">
        <f t="shared" si="28"/>
        <v>1.05</v>
      </c>
      <c r="S152" s="575">
        <f t="shared" si="29"/>
        <v>1.05</v>
      </c>
      <c r="T152" s="575">
        <f t="shared" si="29"/>
        <v>1</v>
      </c>
      <c r="U152" s="579">
        <f t="shared" si="30"/>
        <v>5.0000000000000044E-3</v>
      </c>
      <c r="V152" s="580">
        <f t="shared" si="31"/>
        <v>0.89999999999999991</v>
      </c>
      <c r="W152" s="579">
        <f t="shared" si="32"/>
        <v>-1.1111111111111122E-3</v>
      </c>
      <c r="X152" s="580">
        <f t="shared" si="33"/>
        <v>1.4055555555555559</v>
      </c>
      <c r="AO152" s="576"/>
    </row>
    <row r="153" spans="1:66" x14ac:dyDescent="0.25">
      <c r="A153" s="572" t="str">
        <f t="shared" si="25"/>
        <v>Caña de azucar plantacion405</v>
      </c>
      <c r="B153" s="572" t="s">
        <v>5213</v>
      </c>
      <c r="C153" s="572">
        <v>35</v>
      </c>
      <c r="D153" s="572">
        <v>60</v>
      </c>
      <c r="E153" s="572">
        <v>190</v>
      </c>
      <c r="F153" s="572">
        <v>120</v>
      </c>
      <c r="G153" s="572">
        <f t="shared" si="34"/>
        <v>405</v>
      </c>
      <c r="H153" s="575">
        <v>0.4</v>
      </c>
      <c r="I153" s="572">
        <v>1.25</v>
      </c>
      <c r="J153" s="575">
        <v>0.75</v>
      </c>
      <c r="K153" s="572">
        <v>1</v>
      </c>
      <c r="L153" s="572">
        <f t="shared" si="26"/>
        <v>35</v>
      </c>
      <c r="M153" s="572">
        <f t="shared" si="24"/>
        <v>95</v>
      </c>
      <c r="N153" s="572">
        <f t="shared" si="24"/>
        <v>285</v>
      </c>
      <c r="O153" s="572">
        <f t="shared" si="24"/>
        <v>405</v>
      </c>
      <c r="P153" s="575">
        <f t="shared" si="27"/>
        <v>0.4</v>
      </c>
      <c r="Q153" s="575">
        <f t="shared" si="28"/>
        <v>0.4</v>
      </c>
      <c r="R153" s="575">
        <f t="shared" si="28"/>
        <v>1.25</v>
      </c>
      <c r="S153" s="575">
        <f t="shared" si="29"/>
        <v>1.25</v>
      </c>
      <c r="T153" s="575">
        <f t="shared" si="29"/>
        <v>0.75</v>
      </c>
      <c r="U153" s="579">
        <f t="shared" si="30"/>
        <v>1.4166666666666666E-2</v>
      </c>
      <c r="V153" s="580">
        <f t="shared" si="31"/>
        <v>-9.5833333333333215E-2</v>
      </c>
      <c r="W153" s="579">
        <f t="shared" si="32"/>
        <v>-4.1666666666666666E-3</v>
      </c>
      <c r="X153" s="580">
        <f t="shared" si="33"/>
        <v>2.4375</v>
      </c>
      <c r="AO153" s="576"/>
    </row>
    <row r="154" spans="1:66" x14ac:dyDescent="0.25">
      <c r="A154" s="572" t="str">
        <f t="shared" si="25"/>
        <v>Caña de azucar plantacion480</v>
      </c>
      <c r="B154" s="572" t="s">
        <v>5213</v>
      </c>
      <c r="C154" s="572">
        <v>50</v>
      </c>
      <c r="D154" s="572">
        <v>70</v>
      </c>
      <c r="E154" s="572">
        <v>220</v>
      </c>
      <c r="F154" s="572">
        <v>140</v>
      </c>
      <c r="G154" s="572">
        <f t="shared" si="34"/>
        <v>480</v>
      </c>
      <c r="H154" s="575">
        <v>0.4</v>
      </c>
      <c r="I154" s="572">
        <v>1.25</v>
      </c>
      <c r="J154" s="575">
        <v>0.75</v>
      </c>
      <c r="K154" s="572">
        <v>1</v>
      </c>
      <c r="L154" s="572">
        <f t="shared" si="26"/>
        <v>50</v>
      </c>
      <c r="M154" s="572">
        <f t="shared" si="24"/>
        <v>120</v>
      </c>
      <c r="N154" s="572">
        <f t="shared" si="24"/>
        <v>340</v>
      </c>
      <c r="O154" s="572">
        <f t="shared" si="24"/>
        <v>480</v>
      </c>
      <c r="P154" s="575">
        <f t="shared" si="27"/>
        <v>0.4</v>
      </c>
      <c r="Q154" s="575">
        <f t="shared" si="28"/>
        <v>0.4</v>
      </c>
      <c r="R154" s="575">
        <f t="shared" si="28"/>
        <v>1.25</v>
      </c>
      <c r="S154" s="575">
        <f t="shared" si="29"/>
        <v>1.25</v>
      </c>
      <c r="T154" s="575">
        <f t="shared" si="29"/>
        <v>0.75</v>
      </c>
      <c r="U154" s="579">
        <f t="shared" si="30"/>
        <v>1.2142857142857143E-2</v>
      </c>
      <c r="V154" s="580">
        <f t="shared" si="31"/>
        <v>-0.20714285714285707</v>
      </c>
      <c r="W154" s="579">
        <f t="shared" si="32"/>
        <v>-3.5714285714285713E-3</v>
      </c>
      <c r="X154" s="580">
        <f t="shared" si="33"/>
        <v>2.4642857142857144</v>
      </c>
      <c r="AO154" s="576"/>
    </row>
    <row r="155" spans="1:66" x14ac:dyDescent="0.25">
      <c r="A155" s="572" t="str">
        <f t="shared" si="25"/>
        <v>Caña de azucar plantacion720</v>
      </c>
      <c r="B155" s="572" t="s">
        <v>5213</v>
      </c>
      <c r="C155" s="572">
        <v>75</v>
      </c>
      <c r="D155" s="572">
        <v>105</v>
      </c>
      <c r="E155" s="572">
        <v>330</v>
      </c>
      <c r="F155" s="572">
        <v>210</v>
      </c>
      <c r="G155" s="572">
        <f t="shared" si="34"/>
        <v>720</v>
      </c>
      <c r="H155" s="575">
        <v>0.4</v>
      </c>
      <c r="I155" s="572">
        <v>1.25</v>
      </c>
      <c r="J155" s="575">
        <v>0.75</v>
      </c>
      <c r="K155" s="572">
        <v>1</v>
      </c>
      <c r="L155" s="572">
        <f t="shared" si="26"/>
        <v>75</v>
      </c>
      <c r="M155" s="572">
        <f t="shared" si="24"/>
        <v>180</v>
      </c>
      <c r="N155" s="572">
        <f t="shared" si="24"/>
        <v>510</v>
      </c>
      <c r="O155" s="572">
        <f t="shared" si="24"/>
        <v>720</v>
      </c>
      <c r="P155" s="575">
        <f t="shared" si="27"/>
        <v>0.4</v>
      </c>
      <c r="Q155" s="575">
        <f t="shared" si="28"/>
        <v>0.4</v>
      </c>
      <c r="R155" s="575">
        <f t="shared" si="28"/>
        <v>1.25</v>
      </c>
      <c r="S155" s="575">
        <f t="shared" si="29"/>
        <v>1.25</v>
      </c>
      <c r="T155" s="575">
        <f t="shared" si="29"/>
        <v>0.75</v>
      </c>
      <c r="U155" s="579">
        <f t="shared" si="30"/>
        <v>8.0952380952380946E-3</v>
      </c>
      <c r="V155" s="580">
        <f t="shared" si="31"/>
        <v>-0.20714285714285707</v>
      </c>
      <c r="W155" s="579">
        <f t="shared" si="32"/>
        <v>-2.3809523809523812E-3</v>
      </c>
      <c r="X155" s="580">
        <f t="shared" si="33"/>
        <v>2.4642857142857144</v>
      </c>
      <c r="AO155" s="576"/>
    </row>
    <row r="156" spans="1:66" x14ac:dyDescent="0.25">
      <c r="A156" s="572" t="str">
        <f t="shared" si="25"/>
        <v>Caña de azucar retoño280</v>
      </c>
      <c r="B156" s="572" t="s">
        <v>5214</v>
      </c>
      <c r="C156" s="572">
        <v>25</v>
      </c>
      <c r="D156" s="572">
        <v>70</v>
      </c>
      <c r="E156" s="572">
        <v>135</v>
      </c>
      <c r="F156" s="572">
        <v>50</v>
      </c>
      <c r="G156" s="572">
        <f t="shared" si="34"/>
        <v>280</v>
      </c>
      <c r="H156" s="575">
        <v>0.4</v>
      </c>
      <c r="I156" s="572">
        <v>1.25</v>
      </c>
      <c r="J156" s="575">
        <v>0.75</v>
      </c>
      <c r="K156" s="572">
        <v>1</v>
      </c>
      <c r="L156" s="572">
        <f t="shared" si="26"/>
        <v>25</v>
      </c>
      <c r="M156" s="572">
        <f t="shared" si="24"/>
        <v>95</v>
      </c>
      <c r="N156" s="572">
        <f t="shared" si="24"/>
        <v>230</v>
      </c>
      <c r="O156" s="572">
        <f t="shared" si="24"/>
        <v>280</v>
      </c>
      <c r="P156" s="575">
        <f t="shared" si="27"/>
        <v>0.4</v>
      </c>
      <c r="Q156" s="575">
        <f t="shared" si="28"/>
        <v>0.4</v>
      </c>
      <c r="R156" s="575">
        <f t="shared" si="28"/>
        <v>1.25</v>
      </c>
      <c r="S156" s="575">
        <f t="shared" si="29"/>
        <v>1.25</v>
      </c>
      <c r="T156" s="575">
        <f t="shared" si="29"/>
        <v>0.75</v>
      </c>
      <c r="U156" s="579">
        <f t="shared" si="30"/>
        <v>1.2142857142857143E-2</v>
      </c>
      <c r="V156" s="580">
        <f t="shared" si="31"/>
        <v>9.642857142857153E-2</v>
      </c>
      <c r="W156" s="579">
        <f t="shared" si="32"/>
        <v>-0.01</v>
      </c>
      <c r="X156" s="580">
        <f t="shared" si="33"/>
        <v>3.5500000000000003</v>
      </c>
      <c r="AO156" s="576"/>
    </row>
    <row r="157" spans="1:66" x14ac:dyDescent="0.25">
      <c r="A157" s="572" t="str">
        <f t="shared" si="25"/>
        <v>Caña de azucar retoño320</v>
      </c>
      <c r="B157" s="572" t="s">
        <v>5214</v>
      </c>
      <c r="C157" s="572">
        <v>30</v>
      </c>
      <c r="D157" s="572">
        <v>50</v>
      </c>
      <c r="E157" s="572">
        <v>180</v>
      </c>
      <c r="F157" s="572">
        <v>60</v>
      </c>
      <c r="G157" s="572">
        <f t="shared" si="34"/>
        <v>320</v>
      </c>
      <c r="H157" s="575">
        <v>0.4</v>
      </c>
      <c r="I157" s="572">
        <v>1.25</v>
      </c>
      <c r="J157" s="575">
        <v>0.75</v>
      </c>
      <c r="K157" s="572">
        <v>1</v>
      </c>
      <c r="L157" s="572">
        <f t="shared" si="26"/>
        <v>30</v>
      </c>
      <c r="M157" s="572">
        <f t="shared" si="24"/>
        <v>80</v>
      </c>
      <c r="N157" s="572">
        <f t="shared" si="24"/>
        <v>260</v>
      </c>
      <c r="O157" s="572">
        <f t="shared" si="24"/>
        <v>320</v>
      </c>
      <c r="P157" s="575">
        <f t="shared" si="27"/>
        <v>0.4</v>
      </c>
      <c r="Q157" s="575">
        <f t="shared" si="28"/>
        <v>0.4</v>
      </c>
      <c r="R157" s="575">
        <f t="shared" si="28"/>
        <v>1.25</v>
      </c>
      <c r="S157" s="575">
        <f t="shared" si="29"/>
        <v>1.25</v>
      </c>
      <c r="T157" s="575">
        <f t="shared" si="29"/>
        <v>0.75</v>
      </c>
      <c r="U157" s="579">
        <f t="shared" si="30"/>
        <v>1.7000000000000001E-2</v>
      </c>
      <c r="V157" s="580">
        <f t="shared" si="31"/>
        <v>-0.1100000000000001</v>
      </c>
      <c r="W157" s="579">
        <f t="shared" si="32"/>
        <v>-8.3333333333333332E-3</v>
      </c>
      <c r="X157" s="580">
        <f t="shared" si="33"/>
        <v>3.4166666666666665</v>
      </c>
      <c r="AO157" s="576"/>
    </row>
    <row r="158" spans="1:66" x14ac:dyDescent="0.25">
      <c r="A158" s="572" t="str">
        <f t="shared" si="25"/>
        <v>Caña de azucar retoño420</v>
      </c>
      <c r="B158" s="572" t="s">
        <v>5214</v>
      </c>
      <c r="C158" s="572">
        <v>35</v>
      </c>
      <c r="D158" s="572">
        <v>105</v>
      </c>
      <c r="E158" s="572">
        <v>210</v>
      </c>
      <c r="F158" s="572">
        <v>70</v>
      </c>
      <c r="G158" s="572">
        <f t="shared" si="34"/>
        <v>420</v>
      </c>
      <c r="H158" s="575">
        <v>0.4</v>
      </c>
      <c r="I158" s="572">
        <v>1.25</v>
      </c>
      <c r="J158" s="575">
        <v>0.75</v>
      </c>
      <c r="K158" s="572">
        <v>1</v>
      </c>
      <c r="L158" s="572">
        <f t="shared" si="26"/>
        <v>35</v>
      </c>
      <c r="M158" s="572">
        <f t="shared" si="24"/>
        <v>140</v>
      </c>
      <c r="N158" s="572">
        <f t="shared" si="24"/>
        <v>350</v>
      </c>
      <c r="O158" s="572">
        <f t="shared" si="24"/>
        <v>420</v>
      </c>
      <c r="P158" s="575">
        <f t="shared" si="27"/>
        <v>0.4</v>
      </c>
      <c r="Q158" s="575">
        <f t="shared" si="28"/>
        <v>0.4</v>
      </c>
      <c r="R158" s="575">
        <f t="shared" si="28"/>
        <v>1.25</v>
      </c>
      <c r="S158" s="575">
        <f t="shared" si="29"/>
        <v>1.25</v>
      </c>
      <c r="T158" s="575">
        <f t="shared" si="29"/>
        <v>0.75</v>
      </c>
      <c r="U158" s="579">
        <f t="shared" si="30"/>
        <v>8.0952380952380946E-3</v>
      </c>
      <c r="V158" s="580">
        <f t="shared" si="31"/>
        <v>0.1166666666666667</v>
      </c>
      <c r="W158" s="579">
        <f t="shared" si="32"/>
        <v>-7.1428571428571426E-3</v>
      </c>
      <c r="X158" s="580">
        <f t="shared" si="33"/>
        <v>3.75</v>
      </c>
      <c r="AO158" s="576"/>
    </row>
    <row r="159" spans="1:66" x14ac:dyDescent="0.25">
      <c r="A159" s="572" t="str">
        <f t="shared" si="25"/>
        <v>Platano primer año390</v>
      </c>
      <c r="B159" s="572" t="s">
        <v>5215</v>
      </c>
      <c r="C159" s="572">
        <v>120</v>
      </c>
      <c r="D159" s="572">
        <v>90</v>
      </c>
      <c r="E159" s="572">
        <v>120</v>
      </c>
      <c r="F159" s="572">
        <v>60</v>
      </c>
      <c r="G159" s="572">
        <f t="shared" si="34"/>
        <v>390</v>
      </c>
      <c r="H159" s="575">
        <v>0.5</v>
      </c>
      <c r="I159" s="575">
        <v>1.1000000000000001</v>
      </c>
      <c r="J159" s="575">
        <v>1</v>
      </c>
      <c r="K159" s="572">
        <v>1</v>
      </c>
      <c r="L159" s="572">
        <f t="shared" si="26"/>
        <v>120</v>
      </c>
      <c r="M159" s="572">
        <f t="shared" si="24"/>
        <v>210</v>
      </c>
      <c r="N159" s="572">
        <f t="shared" si="24"/>
        <v>330</v>
      </c>
      <c r="O159" s="572">
        <f t="shared" si="24"/>
        <v>390</v>
      </c>
      <c r="P159" s="575">
        <f t="shared" si="27"/>
        <v>0.5</v>
      </c>
      <c r="Q159" s="575">
        <f t="shared" si="28"/>
        <v>0.5</v>
      </c>
      <c r="R159" s="575">
        <f t="shared" si="28"/>
        <v>1.1000000000000001</v>
      </c>
      <c r="S159" s="575">
        <f t="shared" si="29"/>
        <v>1.1000000000000001</v>
      </c>
      <c r="T159" s="575">
        <f t="shared" si="29"/>
        <v>1</v>
      </c>
      <c r="U159" s="579">
        <f t="shared" si="30"/>
        <v>6.666666666666668E-3</v>
      </c>
      <c r="V159" s="580">
        <f t="shared" si="31"/>
        <v>-0.30000000000000027</v>
      </c>
      <c r="W159" s="579">
        <f t="shared" si="32"/>
        <v>-1.6666666666666681E-3</v>
      </c>
      <c r="X159" s="580">
        <f t="shared" si="33"/>
        <v>1.6500000000000006</v>
      </c>
      <c r="AO159" s="576"/>
    </row>
    <row r="160" spans="1:66" x14ac:dyDescent="0.25">
      <c r="A160" s="572" t="str">
        <f t="shared" si="25"/>
        <v>Platano segundo año365</v>
      </c>
      <c r="B160" s="572" t="s">
        <v>5216</v>
      </c>
      <c r="C160" s="572">
        <v>120</v>
      </c>
      <c r="D160" s="572">
        <v>60</v>
      </c>
      <c r="E160" s="572">
        <v>180</v>
      </c>
      <c r="F160" s="572">
        <v>5</v>
      </c>
      <c r="G160" s="572">
        <f t="shared" si="34"/>
        <v>365</v>
      </c>
      <c r="H160" s="575">
        <v>1</v>
      </c>
      <c r="I160" s="575">
        <v>1.2</v>
      </c>
      <c r="J160" s="575">
        <v>1.1000000000000001</v>
      </c>
      <c r="K160" s="572">
        <v>1</v>
      </c>
      <c r="L160" s="572">
        <f t="shared" si="26"/>
        <v>120</v>
      </c>
      <c r="M160" s="572">
        <f t="shared" si="24"/>
        <v>180</v>
      </c>
      <c r="N160" s="572">
        <f t="shared" si="24"/>
        <v>360</v>
      </c>
      <c r="O160" s="572">
        <f t="shared" si="24"/>
        <v>365</v>
      </c>
      <c r="P160" s="575">
        <f t="shared" si="27"/>
        <v>1</v>
      </c>
      <c r="Q160" s="575">
        <f t="shared" si="28"/>
        <v>1</v>
      </c>
      <c r="R160" s="575">
        <f t="shared" si="28"/>
        <v>1.2</v>
      </c>
      <c r="S160" s="575">
        <f t="shared" si="29"/>
        <v>1.2</v>
      </c>
      <c r="T160" s="575">
        <f t="shared" si="29"/>
        <v>1.1000000000000001</v>
      </c>
      <c r="U160" s="579">
        <f t="shared" si="30"/>
        <v>3.3333333333333327E-3</v>
      </c>
      <c r="V160" s="580">
        <f t="shared" si="31"/>
        <v>0.60000000000000009</v>
      </c>
      <c r="W160" s="579">
        <f t="shared" si="32"/>
        <v>-1.9999999999999973E-2</v>
      </c>
      <c r="X160" s="580">
        <f t="shared" si="33"/>
        <v>8.3999999999999897</v>
      </c>
      <c r="AO160" s="576"/>
    </row>
    <row r="161" spans="1:41" x14ac:dyDescent="0.25">
      <c r="A161" s="572" t="str">
        <f t="shared" si="25"/>
        <v>Cacao365</v>
      </c>
      <c r="B161" s="572" t="s">
        <v>5217</v>
      </c>
      <c r="C161" s="572">
        <v>120</v>
      </c>
      <c r="D161" s="572">
        <v>60</v>
      </c>
      <c r="E161" s="572">
        <v>180</v>
      </c>
      <c r="F161" s="572">
        <v>5</v>
      </c>
      <c r="G161" s="572">
        <f t="shared" si="34"/>
        <v>365</v>
      </c>
      <c r="H161" s="575">
        <v>1</v>
      </c>
      <c r="I161" s="575">
        <v>1.05</v>
      </c>
      <c r="J161" s="575">
        <v>1.05</v>
      </c>
      <c r="K161" s="572">
        <v>1</v>
      </c>
      <c r="L161" s="572">
        <f t="shared" si="26"/>
        <v>120</v>
      </c>
      <c r="M161" s="572">
        <f t="shared" si="24"/>
        <v>180</v>
      </c>
      <c r="N161" s="572">
        <f t="shared" si="24"/>
        <v>360</v>
      </c>
      <c r="O161" s="572">
        <f t="shared" si="24"/>
        <v>365</v>
      </c>
      <c r="P161" s="575">
        <f t="shared" si="27"/>
        <v>1</v>
      </c>
      <c r="Q161" s="575">
        <f t="shared" si="28"/>
        <v>1</v>
      </c>
      <c r="R161" s="575">
        <f t="shared" si="28"/>
        <v>1.05</v>
      </c>
      <c r="S161" s="575">
        <f t="shared" si="29"/>
        <v>1.05</v>
      </c>
      <c r="T161" s="575">
        <f t="shared" si="29"/>
        <v>1.05</v>
      </c>
      <c r="U161" s="579">
        <f t="shared" si="30"/>
        <v>8.3333333333333404E-4</v>
      </c>
      <c r="V161" s="580">
        <f t="shared" si="31"/>
        <v>0.89999999999999991</v>
      </c>
      <c r="W161" s="579">
        <f t="shared" si="32"/>
        <v>0</v>
      </c>
      <c r="X161" s="580">
        <f t="shared" si="33"/>
        <v>1.05</v>
      </c>
      <c r="AO161" s="576"/>
    </row>
    <row r="162" spans="1:41" x14ac:dyDescent="0.25">
      <c r="A162" s="572" t="str">
        <f t="shared" si="25"/>
        <v>Café suelo desnudo365</v>
      </c>
      <c r="B162" s="572" t="s">
        <v>5218</v>
      </c>
      <c r="C162" s="572">
        <v>120</v>
      </c>
      <c r="D162" s="572">
        <v>60</v>
      </c>
      <c r="E162" s="572">
        <v>180</v>
      </c>
      <c r="F162" s="572">
        <v>5</v>
      </c>
      <c r="G162" s="572">
        <f t="shared" si="34"/>
        <v>365</v>
      </c>
      <c r="H162" s="575">
        <v>0.9</v>
      </c>
      <c r="I162" s="575">
        <v>0.95</v>
      </c>
      <c r="J162" s="575">
        <v>0.95</v>
      </c>
      <c r="K162" s="572">
        <v>1</v>
      </c>
      <c r="L162" s="572">
        <f t="shared" si="26"/>
        <v>120</v>
      </c>
      <c r="M162" s="572">
        <f t="shared" si="24"/>
        <v>180</v>
      </c>
      <c r="N162" s="572">
        <f t="shared" si="24"/>
        <v>360</v>
      </c>
      <c r="O162" s="572">
        <f t="shared" si="24"/>
        <v>365</v>
      </c>
      <c r="P162" s="575">
        <f t="shared" si="27"/>
        <v>0.9</v>
      </c>
      <c r="Q162" s="575">
        <f t="shared" si="28"/>
        <v>0.9</v>
      </c>
      <c r="R162" s="575">
        <f t="shared" si="28"/>
        <v>0.95</v>
      </c>
      <c r="S162" s="575">
        <f t="shared" si="29"/>
        <v>0.95</v>
      </c>
      <c r="T162" s="575">
        <f t="shared" si="29"/>
        <v>0.95</v>
      </c>
      <c r="U162" s="579">
        <f t="shared" si="30"/>
        <v>8.3333333333333219E-4</v>
      </c>
      <c r="V162" s="580">
        <f t="shared" si="31"/>
        <v>0.80000000000000016</v>
      </c>
      <c r="W162" s="579">
        <f t="shared" si="32"/>
        <v>0</v>
      </c>
      <c r="X162" s="580">
        <f t="shared" si="33"/>
        <v>0.95</v>
      </c>
      <c r="AO162" s="576"/>
    </row>
    <row r="163" spans="1:41" x14ac:dyDescent="0.25">
      <c r="A163" s="572" t="str">
        <f t="shared" si="25"/>
        <v>Café suelo con cobertura365</v>
      </c>
      <c r="B163" s="572" t="s">
        <v>5219</v>
      </c>
      <c r="C163" s="572">
        <v>120</v>
      </c>
      <c r="D163" s="572">
        <v>60</v>
      </c>
      <c r="E163" s="572">
        <v>180</v>
      </c>
      <c r="F163" s="572">
        <v>5</v>
      </c>
      <c r="G163" s="572">
        <f t="shared" si="34"/>
        <v>365</v>
      </c>
      <c r="H163" s="575">
        <v>1.05</v>
      </c>
      <c r="I163" s="575">
        <v>1.1000000000000001</v>
      </c>
      <c r="J163" s="575">
        <v>1.1000000000000001</v>
      </c>
      <c r="K163" s="572">
        <v>1</v>
      </c>
      <c r="L163" s="572">
        <f t="shared" si="26"/>
        <v>120</v>
      </c>
      <c r="M163" s="572">
        <f t="shared" ref="M163:O191" si="35">L163+D163</f>
        <v>180</v>
      </c>
      <c r="N163" s="572">
        <f t="shared" si="35"/>
        <v>360</v>
      </c>
      <c r="O163" s="572">
        <f t="shared" si="35"/>
        <v>365</v>
      </c>
      <c r="P163" s="575">
        <f t="shared" si="27"/>
        <v>1.05</v>
      </c>
      <c r="Q163" s="575">
        <f t="shared" si="28"/>
        <v>1.05</v>
      </c>
      <c r="R163" s="575">
        <f t="shared" si="28"/>
        <v>1.1000000000000001</v>
      </c>
      <c r="S163" s="575">
        <f t="shared" si="29"/>
        <v>1.1000000000000001</v>
      </c>
      <c r="T163" s="575">
        <f t="shared" si="29"/>
        <v>1.1000000000000001</v>
      </c>
      <c r="U163" s="579">
        <f t="shared" si="30"/>
        <v>8.3333333333333404E-4</v>
      </c>
      <c r="V163" s="580">
        <f t="shared" si="31"/>
        <v>0.95</v>
      </c>
      <c r="W163" s="579">
        <f t="shared" si="32"/>
        <v>0</v>
      </c>
      <c r="X163" s="580">
        <f t="shared" si="33"/>
        <v>1.1000000000000001</v>
      </c>
      <c r="AO163" s="576"/>
    </row>
    <row r="164" spans="1:41" x14ac:dyDescent="0.25">
      <c r="A164" s="572" t="str">
        <f t="shared" si="25"/>
        <v>Palmeras365</v>
      </c>
      <c r="B164" s="572" t="s">
        <v>5220</v>
      </c>
      <c r="C164" s="572">
        <v>120</v>
      </c>
      <c r="D164" s="572">
        <v>60</v>
      </c>
      <c r="E164" s="572">
        <v>180</v>
      </c>
      <c r="F164" s="572">
        <v>5</v>
      </c>
      <c r="G164" s="572">
        <f t="shared" si="34"/>
        <v>365</v>
      </c>
      <c r="H164" s="575">
        <v>0.95</v>
      </c>
      <c r="I164" s="575">
        <v>1</v>
      </c>
      <c r="J164" s="575">
        <v>1</v>
      </c>
      <c r="K164" s="572">
        <v>1</v>
      </c>
      <c r="L164" s="572">
        <f t="shared" si="26"/>
        <v>120</v>
      </c>
      <c r="M164" s="572">
        <f t="shared" si="35"/>
        <v>180</v>
      </c>
      <c r="N164" s="572">
        <f t="shared" si="35"/>
        <v>360</v>
      </c>
      <c r="O164" s="572">
        <f t="shared" si="35"/>
        <v>365</v>
      </c>
      <c r="P164" s="575">
        <f t="shared" si="27"/>
        <v>0.95</v>
      </c>
      <c r="Q164" s="575">
        <f t="shared" si="28"/>
        <v>0.95</v>
      </c>
      <c r="R164" s="575">
        <f t="shared" si="28"/>
        <v>1</v>
      </c>
      <c r="S164" s="575">
        <f t="shared" si="29"/>
        <v>1</v>
      </c>
      <c r="T164" s="575">
        <f t="shared" si="29"/>
        <v>1</v>
      </c>
      <c r="U164" s="579">
        <f t="shared" si="30"/>
        <v>8.3333333333333404E-4</v>
      </c>
      <c r="V164" s="580">
        <f t="shared" si="31"/>
        <v>0.84999999999999987</v>
      </c>
      <c r="W164" s="579">
        <f t="shared" si="32"/>
        <v>0</v>
      </c>
      <c r="X164" s="580">
        <f t="shared" si="33"/>
        <v>1</v>
      </c>
      <c r="AO164" s="576"/>
    </row>
    <row r="165" spans="1:41" x14ac:dyDescent="0.25">
      <c r="A165" s="572" t="str">
        <f t="shared" si="25"/>
        <v>Hule365</v>
      </c>
      <c r="B165" s="572" t="s">
        <v>5221</v>
      </c>
      <c r="C165" s="572">
        <v>120</v>
      </c>
      <c r="D165" s="572">
        <v>60</v>
      </c>
      <c r="E165" s="572">
        <v>180</v>
      </c>
      <c r="F165" s="572">
        <v>5</v>
      </c>
      <c r="G165" s="572">
        <f t="shared" si="34"/>
        <v>365</v>
      </c>
      <c r="H165" s="575">
        <v>0.95</v>
      </c>
      <c r="I165" s="575">
        <v>1</v>
      </c>
      <c r="J165" s="575">
        <v>1</v>
      </c>
      <c r="K165" s="572">
        <v>1</v>
      </c>
      <c r="L165" s="572">
        <f t="shared" si="26"/>
        <v>120</v>
      </c>
      <c r="M165" s="572">
        <f t="shared" si="35"/>
        <v>180</v>
      </c>
      <c r="N165" s="572">
        <f t="shared" si="35"/>
        <v>360</v>
      </c>
      <c r="O165" s="572">
        <f t="shared" si="35"/>
        <v>365</v>
      </c>
      <c r="P165" s="575">
        <f t="shared" si="27"/>
        <v>0.95</v>
      </c>
      <c r="Q165" s="575">
        <f t="shared" si="28"/>
        <v>0.95</v>
      </c>
      <c r="R165" s="575">
        <f t="shared" si="28"/>
        <v>1</v>
      </c>
      <c r="S165" s="575">
        <f t="shared" si="29"/>
        <v>1</v>
      </c>
      <c r="T165" s="575">
        <f t="shared" si="29"/>
        <v>1</v>
      </c>
      <c r="U165" s="579">
        <f t="shared" si="30"/>
        <v>8.3333333333333404E-4</v>
      </c>
      <c r="V165" s="580">
        <f t="shared" si="31"/>
        <v>0.84999999999999987</v>
      </c>
      <c r="W165" s="579">
        <f t="shared" si="32"/>
        <v>0</v>
      </c>
      <c r="X165" s="580">
        <f t="shared" si="33"/>
        <v>1</v>
      </c>
      <c r="AO165" s="576"/>
    </row>
    <row r="166" spans="1:41" x14ac:dyDescent="0.25">
      <c r="A166" s="572" t="str">
        <f t="shared" si="25"/>
        <v>Te sin sombra365</v>
      </c>
      <c r="B166" s="572" t="s">
        <v>5222</v>
      </c>
      <c r="C166" s="572">
        <v>120</v>
      </c>
      <c r="D166" s="572">
        <v>60</v>
      </c>
      <c r="E166" s="572">
        <v>180</v>
      </c>
      <c r="F166" s="572">
        <v>5</v>
      </c>
      <c r="G166" s="572">
        <f t="shared" si="34"/>
        <v>365</v>
      </c>
      <c r="H166" s="575">
        <v>0.95</v>
      </c>
      <c r="I166" s="575">
        <v>1</v>
      </c>
      <c r="J166" s="575">
        <v>1</v>
      </c>
      <c r="K166" s="572">
        <v>1</v>
      </c>
      <c r="L166" s="572">
        <f t="shared" si="26"/>
        <v>120</v>
      </c>
      <c r="M166" s="572">
        <f t="shared" si="35"/>
        <v>180</v>
      </c>
      <c r="N166" s="572">
        <f t="shared" si="35"/>
        <v>360</v>
      </c>
      <c r="O166" s="572">
        <f t="shared" si="35"/>
        <v>365</v>
      </c>
      <c r="P166" s="575">
        <f t="shared" si="27"/>
        <v>0.95</v>
      </c>
      <c r="Q166" s="575">
        <f t="shared" si="28"/>
        <v>0.95</v>
      </c>
      <c r="R166" s="575">
        <f t="shared" si="28"/>
        <v>1</v>
      </c>
      <c r="S166" s="575">
        <f t="shared" si="29"/>
        <v>1</v>
      </c>
      <c r="T166" s="575">
        <f t="shared" si="29"/>
        <v>1</v>
      </c>
      <c r="U166" s="579">
        <f t="shared" si="30"/>
        <v>8.3333333333333404E-4</v>
      </c>
      <c r="V166" s="580">
        <f t="shared" si="31"/>
        <v>0.84999999999999987</v>
      </c>
      <c r="W166" s="579">
        <f t="shared" si="32"/>
        <v>0</v>
      </c>
      <c r="X166" s="580">
        <f t="shared" si="33"/>
        <v>1</v>
      </c>
      <c r="AO166" s="576"/>
    </row>
    <row r="167" spans="1:41" x14ac:dyDescent="0.25">
      <c r="A167" s="572" t="str">
        <f t="shared" si="25"/>
        <v>Te con sombra365</v>
      </c>
      <c r="B167" s="572" t="s">
        <v>5223</v>
      </c>
      <c r="C167" s="572">
        <v>120</v>
      </c>
      <c r="D167" s="572">
        <v>60</v>
      </c>
      <c r="E167" s="572">
        <v>180</v>
      </c>
      <c r="F167" s="572">
        <v>5</v>
      </c>
      <c r="G167" s="572">
        <f t="shared" si="34"/>
        <v>365</v>
      </c>
      <c r="H167" s="575">
        <v>1.1000000000000001</v>
      </c>
      <c r="I167" s="575">
        <v>1.1499999999999999</v>
      </c>
      <c r="J167" s="575">
        <v>1.1499999999999999</v>
      </c>
      <c r="K167" s="572">
        <v>1</v>
      </c>
      <c r="L167" s="572">
        <f t="shared" si="26"/>
        <v>120</v>
      </c>
      <c r="M167" s="572">
        <f t="shared" si="35"/>
        <v>180</v>
      </c>
      <c r="N167" s="572">
        <f t="shared" si="35"/>
        <v>360</v>
      </c>
      <c r="O167" s="572">
        <f t="shared" si="35"/>
        <v>365</v>
      </c>
      <c r="P167" s="575">
        <f t="shared" si="27"/>
        <v>1.1000000000000001</v>
      </c>
      <c r="Q167" s="575">
        <f t="shared" si="28"/>
        <v>1.1000000000000001</v>
      </c>
      <c r="R167" s="575">
        <f t="shared" si="28"/>
        <v>1.1499999999999999</v>
      </c>
      <c r="S167" s="575">
        <f t="shared" si="29"/>
        <v>1.1499999999999999</v>
      </c>
      <c r="T167" s="575">
        <f t="shared" si="29"/>
        <v>1.1499999999999999</v>
      </c>
      <c r="U167" s="579">
        <f t="shared" si="30"/>
        <v>8.3333333333333035E-4</v>
      </c>
      <c r="V167" s="580">
        <f t="shared" si="31"/>
        <v>1.0000000000000004</v>
      </c>
      <c r="W167" s="579">
        <f t="shared" si="32"/>
        <v>0</v>
      </c>
      <c r="X167" s="580">
        <f t="shared" si="33"/>
        <v>1.1499999999999999</v>
      </c>
      <c r="AO167" s="576"/>
    </row>
    <row r="168" spans="1:41" x14ac:dyDescent="0.25">
      <c r="A168" s="572" t="str">
        <f t="shared" si="25"/>
        <v>Piña suelo desnudo790</v>
      </c>
      <c r="B168" s="572" t="s">
        <v>5224</v>
      </c>
      <c r="C168" s="572">
        <v>60</v>
      </c>
      <c r="D168" s="572">
        <v>120</v>
      </c>
      <c r="E168" s="572">
        <v>600</v>
      </c>
      <c r="F168" s="572">
        <v>10</v>
      </c>
      <c r="G168" s="572">
        <f t="shared" si="34"/>
        <v>790</v>
      </c>
      <c r="H168" s="575">
        <v>0.5</v>
      </c>
      <c r="I168" s="575">
        <v>0.3</v>
      </c>
      <c r="J168" s="575">
        <v>0.3</v>
      </c>
      <c r="K168" s="572">
        <v>1</v>
      </c>
      <c r="L168" s="572">
        <f t="shared" si="26"/>
        <v>60</v>
      </c>
      <c r="M168" s="572">
        <f t="shared" si="35"/>
        <v>180</v>
      </c>
      <c r="N168" s="572">
        <f t="shared" si="35"/>
        <v>780</v>
      </c>
      <c r="O168" s="572">
        <f t="shared" si="35"/>
        <v>790</v>
      </c>
      <c r="P168" s="575">
        <f t="shared" si="27"/>
        <v>0.5</v>
      </c>
      <c r="Q168" s="575">
        <f t="shared" si="28"/>
        <v>0.5</v>
      </c>
      <c r="R168" s="575">
        <f t="shared" si="28"/>
        <v>0.3</v>
      </c>
      <c r="S168" s="575">
        <f t="shared" si="29"/>
        <v>0.3</v>
      </c>
      <c r="T168" s="575">
        <f t="shared" si="29"/>
        <v>0.3</v>
      </c>
      <c r="U168" s="579">
        <f t="shared" si="30"/>
        <v>-1.6666666666666668E-3</v>
      </c>
      <c r="V168" s="580">
        <f t="shared" si="31"/>
        <v>0.60000000000000009</v>
      </c>
      <c r="W168" s="579">
        <f t="shared" si="32"/>
        <v>0</v>
      </c>
      <c r="X168" s="580">
        <f t="shared" si="33"/>
        <v>0.3</v>
      </c>
      <c r="AO168" s="576"/>
    </row>
    <row r="169" spans="1:41" x14ac:dyDescent="0.25">
      <c r="A169" s="572" t="str">
        <f t="shared" si="25"/>
        <v>Piña suelo con cobertura790</v>
      </c>
      <c r="B169" s="572" t="s">
        <v>5225</v>
      </c>
      <c r="C169" s="572">
        <v>60</v>
      </c>
      <c r="D169" s="572">
        <v>120</v>
      </c>
      <c r="E169" s="572">
        <v>600</v>
      </c>
      <c r="F169" s="572">
        <v>10</v>
      </c>
      <c r="G169" s="572">
        <f t="shared" si="34"/>
        <v>790</v>
      </c>
      <c r="H169" s="575">
        <v>0.5</v>
      </c>
      <c r="I169" s="575">
        <v>0.5</v>
      </c>
      <c r="J169" s="575">
        <v>0.3</v>
      </c>
      <c r="K169" s="572">
        <v>1</v>
      </c>
      <c r="L169" s="572">
        <f t="shared" si="26"/>
        <v>60</v>
      </c>
      <c r="M169" s="572">
        <f t="shared" si="35"/>
        <v>180</v>
      </c>
      <c r="N169" s="572">
        <f t="shared" si="35"/>
        <v>780</v>
      </c>
      <c r="O169" s="572">
        <f t="shared" si="35"/>
        <v>790</v>
      </c>
      <c r="P169" s="575">
        <f t="shared" si="27"/>
        <v>0.5</v>
      </c>
      <c r="Q169" s="575">
        <f t="shared" si="28"/>
        <v>0.5</v>
      </c>
      <c r="R169" s="575">
        <f t="shared" si="28"/>
        <v>0.5</v>
      </c>
      <c r="S169" s="575">
        <f t="shared" si="29"/>
        <v>0.5</v>
      </c>
      <c r="T169" s="575">
        <f t="shared" si="29"/>
        <v>0.3</v>
      </c>
      <c r="U169" s="579">
        <f t="shared" si="30"/>
        <v>0</v>
      </c>
      <c r="V169" s="580">
        <f t="shared" si="31"/>
        <v>0.5</v>
      </c>
      <c r="W169" s="579">
        <f t="shared" si="32"/>
        <v>-0.02</v>
      </c>
      <c r="X169" s="580">
        <f t="shared" si="33"/>
        <v>16.100000000000001</v>
      </c>
      <c r="AO169" s="576"/>
    </row>
    <row r="170" spans="1:41" x14ac:dyDescent="0.25">
      <c r="A170" s="572" t="str">
        <f t="shared" si="25"/>
        <v>Vid240</v>
      </c>
      <c r="B170" s="572" t="s">
        <v>5226</v>
      </c>
      <c r="C170" s="572">
        <v>20</v>
      </c>
      <c r="D170" s="572">
        <v>40</v>
      </c>
      <c r="E170" s="572">
        <v>120</v>
      </c>
      <c r="F170" s="572">
        <v>60</v>
      </c>
      <c r="G170" s="572">
        <f t="shared" si="34"/>
        <v>240</v>
      </c>
      <c r="H170" s="575">
        <v>0.3</v>
      </c>
      <c r="I170" s="575">
        <v>0.85</v>
      </c>
      <c r="J170" s="575">
        <v>0.45</v>
      </c>
      <c r="K170" s="572">
        <v>1</v>
      </c>
      <c r="L170" s="572">
        <f t="shared" si="26"/>
        <v>20</v>
      </c>
      <c r="M170" s="572">
        <f t="shared" si="35"/>
        <v>60</v>
      </c>
      <c r="N170" s="572">
        <f t="shared" si="35"/>
        <v>180</v>
      </c>
      <c r="O170" s="572">
        <f t="shared" si="35"/>
        <v>240</v>
      </c>
      <c r="P170" s="575">
        <f t="shared" si="27"/>
        <v>0.3</v>
      </c>
      <c r="Q170" s="575">
        <f t="shared" si="28"/>
        <v>0.3</v>
      </c>
      <c r="R170" s="575">
        <f t="shared" si="28"/>
        <v>0.85</v>
      </c>
      <c r="S170" s="575">
        <f t="shared" si="29"/>
        <v>0.85</v>
      </c>
      <c r="T170" s="575">
        <f t="shared" si="29"/>
        <v>0.45</v>
      </c>
      <c r="U170" s="579">
        <f t="shared" si="30"/>
        <v>1.3750000000000002E-2</v>
      </c>
      <c r="V170" s="580">
        <f t="shared" si="31"/>
        <v>2.4999999999999911E-2</v>
      </c>
      <c r="W170" s="579">
        <f t="shared" si="32"/>
        <v>-6.6666666666666662E-3</v>
      </c>
      <c r="X170" s="580">
        <f t="shared" si="33"/>
        <v>2.0499999999999998</v>
      </c>
      <c r="AO170" s="576"/>
    </row>
    <row r="171" spans="1:41" x14ac:dyDescent="0.25">
      <c r="A171" s="572" t="str">
        <f t="shared" si="25"/>
        <v>Vid205</v>
      </c>
      <c r="B171" s="572" t="s">
        <v>5226</v>
      </c>
      <c r="C171" s="572">
        <v>20</v>
      </c>
      <c r="D171" s="572">
        <v>50</v>
      </c>
      <c r="E171" s="572">
        <v>75</v>
      </c>
      <c r="F171" s="572">
        <v>60</v>
      </c>
      <c r="G171" s="572">
        <f t="shared" si="34"/>
        <v>205</v>
      </c>
      <c r="H171" s="575">
        <v>0.3</v>
      </c>
      <c r="I171" s="575">
        <v>0.85</v>
      </c>
      <c r="J171" s="575">
        <v>0.45</v>
      </c>
      <c r="K171" s="572">
        <v>1</v>
      </c>
      <c r="L171" s="572">
        <f t="shared" si="26"/>
        <v>20</v>
      </c>
      <c r="M171" s="572">
        <f t="shared" si="35"/>
        <v>70</v>
      </c>
      <c r="N171" s="572">
        <f t="shared" si="35"/>
        <v>145</v>
      </c>
      <c r="O171" s="572">
        <f t="shared" si="35"/>
        <v>205</v>
      </c>
      <c r="P171" s="575">
        <f t="shared" si="27"/>
        <v>0.3</v>
      </c>
      <c r="Q171" s="575">
        <f t="shared" si="28"/>
        <v>0.3</v>
      </c>
      <c r="R171" s="575">
        <f t="shared" si="28"/>
        <v>0.85</v>
      </c>
      <c r="S171" s="575">
        <f t="shared" si="29"/>
        <v>0.85</v>
      </c>
      <c r="T171" s="575">
        <f t="shared" si="29"/>
        <v>0.45</v>
      </c>
      <c r="U171" s="579">
        <f t="shared" si="30"/>
        <v>1.1000000000000001E-2</v>
      </c>
      <c r="V171" s="580">
        <f t="shared" si="31"/>
        <v>7.9999999999999849E-2</v>
      </c>
      <c r="W171" s="579">
        <f t="shared" si="32"/>
        <v>-6.6666666666666662E-3</v>
      </c>
      <c r="X171" s="580">
        <f t="shared" si="33"/>
        <v>1.8166666666666664</v>
      </c>
      <c r="AO171" s="576"/>
    </row>
    <row r="172" spans="1:41" x14ac:dyDescent="0.25">
      <c r="A172" s="572" t="str">
        <f t="shared" si="25"/>
        <v>Vid180</v>
      </c>
      <c r="B172" s="572" t="s">
        <v>5226</v>
      </c>
      <c r="C172" s="572">
        <v>20</v>
      </c>
      <c r="D172" s="572">
        <v>50</v>
      </c>
      <c r="E172" s="572">
        <v>90</v>
      </c>
      <c r="F172" s="572">
        <v>20</v>
      </c>
      <c r="G172" s="572">
        <f t="shared" si="34"/>
        <v>180</v>
      </c>
      <c r="H172" s="575">
        <v>0.3</v>
      </c>
      <c r="I172" s="575">
        <v>0.85</v>
      </c>
      <c r="J172" s="575">
        <v>0.45</v>
      </c>
      <c r="K172" s="572">
        <v>1</v>
      </c>
      <c r="L172" s="572">
        <f t="shared" si="26"/>
        <v>20</v>
      </c>
      <c r="M172" s="572">
        <f t="shared" si="35"/>
        <v>70</v>
      </c>
      <c r="N172" s="572">
        <f t="shared" si="35"/>
        <v>160</v>
      </c>
      <c r="O172" s="572">
        <f t="shared" si="35"/>
        <v>180</v>
      </c>
      <c r="P172" s="575">
        <f t="shared" si="27"/>
        <v>0.3</v>
      </c>
      <c r="Q172" s="575">
        <f t="shared" si="28"/>
        <v>0.3</v>
      </c>
      <c r="R172" s="575">
        <f t="shared" si="28"/>
        <v>0.85</v>
      </c>
      <c r="S172" s="575">
        <f t="shared" si="29"/>
        <v>0.85</v>
      </c>
      <c r="T172" s="575">
        <f t="shared" si="29"/>
        <v>0.45</v>
      </c>
      <c r="U172" s="579">
        <f t="shared" si="30"/>
        <v>1.1000000000000001E-2</v>
      </c>
      <c r="V172" s="580">
        <f t="shared" si="31"/>
        <v>7.9999999999999849E-2</v>
      </c>
      <c r="W172" s="579">
        <f t="shared" si="32"/>
        <v>-1.9999999999999997E-2</v>
      </c>
      <c r="X172" s="580">
        <f t="shared" si="33"/>
        <v>4.05</v>
      </c>
      <c r="AO172" s="576"/>
    </row>
    <row r="173" spans="1:41" x14ac:dyDescent="0.25">
      <c r="A173" s="572" t="str">
        <f t="shared" si="25"/>
        <v>Vid210</v>
      </c>
      <c r="B173" s="572" t="s">
        <v>5226</v>
      </c>
      <c r="C173" s="572">
        <v>30</v>
      </c>
      <c r="D173" s="572">
        <v>60</v>
      </c>
      <c r="E173" s="572">
        <v>40</v>
      </c>
      <c r="F173" s="572">
        <v>80</v>
      </c>
      <c r="G173" s="572">
        <f t="shared" si="34"/>
        <v>210</v>
      </c>
      <c r="H173" s="575">
        <v>0.3</v>
      </c>
      <c r="I173" s="575">
        <v>0.85</v>
      </c>
      <c r="J173" s="575">
        <v>0.45</v>
      </c>
      <c r="K173" s="572">
        <v>1</v>
      </c>
      <c r="L173" s="572">
        <f t="shared" si="26"/>
        <v>30</v>
      </c>
      <c r="M173" s="572">
        <f t="shared" si="35"/>
        <v>90</v>
      </c>
      <c r="N173" s="572">
        <f t="shared" si="35"/>
        <v>130</v>
      </c>
      <c r="O173" s="572">
        <f t="shared" si="35"/>
        <v>210</v>
      </c>
      <c r="P173" s="575">
        <f t="shared" si="27"/>
        <v>0.3</v>
      </c>
      <c r="Q173" s="575">
        <f t="shared" si="28"/>
        <v>0.3</v>
      </c>
      <c r="R173" s="575">
        <f t="shared" si="28"/>
        <v>0.85</v>
      </c>
      <c r="S173" s="575">
        <f t="shared" si="29"/>
        <v>0.85</v>
      </c>
      <c r="T173" s="575">
        <f t="shared" si="29"/>
        <v>0.45</v>
      </c>
      <c r="U173" s="579">
        <f t="shared" si="30"/>
        <v>9.1666666666666667E-3</v>
      </c>
      <c r="V173" s="580">
        <f t="shared" si="31"/>
        <v>2.5000000000000022E-2</v>
      </c>
      <c r="W173" s="579">
        <f t="shared" si="32"/>
        <v>-4.9999999999999992E-3</v>
      </c>
      <c r="X173" s="580">
        <f t="shared" si="33"/>
        <v>1.4999999999999998</v>
      </c>
      <c r="AO173" s="576"/>
    </row>
    <row r="174" spans="1:41" x14ac:dyDescent="0.25">
      <c r="A174" s="572" t="str">
        <f t="shared" si="25"/>
        <v>Lupulo155</v>
      </c>
      <c r="B174" s="572" t="s">
        <v>5227</v>
      </c>
      <c r="C174" s="572">
        <v>25</v>
      </c>
      <c r="D174" s="572">
        <v>40</v>
      </c>
      <c r="E174" s="572">
        <v>80</v>
      </c>
      <c r="F174" s="572">
        <v>10</v>
      </c>
      <c r="G174" s="572">
        <f t="shared" si="34"/>
        <v>155</v>
      </c>
      <c r="H174" s="575">
        <v>0.3</v>
      </c>
      <c r="I174" s="572">
        <v>1.05</v>
      </c>
      <c r="J174" s="572">
        <v>0.85</v>
      </c>
      <c r="K174" s="572">
        <v>1</v>
      </c>
      <c r="L174" s="572">
        <f t="shared" si="26"/>
        <v>25</v>
      </c>
      <c r="M174" s="572">
        <f t="shared" si="35"/>
        <v>65</v>
      </c>
      <c r="N174" s="572">
        <f t="shared" si="35"/>
        <v>145</v>
      </c>
      <c r="O174" s="572">
        <f t="shared" si="35"/>
        <v>155</v>
      </c>
      <c r="P174" s="575">
        <f t="shared" si="27"/>
        <v>0.3</v>
      </c>
      <c r="Q174" s="575">
        <f t="shared" si="28"/>
        <v>0.3</v>
      </c>
      <c r="R174" s="575">
        <f t="shared" si="28"/>
        <v>1.05</v>
      </c>
      <c r="S174" s="575">
        <f t="shared" si="29"/>
        <v>1.05</v>
      </c>
      <c r="T174" s="575">
        <f t="shared" si="29"/>
        <v>0.85</v>
      </c>
      <c r="U174" s="579">
        <f t="shared" si="30"/>
        <v>1.8749999999999999E-2</v>
      </c>
      <c r="V174" s="580">
        <f t="shared" si="31"/>
        <v>-0.16874999999999996</v>
      </c>
      <c r="W174" s="579">
        <f t="shared" si="32"/>
        <v>-2.0000000000000007E-2</v>
      </c>
      <c r="X174" s="580">
        <f t="shared" si="33"/>
        <v>3.9500000000000011</v>
      </c>
      <c r="AO174" s="576"/>
    </row>
    <row r="175" spans="1:41" x14ac:dyDescent="0.25">
      <c r="A175" s="572" t="str">
        <f t="shared" si="25"/>
        <v>Citrico suelo desnudo365</v>
      </c>
      <c r="B175" s="572" t="s">
        <v>5228</v>
      </c>
      <c r="C175" s="572">
        <v>60</v>
      </c>
      <c r="D175" s="572">
        <v>90</v>
      </c>
      <c r="E175" s="572">
        <v>120</v>
      </c>
      <c r="F175" s="572">
        <v>95</v>
      </c>
      <c r="G175" s="572">
        <f t="shared" si="34"/>
        <v>365</v>
      </c>
      <c r="H175" s="575">
        <v>0.65</v>
      </c>
      <c r="I175" s="575">
        <v>0.6</v>
      </c>
      <c r="J175" s="575">
        <v>0.65</v>
      </c>
      <c r="K175" s="572">
        <v>1</v>
      </c>
      <c r="L175" s="572">
        <f t="shared" si="26"/>
        <v>60</v>
      </c>
      <c r="M175" s="572">
        <f t="shared" si="35"/>
        <v>150</v>
      </c>
      <c r="N175" s="572">
        <f t="shared" si="35"/>
        <v>270</v>
      </c>
      <c r="O175" s="572">
        <f t="shared" si="35"/>
        <v>365</v>
      </c>
      <c r="P175" s="575">
        <f t="shared" si="27"/>
        <v>0.65</v>
      </c>
      <c r="Q175" s="575">
        <f t="shared" si="28"/>
        <v>0.65</v>
      </c>
      <c r="R175" s="575">
        <f t="shared" si="28"/>
        <v>0.6</v>
      </c>
      <c r="S175" s="575">
        <f t="shared" si="29"/>
        <v>0.6</v>
      </c>
      <c r="T175" s="575">
        <f t="shared" si="29"/>
        <v>0.65</v>
      </c>
      <c r="U175" s="579">
        <f t="shared" si="30"/>
        <v>-5.555555555555561E-4</v>
      </c>
      <c r="V175" s="580">
        <f t="shared" si="31"/>
        <v>0.68333333333333335</v>
      </c>
      <c r="W175" s="579">
        <f t="shared" si="32"/>
        <v>5.2631578947368463E-4</v>
      </c>
      <c r="X175" s="580">
        <f t="shared" si="33"/>
        <v>0.45789473684210513</v>
      </c>
      <c r="AO175" s="576"/>
    </row>
    <row r="176" spans="1:41" x14ac:dyDescent="0.25">
      <c r="A176" s="572" t="str">
        <f t="shared" si="25"/>
        <v>Citrico suelo con cobertura365</v>
      </c>
      <c r="B176" s="572" t="s">
        <v>5229</v>
      </c>
      <c r="C176" s="572">
        <v>60</v>
      </c>
      <c r="D176" s="572">
        <v>90</v>
      </c>
      <c r="E176" s="572">
        <v>120</v>
      </c>
      <c r="F176" s="572">
        <v>95</v>
      </c>
      <c r="G176" s="572">
        <f t="shared" si="34"/>
        <v>365</v>
      </c>
      <c r="H176" s="575">
        <v>0.8</v>
      </c>
      <c r="I176" s="575">
        <v>0.8</v>
      </c>
      <c r="J176" s="575">
        <v>0.8</v>
      </c>
      <c r="K176" s="572">
        <v>1</v>
      </c>
      <c r="L176" s="572">
        <f t="shared" si="26"/>
        <v>60</v>
      </c>
      <c r="M176" s="572">
        <f t="shared" si="35"/>
        <v>150</v>
      </c>
      <c r="N176" s="572">
        <f t="shared" si="35"/>
        <v>270</v>
      </c>
      <c r="O176" s="572">
        <f t="shared" si="35"/>
        <v>365</v>
      </c>
      <c r="P176" s="575">
        <f t="shared" si="27"/>
        <v>0.8</v>
      </c>
      <c r="Q176" s="575">
        <f t="shared" si="28"/>
        <v>0.8</v>
      </c>
      <c r="R176" s="575">
        <f t="shared" si="28"/>
        <v>0.8</v>
      </c>
      <c r="S176" s="575">
        <f t="shared" si="29"/>
        <v>0.8</v>
      </c>
      <c r="T176" s="575">
        <f t="shared" si="29"/>
        <v>0.8</v>
      </c>
      <c r="U176" s="579">
        <f t="shared" si="30"/>
        <v>0</v>
      </c>
      <c r="V176" s="580">
        <f t="shared" si="31"/>
        <v>0.8</v>
      </c>
      <c r="W176" s="579">
        <f t="shared" si="32"/>
        <v>0</v>
      </c>
      <c r="X176" s="580">
        <f t="shared" si="33"/>
        <v>0.8</v>
      </c>
      <c r="AO176" s="576"/>
    </row>
    <row r="177" spans="1:66" x14ac:dyDescent="0.25">
      <c r="A177" s="572" t="str">
        <f t="shared" si="25"/>
        <v>Palto365</v>
      </c>
      <c r="B177" s="572" t="s">
        <v>5230</v>
      </c>
      <c r="C177" s="572">
        <v>60</v>
      </c>
      <c r="D177" s="572">
        <v>90</v>
      </c>
      <c r="E177" s="572">
        <v>120</v>
      </c>
      <c r="F177" s="572">
        <v>95</v>
      </c>
      <c r="G177" s="572">
        <f t="shared" si="34"/>
        <v>365</v>
      </c>
      <c r="H177" s="575">
        <v>0.6</v>
      </c>
      <c r="I177" s="575">
        <v>0.85</v>
      </c>
      <c r="J177" s="575">
        <v>0.75</v>
      </c>
      <c r="K177" s="572">
        <v>1</v>
      </c>
      <c r="L177" s="572">
        <f t="shared" si="26"/>
        <v>60</v>
      </c>
      <c r="M177" s="572">
        <f t="shared" si="35"/>
        <v>150</v>
      </c>
      <c r="N177" s="572">
        <f t="shared" si="35"/>
        <v>270</v>
      </c>
      <c r="O177" s="572">
        <f t="shared" si="35"/>
        <v>365</v>
      </c>
      <c r="P177" s="575">
        <f t="shared" si="27"/>
        <v>0.6</v>
      </c>
      <c r="Q177" s="575">
        <f t="shared" si="28"/>
        <v>0.6</v>
      </c>
      <c r="R177" s="575">
        <f t="shared" si="28"/>
        <v>0.85</v>
      </c>
      <c r="S177" s="575">
        <f t="shared" si="29"/>
        <v>0.85</v>
      </c>
      <c r="T177" s="575">
        <f t="shared" si="29"/>
        <v>0.75</v>
      </c>
      <c r="U177" s="579">
        <f t="shared" si="30"/>
        <v>2.7777777777777779E-3</v>
      </c>
      <c r="V177" s="580">
        <f t="shared" si="31"/>
        <v>0.43333333333333329</v>
      </c>
      <c r="W177" s="579">
        <f t="shared" si="32"/>
        <v>-1.0526315789473682E-3</v>
      </c>
      <c r="X177" s="580">
        <f t="shared" si="33"/>
        <v>1.1342105263157893</v>
      </c>
      <c r="AO177" s="576"/>
    </row>
    <row r="178" spans="1:66" x14ac:dyDescent="0.25">
      <c r="A178" s="572" t="str">
        <f t="shared" si="25"/>
        <v>Melocoton210</v>
      </c>
      <c r="B178" s="572" t="s">
        <v>5231</v>
      </c>
      <c r="C178" s="572">
        <v>20</v>
      </c>
      <c r="D178" s="572">
        <v>70</v>
      </c>
      <c r="E178" s="572">
        <v>90</v>
      </c>
      <c r="F178" s="572">
        <v>30</v>
      </c>
      <c r="G178" s="572">
        <f t="shared" si="34"/>
        <v>210</v>
      </c>
      <c r="H178" s="575">
        <v>0.55000000000000004</v>
      </c>
      <c r="I178" s="575">
        <v>0.9</v>
      </c>
      <c r="J178" s="575">
        <v>0.65</v>
      </c>
      <c r="K178" s="572">
        <v>1</v>
      </c>
      <c r="L178" s="572">
        <f t="shared" si="26"/>
        <v>20</v>
      </c>
      <c r="M178" s="572">
        <f t="shared" si="35"/>
        <v>90</v>
      </c>
      <c r="N178" s="572">
        <f t="shared" si="35"/>
        <v>180</v>
      </c>
      <c r="O178" s="572">
        <f t="shared" si="35"/>
        <v>210</v>
      </c>
      <c r="P178" s="575">
        <f t="shared" si="27"/>
        <v>0.55000000000000004</v>
      </c>
      <c r="Q178" s="575">
        <f t="shared" si="28"/>
        <v>0.55000000000000004</v>
      </c>
      <c r="R178" s="575">
        <f t="shared" si="28"/>
        <v>0.9</v>
      </c>
      <c r="S178" s="575">
        <f t="shared" si="29"/>
        <v>0.9</v>
      </c>
      <c r="T178" s="575">
        <f t="shared" si="29"/>
        <v>0.65</v>
      </c>
      <c r="U178" s="579">
        <f t="shared" si="30"/>
        <v>5.0000000000000001E-3</v>
      </c>
      <c r="V178" s="580">
        <f t="shared" si="31"/>
        <v>0.45</v>
      </c>
      <c r="W178" s="579">
        <f t="shared" si="32"/>
        <v>-8.3333333333333332E-3</v>
      </c>
      <c r="X178" s="580">
        <f t="shared" si="33"/>
        <v>2.4</v>
      </c>
      <c r="AO178" s="576"/>
    </row>
    <row r="179" spans="1:66" x14ac:dyDescent="0.25">
      <c r="A179" s="572" t="str">
        <f t="shared" si="25"/>
        <v>Melocoton270</v>
      </c>
      <c r="B179" s="572" t="s">
        <v>5231</v>
      </c>
      <c r="C179" s="572">
        <v>20</v>
      </c>
      <c r="D179" s="572">
        <v>70</v>
      </c>
      <c r="E179" s="572">
        <v>120</v>
      </c>
      <c r="F179" s="572">
        <v>60</v>
      </c>
      <c r="G179" s="572">
        <f t="shared" si="34"/>
        <v>270</v>
      </c>
      <c r="H179" s="575">
        <v>0.55000000000000004</v>
      </c>
      <c r="I179" s="575">
        <v>0.9</v>
      </c>
      <c r="J179" s="575">
        <v>0.65</v>
      </c>
      <c r="K179" s="572">
        <v>1</v>
      </c>
      <c r="L179" s="572">
        <f t="shared" si="26"/>
        <v>20</v>
      </c>
      <c r="M179" s="572">
        <f t="shared" si="35"/>
        <v>90</v>
      </c>
      <c r="N179" s="572">
        <f t="shared" si="35"/>
        <v>210</v>
      </c>
      <c r="O179" s="572">
        <f t="shared" si="35"/>
        <v>270</v>
      </c>
      <c r="P179" s="575">
        <f t="shared" si="27"/>
        <v>0.55000000000000004</v>
      </c>
      <c r="Q179" s="575">
        <f t="shared" si="28"/>
        <v>0.55000000000000004</v>
      </c>
      <c r="R179" s="575">
        <f t="shared" si="28"/>
        <v>0.9</v>
      </c>
      <c r="S179" s="575">
        <f t="shared" si="29"/>
        <v>0.9</v>
      </c>
      <c r="T179" s="575">
        <f t="shared" si="29"/>
        <v>0.65</v>
      </c>
      <c r="U179" s="579">
        <f t="shared" si="30"/>
        <v>5.0000000000000001E-3</v>
      </c>
      <c r="V179" s="580">
        <f t="shared" si="31"/>
        <v>0.45</v>
      </c>
      <c r="W179" s="579">
        <f t="shared" si="32"/>
        <v>-4.1666666666666666E-3</v>
      </c>
      <c r="X179" s="580">
        <f t="shared" si="33"/>
        <v>1.7749999999999999</v>
      </c>
      <c r="AO179" s="576"/>
    </row>
    <row r="180" spans="1:66" x14ac:dyDescent="0.25">
      <c r="A180" s="572" t="str">
        <f t="shared" si="25"/>
        <v>Melocoton240</v>
      </c>
      <c r="B180" s="572" t="s">
        <v>5231</v>
      </c>
      <c r="C180" s="572">
        <v>30</v>
      </c>
      <c r="D180" s="572">
        <v>50</v>
      </c>
      <c r="E180" s="572">
        <v>130</v>
      </c>
      <c r="F180" s="572">
        <v>30</v>
      </c>
      <c r="G180" s="572">
        <f t="shared" si="34"/>
        <v>240</v>
      </c>
      <c r="H180" s="575">
        <v>0.55000000000000004</v>
      </c>
      <c r="I180" s="575">
        <v>0.9</v>
      </c>
      <c r="J180" s="575">
        <v>0.65</v>
      </c>
      <c r="K180" s="572">
        <v>1</v>
      </c>
      <c r="L180" s="572">
        <f t="shared" si="26"/>
        <v>30</v>
      </c>
      <c r="M180" s="572">
        <f t="shared" si="35"/>
        <v>80</v>
      </c>
      <c r="N180" s="572">
        <f t="shared" si="35"/>
        <v>210</v>
      </c>
      <c r="O180" s="572">
        <f t="shared" si="35"/>
        <v>240</v>
      </c>
      <c r="P180" s="575">
        <f t="shared" si="27"/>
        <v>0.55000000000000004</v>
      </c>
      <c r="Q180" s="575">
        <f t="shared" si="28"/>
        <v>0.55000000000000004</v>
      </c>
      <c r="R180" s="575">
        <f t="shared" si="28"/>
        <v>0.9</v>
      </c>
      <c r="S180" s="575">
        <f t="shared" si="29"/>
        <v>0.9</v>
      </c>
      <c r="T180" s="575">
        <f t="shared" si="29"/>
        <v>0.65</v>
      </c>
      <c r="U180" s="579">
        <f t="shared" si="30"/>
        <v>6.9999999999999993E-3</v>
      </c>
      <c r="V180" s="580">
        <f t="shared" si="31"/>
        <v>0.34000000000000008</v>
      </c>
      <c r="W180" s="579">
        <f t="shared" si="32"/>
        <v>-8.3333333333333332E-3</v>
      </c>
      <c r="X180" s="580">
        <f t="shared" si="33"/>
        <v>2.65</v>
      </c>
      <c r="AO180" s="576"/>
    </row>
    <row r="181" spans="1:66" x14ac:dyDescent="0.25">
      <c r="A181" s="572" t="str">
        <f t="shared" si="25"/>
        <v>Durazno210</v>
      </c>
      <c r="B181" s="572" t="s">
        <v>5232</v>
      </c>
      <c r="C181" s="572">
        <v>20</v>
      </c>
      <c r="D181" s="572">
        <v>70</v>
      </c>
      <c r="E181" s="572">
        <v>90</v>
      </c>
      <c r="F181" s="572">
        <v>30</v>
      </c>
      <c r="G181" s="572">
        <f t="shared" si="34"/>
        <v>210</v>
      </c>
      <c r="H181" s="575">
        <v>0.55000000000000004</v>
      </c>
      <c r="I181" s="575">
        <v>0.9</v>
      </c>
      <c r="J181" s="575">
        <v>0.65</v>
      </c>
      <c r="K181" s="572">
        <v>1</v>
      </c>
      <c r="L181" s="572">
        <f t="shared" si="26"/>
        <v>20</v>
      </c>
      <c r="M181" s="572">
        <f t="shared" si="35"/>
        <v>90</v>
      </c>
      <c r="N181" s="572">
        <f t="shared" si="35"/>
        <v>180</v>
      </c>
      <c r="O181" s="572">
        <f t="shared" si="35"/>
        <v>210</v>
      </c>
      <c r="P181" s="575">
        <f t="shared" si="27"/>
        <v>0.55000000000000004</v>
      </c>
      <c r="Q181" s="575">
        <f t="shared" si="28"/>
        <v>0.55000000000000004</v>
      </c>
      <c r="R181" s="575">
        <f t="shared" si="28"/>
        <v>0.9</v>
      </c>
      <c r="S181" s="575">
        <f t="shared" si="29"/>
        <v>0.9</v>
      </c>
      <c r="T181" s="575">
        <f t="shared" si="29"/>
        <v>0.65</v>
      </c>
      <c r="U181" s="579">
        <f t="shared" si="30"/>
        <v>5.0000000000000001E-3</v>
      </c>
      <c r="V181" s="580">
        <f t="shared" si="31"/>
        <v>0.45</v>
      </c>
      <c r="W181" s="579">
        <f t="shared" si="32"/>
        <v>-8.3333333333333332E-3</v>
      </c>
      <c r="X181" s="580">
        <f t="shared" si="33"/>
        <v>2.4</v>
      </c>
      <c r="AO181" s="576"/>
    </row>
    <row r="182" spans="1:66" x14ac:dyDescent="0.25">
      <c r="A182" s="572" t="str">
        <f t="shared" si="25"/>
        <v>Durazno270</v>
      </c>
      <c r="B182" s="572" t="s">
        <v>5232</v>
      </c>
      <c r="C182" s="572">
        <v>20</v>
      </c>
      <c r="D182" s="572">
        <v>70</v>
      </c>
      <c r="E182" s="572">
        <v>120</v>
      </c>
      <c r="F182" s="572">
        <v>60</v>
      </c>
      <c r="G182" s="572">
        <f t="shared" si="34"/>
        <v>270</v>
      </c>
      <c r="H182" s="575">
        <v>0.55000000000000004</v>
      </c>
      <c r="I182" s="575">
        <v>0.9</v>
      </c>
      <c r="J182" s="575">
        <v>0.65</v>
      </c>
      <c r="K182" s="572">
        <v>1</v>
      </c>
      <c r="L182" s="572">
        <f t="shared" si="26"/>
        <v>20</v>
      </c>
      <c r="M182" s="572">
        <f t="shared" si="35"/>
        <v>90</v>
      </c>
      <c r="N182" s="572">
        <f t="shared" si="35"/>
        <v>210</v>
      </c>
      <c r="O182" s="572">
        <f t="shared" si="35"/>
        <v>270</v>
      </c>
      <c r="P182" s="575">
        <f t="shared" si="27"/>
        <v>0.55000000000000004</v>
      </c>
      <c r="Q182" s="575">
        <f t="shared" si="28"/>
        <v>0.55000000000000004</v>
      </c>
      <c r="R182" s="575">
        <f t="shared" si="28"/>
        <v>0.9</v>
      </c>
      <c r="S182" s="575">
        <f t="shared" si="29"/>
        <v>0.9</v>
      </c>
      <c r="T182" s="575">
        <f t="shared" si="29"/>
        <v>0.65</v>
      </c>
      <c r="U182" s="579">
        <f t="shared" si="30"/>
        <v>5.0000000000000001E-3</v>
      </c>
      <c r="V182" s="580">
        <f t="shared" si="31"/>
        <v>0.45</v>
      </c>
      <c r="W182" s="579">
        <f t="shared" si="32"/>
        <v>-4.1666666666666666E-3</v>
      </c>
      <c r="X182" s="580">
        <f t="shared" si="33"/>
        <v>1.7749999999999999</v>
      </c>
      <c r="AO182" s="576"/>
    </row>
    <row r="183" spans="1:66" x14ac:dyDescent="0.25">
      <c r="A183" s="572" t="str">
        <f t="shared" si="25"/>
        <v>Durazno240</v>
      </c>
      <c r="B183" s="572" t="s">
        <v>5232</v>
      </c>
      <c r="C183" s="572">
        <v>30</v>
      </c>
      <c r="D183" s="572">
        <v>50</v>
      </c>
      <c r="E183" s="572">
        <v>130</v>
      </c>
      <c r="F183" s="572">
        <v>30</v>
      </c>
      <c r="G183" s="572">
        <f t="shared" si="34"/>
        <v>240</v>
      </c>
      <c r="H183" s="575">
        <v>0.55000000000000004</v>
      </c>
      <c r="I183" s="575">
        <v>0.9</v>
      </c>
      <c r="J183" s="575">
        <v>0.65</v>
      </c>
      <c r="K183" s="572">
        <v>1</v>
      </c>
      <c r="L183" s="572">
        <f t="shared" si="26"/>
        <v>30</v>
      </c>
      <c r="M183" s="572">
        <f t="shared" si="35"/>
        <v>80</v>
      </c>
      <c r="N183" s="572">
        <f t="shared" si="35"/>
        <v>210</v>
      </c>
      <c r="O183" s="572">
        <f t="shared" si="35"/>
        <v>240</v>
      </c>
      <c r="P183" s="575">
        <f t="shared" si="27"/>
        <v>0.55000000000000004</v>
      </c>
      <c r="Q183" s="575">
        <f t="shared" si="28"/>
        <v>0.55000000000000004</v>
      </c>
      <c r="R183" s="575">
        <f t="shared" si="28"/>
        <v>0.9</v>
      </c>
      <c r="S183" s="575">
        <f t="shared" si="29"/>
        <v>0.9</v>
      </c>
      <c r="T183" s="575">
        <f t="shared" si="29"/>
        <v>0.65</v>
      </c>
      <c r="U183" s="579">
        <f t="shared" si="30"/>
        <v>6.9999999999999993E-3</v>
      </c>
      <c r="V183" s="580">
        <f t="shared" si="31"/>
        <v>0.34000000000000008</v>
      </c>
      <c r="W183" s="579">
        <f t="shared" si="32"/>
        <v>-8.3333333333333332E-3</v>
      </c>
      <c r="X183" s="580">
        <f t="shared" si="33"/>
        <v>2.65</v>
      </c>
      <c r="AO183" s="576"/>
    </row>
    <row r="184" spans="1:66" x14ac:dyDescent="0.25">
      <c r="A184" s="572" t="str">
        <f t="shared" si="25"/>
        <v>Manzano210</v>
      </c>
      <c r="B184" s="572" t="s">
        <v>5233</v>
      </c>
      <c r="C184" s="572">
        <v>20</v>
      </c>
      <c r="D184" s="572">
        <v>70</v>
      </c>
      <c r="E184" s="572">
        <v>90</v>
      </c>
      <c r="F184" s="572">
        <v>30</v>
      </c>
      <c r="G184" s="572">
        <f t="shared" si="34"/>
        <v>210</v>
      </c>
      <c r="H184" s="575">
        <v>0.55000000000000004</v>
      </c>
      <c r="I184" s="575">
        <v>0.9</v>
      </c>
      <c r="J184" s="575">
        <v>0.65</v>
      </c>
      <c r="K184" s="572">
        <v>1</v>
      </c>
      <c r="L184" s="572">
        <f t="shared" si="26"/>
        <v>20</v>
      </c>
      <c r="M184" s="572">
        <f t="shared" si="35"/>
        <v>90</v>
      </c>
      <c r="N184" s="572">
        <f t="shared" si="35"/>
        <v>180</v>
      </c>
      <c r="O184" s="572">
        <f t="shared" si="35"/>
        <v>210</v>
      </c>
      <c r="P184" s="575">
        <f t="shared" si="27"/>
        <v>0.55000000000000004</v>
      </c>
      <c r="Q184" s="575">
        <f t="shared" si="28"/>
        <v>0.55000000000000004</v>
      </c>
      <c r="R184" s="575">
        <f t="shared" si="28"/>
        <v>0.9</v>
      </c>
      <c r="S184" s="575">
        <f t="shared" si="29"/>
        <v>0.9</v>
      </c>
      <c r="T184" s="575">
        <f t="shared" si="29"/>
        <v>0.65</v>
      </c>
      <c r="U184" s="579">
        <f t="shared" si="30"/>
        <v>5.0000000000000001E-3</v>
      </c>
      <c r="V184" s="580">
        <f t="shared" si="31"/>
        <v>0.45</v>
      </c>
      <c r="W184" s="579">
        <f t="shared" si="32"/>
        <v>-8.3333333333333332E-3</v>
      </c>
      <c r="X184" s="580">
        <f t="shared" si="33"/>
        <v>2.4</v>
      </c>
      <c r="AO184" s="576"/>
    </row>
    <row r="185" spans="1:66" x14ac:dyDescent="0.25">
      <c r="A185" s="572" t="str">
        <f t="shared" si="25"/>
        <v>Manzano270</v>
      </c>
      <c r="B185" s="572" t="s">
        <v>5233</v>
      </c>
      <c r="C185" s="572">
        <v>20</v>
      </c>
      <c r="D185" s="572">
        <v>70</v>
      </c>
      <c r="E185" s="572">
        <v>120</v>
      </c>
      <c r="F185" s="572">
        <v>60</v>
      </c>
      <c r="G185" s="572">
        <f t="shared" si="34"/>
        <v>270</v>
      </c>
      <c r="H185" s="575">
        <v>0.55000000000000004</v>
      </c>
      <c r="I185" s="575">
        <v>0.9</v>
      </c>
      <c r="J185" s="575">
        <v>0.65</v>
      </c>
      <c r="K185" s="572">
        <v>1</v>
      </c>
      <c r="L185" s="572">
        <f t="shared" si="26"/>
        <v>20</v>
      </c>
      <c r="M185" s="572">
        <f t="shared" si="35"/>
        <v>90</v>
      </c>
      <c r="N185" s="572">
        <f t="shared" si="35"/>
        <v>210</v>
      </c>
      <c r="O185" s="572">
        <f t="shared" si="35"/>
        <v>270</v>
      </c>
      <c r="P185" s="575">
        <f t="shared" si="27"/>
        <v>0.55000000000000004</v>
      </c>
      <c r="Q185" s="575">
        <f t="shared" si="28"/>
        <v>0.55000000000000004</v>
      </c>
      <c r="R185" s="575">
        <f t="shared" si="28"/>
        <v>0.9</v>
      </c>
      <c r="S185" s="575">
        <f t="shared" si="29"/>
        <v>0.9</v>
      </c>
      <c r="T185" s="575">
        <f t="shared" si="29"/>
        <v>0.65</v>
      </c>
      <c r="U185" s="579">
        <f t="shared" si="30"/>
        <v>5.0000000000000001E-3</v>
      </c>
      <c r="V185" s="580">
        <f t="shared" si="31"/>
        <v>0.45</v>
      </c>
      <c r="W185" s="579">
        <f t="shared" si="32"/>
        <v>-4.1666666666666666E-3</v>
      </c>
      <c r="X185" s="580">
        <f t="shared" si="33"/>
        <v>1.7749999999999999</v>
      </c>
      <c r="AO185" s="576"/>
    </row>
    <row r="186" spans="1:66" x14ac:dyDescent="0.25">
      <c r="A186" s="572" t="str">
        <f t="shared" si="25"/>
        <v>Manzano240</v>
      </c>
      <c r="B186" s="572" t="s">
        <v>5233</v>
      </c>
      <c r="C186" s="572">
        <v>30</v>
      </c>
      <c r="D186" s="572">
        <v>50</v>
      </c>
      <c r="E186" s="572">
        <v>130</v>
      </c>
      <c r="F186" s="572">
        <v>30</v>
      </c>
      <c r="G186" s="572">
        <f t="shared" si="34"/>
        <v>240</v>
      </c>
      <c r="H186" s="575">
        <v>0.55000000000000004</v>
      </c>
      <c r="I186" s="575">
        <v>0.9</v>
      </c>
      <c r="J186" s="575">
        <v>0.65</v>
      </c>
      <c r="K186" s="572">
        <v>1</v>
      </c>
      <c r="L186" s="572">
        <f t="shared" si="26"/>
        <v>30</v>
      </c>
      <c r="M186" s="572">
        <f t="shared" si="35"/>
        <v>80</v>
      </c>
      <c r="N186" s="572">
        <f t="shared" si="35"/>
        <v>210</v>
      </c>
      <c r="O186" s="572">
        <f t="shared" si="35"/>
        <v>240</v>
      </c>
      <c r="P186" s="575">
        <f t="shared" si="27"/>
        <v>0.55000000000000004</v>
      </c>
      <c r="Q186" s="575">
        <f t="shared" si="28"/>
        <v>0.55000000000000004</v>
      </c>
      <c r="R186" s="575">
        <f t="shared" si="28"/>
        <v>0.9</v>
      </c>
      <c r="S186" s="575">
        <f t="shared" si="29"/>
        <v>0.9</v>
      </c>
      <c r="T186" s="575">
        <f t="shared" si="29"/>
        <v>0.65</v>
      </c>
      <c r="U186" s="579">
        <f t="shared" si="30"/>
        <v>6.9999999999999993E-3</v>
      </c>
      <c r="V186" s="580">
        <f t="shared" si="31"/>
        <v>0.34000000000000008</v>
      </c>
      <c r="W186" s="579">
        <f t="shared" si="32"/>
        <v>-8.3333333333333332E-3</v>
      </c>
      <c r="X186" s="580">
        <f t="shared" si="33"/>
        <v>2.65</v>
      </c>
      <c r="AO186" s="576"/>
    </row>
    <row r="187" spans="1:66" x14ac:dyDescent="0.25">
      <c r="A187" s="572" t="str">
        <f t="shared" si="25"/>
        <v>Peral210</v>
      </c>
      <c r="B187" s="572" t="s">
        <v>5234</v>
      </c>
      <c r="C187" s="572">
        <v>20</v>
      </c>
      <c r="D187" s="572">
        <v>70</v>
      </c>
      <c r="E187" s="572">
        <v>90</v>
      </c>
      <c r="F187" s="572">
        <v>30</v>
      </c>
      <c r="G187" s="572">
        <f t="shared" si="34"/>
        <v>210</v>
      </c>
      <c r="H187" s="575">
        <v>0.55000000000000004</v>
      </c>
      <c r="I187" s="575">
        <v>0.9</v>
      </c>
      <c r="J187" s="575">
        <v>0.65</v>
      </c>
      <c r="K187" s="572">
        <v>1</v>
      </c>
      <c r="L187" s="572">
        <f t="shared" si="26"/>
        <v>20</v>
      </c>
      <c r="M187" s="572">
        <f t="shared" si="35"/>
        <v>90</v>
      </c>
      <c r="N187" s="572">
        <f t="shared" si="35"/>
        <v>180</v>
      </c>
      <c r="O187" s="572">
        <f t="shared" si="35"/>
        <v>210</v>
      </c>
      <c r="P187" s="575">
        <f t="shared" si="27"/>
        <v>0.55000000000000004</v>
      </c>
      <c r="Q187" s="575">
        <f t="shared" si="28"/>
        <v>0.55000000000000004</v>
      </c>
      <c r="R187" s="575">
        <f t="shared" si="28"/>
        <v>0.9</v>
      </c>
      <c r="S187" s="575">
        <f t="shared" si="29"/>
        <v>0.9</v>
      </c>
      <c r="T187" s="575">
        <f t="shared" si="29"/>
        <v>0.65</v>
      </c>
      <c r="U187" s="579">
        <f t="shared" si="30"/>
        <v>5.0000000000000001E-3</v>
      </c>
      <c r="V187" s="580">
        <f t="shared" si="31"/>
        <v>0.45</v>
      </c>
      <c r="W187" s="579">
        <f t="shared" si="32"/>
        <v>-8.3333333333333332E-3</v>
      </c>
      <c r="X187" s="580">
        <f t="shared" si="33"/>
        <v>2.4</v>
      </c>
      <c r="AO187" s="576"/>
    </row>
    <row r="188" spans="1:66" x14ac:dyDescent="0.25">
      <c r="A188" s="572" t="str">
        <f t="shared" si="25"/>
        <v>Peral270</v>
      </c>
      <c r="B188" s="572" t="s">
        <v>5234</v>
      </c>
      <c r="C188" s="572">
        <v>20</v>
      </c>
      <c r="D188" s="572">
        <v>70</v>
      </c>
      <c r="E188" s="572">
        <v>120</v>
      </c>
      <c r="F188" s="572">
        <v>60</v>
      </c>
      <c r="G188" s="572">
        <f t="shared" si="34"/>
        <v>270</v>
      </c>
      <c r="H188" s="575">
        <v>0.55000000000000004</v>
      </c>
      <c r="I188" s="575">
        <v>0.9</v>
      </c>
      <c r="J188" s="575">
        <v>0.65</v>
      </c>
      <c r="K188" s="572">
        <v>1</v>
      </c>
      <c r="L188" s="572">
        <f t="shared" si="26"/>
        <v>20</v>
      </c>
      <c r="M188" s="572">
        <f t="shared" si="35"/>
        <v>90</v>
      </c>
      <c r="N188" s="572">
        <f t="shared" si="35"/>
        <v>210</v>
      </c>
      <c r="O188" s="572">
        <f t="shared" si="35"/>
        <v>270</v>
      </c>
      <c r="P188" s="575">
        <f t="shared" si="27"/>
        <v>0.55000000000000004</v>
      </c>
      <c r="Q188" s="575">
        <f t="shared" si="28"/>
        <v>0.55000000000000004</v>
      </c>
      <c r="R188" s="575">
        <f t="shared" si="28"/>
        <v>0.9</v>
      </c>
      <c r="S188" s="575">
        <f t="shared" si="29"/>
        <v>0.9</v>
      </c>
      <c r="T188" s="575">
        <f t="shared" si="29"/>
        <v>0.65</v>
      </c>
      <c r="U188" s="579">
        <f t="shared" si="30"/>
        <v>5.0000000000000001E-3</v>
      </c>
      <c r="V188" s="580">
        <f t="shared" si="31"/>
        <v>0.45</v>
      </c>
      <c r="W188" s="579">
        <f t="shared" si="32"/>
        <v>-4.1666666666666666E-3</v>
      </c>
      <c r="X188" s="580">
        <f t="shared" si="33"/>
        <v>1.7749999999999999</v>
      </c>
    </row>
    <row r="189" spans="1:66" x14ac:dyDescent="0.25">
      <c r="A189" s="572" t="str">
        <f t="shared" si="25"/>
        <v>Peral240</v>
      </c>
      <c r="B189" s="572" t="s">
        <v>5234</v>
      </c>
      <c r="C189" s="572">
        <v>30</v>
      </c>
      <c r="D189" s="572">
        <v>50</v>
      </c>
      <c r="E189" s="572">
        <v>130</v>
      </c>
      <c r="F189" s="572">
        <v>30</v>
      </c>
      <c r="G189" s="572">
        <f t="shared" si="34"/>
        <v>240</v>
      </c>
      <c r="H189" s="575">
        <v>0.55000000000000004</v>
      </c>
      <c r="I189" s="575">
        <v>0.9</v>
      </c>
      <c r="J189" s="575">
        <v>0.65</v>
      </c>
      <c r="K189" s="572">
        <v>1</v>
      </c>
      <c r="L189" s="572">
        <f t="shared" si="26"/>
        <v>30</v>
      </c>
      <c r="M189" s="572">
        <f t="shared" si="35"/>
        <v>80</v>
      </c>
      <c r="N189" s="572">
        <f t="shared" si="35"/>
        <v>210</v>
      </c>
      <c r="O189" s="572">
        <f t="shared" si="35"/>
        <v>240</v>
      </c>
      <c r="P189" s="575">
        <f t="shared" si="27"/>
        <v>0.55000000000000004</v>
      </c>
      <c r="Q189" s="575">
        <f t="shared" si="28"/>
        <v>0.55000000000000004</v>
      </c>
      <c r="R189" s="575">
        <f t="shared" si="28"/>
        <v>0.9</v>
      </c>
      <c r="S189" s="575">
        <f t="shared" si="29"/>
        <v>0.9</v>
      </c>
      <c r="T189" s="575">
        <f t="shared" si="29"/>
        <v>0.65</v>
      </c>
      <c r="U189" s="579">
        <f t="shared" si="30"/>
        <v>6.9999999999999993E-3</v>
      </c>
      <c r="V189" s="580">
        <f t="shared" si="31"/>
        <v>0.34000000000000008</v>
      </c>
      <c r="W189" s="579">
        <f t="shared" si="32"/>
        <v>-8.3333333333333332E-3</v>
      </c>
      <c r="X189" s="580">
        <f t="shared" si="33"/>
        <v>2.65</v>
      </c>
    </row>
    <row r="190" spans="1:66" x14ac:dyDescent="0.25">
      <c r="A190" s="572" t="str">
        <f t="shared" si="25"/>
        <v>Olivo270</v>
      </c>
      <c r="B190" s="572" t="s">
        <v>5235</v>
      </c>
      <c r="C190" s="572">
        <v>30</v>
      </c>
      <c r="D190" s="572">
        <v>90</v>
      </c>
      <c r="E190" s="572">
        <v>60</v>
      </c>
      <c r="F190" s="572">
        <v>90</v>
      </c>
      <c r="G190" s="572">
        <f t="shared" si="34"/>
        <v>270</v>
      </c>
      <c r="H190" s="575">
        <v>0.65</v>
      </c>
      <c r="I190" s="575">
        <v>0.7</v>
      </c>
      <c r="J190" s="575">
        <v>0.7</v>
      </c>
      <c r="K190" s="572">
        <v>1</v>
      </c>
      <c r="L190" s="572">
        <f t="shared" si="26"/>
        <v>30</v>
      </c>
      <c r="M190" s="572">
        <f t="shared" si="35"/>
        <v>120</v>
      </c>
      <c r="N190" s="572">
        <f t="shared" si="35"/>
        <v>180</v>
      </c>
      <c r="O190" s="572">
        <f t="shared" si="35"/>
        <v>270</v>
      </c>
      <c r="P190" s="575">
        <f t="shared" si="27"/>
        <v>0.65</v>
      </c>
      <c r="Q190" s="575">
        <f t="shared" si="28"/>
        <v>0.65</v>
      </c>
      <c r="R190" s="575">
        <f t="shared" si="28"/>
        <v>0.7</v>
      </c>
      <c r="S190" s="575">
        <f t="shared" si="29"/>
        <v>0.7</v>
      </c>
      <c r="T190" s="575">
        <f t="shared" si="29"/>
        <v>0.7</v>
      </c>
      <c r="U190" s="579">
        <f t="shared" si="30"/>
        <v>5.555555555555548E-4</v>
      </c>
      <c r="V190" s="580">
        <f t="shared" si="31"/>
        <v>0.63333333333333341</v>
      </c>
      <c r="W190" s="579">
        <f t="shared" si="32"/>
        <v>0</v>
      </c>
      <c r="X190" s="580">
        <f t="shared" si="33"/>
        <v>0.7</v>
      </c>
      <c r="AP190" s="576"/>
      <c r="AQ190" s="576"/>
      <c r="AR190" s="576"/>
      <c r="AS190" s="576"/>
      <c r="AT190" s="576"/>
      <c r="AU190" s="576"/>
      <c r="AV190" s="576"/>
      <c r="AW190" s="576"/>
      <c r="AX190" s="576"/>
      <c r="AY190" s="576"/>
      <c r="AZ190" s="576"/>
      <c r="BA190" s="576"/>
      <c r="BC190" s="576"/>
      <c r="BD190" s="576"/>
      <c r="BE190" s="576"/>
      <c r="BF190" s="576"/>
      <c r="BG190" s="576"/>
      <c r="BH190" s="576"/>
      <c r="BI190" s="576"/>
      <c r="BJ190" s="576"/>
      <c r="BK190" s="576"/>
      <c r="BL190" s="576"/>
      <c r="BM190" s="576"/>
      <c r="BN190" s="576"/>
    </row>
    <row r="191" spans="1:66" x14ac:dyDescent="0.25">
      <c r="A191" s="572" t="str">
        <f t="shared" si="25"/>
        <v>Pistacho150</v>
      </c>
      <c r="B191" s="572" t="s">
        <v>5236</v>
      </c>
      <c r="C191" s="572">
        <v>20</v>
      </c>
      <c r="D191" s="572">
        <v>60</v>
      </c>
      <c r="E191" s="572">
        <v>30</v>
      </c>
      <c r="F191" s="572">
        <v>40</v>
      </c>
      <c r="G191" s="572">
        <f t="shared" si="34"/>
        <v>150</v>
      </c>
      <c r="H191" s="575">
        <v>0.4</v>
      </c>
      <c r="I191" s="575">
        <v>1.1000000000000001</v>
      </c>
      <c r="J191" s="575">
        <v>0.45</v>
      </c>
      <c r="K191" s="572">
        <v>1</v>
      </c>
      <c r="L191" s="572">
        <f t="shared" si="26"/>
        <v>20</v>
      </c>
      <c r="M191" s="572">
        <f t="shared" si="35"/>
        <v>80</v>
      </c>
      <c r="N191" s="572">
        <f t="shared" si="35"/>
        <v>110</v>
      </c>
      <c r="O191" s="572">
        <f t="shared" si="35"/>
        <v>150</v>
      </c>
      <c r="P191" s="575">
        <f t="shared" si="27"/>
        <v>0.4</v>
      </c>
      <c r="Q191" s="575">
        <f t="shared" si="28"/>
        <v>0.4</v>
      </c>
      <c r="R191" s="575">
        <f t="shared" si="28"/>
        <v>1.1000000000000001</v>
      </c>
      <c r="S191" s="575">
        <f t="shared" si="29"/>
        <v>1.1000000000000001</v>
      </c>
      <c r="T191" s="575">
        <f t="shared" si="29"/>
        <v>0.45</v>
      </c>
      <c r="U191" s="579">
        <f t="shared" si="30"/>
        <v>1.1666666666666667E-2</v>
      </c>
      <c r="V191" s="580">
        <f t="shared" si="31"/>
        <v>0.16666666666666674</v>
      </c>
      <c r="W191" s="579">
        <f t="shared" si="32"/>
        <v>-1.6250000000000004E-2</v>
      </c>
      <c r="X191" s="580">
        <f t="shared" si="33"/>
        <v>2.8875000000000006</v>
      </c>
      <c r="AO191" s="576"/>
    </row>
    <row r="192" spans="1:66" x14ac:dyDescent="0.25">
      <c r="AO192" s="576"/>
    </row>
    <row r="193" spans="41:41" x14ac:dyDescent="0.25">
      <c r="AO193" s="576"/>
    </row>
    <row r="194" spans="41:41" x14ac:dyDescent="0.25">
      <c r="AO194" s="576"/>
    </row>
    <row r="195" spans="41:41" x14ac:dyDescent="0.25">
      <c r="AO195" s="576"/>
    </row>
    <row r="196" spans="41:41" x14ac:dyDescent="0.25">
      <c r="AO196" s="576"/>
    </row>
    <row r="197" spans="41:41" x14ac:dyDescent="0.25">
      <c r="AO197" s="576"/>
    </row>
    <row r="198" spans="41:41" x14ac:dyDescent="0.25">
      <c r="AO198" s="576"/>
    </row>
    <row r="199" spans="41:41" x14ac:dyDescent="0.25">
      <c r="AO199" s="576"/>
    </row>
    <row r="200" spans="41:41" x14ac:dyDescent="0.25">
      <c r="AO200" s="576"/>
    </row>
    <row r="201" spans="41:41" x14ac:dyDescent="0.25">
      <c r="AO201" s="576"/>
    </row>
    <row r="202" spans="41:41" x14ac:dyDescent="0.25">
      <c r="AO202" s="576"/>
    </row>
    <row r="203" spans="41:41" x14ac:dyDescent="0.25">
      <c r="AO203" s="576"/>
    </row>
    <row r="204" spans="41:41" x14ac:dyDescent="0.25">
      <c r="AO204" s="576"/>
    </row>
    <row r="205" spans="41:41" x14ac:dyDescent="0.25">
      <c r="AO205" s="576"/>
    </row>
    <row r="206" spans="41:41" x14ac:dyDescent="0.25">
      <c r="AO206" s="576"/>
    </row>
    <row r="207" spans="41:41" x14ac:dyDescent="0.25">
      <c r="AO207" s="576"/>
    </row>
    <row r="208" spans="41:41" x14ac:dyDescent="0.25">
      <c r="AO208" s="576"/>
    </row>
    <row r="209" spans="41:41" x14ac:dyDescent="0.25">
      <c r="AO209" s="576"/>
    </row>
    <row r="210" spans="41:41" x14ac:dyDescent="0.25">
      <c r="AO210" s="576"/>
    </row>
    <row r="211" spans="41:41" x14ac:dyDescent="0.25">
      <c r="AO211" s="576"/>
    </row>
    <row r="212" spans="41:41" x14ac:dyDescent="0.25">
      <c r="AO212" s="576"/>
    </row>
    <row r="213" spans="41:41" x14ac:dyDescent="0.25">
      <c r="AO213" s="576"/>
    </row>
    <row r="214" spans="41:41" x14ac:dyDescent="0.25">
      <c r="AO214" s="576"/>
    </row>
    <row r="215" spans="41:41" x14ac:dyDescent="0.25">
      <c r="AO215" s="576"/>
    </row>
    <row r="216" spans="41:41" x14ac:dyDescent="0.25">
      <c r="AO216" s="576"/>
    </row>
    <row r="217" spans="41:41" x14ac:dyDescent="0.25">
      <c r="AO217" s="576"/>
    </row>
    <row r="218" spans="41:41" x14ac:dyDescent="0.25">
      <c r="AO218" s="576"/>
    </row>
    <row r="219" spans="41:41" x14ac:dyDescent="0.25">
      <c r="AO219" s="576"/>
    </row>
    <row r="220" spans="41:41" x14ac:dyDescent="0.25">
      <c r="AO220" s="576"/>
    </row>
    <row r="221" spans="41:41" x14ac:dyDescent="0.25">
      <c r="AO221" s="576"/>
    </row>
    <row r="222" spans="41:41" x14ac:dyDescent="0.25">
      <c r="AO222" s="576"/>
    </row>
    <row r="223" spans="41:41" x14ac:dyDescent="0.25">
      <c r="AO223" s="576"/>
    </row>
    <row r="224" spans="41:41" x14ac:dyDescent="0.25">
      <c r="AO224" s="576"/>
    </row>
    <row r="225" spans="41:41" x14ac:dyDescent="0.25">
      <c r="AO225" s="576"/>
    </row>
    <row r="226" spans="41:41" x14ac:dyDescent="0.25">
      <c r="AO226" s="576"/>
    </row>
  </sheetData>
  <mergeCells count="1">
    <mergeCell ref="AO50:AQ51"/>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B2:Q375"/>
  <sheetViews>
    <sheetView topLeftCell="B367" workbookViewId="0">
      <selection sqref="A1:XFD1048576"/>
    </sheetView>
  </sheetViews>
  <sheetFormatPr baseColWidth="10" defaultRowHeight="15" x14ac:dyDescent="0.25"/>
  <cols>
    <col min="1" max="1" width="5.7109375" style="50" customWidth="1"/>
    <col min="2" max="13" width="9" style="50" customWidth="1"/>
    <col min="14" max="15" width="9.140625" style="50" customWidth="1"/>
    <col min="16" max="16384" width="11.42578125" style="50"/>
  </cols>
  <sheetData>
    <row r="2" spans="2:13" x14ac:dyDescent="0.25">
      <c r="B2" s="85" t="s">
        <v>5381</v>
      </c>
      <c r="C2" s="85"/>
    </row>
    <row r="3" spans="2:13" ht="6.75" customHeight="1" x14ac:dyDescent="0.25"/>
    <row r="4" spans="2:13" ht="21.75" customHeight="1" x14ac:dyDescent="0.25">
      <c r="B4" s="727" t="s">
        <v>5382</v>
      </c>
      <c r="C4" s="322"/>
      <c r="I4" s="728"/>
      <c r="K4" s="729" t="s">
        <v>5383</v>
      </c>
    </row>
    <row r="5" spans="2:13" ht="7.5" customHeight="1" x14ac:dyDescent="0.25"/>
    <row r="6" spans="2:13" ht="33.75" customHeight="1" x14ac:dyDescent="0.25">
      <c r="B6" s="2008" t="s">
        <v>5384</v>
      </c>
      <c r="C6" s="2008"/>
      <c r="D6" s="2008"/>
      <c r="E6" s="2008"/>
      <c r="F6" s="2008"/>
      <c r="G6" s="2008"/>
      <c r="H6" s="2008"/>
      <c r="I6" s="2008"/>
      <c r="J6" s="2008"/>
      <c r="K6" s="2008"/>
      <c r="L6" s="2008"/>
      <c r="M6" s="2008"/>
    </row>
    <row r="7" spans="2:13" ht="33.75" customHeight="1" x14ac:dyDescent="0.25">
      <c r="B7" s="2008"/>
      <c r="C7" s="2008"/>
      <c r="D7" s="2008"/>
      <c r="E7" s="2008"/>
      <c r="F7" s="2008"/>
      <c r="G7" s="2008"/>
      <c r="H7" s="2008"/>
      <c r="I7" s="2008"/>
      <c r="J7" s="2008"/>
      <c r="K7" s="2008"/>
      <c r="L7" s="2008"/>
      <c r="M7" s="2008"/>
    </row>
    <row r="8" spans="2:13" ht="4.5" customHeight="1" x14ac:dyDescent="0.25"/>
    <row r="9" spans="2:13" x14ac:dyDescent="0.25">
      <c r="B9" s="322" t="s">
        <v>5385</v>
      </c>
    </row>
    <row r="10" spans="2:13" ht="6" customHeight="1" x14ac:dyDescent="0.25"/>
    <row r="11" spans="2:13" ht="31.5" customHeight="1" x14ac:dyDescent="0.25">
      <c r="B11" s="2009" t="s">
        <v>5386</v>
      </c>
      <c r="C11" s="2009"/>
      <c r="D11" s="2009"/>
      <c r="E11" s="2009"/>
      <c r="F11" s="2009"/>
      <c r="G11" s="2009"/>
      <c r="H11" s="2009"/>
      <c r="I11" s="2009"/>
      <c r="J11" s="2009"/>
      <c r="K11" s="2009"/>
      <c r="L11" s="2009"/>
      <c r="M11" s="2009"/>
    </row>
    <row r="12" spans="2:13" x14ac:dyDescent="0.25">
      <c r="B12" s="2007"/>
      <c r="C12" s="2007"/>
      <c r="D12" s="2007"/>
      <c r="E12" s="2007"/>
      <c r="F12" s="2007"/>
      <c r="G12" s="2007"/>
      <c r="H12" s="2007"/>
      <c r="I12" s="2007"/>
      <c r="J12" s="2007"/>
      <c r="K12" s="2007"/>
      <c r="L12" s="2007"/>
      <c r="M12" s="2007"/>
    </row>
    <row r="13" spans="2:13" x14ac:dyDescent="0.25">
      <c r="B13" s="2007"/>
      <c r="C13" s="2007"/>
      <c r="D13" s="2007"/>
      <c r="E13" s="2007"/>
      <c r="F13" s="2007"/>
      <c r="G13" s="2007"/>
      <c r="H13" s="2007"/>
      <c r="I13" s="2007"/>
      <c r="J13" s="2007"/>
      <c r="K13" s="2007"/>
      <c r="L13" s="2007"/>
      <c r="M13" s="2007"/>
    </row>
    <row r="14" spans="2:13" x14ac:dyDescent="0.25">
      <c r="B14" s="2007"/>
      <c r="C14" s="2007"/>
      <c r="D14" s="2007"/>
      <c r="E14" s="2007"/>
      <c r="F14" s="2007"/>
      <c r="G14" s="2007"/>
      <c r="H14" s="2007"/>
      <c r="I14" s="2007"/>
      <c r="J14" s="2007"/>
      <c r="K14" s="2007"/>
      <c r="L14" s="2007"/>
      <c r="M14" s="2007"/>
    </row>
    <row r="15" spans="2:13" x14ac:dyDescent="0.25">
      <c r="B15" s="2007"/>
      <c r="C15" s="2007"/>
      <c r="D15" s="2007"/>
      <c r="E15" s="2007"/>
      <c r="F15" s="2007"/>
      <c r="G15" s="2007"/>
      <c r="H15" s="2007"/>
      <c r="I15" s="2007"/>
      <c r="J15" s="2007"/>
      <c r="K15" s="2007"/>
      <c r="L15" s="2007"/>
      <c r="M15" s="2007"/>
    </row>
    <row r="16" spans="2:13" x14ac:dyDescent="0.25">
      <c r="B16" s="2007"/>
      <c r="C16" s="2007"/>
      <c r="D16" s="2007"/>
      <c r="E16" s="2007"/>
      <c r="F16" s="2007"/>
      <c r="G16" s="2007"/>
      <c r="H16" s="2007"/>
      <c r="I16" s="2007"/>
      <c r="J16" s="2007"/>
      <c r="K16" s="2007"/>
      <c r="L16" s="2007"/>
      <c r="M16" s="2007"/>
    </row>
    <row r="17" spans="2:13" x14ac:dyDescent="0.25">
      <c r="B17" s="2007"/>
      <c r="C17" s="2007"/>
      <c r="D17" s="2007"/>
      <c r="E17" s="2007"/>
      <c r="F17" s="2007"/>
      <c r="G17" s="2007"/>
      <c r="H17" s="2007"/>
      <c r="I17" s="2007"/>
      <c r="J17" s="2007"/>
      <c r="K17" s="2007"/>
      <c r="L17" s="2007"/>
      <c r="M17" s="2007"/>
    </row>
    <row r="18" spans="2:13" x14ac:dyDescent="0.25">
      <c r="B18" s="2007"/>
      <c r="C18" s="2007"/>
      <c r="D18" s="2007"/>
      <c r="E18" s="2007"/>
      <c r="F18" s="2007"/>
      <c r="G18" s="2007"/>
      <c r="H18" s="2007"/>
      <c r="I18" s="2007"/>
      <c r="J18" s="2007"/>
      <c r="K18" s="2007"/>
      <c r="L18" s="2007"/>
      <c r="M18" s="2007"/>
    </row>
    <row r="19" spans="2:13" x14ac:dyDescent="0.25">
      <c r="B19" s="2007"/>
      <c r="C19" s="2007"/>
      <c r="D19" s="2007"/>
      <c r="E19" s="2007"/>
      <c r="F19" s="2007"/>
      <c r="G19" s="2007"/>
      <c r="H19" s="2007"/>
      <c r="I19" s="2007"/>
      <c r="J19" s="2007"/>
      <c r="K19" s="2007"/>
      <c r="L19" s="2007"/>
      <c r="M19" s="2007"/>
    </row>
    <row r="20" spans="2:13" x14ac:dyDescent="0.25">
      <c r="B20" s="2007"/>
      <c r="C20" s="2007"/>
      <c r="D20" s="2007"/>
      <c r="E20" s="2007"/>
      <c r="F20" s="2007"/>
      <c r="G20" s="2007"/>
      <c r="H20" s="2007"/>
      <c r="I20" s="2007"/>
      <c r="J20" s="2007"/>
      <c r="K20" s="2007"/>
      <c r="L20" s="2007"/>
      <c r="M20" s="2007"/>
    </row>
    <row r="21" spans="2:13" x14ac:dyDescent="0.25">
      <c r="B21" s="2007"/>
      <c r="C21" s="2007"/>
      <c r="D21" s="2007"/>
      <c r="E21" s="2007"/>
      <c r="F21" s="2007"/>
      <c r="G21" s="2007"/>
      <c r="H21" s="2007"/>
      <c r="I21" s="2007"/>
      <c r="J21" s="2007"/>
      <c r="K21" s="2007"/>
      <c r="L21" s="2007"/>
      <c r="M21" s="2007"/>
    </row>
    <row r="22" spans="2:13" x14ac:dyDescent="0.25">
      <c r="B22" s="2007"/>
      <c r="C22" s="2007"/>
      <c r="D22" s="2007"/>
      <c r="E22" s="2007"/>
      <c r="F22" s="2007"/>
      <c r="G22" s="2007"/>
      <c r="H22" s="2007"/>
      <c r="I22" s="2007"/>
      <c r="J22" s="2007"/>
      <c r="K22" s="2007"/>
      <c r="L22" s="2007"/>
      <c r="M22" s="2007"/>
    </row>
    <row r="23" spans="2:13" x14ac:dyDescent="0.25">
      <c r="B23" s="2007"/>
      <c r="C23" s="2007"/>
      <c r="D23" s="2007"/>
      <c r="E23" s="2007"/>
      <c r="F23" s="2007"/>
      <c r="G23" s="2007"/>
      <c r="H23" s="2007"/>
      <c r="I23" s="2007"/>
      <c r="J23" s="2007"/>
      <c r="K23" s="2007"/>
      <c r="L23" s="2007"/>
      <c r="M23" s="2007"/>
    </row>
    <row r="24" spans="2:13" x14ac:dyDescent="0.25">
      <c r="B24" s="2007"/>
      <c r="C24" s="2007"/>
      <c r="D24" s="2007"/>
      <c r="E24" s="2007"/>
      <c r="F24" s="2007"/>
      <c r="G24" s="2007"/>
      <c r="H24" s="2007"/>
      <c r="I24" s="2007"/>
      <c r="J24" s="2007"/>
      <c r="K24" s="2007"/>
      <c r="L24" s="2007"/>
      <c r="M24" s="2007"/>
    </row>
    <row r="25" spans="2:13" x14ac:dyDescent="0.25">
      <c r="B25" s="2007"/>
      <c r="C25" s="2007"/>
      <c r="D25" s="2007"/>
      <c r="E25" s="2007"/>
      <c r="F25" s="2007"/>
      <c r="G25" s="2007"/>
      <c r="H25" s="2007"/>
      <c r="I25" s="2007"/>
      <c r="J25" s="2007"/>
      <c r="K25" s="2007"/>
      <c r="L25" s="2007"/>
      <c r="M25" s="2007"/>
    </row>
    <row r="26" spans="2:13" x14ac:dyDescent="0.25">
      <c r="B26" s="2007"/>
      <c r="C26" s="2007"/>
      <c r="D26" s="2007"/>
      <c r="E26" s="2007"/>
      <c r="F26" s="2007"/>
      <c r="G26" s="2007"/>
      <c r="H26" s="2007"/>
      <c r="I26" s="2007"/>
      <c r="J26" s="2007"/>
      <c r="K26" s="2007"/>
      <c r="L26" s="2007"/>
      <c r="M26" s="2007"/>
    </row>
    <row r="27" spans="2:13" x14ac:dyDescent="0.25">
      <c r="B27" s="2007"/>
      <c r="C27" s="2007"/>
      <c r="D27" s="2007"/>
      <c r="E27" s="2007"/>
      <c r="F27" s="2007"/>
      <c r="G27" s="2007"/>
      <c r="H27" s="2007"/>
      <c r="I27" s="2007"/>
      <c r="J27" s="2007"/>
      <c r="K27" s="2007"/>
      <c r="L27" s="2007"/>
      <c r="M27" s="2007"/>
    </row>
    <row r="28" spans="2:13" x14ac:dyDescent="0.25">
      <c r="B28" s="2007"/>
      <c r="C28" s="2007"/>
      <c r="D28" s="2007"/>
      <c r="E28" s="2007"/>
      <c r="F28" s="2007"/>
      <c r="G28" s="2007"/>
      <c r="H28" s="2007"/>
      <c r="I28" s="2007"/>
      <c r="J28" s="2007"/>
      <c r="K28" s="2007"/>
      <c r="L28" s="2007"/>
      <c r="M28" s="2007"/>
    </row>
    <row r="29" spans="2:13" x14ac:dyDescent="0.25">
      <c r="B29" s="2007"/>
      <c r="C29" s="2007"/>
      <c r="D29" s="2007"/>
      <c r="E29" s="2007"/>
      <c r="F29" s="2007"/>
      <c r="G29" s="2007"/>
      <c r="H29" s="2007"/>
      <c r="I29" s="2007"/>
      <c r="J29" s="2007"/>
      <c r="K29" s="2007"/>
      <c r="L29" s="2007"/>
      <c r="M29" s="2007"/>
    </row>
    <row r="30" spans="2:13" x14ac:dyDescent="0.25">
      <c r="B30" s="2007"/>
      <c r="C30" s="2007"/>
      <c r="D30" s="2007"/>
      <c r="E30" s="2007"/>
      <c r="F30" s="2007"/>
      <c r="G30" s="2007"/>
      <c r="H30" s="2007"/>
      <c r="I30" s="2007"/>
      <c r="J30" s="2007"/>
      <c r="K30" s="2007"/>
      <c r="L30" s="2007"/>
      <c r="M30" s="2007"/>
    </row>
    <row r="31" spans="2:13" x14ac:dyDescent="0.25">
      <c r="B31" s="708" t="s">
        <v>5387</v>
      </c>
    </row>
    <row r="32" spans="2:13" x14ac:dyDescent="0.25">
      <c r="B32" s="2010"/>
      <c r="C32" s="2010"/>
      <c r="D32" s="2010"/>
      <c r="E32" s="2010"/>
      <c r="F32" s="2010"/>
      <c r="G32" s="2010"/>
      <c r="H32" s="2010"/>
      <c r="I32" s="2010"/>
      <c r="J32" s="2010"/>
      <c r="K32" s="2010"/>
      <c r="L32" s="2010"/>
      <c r="M32" s="2010"/>
    </row>
    <row r="33" spans="2:13" x14ac:dyDescent="0.25">
      <c r="B33" s="2010"/>
      <c r="C33" s="2010"/>
      <c r="D33" s="2010"/>
      <c r="E33" s="2010"/>
      <c r="F33" s="2010"/>
      <c r="G33" s="2010"/>
      <c r="H33" s="2010"/>
      <c r="I33" s="2010"/>
      <c r="J33" s="2010"/>
      <c r="K33" s="2010"/>
      <c r="L33" s="2010"/>
      <c r="M33" s="2010"/>
    </row>
    <row r="34" spans="2:13" x14ac:dyDescent="0.25">
      <c r="B34" s="2010"/>
      <c r="C34" s="2010"/>
      <c r="D34" s="2010"/>
      <c r="E34" s="2010"/>
      <c r="F34" s="2010"/>
      <c r="G34" s="2010"/>
      <c r="H34" s="2010"/>
      <c r="I34" s="2010"/>
      <c r="J34" s="2010"/>
      <c r="K34" s="2010"/>
      <c r="L34" s="2010"/>
      <c r="M34" s="2010"/>
    </row>
    <row r="36" spans="2:13" ht="21.75" customHeight="1" x14ac:dyDescent="0.25">
      <c r="B36" s="727" t="s">
        <v>5388</v>
      </c>
      <c r="C36" s="322"/>
      <c r="I36" s="728" t="s">
        <v>5389</v>
      </c>
    </row>
    <row r="37" spans="2:13" ht="7.5" customHeight="1" x14ac:dyDescent="0.25"/>
    <row r="38" spans="2:13" x14ac:dyDescent="0.25">
      <c r="B38" s="2008" t="s">
        <v>5390</v>
      </c>
      <c r="C38" s="2008"/>
      <c r="D38" s="2008"/>
      <c r="E38" s="2008"/>
      <c r="F38" s="2008"/>
      <c r="G38" s="2008"/>
      <c r="H38" s="2008"/>
      <c r="I38" s="2008"/>
      <c r="J38" s="2008"/>
      <c r="K38" s="2008"/>
      <c r="L38" s="2008"/>
      <c r="M38" s="2008"/>
    </row>
    <row r="39" spans="2:13" x14ac:dyDescent="0.25">
      <c r="B39" s="2008"/>
      <c r="C39" s="2008"/>
      <c r="D39" s="2008"/>
      <c r="E39" s="2008"/>
      <c r="F39" s="2008"/>
      <c r="G39" s="2008"/>
      <c r="H39" s="2008"/>
      <c r="I39" s="2008"/>
      <c r="J39" s="2008"/>
      <c r="K39" s="2008"/>
      <c r="L39" s="2008"/>
      <c r="M39" s="2008"/>
    </row>
    <row r="40" spans="2:13" ht="4.5" customHeight="1" x14ac:dyDescent="0.25"/>
    <row r="41" spans="2:13" x14ac:dyDescent="0.25">
      <c r="B41" s="322" t="s">
        <v>5391</v>
      </c>
    </row>
    <row r="42" spans="2:13" ht="6" customHeight="1" x14ac:dyDescent="0.25"/>
    <row r="43" spans="2:13" ht="32.25" customHeight="1" x14ac:dyDescent="0.25">
      <c r="B43" s="2011" t="s">
        <v>5392</v>
      </c>
      <c r="C43" s="2011"/>
      <c r="D43" s="2011"/>
      <c r="E43" s="2011" t="s">
        <v>5393</v>
      </c>
      <c r="F43" s="2011"/>
      <c r="G43" s="2011"/>
      <c r="H43" s="2011" t="s">
        <v>5394</v>
      </c>
      <c r="I43" s="2011"/>
      <c r="J43" s="2011"/>
      <c r="K43" s="2011" t="s">
        <v>5395</v>
      </c>
      <c r="L43" s="2011"/>
      <c r="M43" s="2011"/>
    </row>
    <row r="44" spans="2:13" x14ac:dyDescent="0.25">
      <c r="B44" s="2007"/>
      <c r="C44" s="2007"/>
      <c r="D44" s="2007"/>
      <c r="E44" s="2007"/>
      <c r="F44" s="2007"/>
      <c r="G44" s="2007"/>
      <c r="H44" s="2007"/>
      <c r="I44" s="2007"/>
      <c r="J44" s="2007"/>
      <c r="K44" s="2007"/>
      <c r="L44" s="2007"/>
      <c r="M44" s="2007"/>
    </row>
    <row r="45" spans="2:13" x14ac:dyDescent="0.25">
      <c r="B45" s="2007"/>
      <c r="C45" s="2007"/>
      <c r="D45" s="2007"/>
      <c r="E45" s="2007"/>
      <c r="F45" s="2007"/>
      <c r="G45" s="2007"/>
      <c r="H45" s="2007"/>
      <c r="I45" s="2007"/>
      <c r="J45" s="2007"/>
      <c r="K45" s="2007"/>
      <c r="L45" s="2007"/>
      <c r="M45" s="2007"/>
    </row>
    <row r="46" spans="2:13" x14ac:dyDescent="0.25">
      <c r="B46" s="2007"/>
      <c r="C46" s="2007"/>
      <c r="D46" s="2007"/>
      <c r="E46" s="2007"/>
      <c r="F46" s="2007"/>
      <c r="G46" s="2007"/>
      <c r="H46" s="2007"/>
      <c r="I46" s="2007"/>
      <c r="J46" s="2007"/>
      <c r="K46" s="2007"/>
      <c r="L46" s="2007"/>
      <c r="M46" s="2007"/>
    </row>
    <row r="47" spans="2:13" x14ac:dyDescent="0.25">
      <c r="B47" s="2007"/>
      <c r="C47" s="2007"/>
      <c r="D47" s="2007"/>
      <c r="E47" s="2007"/>
      <c r="F47" s="2007"/>
      <c r="G47" s="2007"/>
      <c r="H47" s="2007"/>
      <c r="I47" s="2007"/>
      <c r="J47" s="2007"/>
      <c r="K47" s="2007"/>
      <c r="L47" s="2007"/>
      <c r="M47" s="2007"/>
    </row>
    <row r="48" spans="2:13" x14ac:dyDescent="0.25">
      <c r="B48" s="2007"/>
      <c r="C48" s="2007"/>
      <c r="D48" s="2007"/>
      <c r="E48" s="2007"/>
      <c r="F48" s="2007"/>
      <c r="G48" s="2007"/>
      <c r="H48" s="2007"/>
      <c r="I48" s="2007"/>
      <c r="J48" s="2007"/>
      <c r="K48" s="2007"/>
      <c r="L48" s="2007"/>
      <c r="M48" s="2007"/>
    </row>
    <row r="49" spans="2:13" x14ac:dyDescent="0.25">
      <c r="B49" s="2007"/>
      <c r="C49" s="2007"/>
      <c r="D49" s="2007"/>
      <c r="E49" s="2007"/>
      <c r="F49" s="2007"/>
      <c r="G49" s="2007"/>
      <c r="H49" s="2007"/>
      <c r="I49" s="2007"/>
      <c r="J49" s="2007"/>
      <c r="K49" s="2007"/>
      <c r="L49" s="2007"/>
      <c r="M49" s="2007"/>
    </row>
    <row r="50" spans="2:13" x14ac:dyDescent="0.25">
      <c r="B50" s="2007"/>
      <c r="C50" s="2007"/>
      <c r="D50" s="2007"/>
      <c r="E50" s="2007"/>
      <c r="F50" s="2007"/>
      <c r="G50" s="2007"/>
      <c r="H50" s="2007"/>
      <c r="I50" s="2007"/>
      <c r="J50" s="2007"/>
      <c r="K50" s="2007"/>
      <c r="L50" s="2007"/>
      <c r="M50" s="2007"/>
    </row>
    <row r="51" spans="2:13" x14ac:dyDescent="0.25">
      <c r="B51" s="2007"/>
      <c r="C51" s="2007"/>
      <c r="D51" s="2007"/>
      <c r="E51" s="2007"/>
      <c r="F51" s="2007"/>
      <c r="G51" s="2007"/>
      <c r="H51" s="2007"/>
      <c r="I51" s="2007"/>
      <c r="J51" s="2007"/>
      <c r="K51" s="2007"/>
      <c r="L51" s="2007"/>
      <c r="M51" s="2007"/>
    </row>
    <row r="52" spans="2:13" x14ac:dyDescent="0.25">
      <c r="B52" s="2007"/>
      <c r="C52" s="2007"/>
      <c r="D52" s="2007"/>
      <c r="E52" s="2007"/>
      <c r="F52" s="2007"/>
      <c r="G52" s="2007"/>
      <c r="H52" s="2007"/>
      <c r="I52" s="2007"/>
      <c r="J52" s="2007"/>
      <c r="K52" s="2007"/>
      <c r="L52" s="2007"/>
      <c r="M52" s="2007"/>
    </row>
    <row r="53" spans="2:13" x14ac:dyDescent="0.25">
      <c r="B53" s="2007"/>
      <c r="C53" s="2007"/>
      <c r="D53" s="2007"/>
      <c r="E53" s="2007"/>
      <c r="F53" s="2007"/>
      <c r="G53" s="2007"/>
      <c r="H53" s="2007"/>
      <c r="I53" s="2007"/>
      <c r="J53" s="2007"/>
      <c r="K53" s="2007"/>
      <c r="L53" s="2007"/>
      <c r="M53" s="2007"/>
    </row>
    <row r="54" spans="2:13" x14ac:dyDescent="0.25">
      <c r="B54" s="2007"/>
      <c r="C54" s="2007"/>
      <c r="D54" s="2007"/>
      <c r="E54" s="2007"/>
      <c r="F54" s="2007"/>
      <c r="G54" s="2007"/>
      <c r="H54" s="2007"/>
      <c r="I54" s="2007"/>
      <c r="J54" s="2007"/>
      <c r="K54" s="2007"/>
      <c r="L54" s="2007"/>
      <c r="M54" s="2007"/>
    </row>
    <row r="55" spans="2:13" x14ac:dyDescent="0.25">
      <c r="B55" s="2007"/>
      <c r="C55" s="2007"/>
      <c r="D55" s="2007"/>
      <c r="E55" s="2007"/>
      <c r="F55" s="2007"/>
      <c r="G55" s="2007"/>
      <c r="H55" s="2007"/>
      <c r="I55" s="2007"/>
      <c r="J55" s="2007"/>
      <c r="K55" s="2007"/>
      <c r="L55" s="2007"/>
      <c r="M55" s="2007"/>
    </row>
    <row r="56" spans="2:13" ht="31.5" customHeight="1" x14ac:dyDescent="0.25">
      <c r="B56" s="2009" t="s">
        <v>5396</v>
      </c>
      <c r="C56" s="2009"/>
      <c r="D56" s="2009"/>
      <c r="E56" s="2009"/>
      <c r="F56" s="2009"/>
      <c r="G56" s="2009"/>
      <c r="H56" s="2009"/>
      <c r="I56" s="2009"/>
      <c r="J56" s="2009"/>
      <c r="K56" s="2009"/>
      <c r="L56" s="2009"/>
      <c r="M56" s="2009"/>
    </row>
    <row r="57" spans="2:13" x14ac:dyDescent="0.25">
      <c r="B57" s="2007"/>
      <c r="C57" s="2007"/>
      <c r="D57" s="2007"/>
      <c r="E57" s="2007"/>
      <c r="F57" s="2007"/>
      <c r="G57" s="2007"/>
      <c r="H57" s="2007"/>
      <c r="I57" s="2007"/>
      <c r="J57" s="2007"/>
      <c r="K57" s="2007"/>
      <c r="L57" s="2007"/>
      <c r="M57" s="2007"/>
    </row>
    <row r="58" spans="2:13" x14ac:dyDescent="0.25">
      <c r="B58" s="2007"/>
      <c r="C58" s="2007"/>
      <c r="D58" s="2007"/>
      <c r="E58" s="2007"/>
      <c r="F58" s="2007"/>
      <c r="G58" s="2007"/>
      <c r="H58" s="2007"/>
      <c r="I58" s="2007"/>
      <c r="J58" s="2007"/>
      <c r="K58" s="2007"/>
      <c r="L58" s="2007"/>
      <c r="M58" s="2007"/>
    </row>
    <row r="59" spans="2:13" x14ac:dyDescent="0.25">
      <c r="B59" s="2007"/>
      <c r="C59" s="2007"/>
      <c r="D59" s="2007"/>
      <c r="E59" s="2007"/>
      <c r="F59" s="2007"/>
      <c r="G59" s="2007"/>
      <c r="H59" s="2007"/>
      <c r="I59" s="2007"/>
      <c r="J59" s="2007"/>
      <c r="K59" s="2007"/>
      <c r="L59" s="2007"/>
      <c r="M59" s="2007"/>
    </row>
    <row r="60" spans="2:13" x14ac:dyDescent="0.25">
      <c r="B60" s="2007"/>
      <c r="C60" s="2007"/>
      <c r="D60" s="2007"/>
      <c r="E60" s="2007"/>
      <c r="F60" s="2007"/>
      <c r="G60" s="2007"/>
      <c r="H60" s="2007"/>
      <c r="I60" s="2007"/>
      <c r="J60" s="2007"/>
      <c r="K60" s="2007"/>
      <c r="L60" s="2007"/>
      <c r="M60" s="2007"/>
    </row>
    <row r="61" spans="2:13" x14ac:dyDescent="0.25">
      <c r="B61" s="2007"/>
      <c r="C61" s="2007"/>
      <c r="D61" s="2007"/>
      <c r="E61" s="2007"/>
      <c r="F61" s="2007"/>
      <c r="G61" s="2007"/>
      <c r="H61" s="2007"/>
      <c r="I61" s="2007"/>
      <c r="J61" s="2007"/>
      <c r="K61" s="2007"/>
      <c r="L61" s="2007"/>
      <c r="M61" s="2007"/>
    </row>
    <row r="62" spans="2:13" x14ac:dyDescent="0.25">
      <c r="B62" s="2007"/>
      <c r="C62" s="2007"/>
      <c r="D62" s="2007"/>
      <c r="E62" s="2007"/>
      <c r="F62" s="2007"/>
      <c r="G62" s="2007"/>
      <c r="H62" s="2007"/>
      <c r="I62" s="2007"/>
      <c r="J62" s="2007"/>
      <c r="K62" s="2007"/>
      <c r="L62" s="2007"/>
      <c r="M62" s="2007"/>
    </row>
    <row r="63" spans="2:13" x14ac:dyDescent="0.25">
      <c r="B63" s="2007"/>
      <c r="C63" s="2007"/>
      <c r="D63" s="2007"/>
      <c r="E63" s="2007"/>
      <c r="F63" s="2007"/>
      <c r="G63" s="2007"/>
      <c r="H63" s="2007"/>
      <c r="I63" s="2007"/>
      <c r="J63" s="2007"/>
      <c r="K63" s="2007"/>
      <c r="L63" s="2007"/>
      <c r="M63" s="2007"/>
    </row>
    <row r="64" spans="2:13" x14ac:dyDescent="0.25">
      <c r="B64" s="2007"/>
      <c r="C64" s="2007"/>
      <c r="D64" s="2007"/>
      <c r="E64" s="2007"/>
      <c r="F64" s="2007"/>
      <c r="G64" s="2007"/>
      <c r="H64" s="2007"/>
      <c r="I64" s="2007"/>
      <c r="J64" s="2007"/>
      <c r="K64" s="2007"/>
      <c r="L64" s="2007"/>
      <c r="M64" s="2007"/>
    </row>
    <row r="65" spans="2:13" x14ac:dyDescent="0.25">
      <c r="B65" s="2007"/>
      <c r="C65" s="2007"/>
      <c r="D65" s="2007"/>
      <c r="E65" s="2007"/>
      <c r="F65" s="2007"/>
      <c r="G65" s="2007"/>
      <c r="H65" s="2007"/>
      <c r="I65" s="2007"/>
      <c r="J65" s="2007"/>
      <c r="K65" s="2007"/>
      <c r="L65" s="2007"/>
      <c r="M65" s="2007"/>
    </row>
    <row r="66" spans="2:13" x14ac:dyDescent="0.25">
      <c r="B66" s="2007"/>
      <c r="C66" s="2007"/>
      <c r="D66" s="2007"/>
      <c r="E66" s="2007"/>
      <c r="F66" s="2007"/>
      <c r="G66" s="2007"/>
      <c r="H66" s="2007"/>
      <c r="I66" s="2007"/>
      <c r="J66" s="2007"/>
      <c r="K66" s="2007"/>
      <c r="L66" s="2007"/>
      <c r="M66" s="2007"/>
    </row>
    <row r="67" spans="2:13" x14ac:dyDescent="0.25">
      <c r="B67" s="2007"/>
      <c r="C67" s="2007"/>
      <c r="D67" s="2007"/>
      <c r="E67" s="2007"/>
      <c r="F67" s="2007"/>
      <c r="G67" s="2007"/>
      <c r="H67" s="2007"/>
      <c r="I67" s="2007"/>
      <c r="J67" s="2007"/>
      <c r="K67" s="2007"/>
      <c r="L67" s="2007"/>
      <c r="M67" s="2007"/>
    </row>
    <row r="68" spans="2:13" x14ac:dyDescent="0.25">
      <c r="B68" s="2007"/>
      <c r="C68" s="2007"/>
      <c r="D68" s="2007"/>
      <c r="E68" s="2007"/>
      <c r="F68" s="2007"/>
      <c r="G68" s="2007"/>
      <c r="H68" s="2007"/>
      <c r="I68" s="2007"/>
      <c r="J68" s="2007"/>
      <c r="K68" s="2007"/>
      <c r="L68" s="2007"/>
      <c r="M68" s="2007"/>
    </row>
    <row r="69" spans="2:13" x14ac:dyDescent="0.25">
      <c r="B69" s="2007"/>
      <c r="C69" s="2007"/>
      <c r="D69" s="2007"/>
      <c r="E69" s="2007"/>
      <c r="F69" s="2007"/>
      <c r="G69" s="2007"/>
      <c r="H69" s="2007"/>
      <c r="I69" s="2007"/>
      <c r="J69" s="2007"/>
      <c r="K69" s="2007"/>
      <c r="L69" s="2007"/>
      <c r="M69" s="2007"/>
    </row>
    <row r="70" spans="2:13" x14ac:dyDescent="0.25">
      <c r="B70" s="2007"/>
      <c r="C70" s="2007"/>
      <c r="D70" s="2007"/>
      <c r="E70" s="2007"/>
      <c r="F70" s="2007"/>
      <c r="G70" s="2007"/>
      <c r="H70" s="2007"/>
      <c r="I70" s="2007"/>
      <c r="J70" s="2007"/>
      <c r="K70" s="2007"/>
      <c r="L70" s="2007"/>
      <c r="M70" s="2007"/>
    </row>
    <row r="71" spans="2:13" x14ac:dyDescent="0.25">
      <c r="B71" s="2007"/>
      <c r="C71" s="2007"/>
      <c r="D71" s="2007"/>
      <c r="E71" s="2007"/>
      <c r="F71" s="2007"/>
      <c r="G71" s="2007"/>
      <c r="H71" s="2007"/>
      <c r="I71" s="2007"/>
      <c r="J71" s="2007"/>
      <c r="K71" s="2007"/>
      <c r="L71" s="2007"/>
      <c r="M71" s="2007"/>
    </row>
    <row r="72" spans="2:13" x14ac:dyDescent="0.25">
      <c r="B72" s="2007"/>
      <c r="C72" s="2007"/>
      <c r="D72" s="2007"/>
      <c r="E72" s="2007"/>
      <c r="F72" s="2007"/>
      <c r="G72" s="2007"/>
      <c r="H72" s="2007"/>
      <c r="I72" s="2007"/>
      <c r="J72" s="2007"/>
      <c r="K72" s="2007"/>
      <c r="L72" s="2007"/>
      <c r="M72" s="2007"/>
    </row>
    <row r="73" spans="2:13" x14ac:dyDescent="0.25">
      <c r="B73" s="2007"/>
      <c r="C73" s="2007"/>
      <c r="D73" s="2007"/>
      <c r="E73" s="2007"/>
      <c r="F73" s="2007"/>
      <c r="G73" s="2007"/>
      <c r="H73" s="2007"/>
      <c r="I73" s="2007"/>
      <c r="J73" s="2007"/>
      <c r="K73" s="2007"/>
      <c r="L73" s="2007"/>
      <c r="M73" s="2007"/>
    </row>
    <row r="74" spans="2:13" x14ac:dyDescent="0.25">
      <c r="B74" s="2007"/>
      <c r="C74" s="2007"/>
      <c r="D74" s="2007"/>
      <c r="E74" s="2007"/>
      <c r="F74" s="2007"/>
      <c r="G74" s="2007"/>
      <c r="H74" s="2007"/>
      <c r="I74" s="2007"/>
      <c r="J74" s="2007"/>
      <c r="K74" s="2007"/>
      <c r="L74" s="2007"/>
      <c r="M74" s="2007"/>
    </row>
    <row r="75" spans="2:13" x14ac:dyDescent="0.25">
      <c r="B75" s="2007"/>
      <c r="C75" s="2007"/>
      <c r="D75" s="2007"/>
      <c r="E75" s="2007"/>
      <c r="F75" s="2007"/>
      <c r="G75" s="2007"/>
      <c r="H75" s="2007"/>
      <c r="I75" s="2007"/>
      <c r="J75" s="2007"/>
      <c r="K75" s="2007"/>
      <c r="L75" s="2007"/>
      <c r="M75" s="2007"/>
    </row>
    <row r="76" spans="2:13" x14ac:dyDescent="0.25">
      <c r="B76" s="708" t="s">
        <v>5387</v>
      </c>
    </row>
    <row r="77" spans="2:13" x14ac:dyDescent="0.25">
      <c r="B77" s="2010"/>
      <c r="C77" s="2010"/>
      <c r="D77" s="2010"/>
      <c r="E77" s="2010"/>
      <c r="F77" s="2010"/>
      <c r="G77" s="2010"/>
      <c r="H77" s="2010"/>
      <c r="I77" s="2010"/>
      <c r="J77" s="2010"/>
      <c r="K77" s="2010"/>
      <c r="L77" s="2010"/>
      <c r="M77" s="2010"/>
    </row>
    <row r="78" spans="2:13" x14ac:dyDescent="0.25">
      <c r="B78" s="2010"/>
      <c r="C78" s="2010"/>
      <c r="D78" s="2010"/>
      <c r="E78" s="2010"/>
      <c r="F78" s="2010"/>
      <c r="G78" s="2010"/>
      <c r="H78" s="2010"/>
      <c r="I78" s="2010"/>
      <c r="J78" s="2010"/>
      <c r="K78" s="2010"/>
      <c r="L78" s="2010"/>
      <c r="M78" s="2010"/>
    </row>
    <row r="79" spans="2:13" x14ac:dyDescent="0.25">
      <c r="B79" s="2010"/>
      <c r="C79" s="2010"/>
      <c r="D79" s="2010"/>
      <c r="E79" s="2010"/>
      <c r="F79" s="2010"/>
      <c r="G79" s="2010"/>
      <c r="H79" s="2010"/>
      <c r="I79" s="2010"/>
      <c r="J79" s="2010"/>
      <c r="K79" s="2010"/>
      <c r="L79" s="2010"/>
      <c r="M79" s="2010"/>
    </row>
    <row r="81" spans="2:13" ht="15" customHeight="1" x14ac:dyDescent="0.25">
      <c r="B81" s="322" t="s">
        <v>5397</v>
      </c>
      <c r="J81" s="730" t="s">
        <v>5398</v>
      </c>
    </row>
    <row r="83" spans="2:13" ht="15" customHeight="1" x14ac:dyDescent="0.25">
      <c r="B83" s="2012" t="s">
        <v>5399</v>
      </c>
      <c r="C83" s="2012"/>
      <c r="D83" s="2012"/>
      <c r="E83" s="2012"/>
      <c r="F83" s="2012"/>
      <c r="G83" s="2012"/>
      <c r="H83" s="2012"/>
      <c r="I83" s="2012"/>
      <c r="J83" s="2012"/>
      <c r="K83" s="2012"/>
      <c r="L83" s="2012"/>
      <c r="M83" s="2012"/>
    </row>
    <row r="84" spans="2:13" x14ac:dyDescent="0.25">
      <c r="B84" s="2012"/>
      <c r="C84" s="2012"/>
      <c r="D84" s="2012"/>
      <c r="E84" s="2012"/>
      <c r="F84" s="2012"/>
      <c r="G84" s="2012"/>
      <c r="H84" s="2012"/>
      <c r="I84" s="2012"/>
      <c r="J84" s="2012"/>
      <c r="K84" s="2012"/>
      <c r="L84" s="2012"/>
      <c r="M84" s="2012"/>
    </row>
    <row r="85" spans="2:13" x14ac:dyDescent="0.25">
      <c r="B85" s="2012"/>
      <c r="C85" s="2012"/>
      <c r="D85" s="2012"/>
      <c r="E85" s="2012"/>
      <c r="F85" s="2012"/>
      <c r="G85" s="2012"/>
      <c r="H85" s="2012"/>
      <c r="I85" s="2012"/>
      <c r="J85" s="2012"/>
      <c r="K85" s="2012"/>
      <c r="L85" s="2012"/>
      <c r="M85" s="2012"/>
    </row>
    <row r="87" spans="2:13" ht="32.25" customHeight="1" x14ac:dyDescent="0.25">
      <c r="B87" s="2009" t="s">
        <v>5400</v>
      </c>
      <c r="C87" s="2009"/>
      <c r="D87" s="2009"/>
      <c r="E87" s="2009"/>
      <c r="F87" s="2009"/>
      <c r="G87" s="2009"/>
      <c r="H87" s="2009"/>
      <c r="I87" s="2009"/>
      <c r="J87" s="2009"/>
      <c r="K87" s="2009"/>
      <c r="L87" s="2009"/>
      <c r="M87" s="2009"/>
    </row>
    <row r="88" spans="2:13" ht="21" customHeight="1" x14ac:dyDescent="0.25">
      <c r="B88" s="2013" t="s">
        <v>18</v>
      </c>
      <c r="C88" s="2013"/>
      <c r="D88" s="2013"/>
      <c r="E88" s="2013"/>
      <c r="F88" s="2013" t="s">
        <v>19</v>
      </c>
      <c r="G88" s="2013"/>
      <c r="H88" s="2013"/>
      <c r="I88" s="2013" t="s">
        <v>20</v>
      </c>
      <c r="J88" s="2013"/>
      <c r="K88" s="2013"/>
      <c r="L88" s="2013" t="s">
        <v>5401</v>
      </c>
      <c r="M88" s="2013"/>
    </row>
    <row r="89" spans="2:13" ht="21" customHeight="1" x14ac:dyDescent="0.25">
      <c r="B89" s="2017" t="str">
        <f>IFERROR(IF('AREA DE ESTUDIO'!C19="","",'AREA DE ESTUDIO'!C19),"")</f>
        <v/>
      </c>
      <c r="C89" s="2017"/>
      <c r="D89" s="2017"/>
      <c r="E89" s="2017"/>
      <c r="F89" s="2017" t="str">
        <f>IFERROR(IF('AREA DE ESTUDIO'!G19="","",'AREA DE ESTUDIO'!G19),"")</f>
        <v/>
      </c>
      <c r="G89" s="2017"/>
      <c r="H89" s="2017"/>
      <c r="I89" s="2017" t="str">
        <f>IFERROR(IF('AREA DE ESTUDIO'!K19="","",'AREA DE ESTUDIO'!K19),"")</f>
        <v/>
      </c>
      <c r="J89" s="2017"/>
      <c r="K89" s="2017"/>
      <c r="L89" s="2017" t="str">
        <f>IFERROR(IF('AREA DE ESTUDIO'!O19="","",'AREA DE ESTUDIO'!O19),"")</f>
        <v/>
      </c>
      <c r="M89" s="2017"/>
    </row>
    <row r="90" spans="2:13" x14ac:dyDescent="0.25">
      <c r="B90" s="2007"/>
      <c r="C90" s="2007"/>
      <c r="D90" s="2007"/>
      <c r="E90" s="2007"/>
      <c r="F90" s="2007"/>
      <c r="G90" s="2007"/>
      <c r="H90" s="2007"/>
      <c r="I90" s="2007"/>
      <c r="J90" s="2007"/>
      <c r="K90" s="2007"/>
      <c r="L90" s="2007"/>
      <c r="M90" s="2007"/>
    </row>
    <row r="91" spans="2:13" x14ac:dyDescent="0.25">
      <c r="B91" s="2007"/>
      <c r="C91" s="2007"/>
      <c r="D91" s="2007"/>
      <c r="E91" s="2007"/>
      <c r="F91" s="2007"/>
      <c r="G91" s="2007"/>
      <c r="H91" s="2007"/>
      <c r="I91" s="2007"/>
      <c r="J91" s="2007"/>
      <c r="K91" s="2007"/>
      <c r="L91" s="2007"/>
      <c r="M91" s="2007"/>
    </row>
    <row r="92" spans="2:13" x14ac:dyDescent="0.25">
      <c r="B92" s="2007"/>
      <c r="C92" s="2007"/>
      <c r="D92" s="2007"/>
      <c r="E92" s="2007"/>
      <c r="F92" s="2007"/>
      <c r="G92" s="2007"/>
      <c r="H92" s="2007"/>
      <c r="I92" s="2007"/>
      <c r="J92" s="2007"/>
      <c r="K92" s="2007"/>
      <c r="L92" s="2007"/>
      <c r="M92" s="2007"/>
    </row>
    <row r="93" spans="2:13" x14ac:dyDescent="0.25">
      <c r="B93" s="2007"/>
      <c r="C93" s="2007"/>
      <c r="D93" s="2007"/>
      <c r="E93" s="2007"/>
      <c r="F93" s="2007"/>
      <c r="G93" s="2007"/>
      <c r="H93" s="2007"/>
      <c r="I93" s="2007"/>
      <c r="J93" s="2007"/>
      <c r="K93" s="2007"/>
      <c r="L93" s="2007"/>
      <c r="M93" s="2007"/>
    </row>
    <row r="94" spans="2:13" x14ac:dyDescent="0.25">
      <c r="B94" s="2007"/>
      <c r="C94" s="2007"/>
      <c r="D94" s="2007"/>
      <c r="E94" s="2007"/>
      <c r="F94" s="2007"/>
      <c r="G94" s="2007"/>
      <c r="H94" s="2007"/>
      <c r="I94" s="2007"/>
      <c r="J94" s="2007"/>
      <c r="K94" s="2007"/>
      <c r="L94" s="2007"/>
      <c r="M94" s="2007"/>
    </row>
    <row r="95" spans="2:13" x14ac:dyDescent="0.25">
      <c r="B95" s="2007"/>
      <c r="C95" s="2007"/>
      <c r="D95" s="2007"/>
      <c r="E95" s="2007"/>
      <c r="F95" s="2007"/>
      <c r="G95" s="2007"/>
      <c r="H95" s="2007"/>
      <c r="I95" s="2007"/>
      <c r="J95" s="2007"/>
      <c r="K95" s="2007"/>
      <c r="L95" s="2007"/>
      <c r="M95" s="2007"/>
    </row>
    <row r="96" spans="2:13" x14ac:dyDescent="0.25">
      <c r="B96" s="2007"/>
      <c r="C96" s="2007"/>
      <c r="D96" s="2007"/>
      <c r="E96" s="2007"/>
      <c r="F96" s="2007"/>
      <c r="G96" s="2007"/>
      <c r="H96" s="2007"/>
      <c r="I96" s="2007"/>
      <c r="J96" s="2007"/>
      <c r="K96" s="2007"/>
      <c r="L96" s="2007"/>
      <c r="M96" s="2007"/>
    </row>
    <row r="97" spans="2:13" x14ac:dyDescent="0.25">
      <c r="B97" s="2007"/>
      <c r="C97" s="2007"/>
      <c r="D97" s="2007"/>
      <c r="E97" s="2007"/>
      <c r="F97" s="2007"/>
      <c r="G97" s="2007"/>
      <c r="H97" s="2007"/>
      <c r="I97" s="2007"/>
      <c r="J97" s="2007"/>
      <c r="K97" s="2007"/>
      <c r="L97" s="2007"/>
      <c r="M97" s="2007"/>
    </row>
    <row r="98" spans="2:13" x14ac:dyDescent="0.25">
      <c r="B98" s="2007"/>
      <c r="C98" s="2007"/>
      <c r="D98" s="2007"/>
      <c r="E98" s="2007"/>
      <c r="F98" s="2007"/>
      <c r="G98" s="2007"/>
      <c r="H98" s="2007"/>
      <c r="I98" s="2007"/>
      <c r="J98" s="2007"/>
      <c r="K98" s="2007"/>
      <c r="L98" s="2007"/>
      <c r="M98" s="2007"/>
    </row>
    <row r="99" spans="2:13" x14ac:dyDescent="0.25">
      <c r="B99" s="2007"/>
      <c r="C99" s="2007"/>
      <c r="D99" s="2007"/>
      <c r="E99" s="2007"/>
      <c r="F99" s="2007"/>
      <c r="G99" s="2007"/>
      <c r="H99" s="2007"/>
      <c r="I99" s="2007"/>
      <c r="J99" s="2007"/>
      <c r="K99" s="2007"/>
      <c r="L99" s="2007"/>
      <c r="M99" s="2007"/>
    </row>
    <row r="100" spans="2:13" x14ac:dyDescent="0.25">
      <c r="B100" s="2007"/>
      <c r="C100" s="2007"/>
      <c r="D100" s="2007"/>
      <c r="E100" s="2007"/>
      <c r="F100" s="2007"/>
      <c r="G100" s="2007"/>
      <c r="H100" s="2007"/>
      <c r="I100" s="2007"/>
      <c r="J100" s="2007"/>
      <c r="K100" s="2007"/>
      <c r="L100" s="2007"/>
      <c r="M100" s="2007"/>
    </row>
    <row r="101" spans="2:13" x14ac:dyDescent="0.25">
      <c r="B101" s="2007"/>
      <c r="C101" s="2007"/>
      <c r="D101" s="2007"/>
      <c r="E101" s="2007"/>
      <c r="F101" s="2007"/>
      <c r="G101" s="2007"/>
      <c r="H101" s="2007"/>
      <c r="I101" s="2007"/>
      <c r="J101" s="2007"/>
      <c r="K101" s="2007"/>
      <c r="L101" s="2007"/>
      <c r="M101" s="2007"/>
    </row>
    <row r="102" spans="2:13" x14ac:dyDescent="0.25">
      <c r="B102" s="2007"/>
      <c r="C102" s="2007"/>
      <c r="D102" s="2007"/>
      <c r="E102" s="2007"/>
      <c r="F102" s="2007"/>
      <c r="G102" s="2007"/>
      <c r="H102" s="2007"/>
      <c r="I102" s="2007"/>
      <c r="J102" s="2007"/>
      <c r="K102" s="2007"/>
      <c r="L102" s="2007"/>
      <c r="M102" s="2007"/>
    </row>
    <row r="103" spans="2:13" x14ac:dyDescent="0.25">
      <c r="B103" s="2007"/>
      <c r="C103" s="2007"/>
      <c r="D103" s="2007"/>
      <c r="E103" s="2007"/>
      <c r="F103" s="2007"/>
      <c r="G103" s="2007"/>
      <c r="H103" s="2007"/>
      <c r="I103" s="2007"/>
      <c r="J103" s="2007"/>
      <c r="K103" s="2007"/>
      <c r="L103" s="2007"/>
      <c r="M103" s="2007"/>
    </row>
    <row r="104" spans="2:13" x14ac:dyDescent="0.25">
      <c r="B104" s="2007"/>
      <c r="C104" s="2007"/>
      <c r="D104" s="2007"/>
      <c r="E104" s="2007"/>
      <c r="F104" s="2007"/>
      <c r="G104" s="2007"/>
      <c r="H104" s="2007"/>
      <c r="I104" s="2007"/>
      <c r="J104" s="2007"/>
      <c r="K104" s="2007"/>
      <c r="L104" s="2007"/>
      <c r="M104" s="2007"/>
    </row>
    <row r="105" spans="2:13" x14ac:dyDescent="0.25">
      <c r="B105" s="2007"/>
      <c r="C105" s="2007"/>
      <c r="D105" s="2007"/>
      <c r="E105" s="2007"/>
      <c r="F105" s="2007"/>
      <c r="G105" s="2007"/>
      <c r="H105" s="2007"/>
      <c r="I105" s="2007"/>
      <c r="J105" s="2007"/>
      <c r="K105" s="2007"/>
      <c r="L105" s="2007"/>
      <c r="M105" s="2007"/>
    </row>
    <row r="106" spans="2:13" x14ac:dyDescent="0.25">
      <c r="B106" s="2007"/>
      <c r="C106" s="2007"/>
      <c r="D106" s="2007"/>
      <c r="E106" s="2007"/>
      <c r="F106" s="2007"/>
      <c r="G106" s="2007"/>
      <c r="H106" s="2007"/>
      <c r="I106" s="2007"/>
      <c r="J106" s="2007"/>
      <c r="K106" s="2007"/>
      <c r="L106" s="2007"/>
      <c r="M106" s="2007"/>
    </row>
    <row r="107" spans="2:13" x14ac:dyDescent="0.25">
      <c r="B107" s="2007"/>
      <c r="C107" s="2007"/>
      <c r="D107" s="2007"/>
      <c r="E107" s="2007"/>
      <c r="F107" s="2007"/>
      <c r="G107" s="2007"/>
      <c r="H107" s="2007"/>
      <c r="I107" s="2007"/>
      <c r="J107" s="2007"/>
      <c r="K107" s="2007"/>
      <c r="L107" s="2007"/>
      <c r="M107" s="2007"/>
    </row>
    <row r="108" spans="2:13" x14ac:dyDescent="0.25">
      <c r="B108" s="2007"/>
      <c r="C108" s="2007"/>
      <c r="D108" s="2007"/>
      <c r="E108" s="2007"/>
      <c r="F108" s="2007"/>
      <c r="G108" s="2007"/>
      <c r="H108" s="2007"/>
      <c r="I108" s="2007"/>
      <c r="J108" s="2007"/>
      <c r="K108" s="2007"/>
      <c r="L108" s="2007"/>
      <c r="M108" s="2007"/>
    </row>
    <row r="109" spans="2:13" ht="20.25" customHeight="1" x14ac:dyDescent="0.25">
      <c r="B109" s="2007"/>
      <c r="C109" s="2007"/>
      <c r="D109" s="2007"/>
      <c r="E109" s="2007"/>
      <c r="F109" s="2007"/>
      <c r="G109" s="2007"/>
      <c r="H109" s="2007"/>
      <c r="I109" s="2007"/>
      <c r="J109" s="2007"/>
      <c r="K109" s="2007"/>
      <c r="L109" s="2007"/>
      <c r="M109" s="2007"/>
    </row>
    <row r="110" spans="2:13" ht="18.75" customHeight="1" x14ac:dyDescent="0.25">
      <c r="B110" s="2007"/>
      <c r="C110" s="2007"/>
      <c r="D110" s="2007"/>
      <c r="E110" s="2007"/>
      <c r="F110" s="2007"/>
      <c r="G110" s="2007"/>
      <c r="H110" s="2007"/>
      <c r="I110" s="2007"/>
      <c r="J110" s="2007"/>
      <c r="K110" s="2007"/>
      <c r="L110" s="2007"/>
      <c r="M110" s="2007"/>
    </row>
    <row r="111" spans="2:13" x14ac:dyDescent="0.25">
      <c r="B111" s="708" t="s">
        <v>5387</v>
      </c>
    </row>
    <row r="112" spans="2:13" x14ac:dyDescent="0.25">
      <c r="B112" s="2010"/>
      <c r="C112" s="2010"/>
      <c r="D112" s="2010"/>
      <c r="E112" s="2010"/>
      <c r="F112" s="2010"/>
      <c r="G112" s="2010"/>
      <c r="H112" s="2010"/>
      <c r="I112" s="2010"/>
      <c r="J112" s="2010"/>
      <c r="K112" s="2010"/>
      <c r="L112" s="2010"/>
      <c r="M112" s="2010"/>
    </row>
    <row r="113" spans="2:13" x14ac:dyDescent="0.25">
      <c r="B113" s="2010"/>
      <c r="C113" s="2010"/>
      <c r="D113" s="2010"/>
      <c r="E113" s="2010"/>
      <c r="F113" s="2010"/>
      <c r="G113" s="2010"/>
      <c r="H113" s="2010"/>
      <c r="I113" s="2010"/>
      <c r="J113" s="2010"/>
      <c r="K113" s="2010"/>
      <c r="L113" s="2010"/>
      <c r="M113" s="2010"/>
    </row>
    <row r="114" spans="2:13" x14ac:dyDescent="0.25">
      <c r="B114" s="2010"/>
      <c r="C114" s="2010"/>
      <c r="D114" s="2010"/>
      <c r="E114" s="2010"/>
      <c r="F114" s="2010"/>
      <c r="G114" s="2010"/>
      <c r="H114" s="2010"/>
      <c r="I114" s="2010"/>
      <c r="J114" s="2010"/>
      <c r="K114" s="2010"/>
      <c r="L114" s="2010"/>
      <c r="M114" s="2010"/>
    </row>
    <row r="116" spans="2:13" ht="21.75" customHeight="1" x14ac:dyDescent="0.25">
      <c r="B116" s="2009" t="s">
        <v>5402</v>
      </c>
      <c r="C116" s="2009"/>
      <c r="D116" s="2009"/>
      <c r="E116" s="2009"/>
      <c r="F116" s="2009"/>
      <c r="G116" s="2009"/>
      <c r="H116" s="2009"/>
      <c r="I116" s="2009"/>
      <c r="J116" s="2009"/>
      <c r="K116" s="2009"/>
      <c r="L116" s="2009"/>
      <c r="M116" s="2009"/>
    </row>
    <row r="117" spans="2:13" ht="42" customHeight="1" x14ac:dyDescent="0.25">
      <c r="B117" s="2009"/>
      <c r="C117" s="2009"/>
      <c r="D117" s="2009"/>
      <c r="E117" s="2009" t="s">
        <v>5403</v>
      </c>
      <c r="F117" s="2009"/>
      <c r="G117" s="2018" t="s">
        <v>3792</v>
      </c>
      <c r="H117" s="2019"/>
      <c r="I117" s="2019"/>
      <c r="J117" s="2019"/>
      <c r="K117" s="2019"/>
      <c r="L117" s="2019"/>
      <c r="M117" s="2020"/>
    </row>
    <row r="118" spans="2:13" ht="31.5" customHeight="1" x14ac:dyDescent="0.25">
      <c r="B118" s="2014" t="str">
        <f>CONCATENATE("Gráfico generado de la Estación ",G117)</f>
        <v>Gráfico generado de la Estación Santo Domingo</v>
      </c>
      <c r="C118" s="2015"/>
      <c r="D118" s="2015"/>
      <c r="E118" s="2015"/>
      <c r="F118" s="2015"/>
      <c r="G118" s="2015"/>
      <c r="H118" s="2015"/>
      <c r="I118" s="2015"/>
      <c r="J118" s="2015"/>
      <c r="K118" s="2015"/>
      <c r="L118" s="2015"/>
      <c r="M118" s="2016"/>
    </row>
    <row r="119" spans="2:13" x14ac:dyDescent="0.25">
      <c r="B119" s="2007"/>
      <c r="C119" s="2007"/>
      <c r="D119" s="2007"/>
      <c r="E119" s="2007"/>
      <c r="F119" s="2007"/>
      <c r="G119" s="2007"/>
      <c r="H119" s="2007"/>
      <c r="I119" s="2007"/>
      <c r="J119" s="2007"/>
      <c r="K119" s="2007"/>
      <c r="L119" s="2007"/>
      <c r="M119" s="2007"/>
    </row>
    <row r="120" spans="2:13" x14ac:dyDescent="0.25">
      <c r="B120" s="2007"/>
      <c r="C120" s="2007"/>
      <c r="D120" s="2007"/>
      <c r="E120" s="2007"/>
      <c r="F120" s="2007"/>
      <c r="G120" s="2007"/>
      <c r="H120" s="2007"/>
      <c r="I120" s="2007"/>
      <c r="J120" s="2007"/>
      <c r="K120" s="2007"/>
      <c r="L120" s="2007"/>
      <c r="M120" s="2007"/>
    </row>
    <row r="121" spans="2:13" x14ac:dyDescent="0.25">
      <c r="B121" s="2007"/>
      <c r="C121" s="2007"/>
      <c r="D121" s="2007"/>
      <c r="E121" s="2007"/>
      <c r="F121" s="2007"/>
      <c r="G121" s="2007"/>
      <c r="H121" s="2007"/>
      <c r="I121" s="2007"/>
      <c r="J121" s="2007"/>
      <c r="K121" s="2007"/>
      <c r="L121" s="2007"/>
      <c r="M121" s="2007"/>
    </row>
    <row r="122" spans="2:13" x14ac:dyDescent="0.25">
      <c r="B122" s="2007"/>
      <c r="C122" s="2007"/>
      <c r="D122" s="2007"/>
      <c r="E122" s="2007"/>
      <c r="F122" s="2007"/>
      <c r="G122" s="2007"/>
      <c r="H122" s="2007"/>
      <c r="I122" s="2007"/>
      <c r="J122" s="2007"/>
      <c r="K122" s="2007"/>
      <c r="L122" s="2007"/>
      <c r="M122" s="2007"/>
    </row>
    <row r="123" spans="2:13" x14ac:dyDescent="0.25">
      <c r="B123" s="2007"/>
      <c r="C123" s="2007"/>
      <c r="D123" s="2007"/>
      <c r="E123" s="2007"/>
      <c r="F123" s="2007"/>
      <c r="G123" s="2007"/>
      <c r="H123" s="2007"/>
      <c r="I123" s="2007"/>
      <c r="J123" s="2007"/>
      <c r="K123" s="2007"/>
      <c r="L123" s="2007"/>
      <c r="M123" s="2007"/>
    </row>
    <row r="124" spans="2:13" x14ac:dyDescent="0.25">
      <c r="B124" s="2007"/>
      <c r="C124" s="2007"/>
      <c r="D124" s="2007"/>
      <c r="E124" s="2007"/>
      <c r="F124" s="2007"/>
      <c r="G124" s="2007"/>
      <c r="H124" s="2007"/>
      <c r="I124" s="2007"/>
      <c r="J124" s="2007"/>
      <c r="K124" s="2007"/>
      <c r="L124" s="2007"/>
      <c r="M124" s="2007"/>
    </row>
    <row r="125" spans="2:13" x14ac:dyDescent="0.25">
      <c r="B125" s="2007"/>
      <c r="C125" s="2007"/>
      <c r="D125" s="2007"/>
      <c r="E125" s="2007"/>
      <c r="F125" s="2007"/>
      <c r="G125" s="2007"/>
      <c r="H125" s="2007"/>
      <c r="I125" s="2007"/>
      <c r="J125" s="2007"/>
      <c r="K125" s="2007"/>
      <c r="L125" s="2007"/>
      <c r="M125" s="2007"/>
    </row>
    <row r="126" spans="2:13" x14ac:dyDescent="0.25">
      <c r="B126" s="2007"/>
      <c r="C126" s="2007"/>
      <c r="D126" s="2007"/>
      <c r="E126" s="2007"/>
      <c r="F126" s="2007"/>
      <c r="G126" s="2007"/>
      <c r="H126" s="2007"/>
      <c r="I126" s="2007"/>
      <c r="J126" s="2007"/>
      <c r="K126" s="2007"/>
      <c r="L126" s="2007"/>
      <c r="M126" s="2007"/>
    </row>
    <row r="127" spans="2:13" x14ac:dyDescent="0.25">
      <c r="B127" s="2007"/>
      <c r="C127" s="2007"/>
      <c r="D127" s="2007"/>
      <c r="E127" s="2007"/>
      <c r="F127" s="2007"/>
      <c r="G127" s="2007"/>
      <c r="H127" s="2007"/>
      <c r="I127" s="2007"/>
      <c r="J127" s="2007"/>
      <c r="K127" s="2007"/>
      <c r="L127" s="2007"/>
      <c r="M127" s="2007"/>
    </row>
    <row r="128" spans="2:13" x14ac:dyDescent="0.25">
      <c r="B128" s="2007"/>
      <c r="C128" s="2007"/>
      <c r="D128" s="2007"/>
      <c r="E128" s="2007"/>
      <c r="F128" s="2007"/>
      <c r="G128" s="2007"/>
      <c r="H128" s="2007"/>
      <c r="I128" s="2007"/>
      <c r="J128" s="2007"/>
      <c r="K128" s="2007"/>
      <c r="L128" s="2007"/>
      <c r="M128" s="2007"/>
    </row>
    <row r="129" spans="2:13" x14ac:dyDescent="0.25">
      <c r="B129" s="2007"/>
      <c r="C129" s="2007"/>
      <c r="D129" s="2007"/>
      <c r="E129" s="2007"/>
      <c r="F129" s="2007"/>
      <c r="G129" s="2007"/>
      <c r="H129" s="2007"/>
      <c r="I129" s="2007"/>
      <c r="J129" s="2007"/>
      <c r="K129" s="2007"/>
      <c r="L129" s="2007"/>
      <c r="M129" s="2007"/>
    </row>
    <row r="130" spans="2:13" x14ac:dyDescent="0.25">
      <c r="B130" s="2007"/>
      <c r="C130" s="2007"/>
      <c r="D130" s="2007"/>
      <c r="E130" s="2007"/>
      <c r="F130" s="2007"/>
      <c r="G130" s="2007"/>
      <c r="H130" s="2007"/>
      <c r="I130" s="2007"/>
      <c r="J130" s="2007"/>
      <c r="K130" s="2007"/>
      <c r="L130" s="2007"/>
      <c r="M130" s="2007"/>
    </row>
    <row r="131" spans="2:13" x14ac:dyDescent="0.25">
      <c r="B131" s="2007"/>
      <c r="C131" s="2007"/>
      <c r="D131" s="2007"/>
      <c r="E131" s="2007"/>
      <c r="F131" s="2007"/>
      <c r="G131" s="2007"/>
      <c r="H131" s="2007"/>
      <c r="I131" s="2007"/>
      <c r="J131" s="2007"/>
      <c r="K131" s="2007"/>
      <c r="L131" s="2007"/>
      <c r="M131" s="2007"/>
    </row>
    <row r="132" spans="2:13" x14ac:dyDescent="0.25">
      <c r="B132" s="2007"/>
      <c r="C132" s="2007"/>
      <c r="D132" s="2007"/>
      <c r="E132" s="2007"/>
      <c r="F132" s="2007"/>
      <c r="G132" s="2007"/>
      <c r="H132" s="2007"/>
      <c r="I132" s="2007"/>
      <c r="J132" s="2007"/>
      <c r="K132" s="2007"/>
      <c r="L132" s="2007"/>
      <c r="M132" s="2007"/>
    </row>
    <row r="133" spans="2:13" x14ac:dyDescent="0.25">
      <c r="B133" s="2007"/>
      <c r="C133" s="2007"/>
      <c r="D133" s="2007"/>
      <c r="E133" s="2007"/>
      <c r="F133" s="2007"/>
      <c r="G133" s="2007"/>
      <c r="H133" s="2007"/>
      <c r="I133" s="2007"/>
      <c r="J133" s="2007"/>
      <c r="K133" s="2007"/>
      <c r="L133" s="2007"/>
      <c r="M133" s="2007"/>
    </row>
    <row r="134" spans="2:13" x14ac:dyDescent="0.25">
      <c r="B134" s="2007"/>
      <c r="C134" s="2007"/>
      <c r="D134" s="2007"/>
      <c r="E134" s="2007"/>
      <c r="F134" s="2007"/>
      <c r="G134" s="2007"/>
      <c r="H134" s="2007"/>
      <c r="I134" s="2007"/>
      <c r="J134" s="2007"/>
      <c r="K134" s="2007"/>
      <c r="L134" s="2007"/>
      <c r="M134" s="2007"/>
    </row>
    <row r="135" spans="2:13" x14ac:dyDescent="0.25">
      <c r="B135" s="2007"/>
      <c r="C135" s="2007"/>
      <c r="D135" s="2007"/>
      <c r="E135" s="2007"/>
      <c r="F135" s="2007"/>
      <c r="G135" s="2007"/>
      <c r="H135" s="2007"/>
      <c r="I135" s="2007"/>
      <c r="J135" s="2007"/>
      <c r="K135" s="2007"/>
      <c r="L135" s="2007"/>
      <c r="M135" s="2007"/>
    </row>
    <row r="136" spans="2:13" x14ac:dyDescent="0.25">
      <c r="B136" s="2007"/>
      <c r="C136" s="2007"/>
      <c r="D136" s="2007"/>
      <c r="E136" s="2007"/>
      <c r="F136" s="2007"/>
      <c r="G136" s="2007"/>
      <c r="H136" s="2007"/>
      <c r="I136" s="2007"/>
      <c r="J136" s="2007"/>
      <c r="K136" s="2007"/>
      <c r="L136" s="2007"/>
      <c r="M136" s="2007"/>
    </row>
    <row r="137" spans="2:13" x14ac:dyDescent="0.25">
      <c r="B137" s="2007"/>
      <c r="C137" s="2007"/>
      <c r="D137" s="2007"/>
      <c r="E137" s="2007"/>
      <c r="F137" s="2007"/>
      <c r="G137" s="2007"/>
      <c r="H137" s="2007"/>
      <c r="I137" s="2007"/>
      <c r="J137" s="2007"/>
      <c r="K137" s="2007"/>
      <c r="L137" s="2007"/>
      <c r="M137" s="2007"/>
    </row>
    <row r="138" spans="2:13" x14ac:dyDescent="0.25">
      <c r="B138" s="708" t="s">
        <v>5387</v>
      </c>
    </row>
    <row r="139" spans="2:13" x14ac:dyDescent="0.25">
      <c r="B139" s="2010"/>
      <c r="C139" s="2010"/>
      <c r="D139" s="2010"/>
      <c r="E139" s="2010"/>
      <c r="F139" s="2010"/>
      <c r="G139" s="2010"/>
      <c r="H139" s="2010"/>
      <c r="I139" s="2010"/>
      <c r="J139" s="2010"/>
      <c r="K139" s="2010"/>
      <c r="L139" s="2010"/>
      <c r="M139" s="2010"/>
    </row>
    <row r="140" spans="2:13" x14ac:dyDescent="0.25">
      <c r="B140" s="2010"/>
      <c r="C140" s="2010"/>
      <c r="D140" s="2010"/>
      <c r="E140" s="2010"/>
      <c r="F140" s="2010"/>
      <c r="G140" s="2010"/>
      <c r="H140" s="2010"/>
      <c r="I140" s="2010"/>
      <c r="J140" s="2010"/>
      <c r="K140" s="2010"/>
      <c r="L140" s="2010"/>
      <c r="M140" s="2010"/>
    </row>
    <row r="141" spans="2:13" x14ac:dyDescent="0.25">
      <c r="B141" s="2010"/>
      <c r="C141" s="2010"/>
      <c r="D141" s="2010"/>
      <c r="E141" s="2010"/>
      <c r="F141" s="2010"/>
      <c r="G141" s="2010"/>
      <c r="H141" s="2010"/>
      <c r="I141" s="2010"/>
      <c r="J141" s="2010"/>
      <c r="K141" s="2010"/>
      <c r="L141" s="2010"/>
      <c r="M141" s="2010"/>
    </row>
    <row r="143" spans="2:13" ht="42" customHeight="1" x14ac:dyDescent="0.25">
      <c r="B143" s="2009"/>
      <c r="C143" s="2009"/>
      <c r="D143" s="2009"/>
      <c r="E143" s="2009" t="s">
        <v>5403</v>
      </c>
      <c r="F143" s="2009"/>
      <c r="G143" s="2018" t="s">
        <v>3781</v>
      </c>
      <c r="H143" s="2019"/>
      <c r="I143" s="2019"/>
      <c r="J143" s="2019"/>
      <c r="K143" s="2019"/>
      <c r="L143" s="2019"/>
      <c r="M143" s="2020"/>
    </row>
    <row r="144" spans="2:13" ht="31.5" customHeight="1" x14ac:dyDescent="0.25">
      <c r="B144" s="2014" t="str">
        <f>CONCATENATE("Gráfico generado de la Estación ",G143)</f>
        <v>Gráfico generado de la Estación Chalaco</v>
      </c>
      <c r="C144" s="2015"/>
      <c r="D144" s="2015"/>
      <c r="E144" s="2015"/>
      <c r="F144" s="2015"/>
      <c r="G144" s="2015"/>
      <c r="H144" s="2015"/>
      <c r="I144" s="2015"/>
      <c r="J144" s="2015"/>
      <c r="K144" s="2015"/>
      <c r="L144" s="2015"/>
      <c r="M144" s="2016"/>
    </row>
    <row r="145" spans="2:13" x14ac:dyDescent="0.25">
      <c r="B145" s="2007"/>
      <c r="C145" s="2007"/>
      <c r="D145" s="2007"/>
      <c r="E145" s="2007"/>
      <c r="F145" s="2007"/>
      <c r="G145" s="2007"/>
      <c r="H145" s="2007"/>
      <c r="I145" s="2007"/>
      <c r="J145" s="2007"/>
      <c r="K145" s="2007"/>
      <c r="L145" s="2007"/>
      <c r="M145" s="2007"/>
    </row>
    <row r="146" spans="2:13" x14ac:dyDescent="0.25">
      <c r="B146" s="2007"/>
      <c r="C146" s="2007"/>
      <c r="D146" s="2007"/>
      <c r="E146" s="2007"/>
      <c r="F146" s="2007"/>
      <c r="G146" s="2007"/>
      <c r="H146" s="2007"/>
      <c r="I146" s="2007"/>
      <c r="J146" s="2007"/>
      <c r="K146" s="2007"/>
      <c r="L146" s="2007"/>
      <c r="M146" s="2007"/>
    </row>
    <row r="147" spans="2:13" x14ac:dyDescent="0.25">
      <c r="B147" s="2007"/>
      <c r="C147" s="2007"/>
      <c r="D147" s="2007"/>
      <c r="E147" s="2007"/>
      <c r="F147" s="2007"/>
      <c r="G147" s="2007"/>
      <c r="H147" s="2007"/>
      <c r="I147" s="2007"/>
      <c r="J147" s="2007"/>
      <c r="K147" s="2007"/>
      <c r="L147" s="2007"/>
      <c r="M147" s="2007"/>
    </row>
    <row r="148" spans="2:13" x14ac:dyDescent="0.25">
      <c r="B148" s="2007"/>
      <c r="C148" s="2007"/>
      <c r="D148" s="2007"/>
      <c r="E148" s="2007"/>
      <c r="F148" s="2007"/>
      <c r="G148" s="2007"/>
      <c r="H148" s="2007"/>
      <c r="I148" s="2007"/>
      <c r="J148" s="2007"/>
      <c r="K148" s="2007"/>
      <c r="L148" s="2007"/>
      <c r="M148" s="2007"/>
    </row>
    <row r="149" spans="2:13" x14ac:dyDescent="0.25">
      <c r="B149" s="2007"/>
      <c r="C149" s="2007"/>
      <c r="D149" s="2007"/>
      <c r="E149" s="2007"/>
      <c r="F149" s="2007"/>
      <c r="G149" s="2007"/>
      <c r="H149" s="2007"/>
      <c r="I149" s="2007"/>
      <c r="J149" s="2007"/>
      <c r="K149" s="2007"/>
      <c r="L149" s="2007"/>
      <c r="M149" s="2007"/>
    </row>
    <row r="150" spans="2:13" x14ac:dyDescent="0.25">
      <c r="B150" s="2007"/>
      <c r="C150" s="2007"/>
      <c r="D150" s="2007"/>
      <c r="E150" s="2007"/>
      <c r="F150" s="2007"/>
      <c r="G150" s="2007"/>
      <c r="H150" s="2007"/>
      <c r="I150" s="2007"/>
      <c r="J150" s="2007"/>
      <c r="K150" s="2007"/>
      <c r="L150" s="2007"/>
      <c r="M150" s="2007"/>
    </row>
    <row r="151" spans="2:13" x14ac:dyDescent="0.25">
      <c r="B151" s="2007"/>
      <c r="C151" s="2007"/>
      <c r="D151" s="2007"/>
      <c r="E151" s="2007"/>
      <c r="F151" s="2007"/>
      <c r="G151" s="2007"/>
      <c r="H151" s="2007"/>
      <c r="I151" s="2007"/>
      <c r="J151" s="2007"/>
      <c r="K151" s="2007"/>
      <c r="L151" s="2007"/>
      <c r="M151" s="2007"/>
    </row>
    <row r="152" spans="2:13" x14ac:dyDescent="0.25">
      <c r="B152" s="2007"/>
      <c r="C152" s="2007"/>
      <c r="D152" s="2007"/>
      <c r="E152" s="2007"/>
      <c r="F152" s="2007"/>
      <c r="G152" s="2007"/>
      <c r="H152" s="2007"/>
      <c r="I152" s="2007"/>
      <c r="J152" s="2007"/>
      <c r="K152" s="2007"/>
      <c r="L152" s="2007"/>
      <c r="M152" s="2007"/>
    </row>
    <row r="153" spans="2:13" x14ac:dyDescent="0.25">
      <c r="B153" s="2007"/>
      <c r="C153" s="2007"/>
      <c r="D153" s="2007"/>
      <c r="E153" s="2007"/>
      <c r="F153" s="2007"/>
      <c r="G153" s="2007"/>
      <c r="H153" s="2007"/>
      <c r="I153" s="2007"/>
      <c r="J153" s="2007"/>
      <c r="K153" s="2007"/>
      <c r="L153" s="2007"/>
      <c r="M153" s="2007"/>
    </row>
    <row r="154" spans="2:13" x14ac:dyDescent="0.25">
      <c r="B154" s="2007"/>
      <c r="C154" s="2007"/>
      <c r="D154" s="2007"/>
      <c r="E154" s="2007"/>
      <c r="F154" s="2007"/>
      <c r="G154" s="2007"/>
      <c r="H154" s="2007"/>
      <c r="I154" s="2007"/>
      <c r="J154" s="2007"/>
      <c r="K154" s="2007"/>
      <c r="L154" s="2007"/>
      <c r="M154" s="2007"/>
    </row>
    <row r="155" spans="2:13" x14ac:dyDescent="0.25">
      <c r="B155" s="2007"/>
      <c r="C155" s="2007"/>
      <c r="D155" s="2007"/>
      <c r="E155" s="2007"/>
      <c r="F155" s="2007"/>
      <c r="G155" s="2007"/>
      <c r="H155" s="2007"/>
      <c r="I155" s="2007"/>
      <c r="J155" s="2007"/>
      <c r="K155" s="2007"/>
      <c r="L155" s="2007"/>
      <c r="M155" s="2007"/>
    </row>
    <row r="156" spans="2:13" x14ac:dyDescent="0.25">
      <c r="B156" s="2007"/>
      <c r="C156" s="2007"/>
      <c r="D156" s="2007"/>
      <c r="E156" s="2007"/>
      <c r="F156" s="2007"/>
      <c r="G156" s="2007"/>
      <c r="H156" s="2007"/>
      <c r="I156" s="2007"/>
      <c r="J156" s="2007"/>
      <c r="K156" s="2007"/>
      <c r="L156" s="2007"/>
      <c r="M156" s="2007"/>
    </row>
    <row r="157" spans="2:13" x14ac:dyDescent="0.25">
      <c r="B157" s="2007"/>
      <c r="C157" s="2007"/>
      <c r="D157" s="2007"/>
      <c r="E157" s="2007"/>
      <c r="F157" s="2007"/>
      <c r="G157" s="2007"/>
      <c r="H157" s="2007"/>
      <c r="I157" s="2007"/>
      <c r="J157" s="2007"/>
      <c r="K157" s="2007"/>
      <c r="L157" s="2007"/>
      <c r="M157" s="2007"/>
    </row>
    <row r="158" spans="2:13" x14ac:dyDescent="0.25">
      <c r="B158" s="2007"/>
      <c r="C158" s="2007"/>
      <c r="D158" s="2007"/>
      <c r="E158" s="2007"/>
      <c r="F158" s="2007"/>
      <c r="G158" s="2007"/>
      <c r="H158" s="2007"/>
      <c r="I158" s="2007"/>
      <c r="J158" s="2007"/>
      <c r="K158" s="2007"/>
      <c r="L158" s="2007"/>
      <c r="M158" s="2007"/>
    </row>
    <row r="159" spans="2:13" x14ac:dyDescent="0.25">
      <c r="B159" s="2007"/>
      <c r="C159" s="2007"/>
      <c r="D159" s="2007"/>
      <c r="E159" s="2007"/>
      <c r="F159" s="2007"/>
      <c r="G159" s="2007"/>
      <c r="H159" s="2007"/>
      <c r="I159" s="2007"/>
      <c r="J159" s="2007"/>
      <c r="K159" s="2007"/>
      <c r="L159" s="2007"/>
      <c r="M159" s="2007"/>
    </row>
    <row r="160" spans="2:13" x14ac:dyDescent="0.25">
      <c r="B160" s="2007"/>
      <c r="C160" s="2007"/>
      <c r="D160" s="2007"/>
      <c r="E160" s="2007"/>
      <c r="F160" s="2007"/>
      <c r="G160" s="2007"/>
      <c r="H160" s="2007"/>
      <c r="I160" s="2007"/>
      <c r="J160" s="2007"/>
      <c r="K160" s="2007"/>
      <c r="L160" s="2007"/>
      <c r="M160" s="2007"/>
    </row>
    <row r="161" spans="2:13" x14ac:dyDescent="0.25">
      <c r="B161" s="2007"/>
      <c r="C161" s="2007"/>
      <c r="D161" s="2007"/>
      <c r="E161" s="2007"/>
      <c r="F161" s="2007"/>
      <c r="G161" s="2007"/>
      <c r="H161" s="2007"/>
      <c r="I161" s="2007"/>
      <c r="J161" s="2007"/>
      <c r="K161" s="2007"/>
      <c r="L161" s="2007"/>
      <c r="M161" s="2007"/>
    </row>
    <row r="162" spans="2:13" x14ac:dyDescent="0.25">
      <c r="B162" s="2007"/>
      <c r="C162" s="2007"/>
      <c r="D162" s="2007"/>
      <c r="E162" s="2007"/>
      <c r="F162" s="2007"/>
      <c r="G162" s="2007"/>
      <c r="H162" s="2007"/>
      <c r="I162" s="2007"/>
      <c r="J162" s="2007"/>
      <c r="K162" s="2007"/>
      <c r="L162" s="2007"/>
      <c r="M162" s="2007"/>
    </row>
    <row r="163" spans="2:13" x14ac:dyDescent="0.25">
      <c r="B163" s="2007"/>
      <c r="C163" s="2007"/>
      <c r="D163" s="2007"/>
      <c r="E163" s="2007"/>
      <c r="F163" s="2007"/>
      <c r="G163" s="2007"/>
      <c r="H163" s="2007"/>
      <c r="I163" s="2007"/>
      <c r="J163" s="2007"/>
      <c r="K163" s="2007"/>
      <c r="L163" s="2007"/>
      <c r="M163" s="2007"/>
    </row>
    <row r="164" spans="2:13" x14ac:dyDescent="0.25">
      <c r="B164" s="708" t="s">
        <v>5387</v>
      </c>
    </row>
    <row r="165" spans="2:13" x14ac:dyDescent="0.25">
      <c r="B165" s="2021"/>
      <c r="C165" s="2022"/>
      <c r="D165" s="2022"/>
      <c r="E165" s="2022"/>
      <c r="F165" s="2022"/>
      <c r="G165" s="2022"/>
      <c r="H165" s="2022"/>
      <c r="I165" s="2022"/>
      <c r="J165" s="2022"/>
      <c r="K165" s="2022"/>
      <c r="L165" s="2022"/>
      <c r="M165" s="2023"/>
    </row>
    <row r="166" spans="2:13" x14ac:dyDescent="0.25">
      <c r="B166" s="2024"/>
      <c r="C166" s="2025"/>
      <c r="D166" s="2025"/>
      <c r="E166" s="2025"/>
      <c r="F166" s="2025"/>
      <c r="G166" s="2025"/>
      <c r="H166" s="2025"/>
      <c r="I166" s="2025"/>
      <c r="J166" s="2025"/>
      <c r="K166" s="2025"/>
      <c r="L166" s="2025"/>
      <c r="M166" s="2026"/>
    </row>
    <row r="167" spans="2:13" x14ac:dyDescent="0.25">
      <c r="B167" s="2027"/>
      <c r="C167" s="2028"/>
      <c r="D167" s="2028"/>
      <c r="E167" s="2028"/>
      <c r="F167" s="2028"/>
      <c r="G167" s="2028"/>
      <c r="H167" s="2028"/>
      <c r="I167" s="2028"/>
      <c r="J167" s="2028"/>
      <c r="K167" s="2028"/>
      <c r="L167" s="2028"/>
      <c r="M167" s="2029"/>
    </row>
    <row r="168" spans="2:13" ht="7.5" customHeight="1" x14ac:dyDescent="0.25"/>
    <row r="169" spans="2:13" ht="42" customHeight="1" x14ac:dyDescent="0.25">
      <c r="B169" s="2009"/>
      <c r="C169" s="2009"/>
      <c r="D169" s="2009"/>
      <c r="E169" s="2009" t="s">
        <v>5403</v>
      </c>
      <c r="F169" s="2009"/>
      <c r="G169" s="2018" t="s">
        <v>2098</v>
      </c>
      <c r="H169" s="2019"/>
      <c r="I169" s="2019"/>
      <c r="J169" s="2019"/>
      <c r="K169" s="2019"/>
      <c r="L169" s="2019"/>
      <c r="M169" s="2020"/>
    </row>
    <row r="170" spans="2:13" ht="31.5" customHeight="1" x14ac:dyDescent="0.25">
      <c r="B170" s="2014" t="str">
        <f>CONCATENATE("Gráfico generado de la Estación ",G169)</f>
        <v>Gráfico generado de la Estación San Pedro</v>
      </c>
      <c r="C170" s="2015"/>
      <c r="D170" s="2015"/>
      <c r="E170" s="2015"/>
      <c r="F170" s="2015"/>
      <c r="G170" s="2015"/>
      <c r="H170" s="2015"/>
      <c r="I170" s="2015"/>
      <c r="J170" s="2015"/>
      <c r="K170" s="2015"/>
      <c r="L170" s="2015"/>
      <c r="M170" s="2016"/>
    </row>
    <row r="171" spans="2:13" x14ac:dyDescent="0.25">
      <c r="B171" s="2007"/>
      <c r="C171" s="2007"/>
      <c r="D171" s="2007"/>
      <c r="E171" s="2007"/>
      <c r="F171" s="2007"/>
      <c r="G171" s="2007"/>
      <c r="H171" s="2007"/>
      <c r="I171" s="2007"/>
      <c r="J171" s="2007"/>
      <c r="K171" s="2007"/>
      <c r="L171" s="2007"/>
      <c r="M171" s="2007"/>
    </row>
    <row r="172" spans="2:13" x14ac:dyDescent="0.25">
      <c r="B172" s="2007"/>
      <c r="C172" s="2007"/>
      <c r="D172" s="2007"/>
      <c r="E172" s="2007"/>
      <c r="F172" s="2007"/>
      <c r="G172" s="2007"/>
      <c r="H172" s="2007"/>
      <c r="I172" s="2007"/>
      <c r="J172" s="2007"/>
      <c r="K172" s="2007"/>
      <c r="L172" s="2007"/>
      <c r="M172" s="2007"/>
    </row>
    <row r="173" spans="2:13" x14ac:dyDescent="0.25">
      <c r="B173" s="2007"/>
      <c r="C173" s="2007"/>
      <c r="D173" s="2007"/>
      <c r="E173" s="2007"/>
      <c r="F173" s="2007"/>
      <c r="G173" s="2007"/>
      <c r="H173" s="2007"/>
      <c r="I173" s="2007"/>
      <c r="J173" s="2007"/>
      <c r="K173" s="2007"/>
      <c r="L173" s="2007"/>
      <c r="M173" s="2007"/>
    </row>
    <row r="174" spans="2:13" x14ac:dyDescent="0.25">
      <c r="B174" s="2007"/>
      <c r="C174" s="2007"/>
      <c r="D174" s="2007"/>
      <c r="E174" s="2007"/>
      <c r="F174" s="2007"/>
      <c r="G174" s="2007"/>
      <c r="H174" s="2007"/>
      <c r="I174" s="2007"/>
      <c r="J174" s="2007"/>
      <c r="K174" s="2007"/>
      <c r="L174" s="2007"/>
      <c r="M174" s="2007"/>
    </row>
    <row r="175" spans="2:13" x14ac:dyDescent="0.25">
      <c r="B175" s="2007"/>
      <c r="C175" s="2007"/>
      <c r="D175" s="2007"/>
      <c r="E175" s="2007"/>
      <c r="F175" s="2007"/>
      <c r="G175" s="2007"/>
      <c r="H175" s="2007"/>
      <c r="I175" s="2007"/>
      <c r="J175" s="2007"/>
      <c r="K175" s="2007"/>
      <c r="L175" s="2007"/>
      <c r="M175" s="2007"/>
    </row>
    <row r="176" spans="2:13" x14ac:dyDescent="0.25">
      <c r="B176" s="2007"/>
      <c r="C176" s="2007"/>
      <c r="D176" s="2007"/>
      <c r="E176" s="2007"/>
      <c r="F176" s="2007"/>
      <c r="G176" s="2007"/>
      <c r="H176" s="2007"/>
      <c r="I176" s="2007"/>
      <c r="J176" s="2007"/>
      <c r="K176" s="2007"/>
      <c r="L176" s="2007"/>
      <c r="M176" s="2007"/>
    </row>
    <row r="177" spans="2:13" x14ac:dyDescent="0.25">
      <c r="B177" s="2007"/>
      <c r="C177" s="2007"/>
      <c r="D177" s="2007"/>
      <c r="E177" s="2007"/>
      <c r="F177" s="2007"/>
      <c r="G177" s="2007"/>
      <c r="H177" s="2007"/>
      <c r="I177" s="2007"/>
      <c r="J177" s="2007"/>
      <c r="K177" s="2007"/>
      <c r="L177" s="2007"/>
      <c r="M177" s="2007"/>
    </row>
    <row r="178" spans="2:13" x14ac:dyDescent="0.25">
      <c r="B178" s="2007"/>
      <c r="C178" s="2007"/>
      <c r="D178" s="2007"/>
      <c r="E178" s="2007"/>
      <c r="F178" s="2007"/>
      <c r="G178" s="2007"/>
      <c r="H178" s="2007"/>
      <c r="I178" s="2007"/>
      <c r="J178" s="2007"/>
      <c r="K178" s="2007"/>
      <c r="L178" s="2007"/>
      <c r="M178" s="2007"/>
    </row>
    <row r="179" spans="2:13" x14ac:dyDescent="0.25">
      <c r="B179" s="2007"/>
      <c r="C179" s="2007"/>
      <c r="D179" s="2007"/>
      <c r="E179" s="2007"/>
      <c r="F179" s="2007"/>
      <c r="G179" s="2007"/>
      <c r="H179" s="2007"/>
      <c r="I179" s="2007"/>
      <c r="J179" s="2007"/>
      <c r="K179" s="2007"/>
      <c r="L179" s="2007"/>
      <c r="M179" s="2007"/>
    </row>
    <row r="180" spans="2:13" x14ac:dyDescent="0.25">
      <c r="B180" s="2007"/>
      <c r="C180" s="2007"/>
      <c r="D180" s="2007"/>
      <c r="E180" s="2007"/>
      <c r="F180" s="2007"/>
      <c r="G180" s="2007"/>
      <c r="H180" s="2007"/>
      <c r="I180" s="2007"/>
      <c r="J180" s="2007"/>
      <c r="K180" s="2007"/>
      <c r="L180" s="2007"/>
      <c r="M180" s="2007"/>
    </row>
    <row r="181" spans="2:13" x14ac:dyDescent="0.25">
      <c r="B181" s="2007"/>
      <c r="C181" s="2007"/>
      <c r="D181" s="2007"/>
      <c r="E181" s="2007"/>
      <c r="F181" s="2007"/>
      <c r="G181" s="2007"/>
      <c r="H181" s="2007"/>
      <c r="I181" s="2007"/>
      <c r="J181" s="2007"/>
      <c r="K181" s="2007"/>
      <c r="L181" s="2007"/>
      <c r="M181" s="2007"/>
    </row>
    <row r="182" spans="2:13" x14ac:dyDescent="0.25">
      <c r="B182" s="2007"/>
      <c r="C182" s="2007"/>
      <c r="D182" s="2007"/>
      <c r="E182" s="2007"/>
      <c r="F182" s="2007"/>
      <c r="G182" s="2007"/>
      <c r="H182" s="2007"/>
      <c r="I182" s="2007"/>
      <c r="J182" s="2007"/>
      <c r="K182" s="2007"/>
      <c r="L182" s="2007"/>
      <c r="M182" s="2007"/>
    </row>
    <row r="183" spans="2:13" x14ac:dyDescent="0.25">
      <c r="B183" s="2007"/>
      <c r="C183" s="2007"/>
      <c r="D183" s="2007"/>
      <c r="E183" s="2007"/>
      <c r="F183" s="2007"/>
      <c r="G183" s="2007"/>
      <c r="H183" s="2007"/>
      <c r="I183" s="2007"/>
      <c r="J183" s="2007"/>
      <c r="K183" s="2007"/>
      <c r="L183" s="2007"/>
      <c r="M183" s="2007"/>
    </row>
    <row r="184" spans="2:13" x14ac:dyDescent="0.25">
      <c r="B184" s="2007"/>
      <c r="C184" s="2007"/>
      <c r="D184" s="2007"/>
      <c r="E184" s="2007"/>
      <c r="F184" s="2007"/>
      <c r="G184" s="2007"/>
      <c r="H184" s="2007"/>
      <c r="I184" s="2007"/>
      <c r="J184" s="2007"/>
      <c r="K184" s="2007"/>
      <c r="L184" s="2007"/>
      <c r="M184" s="2007"/>
    </row>
    <row r="185" spans="2:13" x14ac:dyDescent="0.25">
      <c r="B185" s="2007"/>
      <c r="C185" s="2007"/>
      <c r="D185" s="2007"/>
      <c r="E185" s="2007"/>
      <c r="F185" s="2007"/>
      <c r="G185" s="2007"/>
      <c r="H185" s="2007"/>
      <c r="I185" s="2007"/>
      <c r="J185" s="2007"/>
      <c r="K185" s="2007"/>
      <c r="L185" s="2007"/>
      <c r="M185" s="2007"/>
    </row>
    <row r="186" spans="2:13" x14ac:dyDescent="0.25">
      <c r="B186" s="2007"/>
      <c r="C186" s="2007"/>
      <c r="D186" s="2007"/>
      <c r="E186" s="2007"/>
      <c r="F186" s="2007"/>
      <c r="G186" s="2007"/>
      <c r="H186" s="2007"/>
      <c r="I186" s="2007"/>
      <c r="J186" s="2007"/>
      <c r="K186" s="2007"/>
      <c r="L186" s="2007"/>
      <c r="M186" s="2007"/>
    </row>
    <row r="187" spans="2:13" x14ac:dyDescent="0.25">
      <c r="B187" s="2007"/>
      <c r="C187" s="2007"/>
      <c r="D187" s="2007"/>
      <c r="E187" s="2007"/>
      <c r="F187" s="2007"/>
      <c r="G187" s="2007"/>
      <c r="H187" s="2007"/>
      <c r="I187" s="2007"/>
      <c r="J187" s="2007"/>
      <c r="K187" s="2007"/>
      <c r="L187" s="2007"/>
      <c r="M187" s="2007"/>
    </row>
    <row r="188" spans="2:13" x14ac:dyDescent="0.25">
      <c r="B188" s="2007"/>
      <c r="C188" s="2007"/>
      <c r="D188" s="2007"/>
      <c r="E188" s="2007"/>
      <c r="F188" s="2007"/>
      <c r="G188" s="2007"/>
      <c r="H188" s="2007"/>
      <c r="I188" s="2007"/>
      <c r="J188" s="2007"/>
      <c r="K188" s="2007"/>
      <c r="L188" s="2007"/>
      <c r="M188" s="2007"/>
    </row>
    <row r="189" spans="2:13" x14ac:dyDescent="0.25">
      <c r="B189" s="2007"/>
      <c r="C189" s="2007"/>
      <c r="D189" s="2007"/>
      <c r="E189" s="2007"/>
      <c r="F189" s="2007"/>
      <c r="G189" s="2007"/>
      <c r="H189" s="2007"/>
      <c r="I189" s="2007"/>
      <c r="J189" s="2007"/>
      <c r="K189" s="2007"/>
      <c r="L189" s="2007"/>
      <c r="M189" s="2007"/>
    </row>
    <row r="190" spans="2:13" x14ac:dyDescent="0.25">
      <c r="B190" s="708" t="s">
        <v>5387</v>
      </c>
    </row>
    <row r="191" spans="2:13" x14ac:dyDescent="0.25">
      <c r="B191" s="2021"/>
      <c r="C191" s="2022"/>
      <c r="D191" s="2022"/>
      <c r="E191" s="2022"/>
      <c r="F191" s="2022"/>
      <c r="G191" s="2022"/>
      <c r="H191" s="2022"/>
      <c r="I191" s="2022"/>
      <c r="J191" s="2022"/>
      <c r="K191" s="2022"/>
      <c r="L191" s="2022"/>
      <c r="M191" s="2023"/>
    </row>
    <row r="192" spans="2:13" x14ac:dyDescent="0.25">
      <c r="B192" s="2024"/>
      <c r="C192" s="2025"/>
      <c r="D192" s="2025"/>
      <c r="E192" s="2025"/>
      <c r="F192" s="2025"/>
      <c r="G192" s="2025"/>
      <c r="H192" s="2025"/>
      <c r="I192" s="2025"/>
      <c r="J192" s="2025"/>
      <c r="K192" s="2025"/>
      <c r="L192" s="2025"/>
      <c r="M192" s="2026"/>
    </row>
    <row r="193" spans="2:13" x14ac:dyDescent="0.25">
      <c r="B193" s="2027"/>
      <c r="C193" s="2028"/>
      <c r="D193" s="2028"/>
      <c r="E193" s="2028"/>
      <c r="F193" s="2028"/>
      <c r="G193" s="2028"/>
      <c r="H193" s="2028"/>
      <c r="I193" s="2028"/>
      <c r="J193" s="2028"/>
      <c r="K193" s="2028"/>
      <c r="L193" s="2028"/>
      <c r="M193" s="2029"/>
    </row>
    <row r="194" spans="2:13" ht="7.5" customHeight="1" x14ac:dyDescent="0.25"/>
    <row r="195" spans="2:13" ht="42" customHeight="1" x14ac:dyDescent="0.25">
      <c r="B195" s="2009"/>
      <c r="C195" s="2009"/>
      <c r="D195" s="2009"/>
      <c r="E195" s="2009" t="s">
        <v>5403</v>
      </c>
      <c r="F195" s="2009"/>
      <c r="G195" s="2018" t="s">
        <v>3735</v>
      </c>
      <c r="H195" s="2019"/>
      <c r="I195" s="2019"/>
      <c r="J195" s="2019"/>
      <c r="K195" s="2019"/>
      <c r="L195" s="2019"/>
      <c r="M195" s="2020"/>
    </row>
    <row r="196" spans="2:13" ht="31.5" customHeight="1" x14ac:dyDescent="0.25">
      <c r="B196" s="2014" t="str">
        <f>CONCATENATE("Gráfico generado de la Estación ",G195)</f>
        <v>Gráfico generado de la Estación Tambo Grande</v>
      </c>
      <c r="C196" s="2015"/>
      <c r="D196" s="2015"/>
      <c r="E196" s="2015"/>
      <c r="F196" s="2015"/>
      <c r="G196" s="2015"/>
      <c r="H196" s="2015"/>
      <c r="I196" s="2015"/>
      <c r="J196" s="2015"/>
      <c r="K196" s="2015"/>
      <c r="L196" s="2015"/>
      <c r="M196" s="2016"/>
    </row>
    <row r="197" spans="2:13" x14ac:dyDescent="0.25">
      <c r="B197" s="2007"/>
      <c r="C197" s="2007"/>
      <c r="D197" s="2007"/>
      <c r="E197" s="2007"/>
      <c r="F197" s="2007"/>
      <c r="G197" s="2007"/>
      <c r="H197" s="2007"/>
      <c r="I197" s="2007"/>
      <c r="J197" s="2007"/>
      <c r="K197" s="2007"/>
      <c r="L197" s="2007"/>
      <c r="M197" s="2007"/>
    </row>
    <row r="198" spans="2:13" x14ac:dyDescent="0.25">
      <c r="B198" s="2007"/>
      <c r="C198" s="2007"/>
      <c r="D198" s="2007"/>
      <c r="E198" s="2007"/>
      <c r="F198" s="2007"/>
      <c r="G198" s="2007"/>
      <c r="H198" s="2007"/>
      <c r="I198" s="2007"/>
      <c r="J198" s="2007"/>
      <c r="K198" s="2007"/>
      <c r="L198" s="2007"/>
      <c r="M198" s="2007"/>
    </row>
    <row r="199" spans="2:13" x14ac:dyDescent="0.25">
      <c r="B199" s="2007"/>
      <c r="C199" s="2007"/>
      <c r="D199" s="2007"/>
      <c r="E199" s="2007"/>
      <c r="F199" s="2007"/>
      <c r="G199" s="2007"/>
      <c r="H199" s="2007"/>
      <c r="I199" s="2007"/>
      <c r="J199" s="2007"/>
      <c r="K199" s="2007"/>
      <c r="L199" s="2007"/>
      <c r="M199" s="2007"/>
    </row>
    <row r="200" spans="2:13" x14ac:dyDescent="0.25">
      <c r="B200" s="2007"/>
      <c r="C200" s="2007"/>
      <c r="D200" s="2007"/>
      <c r="E200" s="2007"/>
      <c r="F200" s="2007"/>
      <c r="G200" s="2007"/>
      <c r="H200" s="2007"/>
      <c r="I200" s="2007"/>
      <c r="J200" s="2007"/>
      <c r="K200" s="2007"/>
      <c r="L200" s="2007"/>
      <c r="M200" s="2007"/>
    </row>
    <row r="201" spans="2:13" x14ac:dyDescent="0.25">
      <c r="B201" s="2007"/>
      <c r="C201" s="2007"/>
      <c r="D201" s="2007"/>
      <c r="E201" s="2007"/>
      <c r="F201" s="2007"/>
      <c r="G201" s="2007"/>
      <c r="H201" s="2007"/>
      <c r="I201" s="2007"/>
      <c r="J201" s="2007"/>
      <c r="K201" s="2007"/>
      <c r="L201" s="2007"/>
      <c r="M201" s="2007"/>
    </row>
    <row r="202" spans="2:13" x14ac:dyDescent="0.25">
      <c r="B202" s="2007"/>
      <c r="C202" s="2007"/>
      <c r="D202" s="2007"/>
      <c r="E202" s="2007"/>
      <c r="F202" s="2007"/>
      <c r="G202" s="2007"/>
      <c r="H202" s="2007"/>
      <c r="I202" s="2007"/>
      <c r="J202" s="2007"/>
      <c r="K202" s="2007"/>
      <c r="L202" s="2007"/>
      <c r="M202" s="2007"/>
    </row>
    <row r="203" spans="2:13" x14ac:dyDescent="0.25">
      <c r="B203" s="2007"/>
      <c r="C203" s="2007"/>
      <c r="D203" s="2007"/>
      <c r="E203" s="2007"/>
      <c r="F203" s="2007"/>
      <c r="G203" s="2007"/>
      <c r="H203" s="2007"/>
      <c r="I203" s="2007"/>
      <c r="J203" s="2007"/>
      <c r="K203" s="2007"/>
      <c r="L203" s="2007"/>
      <c r="M203" s="2007"/>
    </row>
    <row r="204" spans="2:13" x14ac:dyDescent="0.25">
      <c r="B204" s="2007"/>
      <c r="C204" s="2007"/>
      <c r="D204" s="2007"/>
      <c r="E204" s="2007"/>
      <c r="F204" s="2007"/>
      <c r="G204" s="2007"/>
      <c r="H204" s="2007"/>
      <c r="I204" s="2007"/>
      <c r="J204" s="2007"/>
      <c r="K204" s="2007"/>
      <c r="L204" s="2007"/>
      <c r="M204" s="2007"/>
    </row>
    <row r="205" spans="2:13" x14ac:dyDescent="0.25">
      <c r="B205" s="2007"/>
      <c r="C205" s="2007"/>
      <c r="D205" s="2007"/>
      <c r="E205" s="2007"/>
      <c r="F205" s="2007"/>
      <c r="G205" s="2007"/>
      <c r="H205" s="2007"/>
      <c r="I205" s="2007"/>
      <c r="J205" s="2007"/>
      <c r="K205" s="2007"/>
      <c r="L205" s="2007"/>
      <c r="M205" s="2007"/>
    </row>
    <row r="206" spans="2:13" x14ac:dyDescent="0.25">
      <c r="B206" s="2007"/>
      <c r="C206" s="2007"/>
      <c r="D206" s="2007"/>
      <c r="E206" s="2007"/>
      <c r="F206" s="2007"/>
      <c r="G206" s="2007"/>
      <c r="H206" s="2007"/>
      <c r="I206" s="2007"/>
      <c r="J206" s="2007"/>
      <c r="K206" s="2007"/>
      <c r="L206" s="2007"/>
      <c r="M206" s="2007"/>
    </row>
    <row r="207" spans="2:13" x14ac:dyDescent="0.25">
      <c r="B207" s="2007"/>
      <c r="C207" s="2007"/>
      <c r="D207" s="2007"/>
      <c r="E207" s="2007"/>
      <c r="F207" s="2007"/>
      <c r="G207" s="2007"/>
      <c r="H207" s="2007"/>
      <c r="I207" s="2007"/>
      <c r="J207" s="2007"/>
      <c r="K207" s="2007"/>
      <c r="L207" s="2007"/>
      <c r="M207" s="2007"/>
    </row>
    <row r="208" spans="2:13" x14ac:dyDescent="0.25">
      <c r="B208" s="2007"/>
      <c r="C208" s="2007"/>
      <c r="D208" s="2007"/>
      <c r="E208" s="2007"/>
      <c r="F208" s="2007"/>
      <c r="G208" s="2007"/>
      <c r="H208" s="2007"/>
      <c r="I208" s="2007"/>
      <c r="J208" s="2007"/>
      <c r="K208" s="2007"/>
      <c r="L208" s="2007"/>
      <c r="M208" s="2007"/>
    </row>
    <row r="209" spans="2:13" x14ac:dyDescent="0.25">
      <c r="B209" s="2007"/>
      <c r="C209" s="2007"/>
      <c r="D209" s="2007"/>
      <c r="E209" s="2007"/>
      <c r="F209" s="2007"/>
      <c r="G209" s="2007"/>
      <c r="H209" s="2007"/>
      <c r="I209" s="2007"/>
      <c r="J209" s="2007"/>
      <c r="K209" s="2007"/>
      <c r="L209" s="2007"/>
      <c r="M209" s="2007"/>
    </row>
    <row r="210" spans="2:13" x14ac:dyDescent="0.25">
      <c r="B210" s="2007"/>
      <c r="C210" s="2007"/>
      <c r="D210" s="2007"/>
      <c r="E210" s="2007"/>
      <c r="F210" s="2007"/>
      <c r="G210" s="2007"/>
      <c r="H210" s="2007"/>
      <c r="I210" s="2007"/>
      <c r="J210" s="2007"/>
      <c r="K210" s="2007"/>
      <c r="L210" s="2007"/>
      <c r="M210" s="2007"/>
    </row>
    <row r="211" spans="2:13" x14ac:dyDescent="0.25">
      <c r="B211" s="2007"/>
      <c r="C211" s="2007"/>
      <c r="D211" s="2007"/>
      <c r="E211" s="2007"/>
      <c r="F211" s="2007"/>
      <c r="G211" s="2007"/>
      <c r="H211" s="2007"/>
      <c r="I211" s="2007"/>
      <c r="J211" s="2007"/>
      <c r="K211" s="2007"/>
      <c r="L211" s="2007"/>
      <c r="M211" s="2007"/>
    </row>
    <row r="212" spans="2:13" x14ac:dyDescent="0.25">
      <c r="B212" s="2007"/>
      <c r="C212" s="2007"/>
      <c r="D212" s="2007"/>
      <c r="E212" s="2007"/>
      <c r="F212" s="2007"/>
      <c r="G212" s="2007"/>
      <c r="H212" s="2007"/>
      <c r="I212" s="2007"/>
      <c r="J212" s="2007"/>
      <c r="K212" s="2007"/>
      <c r="L212" s="2007"/>
      <c r="M212" s="2007"/>
    </row>
    <row r="213" spans="2:13" x14ac:dyDescent="0.25">
      <c r="B213" s="2007"/>
      <c r="C213" s="2007"/>
      <c r="D213" s="2007"/>
      <c r="E213" s="2007"/>
      <c r="F213" s="2007"/>
      <c r="G213" s="2007"/>
      <c r="H213" s="2007"/>
      <c r="I213" s="2007"/>
      <c r="J213" s="2007"/>
      <c r="K213" s="2007"/>
      <c r="L213" s="2007"/>
      <c r="M213" s="2007"/>
    </row>
    <row r="214" spans="2:13" x14ac:dyDescent="0.25">
      <c r="B214" s="2007"/>
      <c r="C214" s="2007"/>
      <c r="D214" s="2007"/>
      <c r="E214" s="2007"/>
      <c r="F214" s="2007"/>
      <c r="G214" s="2007"/>
      <c r="H214" s="2007"/>
      <c r="I214" s="2007"/>
      <c r="J214" s="2007"/>
      <c r="K214" s="2007"/>
      <c r="L214" s="2007"/>
      <c r="M214" s="2007"/>
    </row>
    <row r="215" spans="2:13" x14ac:dyDescent="0.25">
      <c r="B215" s="2007"/>
      <c r="C215" s="2007"/>
      <c r="D215" s="2007"/>
      <c r="E215" s="2007"/>
      <c r="F215" s="2007"/>
      <c r="G215" s="2007"/>
      <c r="H215" s="2007"/>
      <c r="I215" s="2007"/>
      <c r="J215" s="2007"/>
      <c r="K215" s="2007"/>
      <c r="L215" s="2007"/>
      <c r="M215" s="2007"/>
    </row>
    <row r="216" spans="2:13" x14ac:dyDescent="0.25">
      <c r="B216" s="708" t="s">
        <v>5387</v>
      </c>
    </row>
    <row r="217" spans="2:13" x14ac:dyDescent="0.25">
      <c r="B217" s="2021"/>
      <c r="C217" s="2022"/>
      <c r="D217" s="2022"/>
      <c r="E217" s="2022"/>
      <c r="F217" s="2022"/>
      <c r="G217" s="2022"/>
      <c r="H217" s="2022"/>
      <c r="I217" s="2022"/>
      <c r="J217" s="2022"/>
      <c r="K217" s="2022"/>
      <c r="L217" s="2022"/>
      <c r="M217" s="2023"/>
    </row>
    <row r="218" spans="2:13" x14ac:dyDescent="0.25">
      <c r="B218" s="2024"/>
      <c r="C218" s="2025"/>
      <c r="D218" s="2025"/>
      <c r="E218" s="2025"/>
      <c r="F218" s="2025"/>
      <c r="G218" s="2025"/>
      <c r="H218" s="2025"/>
      <c r="I218" s="2025"/>
      <c r="J218" s="2025"/>
      <c r="K218" s="2025"/>
      <c r="L218" s="2025"/>
      <c r="M218" s="2026"/>
    </row>
    <row r="219" spans="2:13" x14ac:dyDescent="0.25">
      <c r="B219" s="2027"/>
      <c r="C219" s="2028"/>
      <c r="D219" s="2028"/>
      <c r="E219" s="2028"/>
      <c r="F219" s="2028"/>
      <c r="G219" s="2028"/>
      <c r="H219" s="2028"/>
      <c r="I219" s="2028"/>
      <c r="J219" s="2028"/>
      <c r="K219" s="2028"/>
      <c r="L219" s="2028"/>
      <c r="M219" s="2029"/>
    </row>
    <row r="221" spans="2:13" ht="33.75" customHeight="1" x14ac:dyDescent="0.25">
      <c r="B221" s="727" t="s">
        <v>5404</v>
      </c>
      <c r="J221" s="2039" t="s">
        <v>5405</v>
      </c>
      <c r="K221" s="2039"/>
    </row>
    <row r="223" spans="2:13" ht="15" customHeight="1" x14ac:dyDescent="0.25">
      <c r="B223" s="2040" t="s">
        <v>5406</v>
      </c>
      <c r="C223" s="2041"/>
      <c r="D223" s="2041"/>
      <c r="E223" s="2041"/>
      <c r="F223" s="2041"/>
      <c r="G223" s="2041"/>
      <c r="H223" s="2041"/>
      <c r="I223" s="2041"/>
      <c r="J223" s="2041"/>
      <c r="K223" s="2041"/>
      <c r="L223" s="2041"/>
      <c r="M223" s="2042"/>
    </row>
    <row r="224" spans="2:13" x14ac:dyDescent="0.25">
      <c r="B224" s="2043"/>
      <c r="C224" s="2044"/>
      <c r="D224" s="2044"/>
      <c r="E224" s="2044"/>
      <c r="F224" s="2044"/>
      <c r="G224" s="2044"/>
      <c r="H224" s="2044"/>
      <c r="I224" s="2044"/>
      <c r="J224" s="2044"/>
      <c r="K224" s="2044"/>
      <c r="L224" s="2044"/>
      <c r="M224" s="2045"/>
    </row>
    <row r="227" spans="2:17" ht="30" customHeight="1" x14ac:dyDescent="0.25"/>
    <row r="228" spans="2:17" x14ac:dyDescent="0.25">
      <c r="B228" s="2007"/>
      <c r="C228" s="2007"/>
      <c r="D228" s="2007"/>
      <c r="E228" s="2007"/>
      <c r="F228" s="2007"/>
      <c r="G228" s="2007"/>
      <c r="H228" s="2007"/>
      <c r="I228" s="2007"/>
      <c r="J228" s="2007"/>
      <c r="K228" s="2007"/>
      <c r="L228" s="2007"/>
      <c r="M228" s="2007"/>
      <c r="N228" s="2030"/>
      <c r="O228" s="2031"/>
      <c r="P228" s="2031"/>
      <c r="Q228" s="2032"/>
    </row>
    <row r="229" spans="2:17" x14ac:dyDescent="0.25">
      <c r="B229" s="2007"/>
      <c r="C229" s="2007"/>
      <c r="D229" s="2007"/>
      <c r="E229" s="2007"/>
      <c r="F229" s="2007"/>
      <c r="G229" s="2007"/>
      <c r="H229" s="2007"/>
      <c r="I229" s="2007"/>
      <c r="J229" s="2007"/>
      <c r="K229" s="2007"/>
      <c r="L229" s="2007"/>
      <c r="M229" s="2007"/>
      <c r="N229" s="2033"/>
      <c r="O229" s="2034"/>
      <c r="P229" s="2034"/>
      <c r="Q229" s="2035"/>
    </row>
    <row r="230" spans="2:17" x14ac:dyDescent="0.25">
      <c r="B230" s="2007"/>
      <c r="C230" s="2007"/>
      <c r="D230" s="2007"/>
      <c r="E230" s="2007"/>
      <c r="F230" s="2007"/>
      <c r="G230" s="2007"/>
      <c r="H230" s="2007"/>
      <c r="I230" s="2007"/>
      <c r="J230" s="2007"/>
      <c r="K230" s="2007"/>
      <c r="L230" s="2007"/>
      <c r="M230" s="2007"/>
      <c r="N230" s="2033"/>
      <c r="O230" s="2034"/>
      <c r="P230" s="2034"/>
      <c r="Q230" s="2035"/>
    </row>
    <row r="231" spans="2:17" x14ac:dyDescent="0.25">
      <c r="B231" s="2007"/>
      <c r="C231" s="2007"/>
      <c r="D231" s="2007"/>
      <c r="E231" s="2007"/>
      <c r="F231" s="2007"/>
      <c r="G231" s="2007"/>
      <c r="H231" s="2007"/>
      <c r="I231" s="2007"/>
      <c r="J231" s="2007"/>
      <c r="K231" s="2007"/>
      <c r="L231" s="2007"/>
      <c r="M231" s="2007"/>
      <c r="N231" s="2033"/>
      <c r="O231" s="2034"/>
      <c r="P231" s="2034"/>
      <c r="Q231" s="2035"/>
    </row>
    <row r="232" spans="2:17" x14ac:dyDescent="0.25">
      <c r="B232" s="2007"/>
      <c r="C232" s="2007"/>
      <c r="D232" s="2007"/>
      <c r="E232" s="2007"/>
      <c r="F232" s="2007"/>
      <c r="G232" s="2007"/>
      <c r="H232" s="2007"/>
      <c r="I232" s="2007"/>
      <c r="J232" s="2007"/>
      <c r="K232" s="2007"/>
      <c r="L232" s="2007"/>
      <c r="M232" s="2007"/>
      <c r="N232" s="2033"/>
      <c r="O232" s="2034"/>
      <c r="P232" s="2034"/>
      <c r="Q232" s="2035"/>
    </row>
    <row r="233" spans="2:17" x14ac:dyDescent="0.25">
      <c r="B233" s="2007"/>
      <c r="C233" s="2007"/>
      <c r="D233" s="2007"/>
      <c r="E233" s="2007"/>
      <c r="F233" s="2007"/>
      <c r="G233" s="2007"/>
      <c r="H233" s="2007"/>
      <c r="I233" s="2007"/>
      <c r="J233" s="2007"/>
      <c r="K233" s="2007"/>
      <c r="L233" s="2007"/>
      <c r="M233" s="2007"/>
      <c r="N233" s="2033"/>
      <c r="O233" s="2034"/>
      <c r="P233" s="2034"/>
      <c r="Q233" s="2035"/>
    </row>
    <row r="234" spans="2:17" x14ac:dyDescent="0.25">
      <c r="B234" s="2007"/>
      <c r="C234" s="2007"/>
      <c r="D234" s="2007"/>
      <c r="E234" s="2007"/>
      <c r="F234" s="2007"/>
      <c r="G234" s="2007"/>
      <c r="H234" s="2007"/>
      <c r="I234" s="2007"/>
      <c r="J234" s="2007"/>
      <c r="K234" s="2007"/>
      <c r="L234" s="2007"/>
      <c r="M234" s="2007"/>
      <c r="N234" s="2033"/>
      <c r="O234" s="2034"/>
      <c r="P234" s="2034"/>
      <c r="Q234" s="2035"/>
    </row>
    <row r="235" spans="2:17" x14ac:dyDescent="0.25">
      <c r="B235" s="2007"/>
      <c r="C235" s="2007"/>
      <c r="D235" s="2007"/>
      <c r="E235" s="2007"/>
      <c r="F235" s="2007"/>
      <c r="G235" s="2007"/>
      <c r="H235" s="2007"/>
      <c r="I235" s="2007"/>
      <c r="J235" s="2007"/>
      <c r="K235" s="2007"/>
      <c r="L235" s="2007"/>
      <c r="M235" s="2007"/>
      <c r="N235" s="2033"/>
      <c r="O235" s="2034"/>
      <c r="P235" s="2034"/>
      <c r="Q235" s="2035"/>
    </row>
    <row r="236" spans="2:17" x14ac:dyDescent="0.25">
      <c r="B236" s="2007"/>
      <c r="C236" s="2007"/>
      <c r="D236" s="2007"/>
      <c r="E236" s="2007"/>
      <c r="F236" s="2007"/>
      <c r="G236" s="2007"/>
      <c r="H236" s="2007"/>
      <c r="I236" s="2007"/>
      <c r="J236" s="2007"/>
      <c r="K236" s="2007"/>
      <c r="L236" s="2007"/>
      <c r="M236" s="2007"/>
      <c r="N236" s="2033"/>
      <c r="O236" s="2034"/>
      <c r="P236" s="2034"/>
      <c r="Q236" s="2035"/>
    </row>
    <row r="237" spans="2:17" x14ac:dyDescent="0.25">
      <c r="B237" s="2007"/>
      <c r="C237" s="2007"/>
      <c r="D237" s="2007"/>
      <c r="E237" s="2007"/>
      <c r="F237" s="2007"/>
      <c r="G237" s="2007"/>
      <c r="H237" s="2007"/>
      <c r="I237" s="2007"/>
      <c r="J237" s="2007"/>
      <c r="K237" s="2007"/>
      <c r="L237" s="2007"/>
      <c r="M237" s="2007"/>
      <c r="N237" s="2033"/>
      <c r="O237" s="2034"/>
      <c r="P237" s="2034"/>
      <c r="Q237" s="2035"/>
    </row>
    <row r="238" spans="2:17" x14ac:dyDescent="0.25">
      <c r="B238" s="2007"/>
      <c r="C238" s="2007"/>
      <c r="D238" s="2007"/>
      <c r="E238" s="2007"/>
      <c r="F238" s="2007"/>
      <c r="G238" s="2007"/>
      <c r="H238" s="2007"/>
      <c r="I238" s="2007"/>
      <c r="J238" s="2007"/>
      <c r="K238" s="2007"/>
      <c r="L238" s="2007"/>
      <c r="M238" s="2007"/>
      <c r="N238" s="2033"/>
      <c r="O238" s="2034"/>
      <c r="P238" s="2034"/>
      <c r="Q238" s="2035"/>
    </row>
    <row r="239" spans="2:17" x14ac:dyDescent="0.25">
      <c r="B239" s="2007"/>
      <c r="C239" s="2007"/>
      <c r="D239" s="2007"/>
      <c r="E239" s="2007"/>
      <c r="F239" s="2007"/>
      <c r="G239" s="2007"/>
      <c r="H239" s="2007"/>
      <c r="I239" s="2007"/>
      <c r="J239" s="2007"/>
      <c r="K239" s="2007"/>
      <c r="L239" s="2007"/>
      <c r="M239" s="2007"/>
      <c r="N239" s="2033"/>
      <c r="O239" s="2034"/>
      <c r="P239" s="2034"/>
      <c r="Q239" s="2035"/>
    </row>
    <row r="240" spans="2:17" x14ac:dyDescent="0.25">
      <c r="B240" s="2007"/>
      <c r="C240" s="2007"/>
      <c r="D240" s="2007"/>
      <c r="E240" s="2007"/>
      <c r="F240" s="2007"/>
      <c r="G240" s="2007"/>
      <c r="H240" s="2007"/>
      <c r="I240" s="2007"/>
      <c r="J240" s="2007"/>
      <c r="K240" s="2007"/>
      <c r="L240" s="2007"/>
      <c r="M240" s="2007"/>
      <c r="N240" s="2033"/>
      <c r="O240" s="2034"/>
      <c r="P240" s="2034"/>
      <c r="Q240" s="2035"/>
    </row>
    <row r="241" spans="2:17" x14ac:dyDescent="0.25">
      <c r="B241" s="2007"/>
      <c r="C241" s="2007"/>
      <c r="D241" s="2007"/>
      <c r="E241" s="2007"/>
      <c r="F241" s="2007"/>
      <c r="G241" s="2007"/>
      <c r="H241" s="2007"/>
      <c r="I241" s="2007"/>
      <c r="J241" s="2007"/>
      <c r="K241" s="2007"/>
      <c r="L241" s="2007"/>
      <c r="M241" s="2007"/>
      <c r="N241" s="2033"/>
      <c r="O241" s="2034"/>
      <c r="P241" s="2034"/>
      <c r="Q241" s="2035"/>
    </row>
    <row r="242" spans="2:17" x14ac:dyDescent="0.25">
      <c r="B242" s="2007"/>
      <c r="C242" s="2007"/>
      <c r="D242" s="2007"/>
      <c r="E242" s="2007"/>
      <c r="F242" s="2007"/>
      <c r="G242" s="2007"/>
      <c r="H242" s="2007"/>
      <c r="I242" s="2007"/>
      <c r="J242" s="2007"/>
      <c r="K242" s="2007"/>
      <c r="L242" s="2007"/>
      <c r="M242" s="2007"/>
      <c r="N242" s="2033"/>
      <c r="O242" s="2034"/>
      <c r="P242" s="2034"/>
      <c r="Q242" s="2035"/>
    </row>
    <row r="243" spans="2:17" x14ac:dyDescent="0.25">
      <c r="B243" s="2007"/>
      <c r="C243" s="2007"/>
      <c r="D243" s="2007"/>
      <c r="E243" s="2007"/>
      <c r="F243" s="2007"/>
      <c r="G243" s="2007"/>
      <c r="H243" s="2007"/>
      <c r="I243" s="2007"/>
      <c r="J243" s="2007"/>
      <c r="K243" s="2007"/>
      <c r="L243" s="2007"/>
      <c r="M243" s="2007"/>
      <c r="N243" s="2033"/>
      <c r="O243" s="2034"/>
      <c r="P243" s="2034"/>
      <c r="Q243" s="2035"/>
    </row>
    <row r="244" spans="2:17" x14ac:dyDescent="0.25">
      <c r="B244" s="2007"/>
      <c r="C244" s="2007"/>
      <c r="D244" s="2007"/>
      <c r="E244" s="2007"/>
      <c r="F244" s="2007"/>
      <c r="G244" s="2007"/>
      <c r="H244" s="2007"/>
      <c r="I244" s="2007"/>
      <c r="J244" s="2007"/>
      <c r="K244" s="2007"/>
      <c r="L244" s="2007"/>
      <c r="M244" s="2007"/>
      <c r="N244" s="2033"/>
      <c r="O244" s="2034"/>
      <c r="P244" s="2034"/>
      <c r="Q244" s="2035"/>
    </row>
    <row r="245" spans="2:17" x14ac:dyDescent="0.25">
      <c r="B245" s="2007"/>
      <c r="C245" s="2007"/>
      <c r="D245" s="2007"/>
      <c r="E245" s="2007"/>
      <c r="F245" s="2007"/>
      <c r="G245" s="2007"/>
      <c r="H245" s="2007"/>
      <c r="I245" s="2007"/>
      <c r="J245" s="2007"/>
      <c r="K245" s="2007"/>
      <c r="L245" s="2007"/>
      <c r="M245" s="2007"/>
      <c r="N245" s="2033"/>
      <c r="O245" s="2034"/>
      <c r="P245" s="2034"/>
      <c r="Q245" s="2035"/>
    </row>
    <row r="246" spans="2:17" x14ac:dyDescent="0.25">
      <c r="B246" s="2007"/>
      <c r="C246" s="2007"/>
      <c r="D246" s="2007"/>
      <c r="E246" s="2007"/>
      <c r="F246" s="2007"/>
      <c r="G246" s="2007"/>
      <c r="H246" s="2007"/>
      <c r="I246" s="2007"/>
      <c r="J246" s="2007"/>
      <c r="K246" s="2007"/>
      <c r="L246" s="2007"/>
      <c r="M246" s="2007"/>
      <c r="N246" s="2033"/>
      <c r="O246" s="2034"/>
      <c r="P246" s="2034"/>
      <c r="Q246" s="2035"/>
    </row>
    <row r="247" spans="2:17" x14ac:dyDescent="0.25">
      <c r="B247" s="2007"/>
      <c r="C247" s="2007"/>
      <c r="D247" s="2007"/>
      <c r="E247" s="2007"/>
      <c r="F247" s="2007"/>
      <c r="G247" s="2007"/>
      <c r="H247" s="2007"/>
      <c r="I247" s="2007"/>
      <c r="J247" s="2007"/>
      <c r="K247" s="2007"/>
      <c r="L247" s="2007"/>
      <c r="M247" s="2007"/>
      <c r="N247" s="2033"/>
      <c r="O247" s="2034"/>
      <c r="P247" s="2034"/>
      <c r="Q247" s="2035"/>
    </row>
    <row r="248" spans="2:17" x14ac:dyDescent="0.25">
      <c r="B248" s="2007"/>
      <c r="C248" s="2007"/>
      <c r="D248" s="2007"/>
      <c r="E248" s="2007"/>
      <c r="F248" s="2007"/>
      <c r="G248" s="2007"/>
      <c r="H248" s="2007"/>
      <c r="I248" s="2007"/>
      <c r="J248" s="2007"/>
      <c r="K248" s="2007"/>
      <c r="L248" s="2007"/>
      <c r="M248" s="2007"/>
      <c r="N248" s="2033"/>
      <c r="O248" s="2034"/>
      <c r="P248" s="2034"/>
      <c r="Q248" s="2035"/>
    </row>
    <row r="249" spans="2:17" x14ac:dyDescent="0.25">
      <c r="B249" s="2007"/>
      <c r="C249" s="2007"/>
      <c r="D249" s="2007"/>
      <c r="E249" s="2007"/>
      <c r="F249" s="2007"/>
      <c r="G249" s="2007"/>
      <c r="H249" s="2007"/>
      <c r="I249" s="2007"/>
      <c r="J249" s="2007"/>
      <c r="K249" s="2007"/>
      <c r="L249" s="2007"/>
      <c r="M249" s="2007"/>
      <c r="N249" s="2036"/>
      <c r="O249" s="2037"/>
      <c r="P249" s="2037"/>
      <c r="Q249" s="2038"/>
    </row>
    <row r="250" spans="2:17" x14ac:dyDescent="0.25">
      <c r="B250" s="708" t="s">
        <v>5387</v>
      </c>
    </row>
    <row r="251" spans="2:17" x14ac:dyDescent="0.25">
      <c r="B251" s="2021"/>
      <c r="C251" s="2022"/>
      <c r="D251" s="2022"/>
      <c r="E251" s="2022"/>
      <c r="F251" s="2022"/>
      <c r="G251" s="2022"/>
      <c r="H251" s="2022"/>
      <c r="I251" s="2022"/>
      <c r="J251" s="2022"/>
      <c r="K251" s="2022"/>
      <c r="L251" s="2022"/>
      <c r="M251" s="2023"/>
    </row>
    <row r="252" spans="2:17" x14ac:dyDescent="0.25">
      <c r="B252" s="2024"/>
      <c r="C252" s="2025"/>
      <c r="D252" s="2025"/>
      <c r="E252" s="2025"/>
      <c r="F252" s="2025"/>
      <c r="G252" s="2025"/>
      <c r="H252" s="2025"/>
      <c r="I252" s="2025"/>
      <c r="J252" s="2025"/>
      <c r="K252" s="2025"/>
      <c r="L252" s="2025"/>
      <c r="M252" s="2026"/>
    </row>
    <row r="253" spans="2:17" x14ac:dyDescent="0.25">
      <c r="B253" s="2027"/>
      <c r="C253" s="2028"/>
      <c r="D253" s="2028"/>
      <c r="E253" s="2028"/>
      <c r="F253" s="2028"/>
      <c r="G253" s="2028"/>
      <c r="H253" s="2028"/>
      <c r="I253" s="2028"/>
      <c r="J253" s="2028"/>
      <c r="K253" s="2028"/>
      <c r="L253" s="2028"/>
      <c r="M253" s="2029"/>
    </row>
    <row r="256" spans="2:17" x14ac:dyDescent="0.25">
      <c r="B256" s="727" t="s">
        <v>5407</v>
      </c>
    </row>
    <row r="258" spans="2:17" ht="15" customHeight="1" x14ac:dyDescent="0.25">
      <c r="B258" s="2012" t="s">
        <v>5408</v>
      </c>
      <c r="C258" s="2012"/>
      <c r="D258" s="2012"/>
      <c r="E258" s="2012"/>
      <c r="F258" s="2012"/>
      <c r="G258" s="2012"/>
      <c r="H258" s="2012"/>
      <c r="I258" s="2012"/>
      <c r="J258" s="2012"/>
      <c r="K258" s="2012"/>
      <c r="L258" s="2012"/>
      <c r="M258" s="2012"/>
    </row>
    <row r="259" spans="2:17" x14ac:dyDescent="0.25">
      <c r="B259" s="2012"/>
      <c r="C259" s="2012"/>
      <c r="D259" s="2012"/>
      <c r="E259" s="2012"/>
      <c r="F259" s="2012"/>
      <c r="G259" s="2012"/>
      <c r="H259" s="2012"/>
      <c r="I259" s="2012"/>
      <c r="J259" s="2012"/>
      <c r="K259" s="2012"/>
      <c r="L259" s="2012"/>
      <c r="M259" s="2012"/>
    </row>
    <row r="260" spans="2:17" x14ac:dyDescent="0.25">
      <c r="B260" s="2012"/>
      <c r="C260" s="2012"/>
      <c r="D260" s="2012"/>
      <c r="E260" s="2012"/>
      <c r="F260" s="2012"/>
      <c r="G260" s="2012"/>
      <c r="H260" s="2012"/>
      <c r="I260" s="2012"/>
      <c r="J260" s="2012"/>
      <c r="K260" s="2012"/>
      <c r="L260" s="2012"/>
      <c r="M260" s="2012"/>
    </row>
    <row r="262" spans="2:17" ht="30" customHeight="1" x14ac:dyDescent="0.25"/>
    <row r="263" spans="2:17" x14ac:dyDescent="0.25">
      <c r="B263" s="2007"/>
      <c r="C263" s="2007"/>
      <c r="D263" s="2007"/>
      <c r="E263" s="2007"/>
      <c r="F263" s="2007"/>
      <c r="G263" s="2007"/>
      <c r="H263" s="2007"/>
      <c r="I263" s="2007"/>
      <c r="J263" s="2007"/>
      <c r="K263" s="2007"/>
      <c r="L263" s="2007"/>
      <c r="M263" s="2007"/>
      <c r="N263" s="2030"/>
      <c r="O263" s="2031"/>
      <c r="P263" s="2031"/>
      <c r="Q263" s="2032"/>
    </row>
    <row r="264" spans="2:17" x14ac:dyDescent="0.25">
      <c r="B264" s="2007"/>
      <c r="C264" s="2007"/>
      <c r="D264" s="2007"/>
      <c r="E264" s="2007"/>
      <c r="F264" s="2007"/>
      <c r="G264" s="2007"/>
      <c r="H264" s="2007"/>
      <c r="I264" s="2007"/>
      <c r="J264" s="2007"/>
      <c r="K264" s="2007"/>
      <c r="L264" s="2007"/>
      <c r="M264" s="2007"/>
      <c r="N264" s="2033"/>
      <c r="O264" s="2034"/>
      <c r="P264" s="2034"/>
      <c r="Q264" s="2035"/>
    </row>
    <row r="265" spans="2:17" x14ac:dyDescent="0.25">
      <c r="B265" s="2007"/>
      <c r="C265" s="2007"/>
      <c r="D265" s="2007"/>
      <c r="E265" s="2007"/>
      <c r="F265" s="2007"/>
      <c r="G265" s="2007"/>
      <c r="H265" s="2007"/>
      <c r="I265" s="2007"/>
      <c r="J265" s="2007"/>
      <c r="K265" s="2007"/>
      <c r="L265" s="2007"/>
      <c r="M265" s="2007"/>
      <c r="N265" s="2033"/>
      <c r="O265" s="2034"/>
      <c r="P265" s="2034"/>
      <c r="Q265" s="2035"/>
    </row>
    <row r="266" spans="2:17" x14ac:dyDescent="0.25">
      <c r="B266" s="2007"/>
      <c r="C266" s="2007"/>
      <c r="D266" s="2007"/>
      <c r="E266" s="2007"/>
      <c r="F266" s="2007"/>
      <c r="G266" s="2007"/>
      <c r="H266" s="2007"/>
      <c r="I266" s="2007"/>
      <c r="J266" s="2007"/>
      <c r="K266" s="2007"/>
      <c r="L266" s="2007"/>
      <c r="M266" s="2007"/>
      <c r="N266" s="2033"/>
      <c r="O266" s="2034"/>
      <c r="P266" s="2034"/>
      <c r="Q266" s="2035"/>
    </row>
    <row r="267" spans="2:17" x14ac:dyDescent="0.25">
      <c r="B267" s="2007"/>
      <c r="C267" s="2007"/>
      <c r="D267" s="2007"/>
      <c r="E267" s="2007"/>
      <c r="F267" s="2007"/>
      <c r="G267" s="2007"/>
      <c r="H267" s="2007"/>
      <c r="I267" s="2007"/>
      <c r="J267" s="2007"/>
      <c r="K267" s="2007"/>
      <c r="L267" s="2007"/>
      <c r="M267" s="2007"/>
      <c r="N267" s="2033"/>
      <c r="O267" s="2034"/>
      <c r="P267" s="2034"/>
      <c r="Q267" s="2035"/>
    </row>
    <row r="268" spans="2:17" x14ac:dyDescent="0.25">
      <c r="B268" s="2007"/>
      <c r="C268" s="2007"/>
      <c r="D268" s="2007"/>
      <c r="E268" s="2007"/>
      <c r="F268" s="2007"/>
      <c r="G268" s="2007"/>
      <c r="H268" s="2007"/>
      <c r="I268" s="2007"/>
      <c r="J268" s="2007"/>
      <c r="K268" s="2007"/>
      <c r="L268" s="2007"/>
      <c r="M268" s="2007"/>
      <c r="N268" s="2033"/>
      <c r="O268" s="2034"/>
      <c r="P268" s="2034"/>
      <c r="Q268" s="2035"/>
    </row>
    <row r="269" spans="2:17" x14ac:dyDescent="0.25">
      <c r="B269" s="2007"/>
      <c r="C269" s="2007"/>
      <c r="D269" s="2007"/>
      <c r="E269" s="2007"/>
      <c r="F269" s="2007"/>
      <c r="G269" s="2007"/>
      <c r="H269" s="2007"/>
      <c r="I269" s="2007"/>
      <c r="J269" s="2007"/>
      <c r="K269" s="2007"/>
      <c r="L269" s="2007"/>
      <c r="M269" s="2007"/>
      <c r="N269" s="2033"/>
      <c r="O269" s="2034"/>
      <c r="P269" s="2034"/>
      <c r="Q269" s="2035"/>
    </row>
    <row r="270" spans="2:17" x14ac:dyDescent="0.25">
      <c r="B270" s="2007"/>
      <c r="C270" s="2007"/>
      <c r="D270" s="2007"/>
      <c r="E270" s="2007"/>
      <c r="F270" s="2007"/>
      <c r="G270" s="2007"/>
      <c r="H270" s="2007"/>
      <c r="I270" s="2007"/>
      <c r="J270" s="2007"/>
      <c r="K270" s="2007"/>
      <c r="L270" s="2007"/>
      <c r="M270" s="2007"/>
      <c r="N270" s="2033"/>
      <c r="O270" s="2034"/>
      <c r="P270" s="2034"/>
      <c r="Q270" s="2035"/>
    </row>
    <row r="271" spans="2:17" x14ac:dyDescent="0.25">
      <c r="B271" s="2007"/>
      <c r="C271" s="2007"/>
      <c r="D271" s="2007"/>
      <c r="E271" s="2007"/>
      <c r="F271" s="2007"/>
      <c r="G271" s="2007"/>
      <c r="H271" s="2007"/>
      <c r="I271" s="2007"/>
      <c r="J271" s="2007"/>
      <c r="K271" s="2007"/>
      <c r="L271" s="2007"/>
      <c r="M271" s="2007"/>
      <c r="N271" s="2033"/>
      <c r="O271" s="2034"/>
      <c r="P271" s="2034"/>
      <c r="Q271" s="2035"/>
    </row>
    <row r="272" spans="2:17" x14ac:dyDescent="0.25">
      <c r="B272" s="2007"/>
      <c r="C272" s="2007"/>
      <c r="D272" s="2007"/>
      <c r="E272" s="2007"/>
      <c r="F272" s="2007"/>
      <c r="G272" s="2007"/>
      <c r="H272" s="2007"/>
      <c r="I272" s="2007"/>
      <c r="J272" s="2007"/>
      <c r="K272" s="2007"/>
      <c r="L272" s="2007"/>
      <c r="M272" s="2007"/>
      <c r="N272" s="2033"/>
      <c r="O272" s="2034"/>
      <c r="P272" s="2034"/>
      <c r="Q272" s="2035"/>
    </row>
    <row r="273" spans="2:17" x14ac:dyDescent="0.25">
      <c r="B273" s="2007"/>
      <c r="C273" s="2007"/>
      <c r="D273" s="2007"/>
      <c r="E273" s="2007"/>
      <c r="F273" s="2007"/>
      <c r="G273" s="2007"/>
      <c r="H273" s="2007"/>
      <c r="I273" s="2007"/>
      <c r="J273" s="2007"/>
      <c r="K273" s="2007"/>
      <c r="L273" s="2007"/>
      <c r="M273" s="2007"/>
      <c r="N273" s="2033"/>
      <c r="O273" s="2034"/>
      <c r="P273" s="2034"/>
      <c r="Q273" s="2035"/>
    </row>
    <row r="274" spans="2:17" x14ac:dyDescent="0.25">
      <c r="B274" s="2007"/>
      <c r="C274" s="2007"/>
      <c r="D274" s="2007"/>
      <c r="E274" s="2007"/>
      <c r="F274" s="2007"/>
      <c r="G274" s="2007"/>
      <c r="H274" s="2007"/>
      <c r="I274" s="2007"/>
      <c r="J274" s="2007"/>
      <c r="K274" s="2007"/>
      <c r="L274" s="2007"/>
      <c r="M274" s="2007"/>
      <c r="N274" s="2033"/>
      <c r="O274" s="2034"/>
      <c r="P274" s="2034"/>
      <c r="Q274" s="2035"/>
    </row>
    <row r="275" spans="2:17" x14ac:dyDescent="0.25">
      <c r="B275" s="2007"/>
      <c r="C275" s="2007"/>
      <c r="D275" s="2007"/>
      <c r="E275" s="2007"/>
      <c r="F275" s="2007"/>
      <c r="G275" s="2007"/>
      <c r="H275" s="2007"/>
      <c r="I275" s="2007"/>
      <c r="J275" s="2007"/>
      <c r="K275" s="2007"/>
      <c r="L275" s="2007"/>
      <c r="M275" s="2007"/>
      <c r="N275" s="2033"/>
      <c r="O275" s="2034"/>
      <c r="P275" s="2034"/>
      <c r="Q275" s="2035"/>
    </row>
    <row r="276" spans="2:17" x14ac:dyDescent="0.25">
      <c r="B276" s="2007"/>
      <c r="C276" s="2007"/>
      <c r="D276" s="2007"/>
      <c r="E276" s="2007"/>
      <c r="F276" s="2007"/>
      <c r="G276" s="2007"/>
      <c r="H276" s="2007"/>
      <c r="I276" s="2007"/>
      <c r="J276" s="2007"/>
      <c r="K276" s="2007"/>
      <c r="L276" s="2007"/>
      <c r="M276" s="2007"/>
      <c r="N276" s="2033"/>
      <c r="O276" s="2034"/>
      <c r="P276" s="2034"/>
      <c r="Q276" s="2035"/>
    </row>
    <row r="277" spans="2:17" x14ac:dyDescent="0.25">
      <c r="B277" s="2007"/>
      <c r="C277" s="2007"/>
      <c r="D277" s="2007"/>
      <c r="E277" s="2007"/>
      <c r="F277" s="2007"/>
      <c r="G277" s="2007"/>
      <c r="H277" s="2007"/>
      <c r="I277" s="2007"/>
      <c r="J277" s="2007"/>
      <c r="K277" s="2007"/>
      <c r="L277" s="2007"/>
      <c r="M277" s="2007"/>
      <c r="N277" s="2033"/>
      <c r="O277" s="2034"/>
      <c r="P277" s="2034"/>
      <c r="Q277" s="2035"/>
    </row>
    <row r="278" spans="2:17" x14ac:dyDescent="0.25">
      <c r="B278" s="2007"/>
      <c r="C278" s="2007"/>
      <c r="D278" s="2007"/>
      <c r="E278" s="2007"/>
      <c r="F278" s="2007"/>
      <c r="G278" s="2007"/>
      <c r="H278" s="2007"/>
      <c r="I278" s="2007"/>
      <c r="J278" s="2007"/>
      <c r="K278" s="2007"/>
      <c r="L278" s="2007"/>
      <c r="M278" s="2007"/>
      <c r="N278" s="2033"/>
      <c r="O278" s="2034"/>
      <c r="P278" s="2034"/>
      <c r="Q278" s="2035"/>
    </row>
    <row r="279" spans="2:17" x14ac:dyDescent="0.25">
      <c r="B279" s="2007"/>
      <c r="C279" s="2007"/>
      <c r="D279" s="2007"/>
      <c r="E279" s="2007"/>
      <c r="F279" s="2007"/>
      <c r="G279" s="2007"/>
      <c r="H279" s="2007"/>
      <c r="I279" s="2007"/>
      <c r="J279" s="2007"/>
      <c r="K279" s="2007"/>
      <c r="L279" s="2007"/>
      <c r="M279" s="2007"/>
      <c r="N279" s="2033"/>
      <c r="O279" s="2034"/>
      <c r="P279" s="2034"/>
      <c r="Q279" s="2035"/>
    </row>
    <row r="280" spans="2:17" x14ac:dyDescent="0.25">
      <c r="B280" s="2007"/>
      <c r="C280" s="2007"/>
      <c r="D280" s="2007"/>
      <c r="E280" s="2007"/>
      <c r="F280" s="2007"/>
      <c r="G280" s="2007"/>
      <c r="H280" s="2007"/>
      <c r="I280" s="2007"/>
      <c r="J280" s="2007"/>
      <c r="K280" s="2007"/>
      <c r="L280" s="2007"/>
      <c r="M280" s="2007"/>
      <c r="N280" s="2033"/>
      <c r="O280" s="2034"/>
      <c r="P280" s="2034"/>
      <c r="Q280" s="2035"/>
    </row>
    <row r="281" spans="2:17" x14ac:dyDescent="0.25">
      <c r="B281" s="2007"/>
      <c r="C281" s="2007"/>
      <c r="D281" s="2007"/>
      <c r="E281" s="2007"/>
      <c r="F281" s="2007"/>
      <c r="G281" s="2007"/>
      <c r="H281" s="2007"/>
      <c r="I281" s="2007"/>
      <c r="J281" s="2007"/>
      <c r="K281" s="2007"/>
      <c r="L281" s="2007"/>
      <c r="M281" s="2007"/>
      <c r="N281" s="2033"/>
      <c r="O281" s="2034"/>
      <c r="P281" s="2034"/>
      <c r="Q281" s="2035"/>
    </row>
    <row r="282" spans="2:17" x14ac:dyDescent="0.25">
      <c r="B282" s="2007"/>
      <c r="C282" s="2007"/>
      <c r="D282" s="2007"/>
      <c r="E282" s="2007"/>
      <c r="F282" s="2007"/>
      <c r="G282" s="2007"/>
      <c r="H282" s="2007"/>
      <c r="I282" s="2007"/>
      <c r="J282" s="2007"/>
      <c r="K282" s="2007"/>
      <c r="L282" s="2007"/>
      <c r="M282" s="2007"/>
      <c r="N282" s="2033"/>
      <c r="O282" s="2034"/>
      <c r="P282" s="2034"/>
      <c r="Q282" s="2035"/>
    </row>
    <row r="283" spans="2:17" x14ac:dyDescent="0.25">
      <c r="B283" s="2007"/>
      <c r="C283" s="2007"/>
      <c r="D283" s="2007"/>
      <c r="E283" s="2007"/>
      <c r="F283" s="2007"/>
      <c r="G283" s="2007"/>
      <c r="H283" s="2007"/>
      <c r="I283" s="2007"/>
      <c r="J283" s="2007"/>
      <c r="K283" s="2007"/>
      <c r="L283" s="2007"/>
      <c r="M283" s="2007"/>
      <c r="N283" s="2033"/>
      <c r="O283" s="2034"/>
      <c r="P283" s="2034"/>
      <c r="Q283" s="2035"/>
    </row>
    <row r="284" spans="2:17" x14ac:dyDescent="0.25">
      <c r="B284" s="2007"/>
      <c r="C284" s="2007"/>
      <c r="D284" s="2007"/>
      <c r="E284" s="2007"/>
      <c r="F284" s="2007"/>
      <c r="G284" s="2007"/>
      <c r="H284" s="2007"/>
      <c r="I284" s="2007"/>
      <c r="J284" s="2007"/>
      <c r="K284" s="2007"/>
      <c r="L284" s="2007"/>
      <c r="M284" s="2007"/>
      <c r="N284" s="2036"/>
      <c r="O284" s="2037"/>
      <c r="P284" s="2037"/>
      <c r="Q284" s="2038"/>
    </row>
    <row r="285" spans="2:17" x14ac:dyDescent="0.25">
      <c r="B285" s="708" t="s">
        <v>5387</v>
      </c>
    </row>
    <row r="286" spans="2:17" x14ac:dyDescent="0.25">
      <c r="B286" s="2021"/>
      <c r="C286" s="2022"/>
      <c r="D286" s="2022"/>
      <c r="E286" s="2022"/>
      <c r="F286" s="2022"/>
      <c r="G286" s="2022"/>
      <c r="H286" s="2022"/>
      <c r="I286" s="2022"/>
      <c r="J286" s="2022"/>
      <c r="K286" s="2022"/>
      <c r="L286" s="2022"/>
      <c r="M286" s="2023"/>
    </row>
    <row r="287" spans="2:17" x14ac:dyDescent="0.25">
      <c r="B287" s="2024"/>
      <c r="C287" s="2025"/>
      <c r="D287" s="2025"/>
      <c r="E287" s="2025"/>
      <c r="F287" s="2025"/>
      <c r="G287" s="2025"/>
      <c r="H287" s="2025"/>
      <c r="I287" s="2025"/>
      <c r="J287" s="2025"/>
      <c r="K287" s="2025"/>
      <c r="L287" s="2025"/>
      <c r="M287" s="2026"/>
    </row>
    <row r="288" spans="2:17" x14ac:dyDescent="0.25">
      <c r="B288" s="2027"/>
      <c r="C288" s="2028"/>
      <c r="D288" s="2028"/>
      <c r="E288" s="2028"/>
      <c r="F288" s="2028"/>
      <c r="G288" s="2028"/>
      <c r="H288" s="2028"/>
      <c r="I288" s="2028"/>
      <c r="J288" s="2028"/>
      <c r="K288" s="2028"/>
      <c r="L288" s="2028"/>
      <c r="M288" s="2029"/>
    </row>
    <row r="289" spans="2:13" ht="6.75" customHeight="1" x14ac:dyDescent="0.25"/>
    <row r="290" spans="2:13" ht="19.5" customHeight="1" x14ac:dyDescent="0.25">
      <c r="B290" s="727" t="s">
        <v>5409</v>
      </c>
    </row>
    <row r="291" spans="2:13" ht="6" customHeight="1" x14ac:dyDescent="0.25"/>
    <row r="292" spans="2:13" x14ac:dyDescent="0.25">
      <c r="B292" s="2012" t="s">
        <v>5410</v>
      </c>
      <c r="C292" s="2012"/>
      <c r="D292" s="2012"/>
      <c r="E292" s="2012"/>
      <c r="F292" s="2012"/>
      <c r="G292" s="2012"/>
      <c r="H292" s="2012"/>
      <c r="I292" s="2012"/>
      <c r="J292" s="2012"/>
      <c r="K292" s="2012"/>
      <c r="L292" s="2012"/>
      <c r="M292" s="2012"/>
    </row>
    <row r="293" spans="2:13" x14ac:dyDescent="0.25">
      <c r="B293" s="2012"/>
      <c r="C293" s="2012"/>
      <c r="D293" s="2012"/>
      <c r="E293" s="2012"/>
      <c r="F293" s="2012"/>
      <c r="G293" s="2012"/>
      <c r="H293" s="2012"/>
      <c r="I293" s="2012"/>
      <c r="J293" s="2012"/>
      <c r="K293" s="2012"/>
      <c r="L293" s="2012"/>
      <c r="M293" s="2012"/>
    </row>
    <row r="294" spans="2:13" x14ac:dyDescent="0.25">
      <c r="B294" s="2012"/>
      <c r="C294" s="2012"/>
      <c r="D294" s="2012"/>
      <c r="E294" s="2012"/>
      <c r="F294" s="2012"/>
      <c r="G294" s="2012"/>
      <c r="H294" s="2012"/>
      <c r="I294" s="2012"/>
      <c r="J294" s="2012"/>
      <c r="K294" s="2012"/>
      <c r="L294" s="2012"/>
      <c r="M294" s="2012"/>
    </row>
    <row r="295" spans="2:13" ht="6.75" customHeight="1" x14ac:dyDescent="0.25"/>
    <row r="296" spans="2:13" ht="22.5" customHeight="1" x14ac:dyDescent="0.25">
      <c r="B296" s="2009" t="s">
        <v>23</v>
      </c>
      <c r="C296" s="2009"/>
      <c r="D296" s="2009"/>
      <c r="E296" s="2018"/>
      <c r="F296" s="2019"/>
      <c r="G296" s="2019"/>
      <c r="H296" s="2019"/>
      <c r="I296" s="2019"/>
      <c r="J296" s="2019"/>
      <c r="K296" s="2019"/>
      <c r="L296" s="2019"/>
      <c r="M296" s="2020"/>
    </row>
    <row r="297" spans="2:13" ht="42" customHeight="1" x14ac:dyDescent="0.25">
      <c r="B297" s="2014" t="s">
        <v>5411</v>
      </c>
      <c r="C297" s="2015"/>
      <c r="D297" s="2016"/>
      <c r="E297" s="2019"/>
      <c r="F297" s="2019"/>
      <c r="G297" s="2019"/>
      <c r="H297" s="2019"/>
      <c r="I297" s="2019"/>
      <c r="J297" s="2019"/>
      <c r="K297" s="2019"/>
      <c r="L297" s="2019"/>
      <c r="M297" s="2020"/>
    </row>
    <row r="298" spans="2:13" ht="31.5" customHeight="1" x14ac:dyDescent="0.25">
      <c r="B298" s="2014" t="str">
        <f>CONCATENATE("Gráfico generado del peligro ",E297)</f>
        <v xml:space="preserve">Gráfico generado del peligro </v>
      </c>
      <c r="C298" s="2015"/>
      <c r="D298" s="2015"/>
      <c r="E298" s="2015"/>
      <c r="F298" s="2015"/>
      <c r="G298" s="2015"/>
      <c r="H298" s="2015"/>
      <c r="I298" s="2015"/>
      <c r="J298" s="2015"/>
      <c r="K298" s="2015"/>
      <c r="L298" s="2015"/>
      <c r="M298" s="2016"/>
    </row>
    <row r="299" spans="2:13" x14ac:dyDescent="0.25">
      <c r="B299" s="2046"/>
      <c r="C299" s="2046"/>
      <c r="D299" s="2046"/>
      <c r="E299" s="2046"/>
      <c r="F299" s="2046"/>
      <c r="G299" s="2046"/>
      <c r="H299" s="2046"/>
      <c r="I299" s="2046"/>
      <c r="J299" s="2046"/>
      <c r="K299" s="2046"/>
      <c r="L299" s="2046"/>
      <c r="M299" s="2046"/>
    </row>
    <row r="300" spans="2:13" x14ac:dyDescent="0.25">
      <c r="B300" s="2046"/>
      <c r="C300" s="2046"/>
      <c r="D300" s="2046"/>
      <c r="E300" s="2046"/>
      <c r="F300" s="2046"/>
      <c r="G300" s="2046"/>
      <c r="H300" s="2046"/>
      <c r="I300" s="2046"/>
      <c r="J300" s="2046"/>
      <c r="K300" s="2046"/>
      <c r="L300" s="2046"/>
      <c r="M300" s="2046"/>
    </row>
    <row r="301" spans="2:13" x14ac:dyDescent="0.25">
      <c r="B301" s="2046"/>
      <c r="C301" s="2046"/>
      <c r="D301" s="2046"/>
      <c r="E301" s="2046"/>
      <c r="F301" s="2046"/>
      <c r="G301" s="2046"/>
      <c r="H301" s="2046"/>
      <c r="I301" s="2046"/>
      <c r="J301" s="2046"/>
      <c r="K301" s="2046"/>
      <c r="L301" s="2046"/>
      <c r="M301" s="2046"/>
    </row>
    <row r="302" spans="2:13" x14ac:dyDescent="0.25">
      <c r="B302" s="2046"/>
      <c r="C302" s="2046"/>
      <c r="D302" s="2046"/>
      <c r="E302" s="2046"/>
      <c r="F302" s="2046"/>
      <c r="G302" s="2046"/>
      <c r="H302" s="2046"/>
      <c r="I302" s="2046"/>
      <c r="J302" s="2046"/>
      <c r="K302" s="2046"/>
      <c r="L302" s="2046"/>
      <c r="M302" s="2046"/>
    </row>
    <row r="303" spans="2:13" x14ac:dyDescent="0.25">
      <c r="B303" s="2046"/>
      <c r="C303" s="2046"/>
      <c r="D303" s="2046"/>
      <c r="E303" s="2046"/>
      <c r="F303" s="2046"/>
      <c r="G303" s="2046"/>
      <c r="H303" s="2046"/>
      <c r="I303" s="2046"/>
      <c r="J303" s="2046"/>
      <c r="K303" s="2046"/>
      <c r="L303" s="2046"/>
      <c r="M303" s="2046"/>
    </row>
    <row r="304" spans="2:13" x14ac:dyDescent="0.25">
      <c r="B304" s="2046"/>
      <c r="C304" s="2046"/>
      <c r="D304" s="2046"/>
      <c r="E304" s="2046"/>
      <c r="F304" s="2046"/>
      <c r="G304" s="2046"/>
      <c r="H304" s="2046"/>
      <c r="I304" s="2046"/>
      <c r="J304" s="2046"/>
      <c r="K304" s="2046"/>
      <c r="L304" s="2046"/>
      <c r="M304" s="2046"/>
    </row>
    <row r="305" spans="2:13" x14ac:dyDescent="0.25">
      <c r="B305" s="2046"/>
      <c r="C305" s="2046"/>
      <c r="D305" s="2046"/>
      <c r="E305" s="2046"/>
      <c r="F305" s="2046"/>
      <c r="G305" s="2046"/>
      <c r="H305" s="2046"/>
      <c r="I305" s="2046"/>
      <c r="J305" s="2046"/>
      <c r="K305" s="2046"/>
      <c r="L305" s="2046"/>
      <c r="M305" s="2046"/>
    </row>
    <row r="306" spans="2:13" x14ac:dyDescent="0.25">
      <c r="B306" s="2046"/>
      <c r="C306" s="2046"/>
      <c r="D306" s="2046"/>
      <c r="E306" s="2046"/>
      <c r="F306" s="2046"/>
      <c r="G306" s="2046"/>
      <c r="H306" s="2046"/>
      <c r="I306" s="2046"/>
      <c r="J306" s="2046"/>
      <c r="K306" s="2046"/>
      <c r="L306" s="2046"/>
      <c r="M306" s="2046"/>
    </row>
    <row r="307" spans="2:13" x14ac:dyDescent="0.25">
      <c r="B307" s="2046"/>
      <c r="C307" s="2046"/>
      <c r="D307" s="2046"/>
      <c r="E307" s="2046"/>
      <c r="F307" s="2046"/>
      <c r="G307" s="2046"/>
      <c r="H307" s="2046"/>
      <c r="I307" s="2046"/>
      <c r="J307" s="2046"/>
      <c r="K307" s="2046"/>
      <c r="L307" s="2046"/>
      <c r="M307" s="2046"/>
    </row>
    <row r="308" spans="2:13" x14ac:dyDescent="0.25">
      <c r="B308" s="2046"/>
      <c r="C308" s="2046"/>
      <c r="D308" s="2046"/>
      <c r="E308" s="2046"/>
      <c r="F308" s="2046"/>
      <c r="G308" s="2046"/>
      <c r="H308" s="2046"/>
      <c r="I308" s="2046"/>
      <c r="J308" s="2046"/>
      <c r="K308" s="2046"/>
      <c r="L308" s="2046"/>
      <c r="M308" s="2046"/>
    </row>
    <row r="309" spans="2:13" x14ac:dyDescent="0.25">
      <c r="B309" s="2046"/>
      <c r="C309" s="2046"/>
      <c r="D309" s="2046"/>
      <c r="E309" s="2046"/>
      <c r="F309" s="2046"/>
      <c r="G309" s="2046"/>
      <c r="H309" s="2046"/>
      <c r="I309" s="2046"/>
      <c r="J309" s="2046"/>
      <c r="K309" s="2046"/>
      <c r="L309" s="2046"/>
      <c r="M309" s="2046"/>
    </row>
    <row r="310" spans="2:13" x14ac:dyDescent="0.25">
      <c r="B310" s="2046"/>
      <c r="C310" s="2046"/>
      <c r="D310" s="2046"/>
      <c r="E310" s="2046"/>
      <c r="F310" s="2046"/>
      <c r="G310" s="2046"/>
      <c r="H310" s="2046"/>
      <c r="I310" s="2046"/>
      <c r="J310" s="2046"/>
      <c r="K310" s="2046"/>
      <c r="L310" s="2046"/>
      <c r="M310" s="2046"/>
    </row>
    <row r="311" spans="2:13" x14ac:dyDescent="0.25">
      <c r="B311" s="2046"/>
      <c r="C311" s="2046"/>
      <c r="D311" s="2046"/>
      <c r="E311" s="2046"/>
      <c r="F311" s="2046"/>
      <c r="G311" s="2046"/>
      <c r="H311" s="2046"/>
      <c r="I311" s="2046"/>
      <c r="J311" s="2046"/>
      <c r="K311" s="2046"/>
      <c r="L311" s="2046"/>
      <c r="M311" s="2046"/>
    </row>
    <row r="312" spans="2:13" x14ac:dyDescent="0.25">
      <c r="B312" s="2046"/>
      <c r="C312" s="2046"/>
      <c r="D312" s="2046"/>
      <c r="E312" s="2046"/>
      <c r="F312" s="2046"/>
      <c r="G312" s="2046"/>
      <c r="H312" s="2046"/>
      <c r="I312" s="2046"/>
      <c r="J312" s="2046"/>
      <c r="K312" s="2046"/>
      <c r="L312" s="2046"/>
      <c r="M312" s="2046"/>
    </row>
    <row r="313" spans="2:13" x14ac:dyDescent="0.25">
      <c r="B313" s="2046"/>
      <c r="C313" s="2046"/>
      <c r="D313" s="2046"/>
      <c r="E313" s="2046"/>
      <c r="F313" s="2046"/>
      <c r="G313" s="2046"/>
      <c r="H313" s="2046"/>
      <c r="I313" s="2046"/>
      <c r="J313" s="2046"/>
      <c r="K313" s="2046"/>
      <c r="L313" s="2046"/>
      <c r="M313" s="2046"/>
    </row>
    <row r="314" spans="2:13" x14ac:dyDescent="0.25">
      <c r="B314" s="2046"/>
      <c r="C314" s="2046"/>
      <c r="D314" s="2046"/>
      <c r="E314" s="2046"/>
      <c r="F314" s="2046"/>
      <c r="G314" s="2046"/>
      <c r="H314" s="2046"/>
      <c r="I314" s="2046"/>
      <c r="J314" s="2046"/>
      <c r="K314" s="2046"/>
      <c r="L314" s="2046"/>
      <c r="M314" s="2046"/>
    </row>
    <row r="315" spans="2:13" x14ac:dyDescent="0.25">
      <c r="B315" s="2046"/>
      <c r="C315" s="2046"/>
      <c r="D315" s="2046"/>
      <c r="E315" s="2046"/>
      <c r="F315" s="2046"/>
      <c r="G315" s="2046"/>
      <c r="H315" s="2046"/>
      <c r="I315" s="2046"/>
      <c r="J315" s="2046"/>
      <c r="K315" s="2046"/>
      <c r="L315" s="2046"/>
      <c r="M315" s="2046"/>
    </row>
    <row r="316" spans="2:13" x14ac:dyDescent="0.25">
      <c r="B316" s="2046"/>
      <c r="C316" s="2046"/>
      <c r="D316" s="2046"/>
      <c r="E316" s="2046"/>
      <c r="F316" s="2046"/>
      <c r="G316" s="2046"/>
      <c r="H316" s="2046"/>
      <c r="I316" s="2046"/>
      <c r="J316" s="2046"/>
      <c r="K316" s="2046"/>
      <c r="L316" s="2046"/>
      <c r="M316" s="2046"/>
    </row>
    <row r="317" spans="2:13" x14ac:dyDescent="0.25">
      <c r="B317" s="2046"/>
      <c r="C317" s="2046"/>
      <c r="D317" s="2046"/>
      <c r="E317" s="2046"/>
      <c r="F317" s="2046"/>
      <c r="G317" s="2046"/>
      <c r="H317" s="2046"/>
      <c r="I317" s="2046"/>
      <c r="J317" s="2046"/>
      <c r="K317" s="2046"/>
      <c r="L317" s="2046"/>
      <c r="M317" s="2046"/>
    </row>
    <row r="318" spans="2:13" x14ac:dyDescent="0.25">
      <c r="B318" s="708" t="s">
        <v>5387</v>
      </c>
    </row>
    <row r="319" spans="2:13" x14ac:dyDescent="0.25">
      <c r="B319" s="2021"/>
      <c r="C319" s="2022"/>
      <c r="D319" s="2022"/>
      <c r="E319" s="2022"/>
      <c r="F319" s="2022"/>
      <c r="G319" s="2022"/>
      <c r="H319" s="2022"/>
      <c r="I319" s="2022"/>
      <c r="J319" s="2022"/>
      <c r="K319" s="2022"/>
      <c r="L319" s="2022"/>
      <c r="M319" s="2023"/>
    </row>
    <row r="320" spans="2:13" x14ac:dyDescent="0.25">
      <c r="B320" s="2024"/>
      <c r="C320" s="2025"/>
      <c r="D320" s="2025"/>
      <c r="E320" s="2025"/>
      <c r="F320" s="2025"/>
      <c r="G320" s="2025"/>
      <c r="H320" s="2025"/>
      <c r="I320" s="2025"/>
      <c r="J320" s="2025"/>
      <c r="K320" s="2025"/>
      <c r="L320" s="2025"/>
      <c r="M320" s="2026"/>
    </row>
    <row r="321" spans="2:13" x14ac:dyDescent="0.25">
      <c r="B321" s="2027"/>
      <c r="C321" s="2028"/>
      <c r="D321" s="2028"/>
      <c r="E321" s="2028"/>
      <c r="F321" s="2028"/>
      <c r="G321" s="2028"/>
      <c r="H321" s="2028"/>
      <c r="I321" s="2028"/>
      <c r="J321" s="2028"/>
      <c r="K321" s="2028"/>
      <c r="L321" s="2028"/>
      <c r="M321" s="2029"/>
    </row>
    <row r="323" spans="2:13" ht="22.5" customHeight="1" x14ac:dyDescent="0.25">
      <c r="B323" s="2009" t="s">
        <v>23</v>
      </c>
      <c r="C323" s="2009"/>
      <c r="D323" s="2009"/>
      <c r="E323" s="2018"/>
      <c r="F323" s="2019"/>
      <c r="G323" s="2019"/>
      <c r="H323" s="2019"/>
      <c r="I323" s="2019"/>
      <c r="J323" s="2019"/>
      <c r="K323" s="2019"/>
      <c r="L323" s="2019"/>
      <c r="M323" s="2020"/>
    </row>
    <row r="324" spans="2:13" ht="42" customHeight="1" x14ac:dyDescent="0.25">
      <c r="B324" s="2014" t="s">
        <v>5411</v>
      </c>
      <c r="C324" s="2015"/>
      <c r="D324" s="2016"/>
      <c r="E324" s="2019"/>
      <c r="F324" s="2019"/>
      <c r="G324" s="2019"/>
      <c r="H324" s="2019"/>
      <c r="I324" s="2019"/>
      <c r="J324" s="2019"/>
      <c r="K324" s="2019"/>
      <c r="L324" s="2019"/>
      <c r="M324" s="2020"/>
    </row>
    <row r="325" spans="2:13" ht="31.5" customHeight="1" x14ac:dyDescent="0.25">
      <c r="B325" s="2014" t="str">
        <f>CONCATENATE("Gráfico generado del peligro ",E324)</f>
        <v xml:space="preserve">Gráfico generado del peligro </v>
      </c>
      <c r="C325" s="2015"/>
      <c r="D325" s="2015"/>
      <c r="E325" s="2015"/>
      <c r="F325" s="2015"/>
      <c r="G325" s="2015"/>
      <c r="H325" s="2015"/>
      <c r="I325" s="2015"/>
      <c r="J325" s="2015"/>
      <c r="K325" s="2015"/>
      <c r="L325" s="2015"/>
      <c r="M325" s="2016"/>
    </row>
    <row r="326" spans="2:13" x14ac:dyDescent="0.25">
      <c r="B326" s="2046"/>
      <c r="C326" s="2046"/>
      <c r="D326" s="2046"/>
      <c r="E326" s="2046"/>
      <c r="F326" s="2046"/>
      <c r="G326" s="2046"/>
      <c r="H326" s="2046"/>
      <c r="I326" s="2046"/>
      <c r="J326" s="2046"/>
      <c r="K326" s="2046"/>
      <c r="L326" s="2046"/>
      <c r="M326" s="2046"/>
    </row>
    <row r="327" spans="2:13" x14ac:dyDescent="0.25">
      <c r="B327" s="2046"/>
      <c r="C327" s="2046"/>
      <c r="D327" s="2046"/>
      <c r="E327" s="2046"/>
      <c r="F327" s="2046"/>
      <c r="G327" s="2046"/>
      <c r="H327" s="2046"/>
      <c r="I327" s="2046"/>
      <c r="J327" s="2046"/>
      <c r="K327" s="2046"/>
      <c r="L327" s="2046"/>
      <c r="M327" s="2046"/>
    </row>
    <row r="328" spans="2:13" x14ac:dyDescent="0.25">
      <c r="B328" s="2046"/>
      <c r="C328" s="2046"/>
      <c r="D328" s="2046"/>
      <c r="E328" s="2046"/>
      <c r="F328" s="2046"/>
      <c r="G328" s="2046"/>
      <c r="H328" s="2046"/>
      <c r="I328" s="2046"/>
      <c r="J328" s="2046"/>
      <c r="K328" s="2046"/>
      <c r="L328" s="2046"/>
      <c r="M328" s="2046"/>
    </row>
    <row r="329" spans="2:13" x14ac:dyDescent="0.25">
      <c r="B329" s="2046"/>
      <c r="C329" s="2046"/>
      <c r="D329" s="2046"/>
      <c r="E329" s="2046"/>
      <c r="F329" s="2046"/>
      <c r="G329" s="2046"/>
      <c r="H329" s="2046"/>
      <c r="I329" s="2046"/>
      <c r="J329" s="2046"/>
      <c r="K329" s="2046"/>
      <c r="L329" s="2046"/>
      <c r="M329" s="2046"/>
    </row>
    <row r="330" spans="2:13" x14ac:dyDescent="0.25">
      <c r="B330" s="2046"/>
      <c r="C330" s="2046"/>
      <c r="D330" s="2046"/>
      <c r="E330" s="2046"/>
      <c r="F330" s="2046"/>
      <c r="G330" s="2046"/>
      <c r="H330" s="2046"/>
      <c r="I330" s="2046"/>
      <c r="J330" s="2046"/>
      <c r="K330" s="2046"/>
      <c r="L330" s="2046"/>
      <c r="M330" s="2046"/>
    </row>
    <row r="331" spans="2:13" x14ac:dyDescent="0.25">
      <c r="B331" s="2046"/>
      <c r="C331" s="2046"/>
      <c r="D331" s="2046"/>
      <c r="E331" s="2046"/>
      <c r="F331" s="2046"/>
      <c r="G331" s="2046"/>
      <c r="H331" s="2046"/>
      <c r="I331" s="2046"/>
      <c r="J331" s="2046"/>
      <c r="K331" s="2046"/>
      <c r="L331" s="2046"/>
      <c r="M331" s="2046"/>
    </row>
    <row r="332" spans="2:13" x14ac:dyDescent="0.25">
      <c r="B332" s="2046"/>
      <c r="C332" s="2046"/>
      <c r="D332" s="2046"/>
      <c r="E332" s="2046"/>
      <c r="F332" s="2046"/>
      <c r="G332" s="2046"/>
      <c r="H332" s="2046"/>
      <c r="I332" s="2046"/>
      <c r="J332" s="2046"/>
      <c r="K332" s="2046"/>
      <c r="L332" s="2046"/>
      <c r="M332" s="2046"/>
    </row>
    <row r="333" spans="2:13" x14ac:dyDescent="0.25">
      <c r="B333" s="2046"/>
      <c r="C333" s="2046"/>
      <c r="D333" s="2046"/>
      <c r="E333" s="2046"/>
      <c r="F333" s="2046"/>
      <c r="G333" s="2046"/>
      <c r="H333" s="2046"/>
      <c r="I333" s="2046"/>
      <c r="J333" s="2046"/>
      <c r="K333" s="2046"/>
      <c r="L333" s="2046"/>
      <c r="M333" s="2046"/>
    </row>
    <row r="334" spans="2:13" x14ac:dyDescent="0.25">
      <c r="B334" s="2046"/>
      <c r="C334" s="2046"/>
      <c r="D334" s="2046"/>
      <c r="E334" s="2046"/>
      <c r="F334" s="2046"/>
      <c r="G334" s="2046"/>
      <c r="H334" s="2046"/>
      <c r="I334" s="2046"/>
      <c r="J334" s="2046"/>
      <c r="K334" s="2046"/>
      <c r="L334" s="2046"/>
      <c r="M334" s="2046"/>
    </row>
    <row r="335" spans="2:13" x14ac:dyDescent="0.25">
      <c r="B335" s="2046"/>
      <c r="C335" s="2046"/>
      <c r="D335" s="2046"/>
      <c r="E335" s="2046"/>
      <c r="F335" s="2046"/>
      <c r="G335" s="2046"/>
      <c r="H335" s="2046"/>
      <c r="I335" s="2046"/>
      <c r="J335" s="2046"/>
      <c r="K335" s="2046"/>
      <c r="L335" s="2046"/>
      <c r="M335" s="2046"/>
    </row>
    <row r="336" spans="2:13" x14ac:dyDescent="0.25">
      <c r="B336" s="2046"/>
      <c r="C336" s="2046"/>
      <c r="D336" s="2046"/>
      <c r="E336" s="2046"/>
      <c r="F336" s="2046"/>
      <c r="G336" s="2046"/>
      <c r="H336" s="2046"/>
      <c r="I336" s="2046"/>
      <c r="J336" s="2046"/>
      <c r="K336" s="2046"/>
      <c r="L336" s="2046"/>
      <c r="M336" s="2046"/>
    </row>
    <row r="337" spans="2:13" x14ac:dyDescent="0.25">
      <c r="B337" s="2046"/>
      <c r="C337" s="2046"/>
      <c r="D337" s="2046"/>
      <c r="E337" s="2046"/>
      <c r="F337" s="2046"/>
      <c r="G337" s="2046"/>
      <c r="H337" s="2046"/>
      <c r="I337" s="2046"/>
      <c r="J337" s="2046"/>
      <c r="K337" s="2046"/>
      <c r="L337" s="2046"/>
      <c r="M337" s="2046"/>
    </row>
    <row r="338" spans="2:13" x14ac:dyDescent="0.25">
      <c r="B338" s="2046"/>
      <c r="C338" s="2046"/>
      <c r="D338" s="2046"/>
      <c r="E338" s="2046"/>
      <c r="F338" s="2046"/>
      <c r="G338" s="2046"/>
      <c r="H338" s="2046"/>
      <c r="I338" s="2046"/>
      <c r="J338" s="2046"/>
      <c r="K338" s="2046"/>
      <c r="L338" s="2046"/>
      <c r="M338" s="2046"/>
    </row>
    <row r="339" spans="2:13" x14ac:dyDescent="0.25">
      <c r="B339" s="2046"/>
      <c r="C339" s="2046"/>
      <c r="D339" s="2046"/>
      <c r="E339" s="2046"/>
      <c r="F339" s="2046"/>
      <c r="G339" s="2046"/>
      <c r="H339" s="2046"/>
      <c r="I339" s="2046"/>
      <c r="J339" s="2046"/>
      <c r="K339" s="2046"/>
      <c r="L339" s="2046"/>
      <c r="M339" s="2046"/>
    </row>
    <row r="340" spans="2:13" x14ac:dyDescent="0.25">
      <c r="B340" s="2046"/>
      <c r="C340" s="2046"/>
      <c r="D340" s="2046"/>
      <c r="E340" s="2046"/>
      <c r="F340" s="2046"/>
      <c r="G340" s="2046"/>
      <c r="H340" s="2046"/>
      <c r="I340" s="2046"/>
      <c r="J340" s="2046"/>
      <c r="K340" s="2046"/>
      <c r="L340" s="2046"/>
      <c r="M340" s="2046"/>
    </row>
    <row r="341" spans="2:13" x14ac:dyDescent="0.25">
      <c r="B341" s="2046"/>
      <c r="C341" s="2046"/>
      <c r="D341" s="2046"/>
      <c r="E341" s="2046"/>
      <c r="F341" s="2046"/>
      <c r="G341" s="2046"/>
      <c r="H341" s="2046"/>
      <c r="I341" s="2046"/>
      <c r="J341" s="2046"/>
      <c r="K341" s="2046"/>
      <c r="L341" s="2046"/>
      <c r="M341" s="2046"/>
    </row>
    <row r="342" spans="2:13" x14ac:dyDescent="0.25">
      <c r="B342" s="2046"/>
      <c r="C342" s="2046"/>
      <c r="D342" s="2046"/>
      <c r="E342" s="2046"/>
      <c r="F342" s="2046"/>
      <c r="G342" s="2046"/>
      <c r="H342" s="2046"/>
      <c r="I342" s="2046"/>
      <c r="J342" s="2046"/>
      <c r="K342" s="2046"/>
      <c r="L342" s="2046"/>
      <c r="M342" s="2046"/>
    </row>
    <row r="343" spans="2:13" x14ac:dyDescent="0.25">
      <c r="B343" s="2046"/>
      <c r="C343" s="2046"/>
      <c r="D343" s="2046"/>
      <c r="E343" s="2046"/>
      <c r="F343" s="2046"/>
      <c r="G343" s="2046"/>
      <c r="H343" s="2046"/>
      <c r="I343" s="2046"/>
      <c r="J343" s="2046"/>
      <c r="K343" s="2046"/>
      <c r="L343" s="2046"/>
      <c r="M343" s="2046"/>
    </row>
    <row r="344" spans="2:13" x14ac:dyDescent="0.25">
      <c r="B344" s="2046"/>
      <c r="C344" s="2046"/>
      <c r="D344" s="2046"/>
      <c r="E344" s="2046"/>
      <c r="F344" s="2046"/>
      <c r="G344" s="2046"/>
      <c r="H344" s="2046"/>
      <c r="I344" s="2046"/>
      <c r="J344" s="2046"/>
      <c r="K344" s="2046"/>
      <c r="L344" s="2046"/>
      <c r="M344" s="2046"/>
    </row>
    <row r="345" spans="2:13" x14ac:dyDescent="0.25">
      <c r="B345" s="708" t="s">
        <v>5387</v>
      </c>
    </row>
    <row r="346" spans="2:13" x14ac:dyDescent="0.25">
      <c r="B346" s="2021"/>
      <c r="C346" s="2022"/>
      <c r="D346" s="2022"/>
      <c r="E346" s="2022"/>
      <c r="F346" s="2022"/>
      <c r="G346" s="2022"/>
      <c r="H346" s="2022"/>
      <c r="I346" s="2022"/>
      <c r="J346" s="2022"/>
      <c r="K346" s="2022"/>
      <c r="L346" s="2022"/>
      <c r="M346" s="2023"/>
    </row>
    <row r="347" spans="2:13" x14ac:dyDescent="0.25">
      <c r="B347" s="2024"/>
      <c r="C347" s="2025"/>
      <c r="D347" s="2025"/>
      <c r="E347" s="2025"/>
      <c r="F347" s="2025"/>
      <c r="G347" s="2025"/>
      <c r="H347" s="2025"/>
      <c r="I347" s="2025"/>
      <c r="J347" s="2025"/>
      <c r="K347" s="2025"/>
      <c r="L347" s="2025"/>
      <c r="M347" s="2026"/>
    </row>
    <row r="348" spans="2:13" x14ac:dyDescent="0.25">
      <c r="B348" s="2027"/>
      <c r="C348" s="2028"/>
      <c r="D348" s="2028"/>
      <c r="E348" s="2028"/>
      <c r="F348" s="2028"/>
      <c r="G348" s="2028"/>
      <c r="H348" s="2028"/>
      <c r="I348" s="2028"/>
      <c r="J348" s="2028"/>
      <c r="K348" s="2028"/>
      <c r="L348" s="2028"/>
      <c r="M348" s="2029"/>
    </row>
    <row r="350" spans="2:13" ht="22.5" customHeight="1" x14ac:dyDescent="0.25">
      <c r="B350" s="2009" t="s">
        <v>23</v>
      </c>
      <c r="C350" s="2009"/>
      <c r="D350" s="2009"/>
      <c r="E350" s="2018"/>
      <c r="F350" s="2019"/>
      <c r="G350" s="2019"/>
      <c r="H350" s="2019"/>
      <c r="I350" s="2019"/>
      <c r="J350" s="2019"/>
      <c r="K350" s="2019"/>
      <c r="L350" s="2019"/>
      <c r="M350" s="2020"/>
    </row>
    <row r="351" spans="2:13" ht="42" customHeight="1" x14ac:dyDescent="0.25">
      <c r="B351" s="2014" t="s">
        <v>5411</v>
      </c>
      <c r="C351" s="2015"/>
      <c r="D351" s="2016"/>
      <c r="E351" s="2019"/>
      <c r="F351" s="2019"/>
      <c r="G351" s="2019"/>
      <c r="H351" s="2019"/>
      <c r="I351" s="2019"/>
      <c r="J351" s="2019"/>
      <c r="K351" s="2019"/>
      <c r="L351" s="2019"/>
      <c r="M351" s="2020"/>
    </row>
    <row r="352" spans="2:13" ht="31.5" customHeight="1" x14ac:dyDescent="0.25">
      <c r="B352" s="2014" t="str">
        <f>CONCATENATE("Gráfico generado del peligro ",E351)</f>
        <v xml:space="preserve">Gráfico generado del peligro </v>
      </c>
      <c r="C352" s="2015"/>
      <c r="D352" s="2015"/>
      <c r="E352" s="2015"/>
      <c r="F352" s="2015"/>
      <c r="G352" s="2015"/>
      <c r="H352" s="2015"/>
      <c r="I352" s="2015"/>
      <c r="J352" s="2015"/>
      <c r="K352" s="2015"/>
      <c r="L352" s="2015"/>
      <c r="M352" s="2016"/>
    </row>
    <row r="353" spans="2:13" x14ac:dyDescent="0.25">
      <c r="B353" s="2046"/>
      <c r="C353" s="2046"/>
      <c r="D353" s="2046"/>
      <c r="E353" s="2046"/>
      <c r="F353" s="2046"/>
      <c r="G353" s="2046"/>
      <c r="H353" s="2046"/>
      <c r="I353" s="2046"/>
      <c r="J353" s="2046"/>
      <c r="K353" s="2046"/>
      <c r="L353" s="2046"/>
      <c r="M353" s="2046"/>
    </row>
    <row r="354" spans="2:13" x14ac:dyDescent="0.25">
      <c r="B354" s="2046"/>
      <c r="C354" s="2046"/>
      <c r="D354" s="2046"/>
      <c r="E354" s="2046"/>
      <c r="F354" s="2046"/>
      <c r="G354" s="2046"/>
      <c r="H354" s="2046"/>
      <c r="I354" s="2046"/>
      <c r="J354" s="2046"/>
      <c r="K354" s="2046"/>
      <c r="L354" s="2046"/>
      <c r="M354" s="2046"/>
    </row>
    <row r="355" spans="2:13" x14ac:dyDescent="0.25">
      <c r="B355" s="2046"/>
      <c r="C355" s="2046"/>
      <c r="D355" s="2046"/>
      <c r="E355" s="2046"/>
      <c r="F355" s="2046"/>
      <c r="G355" s="2046"/>
      <c r="H355" s="2046"/>
      <c r="I355" s="2046"/>
      <c r="J355" s="2046"/>
      <c r="K355" s="2046"/>
      <c r="L355" s="2046"/>
      <c r="M355" s="2046"/>
    </row>
    <row r="356" spans="2:13" x14ac:dyDescent="0.25">
      <c r="B356" s="2046"/>
      <c r="C356" s="2046"/>
      <c r="D356" s="2046"/>
      <c r="E356" s="2046"/>
      <c r="F356" s="2046"/>
      <c r="G356" s="2046"/>
      <c r="H356" s="2046"/>
      <c r="I356" s="2046"/>
      <c r="J356" s="2046"/>
      <c r="K356" s="2046"/>
      <c r="L356" s="2046"/>
      <c r="M356" s="2046"/>
    </row>
    <row r="357" spans="2:13" x14ac:dyDescent="0.25">
      <c r="B357" s="2046"/>
      <c r="C357" s="2046"/>
      <c r="D357" s="2046"/>
      <c r="E357" s="2046"/>
      <c r="F357" s="2046"/>
      <c r="G357" s="2046"/>
      <c r="H357" s="2046"/>
      <c r="I357" s="2046"/>
      <c r="J357" s="2046"/>
      <c r="K357" s="2046"/>
      <c r="L357" s="2046"/>
      <c r="M357" s="2046"/>
    </row>
    <row r="358" spans="2:13" x14ac:dyDescent="0.25">
      <c r="B358" s="2046"/>
      <c r="C358" s="2046"/>
      <c r="D358" s="2046"/>
      <c r="E358" s="2046"/>
      <c r="F358" s="2046"/>
      <c r="G358" s="2046"/>
      <c r="H358" s="2046"/>
      <c r="I358" s="2046"/>
      <c r="J358" s="2046"/>
      <c r="K358" s="2046"/>
      <c r="L358" s="2046"/>
      <c r="M358" s="2046"/>
    </row>
    <row r="359" spans="2:13" x14ac:dyDescent="0.25">
      <c r="B359" s="2046"/>
      <c r="C359" s="2046"/>
      <c r="D359" s="2046"/>
      <c r="E359" s="2046"/>
      <c r="F359" s="2046"/>
      <c r="G359" s="2046"/>
      <c r="H359" s="2046"/>
      <c r="I359" s="2046"/>
      <c r="J359" s="2046"/>
      <c r="K359" s="2046"/>
      <c r="L359" s="2046"/>
      <c r="M359" s="2046"/>
    </row>
    <row r="360" spans="2:13" x14ac:dyDescent="0.25">
      <c r="B360" s="2046"/>
      <c r="C360" s="2046"/>
      <c r="D360" s="2046"/>
      <c r="E360" s="2046"/>
      <c r="F360" s="2046"/>
      <c r="G360" s="2046"/>
      <c r="H360" s="2046"/>
      <c r="I360" s="2046"/>
      <c r="J360" s="2046"/>
      <c r="K360" s="2046"/>
      <c r="L360" s="2046"/>
      <c r="M360" s="2046"/>
    </row>
    <row r="361" spans="2:13" x14ac:dyDescent="0.25">
      <c r="B361" s="2046"/>
      <c r="C361" s="2046"/>
      <c r="D361" s="2046"/>
      <c r="E361" s="2046"/>
      <c r="F361" s="2046"/>
      <c r="G361" s="2046"/>
      <c r="H361" s="2046"/>
      <c r="I361" s="2046"/>
      <c r="J361" s="2046"/>
      <c r="K361" s="2046"/>
      <c r="L361" s="2046"/>
      <c r="M361" s="2046"/>
    </row>
    <row r="362" spans="2:13" x14ac:dyDescent="0.25">
      <c r="B362" s="2046"/>
      <c r="C362" s="2046"/>
      <c r="D362" s="2046"/>
      <c r="E362" s="2046"/>
      <c r="F362" s="2046"/>
      <c r="G362" s="2046"/>
      <c r="H362" s="2046"/>
      <c r="I362" s="2046"/>
      <c r="J362" s="2046"/>
      <c r="K362" s="2046"/>
      <c r="L362" s="2046"/>
      <c r="M362" s="2046"/>
    </row>
    <row r="363" spans="2:13" x14ac:dyDescent="0.25">
      <c r="B363" s="2046"/>
      <c r="C363" s="2046"/>
      <c r="D363" s="2046"/>
      <c r="E363" s="2046"/>
      <c r="F363" s="2046"/>
      <c r="G363" s="2046"/>
      <c r="H363" s="2046"/>
      <c r="I363" s="2046"/>
      <c r="J363" s="2046"/>
      <c r="K363" s="2046"/>
      <c r="L363" s="2046"/>
      <c r="M363" s="2046"/>
    </row>
    <row r="364" spans="2:13" x14ac:dyDescent="0.25">
      <c r="B364" s="2046"/>
      <c r="C364" s="2046"/>
      <c r="D364" s="2046"/>
      <c r="E364" s="2046"/>
      <c r="F364" s="2046"/>
      <c r="G364" s="2046"/>
      <c r="H364" s="2046"/>
      <c r="I364" s="2046"/>
      <c r="J364" s="2046"/>
      <c r="K364" s="2046"/>
      <c r="L364" s="2046"/>
      <c r="M364" s="2046"/>
    </row>
    <row r="365" spans="2:13" x14ac:dyDescent="0.25">
      <c r="B365" s="2046"/>
      <c r="C365" s="2046"/>
      <c r="D365" s="2046"/>
      <c r="E365" s="2046"/>
      <c r="F365" s="2046"/>
      <c r="G365" s="2046"/>
      <c r="H365" s="2046"/>
      <c r="I365" s="2046"/>
      <c r="J365" s="2046"/>
      <c r="K365" s="2046"/>
      <c r="L365" s="2046"/>
      <c r="M365" s="2046"/>
    </row>
    <row r="366" spans="2:13" x14ac:dyDescent="0.25">
      <c r="B366" s="2046"/>
      <c r="C366" s="2046"/>
      <c r="D366" s="2046"/>
      <c r="E366" s="2046"/>
      <c r="F366" s="2046"/>
      <c r="G366" s="2046"/>
      <c r="H366" s="2046"/>
      <c r="I366" s="2046"/>
      <c r="J366" s="2046"/>
      <c r="K366" s="2046"/>
      <c r="L366" s="2046"/>
      <c r="M366" s="2046"/>
    </row>
    <row r="367" spans="2:13" x14ac:dyDescent="0.25">
      <c r="B367" s="2046"/>
      <c r="C367" s="2046"/>
      <c r="D367" s="2046"/>
      <c r="E367" s="2046"/>
      <c r="F367" s="2046"/>
      <c r="G367" s="2046"/>
      <c r="H367" s="2046"/>
      <c r="I367" s="2046"/>
      <c r="J367" s="2046"/>
      <c r="K367" s="2046"/>
      <c r="L367" s="2046"/>
      <c r="M367" s="2046"/>
    </row>
    <row r="368" spans="2:13" x14ac:dyDescent="0.25">
      <c r="B368" s="2046"/>
      <c r="C368" s="2046"/>
      <c r="D368" s="2046"/>
      <c r="E368" s="2046"/>
      <c r="F368" s="2046"/>
      <c r="G368" s="2046"/>
      <c r="H368" s="2046"/>
      <c r="I368" s="2046"/>
      <c r="J368" s="2046"/>
      <c r="K368" s="2046"/>
      <c r="L368" s="2046"/>
      <c r="M368" s="2046"/>
    </row>
    <row r="369" spans="2:13" x14ac:dyDescent="0.25">
      <c r="B369" s="2046"/>
      <c r="C369" s="2046"/>
      <c r="D369" s="2046"/>
      <c r="E369" s="2046"/>
      <c r="F369" s="2046"/>
      <c r="G369" s="2046"/>
      <c r="H369" s="2046"/>
      <c r="I369" s="2046"/>
      <c r="J369" s="2046"/>
      <c r="K369" s="2046"/>
      <c r="L369" s="2046"/>
      <c r="M369" s="2046"/>
    </row>
    <row r="370" spans="2:13" x14ac:dyDescent="0.25">
      <c r="B370" s="2046"/>
      <c r="C370" s="2046"/>
      <c r="D370" s="2046"/>
      <c r="E370" s="2046"/>
      <c r="F370" s="2046"/>
      <c r="G370" s="2046"/>
      <c r="H370" s="2046"/>
      <c r="I370" s="2046"/>
      <c r="J370" s="2046"/>
      <c r="K370" s="2046"/>
      <c r="L370" s="2046"/>
      <c r="M370" s="2046"/>
    </row>
    <row r="371" spans="2:13" x14ac:dyDescent="0.25">
      <c r="B371" s="2046"/>
      <c r="C371" s="2046"/>
      <c r="D371" s="2046"/>
      <c r="E371" s="2046"/>
      <c r="F371" s="2046"/>
      <c r="G371" s="2046"/>
      <c r="H371" s="2046"/>
      <c r="I371" s="2046"/>
      <c r="J371" s="2046"/>
      <c r="K371" s="2046"/>
      <c r="L371" s="2046"/>
      <c r="M371" s="2046"/>
    </row>
    <row r="372" spans="2:13" x14ac:dyDescent="0.25">
      <c r="B372" s="708" t="s">
        <v>5387</v>
      </c>
    </row>
    <row r="373" spans="2:13" x14ac:dyDescent="0.25">
      <c r="B373" s="2021"/>
      <c r="C373" s="2022"/>
      <c r="D373" s="2022"/>
      <c r="E373" s="2022"/>
      <c r="F373" s="2022"/>
      <c r="G373" s="2022"/>
      <c r="H373" s="2022"/>
      <c r="I373" s="2022"/>
      <c r="J373" s="2022"/>
      <c r="K373" s="2022"/>
      <c r="L373" s="2022"/>
      <c r="M373" s="2023"/>
    </row>
    <row r="374" spans="2:13" x14ac:dyDescent="0.25">
      <c r="B374" s="2024"/>
      <c r="C374" s="2025"/>
      <c r="D374" s="2025"/>
      <c r="E374" s="2025"/>
      <c r="F374" s="2025"/>
      <c r="G374" s="2025"/>
      <c r="H374" s="2025"/>
      <c r="I374" s="2025"/>
      <c r="J374" s="2025"/>
      <c r="K374" s="2025"/>
      <c r="L374" s="2025"/>
      <c r="M374" s="2026"/>
    </row>
    <row r="375" spans="2:13" x14ac:dyDescent="0.25">
      <c r="B375" s="2027"/>
      <c r="C375" s="2028"/>
      <c r="D375" s="2028"/>
      <c r="E375" s="2028"/>
      <c r="F375" s="2028"/>
      <c r="G375" s="2028"/>
      <c r="H375" s="2028"/>
      <c r="I375" s="2028"/>
      <c r="J375" s="2028"/>
      <c r="K375" s="2028"/>
      <c r="L375" s="2028"/>
      <c r="M375" s="2029"/>
    </row>
  </sheetData>
  <sheetProtection password="9AA6" sheet="1" objects="1" scenarios="1"/>
  <mergeCells count="85">
    <mergeCell ref="B352:M352"/>
    <mergeCell ref="B353:M371"/>
    <mergeCell ref="B373:M375"/>
    <mergeCell ref="B326:M344"/>
    <mergeCell ref="B346:M348"/>
    <mergeCell ref="B350:D350"/>
    <mergeCell ref="E350:M350"/>
    <mergeCell ref="B351:D351"/>
    <mergeCell ref="E351:M351"/>
    <mergeCell ref="B286:M288"/>
    <mergeCell ref="B325:M325"/>
    <mergeCell ref="B296:D296"/>
    <mergeCell ref="E296:M296"/>
    <mergeCell ref="B297:D297"/>
    <mergeCell ref="E297:M297"/>
    <mergeCell ref="B298:M298"/>
    <mergeCell ref="B299:M317"/>
    <mergeCell ref="B319:M321"/>
    <mergeCell ref="B323:D323"/>
    <mergeCell ref="E323:M323"/>
    <mergeCell ref="B324:D324"/>
    <mergeCell ref="E324:M324"/>
    <mergeCell ref="B292:M294"/>
    <mergeCell ref="B251:M253"/>
    <mergeCell ref="B258:M260"/>
    <mergeCell ref="B263:M284"/>
    <mergeCell ref="N228:Q249"/>
    <mergeCell ref="B171:M189"/>
    <mergeCell ref="B191:M193"/>
    <mergeCell ref="B195:D195"/>
    <mergeCell ref="E195:F195"/>
    <mergeCell ref="G195:M195"/>
    <mergeCell ref="B196:M196"/>
    <mergeCell ref="B197:M215"/>
    <mergeCell ref="B217:M219"/>
    <mergeCell ref="J221:K221"/>
    <mergeCell ref="B223:M224"/>
    <mergeCell ref="B228:M249"/>
    <mergeCell ref="N263:Q284"/>
    <mergeCell ref="B170:M170"/>
    <mergeCell ref="B119:M137"/>
    <mergeCell ref="B139:M141"/>
    <mergeCell ref="B143:D143"/>
    <mergeCell ref="E143:F143"/>
    <mergeCell ref="G143:M143"/>
    <mergeCell ref="B144:M144"/>
    <mergeCell ref="B145:M163"/>
    <mergeCell ref="B165:M167"/>
    <mergeCell ref="B169:D169"/>
    <mergeCell ref="E169:F169"/>
    <mergeCell ref="G169:M169"/>
    <mergeCell ref="B118:M118"/>
    <mergeCell ref="B89:E89"/>
    <mergeCell ref="F89:H89"/>
    <mergeCell ref="I89:K89"/>
    <mergeCell ref="L89:M89"/>
    <mergeCell ref="B90:M108"/>
    <mergeCell ref="B109:M110"/>
    <mergeCell ref="B112:M114"/>
    <mergeCell ref="B116:M116"/>
    <mergeCell ref="B117:D117"/>
    <mergeCell ref="E117:F117"/>
    <mergeCell ref="G117:M117"/>
    <mergeCell ref="B77:M79"/>
    <mergeCell ref="B83:M85"/>
    <mergeCell ref="B87:M87"/>
    <mergeCell ref="B88:E88"/>
    <mergeCell ref="F88:H88"/>
    <mergeCell ref="I88:K88"/>
    <mergeCell ref="L88:M88"/>
    <mergeCell ref="B57:M75"/>
    <mergeCell ref="B6:M7"/>
    <mergeCell ref="B11:M11"/>
    <mergeCell ref="B12:M30"/>
    <mergeCell ref="B32:M34"/>
    <mergeCell ref="B38:M39"/>
    <mergeCell ref="B43:D43"/>
    <mergeCell ref="E43:G43"/>
    <mergeCell ref="H43:J43"/>
    <mergeCell ref="K43:M43"/>
    <mergeCell ref="B44:D55"/>
    <mergeCell ref="E44:G55"/>
    <mergeCell ref="H44:J55"/>
    <mergeCell ref="K44:M55"/>
    <mergeCell ref="B56:M56"/>
  </mergeCells>
  <dataValidations disablePrompts="1" count="4">
    <dataValidation allowBlank="1" showInputMessage="1" showErrorMessage="1" promptTitle="Peligro:" prompt="Consignar el peligro correspondiente a la fuente de información establecida." sqref="E297:M297 E324:M324 E351:M351"/>
    <dataValidation allowBlank="1" showInputMessage="1" showErrorMessage="1" promptTitle="Fuente de información:" prompt="Consignar la fuente de información diferente a las fuentes antes mencionadas. Éstas fuentes pueden estar en las páginas de los Gobiernos Regionales, municipios, etc." sqref="E296:M296 E323:M323 E350:M350"/>
    <dataValidation allowBlank="1" showInputMessage="1" showErrorMessage="1" promptTitle="Análisis de información:" prompt="Consignar el análisis de los peligros asociado a la fuente de información obtenida." sqref="B77:M79 B112:M114 B191:M193 B139:M141 B286:M288 B217:M219 B251:M253 B165:M167 B319:M321 B346:M348 B373:M375 B32:M34"/>
    <dataValidation allowBlank="1" showInputMessage="1" showErrorMessage="1" prompt="Consignar el nombre de la estación hidrometeorológica." sqref="G117 G143 G169 G195"/>
  </dataValidations>
  <hyperlinks>
    <hyperlink ref="J81" r:id="rId1"/>
    <hyperlink ref="I36" r:id="rId2"/>
    <hyperlink ref="K4" r:id="rId3"/>
  </hyperlinks>
  <pageMargins left="0.70866141732283472" right="0.70866141732283472" top="0.74803149606299213" bottom="0.74803149606299213" header="0.31496062992125984" footer="0.31496062992125984"/>
  <pageSetup paperSize="9" scale="55" orientation="portrait" r:id="rId4"/>
  <headerFooter>
    <oddHeader>&amp;L&amp;"Arial,Negrita"&amp;9MINISTERIO DE DESARROLLO AGRARIO Y RIEGO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B1:O174"/>
  <sheetViews>
    <sheetView workbookViewId="0">
      <selection sqref="A1:XFD1048576"/>
    </sheetView>
  </sheetViews>
  <sheetFormatPr baseColWidth="10" defaultRowHeight="15" x14ac:dyDescent="0.25"/>
  <cols>
    <col min="1" max="1" width="5.7109375" style="50" customWidth="1"/>
    <col min="2" max="13" width="9" style="50" customWidth="1"/>
    <col min="14" max="15" width="9.140625" style="50" customWidth="1"/>
    <col min="16" max="16384" width="11.42578125" style="50"/>
  </cols>
  <sheetData>
    <row r="1" spans="2:13" ht="15.75" thickBot="1" x14ac:dyDescent="0.3"/>
    <row r="2" spans="2:13" x14ac:dyDescent="0.25">
      <c r="B2" s="2047" t="s">
        <v>5412</v>
      </c>
      <c r="C2" s="2048"/>
      <c r="D2" s="2048"/>
      <c r="E2" s="2048"/>
      <c r="F2" s="2048"/>
      <c r="G2" s="2048"/>
      <c r="H2" s="2048"/>
      <c r="I2" s="2048"/>
      <c r="J2" s="2049"/>
      <c r="K2" s="731"/>
      <c r="L2" s="732"/>
      <c r="M2" s="733"/>
    </row>
    <row r="3" spans="2:13" ht="6.75" customHeight="1" x14ac:dyDescent="0.25">
      <c r="B3" s="2050"/>
      <c r="C3" s="2051"/>
      <c r="D3" s="2051"/>
      <c r="E3" s="2051"/>
      <c r="F3" s="2051"/>
      <c r="G3" s="2051"/>
      <c r="H3" s="2051"/>
      <c r="I3" s="2051"/>
      <c r="J3" s="2052"/>
      <c r="K3" s="734"/>
      <c r="L3" s="321"/>
      <c r="M3" s="735"/>
    </row>
    <row r="4" spans="2:13" ht="21.75" customHeight="1" x14ac:dyDescent="0.25">
      <c r="B4" s="2050"/>
      <c r="C4" s="2051"/>
      <c r="D4" s="2051"/>
      <c r="E4" s="2051"/>
      <c r="F4" s="2051"/>
      <c r="G4" s="2051"/>
      <c r="H4" s="2051"/>
      <c r="I4" s="2051"/>
      <c r="J4" s="2052"/>
      <c r="K4" s="734"/>
      <c r="L4" s="321"/>
      <c r="M4" s="735"/>
    </row>
    <row r="5" spans="2:13" ht="7.5" customHeight="1" x14ac:dyDescent="0.25">
      <c r="B5" s="2050"/>
      <c r="C5" s="2051"/>
      <c r="D5" s="2051"/>
      <c r="E5" s="2051"/>
      <c r="F5" s="2051"/>
      <c r="G5" s="2051"/>
      <c r="H5" s="2051"/>
      <c r="I5" s="2051"/>
      <c r="J5" s="2052"/>
      <c r="K5" s="734"/>
      <c r="L5" s="321"/>
      <c r="M5" s="735"/>
    </row>
    <row r="6" spans="2:13" ht="7.5" customHeight="1" thickBot="1" x14ac:dyDescent="0.3">
      <c r="B6" s="2053"/>
      <c r="C6" s="2054"/>
      <c r="D6" s="2054"/>
      <c r="E6" s="2054"/>
      <c r="F6" s="2054"/>
      <c r="G6" s="2054"/>
      <c r="H6" s="2054"/>
      <c r="I6" s="2054"/>
      <c r="J6" s="2055"/>
      <c r="K6" s="736"/>
      <c r="L6" s="737"/>
      <c r="M6" s="738"/>
    </row>
    <row r="7" spans="2:13" ht="7.5" customHeight="1" x14ac:dyDescent="0.25"/>
    <row r="8" spans="2:13" ht="31.5" customHeight="1" x14ac:dyDescent="0.25">
      <c r="B8" s="2014" t="s">
        <v>5413</v>
      </c>
      <c r="C8" s="2015"/>
      <c r="D8" s="2016"/>
      <c r="E8" s="2014" t="str">
        <f>IFERROR(IF('AREA DE ESTUDIO'!B123="","",'AREA DE ESTUDIO'!B123),"")</f>
        <v/>
      </c>
      <c r="F8" s="2015"/>
      <c r="G8" s="2015"/>
      <c r="H8" s="2015"/>
      <c r="I8" s="2015"/>
      <c r="J8" s="2015"/>
      <c r="K8" s="2015"/>
      <c r="L8" s="2015"/>
      <c r="M8" s="2016"/>
    </row>
    <row r="9" spans="2:13" ht="18" customHeight="1" x14ac:dyDescent="0.25">
      <c r="B9" s="2007"/>
      <c r="C9" s="2007"/>
      <c r="D9" s="2007"/>
      <c r="E9" s="2007"/>
      <c r="F9" s="2007"/>
      <c r="G9" s="2007"/>
      <c r="H9" s="2007"/>
      <c r="I9" s="2007"/>
      <c r="J9" s="2007"/>
      <c r="K9" s="2007"/>
      <c r="L9" s="2007"/>
      <c r="M9" s="2007"/>
    </row>
    <row r="10" spans="2:13" ht="18" customHeight="1" x14ac:dyDescent="0.25">
      <c r="B10" s="2007"/>
      <c r="C10" s="2007"/>
      <c r="D10" s="2007"/>
      <c r="E10" s="2007"/>
      <c r="F10" s="2007"/>
      <c r="G10" s="2007"/>
      <c r="H10" s="2007"/>
      <c r="I10" s="2007"/>
      <c r="J10" s="2007"/>
      <c r="K10" s="2007"/>
      <c r="L10" s="2007"/>
      <c r="M10" s="2007"/>
    </row>
    <row r="11" spans="2:13" ht="18" customHeight="1" x14ac:dyDescent="0.25">
      <c r="B11" s="2007"/>
      <c r="C11" s="2007"/>
      <c r="D11" s="2007"/>
      <c r="E11" s="2007"/>
      <c r="F11" s="2007"/>
      <c r="G11" s="2007"/>
      <c r="H11" s="2007"/>
      <c r="I11" s="2007"/>
      <c r="J11" s="2007"/>
      <c r="K11" s="2007"/>
      <c r="L11" s="2007"/>
      <c r="M11" s="2007"/>
    </row>
    <row r="12" spans="2:13" ht="18" customHeight="1" x14ac:dyDescent="0.25">
      <c r="B12" s="2007"/>
      <c r="C12" s="2007"/>
      <c r="D12" s="2007"/>
      <c r="E12" s="2007"/>
      <c r="F12" s="2007"/>
      <c r="G12" s="2007"/>
      <c r="H12" s="2007"/>
      <c r="I12" s="2007"/>
      <c r="J12" s="2007"/>
      <c r="K12" s="2007"/>
      <c r="L12" s="2007"/>
      <c r="M12" s="2007"/>
    </row>
    <row r="13" spans="2:13" ht="18" customHeight="1" x14ac:dyDescent="0.25">
      <c r="B13" s="2007"/>
      <c r="C13" s="2007"/>
      <c r="D13" s="2007"/>
      <c r="E13" s="2007"/>
      <c r="F13" s="2007"/>
      <c r="G13" s="2007"/>
      <c r="H13" s="2007"/>
      <c r="I13" s="2007"/>
      <c r="J13" s="2007"/>
      <c r="K13" s="2007"/>
      <c r="L13" s="2007"/>
      <c r="M13" s="2007"/>
    </row>
    <row r="14" spans="2:13" ht="18" customHeight="1" x14ac:dyDescent="0.25">
      <c r="B14" s="2007"/>
      <c r="C14" s="2007"/>
      <c r="D14" s="2007"/>
      <c r="E14" s="2007"/>
      <c r="F14" s="2007"/>
      <c r="G14" s="2007"/>
      <c r="H14" s="2007"/>
      <c r="I14" s="2007"/>
      <c r="J14" s="2007"/>
      <c r="K14" s="2007"/>
      <c r="L14" s="2007"/>
      <c r="M14" s="2007"/>
    </row>
    <row r="15" spans="2:13" ht="18" customHeight="1" x14ac:dyDescent="0.25">
      <c r="B15" s="2007"/>
      <c r="C15" s="2007"/>
      <c r="D15" s="2007"/>
      <c r="E15" s="2007"/>
      <c r="F15" s="2007"/>
      <c r="G15" s="2007"/>
      <c r="H15" s="2007"/>
      <c r="I15" s="2007"/>
      <c r="J15" s="2007"/>
      <c r="K15" s="2007"/>
      <c r="L15" s="2007"/>
      <c r="M15" s="2007"/>
    </row>
    <row r="16" spans="2:13" ht="18" customHeight="1" x14ac:dyDescent="0.25">
      <c r="B16" s="2007"/>
      <c r="C16" s="2007"/>
      <c r="D16" s="2007"/>
      <c r="E16" s="2007"/>
      <c r="F16" s="2007"/>
      <c r="G16" s="2007"/>
      <c r="H16" s="2007"/>
      <c r="I16" s="2007"/>
      <c r="J16" s="2007"/>
      <c r="K16" s="2007"/>
      <c r="L16" s="2007"/>
      <c r="M16" s="2007"/>
    </row>
    <row r="17" spans="2:13" ht="18" customHeight="1" x14ac:dyDescent="0.25">
      <c r="B17" s="2007"/>
      <c r="C17" s="2007"/>
      <c r="D17" s="2007"/>
      <c r="E17" s="2007"/>
      <c r="F17" s="2007"/>
      <c r="G17" s="2007"/>
      <c r="H17" s="2007"/>
      <c r="I17" s="2007"/>
      <c r="J17" s="2007"/>
      <c r="K17" s="2007"/>
      <c r="L17" s="2007"/>
      <c r="M17" s="2007"/>
    </row>
    <row r="18" spans="2:13" ht="18" customHeight="1" x14ac:dyDescent="0.25">
      <c r="B18" s="2007"/>
      <c r="C18" s="2007"/>
      <c r="D18" s="2007"/>
      <c r="E18" s="2007"/>
      <c r="F18" s="2007"/>
      <c r="G18" s="2007"/>
      <c r="H18" s="2007"/>
      <c r="I18" s="2007"/>
      <c r="J18" s="2007"/>
      <c r="K18" s="2007"/>
      <c r="L18" s="2007"/>
      <c r="M18" s="2007"/>
    </row>
    <row r="19" spans="2:13" ht="18" customHeight="1" x14ac:dyDescent="0.25">
      <c r="B19" s="2007"/>
      <c r="C19" s="2007"/>
      <c r="D19" s="2007"/>
      <c r="E19" s="2007"/>
      <c r="F19" s="2007"/>
      <c r="G19" s="2007"/>
      <c r="H19" s="2007"/>
      <c r="I19" s="2007"/>
      <c r="J19" s="2007"/>
      <c r="K19" s="2007"/>
      <c r="L19" s="2007"/>
      <c r="M19" s="2007"/>
    </row>
    <row r="20" spans="2:13" ht="18" customHeight="1" x14ac:dyDescent="0.25">
      <c r="B20" s="2007"/>
      <c r="C20" s="2007"/>
      <c r="D20" s="2007"/>
      <c r="E20" s="2007"/>
      <c r="F20" s="2007"/>
      <c r="G20" s="2007"/>
      <c r="H20" s="2007"/>
      <c r="I20" s="2007"/>
      <c r="J20" s="2007"/>
      <c r="K20" s="2007"/>
      <c r="L20" s="2007"/>
      <c r="M20" s="2007"/>
    </row>
    <row r="21" spans="2:13" ht="18" customHeight="1" x14ac:dyDescent="0.25">
      <c r="B21" s="2007"/>
      <c r="C21" s="2007"/>
      <c r="D21" s="2007"/>
      <c r="E21" s="2007"/>
      <c r="F21" s="2007"/>
      <c r="G21" s="2007"/>
      <c r="H21" s="2007"/>
      <c r="I21" s="2007"/>
      <c r="J21" s="2007"/>
      <c r="K21" s="2007"/>
      <c r="L21" s="2007"/>
      <c r="M21" s="2007"/>
    </row>
    <row r="22" spans="2:13" ht="18" customHeight="1" x14ac:dyDescent="0.25">
      <c r="B22" s="2007"/>
      <c r="C22" s="2007"/>
      <c r="D22" s="2007"/>
      <c r="E22" s="2007"/>
      <c r="F22" s="2007"/>
      <c r="G22" s="2007"/>
      <c r="H22" s="2007"/>
      <c r="I22" s="2007"/>
      <c r="J22" s="2007"/>
      <c r="K22" s="2007"/>
      <c r="L22" s="2007"/>
      <c r="M22" s="2007"/>
    </row>
    <row r="23" spans="2:13" ht="18" customHeight="1" x14ac:dyDescent="0.25">
      <c r="B23" s="2007"/>
      <c r="C23" s="2007"/>
      <c r="D23" s="2007"/>
      <c r="E23" s="2007"/>
      <c r="F23" s="2007"/>
      <c r="G23" s="2007"/>
      <c r="H23" s="2007"/>
      <c r="I23" s="2007"/>
      <c r="J23" s="2007"/>
      <c r="K23" s="2007"/>
      <c r="L23" s="2007"/>
      <c r="M23" s="2007"/>
    </row>
    <row r="24" spans="2:13" ht="18" customHeight="1" x14ac:dyDescent="0.25">
      <c r="B24" s="2007"/>
      <c r="C24" s="2007"/>
      <c r="D24" s="2007"/>
      <c r="E24" s="2007"/>
      <c r="F24" s="2007"/>
      <c r="G24" s="2007"/>
      <c r="H24" s="2007"/>
      <c r="I24" s="2007"/>
      <c r="J24" s="2007"/>
      <c r="K24" s="2007"/>
      <c r="L24" s="2007"/>
      <c r="M24" s="2007"/>
    </row>
    <row r="25" spans="2:13" ht="18" customHeight="1" x14ac:dyDescent="0.25">
      <c r="B25" s="2007"/>
      <c r="C25" s="2007"/>
      <c r="D25" s="2007"/>
      <c r="E25" s="2007"/>
      <c r="F25" s="2007"/>
      <c r="G25" s="2007"/>
      <c r="H25" s="2007"/>
      <c r="I25" s="2007"/>
      <c r="J25" s="2007"/>
      <c r="K25" s="2007"/>
      <c r="L25" s="2007"/>
      <c r="M25" s="2007"/>
    </row>
    <row r="26" spans="2:13" ht="18" customHeight="1" x14ac:dyDescent="0.25">
      <c r="B26" s="2007"/>
      <c r="C26" s="2007"/>
      <c r="D26" s="2007"/>
      <c r="E26" s="2007"/>
      <c r="F26" s="2007"/>
      <c r="G26" s="2007"/>
      <c r="H26" s="2007"/>
      <c r="I26" s="2007"/>
      <c r="J26" s="2007"/>
      <c r="K26" s="2007"/>
      <c r="L26" s="2007"/>
      <c r="M26" s="2007"/>
    </row>
    <row r="27" spans="2:13" ht="18" customHeight="1" x14ac:dyDescent="0.25">
      <c r="B27" s="2056"/>
      <c r="C27" s="2056"/>
      <c r="D27" s="2056"/>
      <c r="E27" s="2056"/>
      <c r="F27" s="2056"/>
      <c r="G27" s="2056"/>
      <c r="H27" s="2056"/>
      <c r="I27" s="2056"/>
      <c r="J27" s="2056"/>
      <c r="K27" s="2056"/>
      <c r="L27" s="2056"/>
      <c r="M27" s="2056"/>
    </row>
    <row r="28" spans="2:13" ht="20.25" customHeight="1" x14ac:dyDescent="0.25">
      <c r="B28" s="2057" t="s">
        <v>23</v>
      </c>
      <c r="C28" s="2058"/>
      <c r="D28" s="2058"/>
      <c r="E28" s="2059" t="s">
        <v>5414</v>
      </c>
      <c r="F28" s="2060"/>
      <c r="G28" s="2060"/>
      <c r="H28" s="2060"/>
      <c r="I28" s="2060"/>
      <c r="J28" s="2060"/>
      <c r="K28" s="2060"/>
      <c r="L28" s="2060"/>
      <c r="M28" s="2061"/>
    </row>
    <row r="29" spans="2:13" ht="5.25" customHeight="1" x14ac:dyDescent="0.25">
      <c r="B29" s="739"/>
      <c r="C29" s="739"/>
      <c r="D29" s="739"/>
    </row>
    <row r="30" spans="2:13" ht="20.25" customHeight="1" x14ac:dyDescent="0.25">
      <c r="B30" s="2067" t="s">
        <v>5415</v>
      </c>
      <c r="C30" s="2068"/>
      <c r="D30" s="2068"/>
      <c r="E30" s="2068"/>
      <c r="F30" s="2068"/>
      <c r="G30" s="2068"/>
      <c r="H30" s="2068"/>
      <c r="I30" s="2068"/>
      <c r="J30" s="2068"/>
      <c r="K30" s="2068"/>
      <c r="L30" s="2068"/>
      <c r="M30" s="2069"/>
    </row>
    <row r="31" spans="2:13" ht="4.5" customHeight="1" x14ac:dyDescent="0.25">
      <c r="B31" s="740"/>
    </row>
    <row r="32" spans="2:13" x14ac:dyDescent="0.25">
      <c r="B32" s="2070"/>
      <c r="C32" s="2071"/>
      <c r="D32" s="2071"/>
      <c r="E32" s="2071"/>
      <c r="F32" s="2071"/>
      <c r="G32" s="2071"/>
      <c r="H32" s="2071"/>
      <c r="I32" s="2071"/>
      <c r="J32" s="2071"/>
      <c r="K32" s="2071"/>
      <c r="L32" s="2071"/>
      <c r="M32" s="2072"/>
    </row>
    <row r="33" spans="2:14" x14ac:dyDescent="0.25">
      <c r="B33" s="2073"/>
      <c r="C33" s="2074"/>
      <c r="D33" s="2074"/>
      <c r="E33" s="2074"/>
      <c r="F33" s="2074"/>
      <c r="G33" s="2074"/>
      <c r="H33" s="2074"/>
      <c r="I33" s="2074"/>
      <c r="J33" s="2074"/>
      <c r="K33" s="2074"/>
      <c r="L33" s="2074"/>
      <c r="M33" s="2075"/>
      <c r="N33" s="321"/>
    </row>
    <row r="34" spans="2:14" x14ac:dyDescent="0.25">
      <c r="B34" s="2076"/>
      <c r="C34" s="2077"/>
      <c r="D34" s="2077"/>
      <c r="E34" s="2077"/>
      <c r="F34" s="2077"/>
      <c r="G34" s="2077"/>
      <c r="H34" s="2077"/>
      <c r="I34" s="2077"/>
      <c r="J34" s="2077"/>
      <c r="K34" s="2077"/>
      <c r="L34" s="2077"/>
      <c r="M34" s="2078"/>
    </row>
    <row r="36" spans="2:14" ht="31.5" customHeight="1" x14ac:dyDescent="0.25">
      <c r="B36" s="2014" t="s">
        <v>5413</v>
      </c>
      <c r="C36" s="2015"/>
      <c r="D36" s="2016"/>
      <c r="E36" s="2014" t="str">
        <f>IFERROR(IF('AREA DE ESTUDIO'!B124="","",'AREA DE ESTUDIO'!B124),"")</f>
        <v/>
      </c>
      <c r="F36" s="2015"/>
      <c r="G36" s="2015"/>
      <c r="H36" s="2015"/>
      <c r="I36" s="2015"/>
      <c r="J36" s="2015"/>
      <c r="K36" s="2015"/>
      <c r="L36" s="2015"/>
      <c r="M36" s="2016"/>
    </row>
    <row r="37" spans="2:14" ht="18" customHeight="1" x14ac:dyDescent="0.25">
      <c r="B37" s="2007"/>
      <c r="C37" s="2007"/>
      <c r="D37" s="2007"/>
      <c r="E37" s="2007"/>
      <c r="F37" s="2007"/>
      <c r="G37" s="2007"/>
      <c r="H37" s="2007"/>
      <c r="I37" s="2007"/>
      <c r="J37" s="2007"/>
      <c r="K37" s="2007"/>
      <c r="L37" s="2007"/>
      <c r="M37" s="2007"/>
    </row>
    <row r="38" spans="2:14" ht="18" customHeight="1" x14ac:dyDescent="0.25">
      <c r="B38" s="2007"/>
      <c r="C38" s="2007"/>
      <c r="D38" s="2007"/>
      <c r="E38" s="2007"/>
      <c r="F38" s="2007"/>
      <c r="G38" s="2007"/>
      <c r="H38" s="2007"/>
      <c r="I38" s="2007"/>
      <c r="J38" s="2007"/>
      <c r="K38" s="2007"/>
      <c r="L38" s="2007"/>
      <c r="M38" s="2007"/>
    </row>
    <row r="39" spans="2:14" ht="18" customHeight="1" x14ac:dyDescent="0.25">
      <c r="B39" s="2007"/>
      <c r="C39" s="2007"/>
      <c r="D39" s="2007"/>
      <c r="E39" s="2007"/>
      <c r="F39" s="2007"/>
      <c r="G39" s="2007"/>
      <c r="H39" s="2007"/>
      <c r="I39" s="2007"/>
      <c r="J39" s="2007"/>
      <c r="K39" s="2007"/>
      <c r="L39" s="2007"/>
      <c r="M39" s="2007"/>
    </row>
    <row r="40" spans="2:14" ht="18" customHeight="1" x14ac:dyDescent="0.25">
      <c r="B40" s="2007"/>
      <c r="C40" s="2007"/>
      <c r="D40" s="2007"/>
      <c r="E40" s="2007"/>
      <c r="F40" s="2007"/>
      <c r="G40" s="2007"/>
      <c r="H40" s="2007"/>
      <c r="I40" s="2007"/>
      <c r="J40" s="2007"/>
      <c r="K40" s="2007"/>
      <c r="L40" s="2007"/>
      <c r="M40" s="2007"/>
    </row>
    <row r="41" spans="2:14" ht="18" customHeight="1" x14ac:dyDescent="0.25">
      <c r="B41" s="2007"/>
      <c r="C41" s="2007"/>
      <c r="D41" s="2007"/>
      <c r="E41" s="2007"/>
      <c r="F41" s="2007"/>
      <c r="G41" s="2007"/>
      <c r="H41" s="2007"/>
      <c r="I41" s="2007"/>
      <c r="J41" s="2007"/>
      <c r="K41" s="2007"/>
      <c r="L41" s="2007"/>
      <c r="M41" s="2007"/>
    </row>
    <row r="42" spans="2:14" ht="18" customHeight="1" x14ac:dyDescent="0.25">
      <c r="B42" s="2007"/>
      <c r="C42" s="2007"/>
      <c r="D42" s="2007"/>
      <c r="E42" s="2007"/>
      <c r="F42" s="2007"/>
      <c r="G42" s="2007"/>
      <c r="H42" s="2007"/>
      <c r="I42" s="2007"/>
      <c r="J42" s="2007"/>
      <c r="K42" s="2007"/>
      <c r="L42" s="2007"/>
      <c r="M42" s="2007"/>
    </row>
    <row r="43" spans="2:14" ht="18" customHeight="1" x14ac:dyDescent="0.25">
      <c r="B43" s="2007"/>
      <c r="C43" s="2007"/>
      <c r="D43" s="2007"/>
      <c r="E43" s="2007"/>
      <c r="F43" s="2007"/>
      <c r="G43" s="2007"/>
      <c r="H43" s="2007"/>
      <c r="I43" s="2007"/>
      <c r="J43" s="2007"/>
      <c r="K43" s="2007"/>
      <c r="L43" s="2007"/>
      <c r="M43" s="2007"/>
    </row>
    <row r="44" spans="2:14" ht="18" customHeight="1" x14ac:dyDescent="0.25">
      <c r="B44" s="2007"/>
      <c r="C44" s="2007"/>
      <c r="D44" s="2007"/>
      <c r="E44" s="2007"/>
      <c r="F44" s="2007"/>
      <c r="G44" s="2007"/>
      <c r="H44" s="2007"/>
      <c r="I44" s="2007"/>
      <c r="J44" s="2007"/>
      <c r="K44" s="2007"/>
      <c r="L44" s="2007"/>
      <c r="M44" s="2007"/>
    </row>
    <row r="45" spans="2:14" ht="18" customHeight="1" x14ac:dyDescent="0.25">
      <c r="B45" s="2007"/>
      <c r="C45" s="2007"/>
      <c r="D45" s="2007"/>
      <c r="E45" s="2007"/>
      <c r="F45" s="2007"/>
      <c r="G45" s="2007"/>
      <c r="H45" s="2007"/>
      <c r="I45" s="2007"/>
      <c r="J45" s="2007"/>
      <c r="K45" s="2007"/>
      <c r="L45" s="2007"/>
      <c r="M45" s="2007"/>
    </row>
    <row r="46" spans="2:14" ht="18" customHeight="1" x14ac:dyDescent="0.25">
      <c r="B46" s="2007"/>
      <c r="C46" s="2007"/>
      <c r="D46" s="2007"/>
      <c r="E46" s="2007"/>
      <c r="F46" s="2007"/>
      <c r="G46" s="2007"/>
      <c r="H46" s="2007"/>
      <c r="I46" s="2007"/>
      <c r="J46" s="2007"/>
      <c r="K46" s="2007"/>
      <c r="L46" s="2007"/>
      <c r="M46" s="2007"/>
    </row>
    <row r="47" spans="2:14" ht="18" customHeight="1" x14ac:dyDescent="0.25">
      <c r="B47" s="2007"/>
      <c r="C47" s="2007"/>
      <c r="D47" s="2007"/>
      <c r="E47" s="2007"/>
      <c r="F47" s="2007"/>
      <c r="G47" s="2007"/>
      <c r="H47" s="2007"/>
      <c r="I47" s="2007"/>
      <c r="J47" s="2007"/>
      <c r="K47" s="2007"/>
      <c r="L47" s="2007"/>
      <c r="M47" s="2007"/>
    </row>
    <row r="48" spans="2:14" ht="18" customHeight="1" x14ac:dyDescent="0.25">
      <c r="B48" s="2007"/>
      <c r="C48" s="2007"/>
      <c r="D48" s="2007"/>
      <c r="E48" s="2007"/>
      <c r="F48" s="2007"/>
      <c r="G48" s="2007"/>
      <c r="H48" s="2007"/>
      <c r="I48" s="2007"/>
      <c r="J48" s="2007"/>
      <c r="K48" s="2007"/>
      <c r="L48" s="2007"/>
      <c r="M48" s="2007"/>
    </row>
    <row r="49" spans="2:14" ht="18" customHeight="1" x14ac:dyDescent="0.25">
      <c r="B49" s="2007"/>
      <c r="C49" s="2007"/>
      <c r="D49" s="2007"/>
      <c r="E49" s="2007"/>
      <c r="F49" s="2007"/>
      <c r="G49" s="2007"/>
      <c r="H49" s="2007"/>
      <c r="I49" s="2007"/>
      <c r="J49" s="2007"/>
      <c r="K49" s="2007"/>
      <c r="L49" s="2007"/>
      <c r="M49" s="2007"/>
    </row>
    <row r="50" spans="2:14" ht="18" customHeight="1" x14ac:dyDescent="0.25">
      <c r="B50" s="2007"/>
      <c r="C50" s="2007"/>
      <c r="D50" s="2007"/>
      <c r="E50" s="2007"/>
      <c r="F50" s="2007"/>
      <c r="G50" s="2007"/>
      <c r="H50" s="2007"/>
      <c r="I50" s="2007"/>
      <c r="J50" s="2007"/>
      <c r="K50" s="2007"/>
      <c r="L50" s="2007"/>
      <c r="M50" s="2007"/>
    </row>
    <row r="51" spans="2:14" ht="18" customHeight="1" x14ac:dyDescent="0.25">
      <c r="B51" s="2007"/>
      <c r="C51" s="2007"/>
      <c r="D51" s="2007"/>
      <c r="E51" s="2007"/>
      <c r="F51" s="2007"/>
      <c r="G51" s="2007"/>
      <c r="H51" s="2007"/>
      <c r="I51" s="2007"/>
      <c r="J51" s="2007"/>
      <c r="K51" s="2007"/>
      <c r="L51" s="2007"/>
      <c r="M51" s="2007"/>
    </row>
    <row r="52" spans="2:14" ht="18" customHeight="1" x14ac:dyDescent="0.25">
      <c r="B52" s="2007"/>
      <c r="C52" s="2007"/>
      <c r="D52" s="2007"/>
      <c r="E52" s="2007"/>
      <c r="F52" s="2007"/>
      <c r="G52" s="2007"/>
      <c r="H52" s="2007"/>
      <c r="I52" s="2007"/>
      <c r="J52" s="2007"/>
      <c r="K52" s="2007"/>
      <c r="L52" s="2007"/>
      <c r="M52" s="2007"/>
    </row>
    <row r="53" spans="2:14" ht="18" customHeight="1" x14ac:dyDescent="0.25">
      <c r="B53" s="2007"/>
      <c r="C53" s="2007"/>
      <c r="D53" s="2007"/>
      <c r="E53" s="2007"/>
      <c r="F53" s="2007"/>
      <c r="G53" s="2007"/>
      <c r="H53" s="2007"/>
      <c r="I53" s="2007"/>
      <c r="J53" s="2007"/>
      <c r="K53" s="2007"/>
      <c r="L53" s="2007"/>
      <c r="M53" s="2007"/>
    </row>
    <row r="54" spans="2:14" ht="18" customHeight="1" x14ac:dyDescent="0.25">
      <c r="B54" s="2007"/>
      <c r="C54" s="2007"/>
      <c r="D54" s="2007"/>
      <c r="E54" s="2007"/>
      <c r="F54" s="2007"/>
      <c r="G54" s="2007"/>
      <c r="H54" s="2007"/>
      <c r="I54" s="2007"/>
      <c r="J54" s="2007"/>
      <c r="K54" s="2007"/>
      <c r="L54" s="2007"/>
      <c r="M54" s="2007"/>
    </row>
    <row r="55" spans="2:14" ht="18" customHeight="1" x14ac:dyDescent="0.25">
      <c r="B55" s="2007"/>
      <c r="C55" s="2007"/>
      <c r="D55" s="2007"/>
      <c r="E55" s="2007"/>
      <c r="F55" s="2007"/>
      <c r="G55" s="2007"/>
      <c r="H55" s="2007"/>
      <c r="I55" s="2007"/>
      <c r="J55" s="2007"/>
      <c r="K55" s="2007"/>
      <c r="L55" s="2007"/>
      <c r="M55" s="2007"/>
    </row>
    <row r="56" spans="2:14" ht="20.25" customHeight="1" x14ac:dyDescent="0.25">
      <c r="B56" s="2062" t="s">
        <v>23</v>
      </c>
      <c r="C56" s="2063"/>
      <c r="D56" s="2063"/>
      <c r="E56" s="2064"/>
      <c r="F56" s="2065"/>
      <c r="G56" s="2065"/>
      <c r="H56" s="2065"/>
      <c r="I56" s="2065"/>
      <c r="J56" s="2065"/>
      <c r="K56" s="2065"/>
      <c r="L56" s="2065"/>
      <c r="M56" s="2066"/>
    </row>
    <row r="57" spans="2:14" ht="5.25" customHeight="1" x14ac:dyDescent="0.25">
      <c r="B57" s="739"/>
      <c r="C57" s="739"/>
      <c r="D57" s="739"/>
    </row>
    <row r="58" spans="2:14" ht="20.25" customHeight="1" x14ac:dyDescent="0.25">
      <c r="B58" s="2067" t="s">
        <v>5415</v>
      </c>
      <c r="C58" s="2068"/>
      <c r="D58" s="2068"/>
      <c r="E58" s="2068"/>
      <c r="F58" s="2068"/>
      <c r="G58" s="2068"/>
      <c r="H58" s="2068"/>
      <c r="I58" s="2068"/>
      <c r="J58" s="2068"/>
      <c r="K58" s="2068"/>
      <c r="L58" s="2068"/>
      <c r="M58" s="2069"/>
    </row>
    <row r="59" spans="2:14" ht="4.5" customHeight="1" x14ac:dyDescent="0.25">
      <c r="B59" s="740"/>
    </row>
    <row r="60" spans="2:14" x14ac:dyDescent="0.25">
      <c r="B60" s="2079"/>
      <c r="C60" s="2080"/>
      <c r="D60" s="2080"/>
      <c r="E60" s="2080"/>
      <c r="F60" s="2080"/>
      <c r="G60" s="2080"/>
      <c r="H60" s="2080"/>
      <c r="I60" s="2080"/>
      <c r="J60" s="2080"/>
      <c r="K60" s="2080"/>
      <c r="L60" s="2080"/>
      <c r="M60" s="2081"/>
    </row>
    <row r="61" spans="2:14" x14ac:dyDescent="0.25">
      <c r="B61" s="2082"/>
      <c r="C61" s="2083"/>
      <c r="D61" s="2083"/>
      <c r="E61" s="2083"/>
      <c r="F61" s="2083"/>
      <c r="G61" s="2083"/>
      <c r="H61" s="2083"/>
      <c r="I61" s="2083"/>
      <c r="J61" s="2083"/>
      <c r="K61" s="2083"/>
      <c r="L61" s="2083"/>
      <c r="M61" s="2084"/>
      <c r="N61" s="321"/>
    </row>
    <row r="62" spans="2:14" x14ac:dyDescent="0.25">
      <c r="B62" s="2085"/>
      <c r="C62" s="2086"/>
      <c r="D62" s="2086"/>
      <c r="E62" s="2086"/>
      <c r="F62" s="2086"/>
      <c r="G62" s="2086"/>
      <c r="H62" s="2086"/>
      <c r="I62" s="2086"/>
      <c r="J62" s="2086"/>
      <c r="K62" s="2086"/>
      <c r="L62" s="2086"/>
      <c r="M62" s="2087"/>
    </row>
    <row r="64" spans="2:14" ht="31.5" customHeight="1" x14ac:dyDescent="0.25">
      <c r="B64" s="2014" t="s">
        <v>5413</v>
      </c>
      <c r="C64" s="2015"/>
      <c r="D64" s="2016"/>
      <c r="E64" s="2014" t="str">
        <f>IFERROR(IF('AREA DE ESTUDIO'!B125="","",'AREA DE ESTUDIO'!B125),"")</f>
        <v/>
      </c>
      <c r="F64" s="2015"/>
      <c r="G64" s="2015"/>
      <c r="H64" s="2015"/>
      <c r="I64" s="2015"/>
      <c r="J64" s="2015"/>
      <c r="K64" s="2015"/>
      <c r="L64" s="2015"/>
      <c r="M64" s="2016"/>
    </row>
    <row r="65" spans="2:13" ht="18" customHeight="1" x14ac:dyDescent="0.25">
      <c r="B65" s="2007"/>
      <c r="C65" s="2007"/>
      <c r="D65" s="2007"/>
      <c r="E65" s="2007"/>
      <c r="F65" s="2007"/>
      <c r="G65" s="2007"/>
      <c r="H65" s="2007"/>
      <c r="I65" s="2007"/>
      <c r="J65" s="2007"/>
      <c r="K65" s="2007"/>
      <c r="L65" s="2007"/>
      <c r="M65" s="2007"/>
    </row>
    <row r="66" spans="2:13" ht="18" customHeight="1" x14ac:dyDescent="0.25">
      <c r="B66" s="2007"/>
      <c r="C66" s="2007"/>
      <c r="D66" s="2007"/>
      <c r="E66" s="2007"/>
      <c r="F66" s="2007"/>
      <c r="G66" s="2007"/>
      <c r="H66" s="2007"/>
      <c r="I66" s="2007"/>
      <c r="J66" s="2007"/>
      <c r="K66" s="2007"/>
      <c r="L66" s="2007"/>
      <c r="M66" s="2007"/>
    </row>
    <row r="67" spans="2:13" ht="18" customHeight="1" x14ac:dyDescent="0.25">
      <c r="B67" s="2007"/>
      <c r="C67" s="2007"/>
      <c r="D67" s="2007"/>
      <c r="E67" s="2007"/>
      <c r="F67" s="2007"/>
      <c r="G67" s="2007"/>
      <c r="H67" s="2007"/>
      <c r="I67" s="2007"/>
      <c r="J67" s="2007"/>
      <c r="K67" s="2007"/>
      <c r="L67" s="2007"/>
      <c r="M67" s="2007"/>
    </row>
    <row r="68" spans="2:13" ht="18" customHeight="1" x14ac:dyDescent="0.25">
      <c r="B68" s="2007"/>
      <c r="C68" s="2007"/>
      <c r="D68" s="2007"/>
      <c r="E68" s="2007"/>
      <c r="F68" s="2007"/>
      <c r="G68" s="2007"/>
      <c r="H68" s="2007"/>
      <c r="I68" s="2007"/>
      <c r="J68" s="2007"/>
      <c r="K68" s="2007"/>
      <c r="L68" s="2007"/>
      <c r="M68" s="2007"/>
    </row>
    <row r="69" spans="2:13" ht="18" customHeight="1" x14ac:dyDescent="0.25">
      <c r="B69" s="2007"/>
      <c r="C69" s="2007"/>
      <c r="D69" s="2007"/>
      <c r="E69" s="2007"/>
      <c r="F69" s="2007"/>
      <c r="G69" s="2007"/>
      <c r="H69" s="2007"/>
      <c r="I69" s="2007"/>
      <c r="J69" s="2007"/>
      <c r="K69" s="2007"/>
      <c r="L69" s="2007"/>
      <c r="M69" s="2007"/>
    </row>
    <row r="70" spans="2:13" ht="18" customHeight="1" x14ac:dyDescent="0.25">
      <c r="B70" s="2007"/>
      <c r="C70" s="2007"/>
      <c r="D70" s="2007"/>
      <c r="E70" s="2007"/>
      <c r="F70" s="2007"/>
      <c r="G70" s="2007"/>
      <c r="H70" s="2007"/>
      <c r="I70" s="2007"/>
      <c r="J70" s="2007"/>
      <c r="K70" s="2007"/>
      <c r="L70" s="2007"/>
      <c r="M70" s="2007"/>
    </row>
    <row r="71" spans="2:13" ht="18" customHeight="1" x14ac:dyDescent="0.25">
      <c r="B71" s="2007"/>
      <c r="C71" s="2007"/>
      <c r="D71" s="2007"/>
      <c r="E71" s="2007"/>
      <c r="F71" s="2007"/>
      <c r="G71" s="2007"/>
      <c r="H71" s="2007"/>
      <c r="I71" s="2007"/>
      <c r="J71" s="2007"/>
      <c r="K71" s="2007"/>
      <c r="L71" s="2007"/>
      <c r="M71" s="2007"/>
    </row>
    <row r="72" spans="2:13" ht="18" customHeight="1" x14ac:dyDescent="0.25">
      <c r="B72" s="2007"/>
      <c r="C72" s="2007"/>
      <c r="D72" s="2007"/>
      <c r="E72" s="2007"/>
      <c r="F72" s="2007"/>
      <c r="G72" s="2007"/>
      <c r="H72" s="2007"/>
      <c r="I72" s="2007"/>
      <c r="J72" s="2007"/>
      <c r="K72" s="2007"/>
      <c r="L72" s="2007"/>
      <c r="M72" s="2007"/>
    </row>
    <row r="73" spans="2:13" ht="18" customHeight="1" x14ac:dyDescent="0.25">
      <c r="B73" s="2007"/>
      <c r="C73" s="2007"/>
      <c r="D73" s="2007"/>
      <c r="E73" s="2007"/>
      <c r="F73" s="2007"/>
      <c r="G73" s="2007"/>
      <c r="H73" s="2007"/>
      <c r="I73" s="2007"/>
      <c r="J73" s="2007"/>
      <c r="K73" s="2007"/>
      <c r="L73" s="2007"/>
      <c r="M73" s="2007"/>
    </row>
    <row r="74" spans="2:13" ht="18" customHeight="1" x14ac:dyDescent="0.25">
      <c r="B74" s="2007"/>
      <c r="C74" s="2007"/>
      <c r="D74" s="2007"/>
      <c r="E74" s="2007"/>
      <c r="F74" s="2007"/>
      <c r="G74" s="2007"/>
      <c r="H74" s="2007"/>
      <c r="I74" s="2007"/>
      <c r="J74" s="2007"/>
      <c r="K74" s="2007"/>
      <c r="L74" s="2007"/>
      <c r="M74" s="2007"/>
    </row>
    <row r="75" spans="2:13" ht="18" customHeight="1" x14ac:dyDescent="0.25">
      <c r="B75" s="2007"/>
      <c r="C75" s="2007"/>
      <c r="D75" s="2007"/>
      <c r="E75" s="2007"/>
      <c r="F75" s="2007"/>
      <c r="G75" s="2007"/>
      <c r="H75" s="2007"/>
      <c r="I75" s="2007"/>
      <c r="J75" s="2007"/>
      <c r="K75" s="2007"/>
      <c r="L75" s="2007"/>
      <c r="M75" s="2007"/>
    </row>
    <row r="76" spans="2:13" ht="18" customHeight="1" x14ac:dyDescent="0.25">
      <c r="B76" s="2007"/>
      <c r="C76" s="2007"/>
      <c r="D76" s="2007"/>
      <c r="E76" s="2007"/>
      <c r="F76" s="2007"/>
      <c r="G76" s="2007"/>
      <c r="H76" s="2007"/>
      <c r="I76" s="2007"/>
      <c r="J76" s="2007"/>
      <c r="K76" s="2007"/>
      <c r="L76" s="2007"/>
      <c r="M76" s="2007"/>
    </row>
    <row r="77" spans="2:13" ht="18" customHeight="1" x14ac:dyDescent="0.25">
      <c r="B77" s="2007"/>
      <c r="C77" s="2007"/>
      <c r="D77" s="2007"/>
      <c r="E77" s="2007"/>
      <c r="F77" s="2007"/>
      <c r="G77" s="2007"/>
      <c r="H77" s="2007"/>
      <c r="I77" s="2007"/>
      <c r="J77" s="2007"/>
      <c r="K77" s="2007"/>
      <c r="L77" s="2007"/>
      <c r="M77" s="2007"/>
    </row>
    <row r="78" spans="2:13" ht="18" customHeight="1" x14ac:dyDescent="0.25">
      <c r="B78" s="2007"/>
      <c r="C78" s="2007"/>
      <c r="D78" s="2007"/>
      <c r="E78" s="2007"/>
      <c r="F78" s="2007"/>
      <c r="G78" s="2007"/>
      <c r="H78" s="2007"/>
      <c r="I78" s="2007"/>
      <c r="J78" s="2007"/>
      <c r="K78" s="2007"/>
      <c r="L78" s="2007"/>
      <c r="M78" s="2007"/>
    </row>
    <row r="79" spans="2:13" ht="18" customHeight="1" x14ac:dyDescent="0.25">
      <c r="B79" s="2007"/>
      <c r="C79" s="2007"/>
      <c r="D79" s="2007"/>
      <c r="E79" s="2007"/>
      <c r="F79" s="2007"/>
      <c r="G79" s="2007"/>
      <c r="H79" s="2007"/>
      <c r="I79" s="2007"/>
      <c r="J79" s="2007"/>
      <c r="K79" s="2007"/>
      <c r="L79" s="2007"/>
      <c r="M79" s="2007"/>
    </row>
    <row r="80" spans="2:13" ht="18" customHeight="1" x14ac:dyDescent="0.25">
      <c r="B80" s="2007"/>
      <c r="C80" s="2007"/>
      <c r="D80" s="2007"/>
      <c r="E80" s="2007"/>
      <c r="F80" s="2007"/>
      <c r="G80" s="2007"/>
      <c r="H80" s="2007"/>
      <c r="I80" s="2007"/>
      <c r="J80" s="2007"/>
      <c r="K80" s="2007"/>
      <c r="L80" s="2007"/>
      <c r="M80" s="2007"/>
    </row>
    <row r="81" spans="2:14" ht="18" customHeight="1" x14ac:dyDescent="0.25">
      <c r="B81" s="2007"/>
      <c r="C81" s="2007"/>
      <c r="D81" s="2007"/>
      <c r="E81" s="2007"/>
      <c r="F81" s="2007"/>
      <c r="G81" s="2007"/>
      <c r="H81" s="2007"/>
      <c r="I81" s="2007"/>
      <c r="J81" s="2007"/>
      <c r="K81" s="2007"/>
      <c r="L81" s="2007"/>
      <c r="M81" s="2007"/>
    </row>
    <row r="82" spans="2:14" ht="18" customHeight="1" x14ac:dyDescent="0.25">
      <c r="B82" s="2007"/>
      <c r="C82" s="2007"/>
      <c r="D82" s="2007"/>
      <c r="E82" s="2007"/>
      <c r="F82" s="2007"/>
      <c r="G82" s="2007"/>
      <c r="H82" s="2007"/>
      <c r="I82" s="2007"/>
      <c r="J82" s="2007"/>
      <c r="K82" s="2007"/>
      <c r="L82" s="2007"/>
      <c r="M82" s="2007"/>
    </row>
    <row r="83" spans="2:14" ht="18" customHeight="1" x14ac:dyDescent="0.25">
      <c r="B83" s="2007"/>
      <c r="C83" s="2007"/>
      <c r="D83" s="2007"/>
      <c r="E83" s="2007"/>
      <c r="F83" s="2007"/>
      <c r="G83" s="2007"/>
      <c r="H83" s="2007"/>
      <c r="I83" s="2007"/>
      <c r="J83" s="2007"/>
      <c r="K83" s="2007"/>
      <c r="L83" s="2007"/>
      <c r="M83" s="2007"/>
    </row>
    <row r="84" spans="2:14" ht="20.25" customHeight="1" x14ac:dyDescent="0.25">
      <c r="B84" s="2062" t="s">
        <v>23</v>
      </c>
      <c r="C84" s="2063"/>
      <c r="D84" s="2063"/>
      <c r="E84" s="2064"/>
      <c r="F84" s="2065"/>
      <c r="G84" s="2065"/>
      <c r="H84" s="2065"/>
      <c r="I84" s="2065"/>
      <c r="J84" s="2065"/>
      <c r="K84" s="2065"/>
      <c r="L84" s="2065"/>
      <c r="M84" s="2066"/>
    </row>
    <row r="85" spans="2:14" ht="5.25" customHeight="1" x14ac:dyDescent="0.25">
      <c r="B85" s="739"/>
      <c r="C85" s="739"/>
      <c r="D85" s="739"/>
    </row>
    <row r="86" spans="2:14" ht="20.25" customHeight="1" x14ac:dyDescent="0.25">
      <c r="B86" s="2067" t="s">
        <v>5415</v>
      </c>
      <c r="C86" s="2068"/>
      <c r="D86" s="2068"/>
      <c r="E86" s="2068"/>
      <c r="F86" s="2068"/>
      <c r="G86" s="2068"/>
      <c r="H86" s="2068"/>
      <c r="I86" s="2068"/>
      <c r="J86" s="2068"/>
      <c r="K86" s="2068"/>
      <c r="L86" s="2068"/>
      <c r="M86" s="2069"/>
    </row>
    <row r="87" spans="2:14" ht="4.5" customHeight="1" x14ac:dyDescent="0.25">
      <c r="B87" s="740"/>
    </row>
    <row r="88" spans="2:14" x14ac:dyDescent="0.25">
      <c r="B88" s="2079"/>
      <c r="C88" s="2080"/>
      <c r="D88" s="2080"/>
      <c r="E88" s="2080"/>
      <c r="F88" s="2080"/>
      <c r="G88" s="2080"/>
      <c r="H88" s="2080"/>
      <c r="I88" s="2080"/>
      <c r="J88" s="2080"/>
      <c r="K88" s="2080"/>
      <c r="L88" s="2080"/>
      <c r="M88" s="2081"/>
    </row>
    <row r="89" spans="2:14" x14ac:dyDescent="0.25">
      <c r="B89" s="2082"/>
      <c r="C89" s="2083"/>
      <c r="D89" s="2083"/>
      <c r="E89" s="2083"/>
      <c r="F89" s="2083"/>
      <c r="G89" s="2083"/>
      <c r="H89" s="2083"/>
      <c r="I89" s="2083"/>
      <c r="J89" s="2083"/>
      <c r="K89" s="2083"/>
      <c r="L89" s="2083"/>
      <c r="M89" s="2084"/>
      <c r="N89" s="321"/>
    </row>
    <row r="90" spans="2:14" x14ac:dyDescent="0.25">
      <c r="B90" s="2085"/>
      <c r="C90" s="2086"/>
      <c r="D90" s="2086"/>
      <c r="E90" s="2086"/>
      <c r="F90" s="2086"/>
      <c r="G90" s="2086"/>
      <c r="H90" s="2086"/>
      <c r="I90" s="2086"/>
      <c r="J90" s="2086"/>
      <c r="K90" s="2086"/>
      <c r="L90" s="2086"/>
      <c r="M90" s="2087"/>
    </row>
    <row r="92" spans="2:14" ht="31.5" customHeight="1" x14ac:dyDescent="0.25">
      <c r="B92" s="2014" t="s">
        <v>5413</v>
      </c>
      <c r="C92" s="2015"/>
      <c r="D92" s="2016"/>
      <c r="E92" s="2014" t="str">
        <f>IFERROR(IF('AREA DE ESTUDIO'!B126="","",'AREA DE ESTUDIO'!B126),"")</f>
        <v/>
      </c>
      <c r="F92" s="2015"/>
      <c r="G92" s="2015"/>
      <c r="H92" s="2015"/>
      <c r="I92" s="2015"/>
      <c r="J92" s="2015"/>
      <c r="K92" s="2015"/>
      <c r="L92" s="2015"/>
      <c r="M92" s="2016"/>
    </row>
    <row r="93" spans="2:14" ht="18" customHeight="1" x14ac:dyDescent="0.25">
      <c r="B93" s="2007"/>
      <c r="C93" s="2007"/>
      <c r="D93" s="2007"/>
      <c r="E93" s="2007"/>
      <c r="F93" s="2007"/>
      <c r="G93" s="2007"/>
      <c r="H93" s="2007"/>
      <c r="I93" s="2007"/>
      <c r="J93" s="2007"/>
      <c r="K93" s="2007"/>
      <c r="L93" s="2007"/>
      <c r="M93" s="2007"/>
    </row>
    <row r="94" spans="2:14" ht="18" customHeight="1" x14ac:dyDescent="0.25">
      <c r="B94" s="2007"/>
      <c r="C94" s="2007"/>
      <c r="D94" s="2007"/>
      <c r="E94" s="2007"/>
      <c r="F94" s="2007"/>
      <c r="G94" s="2007"/>
      <c r="H94" s="2007"/>
      <c r="I94" s="2007"/>
      <c r="J94" s="2007"/>
      <c r="K94" s="2007"/>
      <c r="L94" s="2007"/>
      <c r="M94" s="2007"/>
    </row>
    <row r="95" spans="2:14" ht="18" customHeight="1" x14ac:dyDescent="0.25">
      <c r="B95" s="2007"/>
      <c r="C95" s="2007"/>
      <c r="D95" s="2007"/>
      <c r="E95" s="2007"/>
      <c r="F95" s="2007"/>
      <c r="G95" s="2007"/>
      <c r="H95" s="2007"/>
      <c r="I95" s="2007"/>
      <c r="J95" s="2007"/>
      <c r="K95" s="2007"/>
      <c r="L95" s="2007"/>
      <c r="M95" s="2007"/>
    </row>
    <row r="96" spans="2:14" ht="18" customHeight="1" x14ac:dyDescent="0.25">
      <c r="B96" s="2007"/>
      <c r="C96" s="2007"/>
      <c r="D96" s="2007"/>
      <c r="E96" s="2007"/>
      <c r="F96" s="2007"/>
      <c r="G96" s="2007"/>
      <c r="H96" s="2007"/>
      <c r="I96" s="2007"/>
      <c r="J96" s="2007"/>
      <c r="K96" s="2007"/>
      <c r="L96" s="2007"/>
      <c r="M96" s="2007"/>
    </row>
    <row r="97" spans="2:15" ht="18" customHeight="1" x14ac:dyDescent="0.25">
      <c r="B97" s="2007"/>
      <c r="C97" s="2007"/>
      <c r="D97" s="2007"/>
      <c r="E97" s="2007"/>
      <c r="F97" s="2007"/>
      <c r="G97" s="2007"/>
      <c r="H97" s="2007"/>
      <c r="I97" s="2007"/>
      <c r="J97" s="2007"/>
      <c r="K97" s="2007"/>
      <c r="L97" s="2007"/>
      <c r="M97" s="2007"/>
    </row>
    <row r="98" spans="2:15" ht="18" customHeight="1" x14ac:dyDescent="0.25">
      <c r="B98" s="2007"/>
      <c r="C98" s="2007"/>
      <c r="D98" s="2007"/>
      <c r="E98" s="2007"/>
      <c r="F98" s="2007"/>
      <c r="G98" s="2007"/>
      <c r="H98" s="2007"/>
      <c r="I98" s="2007"/>
      <c r="J98" s="2007"/>
      <c r="K98" s="2007"/>
      <c r="L98" s="2007"/>
      <c r="M98" s="2007"/>
    </row>
    <row r="99" spans="2:15" ht="18" customHeight="1" x14ac:dyDescent="0.25">
      <c r="B99" s="2007"/>
      <c r="C99" s="2007"/>
      <c r="D99" s="2007"/>
      <c r="E99" s="2007"/>
      <c r="F99" s="2007"/>
      <c r="G99" s="2007"/>
      <c r="H99" s="2007"/>
      <c r="I99" s="2007"/>
      <c r="J99" s="2007"/>
      <c r="K99" s="2007"/>
      <c r="L99" s="2007"/>
      <c r="M99" s="2007"/>
    </row>
    <row r="100" spans="2:15" ht="18" customHeight="1" x14ac:dyDescent="0.25">
      <c r="B100" s="2007"/>
      <c r="C100" s="2007"/>
      <c r="D100" s="2007"/>
      <c r="E100" s="2007"/>
      <c r="F100" s="2007"/>
      <c r="G100" s="2007"/>
      <c r="H100" s="2007"/>
      <c r="I100" s="2007"/>
      <c r="J100" s="2007"/>
      <c r="K100" s="2007"/>
      <c r="L100" s="2007"/>
      <c r="M100" s="2007"/>
      <c r="O100" s="741"/>
    </row>
    <row r="101" spans="2:15" ht="18" customHeight="1" x14ac:dyDescent="0.25">
      <c r="B101" s="2007"/>
      <c r="C101" s="2007"/>
      <c r="D101" s="2007"/>
      <c r="E101" s="2007"/>
      <c r="F101" s="2007"/>
      <c r="G101" s="2007"/>
      <c r="H101" s="2007"/>
      <c r="I101" s="2007"/>
      <c r="J101" s="2007"/>
      <c r="K101" s="2007"/>
      <c r="L101" s="2007"/>
      <c r="M101" s="2007"/>
    </row>
    <row r="102" spans="2:15" ht="18" customHeight="1" x14ac:dyDescent="0.25">
      <c r="B102" s="2007"/>
      <c r="C102" s="2007"/>
      <c r="D102" s="2007"/>
      <c r="E102" s="2007"/>
      <c r="F102" s="2007"/>
      <c r="G102" s="2007"/>
      <c r="H102" s="2007"/>
      <c r="I102" s="2007"/>
      <c r="J102" s="2007"/>
      <c r="K102" s="2007"/>
      <c r="L102" s="2007"/>
      <c r="M102" s="2007"/>
    </row>
    <row r="103" spans="2:15" ht="18" customHeight="1" x14ac:dyDescent="0.25">
      <c r="B103" s="2007"/>
      <c r="C103" s="2007"/>
      <c r="D103" s="2007"/>
      <c r="E103" s="2007"/>
      <c r="F103" s="2007"/>
      <c r="G103" s="2007"/>
      <c r="H103" s="2007"/>
      <c r="I103" s="2007"/>
      <c r="J103" s="2007"/>
      <c r="K103" s="2007"/>
      <c r="L103" s="2007"/>
      <c r="M103" s="2007"/>
    </row>
    <row r="104" spans="2:15" ht="18" customHeight="1" x14ac:dyDescent="0.25">
      <c r="B104" s="2007"/>
      <c r="C104" s="2007"/>
      <c r="D104" s="2007"/>
      <c r="E104" s="2007"/>
      <c r="F104" s="2007"/>
      <c r="G104" s="2007"/>
      <c r="H104" s="2007"/>
      <c r="I104" s="2007"/>
      <c r="J104" s="2007"/>
      <c r="K104" s="2007"/>
      <c r="L104" s="2007"/>
      <c r="M104" s="2007"/>
    </row>
    <row r="105" spans="2:15" ht="18" customHeight="1" x14ac:dyDescent="0.25">
      <c r="B105" s="2007"/>
      <c r="C105" s="2007"/>
      <c r="D105" s="2007"/>
      <c r="E105" s="2007"/>
      <c r="F105" s="2007"/>
      <c r="G105" s="2007"/>
      <c r="H105" s="2007"/>
      <c r="I105" s="2007"/>
      <c r="J105" s="2007"/>
      <c r="K105" s="2007"/>
      <c r="L105" s="2007"/>
      <c r="M105" s="2007"/>
    </row>
    <row r="106" spans="2:15" ht="18" customHeight="1" x14ac:dyDescent="0.25">
      <c r="B106" s="2007"/>
      <c r="C106" s="2007"/>
      <c r="D106" s="2007"/>
      <c r="E106" s="2007"/>
      <c r="F106" s="2007"/>
      <c r="G106" s="2007"/>
      <c r="H106" s="2007"/>
      <c r="I106" s="2007"/>
      <c r="J106" s="2007"/>
      <c r="K106" s="2007"/>
      <c r="L106" s="2007"/>
      <c r="M106" s="2007"/>
    </row>
    <row r="107" spans="2:15" ht="18" customHeight="1" x14ac:dyDescent="0.25">
      <c r="B107" s="2007"/>
      <c r="C107" s="2007"/>
      <c r="D107" s="2007"/>
      <c r="E107" s="2007"/>
      <c r="F107" s="2007"/>
      <c r="G107" s="2007"/>
      <c r="H107" s="2007"/>
      <c r="I107" s="2007"/>
      <c r="J107" s="2007"/>
      <c r="K107" s="2007"/>
      <c r="L107" s="2007"/>
      <c r="M107" s="2007"/>
    </row>
    <row r="108" spans="2:15" ht="18" customHeight="1" x14ac:dyDescent="0.25">
      <c r="B108" s="2007"/>
      <c r="C108" s="2007"/>
      <c r="D108" s="2007"/>
      <c r="E108" s="2007"/>
      <c r="F108" s="2007"/>
      <c r="G108" s="2007"/>
      <c r="H108" s="2007"/>
      <c r="I108" s="2007"/>
      <c r="J108" s="2007"/>
      <c r="K108" s="2007"/>
      <c r="L108" s="2007"/>
      <c r="M108" s="2007"/>
    </row>
    <row r="109" spans="2:15" ht="18" customHeight="1" x14ac:dyDescent="0.25">
      <c r="B109" s="2007"/>
      <c r="C109" s="2007"/>
      <c r="D109" s="2007"/>
      <c r="E109" s="2007"/>
      <c r="F109" s="2007"/>
      <c r="G109" s="2007"/>
      <c r="H109" s="2007"/>
      <c r="I109" s="2007"/>
      <c r="J109" s="2007"/>
      <c r="K109" s="2007"/>
      <c r="L109" s="2007"/>
      <c r="M109" s="2007"/>
    </row>
    <row r="110" spans="2:15" ht="18" customHeight="1" x14ac:dyDescent="0.25">
      <c r="B110" s="2007"/>
      <c r="C110" s="2007"/>
      <c r="D110" s="2007"/>
      <c r="E110" s="2007"/>
      <c r="F110" s="2007"/>
      <c r="G110" s="2007"/>
      <c r="H110" s="2007"/>
      <c r="I110" s="2007"/>
      <c r="J110" s="2007"/>
      <c r="K110" s="2007"/>
      <c r="L110" s="2007"/>
      <c r="M110" s="2007"/>
    </row>
    <row r="111" spans="2:15" ht="18" customHeight="1" x14ac:dyDescent="0.25">
      <c r="B111" s="2007"/>
      <c r="C111" s="2007"/>
      <c r="D111" s="2007"/>
      <c r="E111" s="2007"/>
      <c r="F111" s="2007"/>
      <c r="G111" s="2007"/>
      <c r="H111" s="2007"/>
      <c r="I111" s="2007"/>
      <c r="J111" s="2007"/>
      <c r="K111" s="2007"/>
      <c r="L111" s="2007"/>
      <c r="M111" s="2007"/>
    </row>
    <row r="112" spans="2:15" ht="20.25" customHeight="1" x14ac:dyDescent="0.25">
      <c r="B112" s="2062" t="s">
        <v>23</v>
      </c>
      <c r="C112" s="2063"/>
      <c r="D112" s="2063"/>
      <c r="E112" s="2064"/>
      <c r="F112" s="2065"/>
      <c r="G112" s="2065"/>
      <c r="H112" s="2065"/>
      <c r="I112" s="2065"/>
      <c r="J112" s="2065"/>
      <c r="K112" s="2065"/>
      <c r="L112" s="2065"/>
      <c r="M112" s="2066"/>
    </row>
    <row r="113" spans="2:14" ht="5.25" customHeight="1" x14ac:dyDescent="0.25">
      <c r="B113" s="739"/>
      <c r="C113" s="739"/>
      <c r="D113" s="739"/>
    </row>
    <row r="114" spans="2:14" ht="20.25" customHeight="1" x14ac:dyDescent="0.25">
      <c r="B114" s="2067" t="s">
        <v>5415</v>
      </c>
      <c r="C114" s="2068"/>
      <c r="D114" s="2068"/>
      <c r="E114" s="2068"/>
      <c r="F114" s="2068"/>
      <c r="G114" s="2068"/>
      <c r="H114" s="2068"/>
      <c r="I114" s="2068"/>
      <c r="J114" s="2068"/>
      <c r="K114" s="2068"/>
      <c r="L114" s="2068"/>
      <c r="M114" s="2069"/>
    </row>
    <row r="115" spans="2:14" ht="4.5" customHeight="1" x14ac:dyDescent="0.25">
      <c r="B115" s="740"/>
    </row>
    <row r="116" spans="2:14" x14ac:dyDescent="0.25">
      <c r="B116" s="2079"/>
      <c r="C116" s="2080"/>
      <c r="D116" s="2080"/>
      <c r="E116" s="2080"/>
      <c r="F116" s="2080"/>
      <c r="G116" s="2080"/>
      <c r="H116" s="2080"/>
      <c r="I116" s="2080"/>
      <c r="J116" s="2080"/>
      <c r="K116" s="2080"/>
      <c r="L116" s="2080"/>
      <c r="M116" s="2081"/>
    </row>
    <row r="117" spans="2:14" x14ac:dyDescent="0.25">
      <c r="B117" s="2082"/>
      <c r="C117" s="2083"/>
      <c r="D117" s="2083"/>
      <c r="E117" s="2083"/>
      <c r="F117" s="2083"/>
      <c r="G117" s="2083"/>
      <c r="H117" s="2083"/>
      <c r="I117" s="2083"/>
      <c r="J117" s="2083"/>
      <c r="K117" s="2083"/>
      <c r="L117" s="2083"/>
      <c r="M117" s="2084"/>
      <c r="N117" s="321"/>
    </row>
    <row r="118" spans="2:14" x14ac:dyDescent="0.25">
      <c r="B118" s="2085"/>
      <c r="C118" s="2086"/>
      <c r="D118" s="2086"/>
      <c r="E118" s="2086"/>
      <c r="F118" s="2086"/>
      <c r="G118" s="2086"/>
      <c r="H118" s="2086"/>
      <c r="I118" s="2086"/>
      <c r="J118" s="2086"/>
      <c r="K118" s="2086"/>
      <c r="L118" s="2086"/>
      <c r="M118" s="2087"/>
    </row>
    <row r="120" spans="2:14" ht="31.5" customHeight="1" x14ac:dyDescent="0.25">
      <c r="B120" s="2014" t="s">
        <v>5413</v>
      </c>
      <c r="C120" s="2015"/>
      <c r="D120" s="2016"/>
      <c r="E120" s="2014" t="str">
        <f>IFERROR(IF('AREA DE ESTUDIO'!B127="","",'AREA DE ESTUDIO'!B127),"")</f>
        <v/>
      </c>
      <c r="F120" s="2015"/>
      <c r="G120" s="2015"/>
      <c r="H120" s="2015"/>
      <c r="I120" s="2015"/>
      <c r="J120" s="2015"/>
      <c r="K120" s="2015"/>
      <c r="L120" s="2015"/>
      <c r="M120" s="2016"/>
    </row>
    <row r="121" spans="2:14" ht="18" customHeight="1" x14ac:dyDescent="0.25">
      <c r="B121" s="2007"/>
      <c r="C121" s="2007"/>
      <c r="D121" s="2007"/>
      <c r="E121" s="2007"/>
      <c r="F121" s="2007"/>
      <c r="G121" s="2007"/>
      <c r="H121" s="2007"/>
      <c r="I121" s="2007"/>
      <c r="J121" s="2007"/>
      <c r="K121" s="2007"/>
      <c r="L121" s="2007"/>
      <c r="M121" s="2007"/>
    </row>
    <row r="122" spans="2:14" ht="18" customHeight="1" x14ac:dyDescent="0.25">
      <c r="B122" s="2007"/>
      <c r="C122" s="2007"/>
      <c r="D122" s="2007"/>
      <c r="E122" s="2007"/>
      <c r="F122" s="2007"/>
      <c r="G122" s="2007"/>
      <c r="H122" s="2007"/>
      <c r="I122" s="2007"/>
      <c r="J122" s="2007"/>
      <c r="K122" s="2007"/>
      <c r="L122" s="2007"/>
      <c r="M122" s="2007"/>
    </row>
    <row r="123" spans="2:14" ht="18" customHeight="1" x14ac:dyDescent="0.25">
      <c r="B123" s="2007"/>
      <c r="C123" s="2007"/>
      <c r="D123" s="2007"/>
      <c r="E123" s="2007"/>
      <c r="F123" s="2007"/>
      <c r="G123" s="2007"/>
      <c r="H123" s="2007"/>
      <c r="I123" s="2007"/>
      <c r="J123" s="2007"/>
      <c r="K123" s="2007"/>
      <c r="L123" s="2007"/>
      <c r="M123" s="2007"/>
    </row>
    <row r="124" spans="2:14" ht="18" customHeight="1" x14ac:dyDescent="0.25">
      <c r="B124" s="2007"/>
      <c r="C124" s="2007"/>
      <c r="D124" s="2007"/>
      <c r="E124" s="2007"/>
      <c r="F124" s="2007"/>
      <c r="G124" s="2007"/>
      <c r="H124" s="2007"/>
      <c r="I124" s="2007"/>
      <c r="J124" s="2007"/>
      <c r="K124" s="2007"/>
      <c r="L124" s="2007"/>
      <c r="M124" s="2007"/>
    </row>
    <row r="125" spans="2:14" ht="18" customHeight="1" x14ac:dyDescent="0.25">
      <c r="B125" s="2007"/>
      <c r="C125" s="2007"/>
      <c r="D125" s="2007"/>
      <c r="E125" s="2007"/>
      <c r="F125" s="2007"/>
      <c r="G125" s="2007"/>
      <c r="H125" s="2007"/>
      <c r="I125" s="2007"/>
      <c r="J125" s="2007"/>
      <c r="K125" s="2007"/>
      <c r="L125" s="2007"/>
      <c r="M125" s="2007"/>
    </row>
    <row r="126" spans="2:14" ht="18" customHeight="1" x14ac:dyDescent="0.25">
      <c r="B126" s="2007"/>
      <c r="C126" s="2007"/>
      <c r="D126" s="2007"/>
      <c r="E126" s="2007"/>
      <c r="F126" s="2007"/>
      <c r="G126" s="2007"/>
      <c r="H126" s="2007"/>
      <c r="I126" s="2007"/>
      <c r="J126" s="2007"/>
      <c r="K126" s="2007"/>
      <c r="L126" s="2007"/>
      <c r="M126" s="2007"/>
    </row>
    <row r="127" spans="2:14" ht="18" customHeight="1" x14ac:dyDescent="0.25">
      <c r="B127" s="2007"/>
      <c r="C127" s="2007"/>
      <c r="D127" s="2007"/>
      <c r="E127" s="2007"/>
      <c r="F127" s="2007"/>
      <c r="G127" s="2007"/>
      <c r="H127" s="2007"/>
      <c r="I127" s="2007"/>
      <c r="J127" s="2007"/>
      <c r="K127" s="2007"/>
      <c r="L127" s="2007"/>
      <c r="M127" s="2007"/>
    </row>
    <row r="128" spans="2:14" ht="18" customHeight="1" x14ac:dyDescent="0.25">
      <c r="B128" s="2007"/>
      <c r="C128" s="2007"/>
      <c r="D128" s="2007"/>
      <c r="E128" s="2007"/>
      <c r="F128" s="2007"/>
      <c r="G128" s="2007"/>
      <c r="H128" s="2007"/>
      <c r="I128" s="2007"/>
      <c r="J128" s="2007"/>
      <c r="K128" s="2007"/>
      <c r="L128" s="2007"/>
      <c r="M128" s="2007"/>
    </row>
    <row r="129" spans="2:13" ht="18" customHeight="1" x14ac:dyDescent="0.25">
      <c r="B129" s="2007"/>
      <c r="C129" s="2007"/>
      <c r="D129" s="2007"/>
      <c r="E129" s="2007"/>
      <c r="F129" s="2007"/>
      <c r="G129" s="2007"/>
      <c r="H129" s="2007"/>
      <c r="I129" s="2007"/>
      <c r="J129" s="2007"/>
      <c r="K129" s="2007"/>
      <c r="L129" s="2007"/>
      <c r="M129" s="2007"/>
    </row>
    <row r="130" spans="2:13" ht="18" customHeight="1" x14ac:dyDescent="0.25">
      <c r="B130" s="2007"/>
      <c r="C130" s="2007"/>
      <c r="D130" s="2007"/>
      <c r="E130" s="2007"/>
      <c r="F130" s="2007"/>
      <c r="G130" s="2007"/>
      <c r="H130" s="2007"/>
      <c r="I130" s="2007"/>
      <c r="J130" s="2007"/>
      <c r="K130" s="2007"/>
      <c r="L130" s="2007"/>
      <c r="M130" s="2007"/>
    </row>
    <row r="131" spans="2:13" ht="18" customHeight="1" x14ac:dyDescent="0.25">
      <c r="B131" s="2007"/>
      <c r="C131" s="2007"/>
      <c r="D131" s="2007"/>
      <c r="E131" s="2007"/>
      <c r="F131" s="2007"/>
      <c r="G131" s="2007"/>
      <c r="H131" s="2007"/>
      <c r="I131" s="2007"/>
      <c r="J131" s="2007"/>
      <c r="K131" s="2007"/>
      <c r="L131" s="2007"/>
      <c r="M131" s="2007"/>
    </row>
    <row r="132" spans="2:13" ht="18" customHeight="1" x14ac:dyDescent="0.25">
      <c r="B132" s="2007"/>
      <c r="C132" s="2007"/>
      <c r="D132" s="2007"/>
      <c r="E132" s="2007"/>
      <c r="F132" s="2007"/>
      <c r="G132" s="2007"/>
      <c r="H132" s="2007"/>
      <c r="I132" s="2007"/>
      <c r="J132" s="2007"/>
      <c r="K132" s="2007"/>
      <c r="L132" s="2007"/>
      <c r="M132" s="2007"/>
    </row>
    <row r="133" spans="2:13" ht="18" customHeight="1" x14ac:dyDescent="0.25">
      <c r="B133" s="2007"/>
      <c r="C133" s="2007"/>
      <c r="D133" s="2007"/>
      <c r="E133" s="2007"/>
      <c r="F133" s="2007"/>
      <c r="G133" s="2007"/>
      <c r="H133" s="2007"/>
      <c r="I133" s="2007"/>
      <c r="J133" s="2007"/>
      <c r="K133" s="2007"/>
      <c r="L133" s="2007"/>
      <c r="M133" s="2007"/>
    </row>
    <row r="134" spans="2:13" ht="18" customHeight="1" x14ac:dyDescent="0.25">
      <c r="B134" s="2007"/>
      <c r="C134" s="2007"/>
      <c r="D134" s="2007"/>
      <c r="E134" s="2007"/>
      <c r="F134" s="2007"/>
      <c r="G134" s="2007"/>
      <c r="H134" s="2007"/>
      <c r="I134" s="2007"/>
      <c r="J134" s="2007"/>
      <c r="K134" s="2007"/>
      <c r="L134" s="2007"/>
      <c r="M134" s="2007"/>
    </row>
    <row r="135" spans="2:13" ht="18" customHeight="1" x14ac:dyDescent="0.25">
      <c r="B135" s="2007"/>
      <c r="C135" s="2007"/>
      <c r="D135" s="2007"/>
      <c r="E135" s="2007"/>
      <c r="F135" s="2007"/>
      <c r="G135" s="2007"/>
      <c r="H135" s="2007"/>
      <c r="I135" s="2007"/>
      <c r="J135" s="2007"/>
      <c r="K135" s="2007"/>
      <c r="L135" s="2007"/>
      <c r="M135" s="2007"/>
    </row>
    <row r="136" spans="2:13" ht="18" customHeight="1" x14ac:dyDescent="0.25">
      <c r="B136" s="2007"/>
      <c r="C136" s="2007"/>
      <c r="D136" s="2007"/>
      <c r="E136" s="2007"/>
      <c r="F136" s="2007"/>
      <c r="G136" s="2007"/>
      <c r="H136" s="2007"/>
      <c r="I136" s="2007"/>
      <c r="J136" s="2007"/>
      <c r="K136" s="2007"/>
      <c r="L136" s="2007"/>
      <c r="M136" s="2007"/>
    </row>
    <row r="137" spans="2:13" ht="18" customHeight="1" x14ac:dyDescent="0.25">
      <c r="B137" s="2007"/>
      <c r="C137" s="2007"/>
      <c r="D137" s="2007"/>
      <c r="E137" s="2007"/>
      <c r="F137" s="2007"/>
      <c r="G137" s="2007"/>
      <c r="H137" s="2007"/>
      <c r="I137" s="2007"/>
      <c r="J137" s="2007"/>
      <c r="K137" s="2007"/>
      <c r="L137" s="2007"/>
      <c r="M137" s="2007"/>
    </row>
    <row r="138" spans="2:13" ht="18" customHeight="1" x14ac:dyDescent="0.25">
      <c r="B138" s="2007"/>
      <c r="C138" s="2007"/>
      <c r="D138" s="2007"/>
      <c r="E138" s="2007"/>
      <c r="F138" s="2007"/>
      <c r="G138" s="2007"/>
      <c r="H138" s="2007"/>
      <c r="I138" s="2007"/>
      <c r="J138" s="2007"/>
      <c r="K138" s="2007"/>
      <c r="L138" s="2007"/>
      <c r="M138" s="2007"/>
    </row>
    <row r="139" spans="2:13" ht="18" customHeight="1" x14ac:dyDescent="0.25">
      <c r="B139" s="2007"/>
      <c r="C139" s="2007"/>
      <c r="D139" s="2007"/>
      <c r="E139" s="2007"/>
      <c r="F139" s="2007"/>
      <c r="G139" s="2007"/>
      <c r="H139" s="2007"/>
      <c r="I139" s="2007"/>
      <c r="J139" s="2007"/>
      <c r="K139" s="2007"/>
      <c r="L139" s="2007"/>
      <c r="M139" s="2007"/>
    </row>
    <row r="140" spans="2:13" ht="20.25" customHeight="1" x14ac:dyDescent="0.25">
      <c r="B140" s="2062" t="s">
        <v>23</v>
      </c>
      <c r="C140" s="2063"/>
      <c r="D140" s="2063"/>
      <c r="E140" s="2064"/>
      <c r="F140" s="2065"/>
      <c r="G140" s="2065"/>
      <c r="H140" s="2065"/>
      <c r="I140" s="2065"/>
      <c r="J140" s="2065"/>
      <c r="K140" s="2065"/>
      <c r="L140" s="2065"/>
      <c r="M140" s="2066"/>
    </row>
    <row r="141" spans="2:13" ht="5.25" customHeight="1" x14ac:dyDescent="0.25">
      <c r="B141" s="739"/>
      <c r="C141" s="739"/>
      <c r="D141" s="739"/>
    </row>
    <row r="142" spans="2:13" ht="20.25" customHeight="1" x14ac:dyDescent="0.25">
      <c r="B142" s="2067" t="s">
        <v>5415</v>
      </c>
      <c r="C142" s="2068"/>
      <c r="D142" s="2068"/>
      <c r="E142" s="2068"/>
      <c r="F142" s="2068"/>
      <c r="G142" s="2068"/>
      <c r="H142" s="2068"/>
      <c r="I142" s="2068"/>
      <c r="J142" s="2068"/>
      <c r="K142" s="2068"/>
      <c r="L142" s="2068"/>
      <c r="M142" s="2069"/>
    </row>
    <row r="143" spans="2:13" ht="4.5" customHeight="1" x14ac:dyDescent="0.25">
      <c r="B143" s="740"/>
    </row>
    <row r="144" spans="2:13" x14ac:dyDescent="0.25">
      <c r="B144" s="2079"/>
      <c r="C144" s="2080"/>
      <c r="D144" s="2080"/>
      <c r="E144" s="2080"/>
      <c r="F144" s="2080"/>
      <c r="G144" s="2080"/>
      <c r="H144" s="2080"/>
      <c r="I144" s="2080"/>
      <c r="J144" s="2080"/>
      <c r="K144" s="2080"/>
      <c r="L144" s="2080"/>
      <c r="M144" s="2081"/>
    </row>
    <row r="145" spans="2:14" x14ac:dyDescent="0.25">
      <c r="B145" s="2082"/>
      <c r="C145" s="2083"/>
      <c r="D145" s="2083"/>
      <c r="E145" s="2083"/>
      <c r="F145" s="2083"/>
      <c r="G145" s="2083"/>
      <c r="H145" s="2083"/>
      <c r="I145" s="2083"/>
      <c r="J145" s="2083"/>
      <c r="K145" s="2083"/>
      <c r="L145" s="2083"/>
      <c r="M145" s="2084"/>
      <c r="N145" s="321"/>
    </row>
    <row r="146" spans="2:14" x14ac:dyDescent="0.25">
      <c r="B146" s="2085"/>
      <c r="C146" s="2086"/>
      <c r="D146" s="2086"/>
      <c r="E146" s="2086"/>
      <c r="F146" s="2086"/>
      <c r="G146" s="2086"/>
      <c r="H146" s="2086"/>
      <c r="I146" s="2086"/>
      <c r="J146" s="2086"/>
      <c r="K146" s="2086"/>
      <c r="L146" s="2086"/>
      <c r="M146" s="2087"/>
    </row>
    <row r="148" spans="2:14" ht="31.5" customHeight="1" x14ac:dyDescent="0.25">
      <c r="B148" s="2014" t="s">
        <v>5413</v>
      </c>
      <c r="C148" s="2015"/>
      <c r="D148" s="2016"/>
      <c r="E148" s="2014" t="str">
        <f>IFERROR(IF('AREA DE ESTUDIO'!B128="","",'AREA DE ESTUDIO'!B128),"")</f>
        <v/>
      </c>
      <c r="F148" s="2015"/>
      <c r="G148" s="2015"/>
      <c r="H148" s="2015"/>
      <c r="I148" s="2015"/>
      <c r="J148" s="2015"/>
      <c r="K148" s="2015"/>
      <c r="L148" s="2015"/>
      <c r="M148" s="2016"/>
    </row>
    <row r="149" spans="2:14" ht="18" customHeight="1" x14ac:dyDescent="0.25">
      <c r="B149" s="2007"/>
      <c r="C149" s="2007"/>
      <c r="D149" s="2007"/>
      <c r="E149" s="2007"/>
      <c r="F149" s="2007"/>
      <c r="G149" s="2007"/>
      <c r="H149" s="2007"/>
      <c r="I149" s="2007"/>
      <c r="J149" s="2007"/>
      <c r="K149" s="2007"/>
      <c r="L149" s="2007"/>
      <c r="M149" s="2007"/>
    </row>
    <row r="150" spans="2:14" ht="18" customHeight="1" x14ac:dyDescent="0.25">
      <c r="B150" s="2007"/>
      <c r="C150" s="2007"/>
      <c r="D150" s="2007"/>
      <c r="E150" s="2007"/>
      <c r="F150" s="2007"/>
      <c r="G150" s="2007"/>
      <c r="H150" s="2007"/>
      <c r="I150" s="2007"/>
      <c r="J150" s="2007"/>
      <c r="K150" s="2007"/>
      <c r="L150" s="2007"/>
      <c r="M150" s="2007"/>
    </row>
    <row r="151" spans="2:14" ht="18" customHeight="1" x14ac:dyDescent="0.25">
      <c r="B151" s="2007"/>
      <c r="C151" s="2007"/>
      <c r="D151" s="2007"/>
      <c r="E151" s="2007"/>
      <c r="F151" s="2007"/>
      <c r="G151" s="2007"/>
      <c r="H151" s="2007"/>
      <c r="I151" s="2007"/>
      <c r="J151" s="2007"/>
      <c r="K151" s="2007"/>
      <c r="L151" s="2007"/>
      <c r="M151" s="2007"/>
    </row>
    <row r="152" spans="2:14" ht="18" customHeight="1" x14ac:dyDescent="0.25">
      <c r="B152" s="2007"/>
      <c r="C152" s="2007"/>
      <c r="D152" s="2007"/>
      <c r="E152" s="2007"/>
      <c r="F152" s="2007"/>
      <c r="G152" s="2007"/>
      <c r="H152" s="2007"/>
      <c r="I152" s="2007"/>
      <c r="J152" s="2007"/>
      <c r="K152" s="2007"/>
      <c r="L152" s="2007"/>
      <c r="M152" s="2007"/>
    </row>
    <row r="153" spans="2:14" ht="18" customHeight="1" x14ac:dyDescent="0.25">
      <c r="B153" s="2007"/>
      <c r="C153" s="2007"/>
      <c r="D153" s="2007"/>
      <c r="E153" s="2007"/>
      <c r="F153" s="2007"/>
      <c r="G153" s="2007"/>
      <c r="H153" s="2007"/>
      <c r="I153" s="2007"/>
      <c r="J153" s="2007"/>
      <c r="K153" s="2007"/>
      <c r="L153" s="2007"/>
      <c r="M153" s="2007"/>
    </row>
    <row r="154" spans="2:14" ht="18" customHeight="1" x14ac:dyDescent="0.25">
      <c r="B154" s="2007"/>
      <c r="C154" s="2007"/>
      <c r="D154" s="2007"/>
      <c r="E154" s="2007"/>
      <c r="F154" s="2007"/>
      <c r="G154" s="2007"/>
      <c r="H154" s="2007"/>
      <c r="I154" s="2007"/>
      <c r="J154" s="2007"/>
      <c r="K154" s="2007"/>
      <c r="L154" s="2007"/>
      <c r="M154" s="2007"/>
    </row>
    <row r="155" spans="2:14" ht="18" customHeight="1" x14ac:dyDescent="0.25">
      <c r="B155" s="2007"/>
      <c r="C155" s="2007"/>
      <c r="D155" s="2007"/>
      <c r="E155" s="2007"/>
      <c r="F155" s="2007"/>
      <c r="G155" s="2007"/>
      <c r="H155" s="2007"/>
      <c r="I155" s="2007"/>
      <c r="J155" s="2007"/>
      <c r="K155" s="2007"/>
      <c r="L155" s="2007"/>
      <c r="M155" s="2007"/>
    </row>
    <row r="156" spans="2:14" ht="18" customHeight="1" x14ac:dyDescent="0.25">
      <c r="B156" s="2007"/>
      <c r="C156" s="2007"/>
      <c r="D156" s="2007"/>
      <c r="E156" s="2007"/>
      <c r="F156" s="2007"/>
      <c r="G156" s="2007"/>
      <c r="H156" s="2007"/>
      <c r="I156" s="2007"/>
      <c r="J156" s="2007"/>
      <c r="K156" s="2007"/>
      <c r="L156" s="2007"/>
      <c r="M156" s="2007"/>
    </row>
    <row r="157" spans="2:14" ht="18" customHeight="1" x14ac:dyDescent="0.25">
      <c r="B157" s="2007"/>
      <c r="C157" s="2007"/>
      <c r="D157" s="2007"/>
      <c r="E157" s="2007"/>
      <c r="F157" s="2007"/>
      <c r="G157" s="2007"/>
      <c r="H157" s="2007"/>
      <c r="I157" s="2007"/>
      <c r="J157" s="2007"/>
      <c r="K157" s="2007"/>
      <c r="L157" s="2007"/>
      <c r="M157" s="2007"/>
    </row>
    <row r="158" spans="2:14" ht="18" customHeight="1" x14ac:dyDescent="0.25">
      <c r="B158" s="2007"/>
      <c r="C158" s="2007"/>
      <c r="D158" s="2007"/>
      <c r="E158" s="2007"/>
      <c r="F158" s="2007"/>
      <c r="G158" s="2007"/>
      <c r="H158" s="2007"/>
      <c r="I158" s="2007"/>
      <c r="J158" s="2007"/>
      <c r="K158" s="2007"/>
      <c r="L158" s="2007"/>
      <c r="M158" s="2007"/>
    </row>
    <row r="159" spans="2:14" ht="18" customHeight="1" x14ac:dyDescent="0.25">
      <c r="B159" s="2007"/>
      <c r="C159" s="2007"/>
      <c r="D159" s="2007"/>
      <c r="E159" s="2007"/>
      <c r="F159" s="2007"/>
      <c r="G159" s="2007"/>
      <c r="H159" s="2007"/>
      <c r="I159" s="2007"/>
      <c r="J159" s="2007"/>
      <c r="K159" s="2007"/>
      <c r="L159" s="2007"/>
      <c r="M159" s="2007"/>
    </row>
    <row r="160" spans="2:14" ht="18" customHeight="1" x14ac:dyDescent="0.25">
      <c r="B160" s="2007"/>
      <c r="C160" s="2007"/>
      <c r="D160" s="2007"/>
      <c r="E160" s="2007"/>
      <c r="F160" s="2007"/>
      <c r="G160" s="2007"/>
      <c r="H160" s="2007"/>
      <c r="I160" s="2007"/>
      <c r="J160" s="2007"/>
      <c r="K160" s="2007"/>
      <c r="L160" s="2007"/>
      <c r="M160" s="2007"/>
    </row>
    <row r="161" spans="2:14" ht="18" customHeight="1" x14ac:dyDescent="0.25">
      <c r="B161" s="2007"/>
      <c r="C161" s="2007"/>
      <c r="D161" s="2007"/>
      <c r="E161" s="2007"/>
      <c r="F161" s="2007"/>
      <c r="G161" s="2007"/>
      <c r="H161" s="2007"/>
      <c r="I161" s="2007"/>
      <c r="J161" s="2007"/>
      <c r="K161" s="2007"/>
      <c r="L161" s="2007"/>
      <c r="M161" s="2007"/>
    </row>
    <row r="162" spans="2:14" ht="18" customHeight="1" x14ac:dyDescent="0.25">
      <c r="B162" s="2007"/>
      <c r="C162" s="2007"/>
      <c r="D162" s="2007"/>
      <c r="E162" s="2007"/>
      <c r="F162" s="2007"/>
      <c r="G162" s="2007"/>
      <c r="H162" s="2007"/>
      <c r="I162" s="2007"/>
      <c r="J162" s="2007"/>
      <c r="K162" s="2007"/>
      <c r="L162" s="2007"/>
      <c r="M162" s="2007"/>
    </row>
    <row r="163" spans="2:14" ht="18" customHeight="1" x14ac:dyDescent="0.25">
      <c r="B163" s="2007"/>
      <c r="C163" s="2007"/>
      <c r="D163" s="2007"/>
      <c r="E163" s="2007"/>
      <c r="F163" s="2007"/>
      <c r="G163" s="2007"/>
      <c r="H163" s="2007"/>
      <c r="I163" s="2007"/>
      <c r="J163" s="2007"/>
      <c r="K163" s="2007"/>
      <c r="L163" s="2007"/>
      <c r="M163" s="2007"/>
    </row>
    <row r="164" spans="2:14" ht="18" customHeight="1" x14ac:dyDescent="0.25">
      <c r="B164" s="2007"/>
      <c r="C164" s="2007"/>
      <c r="D164" s="2007"/>
      <c r="E164" s="2007"/>
      <c r="F164" s="2007"/>
      <c r="G164" s="2007"/>
      <c r="H164" s="2007"/>
      <c r="I164" s="2007"/>
      <c r="J164" s="2007"/>
      <c r="K164" s="2007"/>
      <c r="L164" s="2007"/>
      <c r="M164" s="2007"/>
    </row>
    <row r="165" spans="2:14" ht="18" customHeight="1" x14ac:dyDescent="0.25">
      <c r="B165" s="2007"/>
      <c r="C165" s="2007"/>
      <c r="D165" s="2007"/>
      <c r="E165" s="2007"/>
      <c r="F165" s="2007"/>
      <c r="G165" s="2007"/>
      <c r="H165" s="2007"/>
      <c r="I165" s="2007"/>
      <c r="J165" s="2007"/>
      <c r="K165" s="2007"/>
      <c r="L165" s="2007"/>
      <c r="M165" s="2007"/>
    </row>
    <row r="166" spans="2:14" ht="18" customHeight="1" x14ac:dyDescent="0.25">
      <c r="B166" s="2007"/>
      <c r="C166" s="2007"/>
      <c r="D166" s="2007"/>
      <c r="E166" s="2007"/>
      <c r="F166" s="2007"/>
      <c r="G166" s="2007"/>
      <c r="H166" s="2007"/>
      <c r="I166" s="2007"/>
      <c r="J166" s="2007"/>
      <c r="K166" s="2007"/>
      <c r="L166" s="2007"/>
      <c r="M166" s="2007"/>
    </row>
    <row r="167" spans="2:14" ht="18" customHeight="1" x14ac:dyDescent="0.25">
      <c r="B167" s="2007"/>
      <c r="C167" s="2007"/>
      <c r="D167" s="2007"/>
      <c r="E167" s="2007"/>
      <c r="F167" s="2007"/>
      <c r="G167" s="2007"/>
      <c r="H167" s="2007"/>
      <c r="I167" s="2007"/>
      <c r="J167" s="2007"/>
      <c r="K167" s="2007"/>
      <c r="L167" s="2007"/>
      <c r="M167" s="2007"/>
    </row>
    <row r="168" spans="2:14" ht="20.25" customHeight="1" x14ac:dyDescent="0.25">
      <c r="B168" s="2062" t="s">
        <v>23</v>
      </c>
      <c r="C168" s="2063"/>
      <c r="D168" s="2063"/>
      <c r="E168" s="2064"/>
      <c r="F168" s="2065"/>
      <c r="G168" s="2065"/>
      <c r="H168" s="2065"/>
      <c r="I168" s="2065"/>
      <c r="J168" s="2065"/>
      <c r="K168" s="2065"/>
      <c r="L168" s="2065"/>
      <c r="M168" s="2066"/>
    </row>
    <row r="169" spans="2:14" ht="5.25" customHeight="1" x14ac:dyDescent="0.25">
      <c r="B169" s="739"/>
      <c r="C169" s="739"/>
      <c r="D169" s="739"/>
    </row>
    <row r="170" spans="2:14" ht="20.25" customHeight="1" x14ac:dyDescent="0.25">
      <c r="B170" s="2067" t="s">
        <v>5415</v>
      </c>
      <c r="C170" s="2068"/>
      <c r="D170" s="2068"/>
      <c r="E170" s="2068"/>
      <c r="F170" s="2068"/>
      <c r="G170" s="2068"/>
      <c r="H170" s="2068"/>
      <c r="I170" s="2068"/>
      <c r="J170" s="2068"/>
      <c r="K170" s="2068"/>
      <c r="L170" s="2068"/>
      <c r="M170" s="2069"/>
    </row>
    <row r="171" spans="2:14" ht="4.5" customHeight="1" x14ac:dyDescent="0.25">
      <c r="B171" s="740"/>
    </row>
    <row r="172" spans="2:14" x14ac:dyDescent="0.25">
      <c r="B172" s="2079"/>
      <c r="C172" s="2080"/>
      <c r="D172" s="2080"/>
      <c r="E172" s="2080"/>
      <c r="F172" s="2080"/>
      <c r="G172" s="2080"/>
      <c r="H172" s="2080"/>
      <c r="I172" s="2080"/>
      <c r="J172" s="2080"/>
      <c r="K172" s="2080"/>
      <c r="L172" s="2080"/>
      <c r="M172" s="2081"/>
    </row>
    <row r="173" spans="2:14" x14ac:dyDescent="0.25">
      <c r="B173" s="2082"/>
      <c r="C173" s="2083"/>
      <c r="D173" s="2083"/>
      <c r="E173" s="2083"/>
      <c r="F173" s="2083"/>
      <c r="G173" s="2083"/>
      <c r="H173" s="2083"/>
      <c r="I173" s="2083"/>
      <c r="J173" s="2083"/>
      <c r="K173" s="2083"/>
      <c r="L173" s="2083"/>
      <c r="M173" s="2084"/>
      <c r="N173" s="321"/>
    </row>
    <row r="174" spans="2:14" x14ac:dyDescent="0.25">
      <c r="B174" s="2085"/>
      <c r="C174" s="2086"/>
      <c r="D174" s="2086"/>
      <c r="E174" s="2086"/>
      <c r="F174" s="2086"/>
      <c r="G174" s="2086"/>
      <c r="H174" s="2086"/>
      <c r="I174" s="2086"/>
      <c r="J174" s="2086"/>
      <c r="K174" s="2086"/>
      <c r="L174" s="2086"/>
      <c r="M174" s="2087"/>
    </row>
  </sheetData>
  <sheetProtection password="9AA6" sheet="1" objects="1" scenarios="1"/>
  <mergeCells count="43">
    <mergeCell ref="B170:M170"/>
    <mergeCell ref="B172:M174"/>
    <mergeCell ref="B142:M142"/>
    <mergeCell ref="B144:M146"/>
    <mergeCell ref="B148:D148"/>
    <mergeCell ref="E148:M148"/>
    <mergeCell ref="B149:M167"/>
    <mergeCell ref="B168:D168"/>
    <mergeCell ref="E168:M168"/>
    <mergeCell ref="B140:D140"/>
    <mergeCell ref="E140:M140"/>
    <mergeCell ref="B86:M86"/>
    <mergeCell ref="B88:M90"/>
    <mergeCell ref="B92:D92"/>
    <mergeCell ref="E92:M92"/>
    <mergeCell ref="B93:M111"/>
    <mergeCell ref="B112:D112"/>
    <mergeCell ref="E112:M112"/>
    <mergeCell ref="B114:M114"/>
    <mergeCell ref="B116:M118"/>
    <mergeCell ref="B120:D120"/>
    <mergeCell ref="E120:M120"/>
    <mergeCell ref="B121:M139"/>
    <mergeCell ref="B84:D84"/>
    <mergeCell ref="E84:M84"/>
    <mergeCell ref="B30:M30"/>
    <mergeCell ref="B32:M34"/>
    <mergeCell ref="B36:D36"/>
    <mergeCell ref="E36:M36"/>
    <mergeCell ref="B37:M55"/>
    <mergeCell ref="B56:D56"/>
    <mergeCell ref="E56:M56"/>
    <mergeCell ref="B58:M58"/>
    <mergeCell ref="B60:M62"/>
    <mergeCell ref="B64:D64"/>
    <mergeCell ref="E64:M64"/>
    <mergeCell ref="B65:M83"/>
    <mergeCell ref="B2:J6"/>
    <mergeCell ref="B8:D8"/>
    <mergeCell ref="E8:M8"/>
    <mergeCell ref="B9:M27"/>
    <mergeCell ref="B28:D28"/>
    <mergeCell ref="E28:M28"/>
  </mergeCells>
  <dataValidations disablePrompts="1" count="3">
    <dataValidation allowBlank="1" showInputMessage="1" showErrorMessage="1" promptTitle="Fuente de información:" prompt="Consignar la fuente de información de donde se obtuvo el peligro correspondiente al área de impacto del proyecto." sqref="E28:M28 E56:M56 E84:M84 E112:M112 E140:M140 E168:M168"/>
    <dataValidation allowBlank="1" showInputMessage="1" showErrorMessage="1" promptTitle="Análisis del peligro:" prompt="Consignar el análisis del peligro correspondiente al peligro establecido. Por ejemplo se puede describir el nivel de impacto del peligro, como afecta a la población en todos los ámbitos." sqref="B32:M34 B60:M62 B88:M90 B116:M118 B144:M146 B172:M174"/>
    <dataValidation allowBlank="1" showInputMessage="1" showErrorMessage="1" promptTitle="Nombre de Peligro:" prompt="Se seleccionó de forma automática de acuerdo a los peligros establecidos en el Área de Estudio." sqref="E64:M64 E92:M92 E36:M36 E8:M8"/>
  </dataValidations>
  <pageMargins left="0.70866141732283472" right="0.70866141732283472" top="0.74803149606299213" bottom="0.74803149606299213" header="0.31496062992125984" footer="0.31496062992125984"/>
  <pageSetup paperSize="9" scale="80" orientation="portrait" r:id="rId1"/>
  <headerFooter>
    <oddHeader>&amp;L&amp;"Arial,Negrita"&amp;9MINISTERIO DE DESARROLLO AGRARIO Y RIEGO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B2:K61"/>
  <sheetViews>
    <sheetView topLeftCell="A49" workbookViewId="0">
      <selection sqref="A1:XFD1048576"/>
    </sheetView>
  </sheetViews>
  <sheetFormatPr baseColWidth="10" defaultRowHeight="14.25" x14ac:dyDescent="0.2"/>
  <cols>
    <col min="1" max="1" width="4" style="740" customWidth="1"/>
    <col min="2" max="3" width="11.42578125" style="740"/>
    <col min="4" max="6" width="10.5703125" style="740" customWidth="1"/>
    <col min="7" max="8" width="13.85546875" style="740" customWidth="1"/>
    <col min="9" max="10" width="11.42578125" style="740"/>
    <col min="11" max="11" width="29.140625" style="740" customWidth="1"/>
    <col min="12" max="16384" width="11.42578125" style="740"/>
  </cols>
  <sheetData>
    <row r="2" spans="2:11" x14ac:dyDescent="0.2">
      <c r="B2" s="322" t="s">
        <v>5416</v>
      </c>
    </row>
    <row r="4" spans="2:11" x14ac:dyDescent="0.2">
      <c r="B4" s="322" t="s">
        <v>5417</v>
      </c>
    </row>
    <row r="6" spans="2:11" ht="20.25" customHeight="1" x14ac:dyDescent="0.2">
      <c r="B6" s="746" t="s">
        <v>5418</v>
      </c>
      <c r="C6" s="2092" t="s">
        <v>5419</v>
      </c>
      <c r="D6" s="2092"/>
      <c r="E6" s="2092"/>
      <c r="F6" s="2092"/>
      <c r="G6" s="2092"/>
      <c r="H6" s="2092"/>
      <c r="I6" s="2092"/>
      <c r="J6" s="2092"/>
    </row>
    <row r="7" spans="2:11" ht="24" customHeight="1" x14ac:dyDescent="0.2">
      <c r="B7" s="747" t="s">
        <v>5420</v>
      </c>
      <c r="C7" s="2093" t="s">
        <v>5421</v>
      </c>
      <c r="D7" s="2093"/>
      <c r="E7" s="2093"/>
      <c r="F7" s="2093"/>
      <c r="G7" s="2093"/>
      <c r="H7" s="2093"/>
      <c r="I7" s="2093"/>
      <c r="J7" s="2093"/>
    </row>
    <row r="8" spans="2:11" ht="20.25" customHeight="1" x14ac:dyDescent="0.2">
      <c r="B8" s="748" t="s">
        <v>5422</v>
      </c>
      <c r="C8" s="2093" t="s">
        <v>5423</v>
      </c>
      <c r="D8" s="2093"/>
      <c r="E8" s="2093"/>
      <c r="F8" s="2093"/>
      <c r="G8" s="2093"/>
      <c r="H8" s="2093"/>
      <c r="I8" s="2093"/>
      <c r="J8" s="2093"/>
    </row>
    <row r="9" spans="2:11" ht="20.25" customHeight="1" x14ac:dyDescent="0.2">
      <c r="B9" s="749" t="s">
        <v>5130</v>
      </c>
      <c r="C9" s="2093" t="s">
        <v>5424</v>
      </c>
      <c r="D9" s="2093"/>
      <c r="E9" s="2093"/>
      <c r="F9" s="2093"/>
      <c r="G9" s="2093"/>
      <c r="H9" s="2093"/>
      <c r="I9" s="2093"/>
      <c r="J9" s="2093"/>
    </row>
    <row r="10" spans="2:11" ht="20.25" customHeight="1" x14ac:dyDescent="0.2">
      <c r="B10" s="750" t="s">
        <v>5425</v>
      </c>
      <c r="C10" s="2093" t="s">
        <v>5426</v>
      </c>
      <c r="D10" s="2093"/>
      <c r="E10" s="2093"/>
      <c r="F10" s="2093"/>
      <c r="G10" s="2093"/>
      <c r="H10" s="2093"/>
      <c r="I10" s="2093"/>
      <c r="J10" s="2093"/>
    </row>
    <row r="12" spans="2:11" x14ac:dyDescent="0.2">
      <c r="B12" s="322" t="s">
        <v>5427</v>
      </c>
    </row>
    <row r="14" spans="2:11" ht="30" customHeight="1" x14ac:dyDescent="0.2">
      <c r="B14" s="2088" t="s">
        <v>5428</v>
      </c>
      <c r="C14" s="2088"/>
      <c r="D14" s="2089" t="s">
        <v>5429</v>
      </c>
      <c r="E14" s="2090"/>
      <c r="F14" s="2089" t="s">
        <v>5430</v>
      </c>
      <c r="G14" s="2091"/>
      <c r="H14" s="2090"/>
      <c r="I14" s="2088" t="s">
        <v>5431</v>
      </c>
      <c r="J14" s="2088"/>
      <c r="K14" s="751" t="s">
        <v>26</v>
      </c>
    </row>
    <row r="15" spans="2:11" ht="27" customHeight="1" x14ac:dyDescent="0.2">
      <c r="B15" s="2094" t="str">
        <f>IFERROR(IF('AREA DE ESTUDIO'!B123="","",'AREA DE ESTUDIO'!B123),"")</f>
        <v/>
      </c>
      <c r="C15" s="2094"/>
      <c r="D15" s="1007"/>
      <c r="E15" s="752" t="str">
        <f t="shared" ref="E15:E20" si="0">IF(D15="",""," años")</f>
        <v/>
      </c>
      <c r="F15" s="1017"/>
      <c r="G15" s="2095" t="str">
        <f t="shared" ref="G15:G20" si="1">IF(F15="","","veces dentro del horizonte de evaluación")</f>
        <v/>
      </c>
      <c r="H15" s="2096"/>
      <c r="I15" s="2097" t="str">
        <f t="shared" ref="I15:I20" si="2">IF(F15="","",IF(F15&lt;=1,"Baja",IF(F15&lt;=3,"Media",IF(F15&lt;=6,"Alta","Muy alta"))))</f>
        <v/>
      </c>
      <c r="J15" s="2097"/>
      <c r="K15" s="758"/>
    </row>
    <row r="16" spans="2:11" ht="27" customHeight="1" x14ac:dyDescent="0.2">
      <c r="B16" s="2094" t="str">
        <f>IFERROR(IF('AREA DE ESTUDIO'!B124="","",'AREA DE ESTUDIO'!B124),"")</f>
        <v/>
      </c>
      <c r="C16" s="2094"/>
      <c r="D16" s="1007"/>
      <c r="E16" s="752" t="str">
        <f t="shared" si="0"/>
        <v/>
      </c>
      <c r="F16" s="1017"/>
      <c r="G16" s="2095" t="str">
        <f t="shared" si="1"/>
        <v/>
      </c>
      <c r="H16" s="2096"/>
      <c r="I16" s="2098" t="str">
        <f t="shared" si="2"/>
        <v/>
      </c>
      <c r="J16" s="2099"/>
      <c r="K16" s="758"/>
    </row>
    <row r="17" spans="2:11" ht="46.5" customHeight="1" x14ac:dyDescent="0.2">
      <c r="B17" s="2094" t="str">
        <f>IFERROR(IF('AREA DE ESTUDIO'!B125="","",'AREA DE ESTUDIO'!B125),"")</f>
        <v/>
      </c>
      <c r="C17" s="2094"/>
      <c r="D17" s="1007"/>
      <c r="E17" s="752" t="str">
        <f t="shared" si="0"/>
        <v/>
      </c>
      <c r="F17" s="1017"/>
      <c r="G17" s="2095" t="str">
        <f t="shared" si="1"/>
        <v/>
      </c>
      <c r="H17" s="2096"/>
      <c r="I17" s="2098" t="str">
        <f t="shared" si="2"/>
        <v/>
      </c>
      <c r="J17" s="2099"/>
      <c r="K17" s="758"/>
    </row>
    <row r="18" spans="2:11" ht="14.25" customHeight="1" x14ac:dyDescent="0.2">
      <c r="B18" s="2094" t="str">
        <f>IFERROR(IF('AREA DE ESTUDIO'!B126="","",'AREA DE ESTUDIO'!B126),"")</f>
        <v/>
      </c>
      <c r="C18" s="2094"/>
      <c r="D18" s="1007"/>
      <c r="E18" s="752" t="str">
        <f t="shared" si="0"/>
        <v/>
      </c>
      <c r="F18" s="1017" t="s">
        <v>5620</v>
      </c>
      <c r="G18" s="2095" t="str">
        <f t="shared" si="1"/>
        <v/>
      </c>
      <c r="H18" s="2096"/>
      <c r="I18" s="2098" t="str">
        <f t="shared" si="2"/>
        <v/>
      </c>
      <c r="J18" s="2099"/>
      <c r="K18" s="758"/>
    </row>
    <row r="19" spans="2:11" ht="14.25" customHeight="1" x14ac:dyDescent="0.2">
      <c r="B19" s="2094" t="str">
        <f>IFERROR(IF('AREA DE ESTUDIO'!B127="","",'AREA DE ESTUDIO'!B127),"")</f>
        <v/>
      </c>
      <c r="C19" s="2094"/>
      <c r="D19" s="1007"/>
      <c r="E19" s="752" t="str">
        <f t="shared" si="0"/>
        <v/>
      </c>
      <c r="F19" s="1017" t="s">
        <v>5620</v>
      </c>
      <c r="G19" s="2095" t="str">
        <f t="shared" si="1"/>
        <v/>
      </c>
      <c r="H19" s="2096"/>
      <c r="I19" s="2098" t="str">
        <f t="shared" si="2"/>
        <v/>
      </c>
      <c r="J19" s="2099"/>
      <c r="K19" s="758"/>
    </row>
    <row r="20" spans="2:11" ht="14.25" customHeight="1" x14ac:dyDescent="0.2">
      <c r="B20" s="2094" t="str">
        <f>IFERROR(IF('AREA DE ESTUDIO'!B128="","",'AREA DE ESTUDIO'!B128),"")</f>
        <v/>
      </c>
      <c r="C20" s="2094"/>
      <c r="D20" s="1007"/>
      <c r="E20" s="752" t="str">
        <f t="shared" si="0"/>
        <v/>
      </c>
      <c r="F20" s="1017" t="s">
        <v>5620</v>
      </c>
      <c r="G20" s="2095" t="str">
        <f t="shared" si="1"/>
        <v/>
      </c>
      <c r="H20" s="2096"/>
      <c r="I20" s="2098" t="str">
        <f t="shared" si="2"/>
        <v/>
      </c>
      <c r="J20" s="2099"/>
      <c r="K20" s="758"/>
    </row>
    <row r="22" spans="2:11" x14ac:dyDescent="0.2">
      <c r="B22" s="322" t="s">
        <v>5434</v>
      </c>
    </row>
    <row r="24" spans="2:11" ht="20.25" customHeight="1" x14ac:dyDescent="0.2">
      <c r="B24" s="746" t="s">
        <v>5418</v>
      </c>
      <c r="C24" s="2092" t="s">
        <v>5419</v>
      </c>
      <c r="D24" s="2092"/>
      <c r="E24" s="2092"/>
      <c r="F24" s="2092"/>
      <c r="G24" s="2092"/>
      <c r="H24" s="2092"/>
      <c r="I24" s="2092"/>
      <c r="J24" s="2092"/>
    </row>
    <row r="25" spans="2:11" ht="18.75" customHeight="1" x14ac:dyDescent="0.2">
      <c r="B25" s="747" t="s">
        <v>5420</v>
      </c>
      <c r="C25" s="2104" t="s">
        <v>5435</v>
      </c>
      <c r="D25" s="2105"/>
      <c r="E25" s="2105"/>
      <c r="F25" s="2105"/>
      <c r="G25" s="2105"/>
      <c r="H25" s="2105"/>
      <c r="I25" s="2106" t="s">
        <v>5436</v>
      </c>
      <c r="J25" s="2107"/>
    </row>
    <row r="26" spans="2:11" ht="18.75" customHeight="1" x14ac:dyDescent="0.2">
      <c r="B26" s="748" t="s">
        <v>5422</v>
      </c>
      <c r="C26" s="2104" t="s">
        <v>5437</v>
      </c>
      <c r="D26" s="2105"/>
      <c r="E26" s="2105"/>
      <c r="F26" s="2105"/>
      <c r="G26" s="2105"/>
      <c r="H26" s="2105"/>
      <c r="I26" s="2106" t="s">
        <v>5438</v>
      </c>
      <c r="J26" s="2107"/>
    </row>
    <row r="27" spans="2:11" ht="18.75" customHeight="1" x14ac:dyDescent="0.2">
      <c r="B27" s="749" t="s">
        <v>5130</v>
      </c>
      <c r="C27" s="2104" t="s">
        <v>5439</v>
      </c>
      <c r="D27" s="2105"/>
      <c r="E27" s="2105"/>
      <c r="F27" s="2105"/>
      <c r="G27" s="2105"/>
      <c r="H27" s="2105"/>
      <c r="I27" s="2106" t="s">
        <v>5440</v>
      </c>
      <c r="J27" s="2107"/>
    </row>
    <row r="28" spans="2:11" ht="18.75" customHeight="1" x14ac:dyDescent="0.2">
      <c r="B28" s="750" t="s">
        <v>5425</v>
      </c>
      <c r="C28" s="2104" t="s">
        <v>5441</v>
      </c>
      <c r="D28" s="2105"/>
      <c r="E28" s="2105"/>
      <c r="F28" s="2105"/>
      <c r="G28" s="2105"/>
      <c r="H28" s="2105"/>
      <c r="I28" s="2106" t="s">
        <v>5442</v>
      </c>
      <c r="J28" s="2107"/>
    </row>
    <row r="30" spans="2:11" x14ac:dyDescent="0.2">
      <c r="B30" s="322" t="s">
        <v>5443</v>
      </c>
    </row>
    <row r="32" spans="2:11" ht="30" customHeight="1" x14ac:dyDescent="0.2">
      <c r="B32" s="2088" t="s">
        <v>5428</v>
      </c>
      <c r="C32" s="2088"/>
      <c r="D32" s="2108" t="s">
        <v>5444</v>
      </c>
      <c r="E32" s="2108"/>
      <c r="F32" s="2108"/>
      <c r="G32" s="2108"/>
      <c r="H32" s="2108"/>
      <c r="I32" s="2088" t="s">
        <v>5445</v>
      </c>
      <c r="J32" s="2088"/>
      <c r="K32" s="751" t="s">
        <v>26</v>
      </c>
    </row>
    <row r="33" spans="2:11" ht="38.25" x14ac:dyDescent="0.2">
      <c r="B33" s="2094" t="str">
        <f t="shared" ref="B33:B38" si="3">IFERROR(IF(B15="","",B15),"")</f>
        <v/>
      </c>
      <c r="C33" s="2094"/>
      <c r="D33" s="2100"/>
      <c r="E33" s="2101"/>
      <c r="F33" s="2101"/>
      <c r="G33" s="2101"/>
      <c r="H33" s="2102"/>
      <c r="I33" s="2103" t="str">
        <f t="shared" ref="I33:I38" si="4">IF(D33=$I$25,$B$25,IF(D33=$I$26,$B$26,IF(D33=$I$27,$B$27,IF(D33=$I$28,$B$28,""))))</f>
        <v/>
      </c>
      <c r="J33" s="2103"/>
      <c r="K33" s="758" t="s">
        <v>5432</v>
      </c>
    </row>
    <row r="34" spans="2:11" ht="38.25" x14ac:dyDescent="0.2">
      <c r="B34" s="2094" t="str">
        <f t="shared" si="3"/>
        <v/>
      </c>
      <c r="C34" s="2094"/>
      <c r="D34" s="2100"/>
      <c r="E34" s="2101"/>
      <c r="F34" s="2101"/>
      <c r="G34" s="2101"/>
      <c r="H34" s="2102"/>
      <c r="I34" s="2109" t="str">
        <f t="shared" si="4"/>
        <v/>
      </c>
      <c r="J34" s="2110"/>
      <c r="K34" s="758" t="s">
        <v>5432</v>
      </c>
    </row>
    <row r="35" spans="2:11" ht="51" x14ac:dyDescent="0.2">
      <c r="B35" s="2094" t="str">
        <f t="shared" si="3"/>
        <v/>
      </c>
      <c r="C35" s="2094"/>
      <c r="D35" s="2100"/>
      <c r="E35" s="2101"/>
      <c r="F35" s="2101"/>
      <c r="G35" s="2101"/>
      <c r="H35" s="2102"/>
      <c r="I35" s="2109" t="str">
        <f t="shared" si="4"/>
        <v/>
      </c>
      <c r="J35" s="2110"/>
      <c r="K35" s="758" t="s">
        <v>5433</v>
      </c>
    </row>
    <row r="36" spans="2:11" x14ac:dyDescent="0.2">
      <c r="B36" s="2094" t="str">
        <f t="shared" si="3"/>
        <v/>
      </c>
      <c r="C36" s="2094"/>
      <c r="D36" s="2100"/>
      <c r="E36" s="2101"/>
      <c r="F36" s="2101"/>
      <c r="G36" s="2101"/>
      <c r="H36" s="2102"/>
      <c r="I36" s="2098" t="str">
        <f t="shared" si="4"/>
        <v/>
      </c>
      <c r="J36" s="2099"/>
      <c r="K36" s="759"/>
    </row>
    <row r="37" spans="2:11" x14ac:dyDescent="0.2">
      <c r="B37" s="2094" t="str">
        <f t="shared" si="3"/>
        <v/>
      </c>
      <c r="C37" s="2094"/>
      <c r="D37" s="2100"/>
      <c r="E37" s="2101"/>
      <c r="F37" s="2101"/>
      <c r="G37" s="2101"/>
      <c r="H37" s="2102"/>
      <c r="I37" s="2098" t="str">
        <f t="shared" si="4"/>
        <v/>
      </c>
      <c r="J37" s="2099"/>
      <c r="K37" s="759"/>
    </row>
    <row r="38" spans="2:11" x14ac:dyDescent="0.2">
      <c r="B38" s="2094" t="str">
        <f t="shared" si="3"/>
        <v/>
      </c>
      <c r="C38" s="2094"/>
      <c r="D38" s="2100"/>
      <c r="E38" s="2101"/>
      <c r="F38" s="2101"/>
      <c r="G38" s="2101"/>
      <c r="H38" s="2102"/>
      <c r="I38" s="2098" t="str">
        <f t="shared" si="4"/>
        <v/>
      </c>
      <c r="J38" s="2099"/>
      <c r="K38" s="759"/>
    </row>
    <row r="41" spans="2:11" x14ac:dyDescent="0.2">
      <c r="B41" s="322" t="s">
        <v>5446</v>
      </c>
    </row>
    <row r="42" spans="2:11" s="708" customFormat="1" ht="12.75" x14ac:dyDescent="0.2"/>
    <row r="43" spans="2:11" s="708" customFormat="1" ht="12.75" x14ac:dyDescent="0.2">
      <c r="C43" s="2111" t="s">
        <v>5447</v>
      </c>
      <c r="D43" s="2111"/>
      <c r="E43" s="2111"/>
      <c r="F43" s="2111"/>
      <c r="G43" s="2111"/>
    </row>
    <row r="44" spans="2:11" s="708" customFormat="1" ht="12.75" x14ac:dyDescent="0.2">
      <c r="D44" s="753" t="s">
        <v>5425</v>
      </c>
      <c r="E44" s="753" t="s">
        <v>5130</v>
      </c>
      <c r="F44" s="753" t="s">
        <v>5422</v>
      </c>
      <c r="G44" s="753" t="s">
        <v>5420</v>
      </c>
    </row>
    <row r="45" spans="2:11" s="708" customFormat="1" ht="12.75" x14ac:dyDescent="0.2">
      <c r="C45" s="753" t="s">
        <v>5420</v>
      </c>
      <c r="D45" s="754" t="s">
        <v>5130</v>
      </c>
      <c r="E45" s="755" t="s">
        <v>5422</v>
      </c>
      <c r="F45" s="756" t="s">
        <v>5420</v>
      </c>
      <c r="G45" s="756" t="s">
        <v>5420</v>
      </c>
    </row>
    <row r="46" spans="2:11" s="708" customFormat="1" ht="12.75" x14ac:dyDescent="0.2">
      <c r="C46" s="753" t="s">
        <v>5422</v>
      </c>
      <c r="D46" s="754" t="s">
        <v>5130</v>
      </c>
      <c r="E46" s="755" t="s">
        <v>5422</v>
      </c>
      <c r="F46" s="755" t="s">
        <v>5422</v>
      </c>
      <c r="G46" s="756" t="s">
        <v>5420</v>
      </c>
    </row>
    <row r="47" spans="2:11" s="708" customFormat="1" ht="12.75" x14ac:dyDescent="0.2">
      <c r="C47" s="753" t="s">
        <v>5130</v>
      </c>
      <c r="D47" s="757" t="s">
        <v>5425</v>
      </c>
      <c r="E47" s="754" t="s">
        <v>5130</v>
      </c>
      <c r="F47" s="755" t="s">
        <v>5422</v>
      </c>
      <c r="G47" s="755" t="s">
        <v>5422</v>
      </c>
    </row>
    <row r="48" spans="2:11" s="708" customFormat="1" ht="12.75" x14ac:dyDescent="0.2">
      <c r="C48" s="753" t="s">
        <v>5425</v>
      </c>
      <c r="D48" s="757" t="s">
        <v>5425</v>
      </c>
      <c r="E48" s="757" t="s">
        <v>5425</v>
      </c>
      <c r="F48" s="754" t="s">
        <v>5130</v>
      </c>
      <c r="G48" s="754" t="s">
        <v>5130</v>
      </c>
    </row>
    <row r="49" spans="2:10" s="708" customFormat="1" ht="12.75" x14ac:dyDescent="0.2">
      <c r="D49" s="753" t="s">
        <v>5425</v>
      </c>
      <c r="E49" s="753" t="s">
        <v>5130</v>
      </c>
      <c r="F49" s="753" t="s">
        <v>5422</v>
      </c>
      <c r="G49" s="753" t="s">
        <v>5420</v>
      </c>
    </row>
    <row r="50" spans="2:10" s="708" customFormat="1" ht="12.75" x14ac:dyDescent="0.2"/>
    <row r="53" spans="2:10" x14ac:dyDescent="0.2">
      <c r="B53" s="322" t="s">
        <v>5448</v>
      </c>
    </row>
    <row r="55" spans="2:10" ht="30.75" customHeight="1" x14ac:dyDescent="0.2">
      <c r="B55" s="2088" t="s">
        <v>5428</v>
      </c>
      <c r="C55" s="2088"/>
      <c r="D55" s="2088" t="s">
        <v>5449</v>
      </c>
      <c r="E55" s="2088"/>
      <c r="F55" s="2088" t="s">
        <v>5450</v>
      </c>
      <c r="G55" s="2088"/>
      <c r="H55" s="2088" t="s">
        <v>5451</v>
      </c>
      <c r="I55" s="2088"/>
      <c r="J55" s="2088"/>
    </row>
    <row r="56" spans="2:10" x14ac:dyDescent="0.2">
      <c r="B56" s="2094" t="str">
        <f t="shared" ref="B56:B61" si="5">IFERROR(IF(B15="","",B15),"")</f>
        <v/>
      </c>
      <c r="C56" s="2094"/>
      <c r="D56" s="2112" t="str">
        <f t="shared" ref="D56:D61" si="6">IF(I15="","",I15)</f>
        <v/>
      </c>
      <c r="E56" s="2112"/>
      <c r="F56" s="2112" t="str">
        <f t="shared" ref="F56:F61" si="7">IF(I33="","",I33)</f>
        <v/>
      </c>
      <c r="G56" s="2112"/>
      <c r="H56" s="2112" t="str">
        <f t="shared" ref="H56:H61" si="8">IF(D56="","",VLOOKUP(D56,$C$45:$G$48,MATCH(F56,$C$44:$G$44,0),FALSE))</f>
        <v/>
      </c>
      <c r="I56" s="2112"/>
      <c r="J56" s="2112"/>
    </row>
    <row r="57" spans="2:10" x14ac:dyDescent="0.2">
      <c r="B57" s="2094" t="str">
        <f t="shared" si="5"/>
        <v/>
      </c>
      <c r="C57" s="2094"/>
      <c r="D57" s="2113" t="str">
        <f t="shared" si="6"/>
        <v/>
      </c>
      <c r="E57" s="2114"/>
      <c r="F57" s="2113" t="str">
        <f t="shared" si="7"/>
        <v/>
      </c>
      <c r="G57" s="2114"/>
      <c r="H57" s="2113" t="str">
        <f t="shared" si="8"/>
        <v/>
      </c>
      <c r="I57" s="2115"/>
      <c r="J57" s="2114"/>
    </row>
    <row r="58" spans="2:10" x14ac:dyDescent="0.2">
      <c r="B58" s="2094" t="str">
        <f t="shared" si="5"/>
        <v/>
      </c>
      <c r="C58" s="2094"/>
      <c r="D58" s="2113" t="str">
        <f t="shared" si="6"/>
        <v/>
      </c>
      <c r="E58" s="2114"/>
      <c r="F58" s="2113" t="str">
        <f t="shared" si="7"/>
        <v/>
      </c>
      <c r="G58" s="2114"/>
      <c r="H58" s="2113" t="str">
        <f t="shared" si="8"/>
        <v/>
      </c>
      <c r="I58" s="2115"/>
      <c r="J58" s="2114"/>
    </row>
    <row r="59" spans="2:10" x14ac:dyDescent="0.2">
      <c r="B59" s="2094" t="str">
        <f t="shared" si="5"/>
        <v/>
      </c>
      <c r="C59" s="2094"/>
      <c r="D59" s="2113" t="str">
        <f t="shared" si="6"/>
        <v/>
      </c>
      <c r="E59" s="2114"/>
      <c r="F59" s="2113" t="str">
        <f t="shared" si="7"/>
        <v/>
      </c>
      <c r="G59" s="2114"/>
      <c r="H59" s="2113" t="str">
        <f t="shared" si="8"/>
        <v/>
      </c>
      <c r="I59" s="2115"/>
      <c r="J59" s="2114"/>
    </row>
    <row r="60" spans="2:10" x14ac:dyDescent="0.2">
      <c r="B60" s="2094" t="str">
        <f t="shared" si="5"/>
        <v/>
      </c>
      <c r="C60" s="2094"/>
      <c r="D60" s="2113" t="str">
        <f t="shared" si="6"/>
        <v/>
      </c>
      <c r="E60" s="2114"/>
      <c r="F60" s="2113" t="str">
        <f t="shared" si="7"/>
        <v/>
      </c>
      <c r="G60" s="2114"/>
      <c r="H60" s="2113" t="str">
        <f t="shared" si="8"/>
        <v/>
      </c>
      <c r="I60" s="2115"/>
      <c r="J60" s="2114"/>
    </row>
    <row r="61" spans="2:10" x14ac:dyDescent="0.2">
      <c r="B61" s="2094" t="str">
        <f t="shared" si="5"/>
        <v/>
      </c>
      <c r="C61" s="2094"/>
      <c r="D61" s="2113" t="str">
        <f t="shared" si="6"/>
        <v/>
      </c>
      <c r="E61" s="2114"/>
      <c r="F61" s="2113" t="str">
        <f t="shared" si="7"/>
        <v/>
      </c>
      <c r="G61" s="2114"/>
      <c r="H61" s="2113" t="str">
        <f t="shared" si="8"/>
        <v/>
      </c>
      <c r="I61" s="2115"/>
      <c r="J61" s="2114"/>
    </row>
  </sheetData>
  <sheetProtection password="9AA6" sheet="1" objects="1" scenarios="1"/>
  <mergeCells count="86">
    <mergeCell ref="B60:C60"/>
    <mergeCell ref="D60:E60"/>
    <mergeCell ref="F60:G60"/>
    <mergeCell ref="H60:J60"/>
    <mergeCell ref="B61:C61"/>
    <mergeCell ref="D61:E61"/>
    <mergeCell ref="F61:G61"/>
    <mergeCell ref="H61:J61"/>
    <mergeCell ref="B58:C58"/>
    <mergeCell ref="D58:E58"/>
    <mergeCell ref="F58:G58"/>
    <mergeCell ref="H58:J58"/>
    <mergeCell ref="B59:C59"/>
    <mergeCell ref="D59:E59"/>
    <mergeCell ref="F59:G59"/>
    <mergeCell ref="H59:J59"/>
    <mergeCell ref="B56:C56"/>
    <mergeCell ref="D56:E56"/>
    <mergeCell ref="F56:G56"/>
    <mergeCell ref="H56:J56"/>
    <mergeCell ref="B57:C57"/>
    <mergeCell ref="D57:E57"/>
    <mergeCell ref="F57:G57"/>
    <mergeCell ref="H57:J57"/>
    <mergeCell ref="B38:C38"/>
    <mergeCell ref="D38:H38"/>
    <mergeCell ref="I38:J38"/>
    <mergeCell ref="C43:G43"/>
    <mergeCell ref="B55:C55"/>
    <mergeCell ref="D55:E55"/>
    <mergeCell ref="F55:G55"/>
    <mergeCell ref="H55:J55"/>
    <mergeCell ref="B36:C36"/>
    <mergeCell ref="D36:H36"/>
    <mergeCell ref="I36:J36"/>
    <mergeCell ref="B37:C37"/>
    <mergeCell ref="D37:H37"/>
    <mergeCell ref="I37:J37"/>
    <mergeCell ref="B34:C34"/>
    <mergeCell ref="D34:H34"/>
    <mergeCell ref="I34:J34"/>
    <mergeCell ref="B35:C35"/>
    <mergeCell ref="D35:H35"/>
    <mergeCell ref="I35:J35"/>
    <mergeCell ref="B33:C33"/>
    <mergeCell ref="D33:H33"/>
    <mergeCell ref="I33:J33"/>
    <mergeCell ref="C24:J24"/>
    <mergeCell ref="C25:H25"/>
    <mergeCell ref="I25:J25"/>
    <mergeCell ref="C26:H26"/>
    <mergeCell ref="I26:J26"/>
    <mergeCell ref="C27:H27"/>
    <mergeCell ref="I27:J27"/>
    <mergeCell ref="C28:H28"/>
    <mergeCell ref="I28:J28"/>
    <mergeCell ref="B32:C32"/>
    <mergeCell ref="D32:H32"/>
    <mergeCell ref="I32:J32"/>
    <mergeCell ref="B19:C19"/>
    <mergeCell ref="G19:H19"/>
    <mergeCell ref="I19:J19"/>
    <mergeCell ref="B20:C20"/>
    <mergeCell ref="G20:H20"/>
    <mergeCell ref="I20:J20"/>
    <mergeCell ref="B17:C17"/>
    <mergeCell ref="G17:H17"/>
    <mergeCell ref="I17:J17"/>
    <mergeCell ref="B18:C18"/>
    <mergeCell ref="G18:H18"/>
    <mergeCell ref="I18:J18"/>
    <mergeCell ref="B15:C15"/>
    <mergeCell ref="G15:H15"/>
    <mergeCell ref="I15:J15"/>
    <mergeCell ref="B16:C16"/>
    <mergeCell ref="G16:H16"/>
    <mergeCell ref="I16:J16"/>
    <mergeCell ref="B14:C14"/>
    <mergeCell ref="D14:E14"/>
    <mergeCell ref="F14:H14"/>
    <mergeCell ref="I14:J14"/>
    <mergeCell ref="C6:J6"/>
    <mergeCell ref="C7:J7"/>
    <mergeCell ref="C8:J8"/>
    <mergeCell ref="C9:J9"/>
    <mergeCell ref="C10:J10"/>
  </mergeCells>
  <conditionalFormatting sqref="I15:J20">
    <cfRule type="expression" dxfId="239" priority="9">
      <formula>$I15=$B$10</formula>
    </cfRule>
    <cfRule type="expression" dxfId="238" priority="10">
      <formula>$I15=$B$9</formula>
    </cfRule>
    <cfRule type="expression" dxfId="237" priority="11">
      <formula>$I15=$B$8</formula>
    </cfRule>
    <cfRule type="expression" dxfId="236" priority="12">
      <formula>$I15=$B$7</formula>
    </cfRule>
  </conditionalFormatting>
  <conditionalFormatting sqref="I33:J38">
    <cfRule type="expression" dxfId="235" priority="5">
      <formula>$I33=$B$28</formula>
    </cfRule>
    <cfRule type="expression" dxfId="234" priority="6">
      <formula>$I33=$B$27</formula>
    </cfRule>
    <cfRule type="expression" dxfId="233" priority="7">
      <formula>$I33=$B$26</formula>
    </cfRule>
    <cfRule type="expression" dxfId="232" priority="8">
      <formula>$I33=$B$25</formula>
    </cfRule>
  </conditionalFormatting>
  <conditionalFormatting sqref="H56:J61">
    <cfRule type="expression" dxfId="231" priority="1">
      <formula>$H56=$C$48</formula>
    </cfRule>
    <cfRule type="expression" dxfId="230" priority="2">
      <formula>$H56=$C$47</formula>
    </cfRule>
    <cfRule type="expression" dxfId="229" priority="3">
      <formula>$H56=$C$46</formula>
    </cfRule>
    <cfRule type="expression" dxfId="228" priority="4">
      <formula>$H56=$C$45</formula>
    </cfRule>
  </conditionalFormatting>
  <dataValidations count="9">
    <dataValidation allowBlank="1" showInputMessage="1" showErrorMessage="1" promptTitle="Fuente de información:" prompt="Consignar la Fuente de información por cada peligro establecido." sqref="K15:K20 K33:K38"/>
    <dataValidation allowBlank="1" showInputMessage="1" showErrorMessage="1" prompt="La escala de intensidad del peligro se selecciona de forma automática, en base a los criterios establecidos." sqref="I33:J38"/>
    <dataValidation allowBlank="1" showInputMessage="1" showErrorMessage="1" prompt="La cantidad de veces que ocurre el peligro en el horizonte de evaluación, se selecciona de forma automática en base a la frecuencia promedio consignada." sqref="F15:H20"/>
    <dataValidation allowBlank="1" showInputMessage="1" showErrorMessage="1" prompt="Consignar cada cuanto tiempo en promedio (en años), ocurre el peligro analizado._x000a_Ejemplo:_x000a_&quot;Cada 5 años&quot;, &quot;Cada 3 años&quot;, etc." sqref="D15:D20"/>
    <dataValidation allowBlank="1" showInputMessage="1" showErrorMessage="1" prompt="La escala de frecuencia se seleccionará de forma automática en base a los criterios establecidos y alineado a la frecuencia promedio." sqref="I15:J20"/>
    <dataValidation allowBlank="1" showInputMessage="1" showErrorMessage="1" promptTitle="Nivel de peligro:" prompt="Las escalas del nivel de peligro se seleccionan de forma automática, en base a los criterios establecidos en la matriz de peligro._x000a_Ejemplo: Si la frecuencia es alta y la intensidad media, entonces el nivel de peligro será &quot;alto&quot;." sqref="H56:J61"/>
    <dataValidation allowBlank="1" showInputMessage="1" showErrorMessage="1" promptTitle="Intensidad:" prompt="Corresponde a las intensidades de los peligros establecidas líneas arriba." sqref="F56:G61"/>
    <dataValidation allowBlank="1" showInputMessage="1" showErrorMessage="1" promptTitle="Frecuencia:" prompt="Corresponde a las frecuencias establecidas líneas arriba." sqref="D56:E61"/>
    <dataValidation type="list" allowBlank="1" showInputMessage="1" showErrorMessage="1" prompt="Seleccionar la paralización del servicio frente a la ocurrencia del peligro._x000a_Ejemplo:_x000a_&quot;de 1 a 3 semanas&quot;, &quot;de 1 a 3 meses&quot;, etc." sqref="D33:H38">
      <formula1>$I$25:$I$28</formula1>
    </dataValidation>
  </dataValidations>
  <pageMargins left="0.70866141732283472" right="0.70866141732283472" top="0.74803149606299213" bottom="0.74803149606299213" header="0.31496062992125984" footer="0.31496062992125984"/>
  <pageSetup paperSize="9" scale="65" orientation="portrait" r:id="rId1"/>
  <headerFooter>
    <oddHeader>&amp;L&amp;"Arial,Negrita"&amp;9MINISTERIO DE DESARROLLO AGRARIO Y RIEGO
&amp;"Arial,Normal"&amp;7Oficina de Programación Multianual de Inversiones - OPMI&amp;R&amp;"Arial,Normal"&amp;7&amp;D
&amp;T</oddHeader>
    <oddFooter>&amp;R&amp;"Arial,Normal"&amp;7Ficha Técnica Específica Estandar.
Servicio de provisión de agua para riego -Naturaleza : Mejoramient&amp;"-,Normal"&amp;11o</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dimension ref="A2:AX130"/>
  <sheetViews>
    <sheetView topLeftCell="A118" workbookViewId="0">
      <selection sqref="A1:XFD1048576"/>
    </sheetView>
  </sheetViews>
  <sheetFormatPr baseColWidth="10" defaultRowHeight="15" x14ac:dyDescent="0.25"/>
  <cols>
    <col min="1" max="1" width="2.140625" style="50" customWidth="1"/>
    <col min="2" max="5" width="11.42578125" style="50"/>
    <col min="6" max="8" width="17.140625" style="50" customWidth="1"/>
    <col min="9" max="9" width="11.7109375" style="50" customWidth="1"/>
    <col min="10" max="10" width="12.85546875" style="50" customWidth="1"/>
    <col min="11" max="15" width="11.42578125" style="50"/>
    <col min="16" max="16" width="13.42578125" style="50" customWidth="1"/>
    <col min="17" max="18" width="12" style="50" customWidth="1"/>
    <col min="19" max="19" width="13.42578125" style="50" customWidth="1"/>
    <col min="20" max="16384" width="11.42578125" style="50"/>
  </cols>
  <sheetData>
    <row r="2" spans="1:50" ht="18" x14ac:dyDescent="0.25">
      <c r="B2" s="698" t="s">
        <v>5452</v>
      </c>
    </row>
    <row r="4" spans="1:50" s="770" customFormat="1" x14ac:dyDescent="0.25">
      <c r="A4" s="250"/>
      <c r="B4" s="91" t="s">
        <v>5453</v>
      </c>
      <c r="E4" s="68"/>
      <c r="AG4" s="56"/>
      <c r="AT4" s="699"/>
      <c r="AX4" s="700"/>
    </row>
    <row r="5" spans="1:50" s="770" customFormat="1" ht="10.5" customHeight="1" thickBot="1" x14ac:dyDescent="0.3">
      <c r="A5" s="250"/>
      <c r="B5" s="91"/>
      <c r="E5" s="68"/>
      <c r="AG5" s="56"/>
      <c r="AT5" s="699"/>
      <c r="AX5" s="700"/>
    </row>
    <row r="6" spans="1:50" s="770" customFormat="1" ht="30" customHeight="1" x14ac:dyDescent="0.25">
      <c r="A6" s="250"/>
      <c r="B6" s="2122" t="s">
        <v>5454</v>
      </c>
      <c r="C6" s="2123"/>
      <c r="D6" s="2123" t="s">
        <v>5455</v>
      </c>
      <c r="E6" s="2123"/>
      <c r="F6" s="2123" t="s">
        <v>5456</v>
      </c>
      <c r="G6" s="2123"/>
      <c r="H6" s="2123"/>
      <c r="I6" s="2123"/>
      <c r="J6" s="2123"/>
      <c r="K6" s="2123" t="s">
        <v>5457</v>
      </c>
      <c r="L6" s="2123"/>
      <c r="M6" s="2123"/>
      <c r="N6" s="2123"/>
      <c r="O6" s="2123"/>
      <c r="P6" s="2123"/>
      <c r="Q6" s="2126" t="s">
        <v>5458</v>
      </c>
      <c r="R6" s="2127"/>
      <c r="S6" s="2128" t="s">
        <v>5459</v>
      </c>
      <c r="T6" s="2129"/>
      <c r="AG6" s="56"/>
      <c r="AT6" s="699"/>
      <c r="AX6" s="700"/>
    </row>
    <row r="7" spans="1:50" s="770" customFormat="1" ht="21.75" customHeight="1" thickBot="1" x14ac:dyDescent="0.3">
      <c r="A7" s="250"/>
      <c r="B7" s="2124"/>
      <c r="C7" s="2125"/>
      <c r="D7" s="2125"/>
      <c r="E7" s="2125"/>
      <c r="F7" s="2130" t="s">
        <v>25</v>
      </c>
      <c r="G7" s="2131"/>
      <c r="H7" s="2131"/>
      <c r="I7" s="2132"/>
      <c r="J7" s="776" t="s">
        <v>5460</v>
      </c>
      <c r="K7" s="2130" t="s">
        <v>25</v>
      </c>
      <c r="L7" s="2131"/>
      <c r="M7" s="2131"/>
      <c r="N7" s="2131"/>
      <c r="O7" s="2132"/>
      <c r="P7" s="776" t="s">
        <v>5460</v>
      </c>
      <c r="Q7" s="778" t="s">
        <v>5034</v>
      </c>
      <c r="R7" s="778" t="s">
        <v>5418</v>
      </c>
      <c r="S7" s="778" t="s">
        <v>5460</v>
      </c>
      <c r="T7" s="778" t="s">
        <v>5418</v>
      </c>
      <c r="AG7" s="56"/>
      <c r="AT7" s="699"/>
      <c r="AX7" s="700"/>
    </row>
    <row r="8" spans="1:50" s="770" customFormat="1" ht="41.25" customHeight="1" x14ac:dyDescent="0.25">
      <c r="A8" s="250"/>
      <c r="B8" s="2134" t="str">
        <f>IFERROR('UNIDAD PRODUCTORA'!D96,"")</f>
        <v/>
      </c>
      <c r="C8" s="2135"/>
      <c r="D8" s="2119" t="str">
        <f>IFERROR(IF(B8="","",IF('UNIDAD PRODUCTORA'!B96="","",'UNIDAD PRODUCTORA'!B96)),"")</f>
        <v/>
      </c>
      <c r="E8" s="2120"/>
      <c r="F8" s="2140"/>
      <c r="G8" s="2140"/>
      <c r="H8" s="2140"/>
      <c r="I8" s="2140"/>
      <c r="J8" s="724"/>
      <c r="K8" s="2140"/>
      <c r="L8" s="2140"/>
      <c r="M8" s="2140"/>
      <c r="N8" s="2140"/>
      <c r="O8" s="2140"/>
      <c r="P8" s="724"/>
      <c r="Q8" s="701" t="str">
        <f>IF(J8="","",(J8+P8)/2)</f>
        <v/>
      </c>
      <c r="R8" s="702" t="str">
        <f>IF(Q8="","",IF(Q8&lt;0.5,"Baja",IF(Q8&lt;1,"Media",IF(Q8&lt;1.5,"Alta","Muy alta"))))</f>
        <v/>
      </c>
      <c r="S8" s="2116" t="str">
        <f>IF(Q8="","",MAX(Q8:Q13))</f>
        <v/>
      </c>
      <c r="T8" s="2116" t="str">
        <f>IF(S8="","",IF(S8&lt;0.5,"Baja",IF(S8&lt;1,"Media",IF(S8&lt;1.5,"Alta","Muy alta"))))</f>
        <v/>
      </c>
      <c r="AG8" s="56"/>
      <c r="AT8" s="699"/>
      <c r="AX8" s="700"/>
    </row>
    <row r="9" spans="1:50" s="770" customFormat="1" ht="41.25" customHeight="1" x14ac:dyDescent="0.25">
      <c r="A9" s="250"/>
      <c r="B9" s="2136"/>
      <c r="C9" s="2137"/>
      <c r="D9" s="2119" t="str">
        <f>IFERROR(IF(B8="","",IF('UNIDAD PRODUCTORA'!B102="","",'UNIDAD PRODUCTORA'!B102)),"")</f>
        <v/>
      </c>
      <c r="E9" s="2120"/>
      <c r="F9" s="2121"/>
      <c r="G9" s="2121"/>
      <c r="H9" s="2121"/>
      <c r="I9" s="2121"/>
      <c r="J9" s="725"/>
      <c r="K9" s="2121"/>
      <c r="L9" s="2121"/>
      <c r="M9" s="2121"/>
      <c r="N9" s="2121"/>
      <c r="O9" s="2121"/>
      <c r="P9" s="725"/>
      <c r="Q9" s="703" t="str">
        <f>IF(J9="","",(J9+P9)/2)</f>
        <v/>
      </c>
      <c r="R9" s="704" t="str">
        <f t="shared" ref="R9:R43" si="0">IF(Q9="","",IF(Q9&lt;0.5,"Baja",IF(Q9&lt;1,"Media",IF(Q9&lt;1.5,"Alta","Muy alta"))))</f>
        <v/>
      </c>
      <c r="S9" s="2117"/>
      <c r="T9" s="2117"/>
      <c r="AG9" s="56"/>
      <c r="AT9" s="699"/>
      <c r="AX9" s="700"/>
    </row>
    <row r="10" spans="1:50" s="770" customFormat="1" ht="41.25" customHeight="1" x14ac:dyDescent="0.25">
      <c r="A10" s="250"/>
      <c r="B10" s="2136"/>
      <c r="C10" s="2137"/>
      <c r="D10" s="2119" t="str">
        <f>IFERROR(IF(B8="","",IF('UNIDAD PRODUCTORA'!B108="","",'UNIDAD PRODUCTORA'!B108)),"")</f>
        <v/>
      </c>
      <c r="E10" s="2120"/>
      <c r="F10" s="2121"/>
      <c r="G10" s="2121"/>
      <c r="H10" s="2121"/>
      <c r="I10" s="2121"/>
      <c r="J10" s="725"/>
      <c r="K10" s="2121"/>
      <c r="L10" s="2121"/>
      <c r="M10" s="2121"/>
      <c r="N10" s="2121"/>
      <c r="O10" s="2121"/>
      <c r="P10" s="725"/>
      <c r="Q10" s="703" t="str">
        <f t="shared" ref="Q10:Q25" si="1">IF(J10="","",(J10+P10)/2)</f>
        <v/>
      </c>
      <c r="R10" s="704" t="str">
        <f t="shared" si="0"/>
        <v/>
      </c>
      <c r="S10" s="2117"/>
      <c r="T10" s="2117"/>
      <c r="AG10" s="56"/>
      <c r="AT10" s="699"/>
      <c r="AX10" s="700"/>
    </row>
    <row r="11" spans="1:50" s="770" customFormat="1" ht="14.25" customHeight="1" x14ac:dyDescent="0.25">
      <c r="A11" s="250"/>
      <c r="B11" s="2136"/>
      <c r="C11" s="2137"/>
      <c r="D11" s="2119" t="str">
        <f>IFERROR(IF(B8="","",IF('UNIDAD PRODUCTORA'!B114="","",'UNIDAD PRODUCTORA'!B114)),"")</f>
        <v/>
      </c>
      <c r="E11" s="2120"/>
      <c r="F11" s="2121"/>
      <c r="G11" s="2121"/>
      <c r="H11" s="2121"/>
      <c r="I11" s="2121"/>
      <c r="J11" s="725"/>
      <c r="K11" s="2133"/>
      <c r="L11" s="2133"/>
      <c r="M11" s="2133"/>
      <c r="N11" s="2133"/>
      <c r="O11" s="2133"/>
      <c r="P11" s="725"/>
      <c r="Q11" s="703" t="str">
        <f t="shared" si="1"/>
        <v/>
      </c>
      <c r="R11" s="704" t="str">
        <f t="shared" si="0"/>
        <v/>
      </c>
      <c r="S11" s="2117"/>
      <c r="T11" s="2117"/>
      <c r="AG11" s="56"/>
      <c r="AT11" s="699"/>
      <c r="AX11" s="700"/>
    </row>
    <row r="12" spans="1:50" s="770" customFormat="1" ht="14.25" customHeight="1" x14ac:dyDescent="0.25">
      <c r="A12" s="250"/>
      <c r="B12" s="2136"/>
      <c r="C12" s="2137"/>
      <c r="D12" s="2119" t="str">
        <f>IFERROR(IF(B8="","",IF('UNIDAD PRODUCTORA'!B120="","",'UNIDAD PRODUCTORA'!B120)),"")</f>
        <v/>
      </c>
      <c r="E12" s="2120"/>
      <c r="F12" s="2121"/>
      <c r="G12" s="2121"/>
      <c r="H12" s="2121"/>
      <c r="I12" s="2121"/>
      <c r="J12" s="725"/>
      <c r="K12" s="2133"/>
      <c r="L12" s="2133"/>
      <c r="M12" s="2133"/>
      <c r="N12" s="2133"/>
      <c r="O12" s="2133"/>
      <c r="P12" s="725"/>
      <c r="Q12" s="703" t="str">
        <f t="shared" si="1"/>
        <v/>
      </c>
      <c r="R12" s="704" t="str">
        <f t="shared" si="0"/>
        <v/>
      </c>
      <c r="S12" s="2117"/>
      <c r="T12" s="2117"/>
      <c r="AG12" s="56"/>
      <c r="AT12" s="699"/>
      <c r="AX12" s="700"/>
    </row>
    <row r="13" spans="1:50" s="770" customFormat="1" ht="14.25" customHeight="1" thickBot="1" x14ac:dyDescent="0.3">
      <c r="A13" s="250"/>
      <c r="B13" s="2138"/>
      <c r="C13" s="2139"/>
      <c r="D13" s="2141" t="str">
        <f>IFERROR(IF(B8="","",IF('UNIDAD PRODUCTORA'!B126="","",'UNIDAD PRODUCTORA'!B126)),"")</f>
        <v/>
      </c>
      <c r="E13" s="2142"/>
      <c r="F13" s="2143"/>
      <c r="G13" s="2143"/>
      <c r="H13" s="2143"/>
      <c r="I13" s="2143"/>
      <c r="J13" s="726"/>
      <c r="K13" s="2144"/>
      <c r="L13" s="2144"/>
      <c r="M13" s="2144"/>
      <c r="N13" s="2144"/>
      <c r="O13" s="2144"/>
      <c r="P13" s="726"/>
      <c r="Q13" s="705" t="str">
        <f t="shared" si="1"/>
        <v/>
      </c>
      <c r="R13" s="706" t="str">
        <f t="shared" si="0"/>
        <v/>
      </c>
      <c r="S13" s="2118"/>
      <c r="T13" s="2118"/>
      <c r="AG13" s="56"/>
      <c r="AT13" s="699"/>
      <c r="AX13" s="700"/>
    </row>
    <row r="14" spans="1:50" s="770" customFormat="1" ht="43.5" customHeight="1" x14ac:dyDescent="0.25">
      <c r="A14" s="250"/>
      <c r="B14" s="2134" t="str">
        <f>IFERROR('UNIDAD PRODUCTORA'!D97,"")</f>
        <v/>
      </c>
      <c r="C14" s="2135"/>
      <c r="D14" s="2145" t="str">
        <f t="shared" ref="D14:D19" si="2">IFERROR(IF($B$14="","",D8),"")</f>
        <v/>
      </c>
      <c r="E14" s="2146"/>
      <c r="F14" s="2140"/>
      <c r="G14" s="2140"/>
      <c r="H14" s="2140"/>
      <c r="I14" s="2140"/>
      <c r="J14" s="724"/>
      <c r="K14" s="2140"/>
      <c r="L14" s="2140"/>
      <c r="M14" s="2140"/>
      <c r="N14" s="2140"/>
      <c r="O14" s="2140"/>
      <c r="P14" s="724"/>
      <c r="Q14" s="701" t="str">
        <f t="shared" si="1"/>
        <v/>
      </c>
      <c r="R14" s="702" t="str">
        <f t="shared" si="0"/>
        <v/>
      </c>
      <c r="S14" s="2116" t="str">
        <f>IF(Q14="","",MAX(Q14:Q19))</f>
        <v/>
      </c>
      <c r="T14" s="2116" t="str">
        <f>IF(S14="","",IF(S14&lt;0.5,"Baja",IF(S14&lt;1,"Media",IF(S14&lt;1.5,"Alta","Muy alta"))))</f>
        <v/>
      </c>
      <c r="AG14" s="56"/>
      <c r="AT14" s="699"/>
      <c r="AX14" s="700"/>
    </row>
    <row r="15" spans="1:50" s="770" customFormat="1" ht="48.75" customHeight="1" x14ac:dyDescent="0.25">
      <c r="A15" s="250"/>
      <c r="B15" s="2136"/>
      <c r="C15" s="2137"/>
      <c r="D15" s="2119" t="str">
        <f t="shared" si="2"/>
        <v/>
      </c>
      <c r="E15" s="2120"/>
      <c r="F15" s="2121"/>
      <c r="G15" s="2121"/>
      <c r="H15" s="2121"/>
      <c r="I15" s="2121"/>
      <c r="J15" s="725"/>
      <c r="K15" s="2121"/>
      <c r="L15" s="2121"/>
      <c r="M15" s="2121"/>
      <c r="N15" s="2121"/>
      <c r="O15" s="2121"/>
      <c r="P15" s="725"/>
      <c r="Q15" s="703" t="str">
        <f t="shared" si="1"/>
        <v/>
      </c>
      <c r="R15" s="704" t="str">
        <f t="shared" si="0"/>
        <v/>
      </c>
      <c r="S15" s="2117"/>
      <c r="T15" s="2117"/>
      <c r="AG15" s="56"/>
      <c r="AT15" s="699"/>
      <c r="AX15" s="700"/>
    </row>
    <row r="16" spans="1:50" s="770" customFormat="1" ht="14.25" customHeight="1" x14ac:dyDescent="0.25">
      <c r="A16" s="250"/>
      <c r="B16" s="2136"/>
      <c r="C16" s="2137"/>
      <c r="D16" s="2119" t="str">
        <f t="shared" si="2"/>
        <v/>
      </c>
      <c r="E16" s="2120"/>
      <c r="F16" s="2133"/>
      <c r="G16" s="2133"/>
      <c r="H16" s="2133"/>
      <c r="I16" s="2133"/>
      <c r="J16" s="725"/>
      <c r="K16" s="2133"/>
      <c r="L16" s="2133"/>
      <c r="M16" s="2133"/>
      <c r="N16" s="2133"/>
      <c r="O16" s="2133"/>
      <c r="P16" s="725"/>
      <c r="Q16" s="703" t="str">
        <f t="shared" si="1"/>
        <v/>
      </c>
      <c r="R16" s="704" t="str">
        <f t="shared" si="0"/>
        <v/>
      </c>
      <c r="S16" s="2117"/>
      <c r="T16" s="2117"/>
      <c r="AG16" s="56"/>
      <c r="AT16" s="699"/>
      <c r="AX16" s="700"/>
    </row>
    <row r="17" spans="1:50" s="770" customFormat="1" ht="14.25" customHeight="1" x14ac:dyDescent="0.25">
      <c r="A17" s="250"/>
      <c r="B17" s="2136"/>
      <c r="C17" s="2137"/>
      <c r="D17" s="2119" t="str">
        <f t="shared" si="2"/>
        <v/>
      </c>
      <c r="E17" s="2120"/>
      <c r="F17" s="2133"/>
      <c r="G17" s="2133"/>
      <c r="H17" s="2133"/>
      <c r="I17" s="2133"/>
      <c r="J17" s="725"/>
      <c r="K17" s="2133"/>
      <c r="L17" s="2133"/>
      <c r="M17" s="2133"/>
      <c r="N17" s="2133"/>
      <c r="O17" s="2133"/>
      <c r="P17" s="725"/>
      <c r="Q17" s="703" t="str">
        <f t="shared" si="1"/>
        <v/>
      </c>
      <c r="R17" s="704" t="str">
        <f t="shared" si="0"/>
        <v/>
      </c>
      <c r="S17" s="2117"/>
      <c r="T17" s="2117"/>
      <c r="AG17" s="56"/>
      <c r="AT17" s="699"/>
      <c r="AX17" s="700"/>
    </row>
    <row r="18" spans="1:50" s="770" customFormat="1" ht="14.25" customHeight="1" x14ac:dyDescent="0.25">
      <c r="A18" s="250"/>
      <c r="B18" s="2136"/>
      <c r="C18" s="2137"/>
      <c r="D18" s="2119" t="str">
        <f t="shared" si="2"/>
        <v/>
      </c>
      <c r="E18" s="2120"/>
      <c r="F18" s="2133"/>
      <c r="G18" s="2133"/>
      <c r="H18" s="2133"/>
      <c r="I18" s="2133"/>
      <c r="J18" s="725"/>
      <c r="K18" s="2133"/>
      <c r="L18" s="2133"/>
      <c r="M18" s="2133"/>
      <c r="N18" s="2133"/>
      <c r="O18" s="2133"/>
      <c r="P18" s="725"/>
      <c r="Q18" s="703" t="str">
        <f t="shared" si="1"/>
        <v/>
      </c>
      <c r="R18" s="704" t="str">
        <f t="shared" si="0"/>
        <v/>
      </c>
      <c r="S18" s="2117"/>
      <c r="T18" s="2117"/>
      <c r="AG18" s="56"/>
      <c r="AT18" s="699"/>
      <c r="AX18" s="700"/>
    </row>
    <row r="19" spans="1:50" s="770" customFormat="1" ht="14.25" customHeight="1" thickBot="1" x14ac:dyDescent="0.3">
      <c r="A19" s="250"/>
      <c r="B19" s="2138"/>
      <c r="C19" s="2139"/>
      <c r="D19" s="2141" t="str">
        <f t="shared" si="2"/>
        <v/>
      </c>
      <c r="E19" s="2142"/>
      <c r="F19" s="2144"/>
      <c r="G19" s="2144"/>
      <c r="H19" s="2144"/>
      <c r="I19" s="2144"/>
      <c r="J19" s="726"/>
      <c r="K19" s="2144"/>
      <c r="L19" s="2144"/>
      <c r="M19" s="2144"/>
      <c r="N19" s="2144"/>
      <c r="O19" s="2144"/>
      <c r="P19" s="726"/>
      <c r="Q19" s="705" t="str">
        <f t="shared" si="1"/>
        <v/>
      </c>
      <c r="R19" s="706" t="str">
        <f t="shared" si="0"/>
        <v/>
      </c>
      <c r="S19" s="2118"/>
      <c r="T19" s="2118"/>
      <c r="AG19" s="56"/>
      <c r="AT19" s="699"/>
      <c r="AX19" s="700"/>
    </row>
    <row r="20" spans="1:50" s="770" customFormat="1" ht="42.75" customHeight="1" x14ac:dyDescent="0.25">
      <c r="A20" s="250"/>
      <c r="B20" s="2134" t="str">
        <f>IFERROR('UNIDAD PRODUCTORA'!D98,"")</f>
        <v/>
      </c>
      <c r="C20" s="2135"/>
      <c r="D20" s="2145" t="str">
        <f t="shared" ref="D20:D25" si="3">IFERROR(IF($B$20="","",D8),"")</f>
        <v/>
      </c>
      <c r="E20" s="2146"/>
      <c r="F20" s="2140"/>
      <c r="G20" s="2140"/>
      <c r="H20" s="2140"/>
      <c r="I20" s="2140"/>
      <c r="J20" s="724"/>
      <c r="K20" s="2140"/>
      <c r="L20" s="2140"/>
      <c r="M20" s="2140"/>
      <c r="N20" s="2140"/>
      <c r="O20" s="2140"/>
      <c r="P20" s="724"/>
      <c r="Q20" s="701" t="str">
        <f t="shared" si="1"/>
        <v/>
      </c>
      <c r="R20" s="702" t="str">
        <f t="shared" si="0"/>
        <v/>
      </c>
      <c r="S20" s="2116" t="str">
        <f>IF(Q20="","",MAX(Q20:Q25))</f>
        <v/>
      </c>
      <c r="T20" s="2116" t="str">
        <f>IF(S20="","",IF(S20&lt;0.5,"Baja",IF(S20&lt;1,"Media",IF(S20&lt;1.5,"Alta","Muy alta"))))</f>
        <v/>
      </c>
      <c r="AG20" s="56"/>
      <c r="AT20" s="699"/>
      <c r="AX20" s="700"/>
    </row>
    <row r="21" spans="1:50" s="770" customFormat="1" ht="42.75" customHeight="1" x14ac:dyDescent="0.25">
      <c r="A21" s="250"/>
      <c r="B21" s="2136"/>
      <c r="C21" s="2137"/>
      <c r="D21" s="2119" t="str">
        <f t="shared" si="3"/>
        <v/>
      </c>
      <c r="E21" s="2120"/>
      <c r="F21" s="2121"/>
      <c r="G21" s="2121"/>
      <c r="H21" s="2121"/>
      <c r="I21" s="2121"/>
      <c r="J21" s="725"/>
      <c r="K21" s="2121"/>
      <c r="L21" s="2121"/>
      <c r="M21" s="2121"/>
      <c r="N21" s="2121"/>
      <c r="O21" s="2121"/>
      <c r="P21" s="725"/>
      <c r="Q21" s="703" t="str">
        <f t="shared" si="1"/>
        <v/>
      </c>
      <c r="R21" s="704" t="str">
        <f t="shared" si="0"/>
        <v/>
      </c>
      <c r="S21" s="2117"/>
      <c r="T21" s="2117"/>
      <c r="AG21" s="56"/>
      <c r="AT21" s="699"/>
      <c r="AX21" s="700"/>
    </row>
    <row r="22" spans="1:50" s="770" customFormat="1" ht="42.75" customHeight="1" x14ac:dyDescent="0.25">
      <c r="A22" s="250"/>
      <c r="B22" s="2136"/>
      <c r="C22" s="2137"/>
      <c r="D22" s="2119" t="str">
        <f t="shared" si="3"/>
        <v/>
      </c>
      <c r="E22" s="2120"/>
      <c r="F22" s="2121"/>
      <c r="G22" s="2121"/>
      <c r="H22" s="2121"/>
      <c r="I22" s="2121"/>
      <c r="J22" s="725"/>
      <c r="K22" s="2121"/>
      <c r="L22" s="2121"/>
      <c r="M22" s="2121"/>
      <c r="N22" s="2121"/>
      <c r="O22" s="2121"/>
      <c r="P22" s="725"/>
      <c r="Q22" s="703" t="str">
        <f t="shared" si="1"/>
        <v/>
      </c>
      <c r="R22" s="704" t="str">
        <f t="shared" si="0"/>
        <v/>
      </c>
      <c r="S22" s="2117"/>
      <c r="T22" s="2117"/>
      <c r="AG22" s="56"/>
      <c r="AT22" s="699"/>
      <c r="AX22" s="700"/>
    </row>
    <row r="23" spans="1:50" s="770" customFormat="1" ht="14.25" customHeight="1" x14ac:dyDescent="0.25">
      <c r="A23" s="250"/>
      <c r="B23" s="2136"/>
      <c r="C23" s="2137"/>
      <c r="D23" s="2119" t="str">
        <f t="shared" si="3"/>
        <v/>
      </c>
      <c r="E23" s="2120"/>
      <c r="F23" s="2133"/>
      <c r="G23" s="2133"/>
      <c r="H23" s="2133"/>
      <c r="I23" s="2133"/>
      <c r="J23" s="725"/>
      <c r="K23" s="2133"/>
      <c r="L23" s="2133"/>
      <c r="M23" s="2133"/>
      <c r="N23" s="2133"/>
      <c r="O23" s="2133"/>
      <c r="P23" s="725"/>
      <c r="Q23" s="703" t="str">
        <f t="shared" si="1"/>
        <v/>
      </c>
      <c r="R23" s="704" t="str">
        <f t="shared" si="0"/>
        <v/>
      </c>
      <c r="S23" s="2117"/>
      <c r="T23" s="2117"/>
      <c r="AG23" s="56"/>
      <c r="AT23" s="699"/>
      <c r="AX23" s="700"/>
    </row>
    <row r="24" spans="1:50" s="770" customFormat="1" ht="14.25" customHeight="1" x14ac:dyDescent="0.25">
      <c r="A24" s="250"/>
      <c r="B24" s="2136"/>
      <c r="C24" s="2137"/>
      <c r="D24" s="2119" t="str">
        <f t="shared" si="3"/>
        <v/>
      </c>
      <c r="E24" s="2120"/>
      <c r="F24" s="2133"/>
      <c r="G24" s="2133"/>
      <c r="H24" s="2133"/>
      <c r="I24" s="2133"/>
      <c r="J24" s="725"/>
      <c r="K24" s="2133"/>
      <c r="L24" s="2133"/>
      <c r="M24" s="2133"/>
      <c r="N24" s="2133"/>
      <c r="O24" s="2133"/>
      <c r="P24" s="725"/>
      <c r="Q24" s="703" t="str">
        <f t="shared" si="1"/>
        <v/>
      </c>
      <c r="R24" s="704" t="str">
        <f t="shared" si="0"/>
        <v/>
      </c>
      <c r="S24" s="2117"/>
      <c r="T24" s="2117"/>
      <c r="AG24" s="56"/>
      <c r="AT24" s="699"/>
      <c r="AX24" s="700"/>
    </row>
    <row r="25" spans="1:50" s="770" customFormat="1" ht="14.25" customHeight="1" thickBot="1" x14ac:dyDescent="0.3">
      <c r="A25" s="250"/>
      <c r="B25" s="2138"/>
      <c r="C25" s="2139"/>
      <c r="D25" s="2141" t="str">
        <f t="shared" si="3"/>
        <v/>
      </c>
      <c r="E25" s="2142"/>
      <c r="F25" s="2144"/>
      <c r="G25" s="2144"/>
      <c r="H25" s="2144"/>
      <c r="I25" s="2144"/>
      <c r="J25" s="726"/>
      <c r="K25" s="2144"/>
      <c r="L25" s="2144"/>
      <c r="M25" s="2144"/>
      <c r="N25" s="2144"/>
      <c r="O25" s="2144"/>
      <c r="P25" s="726"/>
      <c r="Q25" s="705" t="str">
        <f t="shared" si="1"/>
        <v/>
      </c>
      <c r="R25" s="706" t="str">
        <f t="shared" si="0"/>
        <v/>
      </c>
      <c r="S25" s="2118"/>
      <c r="T25" s="2118"/>
      <c r="AG25" s="56"/>
      <c r="AT25" s="699"/>
      <c r="AX25" s="700"/>
    </row>
    <row r="26" spans="1:50" s="770" customFormat="1" ht="14.25" customHeight="1" x14ac:dyDescent="0.25">
      <c r="A26" s="250"/>
      <c r="B26" s="2134" t="str">
        <f>IFERROR('UNIDAD PRODUCTORA'!D99,"")</f>
        <v/>
      </c>
      <c r="C26" s="2135"/>
      <c r="D26" s="2145" t="str">
        <f t="shared" ref="D26:D31" si="4">IFERROR(IF($B$26="","",D8),"")</f>
        <v/>
      </c>
      <c r="E26" s="2146"/>
      <c r="F26" s="2147"/>
      <c r="G26" s="2147"/>
      <c r="H26" s="2147"/>
      <c r="I26" s="2147"/>
      <c r="J26" s="724"/>
      <c r="K26" s="2147"/>
      <c r="L26" s="2147"/>
      <c r="M26" s="2147"/>
      <c r="N26" s="2147"/>
      <c r="O26" s="2147"/>
      <c r="P26" s="724"/>
      <c r="Q26" s="701" t="str">
        <f>IF(J26="","",(J26+P26)/2)</f>
        <v/>
      </c>
      <c r="R26" s="702" t="str">
        <f t="shared" si="0"/>
        <v/>
      </c>
      <c r="S26" s="2116" t="str">
        <f>IF(Q26="","",MAX(Q26:Q31))</f>
        <v/>
      </c>
      <c r="T26" s="2116" t="str">
        <f>IF(S26="","",IF(S26&lt;0.5,"Baja",IF(S26&lt;1,"Media",IF(S26&lt;1.5,"Alta","Muy alta"))))</f>
        <v/>
      </c>
      <c r="AG26" s="56"/>
      <c r="AT26" s="699"/>
      <c r="AX26" s="700"/>
    </row>
    <row r="27" spans="1:50" s="770" customFormat="1" ht="14.25" customHeight="1" x14ac:dyDescent="0.25">
      <c r="A27" s="250"/>
      <c r="B27" s="2136"/>
      <c r="C27" s="2137"/>
      <c r="D27" s="2119" t="str">
        <f t="shared" si="4"/>
        <v/>
      </c>
      <c r="E27" s="2120"/>
      <c r="F27" s="2133"/>
      <c r="G27" s="2133"/>
      <c r="H27" s="2133"/>
      <c r="I27" s="2133"/>
      <c r="J27" s="725"/>
      <c r="K27" s="2133"/>
      <c r="L27" s="2133"/>
      <c r="M27" s="2133"/>
      <c r="N27" s="2133"/>
      <c r="O27" s="2133"/>
      <c r="P27" s="725"/>
      <c r="Q27" s="703" t="str">
        <f t="shared" ref="Q27:Q43" si="5">IF(J27="","",(J27+P27)/2)</f>
        <v/>
      </c>
      <c r="R27" s="704" t="str">
        <f t="shared" si="0"/>
        <v/>
      </c>
      <c r="S27" s="2117"/>
      <c r="T27" s="2117"/>
      <c r="AG27" s="56"/>
      <c r="AT27" s="699"/>
      <c r="AX27" s="700"/>
    </row>
    <row r="28" spans="1:50" s="770" customFormat="1" ht="14.25" customHeight="1" x14ac:dyDescent="0.25">
      <c r="A28" s="250"/>
      <c r="B28" s="2136"/>
      <c r="C28" s="2137"/>
      <c r="D28" s="2119" t="str">
        <f t="shared" si="4"/>
        <v/>
      </c>
      <c r="E28" s="2120"/>
      <c r="F28" s="2133"/>
      <c r="G28" s="2133"/>
      <c r="H28" s="2133"/>
      <c r="I28" s="2133"/>
      <c r="J28" s="725"/>
      <c r="K28" s="2133"/>
      <c r="L28" s="2133"/>
      <c r="M28" s="2133"/>
      <c r="N28" s="2133"/>
      <c r="O28" s="2133"/>
      <c r="P28" s="725"/>
      <c r="Q28" s="703" t="str">
        <f t="shared" si="5"/>
        <v/>
      </c>
      <c r="R28" s="704" t="str">
        <f t="shared" si="0"/>
        <v/>
      </c>
      <c r="S28" s="2117"/>
      <c r="T28" s="2117"/>
      <c r="AG28" s="56"/>
      <c r="AT28" s="699"/>
      <c r="AX28" s="700"/>
    </row>
    <row r="29" spans="1:50" s="770" customFormat="1" ht="14.25" customHeight="1" x14ac:dyDescent="0.25">
      <c r="A29" s="250"/>
      <c r="B29" s="2136"/>
      <c r="C29" s="2137"/>
      <c r="D29" s="2119" t="str">
        <f t="shared" si="4"/>
        <v/>
      </c>
      <c r="E29" s="2120"/>
      <c r="F29" s="2133"/>
      <c r="G29" s="2133"/>
      <c r="H29" s="2133"/>
      <c r="I29" s="2133"/>
      <c r="J29" s="725"/>
      <c r="K29" s="2133"/>
      <c r="L29" s="2133"/>
      <c r="M29" s="2133"/>
      <c r="N29" s="2133"/>
      <c r="O29" s="2133"/>
      <c r="P29" s="725"/>
      <c r="Q29" s="703" t="str">
        <f t="shared" si="5"/>
        <v/>
      </c>
      <c r="R29" s="704" t="str">
        <f t="shared" si="0"/>
        <v/>
      </c>
      <c r="S29" s="2117"/>
      <c r="T29" s="2117"/>
      <c r="AG29" s="56"/>
      <c r="AT29" s="699"/>
      <c r="AX29" s="700"/>
    </row>
    <row r="30" spans="1:50" s="770" customFormat="1" ht="14.25" customHeight="1" x14ac:dyDescent="0.25">
      <c r="A30" s="250"/>
      <c r="B30" s="2136"/>
      <c r="C30" s="2137"/>
      <c r="D30" s="2119" t="str">
        <f t="shared" si="4"/>
        <v/>
      </c>
      <c r="E30" s="2120"/>
      <c r="F30" s="2133"/>
      <c r="G30" s="2133"/>
      <c r="H30" s="2133"/>
      <c r="I30" s="2133"/>
      <c r="J30" s="725"/>
      <c r="K30" s="2133"/>
      <c r="L30" s="2133"/>
      <c r="M30" s="2133"/>
      <c r="N30" s="2133"/>
      <c r="O30" s="2133"/>
      <c r="P30" s="725"/>
      <c r="Q30" s="703" t="str">
        <f t="shared" si="5"/>
        <v/>
      </c>
      <c r="R30" s="704" t="str">
        <f t="shared" si="0"/>
        <v/>
      </c>
      <c r="S30" s="2117"/>
      <c r="T30" s="2117"/>
      <c r="AG30" s="56"/>
      <c r="AT30" s="699"/>
      <c r="AX30" s="700"/>
    </row>
    <row r="31" spans="1:50" s="770" customFormat="1" ht="14.25" customHeight="1" thickBot="1" x14ac:dyDescent="0.3">
      <c r="A31" s="250"/>
      <c r="B31" s="2138"/>
      <c r="C31" s="2139"/>
      <c r="D31" s="2141" t="str">
        <f t="shared" si="4"/>
        <v/>
      </c>
      <c r="E31" s="2142"/>
      <c r="F31" s="2144"/>
      <c r="G31" s="2144"/>
      <c r="H31" s="2144"/>
      <c r="I31" s="2144"/>
      <c r="J31" s="726"/>
      <c r="K31" s="2144"/>
      <c r="L31" s="2144"/>
      <c r="M31" s="2144"/>
      <c r="N31" s="2144"/>
      <c r="O31" s="2144"/>
      <c r="P31" s="726"/>
      <c r="Q31" s="705" t="str">
        <f t="shared" si="5"/>
        <v/>
      </c>
      <c r="R31" s="706" t="str">
        <f t="shared" si="0"/>
        <v/>
      </c>
      <c r="S31" s="2118"/>
      <c r="T31" s="2118"/>
      <c r="AG31" s="56"/>
      <c r="AT31" s="699"/>
      <c r="AX31" s="700"/>
    </row>
    <row r="32" spans="1:50" s="770" customFormat="1" ht="14.25" customHeight="1" x14ac:dyDescent="0.25">
      <c r="A32" s="250"/>
      <c r="B32" s="2134" t="str">
        <f>IFERROR('UNIDAD PRODUCTORA'!D100,"")</f>
        <v/>
      </c>
      <c r="C32" s="2135"/>
      <c r="D32" s="2145" t="str">
        <f t="shared" ref="D32:D37" si="6">IFERROR(IF($B$32="","",D8),"")</f>
        <v/>
      </c>
      <c r="E32" s="2146"/>
      <c r="F32" s="2147"/>
      <c r="G32" s="2147"/>
      <c r="H32" s="2147"/>
      <c r="I32" s="2147"/>
      <c r="J32" s="724"/>
      <c r="K32" s="2147"/>
      <c r="L32" s="2147"/>
      <c r="M32" s="2147"/>
      <c r="N32" s="2147"/>
      <c r="O32" s="2147"/>
      <c r="P32" s="724"/>
      <c r="Q32" s="701" t="str">
        <f t="shared" si="5"/>
        <v/>
      </c>
      <c r="R32" s="702" t="str">
        <f t="shared" si="0"/>
        <v/>
      </c>
      <c r="S32" s="2116" t="str">
        <f>IF(Q32="","",MAX(Q32:Q37))</f>
        <v/>
      </c>
      <c r="T32" s="2116" t="str">
        <f>IF(S32="","",IF(S32&lt;0.5,"Baja",IF(S32&lt;1,"Media",IF(S32&lt;1.5,"Alta","Muy alta"))))</f>
        <v/>
      </c>
      <c r="AG32" s="56"/>
      <c r="AT32" s="699"/>
      <c r="AX32" s="700"/>
    </row>
    <row r="33" spans="1:50" s="770" customFormat="1" ht="14.25" customHeight="1" x14ac:dyDescent="0.25">
      <c r="A33" s="250"/>
      <c r="B33" s="2136"/>
      <c r="C33" s="2137"/>
      <c r="D33" s="2119" t="str">
        <f t="shared" si="6"/>
        <v/>
      </c>
      <c r="E33" s="2120"/>
      <c r="F33" s="2133"/>
      <c r="G33" s="2133"/>
      <c r="H33" s="2133"/>
      <c r="I33" s="2133"/>
      <c r="J33" s="725"/>
      <c r="K33" s="2133"/>
      <c r="L33" s="2133"/>
      <c r="M33" s="2133"/>
      <c r="N33" s="2133"/>
      <c r="O33" s="2133"/>
      <c r="P33" s="725"/>
      <c r="Q33" s="703" t="str">
        <f t="shared" si="5"/>
        <v/>
      </c>
      <c r="R33" s="704" t="str">
        <f t="shared" si="0"/>
        <v/>
      </c>
      <c r="S33" s="2117"/>
      <c r="T33" s="2117"/>
      <c r="AG33" s="56"/>
      <c r="AT33" s="699"/>
      <c r="AX33" s="700"/>
    </row>
    <row r="34" spans="1:50" s="770" customFormat="1" ht="14.25" customHeight="1" x14ac:dyDescent="0.25">
      <c r="A34" s="250"/>
      <c r="B34" s="2136"/>
      <c r="C34" s="2137"/>
      <c r="D34" s="2119" t="str">
        <f t="shared" si="6"/>
        <v/>
      </c>
      <c r="E34" s="2120"/>
      <c r="F34" s="2133"/>
      <c r="G34" s="2133"/>
      <c r="H34" s="2133"/>
      <c r="I34" s="2133"/>
      <c r="J34" s="725"/>
      <c r="K34" s="2133"/>
      <c r="L34" s="2133"/>
      <c r="M34" s="2133"/>
      <c r="N34" s="2133"/>
      <c r="O34" s="2133"/>
      <c r="P34" s="725"/>
      <c r="Q34" s="703" t="str">
        <f t="shared" si="5"/>
        <v/>
      </c>
      <c r="R34" s="704" t="str">
        <f t="shared" si="0"/>
        <v/>
      </c>
      <c r="S34" s="2117"/>
      <c r="T34" s="2117"/>
      <c r="AG34" s="56"/>
      <c r="AT34" s="699"/>
      <c r="AX34" s="700"/>
    </row>
    <row r="35" spans="1:50" s="770" customFormat="1" ht="14.25" customHeight="1" x14ac:dyDescent="0.25">
      <c r="A35" s="250"/>
      <c r="B35" s="2136"/>
      <c r="C35" s="2137"/>
      <c r="D35" s="2119" t="str">
        <f t="shared" si="6"/>
        <v/>
      </c>
      <c r="E35" s="2120"/>
      <c r="F35" s="2133"/>
      <c r="G35" s="2133"/>
      <c r="H35" s="2133"/>
      <c r="I35" s="2133"/>
      <c r="J35" s="725"/>
      <c r="K35" s="2133"/>
      <c r="L35" s="2133"/>
      <c r="M35" s="2133"/>
      <c r="N35" s="2133"/>
      <c r="O35" s="2133"/>
      <c r="P35" s="725"/>
      <c r="Q35" s="703" t="str">
        <f t="shared" si="5"/>
        <v/>
      </c>
      <c r="R35" s="704" t="str">
        <f t="shared" si="0"/>
        <v/>
      </c>
      <c r="S35" s="2117"/>
      <c r="T35" s="2117"/>
      <c r="AG35" s="56"/>
      <c r="AT35" s="699"/>
      <c r="AX35" s="700"/>
    </row>
    <row r="36" spans="1:50" s="770" customFormat="1" ht="14.25" customHeight="1" x14ac:dyDescent="0.25">
      <c r="A36" s="250"/>
      <c r="B36" s="2136"/>
      <c r="C36" s="2137"/>
      <c r="D36" s="2119" t="str">
        <f t="shared" si="6"/>
        <v/>
      </c>
      <c r="E36" s="2120"/>
      <c r="F36" s="2133"/>
      <c r="G36" s="2133"/>
      <c r="H36" s="2133"/>
      <c r="I36" s="2133"/>
      <c r="J36" s="725"/>
      <c r="K36" s="2133"/>
      <c r="L36" s="2133"/>
      <c r="M36" s="2133"/>
      <c r="N36" s="2133"/>
      <c r="O36" s="2133"/>
      <c r="P36" s="725"/>
      <c r="Q36" s="703" t="str">
        <f t="shared" si="5"/>
        <v/>
      </c>
      <c r="R36" s="704" t="str">
        <f t="shared" si="0"/>
        <v/>
      </c>
      <c r="S36" s="2117"/>
      <c r="T36" s="2117"/>
      <c r="AG36" s="56"/>
      <c r="AT36" s="699"/>
      <c r="AX36" s="700"/>
    </row>
    <row r="37" spans="1:50" s="770" customFormat="1" ht="14.25" customHeight="1" thickBot="1" x14ac:dyDescent="0.3">
      <c r="A37" s="250"/>
      <c r="B37" s="2138"/>
      <c r="C37" s="2139"/>
      <c r="D37" s="2141" t="str">
        <f t="shared" si="6"/>
        <v/>
      </c>
      <c r="E37" s="2142"/>
      <c r="F37" s="2144"/>
      <c r="G37" s="2144"/>
      <c r="H37" s="2144"/>
      <c r="I37" s="2144"/>
      <c r="J37" s="726"/>
      <c r="K37" s="2144"/>
      <c r="L37" s="2144"/>
      <c r="M37" s="2144"/>
      <c r="N37" s="2144"/>
      <c r="O37" s="2144"/>
      <c r="P37" s="726"/>
      <c r="Q37" s="705" t="str">
        <f t="shared" si="5"/>
        <v/>
      </c>
      <c r="R37" s="706" t="str">
        <f t="shared" si="0"/>
        <v/>
      </c>
      <c r="S37" s="2118"/>
      <c r="T37" s="2118"/>
      <c r="AG37" s="56"/>
      <c r="AT37" s="699"/>
      <c r="AX37" s="700"/>
    </row>
    <row r="38" spans="1:50" s="770" customFormat="1" ht="14.25" customHeight="1" x14ac:dyDescent="0.25">
      <c r="A38" s="250"/>
      <c r="B38" s="2134" t="str">
        <f>IFERROR('UNIDAD PRODUCTORA'!D101,"")</f>
        <v/>
      </c>
      <c r="C38" s="2135"/>
      <c r="D38" s="2145" t="str">
        <f t="shared" ref="D38:D43" si="7">IFERROR(IF($B$38="","",D8),"")</f>
        <v/>
      </c>
      <c r="E38" s="2146"/>
      <c r="F38" s="2147"/>
      <c r="G38" s="2147"/>
      <c r="H38" s="2147"/>
      <c r="I38" s="2147"/>
      <c r="J38" s="724"/>
      <c r="K38" s="2147"/>
      <c r="L38" s="2147"/>
      <c r="M38" s="2147"/>
      <c r="N38" s="2147"/>
      <c r="O38" s="2147"/>
      <c r="P38" s="724"/>
      <c r="Q38" s="701" t="str">
        <f t="shared" si="5"/>
        <v/>
      </c>
      <c r="R38" s="702" t="str">
        <f t="shared" si="0"/>
        <v/>
      </c>
      <c r="S38" s="2116" t="str">
        <f>IF(Q38="","",MAX(Q38:Q43))</f>
        <v/>
      </c>
      <c r="T38" s="2116" t="str">
        <f>IF(S38="","",IF(S38&lt;0.5,"Baja",IF(S38&lt;1,"Media",IF(S38&lt;1.5,"Alta","Muy alta"))))</f>
        <v/>
      </c>
      <c r="AG38" s="56"/>
      <c r="AT38" s="699"/>
      <c r="AX38" s="700"/>
    </row>
    <row r="39" spans="1:50" s="770" customFormat="1" ht="14.25" customHeight="1" x14ac:dyDescent="0.25">
      <c r="A39" s="250"/>
      <c r="B39" s="2136"/>
      <c r="C39" s="2137"/>
      <c r="D39" s="2119" t="str">
        <f t="shared" si="7"/>
        <v/>
      </c>
      <c r="E39" s="2120"/>
      <c r="F39" s="2133"/>
      <c r="G39" s="2133"/>
      <c r="H39" s="2133"/>
      <c r="I39" s="2133"/>
      <c r="J39" s="725"/>
      <c r="K39" s="2133"/>
      <c r="L39" s="2133"/>
      <c r="M39" s="2133"/>
      <c r="N39" s="2133"/>
      <c r="O39" s="2133"/>
      <c r="P39" s="725"/>
      <c r="Q39" s="703" t="str">
        <f t="shared" si="5"/>
        <v/>
      </c>
      <c r="R39" s="704" t="str">
        <f t="shared" si="0"/>
        <v/>
      </c>
      <c r="S39" s="2117"/>
      <c r="T39" s="2117"/>
      <c r="AG39" s="56"/>
      <c r="AT39" s="699"/>
      <c r="AX39" s="700"/>
    </row>
    <row r="40" spans="1:50" s="770" customFormat="1" ht="14.25" customHeight="1" x14ac:dyDescent="0.25">
      <c r="A40" s="250"/>
      <c r="B40" s="2136"/>
      <c r="C40" s="2137"/>
      <c r="D40" s="2119" t="str">
        <f t="shared" si="7"/>
        <v/>
      </c>
      <c r="E40" s="2120"/>
      <c r="F40" s="2133"/>
      <c r="G40" s="2133"/>
      <c r="H40" s="2133"/>
      <c r="I40" s="2133"/>
      <c r="J40" s="725"/>
      <c r="K40" s="2133"/>
      <c r="L40" s="2133"/>
      <c r="M40" s="2133"/>
      <c r="N40" s="2133"/>
      <c r="O40" s="2133"/>
      <c r="P40" s="725"/>
      <c r="Q40" s="703" t="str">
        <f t="shared" si="5"/>
        <v/>
      </c>
      <c r="R40" s="704" t="str">
        <f t="shared" si="0"/>
        <v/>
      </c>
      <c r="S40" s="2117"/>
      <c r="T40" s="2117"/>
      <c r="AG40" s="56"/>
      <c r="AT40" s="699"/>
      <c r="AX40" s="700"/>
    </row>
    <row r="41" spans="1:50" s="770" customFormat="1" ht="14.25" customHeight="1" x14ac:dyDescent="0.25">
      <c r="A41" s="250"/>
      <c r="B41" s="2136"/>
      <c r="C41" s="2137"/>
      <c r="D41" s="2119" t="str">
        <f t="shared" si="7"/>
        <v/>
      </c>
      <c r="E41" s="2120"/>
      <c r="F41" s="2133"/>
      <c r="G41" s="2133"/>
      <c r="H41" s="2133"/>
      <c r="I41" s="2133"/>
      <c r="J41" s="725"/>
      <c r="K41" s="2133"/>
      <c r="L41" s="2133"/>
      <c r="M41" s="2133"/>
      <c r="N41" s="2133"/>
      <c r="O41" s="2133"/>
      <c r="P41" s="725"/>
      <c r="Q41" s="703" t="str">
        <f t="shared" si="5"/>
        <v/>
      </c>
      <c r="R41" s="704" t="str">
        <f t="shared" si="0"/>
        <v/>
      </c>
      <c r="S41" s="2117"/>
      <c r="T41" s="2117"/>
      <c r="AG41" s="56"/>
      <c r="AT41" s="699"/>
      <c r="AX41" s="700"/>
    </row>
    <row r="42" spans="1:50" s="770" customFormat="1" ht="14.25" customHeight="1" x14ac:dyDescent="0.25">
      <c r="A42" s="250"/>
      <c r="B42" s="2136"/>
      <c r="C42" s="2137"/>
      <c r="D42" s="2119" t="str">
        <f t="shared" si="7"/>
        <v/>
      </c>
      <c r="E42" s="2120"/>
      <c r="F42" s="2133"/>
      <c r="G42" s="2133"/>
      <c r="H42" s="2133"/>
      <c r="I42" s="2133"/>
      <c r="J42" s="725"/>
      <c r="K42" s="2133"/>
      <c r="L42" s="2133"/>
      <c r="M42" s="2133"/>
      <c r="N42" s="2133"/>
      <c r="O42" s="2133"/>
      <c r="P42" s="725"/>
      <c r="Q42" s="703" t="str">
        <f t="shared" si="5"/>
        <v/>
      </c>
      <c r="R42" s="704" t="str">
        <f t="shared" si="0"/>
        <v/>
      </c>
      <c r="S42" s="2117"/>
      <c r="T42" s="2117"/>
      <c r="AG42" s="56"/>
      <c r="AT42" s="699"/>
      <c r="AX42" s="700"/>
    </row>
    <row r="43" spans="1:50" s="770" customFormat="1" ht="14.25" customHeight="1" thickBot="1" x14ac:dyDescent="0.3">
      <c r="A43" s="250"/>
      <c r="B43" s="2138"/>
      <c r="C43" s="2139"/>
      <c r="D43" s="2141" t="str">
        <f t="shared" si="7"/>
        <v/>
      </c>
      <c r="E43" s="2142"/>
      <c r="F43" s="2144"/>
      <c r="G43" s="2144"/>
      <c r="H43" s="2144"/>
      <c r="I43" s="2144"/>
      <c r="J43" s="726"/>
      <c r="K43" s="2144"/>
      <c r="L43" s="2144"/>
      <c r="M43" s="2144"/>
      <c r="N43" s="2144"/>
      <c r="O43" s="2144"/>
      <c r="P43" s="726"/>
      <c r="Q43" s="705" t="str">
        <f t="shared" si="5"/>
        <v/>
      </c>
      <c r="R43" s="706" t="str">
        <f t="shared" si="0"/>
        <v/>
      </c>
      <c r="S43" s="2118"/>
      <c r="T43" s="2118"/>
      <c r="AG43" s="56"/>
      <c r="AT43" s="699"/>
      <c r="AX43" s="700"/>
    </row>
    <row r="44" spans="1:50" s="770" customFormat="1" x14ac:dyDescent="0.25">
      <c r="A44" s="250"/>
      <c r="B44" s="770" t="s">
        <v>5461</v>
      </c>
      <c r="E44" s="68"/>
      <c r="AG44" s="56"/>
      <c r="AT44" s="699"/>
      <c r="AX44" s="700"/>
    </row>
    <row r="45" spans="1:50" s="770" customFormat="1" x14ac:dyDescent="0.25">
      <c r="A45" s="250"/>
      <c r="B45" s="91"/>
      <c r="E45" s="68"/>
      <c r="AG45" s="56"/>
      <c r="AT45" s="699"/>
      <c r="AX45" s="700"/>
    </row>
    <row r="46" spans="1:50" s="770" customFormat="1" x14ac:dyDescent="0.25">
      <c r="A46" s="250"/>
      <c r="B46" s="91" t="s">
        <v>5462</v>
      </c>
      <c r="E46" s="68"/>
      <c r="AG46" s="56"/>
      <c r="AT46" s="699"/>
      <c r="AX46" s="700"/>
    </row>
    <row r="47" spans="1:50" s="770" customFormat="1" ht="10.5" customHeight="1" x14ac:dyDescent="0.25">
      <c r="A47" s="250"/>
      <c r="B47" s="91"/>
      <c r="E47" s="68"/>
      <c r="AG47" s="56"/>
      <c r="AT47" s="699"/>
      <c r="AX47" s="700"/>
    </row>
    <row r="48" spans="1:50" s="770" customFormat="1" ht="30" customHeight="1" x14ac:dyDescent="0.25">
      <c r="A48" s="250"/>
      <c r="B48" s="2155" t="s">
        <v>5454</v>
      </c>
      <c r="C48" s="2155"/>
      <c r="D48" s="2155" t="s">
        <v>5463</v>
      </c>
      <c r="E48" s="2155"/>
      <c r="F48" s="2155"/>
      <c r="G48" s="2155"/>
      <c r="H48" s="2155"/>
      <c r="I48" s="2155"/>
      <c r="J48" s="2155" t="s">
        <v>5464</v>
      </c>
      <c r="K48" s="2155"/>
      <c r="L48" s="2155"/>
      <c r="M48" s="2155"/>
      <c r="N48" s="2155"/>
      <c r="O48" s="2155"/>
      <c r="P48" s="2155"/>
      <c r="Q48" s="2148" t="s">
        <v>5465</v>
      </c>
      <c r="R48" s="2148"/>
      <c r="AG48" s="56"/>
      <c r="AT48" s="699"/>
      <c r="AX48" s="700"/>
    </row>
    <row r="49" spans="1:50" s="770" customFormat="1" ht="21.75" customHeight="1" x14ac:dyDescent="0.25">
      <c r="A49" s="250"/>
      <c r="B49" s="2155"/>
      <c r="C49" s="2155"/>
      <c r="D49" s="2149" t="s">
        <v>25</v>
      </c>
      <c r="E49" s="2149"/>
      <c r="F49" s="2149"/>
      <c r="G49" s="2149"/>
      <c r="H49" s="2149"/>
      <c r="I49" s="777" t="s">
        <v>5460</v>
      </c>
      <c r="J49" s="2149" t="s">
        <v>25</v>
      </c>
      <c r="K49" s="2149"/>
      <c r="L49" s="2149"/>
      <c r="M49" s="2149"/>
      <c r="N49" s="2149"/>
      <c r="O49" s="2149"/>
      <c r="P49" s="777" t="s">
        <v>5460</v>
      </c>
      <c r="Q49" s="778" t="s">
        <v>5034</v>
      </c>
      <c r="R49" s="778" t="s">
        <v>5418</v>
      </c>
      <c r="AG49" s="56"/>
      <c r="AT49" s="699"/>
      <c r="AX49" s="700"/>
    </row>
    <row r="50" spans="1:50" s="770" customFormat="1" ht="21.75" customHeight="1" x14ac:dyDescent="0.25">
      <c r="A50" s="250"/>
      <c r="B50" s="2150" t="s">
        <v>5466</v>
      </c>
      <c r="C50" s="2151"/>
      <c r="D50" s="2152"/>
      <c r="E50" s="2153"/>
      <c r="F50" s="2153"/>
      <c r="G50" s="2153"/>
      <c r="H50" s="2154"/>
      <c r="I50" s="707" t="str">
        <f>IFERROR(AVERAGE(I51:I74),"")</f>
        <v/>
      </c>
      <c r="J50" s="2152"/>
      <c r="K50" s="2153"/>
      <c r="L50" s="2153"/>
      <c r="M50" s="2153"/>
      <c r="N50" s="2153"/>
      <c r="O50" s="2154"/>
      <c r="P50" s="707" t="str">
        <f>IFERROR(AVERAGE(P51:P74),"")</f>
        <v/>
      </c>
      <c r="Q50" s="707" t="str">
        <f>IFERROR(IF(I50="","",(I50+P50)/2),"")</f>
        <v/>
      </c>
      <c r="R50" s="778" t="str">
        <f>IF(Q50="","",IF(Q50&lt;0.5,"Baja",IF(Q50&lt;1,"Media",IF(Q50&lt;1.5,"Alta","Muy alta"))))</f>
        <v/>
      </c>
      <c r="AG50" s="56"/>
      <c r="AT50" s="699"/>
      <c r="AX50" s="700"/>
    </row>
    <row r="51" spans="1:50" s="770" customFormat="1" ht="19.5" customHeight="1" x14ac:dyDescent="0.25">
      <c r="A51" s="250"/>
      <c r="B51" s="2137" t="str">
        <f>IFERROR('UNIDAD PRODUCTORA'!D96,"")</f>
        <v/>
      </c>
      <c r="C51" s="2137"/>
      <c r="D51" s="2159"/>
      <c r="E51" s="2159"/>
      <c r="F51" s="2159"/>
      <c r="G51" s="2159"/>
      <c r="H51" s="2159"/>
      <c r="I51" s="2160"/>
      <c r="J51" s="2162"/>
      <c r="K51" s="2162"/>
      <c r="L51" s="2162"/>
      <c r="M51" s="2162"/>
      <c r="N51" s="2162"/>
      <c r="O51" s="2162"/>
      <c r="P51" s="2160"/>
      <c r="Q51" s="2161" t="str">
        <f>IF(I51="","",(I51+P51)/2)</f>
        <v/>
      </c>
      <c r="R51" s="2156" t="str">
        <f>IF(Q51="","",IF(Q51&lt;0.5,"Baja",IF(Q51&lt;1,"Media",IF(Q51&lt;1.5,"Alta","Muy alta"))))</f>
        <v/>
      </c>
      <c r="AG51" s="56"/>
      <c r="AT51" s="699"/>
      <c r="AX51" s="700"/>
    </row>
    <row r="52" spans="1:50" s="770" customFormat="1" ht="19.5" customHeight="1" x14ac:dyDescent="0.25">
      <c r="A52" s="250"/>
      <c r="B52" s="2137"/>
      <c r="C52" s="2137"/>
      <c r="D52" s="2159"/>
      <c r="E52" s="2159"/>
      <c r="F52" s="2159"/>
      <c r="G52" s="2159"/>
      <c r="H52" s="2159"/>
      <c r="I52" s="2160"/>
      <c r="J52" s="2162"/>
      <c r="K52" s="2162"/>
      <c r="L52" s="2162"/>
      <c r="M52" s="2162"/>
      <c r="N52" s="2162"/>
      <c r="O52" s="2162"/>
      <c r="P52" s="2160"/>
      <c r="Q52" s="2161"/>
      <c r="R52" s="2157"/>
      <c r="AG52" s="56"/>
      <c r="AT52" s="699"/>
      <c r="AX52" s="700"/>
    </row>
    <row r="53" spans="1:50" s="770" customFormat="1" ht="19.5" customHeight="1" x14ac:dyDescent="0.25">
      <c r="A53" s="250"/>
      <c r="B53" s="2137"/>
      <c r="C53" s="2137"/>
      <c r="D53" s="2159"/>
      <c r="E53" s="2159"/>
      <c r="F53" s="2159"/>
      <c r="G53" s="2159"/>
      <c r="H53" s="2159"/>
      <c r="I53" s="2160"/>
      <c r="J53" s="2162"/>
      <c r="K53" s="2162"/>
      <c r="L53" s="2162"/>
      <c r="M53" s="2162"/>
      <c r="N53" s="2162"/>
      <c r="O53" s="2162"/>
      <c r="P53" s="2160"/>
      <c r="Q53" s="2161"/>
      <c r="R53" s="2157"/>
      <c r="AG53" s="56"/>
      <c r="AT53" s="699"/>
      <c r="AX53" s="700"/>
    </row>
    <row r="54" spans="1:50" s="770" customFormat="1" ht="19.5" customHeight="1" x14ac:dyDescent="0.25">
      <c r="A54" s="250"/>
      <c r="B54" s="2137"/>
      <c r="C54" s="2137"/>
      <c r="D54" s="2159"/>
      <c r="E54" s="2159"/>
      <c r="F54" s="2159"/>
      <c r="G54" s="2159"/>
      <c r="H54" s="2159"/>
      <c r="I54" s="2160"/>
      <c r="J54" s="2162"/>
      <c r="K54" s="2162"/>
      <c r="L54" s="2162"/>
      <c r="M54" s="2162"/>
      <c r="N54" s="2162"/>
      <c r="O54" s="2162"/>
      <c r="P54" s="2160"/>
      <c r="Q54" s="2161"/>
      <c r="R54" s="2158"/>
      <c r="AG54" s="56"/>
      <c r="AT54" s="699"/>
      <c r="AX54" s="700"/>
    </row>
    <row r="55" spans="1:50" s="770" customFormat="1" ht="19.5" customHeight="1" x14ac:dyDescent="0.25">
      <c r="A55" s="250"/>
      <c r="B55" s="2137" t="str">
        <f>IFERROR('UNIDAD PRODUCTORA'!D97,"")</f>
        <v/>
      </c>
      <c r="C55" s="2137"/>
      <c r="D55" s="2159"/>
      <c r="E55" s="2159"/>
      <c r="F55" s="2159"/>
      <c r="G55" s="2159"/>
      <c r="H55" s="2159"/>
      <c r="I55" s="2160"/>
      <c r="J55" s="2121"/>
      <c r="K55" s="2121"/>
      <c r="L55" s="2121"/>
      <c r="M55" s="2121"/>
      <c r="N55" s="2121"/>
      <c r="O55" s="2121"/>
      <c r="P55" s="2160"/>
      <c r="Q55" s="2161" t="str">
        <f>IF(I55="","",(I55+P55)/2)</f>
        <v/>
      </c>
      <c r="R55" s="2156" t="str">
        <f>IF(Q55="","",IF(Q55&lt;0.5,"Baja",IF(Q55&lt;1,"Media",IF(Q55&lt;1.5,"Alta","Muy alta"))))</f>
        <v/>
      </c>
      <c r="AG55" s="56"/>
      <c r="AT55" s="699"/>
      <c r="AX55" s="700"/>
    </row>
    <row r="56" spans="1:50" s="770" customFormat="1" ht="19.5" customHeight="1" x14ac:dyDescent="0.25">
      <c r="A56" s="250"/>
      <c r="B56" s="2137"/>
      <c r="C56" s="2137"/>
      <c r="D56" s="2159"/>
      <c r="E56" s="2159"/>
      <c r="F56" s="2159"/>
      <c r="G56" s="2159"/>
      <c r="H56" s="2159"/>
      <c r="I56" s="2160"/>
      <c r="J56" s="2121"/>
      <c r="K56" s="2121"/>
      <c r="L56" s="2121"/>
      <c r="M56" s="2121"/>
      <c r="N56" s="2121"/>
      <c r="O56" s="2121"/>
      <c r="P56" s="2160"/>
      <c r="Q56" s="2161"/>
      <c r="R56" s="2157"/>
      <c r="AG56" s="56"/>
      <c r="AT56" s="699"/>
      <c r="AX56" s="700"/>
    </row>
    <row r="57" spans="1:50" s="770" customFormat="1" ht="19.5" customHeight="1" x14ac:dyDescent="0.25">
      <c r="A57" s="250"/>
      <c r="B57" s="2137"/>
      <c r="C57" s="2137"/>
      <c r="D57" s="2159"/>
      <c r="E57" s="2159"/>
      <c r="F57" s="2159"/>
      <c r="G57" s="2159"/>
      <c r="H57" s="2159"/>
      <c r="I57" s="2160"/>
      <c r="J57" s="2121"/>
      <c r="K57" s="2121"/>
      <c r="L57" s="2121"/>
      <c r="M57" s="2121"/>
      <c r="N57" s="2121"/>
      <c r="O57" s="2121"/>
      <c r="P57" s="2160"/>
      <c r="Q57" s="2161"/>
      <c r="R57" s="2157"/>
      <c r="AG57" s="56"/>
      <c r="AT57" s="699"/>
      <c r="AX57" s="700"/>
    </row>
    <row r="58" spans="1:50" s="770" customFormat="1" ht="19.5" customHeight="1" x14ac:dyDescent="0.25">
      <c r="A58" s="250"/>
      <c r="B58" s="2137"/>
      <c r="C58" s="2137"/>
      <c r="D58" s="2159"/>
      <c r="E58" s="2159"/>
      <c r="F58" s="2159"/>
      <c r="G58" s="2159"/>
      <c r="H58" s="2159"/>
      <c r="I58" s="2160"/>
      <c r="J58" s="2121"/>
      <c r="K58" s="2121"/>
      <c r="L58" s="2121"/>
      <c r="M58" s="2121"/>
      <c r="N58" s="2121"/>
      <c r="O58" s="2121"/>
      <c r="P58" s="2160"/>
      <c r="Q58" s="2161"/>
      <c r="R58" s="2158"/>
      <c r="AG58" s="56"/>
      <c r="AT58" s="699"/>
      <c r="AX58" s="700"/>
    </row>
    <row r="59" spans="1:50" s="770" customFormat="1" ht="19.5" customHeight="1" x14ac:dyDescent="0.25">
      <c r="A59" s="250"/>
      <c r="B59" s="2137" t="str">
        <f>IFERROR('UNIDAD PRODUCTORA'!D98,"")</f>
        <v/>
      </c>
      <c r="C59" s="2137"/>
      <c r="D59" s="2159"/>
      <c r="E59" s="2159"/>
      <c r="F59" s="2159"/>
      <c r="G59" s="2159"/>
      <c r="H59" s="2159"/>
      <c r="I59" s="2160"/>
      <c r="J59" s="2121"/>
      <c r="K59" s="2121"/>
      <c r="L59" s="2121"/>
      <c r="M59" s="2121"/>
      <c r="N59" s="2121"/>
      <c r="O59" s="2121"/>
      <c r="P59" s="2160"/>
      <c r="Q59" s="2161" t="str">
        <f>IF(I59="","",(I59+P59)/2)</f>
        <v/>
      </c>
      <c r="R59" s="2156" t="str">
        <f>IF(Q59="","",IF(Q59&lt;0.5,"Baja",IF(Q59&lt;1,"Media",IF(Q59&lt;1.5,"Alta","Muy alta"))))</f>
        <v/>
      </c>
      <c r="AG59" s="56"/>
      <c r="AT59" s="699"/>
      <c r="AX59" s="700"/>
    </row>
    <row r="60" spans="1:50" s="770" customFormat="1" ht="19.5" customHeight="1" x14ac:dyDescent="0.25">
      <c r="A60" s="250"/>
      <c r="B60" s="2137"/>
      <c r="C60" s="2137"/>
      <c r="D60" s="2159"/>
      <c r="E60" s="2159"/>
      <c r="F60" s="2159"/>
      <c r="G60" s="2159"/>
      <c r="H60" s="2159"/>
      <c r="I60" s="2160"/>
      <c r="J60" s="2121"/>
      <c r="K60" s="2121"/>
      <c r="L60" s="2121"/>
      <c r="M60" s="2121"/>
      <c r="N60" s="2121"/>
      <c r="O60" s="2121"/>
      <c r="P60" s="2160"/>
      <c r="Q60" s="2161"/>
      <c r="R60" s="2157"/>
      <c r="AG60" s="56"/>
      <c r="AT60" s="699"/>
      <c r="AX60" s="700"/>
    </row>
    <row r="61" spans="1:50" s="770" customFormat="1" ht="19.5" customHeight="1" x14ac:dyDescent="0.25">
      <c r="A61" s="250"/>
      <c r="B61" s="2137"/>
      <c r="C61" s="2137"/>
      <c r="D61" s="2159"/>
      <c r="E61" s="2159"/>
      <c r="F61" s="2159"/>
      <c r="G61" s="2159"/>
      <c r="H61" s="2159"/>
      <c r="I61" s="2160"/>
      <c r="J61" s="2121"/>
      <c r="K61" s="2121"/>
      <c r="L61" s="2121"/>
      <c r="M61" s="2121"/>
      <c r="N61" s="2121"/>
      <c r="O61" s="2121"/>
      <c r="P61" s="2160"/>
      <c r="Q61" s="2161"/>
      <c r="R61" s="2157"/>
      <c r="AG61" s="56"/>
      <c r="AT61" s="699"/>
      <c r="AX61" s="700"/>
    </row>
    <row r="62" spans="1:50" s="770" customFormat="1" ht="19.5" customHeight="1" x14ac:dyDescent="0.25">
      <c r="A62" s="250"/>
      <c r="B62" s="2137"/>
      <c r="C62" s="2137"/>
      <c r="D62" s="2159"/>
      <c r="E62" s="2159"/>
      <c r="F62" s="2159"/>
      <c r="G62" s="2159"/>
      <c r="H62" s="2159"/>
      <c r="I62" s="2160"/>
      <c r="J62" s="2121"/>
      <c r="K62" s="2121"/>
      <c r="L62" s="2121"/>
      <c r="M62" s="2121"/>
      <c r="N62" s="2121"/>
      <c r="O62" s="2121"/>
      <c r="P62" s="2160"/>
      <c r="Q62" s="2161"/>
      <c r="R62" s="2158"/>
      <c r="AG62" s="56"/>
      <c r="AT62" s="699"/>
      <c r="AX62" s="700"/>
    </row>
    <row r="63" spans="1:50" s="770" customFormat="1" ht="14.25" customHeight="1" x14ac:dyDescent="0.25">
      <c r="A63" s="250"/>
      <c r="B63" s="2137" t="str">
        <f>IFERROR('UNIDAD PRODUCTORA'!D99,"")</f>
        <v/>
      </c>
      <c r="C63" s="2137"/>
      <c r="D63" s="2159" t="s">
        <v>5620</v>
      </c>
      <c r="E63" s="2159"/>
      <c r="F63" s="2159"/>
      <c r="G63" s="2159"/>
      <c r="H63" s="2159"/>
      <c r="I63" s="2160"/>
      <c r="J63" s="2162"/>
      <c r="K63" s="2162"/>
      <c r="L63" s="2162"/>
      <c r="M63" s="2162"/>
      <c r="N63" s="2162"/>
      <c r="O63" s="2162"/>
      <c r="P63" s="2160"/>
      <c r="Q63" s="2161" t="str">
        <f>IF(I63="","",(I63+P63)/2)</f>
        <v/>
      </c>
      <c r="R63" s="2156" t="str">
        <f>IF(Q63="","",IF(Q63&lt;0.5,"Baja",IF(Q63&lt;1,"Media",IF(Q63&lt;1.5,"Alta","Muy alta"))))</f>
        <v/>
      </c>
      <c r="AG63" s="56"/>
      <c r="AT63" s="699"/>
      <c r="AX63" s="700"/>
    </row>
    <row r="64" spans="1:50" s="770" customFormat="1" ht="14.25" customHeight="1" x14ac:dyDescent="0.25">
      <c r="A64" s="250"/>
      <c r="B64" s="2137"/>
      <c r="C64" s="2137"/>
      <c r="D64" s="2159" t="s">
        <v>5620</v>
      </c>
      <c r="E64" s="2159"/>
      <c r="F64" s="2159"/>
      <c r="G64" s="2159"/>
      <c r="H64" s="2159"/>
      <c r="I64" s="2160"/>
      <c r="J64" s="2162"/>
      <c r="K64" s="2162"/>
      <c r="L64" s="2162"/>
      <c r="M64" s="2162"/>
      <c r="N64" s="2162"/>
      <c r="O64" s="2162"/>
      <c r="P64" s="2160"/>
      <c r="Q64" s="2161"/>
      <c r="R64" s="2157"/>
      <c r="AG64" s="56"/>
      <c r="AT64" s="699"/>
      <c r="AX64" s="700"/>
    </row>
    <row r="65" spans="1:50" s="770" customFormat="1" ht="14.25" customHeight="1" x14ac:dyDescent="0.25">
      <c r="A65" s="250"/>
      <c r="B65" s="2137"/>
      <c r="C65" s="2137"/>
      <c r="D65" s="2159" t="s">
        <v>5620</v>
      </c>
      <c r="E65" s="2159"/>
      <c r="F65" s="2159"/>
      <c r="G65" s="2159"/>
      <c r="H65" s="2159"/>
      <c r="I65" s="2160"/>
      <c r="J65" s="2162"/>
      <c r="K65" s="2162"/>
      <c r="L65" s="2162"/>
      <c r="M65" s="2162"/>
      <c r="N65" s="2162"/>
      <c r="O65" s="2162"/>
      <c r="P65" s="2160"/>
      <c r="Q65" s="2161"/>
      <c r="R65" s="2157"/>
      <c r="AG65" s="56"/>
      <c r="AT65" s="699"/>
      <c r="AX65" s="700"/>
    </row>
    <row r="66" spans="1:50" s="770" customFormat="1" ht="14.25" customHeight="1" x14ac:dyDescent="0.25">
      <c r="A66" s="250"/>
      <c r="B66" s="2137"/>
      <c r="C66" s="2137"/>
      <c r="D66" s="2159" t="s">
        <v>5620</v>
      </c>
      <c r="E66" s="2159"/>
      <c r="F66" s="2159"/>
      <c r="G66" s="2159"/>
      <c r="H66" s="2159"/>
      <c r="I66" s="2160"/>
      <c r="J66" s="2162"/>
      <c r="K66" s="2162"/>
      <c r="L66" s="2162"/>
      <c r="M66" s="2162"/>
      <c r="N66" s="2162"/>
      <c r="O66" s="2162"/>
      <c r="P66" s="2160"/>
      <c r="Q66" s="2161"/>
      <c r="R66" s="2158"/>
      <c r="AG66" s="56"/>
      <c r="AT66" s="699"/>
      <c r="AX66" s="700"/>
    </row>
    <row r="67" spans="1:50" s="770" customFormat="1" ht="14.25" customHeight="1" x14ac:dyDescent="0.25">
      <c r="A67" s="250"/>
      <c r="B67" s="2137" t="str">
        <f>IFERROR('UNIDAD PRODUCTORA'!D100,"")</f>
        <v/>
      </c>
      <c r="C67" s="2137"/>
      <c r="D67" s="2159" t="s">
        <v>5620</v>
      </c>
      <c r="E67" s="2159"/>
      <c r="F67" s="2159"/>
      <c r="G67" s="2159"/>
      <c r="H67" s="2159"/>
      <c r="I67" s="2160"/>
      <c r="J67" s="2162"/>
      <c r="K67" s="2162"/>
      <c r="L67" s="2162"/>
      <c r="M67" s="2162"/>
      <c r="N67" s="2162"/>
      <c r="O67" s="2162"/>
      <c r="P67" s="2160"/>
      <c r="Q67" s="2161" t="str">
        <f>IF(I67="","",(I67+P67)/2)</f>
        <v/>
      </c>
      <c r="R67" s="2156" t="str">
        <f>IF(Q67="","",IF(Q67&lt;0.5,"Baja",IF(Q67&lt;1,"Media",IF(Q67&lt;1.5,"Alta","Muy alta"))))</f>
        <v/>
      </c>
      <c r="AG67" s="56"/>
      <c r="AT67" s="699"/>
      <c r="AX67" s="700"/>
    </row>
    <row r="68" spans="1:50" s="770" customFormat="1" ht="14.25" customHeight="1" x14ac:dyDescent="0.25">
      <c r="A68" s="250"/>
      <c r="B68" s="2137"/>
      <c r="C68" s="2137"/>
      <c r="D68" s="2159" t="s">
        <v>5620</v>
      </c>
      <c r="E68" s="2159"/>
      <c r="F68" s="2159"/>
      <c r="G68" s="2159"/>
      <c r="H68" s="2159"/>
      <c r="I68" s="2160"/>
      <c r="J68" s="2162"/>
      <c r="K68" s="2162"/>
      <c r="L68" s="2162"/>
      <c r="M68" s="2162"/>
      <c r="N68" s="2162"/>
      <c r="O68" s="2162"/>
      <c r="P68" s="2160"/>
      <c r="Q68" s="2161"/>
      <c r="R68" s="2157"/>
      <c r="AG68" s="56"/>
      <c r="AT68" s="699"/>
      <c r="AX68" s="700"/>
    </row>
    <row r="69" spans="1:50" s="770" customFormat="1" ht="14.25" customHeight="1" x14ac:dyDescent="0.25">
      <c r="A69" s="250"/>
      <c r="B69" s="2137"/>
      <c r="C69" s="2137"/>
      <c r="D69" s="2159" t="s">
        <v>5620</v>
      </c>
      <c r="E69" s="2159"/>
      <c r="F69" s="2159"/>
      <c r="G69" s="2159"/>
      <c r="H69" s="2159"/>
      <c r="I69" s="2160"/>
      <c r="J69" s="2162"/>
      <c r="K69" s="2162"/>
      <c r="L69" s="2162"/>
      <c r="M69" s="2162"/>
      <c r="N69" s="2162"/>
      <c r="O69" s="2162"/>
      <c r="P69" s="2160"/>
      <c r="Q69" s="2161"/>
      <c r="R69" s="2157"/>
      <c r="AG69" s="56"/>
      <c r="AT69" s="699"/>
      <c r="AX69" s="700"/>
    </row>
    <row r="70" spans="1:50" s="770" customFormat="1" ht="14.25" customHeight="1" x14ac:dyDescent="0.25">
      <c r="A70" s="250"/>
      <c r="B70" s="2137"/>
      <c r="C70" s="2137"/>
      <c r="D70" s="2159" t="s">
        <v>5620</v>
      </c>
      <c r="E70" s="2159"/>
      <c r="F70" s="2159"/>
      <c r="G70" s="2159"/>
      <c r="H70" s="2159"/>
      <c r="I70" s="2160"/>
      <c r="J70" s="2162"/>
      <c r="K70" s="2162"/>
      <c r="L70" s="2162"/>
      <c r="M70" s="2162"/>
      <c r="N70" s="2162"/>
      <c r="O70" s="2162"/>
      <c r="P70" s="2160"/>
      <c r="Q70" s="2161"/>
      <c r="R70" s="2158"/>
      <c r="AG70" s="56"/>
      <c r="AT70" s="699"/>
      <c r="AX70" s="700"/>
    </row>
    <row r="71" spans="1:50" s="770" customFormat="1" ht="14.25" customHeight="1" x14ac:dyDescent="0.25">
      <c r="A71" s="250"/>
      <c r="B71" s="2137" t="str">
        <f>IFERROR('UNIDAD PRODUCTORA'!D101,"")</f>
        <v/>
      </c>
      <c r="C71" s="2137"/>
      <c r="D71" s="2159" t="s">
        <v>5620</v>
      </c>
      <c r="E71" s="2159"/>
      <c r="F71" s="2159"/>
      <c r="G71" s="2159"/>
      <c r="H71" s="2159"/>
      <c r="I71" s="2160"/>
      <c r="J71" s="2162"/>
      <c r="K71" s="2162"/>
      <c r="L71" s="2162"/>
      <c r="M71" s="2162"/>
      <c r="N71" s="2162"/>
      <c r="O71" s="2162"/>
      <c r="P71" s="2160"/>
      <c r="Q71" s="2161" t="str">
        <f>IF(I71="","",(I71+P71)/2)</f>
        <v/>
      </c>
      <c r="R71" s="2156" t="str">
        <f>IF(Q71="","",IF(Q71&lt;0.5,"Baja",IF(Q71&lt;1,"Media",IF(Q71&lt;1.5,"Alta","Muy alta"))))</f>
        <v/>
      </c>
      <c r="AG71" s="56"/>
      <c r="AT71" s="699"/>
      <c r="AX71" s="700"/>
    </row>
    <row r="72" spans="1:50" s="770" customFormat="1" ht="14.25" customHeight="1" x14ac:dyDescent="0.25">
      <c r="A72" s="250"/>
      <c r="B72" s="2137"/>
      <c r="C72" s="2137"/>
      <c r="D72" s="2159" t="s">
        <v>5620</v>
      </c>
      <c r="E72" s="2159"/>
      <c r="F72" s="2159"/>
      <c r="G72" s="2159"/>
      <c r="H72" s="2159"/>
      <c r="I72" s="2160"/>
      <c r="J72" s="2162"/>
      <c r="K72" s="2162"/>
      <c r="L72" s="2162"/>
      <c r="M72" s="2162"/>
      <c r="N72" s="2162"/>
      <c r="O72" s="2162"/>
      <c r="P72" s="2160"/>
      <c r="Q72" s="2161"/>
      <c r="R72" s="2157"/>
      <c r="AG72" s="56"/>
      <c r="AT72" s="699"/>
      <c r="AX72" s="700"/>
    </row>
    <row r="73" spans="1:50" s="770" customFormat="1" ht="14.25" customHeight="1" x14ac:dyDescent="0.25">
      <c r="A73" s="250"/>
      <c r="B73" s="2137"/>
      <c r="C73" s="2137"/>
      <c r="D73" s="2159" t="s">
        <v>5620</v>
      </c>
      <c r="E73" s="2159"/>
      <c r="F73" s="2159"/>
      <c r="G73" s="2159"/>
      <c r="H73" s="2159"/>
      <c r="I73" s="2160"/>
      <c r="J73" s="2162"/>
      <c r="K73" s="2162"/>
      <c r="L73" s="2162"/>
      <c r="M73" s="2162"/>
      <c r="N73" s="2162"/>
      <c r="O73" s="2162"/>
      <c r="P73" s="2160"/>
      <c r="Q73" s="2161"/>
      <c r="R73" s="2157"/>
      <c r="AG73" s="56"/>
      <c r="AT73" s="699"/>
      <c r="AX73" s="700"/>
    </row>
    <row r="74" spans="1:50" s="770" customFormat="1" ht="14.25" customHeight="1" x14ac:dyDescent="0.25">
      <c r="A74" s="250"/>
      <c r="B74" s="2137"/>
      <c r="C74" s="2137"/>
      <c r="D74" s="2159" t="s">
        <v>5620</v>
      </c>
      <c r="E74" s="2159"/>
      <c r="F74" s="2159"/>
      <c r="G74" s="2159"/>
      <c r="H74" s="2159"/>
      <c r="I74" s="2160"/>
      <c r="J74" s="2162"/>
      <c r="K74" s="2162"/>
      <c r="L74" s="2162"/>
      <c r="M74" s="2162"/>
      <c r="N74" s="2162"/>
      <c r="O74" s="2162"/>
      <c r="P74" s="2160"/>
      <c r="Q74" s="2161"/>
      <c r="R74" s="2158"/>
      <c r="AG74" s="56"/>
      <c r="AT74" s="699"/>
      <c r="AX74" s="700"/>
    </row>
    <row r="75" spans="1:50" s="770" customFormat="1" x14ac:dyDescent="0.25">
      <c r="A75" s="250"/>
      <c r="B75" s="770" t="s">
        <v>5461</v>
      </c>
      <c r="E75" s="68"/>
      <c r="AG75" s="56"/>
      <c r="AT75" s="699"/>
      <c r="AX75" s="700"/>
    </row>
    <row r="77" spans="1:50" s="708" customFormat="1" ht="12.75" x14ac:dyDescent="0.2">
      <c r="B77" s="91" t="s">
        <v>5467</v>
      </c>
    </row>
    <row r="78" spans="1:50" s="708" customFormat="1" ht="12.75" x14ac:dyDescent="0.2"/>
    <row r="79" spans="1:50" s="708" customFormat="1" ht="12.75" x14ac:dyDescent="0.2">
      <c r="B79" s="2163" t="s">
        <v>5468</v>
      </c>
      <c r="C79" s="2163"/>
      <c r="D79" s="2163"/>
      <c r="E79" s="2163"/>
      <c r="F79" s="2163"/>
      <c r="G79" s="2163"/>
      <c r="H79" s="2163"/>
      <c r="I79" s="2163"/>
    </row>
    <row r="80" spans="1:50" s="708" customFormat="1" ht="12.75" x14ac:dyDescent="0.2">
      <c r="B80" s="2163"/>
      <c r="C80" s="2163"/>
      <c r="D80" s="2163"/>
      <c r="E80" s="2163"/>
      <c r="F80" s="2163"/>
      <c r="G80" s="2163"/>
      <c r="H80" s="2163"/>
      <c r="I80" s="2163"/>
    </row>
    <row r="81" spans="2:9" s="708" customFormat="1" ht="12.75" x14ac:dyDescent="0.2">
      <c r="B81" s="2163"/>
      <c r="C81" s="2163"/>
      <c r="D81" s="2163"/>
      <c r="E81" s="2163"/>
      <c r="F81" s="2163"/>
      <c r="G81" s="2163"/>
      <c r="H81" s="2163"/>
      <c r="I81" s="2163"/>
    </row>
    <row r="82" spans="2:9" s="708" customFormat="1" ht="13.5" thickBot="1" x14ac:dyDescent="0.25"/>
    <row r="83" spans="2:9" s="708" customFormat="1" ht="13.5" thickBot="1" x14ac:dyDescent="0.25">
      <c r="D83" s="709" t="s">
        <v>5420</v>
      </c>
      <c r="E83" s="709" t="s">
        <v>5422</v>
      </c>
      <c r="F83" s="709" t="s">
        <v>5130</v>
      </c>
      <c r="G83" s="709" t="s">
        <v>5425</v>
      </c>
    </row>
    <row r="84" spans="2:9" s="708" customFormat="1" ht="13.5" thickBot="1" x14ac:dyDescent="0.25">
      <c r="C84" s="709" t="s">
        <v>5420</v>
      </c>
      <c r="D84" s="710" t="s">
        <v>5130</v>
      </c>
      <c r="E84" s="711" t="s">
        <v>5422</v>
      </c>
      <c r="F84" s="712" t="s">
        <v>5420</v>
      </c>
      <c r="G84" s="712" t="s">
        <v>5420</v>
      </c>
    </row>
    <row r="85" spans="2:9" s="708" customFormat="1" ht="13.5" thickBot="1" x14ac:dyDescent="0.25">
      <c r="C85" s="713" t="s">
        <v>5422</v>
      </c>
      <c r="D85" s="714" t="s">
        <v>5130</v>
      </c>
      <c r="E85" s="715" t="s">
        <v>5422</v>
      </c>
      <c r="F85" s="715" t="s">
        <v>5422</v>
      </c>
      <c r="G85" s="716" t="s">
        <v>5420</v>
      </c>
    </row>
    <row r="86" spans="2:9" s="708" customFormat="1" ht="13.5" thickBot="1" x14ac:dyDescent="0.25">
      <c r="C86" s="713" t="s">
        <v>5130</v>
      </c>
      <c r="D86" s="717" t="s">
        <v>5425</v>
      </c>
      <c r="E86" s="714" t="s">
        <v>5130</v>
      </c>
      <c r="F86" s="715" t="s">
        <v>5422</v>
      </c>
      <c r="G86" s="715" t="s">
        <v>5422</v>
      </c>
    </row>
    <row r="87" spans="2:9" s="708" customFormat="1" ht="13.5" thickBot="1" x14ac:dyDescent="0.25">
      <c r="C87" s="713" t="s">
        <v>5425</v>
      </c>
      <c r="D87" s="717" t="s">
        <v>5425</v>
      </c>
      <c r="E87" s="717" t="s">
        <v>5425</v>
      </c>
      <c r="F87" s="714" t="s">
        <v>5130</v>
      </c>
      <c r="G87" s="714" t="s">
        <v>5130</v>
      </c>
    </row>
    <row r="88" spans="2:9" s="708" customFormat="1" ht="13.5" thickBot="1" x14ac:dyDescent="0.25">
      <c r="C88" s="718"/>
      <c r="D88" s="719" t="s">
        <v>5420</v>
      </c>
      <c r="E88" s="719" t="s">
        <v>5422</v>
      </c>
      <c r="F88" s="719" t="s">
        <v>5130</v>
      </c>
      <c r="G88" s="719" t="s">
        <v>5425</v>
      </c>
    </row>
    <row r="89" spans="2:9" s="708" customFormat="1" ht="12.75" x14ac:dyDescent="0.2"/>
    <row r="90" spans="2:9" s="708" customFormat="1" ht="12.75" x14ac:dyDescent="0.2"/>
    <row r="92" spans="2:9" x14ac:dyDescent="0.25">
      <c r="B92" s="373" t="s">
        <v>5469</v>
      </c>
    </row>
    <row r="94" spans="2:9" x14ac:dyDescent="0.25">
      <c r="B94" s="2164" t="s">
        <v>27</v>
      </c>
      <c r="C94" s="2164"/>
      <c r="D94" s="2164" t="s">
        <v>5470</v>
      </c>
      <c r="E94" s="2164"/>
      <c r="F94" s="2164" t="s">
        <v>5471</v>
      </c>
      <c r="G94" s="2164"/>
      <c r="H94" s="2164" t="s">
        <v>4782</v>
      </c>
      <c r="I94" s="2164"/>
    </row>
    <row r="95" spans="2:9" x14ac:dyDescent="0.25">
      <c r="B95" s="2164"/>
      <c r="C95" s="2164"/>
      <c r="D95" s="2164"/>
      <c r="E95" s="2164"/>
      <c r="F95" s="2164"/>
      <c r="G95" s="2164"/>
      <c r="H95" s="2164"/>
      <c r="I95" s="2164"/>
    </row>
    <row r="96" spans="2:9" x14ac:dyDescent="0.25">
      <c r="B96" s="2119" t="str">
        <f>B8</f>
        <v/>
      </c>
      <c r="C96" s="2120"/>
      <c r="D96" s="2165" t="str">
        <f>T8</f>
        <v/>
      </c>
      <c r="E96" s="2166"/>
      <c r="F96" s="2165" t="str">
        <f>R51</f>
        <v/>
      </c>
      <c r="G96" s="2166"/>
      <c r="H96" s="2165" t="str">
        <f>IFERROR(IF(D96="","",VLOOKUP(D96,$C$83:$G$87,MATCH(F96,$C$83:$G$83,0),FALSE)),"")</f>
        <v/>
      </c>
      <c r="I96" s="2166"/>
    </row>
    <row r="97" spans="2:9" x14ac:dyDescent="0.25">
      <c r="B97" s="2119" t="str">
        <f>B14</f>
        <v/>
      </c>
      <c r="C97" s="2120"/>
      <c r="D97" s="2165" t="str">
        <f>T14</f>
        <v/>
      </c>
      <c r="E97" s="2166"/>
      <c r="F97" s="2165" t="str">
        <f>R55</f>
        <v/>
      </c>
      <c r="G97" s="2166"/>
      <c r="H97" s="2165" t="str">
        <f t="shared" ref="H97:H101" si="8">IFERROR(IF(D97="","",VLOOKUP(D97,$C$83:$G$87,MATCH(F97,$C$83:$G$83,0),FALSE)),"")</f>
        <v/>
      </c>
      <c r="I97" s="2166"/>
    </row>
    <row r="98" spans="2:9" x14ac:dyDescent="0.25">
      <c r="B98" s="2119" t="str">
        <f>B20</f>
        <v/>
      </c>
      <c r="C98" s="2120"/>
      <c r="D98" s="2165" t="str">
        <f>T20</f>
        <v/>
      </c>
      <c r="E98" s="2166"/>
      <c r="F98" s="2165" t="str">
        <f>R59</f>
        <v/>
      </c>
      <c r="G98" s="2166"/>
      <c r="H98" s="2165" t="str">
        <f t="shared" si="8"/>
        <v/>
      </c>
      <c r="I98" s="2166"/>
    </row>
    <row r="99" spans="2:9" x14ac:dyDescent="0.25">
      <c r="B99" s="2119" t="str">
        <f>B26</f>
        <v/>
      </c>
      <c r="C99" s="2120"/>
      <c r="D99" s="2165" t="str">
        <f>T26</f>
        <v/>
      </c>
      <c r="E99" s="2166"/>
      <c r="F99" s="2165" t="str">
        <f>R63</f>
        <v/>
      </c>
      <c r="G99" s="2166"/>
      <c r="H99" s="2165" t="str">
        <f t="shared" si="8"/>
        <v/>
      </c>
      <c r="I99" s="2166"/>
    </row>
    <row r="100" spans="2:9" x14ac:dyDescent="0.25">
      <c r="B100" s="2119" t="str">
        <f>B32</f>
        <v/>
      </c>
      <c r="C100" s="2120"/>
      <c r="D100" s="2165" t="str">
        <f>T32</f>
        <v/>
      </c>
      <c r="E100" s="2166"/>
      <c r="F100" s="2165" t="str">
        <f>R67</f>
        <v/>
      </c>
      <c r="G100" s="2166"/>
      <c r="H100" s="2165" t="str">
        <f t="shared" si="8"/>
        <v/>
      </c>
      <c r="I100" s="2166"/>
    </row>
    <row r="101" spans="2:9" x14ac:dyDescent="0.25">
      <c r="B101" s="2119" t="str">
        <f>B38</f>
        <v/>
      </c>
      <c r="C101" s="2120"/>
      <c r="D101" s="2165" t="str">
        <f>T38</f>
        <v/>
      </c>
      <c r="E101" s="2166"/>
      <c r="F101" s="2165" t="str">
        <f>R71</f>
        <v/>
      </c>
      <c r="G101" s="2166"/>
      <c r="H101" s="2165" t="str">
        <f t="shared" si="8"/>
        <v/>
      </c>
      <c r="I101" s="2166"/>
    </row>
    <row r="104" spans="2:9" x14ac:dyDescent="0.25">
      <c r="B104" s="322" t="s">
        <v>5472</v>
      </c>
    </row>
    <row r="106" spans="2:9" x14ac:dyDescent="0.25">
      <c r="B106" s="2169" t="s">
        <v>5473</v>
      </c>
      <c r="C106" s="2169"/>
      <c r="D106" s="2169"/>
      <c r="E106" s="2169"/>
      <c r="F106" s="2169"/>
      <c r="G106" s="2169"/>
      <c r="H106" s="2169"/>
      <c r="I106" s="2169"/>
    </row>
    <row r="107" spans="2:9" x14ac:dyDescent="0.25">
      <c r="B107" s="2169"/>
      <c r="C107" s="2169"/>
      <c r="D107" s="2169"/>
      <c r="E107" s="2169"/>
      <c r="F107" s="2169"/>
      <c r="G107" s="2169"/>
      <c r="H107" s="2169"/>
      <c r="I107" s="2169"/>
    </row>
    <row r="108" spans="2:9" x14ac:dyDescent="0.25">
      <c r="B108" s="2169"/>
      <c r="C108" s="2169"/>
      <c r="D108" s="2169"/>
      <c r="E108" s="2169"/>
      <c r="F108" s="2169"/>
      <c r="G108" s="2169"/>
      <c r="H108" s="2169"/>
      <c r="I108" s="2169"/>
    </row>
    <row r="110" spans="2:9" x14ac:dyDescent="0.25">
      <c r="B110" s="322" t="s">
        <v>5474</v>
      </c>
    </row>
    <row r="111" spans="2:9" ht="15.75" thickBot="1" x14ac:dyDescent="0.3"/>
    <row r="112" spans="2:9" ht="15.75" thickBot="1" x14ac:dyDescent="0.3">
      <c r="D112" s="709" t="s">
        <v>5425</v>
      </c>
      <c r="E112" s="709" t="s">
        <v>5130</v>
      </c>
      <c r="F112" s="709" t="s">
        <v>5422</v>
      </c>
      <c r="G112" s="709" t="s">
        <v>5420</v>
      </c>
    </row>
    <row r="113" spans="2:9" ht="15.75" thickBot="1" x14ac:dyDescent="0.3">
      <c r="C113" s="720" t="s">
        <v>5420</v>
      </c>
      <c r="D113" s="710" t="s">
        <v>5130</v>
      </c>
      <c r="E113" s="711" t="s">
        <v>5422</v>
      </c>
      <c r="F113" s="712" t="s">
        <v>5420</v>
      </c>
      <c r="G113" s="712" t="s">
        <v>5420</v>
      </c>
    </row>
    <row r="114" spans="2:9" ht="15.75" thickBot="1" x14ac:dyDescent="0.3">
      <c r="C114" s="721" t="s">
        <v>5422</v>
      </c>
      <c r="D114" s="714" t="s">
        <v>5130</v>
      </c>
      <c r="E114" s="715" t="s">
        <v>5422</v>
      </c>
      <c r="F114" s="715" t="s">
        <v>5422</v>
      </c>
      <c r="G114" s="716" t="s">
        <v>5420</v>
      </c>
    </row>
    <row r="115" spans="2:9" ht="15.75" thickBot="1" x14ac:dyDescent="0.3">
      <c r="C115" s="721" t="s">
        <v>5130</v>
      </c>
      <c r="D115" s="717" t="s">
        <v>5425</v>
      </c>
      <c r="E115" s="714" t="s">
        <v>5130</v>
      </c>
      <c r="F115" s="715" t="s">
        <v>5422</v>
      </c>
      <c r="G115" s="715" t="s">
        <v>5422</v>
      </c>
    </row>
    <row r="116" spans="2:9" ht="15.75" thickBot="1" x14ac:dyDescent="0.3">
      <c r="C116" s="721" t="s">
        <v>5425</v>
      </c>
      <c r="D116" s="717" t="s">
        <v>5425</v>
      </c>
      <c r="E116" s="717" t="s">
        <v>5425</v>
      </c>
      <c r="F116" s="714" t="s">
        <v>5130</v>
      </c>
      <c r="G116" s="714" t="s">
        <v>5130</v>
      </c>
    </row>
    <row r="117" spans="2:9" ht="15.75" thickBot="1" x14ac:dyDescent="0.3">
      <c r="C117" s="722"/>
      <c r="D117" s="723" t="s">
        <v>5425</v>
      </c>
      <c r="E117" s="723" t="s">
        <v>5130</v>
      </c>
      <c r="F117" s="723" t="s">
        <v>5422</v>
      </c>
      <c r="G117" s="723" t="s">
        <v>5420</v>
      </c>
    </row>
    <row r="121" spans="2:9" x14ac:dyDescent="0.25">
      <c r="B121" s="2164" t="s">
        <v>27</v>
      </c>
      <c r="C121" s="2164"/>
      <c r="D121" s="2164" t="s">
        <v>5451</v>
      </c>
      <c r="E121" s="2164"/>
      <c r="F121" s="2164" t="s">
        <v>4782</v>
      </c>
      <c r="G121" s="2164"/>
      <c r="H121" s="2164" t="s">
        <v>5475</v>
      </c>
      <c r="I121" s="2164"/>
    </row>
    <row r="122" spans="2:9" x14ac:dyDescent="0.25">
      <c r="B122" s="2164"/>
      <c r="C122" s="2164"/>
      <c r="D122" s="2164"/>
      <c r="E122" s="2164"/>
      <c r="F122" s="2164"/>
      <c r="G122" s="2164"/>
      <c r="H122" s="2164"/>
      <c r="I122" s="2164"/>
    </row>
    <row r="123" spans="2:9" x14ac:dyDescent="0.25">
      <c r="B123" s="2119" t="str">
        <f t="shared" ref="B123:B128" si="9">B96</f>
        <v/>
      </c>
      <c r="C123" s="2120"/>
      <c r="D123" s="2165" t="str">
        <f>IFERROR(IF(Caracterizacion!H56="","",Caracterizacion!H56),"")</f>
        <v/>
      </c>
      <c r="E123" s="2166"/>
      <c r="F123" s="2165" t="str">
        <f>IFERROR(IF(H96="","",H96),"")</f>
        <v/>
      </c>
      <c r="G123" s="2166"/>
      <c r="H123" s="2167" t="str">
        <f t="shared" ref="H123:H128" si="10">IFERROR(IF(D123="","",VLOOKUP(D123,$C$112:$G$116,MATCH(F123,$C$112:$G$112,0),FALSE)),"")</f>
        <v/>
      </c>
      <c r="I123" s="2168"/>
    </row>
    <row r="124" spans="2:9" x14ac:dyDescent="0.25">
      <c r="B124" s="2119" t="str">
        <f t="shared" si="9"/>
        <v/>
      </c>
      <c r="C124" s="2120"/>
      <c r="D124" s="2165" t="str">
        <f>IFERROR(IF(Caracterizacion!H57="","",Caracterizacion!H57),"")</f>
        <v/>
      </c>
      <c r="E124" s="2166"/>
      <c r="F124" s="2165" t="str">
        <f t="shared" ref="F124:F128" si="11">IFERROR(IF(H97="","",H97),"")</f>
        <v/>
      </c>
      <c r="G124" s="2166"/>
      <c r="H124" s="2167" t="str">
        <f t="shared" si="10"/>
        <v/>
      </c>
      <c r="I124" s="2168"/>
    </row>
    <row r="125" spans="2:9" x14ac:dyDescent="0.25">
      <c r="B125" s="2119" t="str">
        <f t="shared" si="9"/>
        <v/>
      </c>
      <c r="C125" s="2120"/>
      <c r="D125" s="2165" t="str">
        <f>IFERROR(IF(Caracterizacion!H58="","",Caracterizacion!H58),"")</f>
        <v/>
      </c>
      <c r="E125" s="2166"/>
      <c r="F125" s="2165" t="str">
        <f t="shared" si="11"/>
        <v/>
      </c>
      <c r="G125" s="2166"/>
      <c r="H125" s="2167" t="str">
        <f t="shared" si="10"/>
        <v/>
      </c>
      <c r="I125" s="2168"/>
    </row>
    <row r="126" spans="2:9" x14ac:dyDescent="0.25">
      <c r="B126" s="2119" t="str">
        <f t="shared" si="9"/>
        <v/>
      </c>
      <c r="C126" s="2120"/>
      <c r="D126" s="2165" t="str">
        <f>IFERROR(IF(Caracterizacion!H59="","",Caracterizacion!H59),"")</f>
        <v/>
      </c>
      <c r="E126" s="2166"/>
      <c r="F126" s="2165" t="str">
        <f t="shared" si="11"/>
        <v/>
      </c>
      <c r="G126" s="2166"/>
      <c r="H126" s="2167" t="str">
        <f t="shared" si="10"/>
        <v/>
      </c>
      <c r="I126" s="2168"/>
    </row>
    <row r="127" spans="2:9" x14ac:dyDescent="0.25">
      <c r="B127" s="2119" t="str">
        <f t="shared" si="9"/>
        <v/>
      </c>
      <c r="C127" s="2120"/>
      <c r="D127" s="2165" t="str">
        <f>IFERROR(IF(Caracterizacion!H60="","",Caracterizacion!H60),"")</f>
        <v/>
      </c>
      <c r="E127" s="2166"/>
      <c r="F127" s="2165" t="str">
        <f t="shared" si="11"/>
        <v/>
      </c>
      <c r="G127" s="2166"/>
      <c r="H127" s="2167" t="str">
        <f t="shared" si="10"/>
        <v/>
      </c>
      <c r="I127" s="2168"/>
    </row>
    <row r="128" spans="2:9" x14ac:dyDescent="0.25">
      <c r="B128" s="2119" t="str">
        <f t="shared" si="9"/>
        <v/>
      </c>
      <c r="C128" s="2120"/>
      <c r="D128" s="2165" t="str">
        <f>IFERROR(IF(Caracterizacion!H61="","",Caracterizacion!H61),"")</f>
        <v/>
      </c>
      <c r="E128" s="2166"/>
      <c r="F128" s="2165" t="str">
        <f t="shared" si="11"/>
        <v/>
      </c>
      <c r="G128" s="2166"/>
      <c r="H128" s="2167" t="str">
        <f t="shared" si="10"/>
        <v/>
      </c>
      <c r="I128" s="2168"/>
    </row>
    <row r="130" spans="2:2" x14ac:dyDescent="0.25">
      <c r="B130" s="322"/>
    </row>
  </sheetData>
  <sheetProtection password="9AA6" sheet="1" objects="1" scenarios="1"/>
  <mergeCells count="243">
    <mergeCell ref="B127:C127"/>
    <mergeCell ref="D127:E127"/>
    <mergeCell ref="F127:G127"/>
    <mergeCell ref="H127:I127"/>
    <mergeCell ref="B128:C128"/>
    <mergeCell ref="D128:E128"/>
    <mergeCell ref="F128:G128"/>
    <mergeCell ref="H128:I128"/>
    <mergeCell ref="B125:C125"/>
    <mergeCell ref="D125:E125"/>
    <mergeCell ref="F125:G125"/>
    <mergeCell ref="H125:I125"/>
    <mergeCell ref="B126:C126"/>
    <mergeCell ref="D126:E126"/>
    <mergeCell ref="F126:G126"/>
    <mergeCell ref="H126:I126"/>
    <mergeCell ref="B123:C123"/>
    <mergeCell ref="D123:E123"/>
    <mergeCell ref="F123:G123"/>
    <mergeCell ref="H123:I123"/>
    <mergeCell ref="B124:C124"/>
    <mergeCell ref="D124:E124"/>
    <mergeCell ref="F124:G124"/>
    <mergeCell ref="H124:I124"/>
    <mergeCell ref="B101:C101"/>
    <mergeCell ref="D101:E101"/>
    <mergeCell ref="F101:G101"/>
    <mergeCell ref="H101:I101"/>
    <mergeCell ref="B106:I108"/>
    <mergeCell ref="B121:C122"/>
    <mergeCell ref="D121:E122"/>
    <mergeCell ref="F121:G122"/>
    <mergeCell ref="H121:I122"/>
    <mergeCell ref="B99:C99"/>
    <mergeCell ref="D99:E99"/>
    <mergeCell ref="F99:G99"/>
    <mergeCell ref="H99:I99"/>
    <mergeCell ref="B100:C100"/>
    <mergeCell ref="D100:E100"/>
    <mergeCell ref="F100:G100"/>
    <mergeCell ref="H100:I100"/>
    <mergeCell ref="B97:C97"/>
    <mergeCell ref="D97:E97"/>
    <mergeCell ref="F97:G97"/>
    <mergeCell ref="H97:I97"/>
    <mergeCell ref="B98:C98"/>
    <mergeCell ref="D98:E98"/>
    <mergeCell ref="F98:G98"/>
    <mergeCell ref="H98:I98"/>
    <mergeCell ref="B79:I81"/>
    <mergeCell ref="B94:C95"/>
    <mergeCell ref="D94:E95"/>
    <mergeCell ref="F94:G95"/>
    <mergeCell ref="H94:I95"/>
    <mergeCell ref="B96:C96"/>
    <mergeCell ref="D96:E96"/>
    <mergeCell ref="F96:G96"/>
    <mergeCell ref="H96:I96"/>
    <mergeCell ref="R67:R70"/>
    <mergeCell ref="B71:C74"/>
    <mergeCell ref="D71:H74"/>
    <mergeCell ref="I71:I74"/>
    <mergeCell ref="J71:O74"/>
    <mergeCell ref="P71:P74"/>
    <mergeCell ref="Q71:Q74"/>
    <mergeCell ref="R71:R74"/>
    <mergeCell ref="B67:C70"/>
    <mergeCell ref="D67:H70"/>
    <mergeCell ref="I67:I70"/>
    <mergeCell ref="J67:O70"/>
    <mergeCell ref="P67:P70"/>
    <mergeCell ref="Q67:Q70"/>
    <mergeCell ref="R59:R62"/>
    <mergeCell ref="B63:C66"/>
    <mergeCell ref="D63:H66"/>
    <mergeCell ref="I63:I66"/>
    <mergeCell ref="J63:O66"/>
    <mergeCell ref="P63:P66"/>
    <mergeCell ref="Q63:Q66"/>
    <mergeCell ref="R63:R66"/>
    <mergeCell ref="B59:C62"/>
    <mergeCell ref="D59:H62"/>
    <mergeCell ref="I59:I62"/>
    <mergeCell ref="J59:O62"/>
    <mergeCell ref="P59:P62"/>
    <mergeCell ref="Q59:Q62"/>
    <mergeCell ref="R51:R54"/>
    <mergeCell ref="B55:C58"/>
    <mergeCell ref="D55:H58"/>
    <mergeCell ref="I55:I58"/>
    <mergeCell ref="J55:O58"/>
    <mergeCell ref="P55:P58"/>
    <mergeCell ref="Q55:Q58"/>
    <mergeCell ref="R55:R58"/>
    <mergeCell ref="B51:C54"/>
    <mergeCell ref="D51:H54"/>
    <mergeCell ref="I51:I54"/>
    <mergeCell ref="J51:O54"/>
    <mergeCell ref="P51:P54"/>
    <mergeCell ref="Q51:Q54"/>
    <mergeCell ref="Q48:R48"/>
    <mergeCell ref="D49:H49"/>
    <mergeCell ref="J49:O49"/>
    <mergeCell ref="B50:C50"/>
    <mergeCell ref="D50:H50"/>
    <mergeCell ref="J50:O50"/>
    <mergeCell ref="K42:O42"/>
    <mergeCell ref="D43:E43"/>
    <mergeCell ref="F43:I43"/>
    <mergeCell ref="K43:O43"/>
    <mergeCell ref="B48:C49"/>
    <mergeCell ref="D48:I48"/>
    <mergeCell ref="J48:P48"/>
    <mergeCell ref="S38:S43"/>
    <mergeCell ref="T38:T43"/>
    <mergeCell ref="D39:E39"/>
    <mergeCell ref="F39:I39"/>
    <mergeCell ref="K39:O39"/>
    <mergeCell ref="D40:E40"/>
    <mergeCell ref="F40:I40"/>
    <mergeCell ref="K40:O40"/>
    <mergeCell ref="D41:E41"/>
    <mergeCell ref="F41:I41"/>
    <mergeCell ref="B32:C37"/>
    <mergeCell ref="D32:E32"/>
    <mergeCell ref="F32:I32"/>
    <mergeCell ref="K32:O32"/>
    <mergeCell ref="D37:E37"/>
    <mergeCell ref="F37:I37"/>
    <mergeCell ref="K37:O37"/>
    <mergeCell ref="B38:C43"/>
    <mergeCell ref="D38:E38"/>
    <mergeCell ref="F38:I38"/>
    <mergeCell ref="K38:O38"/>
    <mergeCell ref="K41:O41"/>
    <mergeCell ref="D42:E42"/>
    <mergeCell ref="F42:I42"/>
    <mergeCell ref="K28:O28"/>
    <mergeCell ref="D29:E29"/>
    <mergeCell ref="F29:I29"/>
    <mergeCell ref="F34:I34"/>
    <mergeCell ref="K34:O34"/>
    <mergeCell ref="D35:E35"/>
    <mergeCell ref="F35:I35"/>
    <mergeCell ref="K35:O35"/>
    <mergeCell ref="D36:E36"/>
    <mergeCell ref="F36:I36"/>
    <mergeCell ref="K36:O36"/>
    <mergeCell ref="B26:C31"/>
    <mergeCell ref="D26:E26"/>
    <mergeCell ref="F26:I26"/>
    <mergeCell ref="K26:O26"/>
    <mergeCell ref="K29:O29"/>
    <mergeCell ref="S32:S37"/>
    <mergeCell ref="T32:T37"/>
    <mergeCell ref="D33:E33"/>
    <mergeCell ref="F33:I33"/>
    <mergeCell ref="K33:O33"/>
    <mergeCell ref="D34:E34"/>
    <mergeCell ref="D30:E30"/>
    <mergeCell ref="F30:I30"/>
    <mergeCell ref="K30:O30"/>
    <mergeCell ref="D31:E31"/>
    <mergeCell ref="F31:I31"/>
    <mergeCell ref="K31:O31"/>
    <mergeCell ref="S26:S31"/>
    <mergeCell ref="T26:T31"/>
    <mergeCell ref="D27:E27"/>
    <mergeCell ref="F27:I27"/>
    <mergeCell ref="K27:O27"/>
    <mergeCell ref="D28:E28"/>
    <mergeCell ref="F28:I28"/>
    <mergeCell ref="B20:C25"/>
    <mergeCell ref="D20:E20"/>
    <mergeCell ref="F20:I20"/>
    <mergeCell ref="K20:O20"/>
    <mergeCell ref="K23:O23"/>
    <mergeCell ref="D24:E24"/>
    <mergeCell ref="S20:S25"/>
    <mergeCell ref="T20:T25"/>
    <mergeCell ref="D21:E21"/>
    <mergeCell ref="F21:I21"/>
    <mergeCell ref="K21:O21"/>
    <mergeCell ref="D22:E22"/>
    <mergeCell ref="F22:I22"/>
    <mergeCell ref="K22:O22"/>
    <mergeCell ref="D23:E23"/>
    <mergeCell ref="F23:I23"/>
    <mergeCell ref="F24:I24"/>
    <mergeCell ref="K24:O24"/>
    <mergeCell ref="D25:E25"/>
    <mergeCell ref="F25:I25"/>
    <mergeCell ref="K25:O25"/>
    <mergeCell ref="S14:S19"/>
    <mergeCell ref="T14:T19"/>
    <mergeCell ref="D15:E15"/>
    <mergeCell ref="F15:I15"/>
    <mergeCell ref="K15:O15"/>
    <mergeCell ref="D16:E16"/>
    <mergeCell ref="F16:I16"/>
    <mergeCell ref="K16:O16"/>
    <mergeCell ref="D17:E17"/>
    <mergeCell ref="F17:I17"/>
    <mergeCell ref="K18:O18"/>
    <mergeCell ref="D19:E19"/>
    <mergeCell ref="F19:I19"/>
    <mergeCell ref="K19:O19"/>
    <mergeCell ref="F8:I8"/>
    <mergeCell ref="K8:O8"/>
    <mergeCell ref="D13:E13"/>
    <mergeCell ref="F13:I13"/>
    <mergeCell ref="K13:O13"/>
    <mergeCell ref="B14:C19"/>
    <mergeCell ref="D14:E14"/>
    <mergeCell ref="F14:I14"/>
    <mergeCell ref="K14:O14"/>
    <mergeCell ref="K17:O17"/>
    <mergeCell ref="D18:E18"/>
    <mergeCell ref="F18:I18"/>
    <mergeCell ref="S8:S13"/>
    <mergeCell ref="T8:T13"/>
    <mergeCell ref="D9:E9"/>
    <mergeCell ref="F9:I9"/>
    <mergeCell ref="K9:O9"/>
    <mergeCell ref="D10:E10"/>
    <mergeCell ref="B6:C7"/>
    <mergeCell ref="D6:E7"/>
    <mergeCell ref="F6:J6"/>
    <mergeCell ref="K6:P6"/>
    <mergeCell ref="Q6:R6"/>
    <mergeCell ref="S6:T6"/>
    <mergeCell ref="F7:I7"/>
    <mergeCell ref="K7:O7"/>
    <mergeCell ref="F10:I10"/>
    <mergeCell ref="K10:O10"/>
    <mergeCell ref="D11:E11"/>
    <mergeCell ref="F11:I11"/>
    <mergeCell ref="K11:O11"/>
    <mergeCell ref="D12:E12"/>
    <mergeCell ref="F12:I12"/>
    <mergeCell ref="K12:O12"/>
    <mergeCell ref="B8:C13"/>
    <mergeCell ref="D8:E8"/>
  </mergeCells>
  <conditionalFormatting sqref="R8:R43">
    <cfRule type="expression" dxfId="227" priority="29">
      <formula>$R8="Muy alta"</formula>
    </cfRule>
    <cfRule type="expression" dxfId="226" priority="30">
      <formula>$R8="Alta"</formula>
    </cfRule>
    <cfRule type="expression" dxfId="225" priority="31">
      <formula>$R8="Media"</formula>
    </cfRule>
    <cfRule type="expression" dxfId="224" priority="32">
      <formula>$R8="Baja"</formula>
    </cfRule>
  </conditionalFormatting>
  <conditionalFormatting sqref="T20 T26 T32 T38">
    <cfRule type="expression" dxfId="223" priority="25">
      <formula>$T20="Baja"</formula>
    </cfRule>
    <cfRule type="expression" dxfId="222" priority="26">
      <formula>$T20="Media"</formula>
    </cfRule>
    <cfRule type="expression" dxfId="221" priority="27">
      <formula>$T20="Alta"</formula>
    </cfRule>
    <cfRule type="expression" dxfId="220" priority="28">
      <formula>$T20="Muy alta"</formula>
    </cfRule>
  </conditionalFormatting>
  <conditionalFormatting sqref="T14">
    <cfRule type="expression" dxfId="219" priority="21">
      <formula>$T14="Baja"</formula>
    </cfRule>
    <cfRule type="expression" dxfId="218" priority="22">
      <formula>$T14="Media"</formula>
    </cfRule>
    <cfRule type="expression" dxfId="217" priority="23">
      <formula>$T14="Alta"</formula>
    </cfRule>
    <cfRule type="expression" dxfId="216" priority="24">
      <formula>$T14="Muy alta"</formula>
    </cfRule>
  </conditionalFormatting>
  <conditionalFormatting sqref="T8">
    <cfRule type="expression" dxfId="215" priority="17">
      <formula>$T8="Baja"</formula>
    </cfRule>
    <cfRule type="expression" dxfId="214" priority="18">
      <formula>$T8="Media"</formula>
    </cfRule>
    <cfRule type="expression" dxfId="213" priority="19">
      <formula>$T8="Alta"</formula>
    </cfRule>
    <cfRule type="expression" dxfId="212" priority="20">
      <formula>$T8="Muy alta"</formula>
    </cfRule>
  </conditionalFormatting>
  <conditionalFormatting sqref="H96:I101">
    <cfRule type="expression" dxfId="211" priority="13">
      <formula>$H96="Baja"</formula>
    </cfRule>
    <cfRule type="expression" dxfId="210" priority="14">
      <formula>$H96="Media"</formula>
    </cfRule>
    <cfRule type="expression" dxfId="209" priority="15">
      <formula>$H96="Alta"</formula>
    </cfRule>
    <cfRule type="expression" dxfId="208" priority="16">
      <formula>$H96="Muy alta"</formula>
    </cfRule>
  </conditionalFormatting>
  <conditionalFormatting sqref="H123:I128">
    <cfRule type="expression" dxfId="207" priority="9">
      <formula>$H123="Baja"</formula>
    </cfRule>
    <cfRule type="expression" dxfId="206" priority="10">
      <formula>$H123="Media"</formula>
    </cfRule>
    <cfRule type="expression" dxfId="205" priority="11">
      <formula>$H123="Alta"</formula>
    </cfRule>
    <cfRule type="expression" dxfId="204" priority="12">
      <formula>$H123="Muy alta"</formula>
    </cfRule>
  </conditionalFormatting>
  <conditionalFormatting sqref="R50">
    <cfRule type="expression" dxfId="203" priority="5">
      <formula>$R$50="Muy alta"</formula>
    </cfRule>
    <cfRule type="expression" dxfId="202" priority="6">
      <formula>$R$50="Alta"</formula>
    </cfRule>
    <cfRule type="expression" dxfId="201" priority="7">
      <formula>$R$50="Media"</formula>
    </cfRule>
    <cfRule type="expression" dxfId="200" priority="8">
      <formula>$R$50="Baja"</formula>
    </cfRule>
  </conditionalFormatting>
  <conditionalFormatting sqref="R51:R74">
    <cfRule type="expression" dxfId="199" priority="1">
      <formula>$R51="Muy alta"</formula>
    </cfRule>
    <cfRule type="expression" dxfId="198" priority="2">
      <formula>$R51="Alta"</formula>
    </cfRule>
    <cfRule type="expression" dxfId="197" priority="3">
      <formula>$R51="Media"</formula>
    </cfRule>
    <cfRule type="expression" dxfId="196" priority="4">
      <formula>$R51="Baja"</formula>
    </cfRule>
  </conditionalFormatting>
  <dataValidations count="28">
    <dataValidation allowBlank="1" showInputMessage="1" showErrorMessage="1" promptTitle="Análisis global:" prompt="Como consecuencia del análisis de cada uno de los peligros, se realiza el análisis global de la Unidad Productora de los peligros que han sido considerados." sqref="B50:C50"/>
    <dataValidation allowBlank="1" showInputMessage="1" showErrorMessage="1" promptTitle="Resiliencia del Total:" prompt="Es el resultado del análisis del total de peligros que han sido considerados." sqref="J50:O50 D50:H50"/>
    <dataValidation allowBlank="1" showInputMessage="1" showErrorMessage="1" promptTitle="Escala del total:" prompt="Se genera de forma automática a partir del valor del promedio._x000a_De acuerdo al promedio:_x000a_&quot;Muy alta&quot; --&gt; Mayor o igual 1,5._x000a_&quot;Alta&quot;         --&gt; Entre 1 y &lt; 1,49._x000a_&quot;Media&quot;     --&gt; Entre 0,5 y &lt;0,99_x000a_&quot;Baja&quot;         --&gt; Entre 0 y &lt; 0,49" sqref="R50"/>
    <dataValidation allowBlank="1" showInputMessage="1" showErrorMessage="1" promptTitle="Promedio del Total:" prompt="Es un promedio aritmético entre la calificación de los criterios de habilidades y capacidades del operador con de la organización de contingencia para la respuesta." sqref="Q50"/>
    <dataValidation allowBlank="1" showInputMessage="1" showErrorMessage="1" promptTitle="Calificación:" prompt="Representa la calificación promedio de todos los peligros que han sido considerados." sqref="I50 P50"/>
    <dataValidation allowBlank="1" showInputMessage="1" showErrorMessage="1" promptTitle="Nivel de vulnerabilidad:" prompt="Los valores se seleccionan de forma automática en base a los reultados obtenidos líneas arriba." sqref="F123:G128"/>
    <dataValidation allowBlank="1" showInputMessage="1" showErrorMessage="1" promptTitle="Nivel de peligro:" prompt="Se seleccionan de forma automática en base a los resultados obtenidos en la Sección de Área de Estudio." sqref="D123:E128"/>
    <dataValidation allowBlank="1" showInputMessage="1" showErrorMessage="1" promptTitle="Nivel de resiliencia:" prompt="Los valores se seleccionan de forma automática en base al análisis de resiliencia realizada." sqref="F96:G101"/>
    <dataValidation allowBlank="1" showInputMessage="1" showErrorMessage="1" promptTitle="Nivel de fragilidad:" prompt="Los valores se seleccionan de forma automática en base al análisis de fragilidad realizada." sqref="D96:E101"/>
    <dataValidation allowBlank="1" showInputMessage="1" showErrorMessage="1" promptTitle="Peligros:" prompt="Son los peligros establecidos en la Sección de Área de Estudio." sqref="B96:C101 B123:C128"/>
    <dataValidation allowBlank="1" showInputMessage="1" showErrorMessage="1" promptTitle="Nivel de peligro:" prompt="La escala del nivel de riesgo se selecciona de forma automática, en base a la matriz mencionada líneas arriba." sqref="H123:I128"/>
    <dataValidation allowBlank="1" showInputMessage="1" showErrorMessage="1" promptTitle="Nivel de vulnerabilidad:" prompt="La escala de vulnerabilidad se genera de forma automática, en base a la matriz mencionada líneas arriba." sqref="H96:I101"/>
    <dataValidation allowBlank="1" showInputMessage="1" showErrorMessage="1" promptTitle="Escala por peligro:" prompt="Se genera de forma automática a partir del valor del promedio._x000a_De acuerdo al promedio:_x000a_&quot;Muy alta&quot; --&gt; Mayor o igual 1,5._x000a_&quot;Alta&quot;         --&gt; Entre 1 y &lt; 1,49._x000a_&quot;Media&quot;     --&gt; Entre 0,5 y &lt;0,99_x000a_&quot;Baja&quot;         --&gt; Entre 0 y &lt; 0,49" sqref="R51:R74"/>
    <dataValidation allowBlank="1" showInputMessage="1" showErrorMessage="1" promptTitle="Promedio por peligro:" prompt="Es un promedio aritmético entre la calificación de los criterios de habilidades y capacidades del operador con de la organización de contingencia para la respuesta." sqref="Q51:Q74"/>
    <dataValidation allowBlank="1" showInputMessage="1" showErrorMessage="1" promptTitle="Criterio:" prompt="Consignar la descripción la situación de los peligros correspondientes al criterio organización de contingencia para la respuesta." sqref="J51:O74"/>
    <dataValidation allowBlank="1" showInputMessage="1" showErrorMessage="1" promptTitle="Descripción:" prompt="Consignar la descripción la situación de los peligros correspondientes al criterio habilidades y capacidades del operador." sqref="D51:H74"/>
    <dataValidation allowBlank="1" showInputMessage="1" showErrorMessage="1" promptTitle="Escala de Fragilidad por peligro" prompt="Se genera de forma automática a partir de la calificación por peligro:_x000a_&quot;Muy alta&quot; --&gt; Mayor o igual 1,5._x000a_&quot;Alta&quot;         --&gt; Entre 1 y &lt; 1,49._x000a_&quot;Media&quot;     --&gt; Entre 0,5 y &lt;0,99_x000a_&quot;Baja&quot;         --&gt; Entre 0 y &lt; 0,49" sqref="T8:T43"/>
    <dataValidation allowBlank="1" showInputMessage="1" showErrorMessage="1" promptTitle="Fragilidad por peligro:" prompt="La fragilidad de la UP frente a cada peligro es la fragilidad del elemento con mayor valor." sqref="S8:S43"/>
    <dataValidation allowBlank="1" showInputMessage="1" showErrorMessage="1" promptTitle="Descripción:" prompt="Describir la situación de los peligros correspondientes al criterio por tipo de construcción." sqref="F8:I43"/>
    <dataValidation allowBlank="1" showInputMessage="1" showErrorMessage="1" promptTitle="Descripción:" prompt="Describir la situación de los peligros correspondientes al criterio por aplicación de mantenimiento." sqref="K8:O43"/>
    <dataValidation allowBlank="1" showInputMessage="1" showErrorMessage="1" promptTitle="Promedio:" prompt="Es un promedio aritmético entre la calificación de los criterios por tipo de construcción y aplicación de mantenimiento" sqref="Q8:Q43"/>
    <dataValidation allowBlank="1" showInputMessage="1" showErrorMessage="1" promptTitle="Escala:" prompt="Se genera de forma automática a partir del valor del promedio._x000a_De acuerdo al promedio:_x000a_&quot;Muy alta&quot; --&gt; Mayor o igual 1,5._x000a_&quot;Alta&quot;         --&gt; Entre 1 y &lt; 1,49._x000a_&quot;Media&quot;     --&gt; Entre 0,5 y &lt;0,99_x000a_&quot;Baja&quot;         --&gt; Entre 0 y &lt; 0,49" sqref="R8:R43"/>
    <dataValidation allowBlank="1" showInputMessage="1" showErrorMessage="1" promptTitle="Peligro:" prompt="Los peligros de la UP se generan de forma automática a partir de los datos establecidos en el análisis de exposición." sqref="B8:C43 B51:C74"/>
    <dataValidation allowBlank="1" showInputMessage="1" showErrorMessage="1" promptTitle="Elemento / Activo" prompt="Los elementos (Activos) se generan de forma automática a partir de los datos establecidos en el análisis de exposición." sqref="D8:E43"/>
    <dataValidation type="list" allowBlank="1" showInputMessage="1" showErrorMessage="1" promptTitle="Criterio ante peligros:" prompt="&quot;0&quot; --&gt; Material de alta resistencia._x000a_&quot;1&quot; --&gt; Material de resistencia media._x000a_&quot;2&quot; --&gt; Material poco resistente" sqref="J8:J43">
      <formula1>"0,1,2"</formula1>
    </dataValidation>
    <dataValidation type="list" allowBlank="1" showInputMessage="1" showErrorMessage="1" promptTitle="Criterio ante peligros:" prompt="&quot;0&quot; --&gt; Cuenta con Plan de mantenimiento preventivo y correctivo._x000a_&quot;1&quot; --&gt; No cuentan con procedimientos de de mantenimiento preventivo, pero están organizados._x000a_&quot;2&quot; --&gt; No cuentan con procedimientos de mantenimiento preventivo y correctivo, ni actividades." sqref="P8:P43">
      <formula1>"0,1,2"</formula1>
    </dataValidation>
    <dataValidation type="list" allowBlank="1" showInputMessage="1" showErrorMessage="1" promptTitle="Criterio por habilidades:" prompt="Respecto del personal en los dos últimos años_x000a_&quot;2&quot; --&gt; Han tenido capacitaciones anuales y cuentan con manual de operación._x000a_&quot;1&quot; --&gt; No han tenido capacitaciones anuales, pero cuentan con manual de operación._x000a_&quot;0&quot; --&gt; Sin capacitación ni manual de operación." sqref="I51:I74">
      <formula1>"2,1,0"</formula1>
    </dataValidation>
    <dataValidation type="list" allowBlank="1" showInputMessage="1" showErrorMessage="1" promptTitle="Criterio por organización:" prompt="&quot;2&quot; --&gt; Cuenta con Plan de contingencia, comite operativo y herramientas y máquinas_x000a_&quot;1&quot; --&gt; Cuenta con Plan de contingencia, y pocas herramientas y máquinas_x000a_&quot;0&quot; --&gt; No cuenta con Plan de contingencia, comite operativo ni herramientas y máquinas" sqref="P51:P74">
      <formula1>"2,1,0"</formula1>
    </dataValidation>
  </dataValidations>
  <pageMargins left="0.70866141732283472" right="0.70866141732283472" top="0.74803149606299213" bottom="0.74803149606299213" header="0.31496062992125984" footer="0.31496062992125984"/>
  <pageSetup paperSize="9" scale="55" orientation="landscape" r:id="rId1"/>
  <headerFooter>
    <oddHeader>&amp;L&amp;"Arial,Negrita"&amp;9MINISTERIO DE DESARROLLO AGRARIO Y RIEGO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2:AX392"/>
  <sheetViews>
    <sheetView topLeftCell="H1" workbookViewId="0">
      <selection sqref="A1:XFD1048576"/>
    </sheetView>
  </sheetViews>
  <sheetFormatPr baseColWidth="10" defaultRowHeight="15" x14ac:dyDescent="0.25"/>
  <cols>
    <col min="1" max="1" width="2.140625" style="50" customWidth="1"/>
    <col min="2" max="3" width="9" style="50" customWidth="1"/>
    <col min="4" max="4" width="17.85546875" style="50" customWidth="1"/>
    <col min="5" max="5" width="14.7109375" style="50" customWidth="1"/>
    <col min="6" max="8" width="17.140625" style="50" customWidth="1"/>
    <col min="9" max="9" width="11.7109375" style="50" customWidth="1"/>
    <col min="10" max="16" width="11.42578125" style="50"/>
    <col min="17" max="18" width="12" style="50" customWidth="1"/>
    <col min="19" max="16384" width="11.42578125" style="50"/>
  </cols>
  <sheetData>
    <row r="2" spans="1:50" x14ac:dyDescent="0.25">
      <c r="B2" s="766" t="s">
        <v>5476</v>
      </c>
    </row>
    <row r="3" spans="1:50" ht="7.5" customHeight="1" x14ac:dyDescent="0.25"/>
    <row r="4" spans="1:50" x14ac:dyDescent="0.25">
      <c r="B4" s="766" t="s">
        <v>5477</v>
      </c>
    </row>
    <row r="6" spans="1:50" s="742" customFormat="1" x14ac:dyDescent="0.25">
      <c r="A6" s="250"/>
      <c r="B6" s="91" t="s">
        <v>5478</v>
      </c>
      <c r="E6" s="68"/>
      <c r="L6" s="1016"/>
      <c r="AG6" s="56"/>
      <c r="AT6" s="699"/>
      <c r="AX6" s="700"/>
    </row>
    <row r="7" spans="1:50" s="742" customFormat="1" ht="10.5" customHeight="1" thickBot="1" x14ac:dyDescent="0.3">
      <c r="A7" s="250"/>
      <c r="B7" s="91"/>
      <c r="E7" s="68"/>
      <c r="L7" s="1016"/>
      <c r="AG7" s="56"/>
      <c r="AT7" s="699"/>
      <c r="AX7" s="700"/>
    </row>
    <row r="8" spans="1:50" s="742" customFormat="1" ht="30" customHeight="1" x14ac:dyDescent="0.25">
      <c r="A8" s="250"/>
      <c r="B8" s="2122" t="s">
        <v>5454</v>
      </c>
      <c r="C8" s="2123"/>
      <c r="D8" s="2170" t="s">
        <v>5479</v>
      </c>
      <c r="E8" s="2170"/>
      <c r="F8" s="2123" t="s">
        <v>5456</v>
      </c>
      <c r="G8" s="2123"/>
      <c r="H8" s="2123"/>
      <c r="I8" s="2123"/>
      <c r="J8" s="2123"/>
      <c r="K8" s="2123" t="s">
        <v>5457</v>
      </c>
      <c r="L8" s="2123"/>
      <c r="M8" s="2123"/>
      <c r="N8" s="2123"/>
      <c r="O8" s="2123"/>
      <c r="P8" s="2123"/>
      <c r="Q8" s="2126" t="s">
        <v>5458</v>
      </c>
      <c r="R8" s="2127"/>
      <c r="S8" s="2128" t="s">
        <v>5480</v>
      </c>
      <c r="T8" s="2129"/>
      <c r="AG8" s="56"/>
      <c r="AT8" s="699"/>
      <c r="AX8" s="700"/>
    </row>
    <row r="9" spans="1:50" s="742" customFormat="1" ht="21.75" customHeight="1" thickBot="1" x14ac:dyDescent="0.3">
      <c r="A9" s="250"/>
      <c r="B9" s="2124"/>
      <c r="C9" s="2125"/>
      <c r="D9" s="2171"/>
      <c r="E9" s="2171"/>
      <c r="F9" s="2130" t="s">
        <v>25</v>
      </c>
      <c r="G9" s="2131"/>
      <c r="H9" s="2131"/>
      <c r="I9" s="2132"/>
      <c r="J9" s="745" t="s">
        <v>5460</v>
      </c>
      <c r="K9" s="2130" t="s">
        <v>25</v>
      </c>
      <c r="L9" s="2131"/>
      <c r="M9" s="2131"/>
      <c r="N9" s="2131"/>
      <c r="O9" s="2132"/>
      <c r="P9" s="745" t="s">
        <v>5460</v>
      </c>
      <c r="Q9" s="743" t="s">
        <v>5034</v>
      </c>
      <c r="R9" s="743" t="s">
        <v>5418</v>
      </c>
      <c r="S9" s="743" t="s">
        <v>5460</v>
      </c>
      <c r="T9" s="743" t="s">
        <v>5418</v>
      </c>
      <c r="AG9" s="56"/>
      <c r="AT9" s="699"/>
      <c r="AX9" s="700"/>
    </row>
    <row r="10" spans="1:50" s="742" customFormat="1" ht="36" customHeight="1" x14ac:dyDescent="0.25">
      <c r="A10" s="250"/>
      <c r="B10" s="2134" t="str">
        <f>IFERROR('UNIDAD PRODUCTORA'!D96,"")</f>
        <v/>
      </c>
      <c r="C10" s="2135"/>
      <c r="D10" s="2119" t="str">
        <f>IFERROR(IF($B$10="","",IF('UNIDAD PRODUCTORA'!B96="","",'UNIDAD PRODUCTORA'!B96)),"")</f>
        <v/>
      </c>
      <c r="E10" s="2120"/>
      <c r="F10" s="2140"/>
      <c r="G10" s="2140"/>
      <c r="H10" s="2140"/>
      <c r="I10" s="2140"/>
      <c r="J10" s="724"/>
      <c r="K10" s="2140"/>
      <c r="L10" s="2140"/>
      <c r="M10" s="2140"/>
      <c r="N10" s="2140"/>
      <c r="O10" s="2140"/>
      <c r="P10" s="724"/>
      <c r="Q10" s="701" t="str">
        <f>IF(J10="","",(J10+P10)/2)</f>
        <v/>
      </c>
      <c r="R10" s="702" t="str">
        <f>IF(Q10="","",IF(Q10&lt;0.5,"Baja",IF(Q10&lt;1,"Media",IF(Q10&lt;1.5,"Alta","Muy alta"))))</f>
        <v/>
      </c>
      <c r="S10" s="2116" t="str">
        <f>IF(Q10="","",MAX(Q10:Q15))</f>
        <v/>
      </c>
      <c r="T10" s="2116" t="str">
        <f>IF(S10="","",IF(S10&lt;0.5,"Baja",IF(S10&lt;1,"Media",IF(S10&lt;1.5,"Alta","Muy alta"))))</f>
        <v/>
      </c>
      <c r="AG10" s="56"/>
      <c r="AT10" s="699"/>
      <c r="AX10" s="700"/>
    </row>
    <row r="11" spans="1:50" s="742" customFormat="1" ht="29.25" customHeight="1" x14ac:dyDescent="0.25">
      <c r="A11" s="250"/>
      <c r="B11" s="2136"/>
      <c r="C11" s="2137"/>
      <c r="D11" s="2119" t="str">
        <f>IFERROR(IF($B$10="","",IF('UNIDAD PRODUCTORA'!B102="","",'UNIDAD PRODUCTORA'!B102)),"")</f>
        <v/>
      </c>
      <c r="E11" s="2120"/>
      <c r="F11" s="2121"/>
      <c r="G11" s="2121"/>
      <c r="H11" s="2121"/>
      <c r="I11" s="2121"/>
      <c r="J11" s="725"/>
      <c r="K11" s="2121"/>
      <c r="L11" s="2121"/>
      <c r="M11" s="2121"/>
      <c r="N11" s="2121"/>
      <c r="O11" s="2121"/>
      <c r="P11" s="725"/>
      <c r="Q11" s="703" t="str">
        <f>IF(J11="","",(J11+P11)/2)</f>
        <v/>
      </c>
      <c r="R11" s="704" t="str">
        <f t="shared" ref="R11:R45" si="0">IF(Q11="","",IF(Q11&lt;0.5,"Baja",IF(Q11&lt;1,"Media",IF(Q11&lt;1.5,"Alta","Muy alta"))))</f>
        <v/>
      </c>
      <c r="S11" s="2117"/>
      <c r="T11" s="2117"/>
      <c r="AG11" s="56"/>
      <c r="AT11" s="699"/>
      <c r="AX11" s="700"/>
    </row>
    <row r="12" spans="1:50" s="742" customFormat="1" ht="30" customHeight="1" x14ac:dyDescent="0.25">
      <c r="A12" s="250"/>
      <c r="B12" s="2136"/>
      <c r="C12" s="2137"/>
      <c r="D12" s="2119" t="str">
        <f>IFERROR(IF($B$10="","",IF('UNIDAD PRODUCTORA'!B108="","",'UNIDAD PRODUCTORA'!B108)),"")</f>
        <v/>
      </c>
      <c r="E12" s="2120"/>
      <c r="F12" s="2121"/>
      <c r="G12" s="2121"/>
      <c r="H12" s="2121"/>
      <c r="I12" s="2121"/>
      <c r="J12" s="725"/>
      <c r="K12" s="2121"/>
      <c r="L12" s="2121"/>
      <c r="M12" s="2121"/>
      <c r="N12" s="2121"/>
      <c r="O12" s="2121"/>
      <c r="P12" s="725"/>
      <c r="Q12" s="703" t="str">
        <f t="shared" ref="Q12:Q27" si="1">IF(J12="","",(J12+P12)/2)</f>
        <v/>
      </c>
      <c r="R12" s="704" t="str">
        <f t="shared" si="0"/>
        <v/>
      </c>
      <c r="S12" s="2117"/>
      <c r="T12" s="2117"/>
      <c r="AG12" s="56"/>
      <c r="AT12" s="699"/>
      <c r="AX12" s="700"/>
    </row>
    <row r="13" spans="1:50" s="742" customFormat="1" ht="14.25" customHeight="1" x14ac:dyDescent="0.25">
      <c r="A13" s="250"/>
      <c r="B13" s="2136"/>
      <c r="C13" s="2137"/>
      <c r="D13" s="2119" t="str">
        <f>IFERROR(IF($B$10="","",IF('UNIDAD PRODUCTORA'!B114="","",'UNIDAD PRODUCTORA'!B114)),"")</f>
        <v/>
      </c>
      <c r="E13" s="2120"/>
      <c r="F13" s="2121"/>
      <c r="G13" s="2121"/>
      <c r="H13" s="2121"/>
      <c r="I13" s="2121"/>
      <c r="J13" s="725"/>
      <c r="K13" s="2121"/>
      <c r="L13" s="2121"/>
      <c r="M13" s="2121"/>
      <c r="N13" s="2121"/>
      <c r="O13" s="2121"/>
      <c r="P13" s="725"/>
      <c r="Q13" s="703" t="str">
        <f t="shared" si="1"/>
        <v/>
      </c>
      <c r="R13" s="704" t="str">
        <f t="shared" si="0"/>
        <v/>
      </c>
      <c r="S13" s="2117"/>
      <c r="T13" s="2117"/>
      <c r="AG13" s="56"/>
      <c r="AT13" s="699"/>
      <c r="AX13" s="700"/>
    </row>
    <row r="14" spans="1:50" s="742" customFormat="1" ht="14.25" customHeight="1" x14ac:dyDescent="0.25">
      <c r="A14" s="250"/>
      <c r="B14" s="2136"/>
      <c r="C14" s="2137"/>
      <c r="D14" s="2119" t="str">
        <f>IFERROR(IF($B$10="","",IF('UNIDAD PRODUCTORA'!B120="","",'UNIDAD PRODUCTORA'!B120)),"")</f>
        <v/>
      </c>
      <c r="E14" s="2120"/>
      <c r="F14" s="2121"/>
      <c r="G14" s="2121"/>
      <c r="H14" s="2121"/>
      <c r="I14" s="2121"/>
      <c r="J14" s="725"/>
      <c r="K14" s="2121"/>
      <c r="L14" s="2121"/>
      <c r="M14" s="2121"/>
      <c r="N14" s="2121"/>
      <c r="O14" s="2121"/>
      <c r="P14" s="725"/>
      <c r="Q14" s="703" t="str">
        <f t="shared" si="1"/>
        <v/>
      </c>
      <c r="R14" s="704" t="str">
        <f t="shared" si="0"/>
        <v/>
      </c>
      <c r="S14" s="2117"/>
      <c r="T14" s="2117"/>
      <c r="AG14" s="56"/>
      <c r="AT14" s="699"/>
      <c r="AX14" s="700"/>
    </row>
    <row r="15" spans="1:50" s="742" customFormat="1" ht="14.25" customHeight="1" thickBot="1" x14ac:dyDescent="0.3">
      <c r="A15" s="250"/>
      <c r="B15" s="2138"/>
      <c r="C15" s="2139"/>
      <c r="D15" s="2119" t="str">
        <f>IFERROR(IF($B$10="","",IF('UNIDAD PRODUCTORA'!B126="","",'UNIDAD PRODUCTORA'!B126)),"")</f>
        <v/>
      </c>
      <c r="E15" s="2120"/>
      <c r="F15" s="2143"/>
      <c r="G15" s="2143"/>
      <c r="H15" s="2143"/>
      <c r="I15" s="2143"/>
      <c r="J15" s="726"/>
      <c r="K15" s="2143"/>
      <c r="L15" s="2143"/>
      <c r="M15" s="2143"/>
      <c r="N15" s="2143"/>
      <c r="O15" s="2143"/>
      <c r="P15" s="726"/>
      <c r="Q15" s="705" t="str">
        <f t="shared" si="1"/>
        <v/>
      </c>
      <c r="R15" s="706" t="str">
        <f t="shared" si="0"/>
        <v/>
      </c>
      <c r="S15" s="2118"/>
      <c r="T15" s="2118"/>
      <c r="AG15" s="56"/>
      <c r="AT15" s="699"/>
      <c r="AX15" s="700"/>
    </row>
    <row r="16" spans="1:50" s="742" customFormat="1" ht="46.5" customHeight="1" x14ac:dyDescent="0.25">
      <c r="A16" s="250"/>
      <c r="B16" s="2134" t="str">
        <f>IFERROR('UNIDAD PRODUCTORA'!D97,"")</f>
        <v/>
      </c>
      <c r="C16" s="2135"/>
      <c r="D16" s="2145" t="str">
        <f t="shared" ref="D16:D21" si="2">IFERROR(IF($B$16="","",D10),"")</f>
        <v/>
      </c>
      <c r="E16" s="2146"/>
      <c r="F16" s="2140"/>
      <c r="G16" s="2140"/>
      <c r="H16" s="2140"/>
      <c r="I16" s="2140"/>
      <c r="J16" s="724"/>
      <c r="K16" s="2140"/>
      <c r="L16" s="2140"/>
      <c r="M16" s="2140"/>
      <c r="N16" s="2140"/>
      <c r="O16" s="2140"/>
      <c r="P16" s="724"/>
      <c r="Q16" s="701" t="str">
        <f t="shared" si="1"/>
        <v/>
      </c>
      <c r="R16" s="702" t="str">
        <f t="shared" si="0"/>
        <v/>
      </c>
      <c r="S16" s="2116" t="str">
        <f>IF(Q16="","",MAX(Q16:Q21))</f>
        <v/>
      </c>
      <c r="T16" s="2116" t="str">
        <f>IF(S16="","",IF(S16&lt;0.5,"Baja",IF(S16&lt;1,"Media",IF(S16&lt;1.5,"Alta","Muy alta"))))</f>
        <v/>
      </c>
      <c r="AG16" s="56"/>
      <c r="AT16" s="699"/>
      <c r="AX16" s="700"/>
    </row>
    <row r="17" spans="1:50" s="742" customFormat="1" ht="57" customHeight="1" x14ac:dyDescent="0.25">
      <c r="A17" s="250"/>
      <c r="B17" s="2136"/>
      <c r="C17" s="2137"/>
      <c r="D17" s="2119" t="str">
        <f t="shared" si="2"/>
        <v/>
      </c>
      <c r="E17" s="2120"/>
      <c r="F17" s="2121"/>
      <c r="G17" s="2121"/>
      <c r="H17" s="2121"/>
      <c r="I17" s="2121"/>
      <c r="J17" s="725"/>
      <c r="K17" s="2121"/>
      <c r="L17" s="2121"/>
      <c r="M17" s="2121"/>
      <c r="N17" s="2121"/>
      <c r="O17" s="2121"/>
      <c r="P17" s="725"/>
      <c r="Q17" s="703" t="str">
        <f t="shared" si="1"/>
        <v/>
      </c>
      <c r="R17" s="704" t="str">
        <f t="shared" si="0"/>
        <v/>
      </c>
      <c r="S17" s="2117"/>
      <c r="T17" s="2117"/>
      <c r="AG17" s="56"/>
      <c r="AT17" s="699"/>
      <c r="AX17" s="700"/>
    </row>
    <row r="18" spans="1:50" s="742" customFormat="1" ht="36" customHeight="1" x14ac:dyDescent="0.25">
      <c r="A18" s="250"/>
      <c r="B18" s="2136"/>
      <c r="C18" s="2137"/>
      <c r="D18" s="2119" t="str">
        <f t="shared" si="2"/>
        <v/>
      </c>
      <c r="E18" s="2120"/>
      <c r="F18" s="2121"/>
      <c r="G18" s="2121"/>
      <c r="H18" s="2121"/>
      <c r="I18" s="2121"/>
      <c r="J18" s="725"/>
      <c r="K18" s="2121"/>
      <c r="L18" s="2121"/>
      <c r="M18" s="2121"/>
      <c r="N18" s="2121"/>
      <c r="O18" s="2121"/>
      <c r="P18" s="725"/>
      <c r="Q18" s="703" t="str">
        <f t="shared" si="1"/>
        <v/>
      </c>
      <c r="R18" s="704" t="str">
        <f t="shared" si="0"/>
        <v/>
      </c>
      <c r="S18" s="2117"/>
      <c r="T18" s="2117"/>
      <c r="AG18" s="56"/>
      <c r="AT18" s="699"/>
      <c r="AX18" s="700"/>
    </row>
    <row r="19" spans="1:50" s="742" customFormat="1" ht="14.25" customHeight="1" x14ac:dyDescent="0.25">
      <c r="A19" s="250"/>
      <c r="B19" s="2136"/>
      <c r="C19" s="2137"/>
      <c r="D19" s="2119" t="str">
        <f t="shared" si="2"/>
        <v/>
      </c>
      <c r="E19" s="2120"/>
      <c r="F19" s="2121"/>
      <c r="G19" s="2121"/>
      <c r="H19" s="2121"/>
      <c r="I19" s="2121"/>
      <c r="J19" s="725"/>
      <c r="K19" s="2121"/>
      <c r="L19" s="2121"/>
      <c r="M19" s="2121"/>
      <c r="N19" s="2121"/>
      <c r="O19" s="2121"/>
      <c r="P19" s="725"/>
      <c r="Q19" s="703" t="str">
        <f t="shared" si="1"/>
        <v/>
      </c>
      <c r="R19" s="704" t="str">
        <f t="shared" si="0"/>
        <v/>
      </c>
      <c r="S19" s="2117"/>
      <c r="T19" s="2117"/>
      <c r="AG19" s="56"/>
      <c r="AT19" s="699"/>
      <c r="AX19" s="700"/>
    </row>
    <row r="20" spans="1:50" s="742" customFormat="1" ht="14.25" customHeight="1" x14ac:dyDescent="0.25">
      <c r="A20" s="250"/>
      <c r="B20" s="2136"/>
      <c r="C20" s="2137"/>
      <c r="D20" s="2119" t="str">
        <f t="shared" si="2"/>
        <v/>
      </c>
      <c r="E20" s="2120"/>
      <c r="F20" s="2121"/>
      <c r="G20" s="2121"/>
      <c r="H20" s="2121"/>
      <c r="I20" s="2121"/>
      <c r="J20" s="725"/>
      <c r="K20" s="2121"/>
      <c r="L20" s="2121"/>
      <c r="M20" s="2121"/>
      <c r="N20" s="2121"/>
      <c r="O20" s="2121"/>
      <c r="P20" s="725"/>
      <c r="Q20" s="703" t="str">
        <f t="shared" si="1"/>
        <v/>
      </c>
      <c r="R20" s="704" t="str">
        <f t="shared" si="0"/>
        <v/>
      </c>
      <c r="S20" s="2117"/>
      <c r="T20" s="2117"/>
      <c r="AG20" s="56"/>
      <c r="AT20" s="699"/>
      <c r="AX20" s="700"/>
    </row>
    <row r="21" spans="1:50" s="742" customFormat="1" ht="14.25" customHeight="1" thickBot="1" x14ac:dyDescent="0.3">
      <c r="A21" s="250"/>
      <c r="B21" s="2138"/>
      <c r="C21" s="2139"/>
      <c r="D21" s="2141" t="str">
        <f t="shared" si="2"/>
        <v/>
      </c>
      <c r="E21" s="2142"/>
      <c r="F21" s="2143"/>
      <c r="G21" s="2143"/>
      <c r="H21" s="2143"/>
      <c r="I21" s="2143"/>
      <c r="J21" s="726"/>
      <c r="K21" s="2143"/>
      <c r="L21" s="2143"/>
      <c r="M21" s="2143"/>
      <c r="N21" s="2143"/>
      <c r="O21" s="2143"/>
      <c r="P21" s="726"/>
      <c r="Q21" s="705" t="str">
        <f t="shared" si="1"/>
        <v/>
      </c>
      <c r="R21" s="706" t="str">
        <f t="shared" si="0"/>
        <v/>
      </c>
      <c r="S21" s="2118"/>
      <c r="T21" s="2118"/>
      <c r="AG21" s="56"/>
      <c r="AT21" s="699"/>
      <c r="AX21" s="700"/>
    </row>
    <row r="22" spans="1:50" s="742" customFormat="1" ht="30" customHeight="1" x14ac:dyDescent="0.25">
      <c r="A22" s="250"/>
      <c r="B22" s="2134" t="str">
        <f>IFERROR('UNIDAD PRODUCTORA'!D98,"")</f>
        <v/>
      </c>
      <c r="C22" s="2135"/>
      <c r="D22" s="2145" t="str">
        <f t="shared" ref="D22:D27" si="3">IF($B$22="","",D10)</f>
        <v/>
      </c>
      <c r="E22" s="2146"/>
      <c r="F22" s="2140"/>
      <c r="G22" s="2140"/>
      <c r="H22" s="2140"/>
      <c r="I22" s="2140"/>
      <c r="J22" s="724"/>
      <c r="K22" s="2140"/>
      <c r="L22" s="2140"/>
      <c r="M22" s="2140"/>
      <c r="N22" s="2140"/>
      <c r="O22" s="2140"/>
      <c r="P22" s="724"/>
      <c r="Q22" s="701" t="str">
        <f t="shared" si="1"/>
        <v/>
      </c>
      <c r="R22" s="702" t="str">
        <f t="shared" si="0"/>
        <v/>
      </c>
      <c r="S22" s="2116" t="str">
        <f>IF(Q22="","",MAX(Q22:Q27))</f>
        <v/>
      </c>
      <c r="T22" s="2116" t="str">
        <f>IF(S22="","",IF(S22&lt;0.5,"Baja",IF(S22&lt;1,"Media",IF(S22&lt;1.5,"Alta","Muy alta"))))</f>
        <v/>
      </c>
      <c r="AG22" s="56"/>
      <c r="AT22" s="699"/>
      <c r="AX22" s="700"/>
    </row>
    <row r="23" spans="1:50" s="742" customFormat="1" ht="27.75" customHeight="1" x14ac:dyDescent="0.25">
      <c r="A23" s="250"/>
      <c r="B23" s="2136"/>
      <c r="C23" s="2137"/>
      <c r="D23" s="2119" t="str">
        <f t="shared" si="3"/>
        <v/>
      </c>
      <c r="E23" s="2120"/>
      <c r="F23" s="2121"/>
      <c r="G23" s="2121"/>
      <c r="H23" s="2121"/>
      <c r="I23" s="2121"/>
      <c r="J23" s="725"/>
      <c r="K23" s="2121"/>
      <c r="L23" s="2121"/>
      <c r="M23" s="2121"/>
      <c r="N23" s="2121"/>
      <c r="O23" s="2121"/>
      <c r="P23" s="725"/>
      <c r="Q23" s="703" t="str">
        <f t="shared" si="1"/>
        <v/>
      </c>
      <c r="R23" s="704" t="str">
        <f t="shared" si="0"/>
        <v/>
      </c>
      <c r="S23" s="2117"/>
      <c r="T23" s="2117"/>
      <c r="AG23" s="56"/>
      <c r="AT23" s="699"/>
      <c r="AX23" s="700"/>
    </row>
    <row r="24" spans="1:50" s="742" customFormat="1" ht="14.25" customHeight="1" x14ac:dyDescent="0.25">
      <c r="A24" s="250"/>
      <c r="B24" s="2136"/>
      <c r="C24" s="2137"/>
      <c r="D24" s="2119" t="str">
        <f t="shared" si="3"/>
        <v/>
      </c>
      <c r="E24" s="2120"/>
      <c r="F24" s="2121"/>
      <c r="G24" s="2121"/>
      <c r="H24" s="2121"/>
      <c r="I24" s="2121"/>
      <c r="J24" s="725"/>
      <c r="K24" s="2121"/>
      <c r="L24" s="2121"/>
      <c r="M24" s="2121"/>
      <c r="N24" s="2121"/>
      <c r="O24" s="2121"/>
      <c r="P24" s="725"/>
      <c r="Q24" s="703" t="str">
        <f t="shared" si="1"/>
        <v/>
      </c>
      <c r="R24" s="704" t="str">
        <f t="shared" si="0"/>
        <v/>
      </c>
      <c r="S24" s="2117"/>
      <c r="T24" s="2117"/>
      <c r="AG24" s="56"/>
      <c r="AT24" s="699"/>
      <c r="AX24" s="700"/>
    </row>
    <row r="25" spans="1:50" s="742" customFormat="1" ht="14.25" customHeight="1" x14ac:dyDescent="0.25">
      <c r="A25" s="250"/>
      <c r="B25" s="2136"/>
      <c r="C25" s="2137"/>
      <c r="D25" s="2119" t="str">
        <f t="shared" si="3"/>
        <v/>
      </c>
      <c r="E25" s="2120"/>
      <c r="F25" s="2121"/>
      <c r="G25" s="2121"/>
      <c r="H25" s="2121"/>
      <c r="I25" s="2121"/>
      <c r="J25" s="725"/>
      <c r="K25" s="2121"/>
      <c r="L25" s="2121"/>
      <c r="M25" s="2121"/>
      <c r="N25" s="2121"/>
      <c r="O25" s="2121"/>
      <c r="P25" s="725"/>
      <c r="Q25" s="703" t="str">
        <f t="shared" si="1"/>
        <v/>
      </c>
      <c r="R25" s="704" t="str">
        <f t="shared" si="0"/>
        <v/>
      </c>
      <c r="S25" s="2117"/>
      <c r="T25" s="2117"/>
      <c r="AG25" s="56"/>
      <c r="AT25" s="699"/>
      <c r="AX25" s="700"/>
    </row>
    <row r="26" spans="1:50" s="742" customFormat="1" ht="14.25" customHeight="1" x14ac:dyDescent="0.25">
      <c r="A26" s="250"/>
      <c r="B26" s="2136"/>
      <c r="C26" s="2137"/>
      <c r="D26" s="2119" t="str">
        <f t="shared" si="3"/>
        <v/>
      </c>
      <c r="E26" s="2120"/>
      <c r="F26" s="2121"/>
      <c r="G26" s="2121"/>
      <c r="H26" s="2121"/>
      <c r="I26" s="2121"/>
      <c r="J26" s="725"/>
      <c r="K26" s="2121"/>
      <c r="L26" s="2121"/>
      <c r="M26" s="2121"/>
      <c r="N26" s="2121"/>
      <c r="O26" s="2121"/>
      <c r="P26" s="725"/>
      <c r="Q26" s="703" t="str">
        <f t="shared" si="1"/>
        <v/>
      </c>
      <c r="R26" s="704" t="str">
        <f t="shared" si="0"/>
        <v/>
      </c>
      <c r="S26" s="2117"/>
      <c r="T26" s="2117"/>
      <c r="AG26" s="56"/>
      <c r="AT26" s="699"/>
      <c r="AX26" s="700"/>
    </row>
    <row r="27" spans="1:50" s="742" customFormat="1" ht="14.25" customHeight="1" thickBot="1" x14ac:dyDescent="0.3">
      <c r="A27" s="250"/>
      <c r="B27" s="2138"/>
      <c r="C27" s="2139"/>
      <c r="D27" s="2141" t="str">
        <f t="shared" si="3"/>
        <v/>
      </c>
      <c r="E27" s="2142"/>
      <c r="F27" s="2143"/>
      <c r="G27" s="2143"/>
      <c r="H27" s="2143"/>
      <c r="I27" s="2143"/>
      <c r="J27" s="726"/>
      <c r="K27" s="2143"/>
      <c r="L27" s="2143"/>
      <c r="M27" s="2143"/>
      <c r="N27" s="2143"/>
      <c r="O27" s="2143"/>
      <c r="P27" s="726"/>
      <c r="Q27" s="705" t="str">
        <f t="shared" si="1"/>
        <v/>
      </c>
      <c r="R27" s="706" t="str">
        <f t="shared" si="0"/>
        <v/>
      </c>
      <c r="S27" s="2118"/>
      <c r="T27" s="2118"/>
      <c r="AG27" s="56"/>
      <c r="AT27" s="699"/>
      <c r="AX27" s="700"/>
    </row>
    <row r="28" spans="1:50" s="742" customFormat="1" ht="14.25" customHeight="1" x14ac:dyDescent="0.25">
      <c r="A28" s="250"/>
      <c r="B28" s="2134" t="str">
        <f>IFERROR('UNIDAD PRODUCTORA'!D99,"")</f>
        <v/>
      </c>
      <c r="C28" s="2135"/>
      <c r="D28" s="2145" t="str">
        <f t="shared" ref="D28:D33" si="4">IF($B$28="","",D10)</f>
        <v/>
      </c>
      <c r="E28" s="2146"/>
      <c r="F28" s="2140"/>
      <c r="G28" s="2140"/>
      <c r="H28" s="2140"/>
      <c r="I28" s="2140"/>
      <c r="J28" s="724"/>
      <c r="K28" s="2140"/>
      <c r="L28" s="2140"/>
      <c r="M28" s="2140"/>
      <c r="N28" s="2140"/>
      <c r="O28" s="2140"/>
      <c r="P28" s="724"/>
      <c r="Q28" s="701" t="str">
        <f>IF(J28="","",(J28+P28)/2)</f>
        <v/>
      </c>
      <c r="R28" s="702" t="str">
        <f t="shared" si="0"/>
        <v/>
      </c>
      <c r="S28" s="2116" t="str">
        <f>IF(Q28="","",MAX(Q28:Q33))</f>
        <v/>
      </c>
      <c r="T28" s="2116" t="str">
        <f>IF(S28="","",IF(S28&lt;0.5,"Baja",IF(S28&lt;1,"Media",IF(S28&lt;1.5,"Alta","Muy alta"))))</f>
        <v/>
      </c>
      <c r="AG28" s="56"/>
      <c r="AT28" s="699"/>
      <c r="AX28" s="700"/>
    </row>
    <row r="29" spans="1:50" s="742" customFormat="1" ht="14.25" customHeight="1" x14ac:dyDescent="0.25">
      <c r="A29" s="250"/>
      <c r="B29" s="2136"/>
      <c r="C29" s="2137"/>
      <c r="D29" s="2119" t="str">
        <f t="shared" si="4"/>
        <v/>
      </c>
      <c r="E29" s="2120"/>
      <c r="F29" s="2121"/>
      <c r="G29" s="2121"/>
      <c r="H29" s="2121"/>
      <c r="I29" s="2121"/>
      <c r="J29" s="725"/>
      <c r="K29" s="2121"/>
      <c r="L29" s="2121"/>
      <c r="M29" s="2121"/>
      <c r="N29" s="2121"/>
      <c r="O29" s="2121"/>
      <c r="P29" s="725"/>
      <c r="Q29" s="703" t="str">
        <f t="shared" ref="Q29:Q45" si="5">IF(J29="","",(J29+P29)/2)</f>
        <v/>
      </c>
      <c r="R29" s="704" t="str">
        <f t="shared" si="0"/>
        <v/>
      </c>
      <c r="S29" s="2117"/>
      <c r="T29" s="2117"/>
      <c r="AG29" s="56"/>
      <c r="AT29" s="699"/>
      <c r="AX29" s="700"/>
    </row>
    <row r="30" spans="1:50" s="742" customFormat="1" ht="14.25" customHeight="1" x14ac:dyDescent="0.25">
      <c r="A30" s="250"/>
      <c r="B30" s="2136"/>
      <c r="C30" s="2137"/>
      <c r="D30" s="2119" t="str">
        <f t="shared" si="4"/>
        <v/>
      </c>
      <c r="E30" s="2120"/>
      <c r="F30" s="2121"/>
      <c r="G30" s="2121"/>
      <c r="H30" s="2121"/>
      <c r="I30" s="2121"/>
      <c r="J30" s="725"/>
      <c r="K30" s="2121"/>
      <c r="L30" s="2121"/>
      <c r="M30" s="2121"/>
      <c r="N30" s="2121"/>
      <c r="O30" s="2121"/>
      <c r="P30" s="725"/>
      <c r="Q30" s="703" t="str">
        <f t="shared" si="5"/>
        <v/>
      </c>
      <c r="R30" s="704" t="str">
        <f t="shared" si="0"/>
        <v/>
      </c>
      <c r="S30" s="2117"/>
      <c r="T30" s="2117"/>
      <c r="AG30" s="56"/>
      <c r="AT30" s="699"/>
      <c r="AX30" s="700"/>
    </row>
    <row r="31" spans="1:50" s="742" customFormat="1" ht="14.25" customHeight="1" x14ac:dyDescent="0.25">
      <c r="A31" s="250"/>
      <c r="B31" s="2136"/>
      <c r="C31" s="2137"/>
      <c r="D31" s="2119" t="str">
        <f t="shared" si="4"/>
        <v/>
      </c>
      <c r="E31" s="2120"/>
      <c r="F31" s="2121"/>
      <c r="G31" s="2121"/>
      <c r="H31" s="2121"/>
      <c r="I31" s="2121"/>
      <c r="J31" s="725"/>
      <c r="K31" s="2121"/>
      <c r="L31" s="2121"/>
      <c r="M31" s="2121"/>
      <c r="N31" s="2121"/>
      <c r="O31" s="2121"/>
      <c r="P31" s="725"/>
      <c r="Q31" s="703" t="str">
        <f t="shared" si="5"/>
        <v/>
      </c>
      <c r="R31" s="704" t="str">
        <f t="shared" si="0"/>
        <v/>
      </c>
      <c r="S31" s="2117"/>
      <c r="T31" s="2117"/>
      <c r="AG31" s="56"/>
      <c r="AT31" s="699"/>
      <c r="AX31" s="700"/>
    </row>
    <row r="32" spans="1:50" s="742" customFormat="1" ht="14.25" customHeight="1" x14ac:dyDescent="0.25">
      <c r="A32" s="250"/>
      <c r="B32" s="2136"/>
      <c r="C32" s="2137"/>
      <c r="D32" s="2119" t="str">
        <f t="shared" si="4"/>
        <v/>
      </c>
      <c r="E32" s="2120"/>
      <c r="F32" s="2121"/>
      <c r="G32" s="2121"/>
      <c r="H32" s="2121"/>
      <c r="I32" s="2121"/>
      <c r="J32" s="725"/>
      <c r="K32" s="2121"/>
      <c r="L32" s="2121"/>
      <c r="M32" s="2121"/>
      <c r="N32" s="2121"/>
      <c r="O32" s="2121"/>
      <c r="P32" s="725"/>
      <c r="Q32" s="703" t="str">
        <f t="shared" si="5"/>
        <v/>
      </c>
      <c r="R32" s="704" t="str">
        <f t="shared" si="0"/>
        <v/>
      </c>
      <c r="S32" s="2117"/>
      <c r="T32" s="2117"/>
      <c r="AG32" s="56"/>
      <c r="AT32" s="699"/>
      <c r="AX32" s="700"/>
    </row>
    <row r="33" spans="1:50" s="742" customFormat="1" ht="14.25" customHeight="1" thickBot="1" x14ac:dyDescent="0.3">
      <c r="A33" s="250"/>
      <c r="B33" s="2138"/>
      <c r="C33" s="2139"/>
      <c r="D33" s="2141" t="str">
        <f t="shared" si="4"/>
        <v/>
      </c>
      <c r="E33" s="2142"/>
      <c r="F33" s="2143"/>
      <c r="G33" s="2143"/>
      <c r="H33" s="2143"/>
      <c r="I33" s="2143"/>
      <c r="J33" s="726"/>
      <c r="K33" s="2143"/>
      <c r="L33" s="2143"/>
      <c r="M33" s="2143"/>
      <c r="N33" s="2143"/>
      <c r="O33" s="2143"/>
      <c r="P33" s="726"/>
      <c r="Q33" s="705" t="str">
        <f t="shared" si="5"/>
        <v/>
      </c>
      <c r="R33" s="706" t="str">
        <f t="shared" si="0"/>
        <v/>
      </c>
      <c r="S33" s="2118"/>
      <c r="T33" s="2118"/>
      <c r="AG33" s="56"/>
      <c r="AT33" s="699"/>
      <c r="AX33" s="700"/>
    </row>
    <row r="34" spans="1:50" s="742" customFormat="1" ht="14.25" customHeight="1" x14ac:dyDescent="0.25">
      <c r="A34" s="250"/>
      <c r="B34" s="2134" t="str">
        <f>IFERROR('UNIDAD PRODUCTORA'!D100,"")</f>
        <v/>
      </c>
      <c r="C34" s="2135"/>
      <c r="D34" s="2145" t="str">
        <f t="shared" ref="D34:D39" si="6">IF($B$34="","",D10)</f>
        <v/>
      </c>
      <c r="E34" s="2146"/>
      <c r="F34" s="2140"/>
      <c r="G34" s="2140"/>
      <c r="H34" s="2140"/>
      <c r="I34" s="2140"/>
      <c r="J34" s="724"/>
      <c r="K34" s="2140"/>
      <c r="L34" s="2140"/>
      <c r="M34" s="2140"/>
      <c r="N34" s="2140"/>
      <c r="O34" s="2140"/>
      <c r="P34" s="724"/>
      <c r="Q34" s="701" t="str">
        <f t="shared" si="5"/>
        <v/>
      </c>
      <c r="R34" s="702" t="str">
        <f t="shared" si="0"/>
        <v/>
      </c>
      <c r="S34" s="2116" t="str">
        <f>IF(Q34="","",MAX(Q34:Q39))</f>
        <v/>
      </c>
      <c r="T34" s="2116" t="str">
        <f>IF(S34="","",IF(S34&lt;0.5,"Baja",IF(S34&lt;1,"Media",IF(S34&lt;1.5,"Alta","Muy alta"))))</f>
        <v/>
      </c>
      <c r="AG34" s="56"/>
      <c r="AT34" s="699"/>
      <c r="AX34" s="700"/>
    </row>
    <row r="35" spans="1:50" s="742" customFormat="1" ht="14.25" customHeight="1" x14ac:dyDescent="0.25">
      <c r="A35" s="250"/>
      <c r="B35" s="2136"/>
      <c r="C35" s="2137"/>
      <c r="D35" s="2119" t="str">
        <f t="shared" si="6"/>
        <v/>
      </c>
      <c r="E35" s="2120"/>
      <c r="F35" s="2121"/>
      <c r="G35" s="2121"/>
      <c r="H35" s="2121"/>
      <c r="I35" s="2121"/>
      <c r="J35" s="725"/>
      <c r="K35" s="2121"/>
      <c r="L35" s="2121"/>
      <c r="M35" s="2121"/>
      <c r="N35" s="2121"/>
      <c r="O35" s="2121"/>
      <c r="P35" s="725"/>
      <c r="Q35" s="703" t="str">
        <f t="shared" si="5"/>
        <v/>
      </c>
      <c r="R35" s="704" t="str">
        <f t="shared" si="0"/>
        <v/>
      </c>
      <c r="S35" s="2117"/>
      <c r="T35" s="2117"/>
      <c r="AG35" s="56"/>
      <c r="AT35" s="699"/>
      <c r="AX35" s="700"/>
    </row>
    <row r="36" spans="1:50" s="742" customFormat="1" ht="14.25" customHeight="1" x14ac:dyDescent="0.25">
      <c r="A36" s="250"/>
      <c r="B36" s="2136"/>
      <c r="C36" s="2137"/>
      <c r="D36" s="2119" t="str">
        <f t="shared" si="6"/>
        <v/>
      </c>
      <c r="E36" s="2120"/>
      <c r="F36" s="2121"/>
      <c r="G36" s="2121"/>
      <c r="H36" s="2121"/>
      <c r="I36" s="2121"/>
      <c r="J36" s="725"/>
      <c r="K36" s="2121"/>
      <c r="L36" s="2121"/>
      <c r="M36" s="2121"/>
      <c r="N36" s="2121"/>
      <c r="O36" s="2121"/>
      <c r="P36" s="725"/>
      <c r="Q36" s="703" t="str">
        <f t="shared" si="5"/>
        <v/>
      </c>
      <c r="R36" s="704" t="str">
        <f t="shared" si="0"/>
        <v/>
      </c>
      <c r="S36" s="2117"/>
      <c r="T36" s="2117"/>
      <c r="AG36" s="56"/>
      <c r="AT36" s="699"/>
      <c r="AX36" s="700"/>
    </row>
    <row r="37" spans="1:50" s="742" customFormat="1" ht="14.25" customHeight="1" x14ac:dyDescent="0.25">
      <c r="A37" s="250"/>
      <c r="B37" s="2136"/>
      <c r="C37" s="2137"/>
      <c r="D37" s="2119" t="str">
        <f t="shared" si="6"/>
        <v/>
      </c>
      <c r="E37" s="2120"/>
      <c r="F37" s="2121"/>
      <c r="G37" s="2121"/>
      <c r="H37" s="2121"/>
      <c r="I37" s="2121"/>
      <c r="J37" s="725"/>
      <c r="K37" s="2121"/>
      <c r="L37" s="2121"/>
      <c r="M37" s="2121"/>
      <c r="N37" s="2121"/>
      <c r="O37" s="2121"/>
      <c r="P37" s="725"/>
      <c r="Q37" s="703" t="str">
        <f t="shared" si="5"/>
        <v/>
      </c>
      <c r="R37" s="704" t="str">
        <f t="shared" si="0"/>
        <v/>
      </c>
      <c r="S37" s="2117"/>
      <c r="T37" s="2117"/>
      <c r="AG37" s="56"/>
      <c r="AT37" s="699"/>
      <c r="AX37" s="700"/>
    </row>
    <row r="38" spans="1:50" s="742" customFormat="1" ht="14.25" customHeight="1" x14ac:dyDescent="0.25">
      <c r="A38" s="250"/>
      <c r="B38" s="2136"/>
      <c r="C38" s="2137"/>
      <c r="D38" s="2119" t="str">
        <f t="shared" si="6"/>
        <v/>
      </c>
      <c r="E38" s="2120"/>
      <c r="F38" s="2121"/>
      <c r="G38" s="2121"/>
      <c r="H38" s="2121"/>
      <c r="I38" s="2121"/>
      <c r="J38" s="725"/>
      <c r="K38" s="2121"/>
      <c r="L38" s="2121"/>
      <c r="M38" s="2121"/>
      <c r="N38" s="2121"/>
      <c r="O38" s="2121"/>
      <c r="P38" s="725"/>
      <c r="Q38" s="703" t="str">
        <f t="shared" si="5"/>
        <v/>
      </c>
      <c r="R38" s="704" t="str">
        <f t="shared" si="0"/>
        <v/>
      </c>
      <c r="S38" s="2117"/>
      <c r="T38" s="2117"/>
      <c r="AG38" s="56"/>
      <c r="AT38" s="699"/>
      <c r="AX38" s="700"/>
    </row>
    <row r="39" spans="1:50" s="742" customFormat="1" ht="14.25" customHeight="1" thickBot="1" x14ac:dyDescent="0.3">
      <c r="A39" s="250"/>
      <c r="B39" s="2138"/>
      <c r="C39" s="2139"/>
      <c r="D39" s="2141" t="str">
        <f t="shared" si="6"/>
        <v/>
      </c>
      <c r="E39" s="2142"/>
      <c r="F39" s="2143"/>
      <c r="G39" s="2143"/>
      <c r="H39" s="2143"/>
      <c r="I39" s="2143"/>
      <c r="J39" s="726"/>
      <c r="K39" s="2143"/>
      <c r="L39" s="2143"/>
      <c r="M39" s="2143"/>
      <c r="N39" s="2143"/>
      <c r="O39" s="2143"/>
      <c r="P39" s="726"/>
      <c r="Q39" s="705" t="str">
        <f t="shared" si="5"/>
        <v/>
      </c>
      <c r="R39" s="706" t="str">
        <f t="shared" si="0"/>
        <v/>
      </c>
      <c r="S39" s="2118"/>
      <c r="T39" s="2118"/>
      <c r="AG39" s="56"/>
      <c r="AT39" s="699"/>
      <c r="AX39" s="700"/>
    </row>
    <row r="40" spans="1:50" s="742" customFormat="1" ht="14.25" customHeight="1" x14ac:dyDescent="0.25">
      <c r="A40" s="250"/>
      <c r="B40" s="2134" t="str">
        <f>IFERROR('UNIDAD PRODUCTORA'!D101,"")</f>
        <v/>
      </c>
      <c r="C40" s="2135"/>
      <c r="D40" s="2145" t="str">
        <f t="shared" ref="D40:D45" si="7">IF($B$40="","",D10)</f>
        <v/>
      </c>
      <c r="E40" s="2146"/>
      <c r="F40" s="2140"/>
      <c r="G40" s="2140"/>
      <c r="H40" s="2140"/>
      <c r="I40" s="2140"/>
      <c r="J40" s="724"/>
      <c r="K40" s="2140"/>
      <c r="L40" s="2140"/>
      <c r="M40" s="2140"/>
      <c r="N40" s="2140"/>
      <c r="O40" s="2140"/>
      <c r="P40" s="724"/>
      <c r="Q40" s="701" t="str">
        <f t="shared" si="5"/>
        <v/>
      </c>
      <c r="R40" s="702" t="str">
        <f t="shared" si="0"/>
        <v/>
      </c>
      <c r="S40" s="2116" t="str">
        <f>IF(Q40="","",MAX(Q40:Q45))</f>
        <v/>
      </c>
      <c r="T40" s="2116" t="str">
        <f>IF(S40="","",IF(S40&lt;0.5,"Baja",IF(S40&lt;1,"Media",IF(S40&lt;1.5,"Alta","Muy alta"))))</f>
        <v/>
      </c>
      <c r="AG40" s="56"/>
      <c r="AT40" s="699"/>
      <c r="AX40" s="700"/>
    </row>
    <row r="41" spans="1:50" s="742" customFormat="1" ht="14.25" customHeight="1" x14ac:dyDescent="0.25">
      <c r="A41" s="250"/>
      <c r="B41" s="2136"/>
      <c r="C41" s="2137"/>
      <c r="D41" s="2119" t="str">
        <f t="shared" si="7"/>
        <v/>
      </c>
      <c r="E41" s="2120"/>
      <c r="F41" s="2121"/>
      <c r="G41" s="2121"/>
      <c r="H41" s="2121"/>
      <c r="I41" s="2121"/>
      <c r="J41" s="725"/>
      <c r="K41" s="2121"/>
      <c r="L41" s="2121"/>
      <c r="M41" s="2121"/>
      <c r="N41" s="2121"/>
      <c r="O41" s="2121"/>
      <c r="P41" s="725"/>
      <c r="Q41" s="703" t="str">
        <f t="shared" si="5"/>
        <v/>
      </c>
      <c r="R41" s="704" t="str">
        <f t="shared" si="0"/>
        <v/>
      </c>
      <c r="S41" s="2117"/>
      <c r="T41" s="2117"/>
      <c r="AG41" s="56"/>
      <c r="AT41" s="699"/>
      <c r="AX41" s="700"/>
    </row>
    <row r="42" spans="1:50" s="742" customFormat="1" ht="14.25" customHeight="1" x14ac:dyDescent="0.25">
      <c r="A42" s="250"/>
      <c r="B42" s="2136"/>
      <c r="C42" s="2137"/>
      <c r="D42" s="2119" t="str">
        <f t="shared" si="7"/>
        <v/>
      </c>
      <c r="E42" s="2120"/>
      <c r="F42" s="2121"/>
      <c r="G42" s="2121"/>
      <c r="H42" s="2121"/>
      <c r="I42" s="2121"/>
      <c r="J42" s="725"/>
      <c r="K42" s="2121"/>
      <c r="L42" s="2121"/>
      <c r="M42" s="2121"/>
      <c r="N42" s="2121"/>
      <c r="O42" s="2121"/>
      <c r="P42" s="725"/>
      <c r="Q42" s="703" t="str">
        <f t="shared" si="5"/>
        <v/>
      </c>
      <c r="R42" s="704" t="str">
        <f t="shared" si="0"/>
        <v/>
      </c>
      <c r="S42" s="2117"/>
      <c r="T42" s="2117"/>
      <c r="AG42" s="56"/>
      <c r="AT42" s="699"/>
      <c r="AX42" s="700"/>
    </row>
    <row r="43" spans="1:50" s="742" customFormat="1" ht="14.25" customHeight="1" x14ac:dyDescent="0.25">
      <c r="A43" s="250"/>
      <c r="B43" s="2136"/>
      <c r="C43" s="2137"/>
      <c r="D43" s="2119" t="str">
        <f t="shared" si="7"/>
        <v/>
      </c>
      <c r="E43" s="2120"/>
      <c r="F43" s="2121"/>
      <c r="G43" s="2121"/>
      <c r="H43" s="2121"/>
      <c r="I43" s="2121"/>
      <c r="J43" s="725"/>
      <c r="K43" s="2121"/>
      <c r="L43" s="2121"/>
      <c r="M43" s="2121"/>
      <c r="N43" s="2121"/>
      <c r="O43" s="2121"/>
      <c r="P43" s="725"/>
      <c r="Q43" s="703" t="str">
        <f t="shared" si="5"/>
        <v/>
      </c>
      <c r="R43" s="704" t="str">
        <f t="shared" si="0"/>
        <v/>
      </c>
      <c r="S43" s="2117"/>
      <c r="T43" s="2117"/>
      <c r="AG43" s="56"/>
      <c r="AT43" s="699"/>
      <c r="AX43" s="700"/>
    </row>
    <row r="44" spans="1:50" s="742" customFormat="1" ht="14.25" customHeight="1" x14ac:dyDescent="0.25">
      <c r="A44" s="250"/>
      <c r="B44" s="2136"/>
      <c r="C44" s="2137"/>
      <c r="D44" s="2119" t="str">
        <f t="shared" si="7"/>
        <v/>
      </c>
      <c r="E44" s="2120"/>
      <c r="F44" s="2121"/>
      <c r="G44" s="2121"/>
      <c r="H44" s="2121"/>
      <c r="I44" s="2121"/>
      <c r="J44" s="725"/>
      <c r="K44" s="2121"/>
      <c r="L44" s="2121"/>
      <c r="M44" s="2121"/>
      <c r="N44" s="2121"/>
      <c r="O44" s="2121"/>
      <c r="P44" s="725"/>
      <c r="Q44" s="703" t="str">
        <f t="shared" si="5"/>
        <v/>
      </c>
      <c r="R44" s="704" t="str">
        <f t="shared" si="0"/>
        <v/>
      </c>
      <c r="S44" s="2117"/>
      <c r="T44" s="2117"/>
      <c r="AG44" s="56"/>
      <c r="AT44" s="699"/>
      <c r="AX44" s="700"/>
    </row>
    <row r="45" spans="1:50" s="742" customFormat="1" ht="14.25" customHeight="1" thickBot="1" x14ac:dyDescent="0.3">
      <c r="A45" s="250"/>
      <c r="B45" s="2138"/>
      <c r="C45" s="2139"/>
      <c r="D45" s="2141" t="str">
        <f t="shared" si="7"/>
        <v/>
      </c>
      <c r="E45" s="2142"/>
      <c r="F45" s="2172"/>
      <c r="G45" s="2172"/>
      <c r="H45" s="2172"/>
      <c r="I45" s="2172"/>
      <c r="J45" s="726"/>
      <c r="K45" s="2143"/>
      <c r="L45" s="2143"/>
      <c r="M45" s="2143"/>
      <c r="N45" s="2143"/>
      <c r="O45" s="2143"/>
      <c r="P45" s="726"/>
      <c r="Q45" s="705" t="str">
        <f t="shared" si="5"/>
        <v/>
      </c>
      <c r="R45" s="706" t="str">
        <f t="shared" si="0"/>
        <v/>
      </c>
      <c r="S45" s="2118"/>
      <c r="T45" s="2118"/>
      <c r="AG45" s="56"/>
      <c r="AT45" s="699"/>
      <c r="AX45" s="700"/>
    </row>
    <row r="46" spans="1:50" s="742" customFormat="1" x14ac:dyDescent="0.25">
      <c r="A46" s="250"/>
      <c r="B46" s="742" t="s">
        <v>5461</v>
      </c>
      <c r="E46" s="68"/>
      <c r="AG46" s="56"/>
      <c r="AT46" s="699"/>
      <c r="AX46" s="700"/>
    </row>
    <row r="47" spans="1:50" s="742" customFormat="1" x14ac:dyDescent="0.25">
      <c r="A47" s="250"/>
      <c r="B47" s="91"/>
      <c r="E47" s="68"/>
      <c r="AG47" s="56"/>
      <c r="AT47" s="699"/>
      <c r="AX47" s="700"/>
    </row>
    <row r="48" spans="1:50" s="742" customFormat="1" x14ac:dyDescent="0.25">
      <c r="A48" s="250"/>
      <c r="B48" s="91" t="s">
        <v>5492</v>
      </c>
      <c r="E48" s="68"/>
      <c r="AG48" s="56"/>
      <c r="AT48" s="699"/>
      <c r="AX48" s="700"/>
    </row>
    <row r="49" spans="1:50" s="742" customFormat="1" ht="10.5" customHeight="1" x14ac:dyDescent="0.25">
      <c r="A49" s="250"/>
      <c r="B49" s="91"/>
      <c r="E49" s="68"/>
      <c r="AG49" s="56"/>
      <c r="AT49" s="699"/>
      <c r="AX49" s="700"/>
    </row>
    <row r="50" spans="1:50" s="742" customFormat="1" ht="30" customHeight="1" x14ac:dyDescent="0.25">
      <c r="A50" s="250"/>
      <c r="B50" s="2155" t="s">
        <v>5454</v>
      </c>
      <c r="C50" s="2155"/>
      <c r="D50" s="2155" t="s">
        <v>5463</v>
      </c>
      <c r="E50" s="2155"/>
      <c r="F50" s="2155"/>
      <c r="G50" s="2155"/>
      <c r="H50" s="2155"/>
      <c r="I50" s="2155"/>
      <c r="J50" s="2155" t="s">
        <v>5464</v>
      </c>
      <c r="K50" s="2155"/>
      <c r="L50" s="2155"/>
      <c r="M50" s="2155"/>
      <c r="N50" s="2155"/>
      <c r="O50" s="2155"/>
      <c r="P50" s="2155"/>
      <c r="Q50" s="2148" t="s">
        <v>5493</v>
      </c>
      <c r="R50" s="2148"/>
      <c r="AG50" s="56"/>
      <c r="AT50" s="699"/>
      <c r="AX50" s="700"/>
    </row>
    <row r="51" spans="1:50" s="742" customFormat="1" ht="21.75" customHeight="1" x14ac:dyDescent="0.25">
      <c r="A51" s="250"/>
      <c r="B51" s="2155"/>
      <c r="C51" s="2155"/>
      <c r="D51" s="2149" t="s">
        <v>25</v>
      </c>
      <c r="E51" s="2149"/>
      <c r="F51" s="2149"/>
      <c r="G51" s="2149"/>
      <c r="H51" s="2149"/>
      <c r="I51" s="744" t="s">
        <v>5460</v>
      </c>
      <c r="J51" s="2149" t="s">
        <v>25</v>
      </c>
      <c r="K51" s="2149"/>
      <c r="L51" s="2149"/>
      <c r="M51" s="2149"/>
      <c r="N51" s="2149"/>
      <c r="O51" s="2149"/>
      <c r="P51" s="744" t="s">
        <v>5460</v>
      </c>
      <c r="Q51" s="743" t="s">
        <v>5034</v>
      </c>
      <c r="R51" s="743" t="s">
        <v>5418</v>
      </c>
      <c r="AG51" s="56"/>
      <c r="AT51" s="699"/>
      <c r="AX51" s="700"/>
    </row>
    <row r="52" spans="1:50" s="742" customFormat="1" ht="21.75" customHeight="1" x14ac:dyDescent="0.25">
      <c r="A52" s="250"/>
      <c r="B52" s="2150" t="s">
        <v>5466</v>
      </c>
      <c r="C52" s="2151"/>
      <c r="D52" s="2152"/>
      <c r="E52" s="2153"/>
      <c r="F52" s="2153"/>
      <c r="G52" s="2153"/>
      <c r="H52" s="2154"/>
      <c r="I52" s="707" t="str">
        <f>IFERROR(AVERAGE(I53:I76),"")</f>
        <v/>
      </c>
      <c r="J52" s="2152"/>
      <c r="K52" s="2153"/>
      <c r="L52" s="2153"/>
      <c r="M52" s="2153"/>
      <c r="N52" s="2153"/>
      <c r="O52" s="2154"/>
      <c r="P52" s="707" t="str">
        <f>IFERROR(AVERAGE(P53:P76),"")</f>
        <v/>
      </c>
      <c r="Q52" s="707" t="str">
        <f>IFERROR(IF(I52="","",(I52+P52)/2),"")</f>
        <v/>
      </c>
      <c r="R52" s="743" t="str">
        <f>IF(Q52="","",IF(Q52&lt;0.5,"Baja",IF(Q52&lt;1,"Media",IF(Q52&lt;1.5,"Alta","Muy alta"))))</f>
        <v/>
      </c>
      <c r="AG52" s="56"/>
      <c r="AT52" s="699"/>
      <c r="AX52" s="700"/>
    </row>
    <row r="53" spans="1:50" s="742" customFormat="1" ht="14.25" customHeight="1" x14ac:dyDescent="0.25">
      <c r="A53" s="250"/>
      <c r="B53" s="2137" t="str">
        <f>IFERROR('UNIDAD PRODUCTORA'!D96,"")</f>
        <v/>
      </c>
      <c r="C53" s="2137"/>
      <c r="D53" s="2121"/>
      <c r="E53" s="2121"/>
      <c r="F53" s="2121"/>
      <c r="G53" s="2121"/>
      <c r="H53" s="2121"/>
      <c r="I53" s="2160"/>
      <c r="J53" s="2121"/>
      <c r="K53" s="2121"/>
      <c r="L53" s="2121"/>
      <c r="M53" s="2121"/>
      <c r="N53" s="2121"/>
      <c r="O53" s="2121"/>
      <c r="P53" s="2160"/>
      <c r="Q53" s="2161" t="str">
        <f>IF(I53="","",(I53+P53)/2)</f>
        <v/>
      </c>
      <c r="R53" s="2161" t="str">
        <f>IF(Q53="","",IF(Q53&lt;0.5,"Baja",IF(Q53&lt;1,"Media",IF(Q53&lt;1.5,"Alta","Muy alta"))))</f>
        <v/>
      </c>
      <c r="AG53" s="56"/>
      <c r="AT53" s="699"/>
      <c r="AX53" s="700"/>
    </row>
    <row r="54" spans="1:50" s="742" customFormat="1" ht="14.25" customHeight="1" x14ac:dyDescent="0.25">
      <c r="A54" s="250"/>
      <c r="B54" s="2137"/>
      <c r="C54" s="2137"/>
      <c r="D54" s="2121"/>
      <c r="E54" s="2121"/>
      <c r="F54" s="2121"/>
      <c r="G54" s="2121"/>
      <c r="H54" s="2121"/>
      <c r="I54" s="2160"/>
      <c r="J54" s="2121"/>
      <c r="K54" s="2121"/>
      <c r="L54" s="2121"/>
      <c r="M54" s="2121"/>
      <c r="N54" s="2121"/>
      <c r="O54" s="2121"/>
      <c r="P54" s="2160"/>
      <c r="Q54" s="2161"/>
      <c r="R54" s="2161"/>
      <c r="AG54" s="56"/>
      <c r="AT54" s="699"/>
      <c r="AX54" s="700"/>
    </row>
    <row r="55" spans="1:50" s="742" customFormat="1" ht="14.25" customHeight="1" x14ac:dyDescent="0.25">
      <c r="A55" s="250"/>
      <c r="B55" s="2137"/>
      <c r="C55" s="2137"/>
      <c r="D55" s="2121"/>
      <c r="E55" s="2121"/>
      <c r="F55" s="2121"/>
      <c r="G55" s="2121"/>
      <c r="H55" s="2121"/>
      <c r="I55" s="2160"/>
      <c r="J55" s="2121"/>
      <c r="K55" s="2121"/>
      <c r="L55" s="2121"/>
      <c r="M55" s="2121"/>
      <c r="N55" s="2121"/>
      <c r="O55" s="2121"/>
      <c r="P55" s="2160"/>
      <c r="Q55" s="2161"/>
      <c r="R55" s="2161"/>
      <c r="AG55" s="56"/>
      <c r="AT55" s="699"/>
      <c r="AX55" s="700"/>
    </row>
    <row r="56" spans="1:50" s="742" customFormat="1" ht="14.25" customHeight="1" x14ac:dyDescent="0.25">
      <c r="A56" s="250"/>
      <c r="B56" s="2137"/>
      <c r="C56" s="2137"/>
      <c r="D56" s="2121"/>
      <c r="E56" s="2121"/>
      <c r="F56" s="2121"/>
      <c r="G56" s="2121"/>
      <c r="H56" s="2121"/>
      <c r="I56" s="2160"/>
      <c r="J56" s="2121"/>
      <c r="K56" s="2121"/>
      <c r="L56" s="2121"/>
      <c r="M56" s="2121"/>
      <c r="N56" s="2121"/>
      <c r="O56" s="2121"/>
      <c r="P56" s="2160"/>
      <c r="Q56" s="2161"/>
      <c r="R56" s="2161"/>
      <c r="AG56" s="56"/>
      <c r="AT56" s="699"/>
      <c r="AX56" s="700"/>
    </row>
    <row r="57" spans="1:50" s="742" customFormat="1" ht="14.25" customHeight="1" x14ac:dyDescent="0.25">
      <c r="A57" s="250"/>
      <c r="B57" s="2137" t="str">
        <f>IFERROR('UNIDAD PRODUCTORA'!D97,"")</f>
        <v/>
      </c>
      <c r="C57" s="2137"/>
      <c r="D57" s="2121"/>
      <c r="E57" s="2121"/>
      <c r="F57" s="2121"/>
      <c r="G57" s="2121"/>
      <c r="H57" s="2121"/>
      <c r="I57" s="2160"/>
      <c r="J57" s="2121"/>
      <c r="K57" s="2121"/>
      <c r="L57" s="2121"/>
      <c r="M57" s="2121"/>
      <c r="N57" s="2121"/>
      <c r="O57" s="2121"/>
      <c r="P57" s="2160"/>
      <c r="Q57" s="2161" t="str">
        <f>IF(I57="","",(I57+P57)/2)</f>
        <v/>
      </c>
      <c r="R57" s="2161" t="str">
        <f>IF(Q57="","",IF(Q57&lt;0.5,"Baja",IF(Q57&lt;1,"Media",IF(Q57&lt;1.5,"Alta","Muy alta"))))</f>
        <v/>
      </c>
      <c r="AG57" s="56"/>
      <c r="AT57" s="699"/>
      <c r="AX57" s="700"/>
    </row>
    <row r="58" spans="1:50" s="742" customFormat="1" ht="14.25" customHeight="1" x14ac:dyDescent="0.25">
      <c r="A58" s="250"/>
      <c r="B58" s="2137"/>
      <c r="C58" s="2137"/>
      <c r="D58" s="2121"/>
      <c r="E58" s="2121"/>
      <c r="F58" s="2121"/>
      <c r="G58" s="2121"/>
      <c r="H58" s="2121"/>
      <c r="I58" s="2160"/>
      <c r="J58" s="2121"/>
      <c r="K58" s="2121"/>
      <c r="L58" s="2121"/>
      <c r="M58" s="2121"/>
      <c r="N58" s="2121"/>
      <c r="O58" s="2121"/>
      <c r="P58" s="2160"/>
      <c r="Q58" s="2161"/>
      <c r="R58" s="2161"/>
      <c r="AG58" s="56"/>
      <c r="AT58" s="699"/>
      <c r="AX58" s="700"/>
    </row>
    <row r="59" spans="1:50" s="742" customFormat="1" ht="14.25" customHeight="1" x14ac:dyDescent="0.25">
      <c r="A59" s="250"/>
      <c r="B59" s="2137"/>
      <c r="C59" s="2137"/>
      <c r="D59" s="2121"/>
      <c r="E59" s="2121"/>
      <c r="F59" s="2121"/>
      <c r="G59" s="2121"/>
      <c r="H59" s="2121"/>
      <c r="I59" s="2160"/>
      <c r="J59" s="2121"/>
      <c r="K59" s="2121"/>
      <c r="L59" s="2121"/>
      <c r="M59" s="2121"/>
      <c r="N59" s="2121"/>
      <c r="O59" s="2121"/>
      <c r="P59" s="2160"/>
      <c r="Q59" s="2161"/>
      <c r="R59" s="2161"/>
      <c r="AG59" s="56"/>
      <c r="AT59" s="699"/>
      <c r="AX59" s="700"/>
    </row>
    <row r="60" spans="1:50" s="742" customFormat="1" ht="14.25" customHeight="1" x14ac:dyDescent="0.25">
      <c r="A60" s="250"/>
      <c r="B60" s="2137"/>
      <c r="C60" s="2137"/>
      <c r="D60" s="2121"/>
      <c r="E60" s="2121"/>
      <c r="F60" s="2121"/>
      <c r="G60" s="2121"/>
      <c r="H60" s="2121"/>
      <c r="I60" s="2160"/>
      <c r="J60" s="2121"/>
      <c r="K60" s="2121"/>
      <c r="L60" s="2121"/>
      <c r="M60" s="2121"/>
      <c r="N60" s="2121"/>
      <c r="O60" s="2121"/>
      <c r="P60" s="2160"/>
      <c r="Q60" s="2161"/>
      <c r="R60" s="2161"/>
      <c r="AG60" s="56"/>
      <c r="AT60" s="699"/>
      <c r="AX60" s="700"/>
    </row>
    <row r="61" spans="1:50" s="742" customFormat="1" ht="14.25" customHeight="1" x14ac:dyDescent="0.25">
      <c r="A61" s="250"/>
      <c r="B61" s="2137" t="str">
        <f>IFERROR('UNIDAD PRODUCTORA'!D98,"")</f>
        <v/>
      </c>
      <c r="C61" s="2137"/>
      <c r="D61" s="2121"/>
      <c r="E61" s="2121"/>
      <c r="F61" s="2121"/>
      <c r="G61" s="2121"/>
      <c r="H61" s="2121"/>
      <c r="I61" s="2160"/>
      <c r="J61" s="2121"/>
      <c r="K61" s="2121"/>
      <c r="L61" s="2121"/>
      <c r="M61" s="2121"/>
      <c r="N61" s="2121"/>
      <c r="O61" s="2121"/>
      <c r="P61" s="2160"/>
      <c r="Q61" s="2161" t="str">
        <f>IF(I61="","",(I61+P61)/2)</f>
        <v/>
      </c>
      <c r="R61" s="2161" t="str">
        <f>IF(Q61="","",IF(Q61&lt;0.5,"Baja",IF(Q61&lt;1,"Media",IF(Q61&lt;1.5,"Alta","Muy alta"))))</f>
        <v/>
      </c>
      <c r="AG61" s="56"/>
      <c r="AT61" s="699"/>
      <c r="AX61" s="700"/>
    </row>
    <row r="62" spans="1:50" s="742" customFormat="1" ht="14.25" customHeight="1" x14ac:dyDescent="0.25">
      <c r="A62" s="250"/>
      <c r="B62" s="2137"/>
      <c r="C62" s="2137"/>
      <c r="D62" s="2121"/>
      <c r="E62" s="2121"/>
      <c r="F62" s="2121"/>
      <c r="G62" s="2121"/>
      <c r="H62" s="2121"/>
      <c r="I62" s="2160"/>
      <c r="J62" s="2121"/>
      <c r="K62" s="2121"/>
      <c r="L62" s="2121"/>
      <c r="M62" s="2121"/>
      <c r="N62" s="2121"/>
      <c r="O62" s="2121"/>
      <c r="P62" s="2160"/>
      <c r="Q62" s="2161"/>
      <c r="R62" s="2161"/>
      <c r="AG62" s="56"/>
      <c r="AT62" s="699"/>
      <c r="AX62" s="700"/>
    </row>
    <row r="63" spans="1:50" s="742" customFormat="1" ht="14.25" customHeight="1" x14ac:dyDescent="0.25">
      <c r="A63" s="250"/>
      <c r="B63" s="2137"/>
      <c r="C63" s="2137"/>
      <c r="D63" s="2121"/>
      <c r="E63" s="2121"/>
      <c r="F63" s="2121"/>
      <c r="G63" s="2121"/>
      <c r="H63" s="2121"/>
      <c r="I63" s="2160"/>
      <c r="J63" s="2121"/>
      <c r="K63" s="2121"/>
      <c r="L63" s="2121"/>
      <c r="M63" s="2121"/>
      <c r="N63" s="2121"/>
      <c r="O63" s="2121"/>
      <c r="P63" s="2160"/>
      <c r="Q63" s="2161"/>
      <c r="R63" s="2161"/>
      <c r="AG63" s="56"/>
      <c r="AT63" s="699"/>
      <c r="AX63" s="700"/>
    </row>
    <row r="64" spans="1:50" s="742" customFormat="1" ht="14.25" customHeight="1" x14ac:dyDescent="0.25">
      <c r="A64" s="250"/>
      <c r="B64" s="2137"/>
      <c r="C64" s="2137"/>
      <c r="D64" s="2121"/>
      <c r="E64" s="2121"/>
      <c r="F64" s="2121"/>
      <c r="G64" s="2121"/>
      <c r="H64" s="2121"/>
      <c r="I64" s="2160"/>
      <c r="J64" s="2121"/>
      <c r="K64" s="2121"/>
      <c r="L64" s="2121"/>
      <c r="M64" s="2121"/>
      <c r="N64" s="2121"/>
      <c r="O64" s="2121"/>
      <c r="P64" s="2160"/>
      <c r="Q64" s="2161"/>
      <c r="R64" s="2161"/>
      <c r="AG64" s="56"/>
      <c r="AT64" s="699"/>
      <c r="AX64" s="700"/>
    </row>
    <row r="65" spans="1:50" s="742" customFormat="1" ht="14.25" customHeight="1" x14ac:dyDescent="0.25">
      <c r="A65" s="250"/>
      <c r="B65" s="2137" t="str">
        <f>IFERROR('UNIDAD PRODUCTORA'!D99,"")</f>
        <v/>
      </c>
      <c r="C65" s="2137"/>
      <c r="D65" s="2121" t="s">
        <v>5620</v>
      </c>
      <c r="E65" s="2121"/>
      <c r="F65" s="2121"/>
      <c r="G65" s="2121"/>
      <c r="H65" s="2121"/>
      <c r="I65" s="2160"/>
      <c r="J65" s="2121"/>
      <c r="K65" s="2121"/>
      <c r="L65" s="2121"/>
      <c r="M65" s="2121"/>
      <c r="N65" s="2121"/>
      <c r="O65" s="2121"/>
      <c r="P65" s="2160"/>
      <c r="Q65" s="2161" t="str">
        <f>IF(I65="","",(I65+P65)/2)</f>
        <v/>
      </c>
      <c r="R65" s="2161" t="str">
        <f>IF(Q65="","",IF(Q65&lt;0.5,"Baja",IF(Q65&lt;1,"Media",IF(Q65&lt;1.5,"Alta","Muy alta"))))</f>
        <v/>
      </c>
      <c r="AG65" s="56"/>
      <c r="AT65" s="699"/>
      <c r="AX65" s="700"/>
    </row>
    <row r="66" spans="1:50" s="742" customFormat="1" ht="14.25" customHeight="1" x14ac:dyDescent="0.25">
      <c r="A66" s="250"/>
      <c r="B66" s="2137"/>
      <c r="C66" s="2137"/>
      <c r="D66" s="2121" t="s">
        <v>5620</v>
      </c>
      <c r="E66" s="2121"/>
      <c r="F66" s="2121"/>
      <c r="G66" s="2121"/>
      <c r="H66" s="2121"/>
      <c r="I66" s="2160"/>
      <c r="J66" s="2121"/>
      <c r="K66" s="2121"/>
      <c r="L66" s="2121"/>
      <c r="M66" s="2121"/>
      <c r="N66" s="2121"/>
      <c r="O66" s="2121"/>
      <c r="P66" s="2160"/>
      <c r="Q66" s="2161"/>
      <c r="R66" s="2161"/>
      <c r="AG66" s="56"/>
      <c r="AT66" s="699"/>
      <c r="AX66" s="700"/>
    </row>
    <row r="67" spans="1:50" s="742" customFormat="1" ht="14.25" customHeight="1" x14ac:dyDescent="0.25">
      <c r="A67" s="250"/>
      <c r="B67" s="2137"/>
      <c r="C67" s="2137"/>
      <c r="D67" s="2121" t="s">
        <v>5620</v>
      </c>
      <c r="E67" s="2121"/>
      <c r="F67" s="2121"/>
      <c r="G67" s="2121"/>
      <c r="H67" s="2121"/>
      <c r="I67" s="2160"/>
      <c r="J67" s="2121"/>
      <c r="K67" s="2121"/>
      <c r="L67" s="2121"/>
      <c r="M67" s="2121"/>
      <c r="N67" s="2121"/>
      <c r="O67" s="2121"/>
      <c r="P67" s="2160"/>
      <c r="Q67" s="2161"/>
      <c r="R67" s="2161"/>
      <c r="AG67" s="56"/>
      <c r="AT67" s="699"/>
      <c r="AX67" s="700"/>
    </row>
    <row r="68" spans="1:50" s="742" customFormat="1" ht="14.25" customHeight="1" x14ac:dyDescent="0.25">
      <c r="A68" s="250"/>
      <c r="B68" s="2137"/>
      <c r="C68" s="2137"/>
      <c r="D68" s="2121" t="s">
        <v>5620</v>
      </c>
      <c r="E68" s="2121"/>
      <c r="F68" s="2121"/>
      <c r="G68" s="2121"/>
      <c r="H68" s="2121"/>
      <c r="I68" s="2160"/>
      <c r="J68" s="2121"/>
      <c r="K68" s="2121"/>
      <c r="L68" s="2121"/>
      <c r="M68" s="2121"/>
      <c r="N68" s="2121"/>
      <c r="O68" s="2121"/>
      <c r="P68" s="2160"/>
      <c r="Q68" s="2161"/>
      <c r="R68" s="2161"/>
      <c r="AG68" s="56"/>
      <c r="AT68" s="699"/>
      <c r="AX68" s="700"/>
    </row>
    <row r="69" spans="1:50" s="742" customFormat="1" ht="14.25" customHeight="1" x14ac:dyDescent="0.25">
      <c r="A69" s="250"/>
      <c r="B69" s="2137" t="str">
        <f>IFERROR('UNIDAD PRODUCTORA'!D100,"")</f>
        <v/>
      </c>
      <c r="C69" s="2137"/>
      <c r="D69" s="2121" t="s">
        <v>5620</v>
      </c>
      <c r="E69" s="2121"/>
      <c r="F69" s="2121"/>
      <c r="G69" s="2121"/>
      <c r="H69" s="2121"/>
      <c r="I69" s="2160"/>
      <c r="J69" s="2121"/>
      <c r="K69" s="2121"/>
      <c r="L69" s="2121"/>
      <c r="M69" s="2121"/>
      <c r="N69" s="2121"/>
      <c r="O69" s="2121"/>
      <c r="P69" s="2160"/>
      <c r="Q69" s="2161" t="str">
        <f>IF(I69="","",(I69+P69)/2)</f>
        <v/>
      </c>
      <c r="R69" s="2161" t="str">
        <f>IF(Q69="","",IF(Q69&lt;0.5,"Baja",IF(Q69&lt;1,"Media",IF(Q69&lt;1.5,"Alta","Muy alta"))))</f>
        <v/>
      </c>
      <c r="AG69" s="56"/>
      <c r="AT69" s="699"/>
      <c r="AX69" s="700"/>
    </row>
    <row r="70" spans="1:50" s="742" customFormat="1" ht="14.25" customHeight="1" x14ac:dyDescent="0.25">
      <c r="A70" s="250"/>
      <c r="B70" s="2137"/>
      <c r="C70" s="2137"/>
      <c r="D70" s="2121" t="s">
        <v>5620</v>
      </c>
      <c r="E70" s="2121"/>
      <c r="F70" s="2121"/>
      <c r="G70" s="2121"/>
      <c r="H70" s="2121"/>
      <c r="I70" s="2160"/>
      <c r="J70" s="2121"/>
      <c r="K70" s="2121"/>
      <c r="L70" s="2121"/>
      <c r="M70" s="2121"/>
      <c r="N70" s="2121"/>
      <c r="O70" s="2121"/>
      <c r="P70" s="2160"/>
      <c r="Q70" s="2161"/>
      <c r="R70" s="2161"/>
      <c r="AG70" s="56"/>
      <c r="AT70" s="699"/>
      <c r="AX70" s="700"/>
    </row>
    <row r="71" spans="1:50" s="742" customFormat="1" ht="14.25" customHeight="1" x14ac:dyDescent="0.25">
      <c r="A71" s="250"/>
      <c r="B71" s="2137"/>
      <c r="C71" s="2137"/>
      <c r="D71" s="2121" t="s">
        <v>5620</v>
      </c>
      <c r="E71" s="2121"/>
      <c r="F71" s="2121"/>
      <c r="G71" s="2121"/>
      <c r="H71" s="2121"/>
      <c r="I71" s="2160"/>
      <c r="J71" s="2121"/>
      <c r="K71" s="2121"/>
      <c r="L71" s="2121"/>
      <c r="M71" s="2121"/>
      <c r="N71" s="2121"/>
      <c r="O71" s="2121"/>
      <c r="P71" s="2160"/>
      <c r="Q71" s="2161"/>
      <c r="R71" s="2161"/>
      <c r="AG71" s="56"/>
      <c r="AT71" s="699"/>
      <c r="AX71" s="700"/>
    </row>
    <row r="72" spans="1:50" s="742" customFormat="1" ht="14.25" customHeight="1" x14ac:dyDescent="0.25">
      <c r="A72" s="250"/>
      <c r="B72" s="2137"/>
      <c r="C72" s="2137"/>
      <c r="D72" s="2121" t="s">
        <v>5620</v>
      </c>
      <c r="E72" s="2121"/>
      <c r="F72" s="2121"/>
      <c r="G72" s="2121"/>
      <c r="H72" s="2121"/>
      <c r="I72" s="2160"/>
      <c r="J72" s="2121"/>
      <c r="K72" s="2121"/>
      <c r="L72" s="2121"/>
      <c r="M72" s="2121"/>
      <c r="N72" s="2121"/>
      <c r="O72" s="2121"/>
      <c r="P72" s="2160"/>
      <c r="Q72" s="2161"/>
      <c r="R72" s="2161"/>
      <c r="AG72" s="56"/>
      <c r="AT72" s="699"/>
      <c r="AX72" s="700"/>
    </row>
    <row r="73" spans="1:50" s="742" customFormat="1" ht="14.25" customHeight="1" x14ac:dyDescent="0.25">
      <c r="A73" s="250"/>
      <c r="B73" s="2137" t="str">
        <f>IFERROR('UNIDAD PRODUCTORA'!D101,"")</f>
        <v/>
      </c>
      <c r="C73" s="2137"/>
      <c r="D73" s="2121" t="s">
        <v>5620</v>
      </c>
      <c r="E73" s="2121"/>
      <c r="F73" s="2121"/>
      <c r="G73" s="2121"/>
      <c r="H73" s="2121"/>
      <c r="I73" s="2160"/>
      <c r="J73" s="2121"/>
      <c r="K73" s="2121"/>
      <c r="L73" s="2121"/>
      <c r="M73" s="2121"/>
      <c r="N73" s="2121"/>
      <c r="O73" s="2121"/>
      <c r="P73" s="2160"/>
      <c r="Q73" s="2161" t="str">
        <f>IF(I73="","",(I73+P73)/2)</f>
        <v/>
      </c>
      <c r="R73" s="2161" t="str">
        <f>IF(Q73="","",IF(Q73&lt;0.5,"Baja",IF(Q73&lt;1,"Media",IF(Q73&lt;1.5,"Alta","Muy alta"))))</f>
        <v/>
      </c>
      <c r="AG73" s="56"/>
      <c r="AT73" s="699"/>
      <c r="AX73" s="700"/>
    </row>
    <row r="74" spans="1:50" s="742" customFormat="1" ht="14.25" customHeight="1" x14ac:dyDescent="0.25">
      <c r="A74" s="250"/>
      <c r="B74" s="2137"/>
      <c r="C74" s="2137"/>
      <c r="D74" s="2121" t="s">
        <v>5620</v>
      </c>
      <c r="E74" s="2121"/>
      <c r="F74" s="2121"/>
      <c r="G74" s="2121"/>
      <c r="H74" s="2121"/>
      <c r="I74" s="2160"/>
      <c r="J74" s="2121"/>
      <c r="K74" s="2121"/>
      <c r="L74" s="2121"/>
      <c r="M74" s="2121"/>
      <c r="N74" s="2121"/>
      <c r="O74" s="2121"/>
      <c r="P74" s="2160"/>
      <c r="Q74" s="2161"/>
      <c r="R74" s="2161"/>
      <c r="AG74" s="56"/>
      <c r="AT74" s="699"/>
      <c r="AX74" s="700"/>
    </row>
    <row r="75" spans="1:50" s="742" customFormat="1" ht="14.25" customHeight="1" x14ac:dyDescent="0.25">
      <c r="A75" s="250"/>
      <c r="B75" s="2137"/>
      <c r="C75" s="2137"/>
      <c r="D75" s="2121" t="s">
        <v>5620</v>
      </c>
      <c r="E75" s="2121"/>
      <c r="F75" s="2121"/>
      <c r="G75" s="2121"/>
      <c r="H75" s="2121"/>
      <c r="I75" s="2160"/>
      <c r="J75" s="2121"/>
      <c r="K75" s="2121"/>
      <c r="L75" s="2121"/>
      <c r="M75" s="2121"/>
      <c r="N75" s="2121"/>
      <c r="O75" s="2121"/>
      <c r="P75" s="2160"/>
      <c r="Q75" s="2161"/>
      <c r="R75" s="2161"/>
      <c r="AG75" s="56"/>
      <c r="AT75" s="699"/>
      <c r="AX75" s="700"/>
    </row>
    <row r="76" spans="1:50" s="742" customFormat="1" ht="14.25" customHeight="1" x14ac:dyDescent="0.25">
      <c r="A76" s="250"/>
      <c r="B76" s="2137"/>
      <c r="C76" s="2137"/>
      <c r="D76" s="2121" t="s">
        <v>5620</v>
      </c>
      <c r="E76" s="2121"/>
      <c r="F76" s="2121"/>
      <c r="G76" s="2121"/>
      <c r="H76" s="2121"/>
      <c r="I76" s="2160"/>
      <c r="J76" s="2121"/>
      <c r="K76" s="2121"/>
      <c r="L76" s="2121"/>
      <c r="M76" s="2121"/>
      <c r="N76" s="2121"/>
      <c r="O76" s="2121"/>
      <c r="P76" s="2160"/>
      <c r="Q76" s="2161"/>
      <c r="R76" s="2161"/>
      <c r="AG76" s="56"/>
      <c r="AT76" s="699"/>
      <c r="AX76" s="700"/>
    </row>
    <row r="77" spans="1:50" s="742" customFormat="1" x14ac:dyDescent="0.25">
      <c r="A77" s="250"/>
      <c r="B77" s="742" t="s">
        <v>5461</v>
      </c>
      <c r="E77" s="68"/>
      <c r="AG77" s="56"/>
      <c r="AT77" s="699"/>
      <c r="AX77" s="700"/>
    </row>
    <row r="79" spans="1:50" s="708" customFormat="1" ht="12.75" x14ac:dyDescent="0.2">
      <c r="B79" s="91" t="s">
        <v>5497</v>
      </c>
    </row>
    <row r="80" spans="1:50" s="708" customFormat="1" ht="12.75" x14ac:dyDescent="0.2"/>
    <row r="81" spans="2:9" s="708" customFormat="1" ht="12.75" x14ac:dyDescent="0.2">
      <c r="B81" s="2163" t="s">
        <v>5468</v>
      </c>
      <c r="C81" s="2163"/>
      <c r="D81" s="2163"/>
      <c r="E81" s="2163"/>
      <c r="F81" s="2163"/>
      <c r="G81" s="2163"/>
      <c r="H81" s="2163"/>
      <c r="I81" s="2163"/>
    </row>
    <row r="82" spans="2:9" s="708" customFormat="1" ht="12.75" x14ac:dyDescent="0.2">
      <c r="B82" s="2163"/>
      <c r="C82" s="2163"/>
      <c r="D82" s="2163"/>
      <c r="E82" s="2163"/>
      <c r="F82" s="2163"/>
      <c r="G82" s="2163"/>
      <c r="H82" s="2163"/>
      <c r="I82" s="2163"/>
    </row>
    <row r="83" spans="2:9" s="708" customFormat="1" ht="12.75" x14ac:dyDescent="0.2">
      <c r="B83" s="2163"/>
      <c r="C83" s="2163"/>
      <c r="D83" s="2163"/>
      <c r="E83" s="2163"/>
      <c r="F83" s="2163"/>
      <c r="G83" s="2163"/>
      <c r="H83" s="2163"/>
      <c r="I83" s="2163"/>
    </row>
    <row r="84" spans="2:9" s="708" customFormat="1" ht="13.5" thickBot="1" x14ac:dyDescent="0.25"/>
    <row r="85" spans="2:9" s="708" customFormat="1" ht="13.5" thickBot="1" x14ac:dyDescent="0.25">
      <c r="D85" s="709" t="s">
        <v>5420</v>
      </c>
      <c r="E85" s="709" t="s">
        <v>5422</v>
      </c>
      <c r="F85" s="709" t="s">
        <v>5130</v>
      </c>
      <c r="G85" s="709" t="s">
        <v>5425</v>
      </c>
    </row>
    <row r="86" spans="2:9" s="708" customFormat="1" ht="13.5" thickBot="1" x14ac:dyDescent="0.25">
      <c r="C86" s="709" t="s">
        <v>5420</v>
      </c>
      <c r="D86" s="710" t="s">
        <v>5130</v>
      </c>
      <c r="E86" s="711" t="s">
        <v>5422</v>
      </c>
      <c r="F86" s="712" t="s">
        <v>5420</v>
      </c>
      <c r="G86" s="712" t="s">
        <v>5420</v>
      </c>
    </row>
    <row r="87" spans="2:9" s="708" customFormat="1" ht="13.5" thickBot="1" x14ac:dyDescent="0.25">
      <c r="C87" s="713" t="s">
        <v>5422</v>
      </c>
      <c r="D87" s="714" t="s">
        <v>5130</v>
      </c>
      <c r="E87" s="715" t="s">
        <v>5422</v>
      </c>
      <c r="F87" s="715" t="s">
        <v>5422</v>
      </c>
      <c r="G87" s="716" t="s">
        <v>5420</v>
      </c>
    </row>
    <row r="88" spans="2:9" s="708" customFormat="1" ht="13.5" thickBot="1" x14ac:dyDescent="0.25">
      <c r="C88" s="713" t="s">
        <v>5130</v>
      </c>
      <c r="D88" s="717" t="s">
        <v>5425</v>
      </c>
      <c r="E88" s="714" t="s">
        <v>5130</v>
      </c>
      <c r="F88" s="715" t="s">
        <v>5422</v>
      </c>
      <c r="G88" s="715" t="s">
        <v>5422</v>
      </c>
    </row>
    <row r="89" spans="2:9" s="708" customFormat="1" ht="13.5" thickBot="1" x14ac:dyDescent="0.25">
      <c r="C89" s="713" t="s">
        <v>5425</v>
      </c>
      <c r="D89" s="717" t="s">
        <v>5425</v>
      </c>
      <c r="E89" s="717" t="s">
        <v>5425</v>
      </c>
      <c r="F89" s="714" t="s">
        <v>5130</v>
      </c>
      <c r="G89" s="714" t="s">
        <v>5130</v>
      </c>
    </row>
    <row r="90" spans="2:9" s="708" customFormat="1" ht="13.5" thickBot="1" x14ac:dyDescent="0.25">
      <c r="C90" s="718"/>
      <c r="D90" s="719" t="s">
        <v>5420</v>
      </c>
      <c r="E90" s="719" t="s">
        <v>5422</v>
      </c>
      <c r="F90" s="719" t="s">
        <v>5130</v>
      </c>
      <c r="G90" s="719" t="s">
        <v>5425</v>
      </c>
    </row>
    <row r="91" spans="2:9" s="708" customFormat="1" ht="12.75" x14ac:dyDescent="0.2"/>
    <row r="92" spans="2:9" s="708" customFormat="1" ht="12.75" x14ac:dyDescent="0.2"/>
    <row r="94" spans="2:9" x14ac:dyDescent="0.25">
      <c r="B94" s="373" t="s">
        <v>5498</v>
      </c>
    </row>
    <row r="96" spans="2:9" x14ac:dyDescent="0.25">
      <c r="B96" s="2164" t="s">
        <v>27</v>
      </c>
      <c r="C96" s="2164"/>
      <c r="D96" s="2164" t="s">
        <v>5470</v>
      </c>
      <c r="E96" s="2164"/>
      <c r="F96" s="2164" t="s">
        <v>5471</v>
      </c>
      <c r="G96" s="2164"/>
      <c r="H96" s="2164" t="s">
        <v>4782</v>
      </c>
      <c r="I96" s="2164"/>
    </row>
    <row r="97" spans="2:9" x14ac:dyDescent="0.25">
      <c r="B97" s="2164"/>
      <c r="C97" s="2164"/>
      <c r="D97" s="2164"/>
      <c r="E97" s="2164"/>
      <c r="F97" s="2164"/>
      <c r="G97" s="2164"/>
      <c r="H97" s="2164"/>
      <c r="I97" s="2164"/>
    </row>
    <row r="98" spans="2:9" x14ac:dyDescent="0.25">
      <c r="B98" s="2119" t="str">
        <f>IFERROR(IF(B10="","",B10),"")</f>
        <v/>
      </c>
      <c r="C98" s="2120"/>
      <c r="D98" s="2165" t="str">
        <f>T10</f>
        <v/>
      </c>
      <c r="E98" s="2166"/>
      <c r="F98" s="2165" t="str">
        <f>R53</f>
        <v/>
      </c>
      <c r="G98" s="2166"/>
      <c r="H98" s="2165" t="str">
        <f>IFERROR(IF(D98="","",VLOOKUP(D98,$C$85:$G$89,MATCH(F98,$C$85:$G$85,0),FALSE)),"")</f>
        <v/>
      </c>
      <c r="I98" s="2166"/>
    </row>
    <row r="99" spans="2:9" x14ac:dyDescent="0.25">
      <c r="B99" s="2119" t="str">
        <f>IFERROR(IF(B16="","",B16),"")</f>
        <v/>
      </c>
      <c r="C99" s="2120"/>
      <c r="D99" s="2165" t="str">
        <f>T16</f>
        <v/>
      </c>
      <c r="E99" s="2166"/>
      <c r="F99" s="2165" t="str">
        <f>R57</f>
        <v/>
      </c>
      <c r="G99" s="2166"/>
      <c r="H99" s="2165" t="str">
        <f t="shared" ref="H99:H103" si="8">IFERROR(IF(D99="","",VLOOKUP(D99,$C$85:$G$89,MATCH(F99,$C$85:$G$85,0),FALSE)),"")</f>
        <v/>
      </c>
      <c r="I99" s="2166"/>
    </row>
    <row r="100" spans="2:9" x14ac:dyDescent="0.25">
      <c r="B100" s="2119" t="str">
        <f>IFERROR(IF(B22="","",B22),"")</f>
        <v/>
      </c>
      <c r="C100" s="2120"/>
      <c r="D100" s="2165" t="str">
        <f>T22</f>
        <v/>
      </c>
      <c r="E100" s="2166"/>
      <c r="F100" s="2165" t="str">
        <f>R61</f>
        <v/>
      </c>
      <c r="G100" s="2166"/>
      <c r="H100" s="2165" t="str">
        <f t="shared" si="8"/>
        <v/>
      </c>
      <c r="I100" s="2166"/>
    </row>
    <row r="101" spans="2:9" x14ac:dyDescent="0.25">
      <c r="B101" s="2119" t="str">
        <f>IFERROR(IF(B28="","",B28),"")</f>
        <v/>
      </c>
      <c r="C101" s="2120"/>
      <c r="D101" s="2165" t="str">
        <f>T28</f>
        <v/>
      </c>
      <c r="E101" s="2166"/>
      <c r="F101" s="2165" t="str">
        <f>R65</f>
        <v/>
      </c>
      <c r="G101" s="2166"/>
      <c r="H101" s="2165" t="str">
        <f t="shared" si="8"/>
        <v/>
      </c>
      <c r="I101" s="2166"/>
    </row>
    <row r="102" spans="2:9" x14ac:dyDescent="0.25">
      <c r="B102" s="2119" t="str">
        <f>IFERROR(IF(B34="","",B34),"")</f>
        <v/>
      </c>
      <c r="C102" s="2120"/>
      <c r="D102" s="2165" t="str">
        <f>T34</f>
        <v/>
      </c>
      <c r="E102" s="2166"/>
      <c r="F102" s="2165" t="str">
        <f>R69</f>
        <v/>
      </c>
      <c r="G102" s="2166"/>
      <c r="H102" s="2165" t="str">
        <f t="shared" si="8"/>
        <v/>
      </c>
      <c r="I102" s="2166"/>
    </row>
    <row r="103" spans="2:9" x14ac:dyDescent="0.25">
      <c r="B103" s="2119" t="str">
        <f>IFERROR(IF(B40="","",B40),"")</f>
        <v/>
      </c>
      <c r="C103" s="2120"/>
      <c r="D103" s="2165" t="str">
        <f>T40</f>
        <v/>
      </c>
      <c r="E103" s="2166"/>
      <c r="F103" s="2165" t="str">
        <f>R73</f>
        <v/>
      </c>
      <c r="G103" s="2166"/>
      <c r="H103" s="2165" t="str">
        <f t="shared" si="8"/>
        <v/>
      </c>
      <c r="I103" s="2166"/>
    </row>
    <row r="106" spans="2:9" x14ac:dyDescent="0.25">
      <c r="B106" s="322" t="s">
        <v>5499</v>
      </c>
    </row>
    <row r="108" spans="2:9" x14ac:dyDescent="0.25">
      <c r="B108" s="2169" t="s">
        <v>5473</v>
      </c>
      <c r="C108" s="2169"/>
      <c r="D108" s="2169"/>
      <c r="E108" s="2169"/>
      <c r="F108" s="2169"/>
      <c r="G108" s="2169"/>
      <c r="H108" s="2169"/>
      <c r="I108" s="2169"/>
    </row>
    <row r="109" spans="2:9" x14ac:dyDescent="0.25">
      <c r="B109" s="2169"/>
      <c r="C109" s="2169"/>
      <c r="D109" s="2169"/>
      <c r="E109" s="2169"/>
      <c r="F109" s="2169"/>
      <c r="G109" s="2169"/>
      <c r="H109" s="2169"/>
      <c r="I109" s="2169"/>
    </row>
    <row r="110" spans="2:9" x14ac:dyDescent="0.25">
      <c r="B110" s="2169"/>
      <c r="C110" s="2169"/>
      <c r="D110" s="2169"/>
      <c r="E110" s="2169"/>
      <c r="F110" s="2169"/>
      <c r="G110" s="2169"/>
      <c r="H110" s="2169"/>
      <c r="I110" s="2169"/>
    </row>
    <row r="112" spans="2:9" x14ac:dyDescent="0.25">
      <c r="B112" s="322" t="s">
        <v>5500</v>
      </c>
    </row>
    <row r="113" spans="2:9" ht="15.75" thickBot="1" x14ac:dyDescent="0.3"/>
    <row r="114" spans="2:9" ht="15.75" thickBot="1" x14ac:dyDescent="0.3">
      <c r="D114" s="709" t="s">
        <v>5425</v>
      </c>
      <c r="E114" s="709" t="s">
        <v>5130</v>
      </c>
      <c r="F114" s="709" t="s">
        <v>5422</v>
      </c>
      <c r="G114" s="709" t="s">
        <v>5420</v>
      </c>
    </row>
    <row r="115" spans="2:9" ht="15.75" thickBot="1" x14ac:dyDescent="0.3">
      <c r="C115" s="720" t="s">
        <v>5420</v>
      </c>
      <c r="D115" s="710" t="s">
        <v>5130</v>
      </c>
      <c r="E115" s="711" t="s">
        <v>5422</v>
      </c>
      <c r="F115" s="712" t="s">
        <v>5420</v>
      </c>
      <c r="G115" s="712" t="s">
        <v>5420</v>
      </c>
    </row>
    <row r="116" spans="2:9" ht="15.75" thickBot="1" x14ac:dyDescent="0.3">
      <c r="C116" s="721" t="s">
        <v>5422</v>
      </c>
      <c r="D116" s="714" t="s">
        <v>5130</v>
      </c>
      <c r="E116" s="715" t="s">
        <v>5422</v>
      </c>
      <c r="F116" s="715" t="s">
        <v>5422</v>
      </c>
      <c r="G116" s="716" t="s">
        <v>5420</v>
      </c>
    </row>
    <row r="117" spans="2:9" ht="15.75" thickBot="1" x14ac:dyDescent="0.3">
      <c r="C117" s="721" t="s">
        <v>5130</v>
      </c>
      <c r="D117" s="717" t="s">
        <v>5425</v>
      </c>
      <c r="E117" s="714" t="s">
        <v>5130</v>
      </c>
      <c r="F117" s="715" t="s">
        <v>5422</v>
      </c>
      <c r="G117" s="715" t="s">
        <v>5422</v>
      </c>
    </row>
    <row r="118" spans="2:9" ht="15.75" thickBot="1" x14ac:dyDescent="0.3">
      <c r="C118" s="721" t="s">
        <v>5425</v>
      </c>
      <c r="D118" s="717" t="s">
        <v>5425</v>
      </c>
      <c r="E118" s="717" t="s">
        <v>5425</v>
      </c>
      <c r="F118" s="714" t="s">
        <v>5130</v>
      </c>
      <c r="G118" s="714" t="s">
        <v>5130</v>
      </c>
    </row>
    <row r="119" spans="2:9" ht="15.75" thickBot="1" x14ac:dyDescent="0.3">
      <c r="C119" s="722"/>
      <c r="D119" s="723" t="s">
        <v>433</v>
      </c>
      <c r="E119" s="723" t="s">
        <v>434</v>
      </c>
      <c r="F119" s="723" t="s">
        <v>435</v>
      </c>
      <c r="G119" s="723" t="s">
        <v>432</v>
      </c>
    </row>
    <row r="123" spans="2:9" x14ac:dyDescent="0.25">
      <c r="B123" s="2164" t="s">
        <v>27</v>
      </c>
      <c r="C123" s="2164"/>
      <c r="D123" s="2164" t="s">
        <v>5501</v>
      </c>
      <c r="E123" s="2164"/>
      <c r="F123" s="2164" t="s">
        <v>5502</v>
      </c>
      <c r="G123" s="2164"/>
      <c r="H123" s="2164" t="s">
        <v>5475</v>
      </c>
      <c r="I123" s="2164"/>
    </row>
    <row r="124" spans="2:9" x14ac:dyDescent="0.25">
      <c r="B124" s="2164"/>
      <c r="C124" s="2164"/>
      <c r="D124" s="2164"/>
      <c r="E124" s="2164"/>
      <c r="F124" s="2164"/>
      <c r="G124" s="2164"/>
      <c r="H124" s="2164"/>
      <c r="I124" s="2164"/>
    </row>
    <row r="125" spans="2:9" x14ac:dyDescent="0.25">
      <c r="B125" s="2119" t="str">
        <f t="shared" ref="B125:B130" si="9">IFERROR(IF(B98="","",B98),"")</f>
        <v/>
      </c>
      <c r="C125" s="2120"/>
      <c r="D125" s="2165" t="str">
        <f>IFERROR(IF(Vulnerabilidad!D123="","",Vulnerabilidad!D123),"")</f>
        <v/>
      </c>
      <c r="E125" s="2166"/>
      <c r="F125" s="2165" t="str">
        <f t="shared" ref="F125:F130" si="10">IF(H98="","",H98)</f>
        <v/>
      </c>
      <c r="G125" s="2166"/>
      <c r="H125" s="2165" t="str">
        <f>IFERROR(IF(D125="","",VLOOKUP(D125,$C$114:$G$118,MATCH(F125,$C$114:$G$114,0),FALSE)),"")</f>
        <v/>
      </c>
      <c r="I125" s="2166"/>
    </row>
    <row r="126" spans="2:9" x14ac:dyDescent="0.25">
      <c r="B126" s="2119" t="str">
        <f t="shared" si="9"/>
        <v/>
      </c>
      <c r="C126" s="2120"/>
      <c r="D126" s="2165" t="str">
        <f>IFERROR(IF(Vulnerabilidad!D124="","",Vulnerabilidad!D124),"")</f>
        <v/>
      </c>
      <c r="E126" s="2166"/>
      <c r="F126" s="2165" t="str">
        <f t="shared" si="10"/>
        <v/>
      </c>
      <c r="G126" s="2166"/>
      <c r="H126" s="2165" t="str">
        <f t="shared" ref="H126:H130" si="11">IFERROR(IF(D126="","",VLOOKUP(D126,$C$114:$G$118,MATCH(F126,$C$114:$G$114,0),FALSE)),"")</f>
        <v/>
      </c>
      <c r="I126" s="2166"/>
    </row>
    <row r="127" spans="2:9" x14ac:dyDescent="0.25">
      <c r="B127" s="2119" t="str">
        <f t="shared" si="9"/>
        <v/>
      </c>
      <c r="C127" s="2120"/>
      <c r="D127" s="2165" t="str">
        <f>IFERROR(IF(Vulnerabilidad!D125="","",Vulnerabilidad!D125),"")</f>
        <v/>
      </c>
      <c r="E127" s="2166"/>
      <c r="F127" s="2165" t="str">
        <f t="shared" si="10"/>
        <v/>
      </c>
      <c r="G127" s="2166"/>
      <c r="H127" s="2165" t="str">
        <f t="shared" si="11"/>
        <v/>
      </c>
      <c r="I127" s="2166"/>
    </row>
    <row r="128" spans="2:9" x14ac:dyDescent="0.25">
      <c r="B128" s="2119" t="str">
        <f t="shared" si="9"/>
        <v/>
      </c>
      <c r="C128" s="2120"/>
      <c r="D128" s="2165" t="str">
        <f>IFERROR(IF(Vulnerabilidad!D126="","",Vulnerabilidad!D126),"")</f>
        <v/>
      </c>
      <c r="E128" s="2166"/>
      <c r="F128" s="2165" t="str">
        <f t="shared" si="10"/>
        <v/>
      </c>
      <c r="G128" s="2166"/>
      <c r="H128" s="2165" t="str">
        <f t="shared" si="11"/>
        <v/>
      </c>
      <c r="I128" s="2166"/>
    </row>
    <row r="129" spans="1:50" x14ac:dyDescent="0.25">
      <c r="B129" s="2119" t="str">
        <f t="shared" si="9"/>
        <v/>
      </c>
      <c r="C129" s="2120"/>
      <c r="D129" s="2165" t="str">
        <f>IFERROR(IF(Vulnerabilidad!D127="","",Vulnerabilidad!D127),"")</f>
        <v/>
      </c>
      <c r="E129" s="2166"/>
      <c r="F129" s="2165" t="str">
        <f t="shared" si="10"/>
        <v/>
      </c>
      <c r="G129" s="2166"/>
      <c r="H129" s="2165" t="str">
        <f t="shared" si="11"/>
        <v/>
      </c>
      <c r="I129" s="2166"/>
    </row>
    <row r="130" spans="1:50" x14ac:dyDescent="0.25">
      <c r="B130" s="2119" t="str">
        <f t="shared" si="9"/>
        <v/>
      </c>
      <c r="C130" s="2120"/>
      <c r="D130" s="2165" t="str">
        <f>IFERROR(IF(Vulnerabilidad!D128="","",Vulnerabilidad!D128),"")</f>
        <v/>
      </c>
      <c r="E130" s="2166"/>
      <c r="F130" s="2165" t="str">
        <f t="shared" si="10"/>
        <v/>
      </c>
      <c r="G130" s="2166"/>
      <c r="H130" s="2165" t="str">
        <f t="shared" si="11"/>
        <v/>
      </c>
      <c r="I130" s="2166"/>
    </row>
    <row r="132" spans="1:50" x14ac:dyDescent="0.25">
      <c r="B132" s="322"/>
    </row>
    <row r="133" spans="1:50" hidden="1" x14ac:dyDescent="0.25">
      <c r="B133" s="766" t="s">
        <v>5503</v>
      </c>
    </row>
    <row r="134" spans="1:50" ht="7.5" hidden="1" customHeight="1" x14ac:dyDescent="0.25"/>
    <row r="135" spans="1:50" hidden="1" x14ac:dyDescent="0.25">
      <c r="B135" s="766" t="s">
        <v>5477</v>
      </c>
    </row>
    <row r="136" spans="1:50" hidden="1" x14ac:dyDescent="0.25"/>
    <row r="137" spans="1:50" s="742" customFormat="1" hidden="1" x14ac:dyDescent="0.25">
      <c r="A137" s="250"/>
      <c r="B137" s="91" t="s">
        <v>5478</v>
      </c>
      <c r="E137" s="68"/>
      <c r="AG137" s="767"/>
      <c r="AT137" s="699"/>
      <c r="AX137" s="700"/>
    </row>
    <row r="138" spans="1:50" s="742" customFormat="1" ht="10.5" hidden="1" customHeight="1" thickBot="1" x14ac:dyDescent="0.3">
      <c r="A138" s="250"/>
      <c r="B138" s="91"/>
      <c r="E138" s="68"/>
      <c r="AG138" s="767"/>
      <c r="AT138" s="699"/>
      <c r="AX138" s="700"/>
    </row>
    <row r="139" spans="1:50" s="742" customFormat="1" ht="30" hidden="1" customHeight="1" x14ac:dyDescent="0.25">
      <c r="A139" s="250"/>
      <c r="B139" s="2122" t="s">
        <v>5454</v>
      </c>
      <c r="C139" s="2123"/>
      <c r="D139" s="2170" t="s">
        <v>5479</v>
      </c>
      <c r="E139" s="2170"/>
      <c r="F139" s="2123" t="s">
        <v>5456</v>
      </c>
      <c r="G139" s="2123"/>
      <c r="H139" s="2123"/>
      <c r="I139" s="2123"/>
      <c r="J139" s="2123"/>
      <c r="K139" s="2123" t="s">
        <v>5457</v>
      </c>
      <c r="L139" s="2123"/>
      <c r="M139" s="2123"/>
      <c r="N139" s="2123"/>
      <c r="O139" s="2123"/>
      <c r="P139" s="2123"/>
      <c r="Q139" s="2126" t="s">
        <v>5458</v>
      </c>
      <c r="R139" s="2127"/>
      <c r="S139" s="2128" t="s">
        <v>5480</v>
      </c>
      <c r="T139" s="2129"/>
      <c r="AG139" s="767"/>
      <c r="AT139" s="699"/>
      <c r="AX139" s="700"/>
    </row>
    <row r="140" spans="1:50" s="742" customFormat="1" ht="21.75" hidden="1" customHeight="1" thickBot="1" x14ac:dyDescent="0.3">
      <c r="A140" s="250"/>
      <c r="B140" s="2124"/>
      <c r="C140" s="2125"/>
      <c r="D140" s="2171"/>
      <c r="E140" s="2171"/>
      <c r="F140" s="2130" t="s">
        <v>25</v>
      </c>
      <c r="G140" s="2131"/>
      <c r="H140" s="2131"/>
      <c r="I140" s="2132"/>
      <c r="J140" s="745" t="s">
        <v>5460</v>
      </c>
      <c r="K140" s="2130" t="s">
        <v>25</v>
      </c>
      <c r="L140" s="2131"/>
      <c r="M140" s="2131"/>
      <c r="N140" s="2131"/>
      <c r="O140" s="2132"/>
      <c r="P140" s="745" t="s">
        <v>5460</v>
      </c>
      <c r="Q140" s="743" t="s">
        <v>5034</v>
      </c>
      <c r="R140" s="743" t="s">
        <v>5418</v>
      </c>
      <c r="S140" s="743" t="s">
        <v>5460</v>
      </c>
      <c r="T140" s="743" t="s">
        <v>5418</v>
      </c>
      <c r="AG140" s="767"/>
      <c r="AT140" s="699"/>
      <c r="AX140" s="700"/>
    </row>
    <row r="141" spans="1:50" s="742" customFormat="1" ht="36" hidden="1" customHeight="1" x14ac:dyDescent="0.25">
      <c r="A141" s="250"/>
      <c r="B141" s="2134" t="s">
        <v>5620</v>
      </c>
      <c r="C141" s="2135"/>
      <c r="D141" s="2119" t="s">
        <v>5620</v>
      </c>
      <c r="E141" s="2120"/>
      <c r="F141" s="2174" t="s">
        <v>5481</v>
      </c>
      <c r="G141" s="2174"/>
      <c r="H141" s="2174"/>
      <c r="I141" s="2174"/>
      <c r="J141" s="701">
        <v>0</v>
      </c>
      <c r="K141" s="2174" t="s">
        <v>5482</v>
      </c>
      <c r="L141" s="2174"/>
      <c r="M141" s="2174"/>
      <c r="N141" s="2174"/>
      <c r="O141" s="2174"/>
      <c r="P141" s="701">
        <v>0</v>
      </c>
      <c r="Q141" s="701">
        <f>IF(J141="","",(J141+P141)/2)</f>
        <v>0</v>
      </c>
      <c r="R141" s="702" t="str">
        <f>IF(Q141="","",IF(Q141&lt;0.5,"Baja",IF(Q141&lt;1,"Media",IF(Q141&lt;1.5,"Alta","Muy alta"))))</f>
        <v>Baja</v>
      </c>
      <c r="S141" s="2116">
        <f>IF(Q141="","",MAX(Q141:Q146))</f>
        <v>0.5</v>
      </c>
      <c r="T141" s="2116" t="str">
        <f>IF(S141="","",IF(S141&lt;0.5,"Baja",IF(S141&lt;1,"Media",IF(S141&lt;1.5,"Alta","Muy alta"))))</f>
        <v>Media</v>
      </c>
      <c r="AG141" s="767"/>
      <c r="AT141" s="699"/>
      <c r="AX141" s="700"/>
    </row>
    <row r="142" spans="1:50" s="742" customFormat="1" ht="29.25" hidden="1" customHeight="1" x14ac:dyDescent="0.25">
      <c r="A142" s="250"/>
      <c r="B142" s="2136"/>
      <c r="C142" s="2137"/>
      <c r="D142" s="2119" t="s">
        <v>5620</v>
      </c>
      <c r="E142" s="2120"/>
      <c r="F142" s="2173" t="s">
        <v>5483</v>
      </c>
      <c r="G142" s="2173"/>
      <c r="H142" s="2173"/>
      <c r="I142" s="2173"/>
      <c r="J142" s="703">
        <v>1</v>
      </c>
      <c r="K142" s="2173" t="s">
        <v>5482</v>
      </c>
      <c r="L142" s="2173"/>
      <c r="M142" s="2173"/>
      <c r="N142" s="2173"/>
      <c r="O142" s="2173"/>
      <c r="P142" s="703">
        <v>0</v>
      </c>
      <c r="Q142" s="703">
        <f>IF(J142="","",(J142+P142)/2)</f>
        <v>0.5</v>
      </c>
      <c r="R142" s="704" t="str">
        <f t="shared" ref="R142:R176" si="12">IF(Q142="","",IF(Q142&lt;0.5,"Baja",IF(Q142&lt;1,"Media",IF(Q142&lt;1.5,"Alta","Muy alta"))))</f>
        <v>Media</v>
      </c>
      <c r="S142" s="2117"/>
      <c r="T142" s="2117"/>
      <c r="AG142" s="767"/>
      <c r="AT142" s="699"/>
      <c r="AX142" s="700"/>
    </row>
    <row r="143" spans="1:50" s="742" customFormat="1" ht="30" hidden="1" customHeight="1" x14ac:dyDescent="0.25">
      <c r="A143" s="250"/>
      <c r="B143" s="2136"/>
      <c r="C143" s="2137"/>
      <c r="D143" s="2119" t="s">
        <v>5620</v>
      </c>
      <c r="E143" s="2120"/>
      <c r="F143" s="2173" t="s">
        <v>5484</v>
      </c>
      <c r="G143" s="2173"/>
      <c r="H143" s="2173"/>
      <c r="I143" s="2173"/>
      <c r="J143" s="703">
        <v>0</v>
      </c>
      <c r="K143" s="2173" t="s">
        <v>5485</v>
      </c>
      <c r="L143" s="2173"/>
      <c r="M143" s="2173"/>
      <c r="N143" s="2173"/>
      <c r="O143" s="2173"/>
      <c r="P143" s="703">
        <v>0</v>
      </c>
      <c r="Q143" s="703">
        <f t="shared" ref="Q143:Q158" si="13">IF(J143="","",(J143+P143)/2)</f>
        <v>0</v>
      </c>
      <c r="R143" s="704" t="str">
        <f t="shared" si="12"/>
        <v>Baja</v>
      </c>
      <c r="S143" s="2117"/>
      <c r="T143" s="2117"/>
      <c r="AG143" s="767"/>
      <c r="AT143" s="699"/>
      <c r="AX143" s="700"/>
    </row>
    <row r="144" spans="1:50" s="742" customFormat="1" ht="14.25" hidden="1" customHeight="1" x14ac:dyDescent="0.25">
      <c r="A144" s="250"/>
      <c r="B144" s="2136"/>
      <c r="C144" s="2137"/>
      <c r="D144" s="2119" t="s">
        <v>5620</v>
      </c>
      <c r="E144" s="2120"/>
      <c r="F144" s="2173"/>
      <c r="G144" s="2173"/>
      <c r="H144" s="2173"/>
      <c r="I144" s="2173"/>
      <c r="J144" s="703"/>
      <c r="K144" s="2173"/>
      <c r="L144" s="2173"/>
      <c r="M144" s="2173"/>
      <c r="N144" s="2173"/>
      <c r="O144" s="2173"/>
      <c r="P144" s="703"/>
      <c r="Q144" s="703" t="str">
        <f t="shared" si="13"/>
        <v/>
      </c>
      <c r="R144" s="704" t="str">
        <f t="shared" si="12"/>
        <v/>
      </c>
      <c r="S144" s="2117"/>
      <c r="T144" s="2117"/>
      <c r="AG144" s="767"/>
      <c r="AT144" s="699"/>
      <c r="AX144" s="700"/>
    </row>
    <row r="145" spans="1:50" s="742" customFormat="1" ht="14.25" hidden="1" customHeight="1" x14ac:dyDescent="0.25">
      <c r="A145" s="250"/>
      <c r="B145" s="2136"/>
      <c r="C145" s="2137"/>
      <c r="D145" s="2119" t="s">
        <v>5620</v>
      </c>
      <c r="E145" s="2120"/>
      <c r="F145" s="2173"/>
      <c r="G145" s="2173"/>
      <c r="H145" s="2173"/>
      <c r="I145" s="2173"/>
      <c r="J145" s="703"/>
      <c r="K145" s="2173"/>
      <c r="L145" s="2173"/>
      <c r="M145" s="2173"/>
      <c r="N145" s="2173"/>
      <c r="O145" s="2173"/>
      <c r="P145" s="703"/>
      <c r="Q145" s="703" t="str">
        <f t="shared" si="13"/>
        <v/>
      </c>
      <c r="R145" s="704" t="str">
        <f t="shared" si="12"/>
        <v/>
      </c>
      <c r="S145" s="2117"/>
      <c r="T145" s="2117"/>
      <c r="AG145" s="767"/>
      <c r="AT145" s="699"/>
      <c r="AX145" s="700"/>
    </row>
    <row r="146" spans="1:50" s="742" customFormat="1" ht="14.25" hidden="1" customHeight="1" thickBot="1" x14ac:dyDescent="0.3">
      <c r="A146" s="250"/>
      <c r="B146" s="2138"/>
      <c r="C146" s="2139"/>
      <c r="D146" s="2141" t="s">
        <v>5620</v>
      </c>
      <c r="E146" s="2142"/>
      <c r="F146" s="2175"/>
      <c r="G146" s="2175"/>
      <c r="H146" s="2175"/>
      <c r="I146" s="2175"/>
      <c r="J146" s="705"/>
      <c r="K146" s="2175"/>
      <c r="L146" s="2175"/>
      <c r="M146" s="2175"/>
      <c r="N146" s="2175"/>
      <c r="O146" s="2175"/>
      <c r="P146" s="705"/>
      <c r="Q146" s="705" t="str">
        <f t="shared" si="13"/>
        <v/>
      </c>
      <c r="R146" s="706" t="str">
        <f t="shared" si="12"/>
        <v/>
      </c>
      <c r="S146" s="2118"/>
      <c r="T146" s="2118"/>
      <c r="AG146" s="767"/>
      <c r="AT146" s="699"/>
      <c r="AX146" s="700"/>
    </row>
    <row r="147" spans="1:50" s="742" customFormat="1" ht="46.5" hidden="1" customHeight="1" x14ac:dyDescent="0.25">
      <c r="A147" s="250"/>
      <c r="B147" s="2134" t="s">
        <v>5620</v>
      </c>
      <c r="C147" s="2135"/>
      <c r="D147" s="2145" t="str">
        <f t="shared" ref="D147:D152" si="14">IF($B$16="","",D141)</f>
        <v/>
      </c>
      <c r="E147" s="2146"/>
      <c r="F147" s="2174" t="s">
        <v>5486</v>
      </c>
      <c r="G147" s="2174"/>
      <c r="H147" s="2174"/>
      <c r="I147" s="2174"/>
      <c r="J147" s="701">
        <v>0</v>
      </c>
      <c r="K147" s="2174" t="s">
        <v>5487</v>
      </c>
      <c r="L147" s="2174"/>
      <c r="M147" s="2174"/>
      <c r="N147" s="2174"/>
      <c r="O147" s="2174"/>
      <c r="P147" s="701">
        <v>0</v>
      </c>
      <c r="Q147" s="701">
        <f t="shared" si="13"/>
        <v>0</v>
      </c>
      <c r="R147" s="702" t="str">
        <f t="shared" si="12"/>
        <v>Baja</v>
      </c>
      <c r="S147" s="2116">
        <f>IF(Q147="","",MAX(Q147:Q152))</f>
        <v>0.5</v>
      </c>
      <c r="T147" s="2116" t="str">
        <f>IF(S147="","",IF(S147&lt;0.5,"Baja",IF(S147&lt;1,"Media",IF(S147&lt;1.5,"Alta","Muy alta"))))</f>
        <v>Media</v>
      </c>
      <c r="AG147" s="767"/>
      <c r="AT147" s="699"/>
      <c r="AX147" s="700"/>
    </row>
    <row r="148" spans="1:50" s="742" customFormat="1" ht="57" hidden="1" customHeight="1" x14ac:dyDescent="0.25">
      <c r="A148" s="250"/>
      <c r="B148" s="2136"/>
      <c r="C148" s="2137"/>
      <c r="D148" s="2119" t="str">
        <f t="shared" si="14"/>
        <v/>
      </c>
      <c r="E148" s="2120"/>
      <c r="F148" s="2173" t="s">
        <v>5488</v>
      </c>
      <c r="G148" s="2173"/>
      <c r="H148" s="2173"/>
      <c r="I148" s="2173"/>
      <c r="J148" s="703">
        <v>1</v>
      </c>
      <c r="K148" s="2173" t="s">
        <v>5487</v>
      </c>
      <c r="L148" s="2173"/>
      <c r="M148" s="2173"/>
      <c r="N148" s="2173"/>
      <c r="O148" s="2173"/>
      <c r="P148" s="703">
        <v>0</v>
      </c>
      <c r="Q148" s="703">
        <f t="shared" si="13"/>
        <v>0.5</v>
      </c>
      <c r="R148" s="704" t="str">
        <f t="shared" si="12"/>
        <v>Media</v>
      </c>
      <c r="S148" s="2117"/>
      <c r="T148" s="2117"/>
      <c r="AG148" s="767"/>
      <c r="AT148" s="699"/>
      <c r="AX148" s="700"/>
    </row>
    <row r="149" spans="1:50" s="742" customFormat="1" ht="36" hidden="1" customHeight="1" x14ac:dyDescent="0.25">
      <c r="A149" s="250"/>
      <c r="B149" s="2136"/>
      <c r="C149" s="2137"/>
      <c r="D149" s="2119" t="str">
        <f t="shared" si="14"/>
        <v/>
      </c>
      <c r="E149" s="2120"/>
      <c r="F149" s="2173" t="s">
        <v>5489</v>
      </c>
      <c r="G149" s="2173"/>
      <c r="H149" s="2173"/>
      <c r="I149" s="2173"/>
      <c r="J149" s="703">
        <v>1</v>
      </c>
      <c r="K149" s="2173" t="s">
        <v>5485</v>
      </c>
      <c r="L149" s="2173"/>
      <c r="M149" s="2173"/>
      <c r="N149" s="2173"/>
      <c r="O149" s="2173"/>
      <c r="P149" s="703">
        <v>0</v>
      </c>
      <c r="Q149" s="703">
        <f t="shared" si="13"/>
        <v>0.5</v>
      </c>
      <c r="R149" s="704" t="str">
        <f t="shared" si="12"/>
        <v>Media</v>
      </c>
      <c r="S149" s="2117"/>
      <c r="T149" s="2117"/>
      <c r="AG149" s="767"/>
      <c r="AT149" s="699"/>
      <c r="AX149" s="700"/>
    </row>
    <row r="150" spans="1:50" s="742" customFormat="1" ht="14.25" hidden="1" customHeight="1" x14ac:dyDescent="0.25">
      <c r="A150" s="250"/>
      <c r="B150" s="2136"/>
      <c r="C150" s="2137"/>
      <c r="D150" s="2119" t="str">
        <f t="shared" si="14"/>
        <v/>
      </c>
      <c r="E150" s="2120"/>
      <c r="F150" s="2173"/>
      <c r="G150" s="2173"/>
      <c r="H150" s="2173"/>
      <c r="I150" s="2173"/>
      <c r="J150" s="703"/>
      <c r="K150" s="2173"/>
      <c r="L150" s="2173"/>
      <c r="M150" s="2173"/>
      <c r="N150" s="2173"/>
      <c r="O150" s="2173"/>
      <c r="P150" s="703"/>
      <c r="Q150" s="703" t="str">
        <f t="shared" si="13"/>
        <v/>
      </c>
      <c r="R150" s="704" t="str">
        <f t="shared" si="12"/>
        <v/>
      </c>
      <c r="S150" s="2117"/>
      <c r="T150" s="2117"/>
      <c r="AG150" s="767"/>
      <c r="AT150" s="699"/>
      <c r="AX150" s="700"/>
    </row>
    <row r="151" spans="1:50" s="742" customFormat="1" ht="14.25" hidden="1" customHeight="1" x14ac:dyDescent="0.25">
      <c r="A151" s="250"/>
      <c r="B151" s="2136"/>
      <c r="C151" s="2137"/>
      <c r="D151" s="2119" t="str">
        <f t="shared" si="14"/>
        <v/>
      </c>
      <c r="E151" s="2120"/>
      <c r="F151" s="2173"/>
      <c r="G151" s="2173"/>
      <c r="H151" s="2173"/>
      <c r="I151" s="2173"/>
      <c r="J151" s="703"/>
      <c r="K151" s="2173"/>
      <c r="L151" s="2173"/>
      <c r="M151" s="2173"/>
      <c r="N151" s="2173"/>
      <c r="O151" s="2173"/>
      <c r="P151" s="703"/>
      <c r="Q151" s="703" t="str">
        <f t="shared" si="13"/>
        <v/>
      </c>
      <c r="R151" s="704" t="str">
        <f t="shared" si="12"/>
        <v/>
      </c>
      <c r="S151" s="2117"/>
      <c r="T151" s="2117"/>
      <c r="AG151" s="767"/>
      <c r="AT151" s="699"/>
      <c r="AX151" s="700"/>
    </row>
    <row r="152" spans="1:50" s="742" customFormat="1" ht="14.25" hidden="1" customHeight="1" thickBot="1" x14ac:dyDescent="0.3">
      <c r="A152" s="250"/>
      <c r="B152" s="2138"/>
      <c r="C152" s="2139"/>
      <c r="D152" s="2141" t="str">
        <f t="shared" si="14"/>
        <v/>
      </c>
      <c r="E152" s="2142"/>
      <c r="F152" s="2175"/>
      <c r="G152" s="2175"/>
      <c r="H152" s="2175"/>
      <c r="I152" s="2175"/>
      <c r="J152" s="705"/>
      <c r="K152" s="2175"/>
      <c r="L152" s="2175"/>
      <c r="M152" s="2175"/>
      <c r="N152" s="2175"/>
      <c r="O152" s="2175"/>
      <c r="P152" s="705"/>
      <c r="Q152" s="705" t="str">
        <f t="shared" si="13"/>
        <v/>
      </c>
      <c r="R152" s="706" t="str">
        <f t="shared" si="12"/>
        <v/>
      </c>
      <c r="S152" s="2118"/>
      <c r="T152" s="2118"/>
      <c r="AG152" s="767"/>
      <c r="AT152" s="699"/>
      <c r="AX152" s="700"/>
    </row>
    <row r="153" spans="1:50" s="742" customFormat="1" ht="30" hidden="1" customHeight="1" x14ac:dyDescent="0.25">
      <c r="A153" s="250"/>
      <c r="B153" s="2134" t="s">
        <v>5620</v>
      </c>
      <c r="C153" s="2135"/>
      <c r="D153" s="2145" t="str">
        <f t="shared" ref="D153:D158" si="15">IF($B$22="","",D141)</f>
        <v/>
      </c>
      <c r="E153" s="2146"/>
      <c r="F153" s="2174" t="s">
        <v>5490</v>
      </c>
      <c r="G153" s="2174"/>
      <c r="H153" s="2174"/>
      <c r="I153" s="2174"/>
      <c r="J153" s="701">
        <v>0</v>
      </c>
      <c r="K153" s="2174" t="s">
        <v>5482</v>
      </c>
      <c r="L153" s="2174"/>
      <c r="M153" s="2174"/>
      <c r="N153" s="2174"/>
      <c r="O153" s="2174"/>
      <c r="P153" s="701">
        <v>0</v>
      </c>
      <c r="Q153" s="701">
        <f t="shared" si="13"/>
        <v>0</v>
      </c>
      <c r="R153" s="702" t="str">
        <f t="shared" si="12"/>
        <v>Baja</v>
      </c>
      <c r="S153" s="2116">
        <f>IF(Q153="","",MAX(Q153:Q158))</f>
        <v>0</v>
      </c>
      <c r="T153" s="2116" t="str">
        <f>IF(S153="","",IF(S153&lt;0.5,"Baja",IF(S153&lt;1,"Media",IF(S153&lt;1.5,"Alta","Muy alta"))))</f>
        <v>Baja</v>
      </c>
      <c r="AG153" s="767"/>
      <c r="AT153" s="699"/>
      <c r="AX153" s="700"/>
    </row>
    <row r="154" spans="1:50" s="742" customFormat="1" ht="27.75" hidden="1" customHeight="1" x14ac:dyDescent="0.25">
      <c r="A154" s="250"/>
      <c r="B154" s="2136"/>
      <c r="C154" s="2137"/>
      <c r="D154" s="2119" t="str">
        <f t="shared" si="15"/>
        <v/>
      </c>
      <c r="E154" s="2120"/>
      <c r="F154" s="2173" t="s">
        <v>5491</v>
      </c>
      <c r="G154" s="2173"/>
      <c r="H154" s="2173"/>
      <c r="I154" s="2173"/>
      <c r="J154" s="703">
        <v>0</v>
      </c>
      <c r="K154" s="2173" t="s">
        <v>5482</v>
      </c>
      <c r="L154" s="2173"/>
      <c r="M154" s="2173"/>
      <c r="N154" s="2173"/>
      <c r="O154" s="2173"/>
      <c r="P154" s="703">
        <v>0</v>
      </c>
      <c r="Q154" s="703">
        <f t="shared" si="13"/>
        <v>0</v>
      </c>
      <c r="R154" s="704" t="str">
        <f t="shared" si="12"/>
        <v>Baja</v>
      </c>
      <c r="S154" s="2117"/>
      <c r="T154" s="2117"/>
      <c r="AG154" s="767"/>
      <c r="AT154" s="699"/>
      <c r="AX154" s="700"/>
    </row>
    <row r="155" spans="1:50" s="742" customFormat="1" ht="14.25" hidden="1" customHeight="1" x14ac:dyDescent="0.25">
      <c r="A155" s="250"/>
      <c r="B155" s="2136"/>
      <c r="C155" s="2137"/>
      <c r="D155" s="2119" t="str">
        <f t="shared" si="15"/>
        <v/>
      </c>
      <c r="E155" s="2120"/>
      <c r="F155" s="2173"/>
      <c r="G155" s="2173"/>
      <c r="H155" s="2173"/>
      <c r="I155" s="2173"/>
      <c r="J155" s="703"/>
      <c r="K155" s="2173"/>
      <c r="L155" s="2173"/>
      <c r="M155" s="2173"/>
      <c r="N155" s="2173"/>
      <c r="O155" s="2173"/>
      <c r="P155" s="703"/>
      <c r="Q155" s="703" t="str">
        <f t="shared" si="13"/>
        <v/>
      </c>
      <c r="R155" s="704" t="str">
        <f t="shared" si="12"/>
        <v/>
      </c>
      <c r="S155" s="2117"/>
      <c r="T155" s="2117"/>
      <c r="AG155" s="767"/>
      <c r="AT155" s="699"/>
      <c r="AX155" s="700"/>
    </row>
    <row r="156" spans="1:50" s="742" customFormat="1" ht="14.25" hidden="1" customHeight="1" x14ac:dyDescent="0.25">
      <c r="A156" s="250"/>
      <c r="B156" s="2136"/>
      <c r="C156" s="2137"/>
      <c r="D156" s="2119" t="str">
        <f t="shared" si="15"/>
        <v/>
      </c>
      <c r="E156" s="2120"/>
      <c r="F156" s="2173"/>
      <c r="G156" s="2173"/>
      <c r="H156" s="2173"/>
      <c r="I156" s="2173"/>
      <c r="J156" s="703"/>
      <c r="K156" s="2173"/>
      <c r="L156" s="2173"/>
      <c r="M156" s="2173"/>
      <c r="N156" s="2173"/>
      <c r="O156" s="2173"/>
      <c r="P156" s="703"/>
      <c r="Q156" s="703" t="str">
        <f t="shared" si="13"/>
        <v/>
      </c>
      <c r="R156" s="704" t="str">
        <f t="shared" si="12"/>
        <v/>
      </c>
      <c r="S156" s="2117"/>
      <c r="T156" s="2117"/>
      <c r="AG156" s="767"/>
      <c r="AT156" s="699"/>
      <c r="AX156" s="700"/>
    </row>
    <row r="157" spans="1:50" s="742" customFormat="1" ht="14.25" hidden="1" customHeight="1" x14ac:dyDescent="0.25">
      <c r="A157" s="250"/>
      <c r="B157" s="2136"/>
      <c r="C157" s="2137"/>
      <c r="D157" s="2119" t="str">
        <f t="shared" si="15"/>
        <v/>
      </c>
      <c r="E157" s="2120"/>
      <c r="F157" s="2173"/>
      <c r="G157" s="2173"/>
      <c r="H157" s="2173"/>
      <c r="I157" s="2173"/>
      <c r="J157" s="703"/>
      <c r="K157" s="2173"/>
      <c r="L157" s="2173"/>
      <c r="M157" s="2173"/>
      <c r="N157" s="2173"/>
      <c r="O157" s="2173"/>
      <c r="P157" s="703"/>
      <c r="Q157" s="703" t="str">
        <f t="shared" si="13"/>
        <v/>
      </c>
      <c r="R157" s="704" t="str">
        <f t="shared" si="12"/>
        <v/>
      </c>
      <c r="S157" s="2117"/>
      <c r="T157" s="2117"/>
      <c r="AG157" s="767"/>
      <c r="AT157" s="699"/>
      <c r="AX157" s="700"/>
    </row>
    <row r="158" spans="1:50" s="742" customFormat="1" ht="14.25" hidden="1" customHeight="1" thickBot="1" x14ac:dyDescent="0.3">
      <c r="A158" s="250"/>
      <c r="B158" s="2138"/>
      <c r="C158" s="2139"/>
      <c r="D158" s="2141" t="str">
        <f t="shared" si="15"/>
        <v/>
      </c>
      <c r="E158" s="2142"/>
      <c r="F158" s="2175"/>
      <c r="G158" s="2175"/>
      <c r="H158" s="2175"/>
      <c r="I158" s="2175"/>
      <c r="J158" s="705"/>
      <c r="K158" s="2175"/>
      <c r="L158" s="2175"/>
      <c r="M158" s="2175"/>
      <c r="N158" s="2175"/>
      <c r="O158" s="2175"/>
      <c r="P158" s="705"/>
      <c r="Q158" s="705" t="str">
        <f t="shared" si="13"/>
        <v/>
      </c>
      <c r="R158" s="706" t="str">
        <f t="shared" si="12"/>
        <v/>
      </c>
      <c r="S158" s="2118"/>
      <c r="T158" s="2118"/>
      <c r="AG158" s="767"/>
      <c r="AT158" s="699"/>
      <c r="AX158" s="700"/>
    </row>
    <row r="159" spans="1:50" s="742" customFormat="1" ht="14.25" hidden="1" customHeight="1" x14ac:dyDescent="0.25">
      <c r="A159" s="250"/>
      <c r="B159" s="2134" t="s">
        <v>5620</v>
      </c>
      <c r="C159" s="2135"/>
      <c r="D159" s="2145" t="str">
        <f t="shared" ref="D159:D164" si="16">IF($B$28="","",D141)</f>
        <v/>
      </c>
      <c r="E159" s="2146"/>
      <c r="F159" s="2174"/>
      <c r="G159" s="2174"/>
      <c r="H159" s="2174"/>
      <c r="I159" s="2174"/>
      <c r="J159" s="701"/>
      <c r="K159" s="2174"/>
      <c r="L159" s="2174"/>
      <c r="M159" s="2174"/>
      <c r="N159" s="2174"/>
      <c r="O159" s="2174"/>
      <c r="P159" s="701"/>
      <c r="Q159" s="701" t="str">
        <f>IF(J159="","",(J159+P159)/2)</f>
        <v/>
      </c>
      <c r="R159" s="702" t="str">
        <f t="shared" si="12"/>
        <v/>
      </c>
      <c r="S159" s="2116" t="str">
        <f>IF(Q159="","",MAX(Q159:Q164))</f>
        <v/>
      </c>
      <c r="T159" s="2116" t="str">
        <f>IF(S159="","",IF(S159&lt;0.5,"Baja",IF(S159&lt;1,"Media",IF(S159&lt;1.5,"Alta","Muy alta"))))</f>
        <v/>
      </c>
      <c r="AG159" s="767"/>
      <c r="AT159" s="699"/>
      <c r="AX159" s="700"/>
    </row>
    <row r="160" spans="1:50" s="742" customFormat="1" ht="14.25" hidden="1" customHeight="1" x14ac:dyDescent="0.25">
      <c r="A160" s="250"/>
      <c r="B160" s="2136"/>
      <c r="C160" s="2137"/>
      <c r="D160" s="2119" t="str">
        <f t="shared" si="16"/>
        <v/>
      </c>
      <c r="E160" s="2120"/>
      <c r="F160" s="2173"/>
      <c r="G160" s="2173"/>
      <c r="H160" s="2173"/>
      <c r="I160" s="2173"/>
      <c r="J160" s="703"/>
      <c r="K160" s="2173"/>
      <c r="L160" s="2173"/>
      <c r="M160" s="2173"/>
      <c r="N160" s="2173"/>
      <c r="O160" s="2173"/>
      <c r="P160" s="703"/>
      <c r="Q160" s="703" t="str">
        <f t="shared" ref="Q160:Q176" si="17">IF(J160="","",(J160+P160)/2)</f>
        <v/>
      </c>
      <c r="R160" s="704" t="str">
        <f t="shared" si="12"/>
        <v/>
      </c>
      <c r="S160" s="2117"/>
      <c r="T160" s="2117"/>
      <c r="AG160" s="767"/>
      <c r="AT160" s="699"/>
      <c r="AX160" s="700"/>
    </row>
    <row r="161" spans="1:50" s="742" customFormat="1" ht="14.25" hidden="1" customHeight="1" x14ac:dyDescent="0.25">
      <c r="A161" s="250"/>
      <c r="B161" s="2136"/>
      <c r="C161" s="2137"/>
      <c r="D161" s="2119" t="str">
        <f t="shared" si="16"/>
        <v/>
      </c>
      <c r="E161" s="2120"/>
      <c r="F161" s="2173"/>
      <c r="G161" s="2173"/>
      <c r="H161" s="2173"/>
      <c r="I161" s="2173"/>
      <c r="J161" s="703"/>
      <c r="K161" s="2173"/>
      <c r="L161" s="2173"/>
      <c r="M161" s="2173"/>
      <c r="N161" s="2173"/>
      <c r="O161" s="2173"/>
      <c r="P161" s="703"/>
      <c r="Q161" s="703" t="str">
        <f t="shared" si="17"/>
        <v/>
      </c>
      <c r="R161" s="704" t="str">
        <f t="shared" si="12"/>
        <v/>
      </c>
      <c r="S161" s="2117"/>
      <c r="T161" s="2117"/>
      <c r="AG161" s="767"/>
      <c r="AT161" s="699"/>
      <c r="AX161" s="700"/>
    </row>
    <row r="162" spans="1:50" s="742" customFormat="1" ht="14.25" hidden="1" customHeight="1" x14ac:dyDescent="0.25">
      <c r="A162" s="250"/>
      <c r="B162" s="2136"/>
      <c r="C162" s="2137"/>
      <c r="D162" s="2119" t="str">
        <f t="shared" si="16"/>
        <v/>
      </c>
      <c r="E162" s="2120"/>
      <c r="F162" s="2173"/>
      <c r="G162" s="2173"/>
      <c r="H162" s="2173"/>
      <c r="I162" s="2173"/>
      <c r="J162" s="703"/>
      <c r="K162" s="2173"/>
      <c r="L162" s="2173"/>
      <c r="M162" s="2173"/>
      <c r="N162" s="2173"/>
      <c r="O162" s="2173"/>
      <c r="P162" s="703"/>
      <c r="Q162" s="703" t="str">
        <f t="shared" si="17"/>
        <v/>
      </c>
      <c r="R162" s="704" t="str">
        <f t="shared" si="12"/>
        <v/>
      </c>
      <c r="S162" s="2117"/>
      <c r="T162" s="2117"/>
      <c r="AG162" s="767"/>
      <c r="AT162" s="699"/>
      <c r="AX162" s="700"/>
    </row>
    <row r="163" spans="1:50" s="742" customFormat="1" ht="14.25" hidden="1" customHeight="1" x14ac:dyDescent="0.25">
      <c r="A163" s="250"/>
      <c r="B163" s="2136"/>
      <c r="C163" s="2137"/>
      <c r="D163" s="2119" t="str">
        <f t="shared" si="16"/>
        <v/>
      </c>
      <c r="E163" s="2120"/>
      <c r="F163" s="2173"/>
      <c r="G163" s="2173"/>
      <c r="H163" s="2173"/>
      <c r="I163" s="2173"/>
      <c r="J163" s="703"/>
      <c r="K163" s="2173"/>
      <c r="L163" s="2173"/>
      <c r="M163" s="2173"/>
      <c r="N163" s="2173"/>
      <c r="O163" s="2173"/>
      <c r="P163" s="703"/>
      <c r="Q163" s="703" t="str">
        <f t="shared" si="17"/>
        <v/>
      </c>
      <c r="R163" s="704" t="str">
        <f t="shared" si="12"/>
        <v/>
      </c>
      <c r="S163" s="2117"/>
      <c r="T163" s="2117"/>
      <c r="AG163" s="767"/>
      <c r="AT163" s="699"/>
      <c r="AX163" s="700"/>
    </row>
    <row r="164" spans="1:50" s="742" customFormat="1" ht="14.25" hidden="1" customHeight="1" thickBot="1" x14ac:dyDescent="0.3">
      <c r="A164" s="250"/>
      <c r="B164" s="2138"/>
      <c r="C164" s="2139"/>
      <c r="D164" s="2141" t="str">
        <f t="shared" si="16"/>
        <v/>
      </c>
      <c r="E164" s="2142"/>
      <c r="F164" s="2175"/>
      <c r="G164" s="2175"/>
      <c r="H164" s="2175"/>
      <c r="I164" s="2175"/>
      <c r="J164" s="705"/>
      <c r="K164" s="2175"/>
      <c r="L164" s="2175"/>
      <c r="M164" s="2175"/>
      <c r="N164" s="2175"/>
      <c r="O164" s="2175"/>
      <c r="P164" s="705"/>
      <c r="Q164" s="705" t="str">
        <f t="shared" si="17"/>
        <v/>
      </c>
      <c r="R164" s="706" t="str">
        <f t="shared" si="12"/>
        <v/>
      </c>
      <c r="S164" s="2118"/>
      <c r="T164" s="2118"/>
      <c r="AG164" s="767"/>
      <c r="AT164" s="699"/>
      <c r="AX164" s="700"/>
    </row>
    <row r="165" spans="1:50" s="742" customFormat="1" ht="14.25" hidden="1" customHeight="1" x14ac:dyDescent="0.25">
      <c r="A165" s="250"/>
      <c r="B165" s="2134" t="s">
        <v>5620</v>
      </c>
      <c r="C165" s="2135"/>
      <c r="D165" s="2145" t="str">
        <f t="shared" ref="D165:D170" si="18">IF($B$34="","",D141)</f>
        <v/>
      </c>
      <c r="E165" s="2146"/>
      <c r="F165" s="2174"/>
      <c r="G165" s="2174"/>
      <c r="H165" s="2174"/>
      <c r="I165" s="2174"/>
      <c r="J165" s="701"/>
      <c r="K165" s="2174"/>
      <c r="L165" s="2174"/>
      <c r="M165" s="2174"/>
      <c r="N165" s="2174"/>
      <c r="O165" s="2174"/>
      <c r="P165" s="701"/>
      <c r="Q165" s="701" t="str">
        <f t="shared" si="17"/>
        <v/>
      </c>
      <c r="R165" s="702" t="str">
        <f t="shared" si="12"/>
        <v/>
      </c>
      <c r="S165" s="2116" t="str">
        <f>IF(Q165="","",MAX(Q165:Q170))</f>
        <v/>
      </c>
      <c r="T165" s="2116" t="str">
        <f>IF(S165="","",IF(S165&lt;0.5,"Baja",IF(S165&lt;1,"Media",IF(S165&lt;1.5,"Alta","Muy alta"))))</f>
        <v/>
      </c>
      <c r="AG165" s="767"/>
      <c r="AT165" s="699"/>
      <c r="AX165" s="700"/>
    </row>
    <row r="166" spans="1:50" s="742" customFormat="1" ht="14.25" hidden="1" customHeight="1" x14ac:dyDescent="0.25">
      <c r="A166" s="250"/>
      <c r="B166" s="2136"/>
      <c r="C166" s="2137"/>
      <c r="D166" s="2119" t="str">
        <f t="shared" si="18"/>
        <v/>
      </c>
      <c r="E166" s="2120"/>
      <c r="F166" s="2173"/>
      <c r="G166" s="2173"/>
      <c r="H166" s="2173"/>
      <c r="I166" s="2173"/>
      <c r="J166" s="703"/>
      <c r="K166" s="2173"/>
      <c r="L166" s="2173"/>
      <c r="M166" s="2173"/>
      <c r="N166" s="2173"/>
      <c r="O166" s="2173"/>
      <c r="P166" s="703"/>
      <c r="Q166" s="703" t="str">
        <f t="shared" si="17"/>
        <v/>
      </c>
      <c r="R166" s="704" t="str">
        <f t="shared" si="12"/>
        <v/>
      </c>
      <c r="S166" s="2117"/>
      <c r="T166" s="2117"/>
      <c r="AG166" s="767"/>
      <c r="AT166" s="699"/>
      <c r="AX166" s="700"/>
    </row>
    <row r="167" spans="1:50" s="742" customFormat="1" ht="14.25" hidden="1" customHeight="1" x14ac:dyDescent="0.25">
      <c r="A167" s="250"/>
      <c r="B167" s="2136"/>
      <c r="C167" s="2137"/>
      <c r="D167" s="2119" t="str">
        <f t="shared" si="18"/>
        <v/>
      </c>
      <c r="E167" s="2120"/>
      <c r="F167" s="2173"/>
      <c r="G167" s="2173"/>
      <c r="H167" s="2173"/>
      <c r="I167" s="2173"/>
      <c r="J167" s="703"/>
      <c r="K167" s="2173"/>
      <c r="L167" s="2173"/>
      <c r="M167" s="2173"/>
      <c r="N167" s="2173"/>
      <c r="O167" s="2173"/>
      <c r="P167" s="703"/>
      <c r="Q167" s="703" t="str">
        <f t="shared" si="17"/>
        <v/>
      </c>
      <c r="R167" s="704" t="str">
        <f t="shared" si="12"/>
        <v/>
      </c>
      <c r="S167" s="2117"/>
      <c r="T167" s="2117"/>
      <c r="AG167" s="767"/>
      <c r="AT167" s="699"/>
      <c r="AX167" s="700"/>
    </row>
    <row r="168" spans="1:50" s="742" customFormat="1" ht="14.25" hidden="1" customHeight="1" x14ac:dyDescent="0.25">
      <c r="A168" s="250"/>
      <c r="B168" s="2136"/>
      <c r="C168" s="2137"/>
      <c r="D168" s="2119" t="str">
        <f t="shared" si="18"/>
        <v/>
      </c>
      <c r="E168" s="2120"/>
      <c r="F168" s="2173"/>
      <c r="G168" s="2173"/>
      <c r="H168" s="2173"/>
      <c r="I168" s="2173"/>
      <c r="J168" s="703"/>
      <c r="K168" s="2173"/>
      <c r="L168" s="2173"/>
      <c r="M168" s="2173"/>
      <c r="N168" s="2173"/>
      <c r="O168" s="2173"/>
      <c r="P168" s="703"/>
      <c r="Q168" s="703" t="str">
        <f t="shared" si="17"/>
        <v/>
      </c>
      <c r="R168" s="704" t="str">
        <f t="shared" si="12"/>
        <v/>
      </c>
      <c r="S168" s="2117"/>
      <c r="T168" s="2117"/>
      <c r="AG168" s="767"/>
      <c r="AT168" s="699"/>
      <c r="AX168" s="700"/>
    </row>
    <row r="169" spans="1:50" s="742" customFormat="1" ht="14.25" hidden="1" customHeight="1" x14ac:dyDescent="0.25">
      <c r="A169" s="250"/>
      <c r="B169" s="2136"/>
      <c r="C169" s="2137"/>
      <c r="D169" s="2119" t="str">
        <f t="shared" si="18"/>
        <v/>
      </c>
      <c r="E169" s="2120"/>
      <c r="F169" s="2173"/>
      <c r="G169" s="2173"/>
      <c r="H169" s="2173"/>
      <c r="I169" s="2173"/>
      <c r="J169" s="703"/>
      <c r="K169" s="2173"/>
      <c r="L169" s="2173"/>
      <c r="M169" s="2173"/>
      <c r="N169" s="2173"/>
      <c r="O169" s="2173"/>
      <c r="P169" s="703"/>
      <c r="Q169" s="703" t="str">
        <f t="shared" si="17"/>
        <v/>
      </c>
      <c r="R169" s="704" t="str">
        <f t="shared" si="12"/>
        <v/>
      </c>
      <c r="S169" s="2117"/>
      <c r="T169" s="2117"/>
      <c r="AG169" s="767"/>
      <c r="AT169" s="699"/>
      <c r="AX169" s="700"/>
    </row>
    <row r="170" spans="1:50" s="742" customFormat="1" ht="14.25" hidden="1" customHeight="1" thickBot="1" x14ac:dyDescent="0.3">
      <c r="A170" s="250"/>
      <c r="B170" s="2138"/>
      <c r="C170" s="2139"/>
      <c r="D170" s="2141" t="str">
        <f t="shared" si="18"/>
        <v/>
      </c>
      <c r="E170" s="2142"/>
      <c r="F170" s="2175"/>
      <c r="G170" s="2175"/>
      <c r="H170" s="2175"/>
      <c r="I170" s="2175"/>
      <c r="J170" s="705"/>
      <c r="K170" s="2175"/>
      <c r="L170" s="2175"/>
      <c r="M170" s="2175"/>
      <c r="N170" s="2175"/>
      <c r="O170" s="2175"/>
      <c r="P170" s="705"/>
      <c r="Q170" s="705" t="str">
        <f t="shared" si="17"/>
        <v/>
      </c>
      <c r="R170" s="706" t="str">
        <f t="shared" si="12"/>
        <v/>
      </c>
      <c r="S170" s="2118"/>
      <c r="T170" s="2118"/>
      <c r="AG170" s="767"/>
      <c r="AT170" s="699"/>
      <c r="AX170" s="700"/>
    </row>
    <row r="171" spans="1:50" s="742" customFormat="1" ht="14.25" hidden="1" customHeight="1" x14ac:dyDescent="0.25">
      <c r="A171" s="250"/>
      <c r="B171" s="2134" t="s">
        <v>5620</v>
      </c>
      <c r="C171" s="2135"/>
      <c r="D171" s="2145" t="str">
        <f t="shared" ref="D171:D176" si="19">IF($B$40="","",D141)</f>
        <v/>
      </c>
      <c r="E171" s="2146"/>
      <c r="F171" s="2174"/>
      <c r="G171" s="2174"/>
      <c r="H171" s="2174"/>
      <c r="I171" s="2174"/>
      <c r="J171" s="701"/>
      <c r="K171" s="2174"/>
      <c r="L171" s="2174"/>
      <c r="M171" s="2174"/>
      <c r="N171" s="2174"/>
      <c r="O171" s="2174"/>
      <c r="P171" s="701"/>
      <c r="Q171" s="701" t="str">
        <f t="shared" si="17"/>
        <v/>
      </c>
      <c r="R171" s="702" t="str">
        <f t="shared" si="12"/>
        <v/>
      </c>
      <c r="S171" s="2116" t="str">
        <f>IF(Q171="","",MAX(Q171:Q176))</f>
        <v/>
      </c>
      <c r="T171" s="2116" t="str">
        <f>IF(S171="","",IF(S171&lt;0.5,"Baja",IF(S171&lt;1,"Media",IF(S171&lt;1.5,"Alta","Muy alta"))))</f>
        <v/>
      </c>
      <c r="AG171" s="767"/>
      <c r="AT171" s="699"/>
      <c r="AX171" s="700"/>
    </row>
    <row r="172" spans="1:50" s="742" customFormat="1" ht="14.25" hidden="1" customHeight="1" x14ac:dyDescent="0.25">
      <c r="A172" s="250"/>
      <c r="B172" s="2136"/>
      <c r="C172" s="2137"/>
      <c r="D172" s="2119" t="str">
        <f t="shared" si="19"/>
        <v/>
      </c>
      <c r="E172" s="2120"/>
      <c r="F172" s="2173"/>
      <c r="G172" s="2173"/>
      <c r="H172" s="2173"/>
      <c r="I172" s="2173"/>
      <c r="J172" s="703"/>
      <c r="K172" s="2173"/>
      <c r="L172" s="2173"/>
      <c r="M172" s="2173"/>
      <c r="N172" s="2173"/>
      <c r="O172" s="2173"/>
      <c r="P172" s="703"/>
      <c r="Q172" s="703" t="str">
        <f t="shared" si="17"/>
        <v/>
      </c>
      <c r="R172" s="704" t="str">
        <f t="shared" si="12"/>
        <v/>
      </c>
      <c r="S172" s="2117"/>
      <c r="T172" s="2117"/>
      <c r="AG172" s="767"/>
      <c r="AT172" s="699"/>
      <c r="AX172" s="700"/>
    </row>
    <row r="173" spans="1:50" s="742" customFormat="1" ht="14.25" hidden="1" customHeight="1" x14ac:dyDescent="0.25">
      <c r="A173" s="250"/>
      <c r="B173" s="2136"/>
      <c r="C173" s="2137"/>
      <c r="D173" s="2119" t="str">
        <f t="shared" si="19"/>
        <v/>
      </c>
      <c r="E173" s="2120"/>
      <c r="F173" s="2173"/>
      <c r="G173" s="2173"/>
      <c r="H173" s="2173"/>
      <c r="I173" s="2173"/>
      <c r="J173" s="703"/>
      <c r="K173" s="2173"/>
      <c r="L173" s="2173"/>
      <c r="M173" s="2173"/>
      <c r="N173" s="2173"/>
      <c r="O173" s="2173"/>
      <c r="P173" s="703"/>
      <c r="Q173" s="703" t="str">
        <f t="shared" si="17"/>
        <v/>
      </c>
      <c r="R173" s="704" t="str">
        <f t="shared" si="12"/>
        <v/>
      </c>
      <c r="S173" s="2117"/>
      <c r="T173" s="2117"/>
      <c r="AG173" s="767"/>
      <c r="AT173" s="699"/>
      <c r="AX173" s="700"/>
    </row>
    <row r="174" spans="1:50" s="742" customFormat="1" ht="14.25" hidden="1" customHeight="1" x14ac:dyDescent="0.25">
      <c r="A174" s="250"/>
      <c r="B174" s="2136"/>
      <c r="C174" s="2137"/>
      <c r="D174" s="2119" t="str">
        <f t="shared" si="19"/>
        <v/>
      </c>
      <c r="E174" s="2120"/>
      <c r="F174" s="2173"/>
      <c r="G174" s="2173"/>
      <c r="H174" s="2173"/>
      <c r="I174" s="2173"/>
      <c r="J174" s="703"/>
      <c r="K174" s="2173"/>
      <c r="L174" s="2173"/>
      <c r="M174" s="2173"/>
      <c r="N174" s="2173"/>
      <c r="O174" s="2173"/>
      <c r="P174" s="703"/>
      <c r="Q174" s="703" t="str">
        <f t="shared" si="17"/>
        <v/>
      </c>
      <c r="R174" s="704" t="str">
        <f t="shared" si="12"/>
        <v/>
      </c>
      <c r="S174" s="2117"/>
      <c r="T174" s="2117"/>
      <c r="AG174" s="767"/>
      <c r="AT174" s="699"/>
      <c r="AX174" s="700"/>
    </row>
    <row r="175" spans="1:50" s="742" customFormat="1" ht="14.25" hidden="1" customHeight="1" x14ac:dyDescent="0.25">
      <c r="A175" s="250"/>
      <c r="B175" s="2136"/>
      <c r="C175" s="2137"/>
      <c r="D175" s="2119" t="str">
        <f t="shared" si="19"/>
        <v/>
      </c>
      <c r="E175" s="2120"/>
      <c r="F175" s="2173"/>
      <c r="G175" s="2173"/>
      <c r="H175" s="2173"/>
      <c r="I175" s="2173"/>
      <c r="J175" s="703"/>
      <c r="K175" s="2173"/>
      <c r="L175" s="2173"/>
      <c r="M175" s="2173"/>
      <c r="N175" s="2173"/>
      <c r="O175" s="2173"/>
      <c r="P175" s="703"/>
      <c r="Q175" s="703" t="str">
        <f t="shared" si="17"/>
        <v/>
      </c>
      <c r="R175" s="704" t="str">
        <f t="shared" si="12"/>
        <v/>
      </c>
      <c r="S175" s="2117"/>
      <c r="T175" s="2117"/>
      <c r="AG175" s="767"/>
      <c r="AT175" s="699"/>
      <c r="AX175" s="700"/>
    </row>
    <row r="176" spans="1:50" s="742" customFormat="1" ht="14.25" hidden="1" customHeight="1" thickBot="1" x14ac:dyDescent="0.3">
      <c r="A176" s="250"/>
      <c r="B176" s="2138"/>
      <c r="C176" s="2139"/>
      <c r="D176" s="2141" t="str">
        <f t="shared" si="19"/>
        <v/>
      </c>
      <c r="E176" s="2142"/>
      <c r="F176" s="2176"/>
      <c r="G176" s="2176"/>
      <c r="H176" s="2176"/>
      <c r="I176" s="2176"/>
      <c r="J176" s="705"/>
      <c r="K176" s="2175"/>
      <c r="L176" s="2175"/>
      <c r="M176" s="2175"/>
      <c r="N176" s="2175"/>
      <c r="O176" s="2175"/>
      <c r="P176" s="705"/>
      <c r="Q176" s="705" t="str">
        <f t="shared" si="17"/>
        <v/>
      </c>
      <c r="R176" s="706" t="str">
        <f t="shared" si="12"/>
        <v/>
      </c>
      <c r="S176" s="2118"/>
      <c r="T176" s="2118"/>
      <c r="AG176" s="767"/>
      <c r="AT176" s="699"/>
      <c r="AX176" s="700"/>
    </row>
    <row r="177" spans="1:50" s="742" customFormat="1" hidden="1" x14ac:dyDescent="0.25">
      <c r="A177" s="250"/>
      <c r="B177" s="742" t="s">
        <v>5461</v>
      </c>
      <c r="E177" s="68"/>
      <c r="AG177" s="767"/>
      <c r="AT177" s="699"/>
      <c r="AX177" s="700"/>
    </row>
    <row r="178" spans="1:50" s="742" customFormat="1" hidden="1" x14ac:dyDescent="0.25">
      <c r="A178" s="250"/>
      <c r="B178" s="91"/>
      <c r="E178" s="68"/>
      <c r="AG178" s="767"/>
      <c r="AT178" s="699"/>
      <c r="AX178" s="700"/>
    </row>
    <row r="179" spans="1:50" s="742" customFormat="1" hidden="1" x14ac:dyDescent="0.25">
      <c r="A179" s="250"/>
      <c r="B179" s="91" t="s">
        <v>5492</v>
      </c>
      <c r="E179" s="68"/>
      <c r="AG179" s="767"/>
      <c r="AT179" s="699"/>
      <c r="AX179" s="700"/>
    </row>
    <row r="180" spans="1:50" s="742" customFormat="1" ht="10.5" hidden="1" customHeight="1" x14ac:dyDescent="0.25">
      <c r="A180" s="250"/>
      <c r="B180" s="91"/>
      <c r="E180" s="68"/>
      <c r="AG180" s="767"/>
      <c r="AT180" s="699"/>
      <c r="AX180" s="700"/>
    </row>
    <row r="181" spans="1:50" s="742" customFormat="1" ht="30" hidden="1" customHeight="1" x14ac:dyDescent="0.25">
      <c r="A181" s="250"/>
      <c r="B181" s="2155" t="s">
        <v>5454</v>
      </c>
      <c r="C181" s="2155"/>
      <c r="D181" s="2155" t="s">
        <v>5463</v>
      </c>
      <c r="E181" s="2155"/>
      <c r="F181" s="2155"/>
      <c r="G181" s="2155"/>
      <c r="H181" s="2155"/>
      <c r="I181" s="2155"/>
      <c r="J181" s="2155" t="s">
        <v>5464</v>
      </c>
      <c r="K181" s="2155"/>
      <c r="L181" s="2155"/>
      <c r="M181" s="2155"/>
      <c r="N181" s="2155"/>
      <c r="O181" s="2155"/>
      <c r="P181" s="2155"/>
      <c r="Q181" s="2148" t="s">
        <v>5493</v>
      </c>
      <c r="R181" s="2148"/>
      <c r="AG181" s="767"/>
      <c r="AT181" s="699"/>
      <c r="AX181" s="700"/>
    </row>
    <row r="182" spans="1:50" s="742" customFormat="1" ht="21.75" hidden="1" customHeight="1" x14ac:dyDescent="0.25">
      <c r="A182" s="250"/>
      <c r="B182" s="2155"/>
      <c r="C182" s="2155"/>
      <c r="D182" s="2149" t="s">
        <v>25</v>
      </c>
      <c r="E182" s="2149"/>
      <c r="F182" s="2149"/>
      <c r="G182" s="2149"/>
      <c r="H182" s="2149"/>
      <c r="I182" s="744" t="s">
        <v>5460</v>
      </c>
      <c r="J182" s="2149" t="s">
        <v>25</v>
      </c>
      <c r="K182" s="2149"/>
      <c r="L182" s="2149"/>
      <c r="M182" s="2149"/>
      <c r="N182" s="2149"/>
      <c r="O182" s="2149"/>
      <c r="P182" s="744" t="s">
        <v>5460</v>
      </c>
      <c r="Q182" s="743" t="s">
        <v>5034</v>
      </c>
      <c r="R182" s="743" t="s">
        <v>5418</v>
      </c>
      <c r="AG182" s="767"/>
      <c r="AT182" s="699"/>
      <c r="AX182" s="700"/>
    </row>
    <row r="183" spans="1:50" s="742" customFormat="1" ht="21.75" hidden="1" customHeight="1" x14ac:dyDescent="0.25">
      <c r="A183" s="250"/>
      <c r="B183" s="2150" t="s">
        <v>5466</v>
      </c>
      <c r="C183" s="2151"/>
      <c r="D183" s="2152"/>
      <c r="E183" s="2153"/>
      <c r="F183" s="2153"/>
      <c r="G183" s="2153"/>
      <c r="H183" s="2154"/>
      <c r="I183" s="707">
        <f>AVERAGE(I184:I207)</f>
        <v>2</v>
      </c>
      <c r="J183" s="2152"/>
      <c r="K183" s="2153"/>
      <c r="L183" s="2153"/>
      <c r="M183" s="2153"/>
      <c r="N183" s="2153"/>
      <c r="O183" s="2154"/>
      <c r="P183" s="707">
        <f>AVERAGE(P184:P207)</f>
        <v>1</v>
      </c>
      <c r="Q183" s="707">
        <f>IF(I183="","",(I183+P183)/2)</f>
        <v>1.5</v>
      </c>
      <c r="R183" s="743" t="str">
        <f>IF(Q183="","",IF(Q183&lt;0.5,"Baja",IF(Q183&lt;1,"Media",IF(Q183&lt;1.5,"Alta","Muy alta"))))</f>
        <v>Muy alta</v>
      </c>
      <c r="AG183" s="767"/>
      <c r="AT183" s="699"/>
      <c r="AX183" s="700"/>
    </row>
    <row r="184" spans="1:50" s="742" customFormat="1" ht="14.25" hidden="1" customHeight="1" x14ac:dyDescent="0.25">
      <c r="A184" s="250"/>
      <c r="B184" s="2137" t="s">
        <v>5620</v>
      </c>
      <c r="C184" s="2137"/>
      <c r="D184" s="2173" t="s">
        <v>5494</v>
      </c>
      <c r="E184" s="2173"/>
      <c r="F184" s="2173"/>
      <c r="G184" s="2173"/>
      <c r="H184" s="2173"/>
      <c r="I184" s="2177">
        <v>2</v>
      </c>
      <c r="J184" s="2173" t="s">
        <v>5495</v>
      </c>
      <c r="K184" s="2173"/>
      <c r="L184" s="2173"/>
      <c r="M184" s="2173"/>
      <c r="N184" s="2173"/>
      <c r="O184" s="2173"/>
      <c r="P184" s="2177">
        <v>1</v>
      </c>
      <c r="Q184" s="2161">
        <f>IF(I184="","",(I184+P184)/2)</f>
        <v>1.5</v>
      </c>
      <c r="R184" s="2161" t="str">
        <f>IF(Q184="","",IF(Q184&lt;0.5,"Baja",IF(Q184&lt;1,"Media",IF(Q184&lt;1.5,"Alta","Muy alta"))))</f>
        <v>Muy alta</v>
      </c>
      <c r="AG184" s="767"/>
      <c r="AT184" s="699"/>
      <c r="AX184" s="700"/>
    </row>
    <row r="185" spans="1:50" s="742" customFormat="1" ht="14.25" hidden="1" customHeight="1" x14ac:dyDescent="0.25">
      <c r="A185" s="250"/>
      <c r="B185" s="2137"/>
      <c r="C185" s="2137"/>
      <c r="D185" s="2173"/>
      <c r="E185" s="2173"/>
      <c r="F185" s="2173"/>
      <c r="G185" s="2173"/>
      <c r="H185" s="2173"/>
      <c r="I185" s="2177"/>
      <c r="J185" s="2173"/>
      <c r="K185" s="2173"/>
      <c r="L185" s="2173"/>
      <c r="M185" s="2173"/>
      <c r="N185" s="2173"/>
      <c r="O185" s="2173"/>
      <c r="P185" s="2177"/>
      <c r="Q185" s="2161"/>
      <c r="R185" s="2161"/>
      <c r="AG185" s="767"/>
      <c r="AT185" s="699"/>
      <c r="AX185" s="700"/>
    </row>
    <row r="186" spans="1:50" s="742" customFormat="1" ht="14.25" hidden="1" customHeight="1" x14ac:dyDescent="0.25">
      <c r="A186" s="250"/>
      <c r="B186" s="2137"/>
      <c r="C186" s="2137"/>
      <c r="D186" s="2173"/>
      <c r="E186" s="2173"/>
      <c r="F186" s="2173"/>
      <c r="G186" s="2173"/>
      <c r="H186" s="2173"/>
      <c r="I186" s="2177"/>
      <c r="J186" s="2173"/>
      <c r="K186" s="2173"/>
      <c r="L186" s="2173"/>
      <c r="M186" s="2173"/>
      <c r="N186" s="2173"/>
      <c r="O186" s="2173"/>
      <c r="P186" s="2177"/>
      <c r="Q186" s="2161"/>
      <c r="R186" s="2161"/>
      <c r="AG186" s="767"/>
      <c r="AT186" s="699"/>
      <c r="AX186" s="700"/>
    </row>
    <row r="187" spans="1:50" s="742" customFormat="1" ht="14.25" hidden="1" customHeight="1" x14ac:dyDescent="0.25">
      <c r="A187" s="250"/>
      <c r="B187" s="2137"/>
      <c r="C187" s="2137"/>
      <c r="D187" s="2173"/>
      <c r="E187" s="2173"/>
      <c r="F187" s="2173"/>
      <c r="G187" s="2173"/>
      <c r="H187" s="2173"/>
      <c r="I187" s="2177"/>
      <c r="J187" s="2173"/>
      <c r="K187" s="2173"/>
      <c r="L187" s="2173"/>
      <c r="M187" s="2173"/>
      <c r="N187" s="2173"/>
      <c r="O187" s="2173"/>
      <c r="P187" s="2177"/>
      <c r="Q187" s="2161"/>
      <c r="R187" s="2161"/>
      <c r="AG187" s="767"/>
      <c r="AT187" s="699"/>
      <c r="AX187" s="700"/>
    </row>
    <row r="188" spans="1:50" s="742" customFormat="1" ht="14.25" hidden="1" customHeight="1" x14ac:dyDescent="0.25">
      <c r="A188" s="250"/>
      <c r="B188" s="2137" t="s">
        <v>5620</v>
      </c>
      <c r="C188" s="2137"/>
      <c r="D188" s="2173" t="s">
        <v>5494</v>
      </c>
      <c r="E188" s="2173"/>
      <c r="F188" s="2173"/>
      <c r="G188" s="2173"/>
      <c r="H188" s="2173"/>
      <c r="I188" s="2177">
        <v>2</v>
      </c>
      <c r="J188" s="2173" t="s">
        <v>5495</v>
      </c>
      <c r="K188" s="2173"/>
      <c r="L188" s="2173"/>
      <c r="M188" s="2173"/>
      <c r="N188" s="2173"/>
      <c r="O188" s="2173"/>
      <c r="P188" s="2177">
        <v>1</v>
      </c>
      <c r="Q188" s="2161">
        <f>IF(I188="","",(I188+P188)/2)</f>
        <v>1.5</v>
      </c>
      <c r="R188" s="2161" t="str">
        <f>IF(Q188="","",IF(Q188&lt;0.5,"Baja",IF(Q188&lt;1,"Media",IF(Q188&lt;1.5,"Alta","Muy alta"))))</f>
        <v>Muy alta</v>
      </c>
      <c r="AG188" s="767"/>
      <c r="AT188" s="699"/>
      <c r="AX188" s="700"/>
    </row>
    <row r="189" spans="1:50" s="742" customFormat="1" ht="14.25" hidden="1" customHeight="1" x14ac:dyDescent="0.25">
      <c r="A189" s="250"/>
      <c r="B189" s="2137"/>
      <c r="C189" s="2137"/>
      <c r="D189" s="2173"/>
      <c r="E189" s="2173"/>
      <c r="F189" s="2173"/>
      <c r="G189" s="2173"/>
      <c r="H189" s="2173"/>
      <c r="I189" s="2177"/>
      <c r="J189" s="2173"/>
      <c r="K189" s="2173"/>
      <c r="L189" s="2173"/>
      <c r="M189" s="2173"/>
      <c r="N189" s="2173"/>
      <c r="O189" s="2173"/>
      <c r="P189" s="2177"/>
      <c r="Q189" s="2161"/>
      <c r="R189" s="2161"/>
      <c r="AG189" s="767"/>
      <c r="AT189" s="699"/>
      <c r="AX189" s="700"/>
    </row>
    <row r="190" spans="1:50" s="742" customFormat="1" ht="14.25" hidden="1" customHeight="1" x14ac:dyDescent="0.25">
      <c r="A190" s="250"/>
      <c r="B190" s="2137"/>
      <c r="C190" s="2137"/>
      <c r="D190" s="2173"/>
      <c r="E190" s="2173"/>
      <c r="F190" s="2173"/>
      <c r="G190" s="2173"/>
      <c r="H190" s="2173"/>
      <c r="I190" s="2177"/>
      <c r="J190" s="2173"/>
      <c r="K190" s="2173"/>
      <c r="L190" s="2173"/>
      <c r="M190" s="2173"/>
      <c r="N190" s="2173"/>
      <c r="O190" s="2173"/>
      <c r="P190" s="2177"/>
      <c r="Q190" s="2161"/>
      <c r="R190" s="2161"/>
      <c r="AG190" s="767"/>
      <c r="AT190" s="699"/>
      <c r="AX190" s="700"/>
    </row>
    <row r="191" spans="1:50" s="742" customFormat="1" ht="14.25" hidden="1" customHeight="1" x14ac:dyDescent="0.25">
      <c r="A191" s="250"/>
      <c r="B191" s="2137"/>
      <c r="C191" s="2137"/>
      <c r="D191" s="2173"/>
      <c r="E191" s="2173"/>
      <c r="F191" s="2173"/>
      <c r="G191" s="2173"/>
      <c r="H191" s="2173"/>
      <c r="I191" s="2177"/>
      <c r="J191" s="2173"/>
      <c r="K191" s="2173"/>
      <c r="L191" s="2173"/>
      <c r="M191" s="2173"/>
      <c r="N191" s="2173"/>
      <c r="O191" s="2173"/>
      <c r="P191" s="2177"/>
      <c r="Q191" s="2161"/>
      <c r="R191" s="2161"/>
      <c r="AG191" s="767"/>
      <c r="AT191" s="699"/>
      <c r="AX191" s="700"/>
    </row>
    <row r="192" spans="1:50" s="742" customFormat="1" ht="14.25" hidden="1" customHeight="1" x14ac:dyDescent="0.25">
      <c r="A192" s="250"/>
      <c r="B192" s="2137" t="s">
        <v>5620</v>
      </c>
      <c r="C192" s="2137"/>
      <c r="D192" s="2173" t="s">
        <v>5494</v>
      </c>
      <c r="E192" s="2173"/>
      <c r="F192" s="2173"/>
      <c r="G192" s="2173"/>
      <c r="H192" s="2173"/>
      <c r="I192" s="2177">
        <v>2</v>
      </c>
      <c r="J192" s="2173" t="s">
        <v>5496</v>
      </c>
      <c r="K192" s="2173"/>
      <c r="L192" s="2173"/>
      <c r="M192" s="2173"/>
      <c r="N192" s="2173"/>
      <c r="O192" s="2173"/>
      <c r="P192" s="2177">
        <v>1</v>
      </c>
      <c r="Q192" s="2161">
        <f>IF(I192="","",(I192+P192)/2)</f>
        <v>1.5</v>
      </c>
      <c r="R192" s="2161" t="str">
        <f>IF(Q192="","",IF(Q192&lt;0.5,"Baja",IF(Q192&lt;1,"Media",IF(Q192&lt;1.5,"Alta","Muy alta"))))</f>
        <v>Muy alta</v>
      </c>
      <c r="AG192" s="767"/>
      <c r="AT192" s="699"/>
      <c r="AX192" s="700"/>
    </row>
    <row r="193" spans="1:50" s="742" customFormat="1" ht="14.25" hidden="1" customHeight="1" x14ac:dyDescent="0.25">
      <c r="A193" s="250"/>
      <c r="B193" s="2137"/>
      <c r="C193" s="2137"/>
      <c r="D193" s="2173"/>
      <c r="E193" s="2173"/>
      <c r="F193" s="2173"/>
      <c r="G193" s="2173"/>
      <c r="H193" s="2173"/>
      <c r="I193" s="2177"/>
      <c r="J193" s="2173"/>
      <c r="K193" s="2173"/>
      <c r="L193" s="2173"/>
      <c r="M193" s="2173"/>
      <c r="N193" s="2173"/>
      <c r="O193" s="2173"/>
      <c r="P193" s="2177"/>
      <c r="Q193" s="2161"/>
      <c r="R193" s="2161"/>
      <c r="AG193" s="767"/>
      <c r="AT193" s="699"/>
      <c r="AX193" s="700"/>
    </row>
    <row r="194" spans="1:50" s="742" customFormat="1" ht="14.25" hidden="1" customHeight="1" x14ac:dyDescent="0.25">
      <c r="A194" s="250"/>
      <c r="B194" s="2137"/>
      <c r="C194" s="2137"/>
      <c r="D194" s="2173"/>
      <c r="E194" s="2173"/>
      <c r="F194" s="2173"/>
      <c r="G194" s="2173"/>
      <c r="H194" s="2173"/>
      <c r="I194" s="2177"/>
      <c r="J194" s="2173"/>
      <c r="K194" s="2173"/>
      <c r="L194" s="2173"/>
      <c r="M194" s="2173"/>
      <c r="N194" s="2173"/>
      <c r="O194" s="2173"/>
      <c r="P194" s="2177"/>
      <c r="Q194" s="2161"/>
      <c r="R194" s="2161"/>
      <c r="AG194" s="767"/>
      <c r="AT194" s="699"/>
      <c r="AX194" s="700"/>
    </row>
    <row r="195" spans="1:50" s="742" customFormat="1" ht="14.25" hidden="1" customHeight="1" x14ac:dyDescent="0.25">
      <c r="A195" s="250"/>
      <c r="B195" s="2137"/>
      <c r="C195" s="2137"/>
      <c r="D195" s="2173"/>
      <c r="E195" s="2173"/>
      <c r="F195" s="2173"/>
      <c r="G195" s="2173"/>
      <c r="H195" s="2173"/>
      <c r="I195" s="2177"/>
      <c r="J195" s="2173"/>
      <c r="K195" s="2173"/>
      <c r="L195" s="2173"/>
      <c r="M195" s="2173"/>
      <c r="N195" s="2173"/>
      <c r="O195" s="2173"/>
      <c r="P195" s="2177"/>
      <c r="Q195" s="2161"/>
      <c r="R195" s="2161"/>
      <c r="AG195" s="767"/>
      <c r="AT195" s="699"/>
      <c r="AX195" s="700"/>
    </row>
    <row r="196" spans="1:50" s="742" customFormat="1" ht="14.25" hidden="1" customHeight="1" x14ac:dyDescent="0.25">
      <c r="A196" s="250"/>
      <c r="B196" s="2137" t="s">
        <v>5620</v>
      </c>
      <c r="C196" s="2137"/>
      <c r="D196" s="2173" t="s">
        <v>5620</v>
      </c>
      <c r="E196" s="2173"/>
      <c r="F196" s="2173"/>
      <c r="G196" s="2173"/>
      <c r="H196" s="2173"/>
      <c r="I196" s="2177"/>
      <c r="J196" s="2173"/>
      <c r="K196" s="2173"/>
      <c r="L196" s="2173"/>
      <c r="M196" s="2173"/>
      <c r="N196" s="2173"/>
      <c r="O196" s="2173"/>
      <c r="P196" s="2177"/>
      <c r="Q196" s="2161" t="str">
        <f>IF(I196="","",(I196+P196)/2)</f>
        <v/>
      </c>
      <c r="R196" s="2161" t="str">
        <f>IF(Q196="","",IF(Q196&lt;0.5,"Baja",IF(Q196&lt;1,"Media",IF(Q196&lt;1.5,"Alta","Muy alta"))))</f>
        <v/>
      </c>
      <c r="AG196" s="767"/>
      <c r="AT196" s="699"/>
      <c r="AX196" s="700"/>
    </row>
    <row r="197" spans="1:50" s="742" customFormat="1" ht="14.25" hidden="1" customHeight="1" x14ac:dyDescent="0.25">
      <c r="A197" s="250"/>
      <c r="B197" s="2137"/>
      <c r="C197" s="2137"/>
      <c r="D197" s="2173" t="s">
        <v>5620</v>
      </c>
      <c r="E197" s="2173"/>
      <c r="F197" s="2173"/>
      <c r="G197" s="2173"/>
      <c r="H197" s="2173"/>
      <c r="I197" s="2177"/>
      <c r="J197" s="2173"/>
      <c r="K197" s="2173"/>
      <c r="L197" s="2173"/>
      <c r="M197" s="2173"/>
      <c r="N197" s="2173"/>
      <c r="O197" s="2173"/>
      <c r="P197" s="2177"/>
      <c r="Q197" s="2161"/>
      <c r="R197" s="2161"/>
      <c r="AG197" s="767"/>
      <c r="AT197" s="699"/>
      <c r="AX197" s="700"/>
    </row>
    <row r="198" spans="1:50" s="742" customFormat="1" ht="14.25" hidden="1" customHeight="1" x14ac:dyDescent="0.25">
      <c r="A198" s="250"/>
      <c r="B198" s="2137"/>
      <c r="C198" s="2137"/>
      <c r="D198" s="2173" t="s">
        <v>5455</v>
      </c>
      <c r="E198" s="2173"/>
      <c r="F198" s="2173"/>
      <c r="G198" s="2173"/>
      <c r="H198" s="2173"/>
      <c r="I198" s="2177"/>
      <c r="J198" s="2173"/>
      <c r="K198" s="2173"/>
      <c r="L198" s="2173"/>
      <c r="M198" s="2173"/>
      <c r="N198" s="2173"/>
      <c r="O198" s="2173"/>
      <c r="P198" s="2177"/>
      <c r="Q198" s="2161"/>
      <c r="R198" s="2161"/>
      <c r="AG198" s="767"/>
      <c r="AT198" s="699"/>
      <c r="AX198" s="700"/>
    </row>
    <row r="199" spans="1:50" s="742" customFormat="1" ht="14.25" hidden="1" customHeight="1" x14ac:dyDescent="0.25">
      <c r="A199" s="250"/>
      <c r="B199" s="2137"/>
      <c r="C199" s="2137"/>
      <c r="D199" s="2173" t="s">
        <v>5622</v>
      </c>
      <c r="E199" s="2173"/>
      <c r="F199" s="2173"/>
      <c r="G199" s="2173"/>
      <c r="H199" s="2173"/>
      <c r="I199" s="2177"/>
      <c r="J199" s="2173"/>
      <c r="K199" s="2173"/>
      <c r="L199" s="2173"/>
      <c r="M199" s="2173"/>
      <c r="N199" s="2173"/>
      <c r="O199" s="2173"/>
      <c r="P199" s="2177"/>
      <c r="Q199" s="2161"/>
      <c r="R199" s="2161"/>
      <c r="AG199" s="767"/>
      <c r="AT199" s="699"/>
      <c r="AX199" s="700"/>
    </row>
    <row r="200" spans="1:50" s="742" customFormat="1" ht="14.25" hidden="1" customHeight="1" x14ac:dyDescent="0.25">
      <c r="A200" s="250"/>
      <c r="B200" s="2137" t="s">
        <v>5620</v>
      </c>
      <c r="C200" s="2137"/>
      <c r="D200" s="2173" t="s">
        <v>5623</v>
      </c>
      <c r="E200" s="2173"/>
      <c r="F200" s="2173"/>
      <c r="G200" s="2173"/>
      <c r="H200" s="2173"/>
      <c r="I200" s="2177"/>
      <c r="J200" s="2173"/>
      <c r="K200" s="2173"/>
      <c r="L200" s="2173"/>
      <c r="M200" s="2173"/>
      <c r="N200" s="2173"/>
      <c r="O200" s="2173"/>
      <c r="P200" s="2177"/>
      <c r="Q200" s="2161" t="str">
        <f>IF(I200="","",(I200+P200)/2)</f>
        <v/>
      </c>
      <c r="R200" s="2161" t="str">
        <f>IF(Q200="","",IF(Q200&lt;0.5,"Baja",IF(Q200&lt;1,"Media",IF(Q200&lt;1.5,"Alta","Muy alta"))))</f>
        <v/>
      </c>
      <c r="AG200" s="767"/>
      <c r="AT200" s="699"/>
      <c r="AX200" s="700"/>
    </row>
    <row r="201" spans="1:50" s="742" customFormat="1" ht="14.25" hidden="1" customHeight="1" x14ac:dyDescent="0.25">
      <c r="A201" s="250"/>
      <c r="B201" s="2137"/>
      <c r="C201" s="2137"/>
      <c r="D201" s="2173" t="s">
        <v>5620</v>
      </c>
      <c r="E201" s="2173"/>
      <c r="F201" s="2173"/>
      <c r="G201" s="2173"/>
      <c r="H201" s="2173"/>
      <c r="I201" s="2177"/>
      <c r="J201" s="2173"/>
      <c r="K201" s="2173"/>
      <c r="L201" s="2173"/>
      <c r="M201" s="2173"/>
      <c r="N201" s="2173"/>
      <c r="O201" s="2173"/>
      <c r="P201" s="2177"/>
      <c r="Q201" s="2161"/>
      <c r="R201" s="2161"/>
      <c r="AG201" s="767"/>
      <c r="AT201" s="699"/>
      <c r="AX201" s="700"/>
    </row>
    <row r="202" spans="1:50" s="742" customFormat="1" ht="14.25" hidden="1" customHeight="1" x14ac:dyDescent="0.25">
      <c r="A202" s="250"/>
      <c r="B202" s="2137"/>
      <c r="C202" s="2137"/>
      <c r="D202" s="2173" t="s">
        <v>5620</v>
      </c>
      <c r="E202" s="2173"/>
      <c r="F202" s="2173"/>
      <c r="G202" s="2173"/>
      <c r="H202" s="2173"/>
      <c r="I202" s="2177"/>
      <c r="J202" s="2173"/>
      <c r="K202" s="2173"/>
      <c r="L202" s="2173"/>
      <c r="M202" s="2173"/>
      <c r="N202" s="2173"/>
      <c r="O202" s="2173"/>
      <c r="P202" s="2177"/>
      <c r="Q202" s="2161"/>
      <c r="R202" s="2161"/>
      <c r="AG202" s="767"/>
      <c r="AT202" s="699"/>
      <c r="AX202" s="700"/>
    </row>
    <row r="203" spans="1:50" s="742" customFormat="1" ht="14.25" hidden="1" customHeight="1" x14ac:dyDescent="0.25">
      <c r="A203" s="250"/>
      <c r="B203" s="2137"/>
      <c r="C203" s="2137"/>
      <c r="D203" s="2173" t="s">
        <v>5622</v>
      </c>
      <c r="E203" s="2173"/>
      <c r="F203" s="2173"/>
      <c r="G203" s="2173"/>
      <c r="H203" s="2173"/>
      <c r="I203" s="2177"/>
      <c r="J203" s="2173"/>
      <c r="K203" s="2173"/>
      <c r="L203" s="2173"/>
      <c r="M203" s="2173"/>
      <c r="N203" s="2173"/>
      <c r="O203" s="2173"/>
      <c r="P203" s="2177"/>
      <c r="Q203" s="2161"/>
      <c r="R203" s="2161"/>
      <c r="AG203" s="767"/>
      <c r="AT203" s="699"/>
      <c r="AX203" s="700"/>
    </row>
    <row r="204" spans="1:50" s="742" customFormat="1" ht="14.25" hidden="1" customHeight="1" x14ac:dyDescent="0.25">
      <c r="A204" s="250"/>
      <c r="B204" s="2137" t="s">
        <v>5620</v>
      </c>
      <c r="C204" s="2137"/>
      <c r="D204" s="2173" t="s">
        <v>5623</v>
      </c>
      <c r="E204" s="2173"/>
      <c r="F204" s="2173"/>
      <c r="G204" s="2173"/>
      <c r="H204" s="2173"/>
      <c r="I204" s="2177"/>
      <c r="J204" s="2173"/>
      <c r="K204" s="2173"/>
      <c r="L204" s="2173"/>
      <c r="M204" s="2173"/>
      <c r="N204" s="2173"/>
      <c r="O204" s="2173"/>
      <c r="P204" s="2177"/>
      <c r="Q204" s="2161" t="str">
        <f>IF(I204="","",(I204+P204)/2)</f>
        <v/>
      </c>
      <c r="R204" s="2161" t="str">
        <f>IF(Q204="","",IF(Q204&lt;0.5,"Baja",IF(Q204&lt;1,"Media",IF(Q204&lt;1.5,"Alta","Muy alta"))))</f>
        <v/>
      </c>
      <c r="AG204" s="767"/>
      <c r="AT204" s="699"/>
      <c r="AX204" s="700"/>
    </row>
    <row r="205" spans="1:50" s="742" customFormat="1" ht="14.25" hidden="1" customHeight="1" x14ac:dyDescent="0.25">
      <c r="A205" s="250"/>
      <c r="B205" s="2137"/>
      <c r="C205" s="2137"/>
      <c r="D205" s="2173" t="s">
        <v>5620</v>
      </c>
      <c r="E205" s="2173"/>
      <c r="F205" s="2173"/>
      <c r="G205" s="2173"/>
      <c r="H205" s="2173"/>
      <c r="I205" s="2177"/>
      <c r="J205" s="2173"/>
      <c r="K205" s="2173"/>
      <c r="L205" s="2173"/>
      <c r="M205" s="2173"/>
      <c r="N205" s="2173"/>
      <c r="O205" s="2173"/>
      <c r="P205" s="2177"/>
      <c r="Q205" s="2161"/>
      <c r="R205" s="2161"/>
      <c r="AG205" s="767"/>
      <c r="AT205" s="699"/>
      <c r="AX205" s="700"/>
    </row>
    <row r="206" spans="1:50" s="742" customFormat="1" ht="14.25" hidden="1" customHeight="1" x14ac:dyDescent="0.25">
      <c r="A206" s="250"/>
      <c r="B206" s="2137"/>
      <c r="C206" s="2137"/>
      <c r="D206" s="2173" t="s">
        <v>5620</v>
      </c>
      <c r="E206" s="2173"/>
      <c r="F206" s="2173"/>
      <c r="G206" s="2173"/>
      <c r="H206" s="2173"/>
      <c r="I206" s="2177"/>
      <c r="J206" s="2173"/>
      <c r="K206" s="2173"/>
      <c r="L206" s="2173"/>
      <c r="M206" s="2173"/>
      <c r="N206" s="2173"/>
      <c r="O206" s="2173"/>
      <c r="P206" s="2177"/>
      <c r="Q206" s="2161"/>
      <c r="R206" s="2161"/>
      <c r="AG206" s="767"/>
      <c r="AT206" s="699"/>
      <c r="AX206" s="700"/>
    </row>
    <row r="207" spans="1:50" s="742" customFormat="1" ht="14.25" hidden="1" customHeight="1" x14ac:dyDescent="0.25">
      <c r="A207" s="250"/>
      <c r="B207" s="2137"/>
      <c r="C207" s="2137"/>
      <c r="D207" s="2173" t="s">
        <v>5622</v>
      </c>
      <c r="E207" s="2173"/>
      <c r="F207" s="2173"/>
      <c r="G207" s="2173"/>
      <c r="H207" s="2173"/>
      <c r="I207" s="2177"/>
      <c r="J207" s="2173"/>
      <c r="K207" s="2173"/>
      <c r="L207" s="2173"/>
      <c r="M207" s="2173"/>
      <c r="N207" s="2173"/>
      <c r="O207" s="2173"/>
      <c r="P207" s="2177"/>
      <c r="Q207" s="2161"/>
      <c r="R207" s="2161"/>
      <c r="AG207" s="767"/>
      <c r="AT207" s="699"/>
      <c r="AX207" s="700"/>
    </row>
    <row r="208" spans="1:50" s="742" customFormat="1" hidden="1" x14ac:dyDescent="0.25">
      <c r="A208" s="250"/>
      <c r="B208" s="742" t="s">
        <v>5461</v>
      </c>
      <c r="E208" s="68"/>
      <c r="AG208" s="767"/>
      <c r="AT208" s="699"/>
      <c r="AX208" s="700"/>
    </row>
    <row r="209" spans="2:9" hidden="1" x14ac:dyDescent="0.25"/>
    <row r="210" spans="2:9" s="708" customFormat="1" ht="12.75" hidden="1" x14ac:dyDescent="0.2">
      <c r="B210" s="91" t="s">
        <v>5497</v>
      </c>
    </row>
    <row r="211" spans="2:9" s="708" customFormat="1" ht="12.75" hidden="1" x14ac:dyDescent="0.2"/>
    <row r="212" spans="2:9" s="708" customFormat="1" ht="12.75" hidden="1" x14ac:dyDescent="0.2">
      <c r="B212" s="2163" t="s">
        <v>5468</v>
      </c>
      <c r="C212" s="2163"/>
      <c r="D212" s="2163"/>
      <c r="E212" s="2163"/>
      <c r="F212" s="2163"/>
      <c r="G212" s="2163"/>
      <c r="H212" s="2163"/>
      <c r="I212" s="2163"/>
    </row>
    <row r="213" spans="2:9" s="708" customFormat="1" ht="12.75" hidden="1" x14ac:dyDescent="0.2">
      <c r="B213" s="2163"/>
      <c r="C213" s="2163"/>
      <c r="D213" s="2163"/>
      <c r="E213" s="2163"/>
      <c r="F213" s="2163"/>
      <c r="G213" s="2163"/>
      <c r="H213" s="2163"/>
      <c r="I213" s="2163"/>
    </row>
    <row r="214" spans="2:9" s="708" customFormat="1" ht="12.75" hidden="1" x14ac:dyDescent="0.2">
      <c r="B214" s="2163"/>
      <c r="C214" s="2163"/>
      <c r="D214" s="2163"/>
      <c r="E214" s="2163"/>
      <c r="F214" s="2163"/>
      <c r="G214" s="2163"/>
      <c r="H214" s="2163"/>
      <c r="I214" s="2163"/>
    </row>
    <row r="215" spans="2:9" s="708" customFormat="1" ht="13.5" hidden="1" thickBot="1" x14ac:dyDescent="0.25"/>
    <row r="216" spans="2:9" s="708" customFormat="1" ht="13.5" hidden="1" thickBot="1" x14ac:dyDescent="0.25">
      <c r="D216" s="709" t="s">
        <v>5420</v>
      </c>
      <c r="E216" s="709" t="s">
        <v>5422</v>
      </c>
      <c r="F216" s="709" t="s">
        <v>5130</v>
      </c>
      <c r="G216" s="709" t="s">
        <v>5425</v>
      </c>
    </row>
    <row r="217" spans="2:9" s="708" customFormat="1" ht="13.5" hidden="1" thickBot="1" x14ac:dyDescent="0.25">
      <c r="C217" s="709" t="s">
        <v>5420</v>
      </c>
      <c r="D217" s="710" t="s">
        <v>5130</v>
      </c>
      <c r="E217" s="711" t="s">
        <v>5422</v>
      </c>
      <c r="F217" s="712" t="s">
        <v>5420</v>
      </c>
      <c r="G217" s="712" t="s">
        <v>5420</v>
      </c>
    </row>
    <row r="218" spans="2:9" s="708" customFormat="1" ht="13.5" hidden="1" thickBot="1" x14ac:dyDescent="0.25">
      <c r="C218" s="713" t="s">
        <v>5422</v>
      </c>
      <c r="D218" s="714" t="s">
        <v>5130</v>
      </c>
      <c r="E218" s="715" t="s">
        <v>5422</v>
      </c>
      <c r="F218" s="715" t="s">
        <v>5422</v>
      </c>
      <c r="G218" s="716" t="s">
        <v>5420</v>
      </c>
    </row>
    <row r="219" spans="2:9" s="708" customFormat="1" ht="13.5" hidden="1" thickBot="1" x14ac:dyDescent="0.25">
      <c r="C219" s="713" t="s">
        <v>5130</v>
      </c>
      <c r="D219" s="717" t="s">
        <v>5425</v>
      </c>
      <c r="E219" s="714" t="s">
        <v>5130</v>
      </c>
      <c r="F219" s="715" t="s">
        <v>5422</v>
      </c>
      <c r="G219" s="715" t="s">
        <v>5422</v>
      </c>
    </row>
    <row r="220" spans="2:9" s="708" customFormat="1" ht="13.5" hidden="1" thickBot="1" x14ac:dyDescent="0.25">
      <c r="C220" s="713" t="s">
        <v>5425</v>
      </c>
      <c r="D220" s="717" t="s">
        <v>5425</v>
      </c>
      <c r="E220" s="717" t="s">
        <v>5425</v>
      </c>
      <c r="F220" s="714" t="s">
        <v>5130</v>
      </c>
      <c r="G220" s="714" t="s">
        <v>5130</v>
      </c>
    </row>
    <row r="221" spans="2:9" s="708" customFormat="1" ht="13.5" hidden="1" thickBot="1" x14ac:dyDescent="0.25">
      <c r="C221" s="718"/>
      <c r="D221" s="719" t="s">
        <v>5420</v>
      </c>
      <c r="E221" s="719" t="s">
        <v>5422</v>
      </c>
      <c r="F221" s="719" t="s">
        <v>5130</v>
      </c>
      <c r="G221" s="719" t="s">
        <v>5425</v>
      </c>
    </row>
    <row r="222" spans="2:9" s="708" customFormat="1" ht="12.75" hidden="1" x14ac:dyDescent="0.2"/>
    <row r="223" spans="2:9" s="708" customFormat="1" ht="12.75" hidden="1" x14ac:dyDescent="0.2"/>
    <row r="224" spans="2:9" hidden="1" x14ac:dyDescent="0.25"/>
    <row r="225" spans="2:9" hidden="1" x14ac:dyDescent="0.25">
      <c r="B225" s="373" t="s">
        <v>5498</v>
      </c>
    </row>
    <row r="226" spans="2:9" hidden="1" x14ac:dyDescent="0.25"/>
    <row r="227" spans="2:9" hidden="1" x14ac:dyDescent="0.25">
      <c r="B227" s="2164" t="s">
        <v>27</v>
      </c>
      <c r="C227" s="2164"/>
      <c r="D227" s="2164" t="s">
        <v>5470</v>
      </c>
      <c r="E227" s="2164"/>
      <c r="F227" s="2164" t="s">
        <v>5471</v>
      </c>
      <c r="G227" s="2164"/>
      <c r="H227" s="2164" t="s">
        <v>4782</v>
      </c>
      <c r="I227" s="2164"/>
    </row>
    <row r="228" spans="2:9" hidden="1" x14ac:dyDescent="0.25">
      <c r="B228" s="2164"/>
      <c r="C228" s="2164"/>
      <c r="D228" s="2164"/>
      <c r="E228" s="2164"/>
      <c r="F228" s="2164"/>
      <c r="G228" s="2164"/>
      <c r="H228" s="2164"/>
      <c r="I228" s="2164"/>
    </row>
    <row r="229" spans="2:9" hidden="1" x14ac:dyDescent="0.25">
      <c r="B229" s="2119" t="str">
        <f>B141</f>
        <v/>
      </c>
      <c r="C229" s="2120"/>
      <c r="D229" s="2165" t="str">
        <f>T141</f>
        <v>Media</v>
      </c>
      <c r="E229" s="2166"/>
      <c r="F229" s="2165" t="str">
        <f>R184</f>
        <v>Muy alta</v>
      </c>
      <c r="G229" s="2166"/>
      <c r="H229" s="2165" t="str">
        <f t="shared" ref="H229:H234" si="20">IF(D229="","",VLOOKUP(D229,$C$85:$G$89,MATCH(F229,$C$85:$G$85,0),FALSE))</f>
        <v>Baja</v>
      </c>
      <c r="I229" s="2166"/>
    </row>
    <row r="230" spans="2:9" hidden="1" x14ac:dyDescent="0.25">
      <c r="B230" s="2119" t="str">
        <f>B147</f>
        <v/>
      </c>
      <c r="C230" s="2120"/>
      <c r="D230" s="2165" t="str">
        <f>T147</f>
        <v>Media</v>
      </c>
      <c r="E230" s="2166"/>
      <c r="F230" s="2165" t="str">
        <f>R188</f>
        <v>Muy alta</v>
      </c>
      <c r="G230" s="2166"/>
      <c r="H230" s="2165" t="str">
        <f t="shared" si="20"/>
        <v>Baja</v>
      </c>
      <c r="I230" s="2166"/>
    </row>
    <row r="231" spans="2:9" hidden="1" x14ac:dyDescent="0.25">
      <c r="B231" s="2119" t="str">
        <f>B153</f>
        <v/>
      </c>
      <c r="C231" s="2120"/>
      <c r="D231" s="2165" t="str">
        <f>T153</f>
        <v>Baja</v>
      </c>
      <c r="E231" s="2166"/>
      <c r="F231" s="2165" t="str">
        <f>R192</f>
        <v>Muy alta</v>
      </c>
      <c r="G231" s="2166"/>
      <c r="H231" s="2165" t="str">
        <f t="shared" si="20"/>
        <v>Baja</v>
      </c>
      <c r="I231" s="2166"/>
    </row>
    <row r="232" spans="2:9" hidden="1" x14ac:dyDescent="0.25">
      <c r="B232" s="2119" t="str">
        <f>B159</f>
        <v/>
      </c>
      <c r="C232" s="2120"/>
      <c r="D232" s="2165" t="str">
        <f>T159</f>
        <v/>
      </c>
      <c r="E232" s="2166"/>
      <c r="F232" s="2165" t="str">
        <f>R196</f>
        <v/>
      </c>
      <c r="G232" s="2166"/>
      <c r="H232" s="2165" t="str">
        <f t="shared" si="20"/>
        <v/>
      </c>
      <c r="I232" s="2166"/>
    </row>
    <row r="233" spans="2:9" hidden="1" x14ac:dyDescent="0.25">
      <c r="B233" s="2119" t="str">
        <f>B165</f>
        <v/>
      </c>
      <c r="C233" s="2120"/>
      <c r="D233" s="2165" t="str">
        <f>T165</f>
        <v/>
      </c>
      <c r="E233" s="2166"/>
      <c r="F233" s="2165" t="str">
        <f>R200</f>
        <v/>
      </c>
      <c r="G233" s="2166"/>
      <c r="H233" s="2165" t="str">
        <f t="shared" si="20"/>
        <v/>
      </c>
      <c r="I233" s="2166"/>
    </row>
    <row r="234" spans="2:9" hidden="1" x14ac:dyDescent="0.25">
      <c r="B234" s="2119" t="str">
        <f>B171</f>
        <v/>
      </c>
      <c r="C234" s="2120"/>
      <c r="D234" s="2165" t="str">
        <f>T171</f>
        <v/>
      </c>
      <c r="E234" s="2166"/>
      <c r="F234" s="2165" t="str">
        <f>R204</f>
        <v/>
      </c>
      <c r="G234" s="2166"/>
      <c r="H234" s="2165" t="str">
        <f t="shared" si="20"/>
        <v/>
      </c>
      <c r="I234" s="2166"/>
    </row>
    <row r="235" spans="2:9" hidden="1" x14ac:dyDescent="0.25"/>
    <row r="236" spans="2:9" hidden="1" x14ac:dyDescent="0.25"/>
    <row r="237" spans="2:9" hidden="1" x14ac:dyDescent="0.25">
      <c r="B237" s="322" t="s">
        <v>5499</v>
      </c>
    </row>
    <row r="238" spans="2:9" hidden="1" x14ac:dyDescent="0.25"/>
    <row r="239" spans="2:9" hidden="1" x14ac:dyDescent="0.25">
      <c r="B239" s="2169" t="s">
        <v>5473</v>
      </c>
      <c r="C239" s="2169"/>
      <c r="D239" s="2169"/>
      <c r="E239" s="2169"/>
      <c r="F239" s="2169"/>
      <c r="G239" s="2169"/>
      <c r="H239" s="2169"/>
      <c r="I239" s="2169"/>
    </row>
    <row r="240" spans="2:9" hidden="1" x14ac:dyDescent="0.25">
      <c r="B240" s="2169"/>
      <c r="C240" s="2169"/>
      <c r="D240" s="2169"/>
      <c r="E240" s="2169"/>
      <c r="F240" s="2169"/>
      <c r="G240" s="2169"/>
      <c r="H240" s="2169"/>
      <c r="I240" s="2169"/>
    </row>
    <row r="241" spans="2:9" hidden="1" x14ac:dyDescent="0.25">
      <c r="B241" s="2169"/>
      <c r="C241" s="2169"/>
      <c r="D241" s="2169"/>
      <c r="E241" s="2169"/>
      <c r="F241" s="2169"/>
      <c r="G241" s="2169"/>
      <c r="H241" s="2169"/>
      <c r="I241" s="2169"/>
    </row>
    <row r="242" spans="2:9" hidden="1" x14ac:dyDescent="0.25"/>
    <row r="243" spans="2:9" hidden="1" x14ac:dyDescent="0.25">
      <c r="B243" s="322" t="s">
        <v>5500</v>
      </c>
    </row>
    <row r="244" spans="2:9" ht="15.75" hidden="1" thickBot="1" x14ac:dyDescent="0.3"/>
    <row r="245" spans="2:9" ht="15.75" hidden="1" thickBot="1" x14ac:dyDescent="0.3">
      <c r="D245" s="709" t="s">
        <v>5425</v>
      </c>
      <c r="E245" s="709" t="s">
        <v>5130</v>
      </c>
      <c r="F245" s="709" t="s">
        <v>5422</v>
      </c>
      <c r="G245" s="709" t="s">
        <v>5420</v>
      </c>
    </row>
    <row r="246" spans="2:9" ht="15.75" hidden="1" thickBot="1" x14ac:dyDescent="0.3">
      <c r="C246" s="720" t="s">
        <v>5420</v>
      </c>
      <c r="D246" s="710" t="s">
        <v>5130</v>
      </c>
      <c r="E246" s="711" t="s">
        <v>5422</v>
      </c>
      <c r="F246" s="712" t="s">
        <v>5420</v>
      </c>
      <c r="G246" s="712" t="s">
        <v>5420</v>
      </c>
    </row>
    <row r="247" spans="2:9" ht="15.75" hidden="1" thickBot="1" x14ac:dyDescent="0.3">
      <c r="C247" s="721" t="s">
        <v>5422</v>
      </c>
      <c r="D247" s="714" t="s">
        <v>5130</v>
      </c>
      <c r="E247" s="715" t="s">
        <v>5422</v>
      </c>
      <c r="F247" s="715" t="s">
        <v>5422</v>
      </c>
      <c r="G247" s="716" t="s">
        <v>5420</v>
      </c>
    </row>
    <row r="248" spans="2:9" ht="15.75" hidden="1" thickBot="1" x14ac:dyDescent="0.3">
      <c r="C248" s="721" t="s">
        <v>5130</v>
      </c>
      <c r="D248" s="717" t="s">
        <v>5425</v>
      </c>
      <c r="E248" s="714" t="s">
        <v>5130</v>
      </c>
      <c r="F248" s="715" t="s">
        <v>5422</v>
      </c>
      <c r="G248" s="715" t="s">
        <v>5422</v>
      </c>
    </row>
    <row r="249" spans="2:9" ht="15.75" hidden="1" thickBot="1" x14ac:dyDescent="0.3">
      <c r="C249" s="721" t="s">
        <v>5425</v>
      </c>
      <c r="D249" s="717" t="s">
        <v>5425</v>
      </c>
      <c r="E249" s="717" t="s">
        <v>5425</v>
      </c>
      <c r="F249" s="714" t="s">
        <v>5130</v>
      </c>
      <c r="G249" s="714" t="s">
        <v>5130</v>
      </c>
    </row>
    <row r="250" spans="2:9" ht="15.75" hidden="1" thickBot="1" x14ac:dyDescent="0.3">
      <c r="C250" s="722"/>
      <c r="D250" s="723" t="s">
        <v>433</v>
      </c>
      <c r="E250" s="723" t="s">
        <v>434</v>
      </c>
      <c r="F250" s="723" t="s">
        <v>435</v>
      </c>
      <c r="G250" s="723" t="s">
        <v>432</v>
      </c>
    </row>
    <row r="251" spans="2:9" hidden="1" x14ac:dyDescent="0.25"/>
    <row r="252" spans="2:9" hidden="1" x14ac:dyDescent="0.25"/>
    <row r="253" spans="2:9" hidden="1" x14ac:dyDescent="0.25"/>
    <row r="254" spans="2:9" hidden="1" x14ac:dyDescent="0.25">
      <c r="B254" s="2164" t="s">
        <v>27</v>
      </c>
      <c r="C254" s="2164"/>
      <c r="D254" s="2164" t="s">
        <v>5501</v>
      </c>
      <c r="E254" s="2164"/>
      <c r="F254" s="2164" t="s">
        <v>5502</v>
      </c>
      <c r="G254" s="2164"/>
      <c r="H254" s="2164" t="s">
        <v>5475</v>
      </c>
      <c r="I254" s="2164"/>
    </row>
    <row r="255" spans="2:9" hidden="1" x14ac:dyDescent="0.25">
      <c r="B255" s="2164"/>
      <c r="C255" s="2164"/>
      <c r="D255" s="2164"/>
      <c r="E255" s="2164"/>
      <c r="F255" s="2164"/>
      <c r="G255" s="2164"/>
      <c r="H255" s="2164"/>
      <c r="I255" s="2164"/>
    </row>
    <row r="256" spans="2:9" hidden="1" x14ac:dyDescent="0.25">
      <c r="B256" s="2119" t="str">
        <f t="shared" ref="B256:B261" si="21">B229</f>
        <v/>
      </c>
      <c r="C256" s="2120"/>
      <c r="D256" s="2165" t="s">
        <v>5620</v>
      </c>
      <c r="E256" s="2166"/>
      <c r="F256" s="2165" t="str">
        <f t="shared" ref="F256:F261" si="22">IF(H229="","",H229)</f>
        <v>Baja</v>
      </c>
      <c r="G256" s="2166"/>
      <c r="H256" s="2165" t="str">
        <f t="shared" ref="H256:H261" si="23">IF(D256="","",VLOOKUP(D256,$C$114:$G$118,MATCH(F256,$C$114:$G$114,0),FALSE))</f>
        <v/>
      </c>
      <c r="I256" s="2166"/>
    </row>
    <row r="257" spans="1:50" hidden="1" x14ac:dyDescent="0.25">
      <c r="B257" s="2119" t="str">
        <f t="shared" si="21"/>
        <v/>
      </c>
      <c r="C257" s="2120"/>
      <c r="D257" s="2165" t="s">
        <v>5620</v>
      </c>
      <c r="E257" s="2166"/>
      <c r="F257" s="2165" t="str">
        <f t="shared" si="22"/>
        <v>Baja</v>
      </c>
      <c r="G257" s="2166"/>
      <c r="H257" s="2165" t="str">
        <f t="shared" si="23"/>
        <v/>
      </c>
      <c r="I257" s="2166"/>
    </row>
    <row r="258" spans="1:50" hidden="1" x14ac:dyDescent="0.25">
      <c r="B258" s="2119" t="str">
        <f t="shared" si="21"/>
        <v/>
      </c>
      <c r="C258" s="2120"/>
      <c r="D258" s="2165" t="s">
        <v>5620</v>
      </c>
      <c r="E258" s="2166"/>
      <c r="F258" s="2165" t="str">
        <f t="shared" si="22"/>
        <v>Baja</v>
      </c>
      <c r="G258" s="2166"/>
      <c r="H258" s="2165" t="str">
        <f t="shared" si="23"/>
        <v/>
      </c>
      <c r="I258" s="2166"/>
    </row>
    <row r="259" spans="1:50" hidden="1" x14ac:dyDescent="0.25">
      <c r="B259" s="2119" t="str">
        <f t="shared" si="21"/>
        <v/>
      </c>
      <c r="C259" s="2120"/>
      <c r="D259" s="2165" t="s">
        <v>5620</v>
      </c>
      <c r="E259" s="2166"/>
      <c r="F259" s="2165" t="str">
        <f t="shared" si="22"/>
        <v/>
      </c>
      <c r="G259" s="2166"/>
      <c r="H259" s="2165" t="str">
        <f t="shared" si="23"/>
        <v/>
      </c>
      <c r="I259" s="2166"/>
    </row>
    <row r="260" spans="1:50" hidden="1" x14ac:dyDescent="0.25">
      <c r="B260" s="2119" t="str">
        <f t="shared" si="21"/>
        <v/>
      </c>
      <c r="C260" s="2120"/>
      <c r="D260" s="2165" t="s">
        <v>5620</v>
      </c>
      <c r="E260" s="2166"/>
      <c r="F260" s="2165" t="str">
        <f t="shared" si="22"/>
        <v/>
      </c>
      <c r="G260" s="2166"/>
      <c r="H260" s="2165" t="str">
        <f t="shared" si="23"/>
        <v/>
      </c>
      <c r="I260" s="2166"/>
    </row>
    <row r="261" spans="1:50" hidden="1" x14ac:dyDescent="0.25">
      <c r="B261" s="2119" t="str">
        <f t="shared" si="21"/>
        <v/>
      </c>
      <c r="C261" s="2120"/>
      <c r="D261" s="2165" t="s">
        <v>5620</v>
      </c>
      <c r="E261" s="2166"/>
      <c r="F261" s="2165" t="str">
        <f t="shared" si="22"/>
        <v/>
      </c>
      <c r="G261" s="2166"/>
      <c r="H261" s="2165" t="str">
        <f t="shared" si="23"/>
        <v/>
      </c>
      <c r="I261" s="2166"/>
    </row>
    <row r="262" spans="1:50" hidden="1" x14ac:dyDescent="0.25"/>
    <row r="263" spans="1:50" hidden="1" x14ac:dyDescent="0.25">
      <c r="B263" s="766" t="s">
        <v>5476</v>
      </c>
    </row>
    <row r="264" spans="1:50" ht="7.5" hidden="1" customHeight="1" x14ac:dyDescent="0.25"/>
    <row r="265" spans="1:50" hidden="1" x14ac:dyDescent="0.25">
      <c r="B265" s="766" t="s">
        <v>5477</v>
      </c>
    </row>
    <row r="266" spans="1:50" hidden="1" x14ac:dyDescent="0.25"/>
    <row r="267" spans="1:50" s="742" customFormat="1" hidden="1" x14ac:dyDescent="0.25">
      <c r="A267" s="250"/>
      <c r="B267" s="91" t="s">
        <v>5478</v>
      </c>
      <c r="E267" s="68"/>
      <c r="AG267" s="767"/>
      <c r="AT267" s="699"/>
      <c r="AX267" s="700"/>
    </row>
    <row r="268" spans="1:50" s="742" customFormat="1" ht="10.5" hidden="1" customHeight="1" thickBot="1" x14ac:dyDescent="0.3">
      <c r="A268" s="250"/>
      <c r="B268" s="91"/>
      <c r="E268" s="68"/>
      <c r="AG268" s="767"/>
      <c r="AT268" s="699"/>
      <c r="AX268" s="700"/>
    </row>
    <row r="269" spans="1:50" s="742" customFormat="1" ht="30" hidden="1" customHeight="1" x14ac:dyDescent="0.25">
      <c r="A269" s="250"/>
      <c r="B269" s="2122" t="s">
        <v>5454</v>
      </c>
      <c r="C269" s="2123"/>
      <c r="D269" s="2170" t="s">
        <v>5479</v>
      </c>
      <c r="E269" s="2170"/>
      <c r="F269" s="2123" t="s">
        <v>5456</v>
      </c>
      <c r="G269" s="2123"/>
      <c r="H269" s="2123"/>
      <c r="I269" s="2123"/>
      <c r="J269" s="2123"/>
      <c r="K269" s="2123" t="s">
        <v>5457</v>
      </c>
      <c r="L269" s="2123"/>
      <c r="M269" s="2123"/>
      <c r="N269" s="2123"/>
      <c r="O269" s="2123"/>
      <c r="P269" s="2123"/>
      <c r="Q269" s="2126" t="s">
        <v>5458</v>
      </c>
      <c r="R269" s="2127"/>
      <c r="S269" s="2128" t="s">
        <v>5480</v>
      </c>
      <c r="T269" s="2129"/>
      <c r="AG269" s="767"/>
      <c r="AT269" s="699"/>
      <c r="AX269" s="700"/>
    </row>
    <row r="270" spans="1:50" s="742" customFormat="1" ht="21.75" hidden="1" customHeight="1" thickBot="1" x14ac:dyDescent="0.3">
      <c r="A270" s="250"/>
      <c r="B270" s="2124"/>
      <c r="C270" s="2125"/>
      <c r="D270" s="2171"/>
      <c r="E270" s="2171"/>
      <c r="F270" s="2130" t="s">
        <v>25</v>
      </c>
      <c r="G270" s="2131"/>
      <c r="H270" s="2131"/>
      <c r="I270" s="2132"/>
      <c r="J270" s="745" t="s">
        <v>5460</v>
      </c>
      <c r="K270" s="2130" t="s">
        <v>25</v>
      </c>
      <c r="L270" s="2131"/>
      <c r="M270" s="2131"/>
      <c r="N270" s="2131"/>
      <c r="O270" s="2132"/>
      <c r="P270" s="745" t="s">
        <v>5460</v>
      </c>
      <c r="Q270" s="743" t="s">
        <v>5034</v>
      </c>
      <c r="R270" s="743" t="s">
        <v>5418</v>
      </c>
      <c r="S270" s="743" t="s">
        <v>5460</v>
      </c>
      <c r="T270" s="743" t="s">
        <v>5418</v>
      </c>
      <c r="AG270" s="767"/>
      <c r="AT270" s="699"/>
      <c r="AX270" s="700"/>
    </row>
    <row r="271" spans="1:50" s="742" customFormat="1" ht="36" hidden="1" customHeight="1" x14ac:dyDescent="0.25">
      <c r="A271" s="250"/>
      <c r="B271" s="2134" t="s">
        <v>5620</v>
      </c>
      <c r="C271" s="2135"/>
      <c r="D271" s="2119" t="s">
        <v>5620</v>
      </c>
      <c r="E271" s="2120"/>
      <c r="F271" s="2174" t="s">
        <v>5481</v>
      </c>
      <c r="G271" s="2174"/>
      <c r="H271" s="2174"/>
      <c r="I271" s="2174"/>
      <c r="J271" s="701">
        <v>0</v>
      </c>
      <c r="K271" s="2174" t="s">
        <v>5482</v>
      </c>
      <c r="L271" s="2174"/>
      <c r="M271" s="2174"/>
      <c r="N271" s="2174"/>
      <c r="O271" s="2174"/>
      <c r="P271" s="701">
        <v>0</v>
      </c>
      <c r="Q271" s="701">
        <f>IF(J271="","",(J271+P271)/2)</f>
        <v>0</v>
      </c>
      <c r="R271" s="702" t="str">
        <f>IF(Q271="","",IF(Q271&lt;0.5,"Baja",IF(Q271&lt;1,"Media",IF(Q271&lt;1.5,"Alta","Muy alta"))))</f>
        <v>Baja</v>
      </c>
      <c r="S271" s="2116">
        <f>IF(Q271="","",MAX(Q271:Q276))</f>
        <v>0.5</v>
      </c>
      <c r="T271" s="2116" t="str">
        <f>IF(S271="","",IF(S271&lt;0.5,"Baja",IF(S271&lt;1,"Media",IF(S271&lt;1.5,"Alta","Muy alta"))))</f>
        <v>Media</v>
      </c>
      <c r="AG271" s="767"/>
      <c r="AT271" s="699"/>
      <c r="AX271" s="700"/>
    </row>
    <row r="272" spans="1:50" s="742" customFormat="1" ht="29.25" hidden="1" customHeight="1" x14ac:dyDescent="0.25">
      <c r="A272" s="250"/>
      <c r="B272" s="2136"/>
      <c r="C272" s="2137"/>
      <c r="D272" s="2119" t="s">
        <v>5620</v>
      </c>
      <c r="E272" s="2120"/>
      <c r="F272" s="2173" t="s">
        <v>5483</v>
      </c>
      <c r="G272" s="2173"/>
      <c r="H272" s="2173"/>
      <c r="I272" s="2173"/>
      <c r="J272" s="703">
        <v>1</v>
      </c>
      <c r="K272" s="2173" t="s">
        <v>5482</v>
      </c>
      <c r="L272" s="2173"/>
      <c r="M272" s="2173"/>
      <c r="N272" s="2173"/>
      <c r="O272" s="2173"/>
      <c r="P272" s="703">
        <v>0</v>
      </c>
      <c r="Q272" s="703">
        <f>IF(J272="","",(J272+P272)/2)</f>
        <v>0.5</v>
      </c>
      <c r="R272" s="704" t="str">
        <f t="shared" ref="R272:R306" si="24">IF(Q272="","",IF(Q272&lt;0.5,"Baja",IF(Q272&lt;1,"Media",IF(Q272&lt;1.5,"Alta","Muy alta"))))</f>
        <v>Media</v>
      </c>
      <c r="S272" s="2117"/>
      <c r="T272" s="2117"/>
      <c r="AG272" s="767"/>
      <c r="AT272" s="699"/>
      <c r="AX272" s="700"/>
    </row>
    <row r="273" spans="1:50" s="742" customFormat="1" ht="30" hidden="1" customHeight="1" x14ac:dyDescent="0.25">
      <c r="A273" s="250"/>
      <c r="B273" s="2136"/>
      <c r="C273" s="2137"/>
      <c r="D273" s="2119" t="s">
        <v>5620</v>
      </c>
      <c r="E273" s="2120"/>
      <c r="F273" s="2173" t="s">
        <v>5484</v>
      </c>
      <c r="G273" s="2173"/>
      <c r="H273" s="2173"/>
      <c r="I273" s="2173"/>
      <c r="J273" s="703">
        <v>0</v>
      </c>
      <c r="K273" s="2173" t="s">
        <v>5485</v>
      </c>
      <c r="L273" s="2173"/>
      <c r="M273" s="2173"/>
      <c r="N273" s="2173"/>
      <c r="O273" s="2173"/>
      <c r="P273" s="703">
        <v>0</v>
      </c>
      <c r="Q273" s="703">
        <f t="shared" ref="Q273:Q288" si="25">IF(J273="","",(J273+P273)/2)</f>
        <v>0</v>
      </c>
      <c r="R273" s="704" t="str">
        <f t="shared" si="24"/>
        <v>Baja</v>
      </c>
      <c r="S273" s="2117"/>
      <c r="T273" s="2117"/>
      <c r="AG273" s="767"/>
      <c r="AT273" s="699"/>
      <c r="AX273" s="700"/>
    </row>
    <row r="274" spans="1:50" s="742" customFormat="1" ht="14.25" hidden="1" customHeight="1" x14ac:dyDescent="0.25">
      <c r="A274" s="250"/>
      <c r="B274" s="2136"/>
      <c r="C274" s="2137"/>
      <c r="D274" s="2119" t="s">
        <v>5620</v>
      </c>
      <c r="E274" s="2120"/>
      <c r="F274" s="2173"/>
      <c r="G274" s="2173"/>
      <c r="H274" s="2173"/>
      <c r="I274" s="2173"/>
      <c r="J274" s="703"/>
      <c r="K274" s="2173"/>
      <c r="L274" s="2173"/>
      <c r="M274" s="2173"/>
      <c r="N274" s="2173"/>
      <c r="O274" s="2173"/>
      <c r="P274" s="703"/>
      <c r="Q274" s="703" t="str">
        <f t="shared" si="25"/>
        <v/>
      </c>
      <c r="R274" s="704" t="str">
        <f t="shared" si="24"/>
        <v/>
      </c>
      <c r="S274" s="2117"/>
      <c r="T274" s="2117"/>
      <c r="AG274" s="767"/>
      <c r="AT274" s="699"/>
      <c r="AX274" s="700"/>
    </row>
    <row r="275" spans="1:50" s="742" customFormat="1" ht="14.25" hidden="1" customHeight="1" x14ac:dyDescent="0.25">
      <c r="A275" s="250"/>
      <c r="B275" s="2136"/>
      <c r="C275" s="2137"/>
      <c r="D275" s="2119" t="s">
        <v>5620</v>
      </c>
      <c r="E275" s="2120"/>
      <c r="F275" s="2173"/>
      <c r="G275" s="2173"/>
      <c r="H275" s="2173"/>
      <c r="I275" s="2173"/>
      <c r="J275" s="703"/>
      <c r="K275" s="2173"/>
      <c r="L275" s="2173"/>
      <c r="M275" s="2173"/>
      <c r="N275" s="2173"/>
      <c r="O275" s="2173"/>
      <c r="P275" s="703"/>
      <c r="Q275" s="703" t="str">
        <f t="shared" si="25"/>
        <v/>
      </c>
      <c r="R275" s="704" t="str">
        <f t="shared" si="24"/>
        <v/>
      </c>
      <c r="S275" s="2117"/>
      <c r="T275" s="2117"/>
      <c r="AG275" s="767"/>
      <c r="AT275" s="699"/>
      <c r="AX275" s="700"/>
    </row>
    <row r="276" spans="1:50" s="742" customFormat="1" ht="14.25" hidden="1" customHeight="1" thickBot="1" x14ac:dyDescent="0.3">
      <c r="A276" s="250"/>
      <c r="B276" s="2138"/>
      <c r="C276" s="2139"/>
      <c r="D276" s="2141" t="s">
        <v>5620</v>
      </c>
      <c r="E276" s="2142"/>
      <c r="F276" s="2175"/>
      <c r="G276" s="2175"/>
      <c r="H276" s="2175"/>
      <c r="I276" s="2175"/>
      <c r="J276" s="705"/>
      <c r="K276" s="2175"/>
      <c r="L276" s="2175"/>
      <c r="M276" s="2175"/>
      <c r="N276" s="2175"/>
      <c r="O276" s="2175"/>
      <c r="P276" s="705"/>
      <c r="Q276" s="705" t="str">
        <f t="shared" si="25"/>
        <v/>
      </c>
      <c r="R276" s="706" t="str">
        <f t="shared" si="24"/>
        <v/>
      </c>
      <c r="S276" s="2118"/>
      <c r="T276" s="2118"/>
      <c r="AG276" s="767"/>
      <c r="AT276" s="699"/>
      <c r="AX276" s="700"/>
    </row>
    <row r="277" spans="1:50" s="742" customFormat="1" ht="46.5" hidden="1" customHeight="1" x14ac:dyDescent="0.25">
      <c r="A277" s="250"/>
      <c r="B277" s="2134" t="s">
        <v>5620</v>
      </c>
      <c r="C277" s="2135"/>
      <c r="D277" s="2145" t="str">
        <f t="shared" ref="D277:D282" si="26">IF($B$16="","",D271)</f>
        <v/>
      </c>
      <c r="E277" s="2146"/>
      <c r="F277" s="2174" t="s">
        <v>5486</v>
      </c>
      <c r="G277" s="2174"/>
      <c r="H277" s="2174"/>
      <c r="I277" s="2174"/>
      <c r="J277" s="701">
        <v>0</v>
      </c>
      <c r="K277" s="2174" t="s">
        <v>5487</v>
      </c>
      <c r="L277" s="2174"/>
      <c r="M277" s="2174"/>
      <c r="N277" s="2174"/>
      <c r="O277" s="2174"/>
      <c r="P277" s="701">
        <v>0</v>
      </c>
      <c r="Q277" s="701">
        <f t="shared" si="25"/>
        <v>0</v>
      </c>
      <c r="R277" s="702" t="str">
        <f t="shared" si="24"/>
        <v>Baja</v>
      </c>
      <c r="S277" s="2116">
        <f>IF(Q277="","",MAX(Q277:Q282))</f>
        <v>0.5</v>
      </c>
      <c r="T277" s="2116" t="str">
        <f>IF(S277="","",IF(S277&lt;0.5,"Baja",IF(S277&lt;1,"Media",IF(S277&lt;1.5,"Alta","Muy alta"))))</f>
        <v>Media</v>
      </c>
      <c r="AG277" s="767"/>
      <c r="AT277" s="699"/>
      <c r="AX277" s="700"/>
    </row>
    <row r="278" spans="1:50" s="742" customFormat="1" ht="57" hidden="1" customHeight="1" x14ac:dyDescent="0.25">
      <c r="A278" s="250"/>
      <c r="B278" s="2136"/>
      <c r="C278" s="2137"/>
      <c r="D278" s="2119" t="str">
        <f t="shared" si="26"/>
        <v/>
      </c>
      <c r="E278" s="2120"/>
      <c r="F278" s="2173" t="s">
        <v>5488</v>
      </c>
      <c r="G278" s="2173"/>
      <c r="H278" s="2173"/>
      <c r="I278" s="2173"/>
      <c r="J278" s="703">
        <v>1</v>
      </c>
      <c r="K278" s="2173" t="s">
        <v>5487</v>
      </c>
      <c r="L278" s="2173"/>
      <c r="M278" s="2173"/>
      <c r="N278" s="2173"/>
      <c r="O278" s="2173"/>
      <c r="P278" s="703">
        <v>0</v>
      </c>
      <c r="Q278" s="703">
        <f t="shared" si="25"/>
        <v>0.5</v>
      </c>
      <c r="R278" s="704" t="str">
        <f t="shared" si="24"/>
        <v>Media</v>
      </c>
      <c r="S278" s="2117"/>
      <c r="T278" s="2117"/>
      <c r="AG278" s="767"/>
      <c r="AT278" s="699"/>
      <c r="AX278" s="700"/>
    </row>
    <row r="279" spans="1:50" s="742" customFormat="1" ht="36" hidden="1" customHeight="1" x14ac:dyDescent="0.25">
      <c r="A279" s="250"/>
      <c r="B279" s="2136"/>
      <c r="C279" s="2137"/>
      <c r="D279" s="2119" t="str">
        <f t="shared" si="26"/>
        <v/>
      </c>
      <c r="E279" s="2120"/>
      <c r="F279" s="2173" t="s">
        <v>5489</v>
      </c>
      <c r="G279" s="2173"/>
      <c r="H279" s="2173"/>
      <c r="I279" s="2173"/>
      <c r="J279" s="703">
        <v>1</v>
      </c>
      <c r="K279" s="2173" t="s">
        <v>5485</v>
      </c>
      <c r="L279" s="2173"/>
      <c r="M279" s="2173"/>
      <c r="N279" s="2173"/>
      <c r="O279" s="2173"/>
      <c r="P279" s="703">
        <v>0</v>
      </c>
      <c r="Q279" s="703">
        <f t="shared" si="25"/>
        <v>0.5</v>
      </c>
      <c r="R279" s="704" t="str">
        <f t="shared" si="24"/>
        <v>Media</v>
      </c>
      <c r="S279" s="2117"/>
      <c r="T279" s="2117"/>
      <c r="AG279" s="767"/>
      <c r="AT279" s="699"/>
      <c r="AX279" s="700"/>
    </row>
    <row r="280" spans="1:50" s="742" customFormat="1" ht="14.25" hidden="1" customHeight="1" x14ac:dyDescent="0.25">
      <c r="A280" s="250"/>
      <c r="B280" s="2136"/>
      <c r="C280" s="2137"/>
      <c r="D280" s="2119" t="str">
        <f t="shared" si="26"/>
        <v/>
      </c>
      <c r="E280" s="2120"/>
      <c r="F280" s="2173"/>
      <c r="G280" s="2173"/>
      <c r="H280" s="2173"/>
      <c r="I280" s="2173"/>
      <c r="J280" s="703"/>
      <c r="K280" s="2173"/>
      <c r="L280" s="2173"/>
      <c r="M280" s="2173"/>
      <c r="N280" s="2173"/>
      <c r="O280" s="2173"/>
      <c r="P280" s="703"/>
      <c r="Q280" s="703" t="str">
        <f t="shared" si="25"/>
        <v/>
      </c>
      <c r="R280" s="704" t="str">
        <f t="shared" si="24"/>
        <v/>
      </c>
      <c r="S280" s="2117"/>
      <c r="T280" s="2117"/>
      <c r="AG280" s="767"/>
      <c r="AT280" s="699"/>
      <c r="AX280" s="700"/>
    </row>
    <row r="281" spans="1:50" s="742" customFormat="1" ht="14.25" hidden="1" customHeight="1" x14ac:dyDescent="0.25">
      <c r="A281" s="250"/>
      <c r="B281" s="2136"/>
      <c r="C281" s="2137"/>
      <c r="D281" s="2119" t="str">
        <f t="shared" si="26"/>
        <v/>
      </c>
      <c r="E281" s="2120"/>
      <c r="F281" s="2173"/>
      <c r="G281" s="2173"/>
      <c r="H281" s="2173"/>
      <c r="I281" s="2173"/>
      <c r="J281" s="703"/>
      <c r="K281" s="2173"/>
      <c r="L281" s="2173"/>
      <c r="M281" s="2173"/>
      <c r="N281" s="2173"/>
      <c r="O281" s="2173"/>
      <c r="P281" s="703"/>
      <c r="Q281" s="703" t="str">
        <f t="shared" si="25"/>
        <v/>
      </c>
      <c r="R281" s="704" t="str">
        <f t="shared" si="24"/>
        <v/>
      </c>
      <c r="S281" s="2117"/>
      <c r="T281" s="2117"/>
      <c r="AG281" s="767"/>
      <c r="AT281" s="699"/>
      <c r="AX281" s="700"/>
    </row>
    <row r="282" spans="1:50" s="742" customFormat="1" ht="14.25" hidden="1" customHeight="1" thickBot="1" x14ac:dyDescent="0.3">
      <c r="A282" s="250"/>
      <c r="B282" s="2138"/>
      <c r="C282" s="2139"/>
      <c r="D282" s="2141" t="str">
        <f t="shared" si="26"/>
        <v/>
      </c>
      <c r="E282" s="2142"/>
      <c r="F282" s="2175"/>
      <c r="G282" s="2175"/>
      <c r="H282" s="2175"/>
      <c r="I282" s="2175"/>
      <c r="J282" s="705"/>
      <c r="K282" s="2175"/>
      <c r="L282" s="2175"/>
      <c r="M282" s="2175"/>
      <c r="N282" s="2175"/>
      <c r="O282" s="2175"/>
      <c r="P282" s="705"/>
      <c r="Q282" s="705" t="str">
        <f t="shared" si="25"/>
        <v/>
      </c>
      <c r="R282" s="706" t="str">
        <f t="shared" si="24"/>
        <v/>
      </c>
      <c r="S282" s="2118"/>
      <c r="T282" s="2118"/>
      <c r="AG282" s="767"/>
      <c r="AT282" s="699"/>
      <c r="AX282" s="700"/>
    </row>
    <row r="283" spans="1:50" s="742" customFormat="1" ht="30" hidden="1" customHeight="1" x14ac:dyDescent="0.25">
      <c r="A283" s="250"/>
      <c r="B283" s="2134" t="s">
        <v>5620</v>
      </c>
      <c r="C283" s="2135"/>
      <c r="D283" s="2145" t="str">
        <f t="shared" ref="D283:D288" si="27">IF($B$22="","",D271)</f>
        <v/>
      </c>
      <c r="E283" s="2146"/>
      <c r="F283" s="2174" t="s">
        <v>5490</v>
      </c>
      <c r="G283" s="2174"/>
      <c r="H283" s="2174"/>
      <c r="I283" s="2174"/>
      <c r="J283" s="701">
        <v>0</v>
      </c>
      <c r="K283" s="2174" t="s">
        <v>5482</v>
      </c>
      <c r="L283" s="2174"/>
      <c r="M283" s="2174"/>
      <c r="N283" s="2174"/>
      <c r="O283" s="2174"/>
      <c r="P283" s="701">
        <v>0</v>
      </c>
      <c r="Q283" s="701">
        <f t="shared" si="25"/>
        <v>0</v>
      </c>
      <c r="R283" s="702" t="str">
        <f t="shared" si="24"/>
        <v>Baja</v>
      </c>
      <c r="S283" s="2116">
        <f>IF(Q283="","",MAX(Q283:Q288))</f>
        <v>0</v>
      </c>
      <c r="T283" s="2116" t="str">
        <f>IF(S283="","",IF(S283&lt;0.5,"Baja",IF(S283&lt;1,"Media",IF(S283&lt;1.5,"Alta","Muy alta"))))</f>
        <v>Baja</v>
      </c>
      <c r="AG283" s="767"/>
      <c r="AT283" s="699"/>
      <c r="AX283" s="700"/>
    </row>
    <row r="284" spans="1:50" s="742" customFormat="1" ht="27.75" hidden="1" customHeight="1" x14ac:dyDescent="0.25">
      <c r="A284" s="250"/>
      <c r="B284" s="2136"/>
      <c r="C284" s="2137"/>
      <c r="D284" s="2119" t="str">
        <f t="shared" si="27"/>
        <v/>
      </c>
      <c r="E284" s="2120"/>
      <c r="F284" s="2173" t="s">
        <v>5491</v>
      </c>
      <c r="G284" s="2173"/>
      <c r="H284" s="2173"/>
      <c r="I284" s="2173"/>
      <c r="J284" s="703">
        <v>0</v>
      </c>
      <c r="K284" s="2173" t="s">
        <v>5482</v>
      </c>
      <c r="L284" s="2173"/>
      <c r="M284" s="2173"/>
      <c r="N284" s="2173"/>
      <c r="O284" s="2173"/>
      <c r="P284" s="703">
        <v>0</v>
      </c>
      <c r="Q284" s="703">
        <f t="shared" si="25"/>
        <v>0</v>
      </c>
      <c r="R284" s="704" t="str">
        <f t="shared" si="24"/>
        <v>Baja</v>
      </c>
      <c r="S284" s="2117"/>
      <c r="T284" s="2117"/>
      <c r="AG284" s="767"/>
      <c r="AT284" s="699"/>
      <c r="AX284" s="700"/>
    </row>
    <row r="285" spans="1:50" s="742" customFormat="1" ht="14.25" hidden="1" customHeight="1" x14ac:dyDescent="0.25">
      <c r="A285" s="250"/>
      <c r="B285" s="2136"/>
      <c r="C285" s="2137"/>
      <c r="D285" s="2119" t="str">
        <f t="shared" si="27"/>
        <v/>
      </c>
      <c r="E285" s="2120"/>
      <c r="F285" s="2173"/>
      <c r="G285" s="2173"/>
      <c r="H285" s="2173"/>
      <c r="I285" s="2173"/>
      <c r="J285" s="703"/>
      <c r="K285" s="2173"/>
      <c r="L285" s="2173"/>
      <c r="M285" s="2173"/>
      <c r="N285" s="2173"/>
      <c r="O285" s="2173"/>
      <c r="P285" s="703"/>
      <c r="Q285" s="703" t="str">
        <f t="shared" si="25"/>
        <v/>
      </c>
      <c r="R285" s="704" t="str">
        <f t="shared" si="24"/>
        <v/>
      </c>
      <c r="S285" s="2117"/>
      <c r="T285" s="2117"/>
      <c r="AG285" s="767"/>
      <c r="AT285" s="699"/>
      <c r="AX285" s="700"/>
    </row>
    <row r="286" spans="1:50" s="742" customFormat="1" ht="14.25" hidden="1" customHeight="1" x14ac:dyDescent="0.25">
      <c r="A286" s="250"/>
      <c r="B286" s="2136"/>
      <c r="C286" s="2137"/>
      <c r="D286" s="2119" t="str">
        <f t="shared" si="27"/>
        <v/>
      </c>
      <c r="E286" s="2120"/>
      <c r="F286" s="2173"/>
      <c r="G286" s="2173"/>
      <c r="H286" s="2173"/>
      <c r="I286" s="2173"/>
      <c r="J286" s="703"/>
      <c r="K286" s="2173"/>
      <c r="L286" s="2173"/>
      <c r="M286" s="2173"/>
      <c r="N286" s="2173"/>
      <c r="O286" s="2173"/>
      <c r="P286" s="703"/>
      <c r="Q286" s="703" t="str">
        <f t="shared" si="25"/>
        <v/>
      </c>
      <c r="R286" s="704" t="str">
        <f t="shared" si="24"/>
        <v/>
      </c>
      <c r="S286" s="2117"/>
      <c r="T286" s="2117"/>
      <c r="AG286" s="767"/>
      <c r="AT286" s="699"/>
      <c r="AX286" s="700"/>
    </row>
    <row r="287" spans="1:50" s="742" customFormat="1" ht="14.25" hidden="1" customHeight="1" x14ac:dyDescent="0.25">
      <c r="A287" s="250"/>
      <c r="B287" s="2136"/>
      <c r="C287" s="2137"/>
      <c r="D287" s="2119" t="str">
        <f t="shared" si="27"/>
        <v/>
      </c>
      <c r="E287" s="2120"/>
      <c r="F287" s="2173"/>
      <c r="G287" s="2173"/>
      <c r="H287" s="2173"/>
      <c r="I287" s="2173"/>
      <c r="J287" s="703"/>
      <c r="K287" s="2173"/>
      <c r="L287" s="2173"/>
      <c r="M287" s="2173"/>
      <c r="N287" s="2173"/>
      <c r="O287" s="2173"/>
      <c r="P287" s="703"/>
      <c r="Q287" s="703" t="str">
        <f t="shared" si="25"/>
        <v/>
      </c>
      <c r="R287" s="704" t="str">
        <f t="shared" si="24"/>
        <v/>
      </c>
      <c r="S287" s="2117"/>
      <c r="T287" s="2117"/>
      <c r="AG287" s="767"/>
      <c r="AT287" s="699"/>
      <c r="AX287" s="700"/>
    </row>
    <row r="288" spans="1:50" s="742" customFormat="1" ht="14.25" hidden="1" customHeight="1" thickBot="1" x14ac:dyDescent="0.3">
      <c r="A288" s="250"/>
      <c r="B288" s="2138"/>
      <c r="C288" s="2139"/>
      <c r="D288" s="2141" t="str">
        <f t="shared" si="27"/>
        <v/>
      </c>
      <c r="E288" s="2142"/>
      <c r="F288" s="2175"/>
      <c r="G288" s="2175"/>
      <c r="H288" s="2175"/>
      <c r="I288" s="2175"/>
      <c r="J288" s="705"/>
      <c r="K288" s="2175"/>
      <c r="L288" s="2175"/>
      <c r="M288" s="2175"/>
      <c r="N288" s="2175"/>
      <c r="O288" s="2175"/>
      <c r="P288" s="705"/>
      <c r="Q288" s="705" t="str">
        <f t="shared" si="25"/>
        <v/>
      </c>
      <c r="R288" s="706" t="str">
        <f t="shared" si="24"/>
        <v/>
      </c>
      <c r="S288" s="2118"/>
      <c r="T288" s="2118"/>
      <c r="AG288" s="767"/>
      <c r="AT288" s="699"/>
      <c r="AX288" s="700"/>
    </row>
    <row r="289" spans="1:50" s="742" customFormat="1" ht="14.25" hidden="1" customHeight="1" x14ac:dyDescent="0.25">
      <c r="A289" s="250"/>
      <c r="B289" s="2134" t="s">
        <v>5620</v>
      </c>
      <c r="C289" s="2135"/>
      <c r="D289" s="2145" t="str">
        <f t="shared" ref="D289:D294" si="28">IF($B$28="","",D271)</f>
        <v/>
      </c>
      <c r="E289" s="2146"/>
      <c r="F289" s="2174"/>
      <c r="G289" s="2174"/>
      <c r="H289" s="2174"/>
      <c r="I289" s="2174"/>
      <c r="J289" s="701"/>
      <c r="K289" s="2174"/>
      <c r="L289" s="2174"/>
      <c r="M289" s="2174"/>
      <c r="N289" s="2174"/>
      <c r="O289" s="2174"/>
      <c r="P289" s="701"/>
      <c r="Q289" s="701" t="str">
        <f>IF(J289="","",(J289+P289)/2)</f>
        <v/>
      </c>
      <c r="R289" s="702" t="str">
        <f t="shared" si="24"/>
        <v/>
      </c>
      <c r="S289" s="2116" t="str">
        <f>IF(Q289="","",MAX(Q289:Q294))</f>
        <v/>
      </c>
      <c r="T289" s="2116" t="str">
        <f>IF(S289="","",IF(S289&lt;0.5,"Baja",IF(S289&lt;1,"Media",IF(S289&lt;1.5,"Alta","Muy alta"))))</f>
        <v/>
      </c>
      <c r="AG289" s="767"/>
      <c r="AT289" s="699"/>
      <c r="AX289" s="700"/>
    </row>
    <row r="290" spans="1:50" s="742" customFormat="1" ht="14.25" hidden="1" customHeight="1" x14ac:dyDescent="0.25">
      <c r="A290" s="250"/>
      <c r="B290" s="2136"/>
      <c r="C290" s="2137"/>
      <c r="D290" s="2119" t="str">
        <f t="shared" si="28"/>
        <v/>
      </c>
      <c r="E290" s="2120"/>
      <c r="F290" s="2173"/>
      <c r="G290" s="2173"/>
      <c r="H290" s="2173"/>
      <c r="I290" s="2173"/>
      <c r="J290" s="703"/>
      <c r="K290" s="2173"/>
      <c r="L290" s="2173"/>
      <c r="M290" s="2173"/>
      <c r="N290" s="2173"/>
      <c r="O290" s="2173"/>
      <c r="P290" s="703"/>
      <c r="Q290" s="703" t="str">
        <f t="shared" ref="Q290:Q306" si="29">IF(J290="","",(J290+P290)/2)</f>
        <v/>
      </c>
      <c r="R290" s="704" t="str">
        <f t="shared" si="24"/>
        <v/>
      </c>
      <c r="S290" s="2117"/>
      <c r="T290" s="2117"/>
      <c r="AG290" s="767"/>
      <c r="AT290" s="699"/>
      <c r="AX290" s="700"/>
    </row>
    <row r="291" spans="1:50" s="742" customFormat="1" ht="14.25" hidden="1" customHeight="1" x14ac:dyDescent="0.25">
      <c r="A291" s="250"/>
      <c r="B291" s="2136"/>
      <c r="C291" s="2137"/>
      <c r="D291" s="2119" t="str">
        <f t="shared" si="28"/>
        <v/>
      </c>
      <c r="E291" s="2120"/>
      <c r="F291" s="2173"/>
      <c r="G291" s="2173"/>
      <c r="H291" s="2173"/>
      <c r="I291" s="2173"/>
      <c r="J291" s="703"/>
      <c r="K291" s="2173"/>
      <c r="L291" s="2173"/>
      <c r="M291" s="2173"/>
      <c r="N291" s="2173"/>
      <c r="O291" s="2173"/>
      <c r="P291" s="703"/>
      <c r="Q291" s="703" t="str">
        <f t="shared" si="29"/>
        <v/>
      </c>
      <c r="R291" s="704" t="str">
        <f t="shared" si="24"/>
        <v/>
      </c>
      <c r="S291" s="2117"/>
      <c r="T291" s="2117"/>
      <c r="AG291" s="767"/>
      <c r="AT291" s="699"/>
      <c r="AX291" s="700"/>
    </row>
    <row r="292" spans="1:50" s="742" customFormat="1" ht="14.25" hidden="1" customHeight="1" x14ac:dyDescent="0.25">
      <c r="A292" s="250"/>
      <c r="B292" s="2136"/>
      <c r="C292" s="2137"/>
      <c r="D292" s="2119" t="str">
        <f t="shared" si="28"/>
        <v/>
      </c>
      <c r="E292" s="2120"/>
      <c r="F292" s="2173"/>
      <c r="G292" s="2173"/>
      <c r="H292" s="2173"/>
      <c r="I292" s="2173"/>
      <c r="J292" s="703"/>
      <c r="K292" s="2173"/>
      <c r="L292" s="2173"/>
      <c r="M292" s="2173"/>
      <c r="N292" s="2173"/>
      <c r="O292" s="2173"/>
      <c r="P292" s="703"/>
      <c r="Q292" s="703" t="str">
        <f t="shared" si="29"/>
        <v/>
      </c>
      <c r="R292" s="704" t="str">
        <f t="shared" si="24"/>
        <v/>
      </c>
      <c r="S292" s="2117"/>
      <c r="T292" s="2117"/>
      <c r="AG292" s="767"/>
      <c r="AT292" s="699"/>
      <c r="AX292" s="700"/>
    </row>
    <row r="293" spans="1:50" s="742" customFormat="1" ht="14.25" hidden="1" customHeight="1" x14ac:dyDescent="0.25">
      <c r="A293" s="250"/>
      <c r="B293" s="2136"/>
      <c r="C293" s="2137"/>
      <c r="D293" s="2119" t="str">
        <f t="shared" si="28"/>
        <v/>
      </c>
      <c r="E293" s="2120"/>
      <c r="F293" s="2173"/>
      <c r="G293" s="2173"/>
      <c r="H293" s="2173"/>
      <c r="I293" s="2173"/>
      <c r="J293" s="703"/>
      <c r="K293" s="2173"/>
      <c r="L293" s="2173"/>
      <c r="M293" s="2173"/>
      <c r="N293" s="2173"/>
      <c r="O293" s="2173"/>
      <c r="P293" s="703"/>
      <c r="Q293" s="703" t="str">
        <f t="shared" si="29"/>
        <v/>
      </c>
      <c r="R293" s="704" t="str">
        <f t="shared" si="24"/>
        <v/>
      </c>
      <c r="S293" s="2117"/>
      <c r="T293" s="2117"/>
      <c r="AG293" s="767"/>
      <c r="AT293" s="699"/>
      <c r="AX293" s="700"/>
    </row>
    <row r="294" spans="1:50" s="742" customFormat="1" ht="14.25" hidden="1" customHeight="1" thickBot="1" x14ac:dyDescent="0.3">
      <c r="A294" s="250"/>
      <c r="B294" s="2138"/>
      <c r="C294" s="2139"/>
      <c r="D294" s="2141" t="str">
        <f t="shared" si="28"/>
        <v/>
      </c>
      <c r="E294" s="2142"/>
      <c r="F294" s="2175"/>
      <c r="G294" s="2175"/>
      <c r="H294" s="2175"/>
      <c r="I294" s="2175"/>
      <c r="J294" s="705"/>
      <c r="K294" s="2175"/>
      <c r="L294" s="2175"/>
      <c r="M294" s="2175"/>
      <c r="N294" s="2175"/>
      <c r="O294" s="2175"/>
      <c r="P294" s="705"/>
      <c r="Q294" s="705" t="str">
        <f t="shared" si="29"/>
        <v/>
      </c>
      <c r="R294" s="706" t="str">
        <f t="shared" si="24"/>
        <v/>
      </c>
      <c r="S294" s="2118"/>
      <c r="T294" s="2118"/>
      <c r="AG294" s="767"/>
      <c r="AT294" s="699"/>
      <c r="AX294" s="700"/>
    </row>
    <row r="295" spans="1:50" s="742" customFormat="1" ht="14.25" hidden="1" customHeight="1" x14ac:dyDescent="0.25">
      <c r="A295" s="250"/>
      <c r="B295" s="2134" t="s">
        <v>5620</v>
      </c>
      <c r="C295" s="2135"/>
      <c r="D295" s="2145" t="str">
        <f t="shared" ref="D295:D300" si="30">IF($B$34="","",D271)</f>
        <v/>
      </c>
      <c r="E295" s="2146"/>
      <c r="F295" s="2174"/>
      <c r="G295" s="2174"/>
      <c r="H295" s="2174"/>
      <c r="I295" s="2174"/>
      <c r="J295" s="701"/>
      <c r="K295" s="2174"/>
      <c r="L295" s="2174"/>
      <c r="M295" s="2174"/>
      <c r="N295" s="2174"/>
      <c r="O295" s="2174"/>
      <c r="P295" s="701"/>
      <c r="Q295" s="701" t="str">
        <f t="shared" si="29"/>
        <v/>
      </c>
      <c r="R295" s="702" t="str">
        <f t="shared" si="24"/>
        <v/>
      </c>
      <c r="S295" s="2116" t="str">
        <f>IF(Q295="","",MAX(Q295:Q300))</f>
        <v/>
      </c>
      <c r="T295" s="2116" t="str">
        <f>IF(S295="","",IF(S295&lt;0.5,"Baja",IF(S295&lt;1,"Media",IF(S295&lt;1.5,"Alta","Muy alta"))))</f>
        <v/>
      </c>
      <c r="AG295" s="767"/>
      <c r="AT295" s="699"/>
      <c r="AX295" s="700"/>
    </row>
    <row r="296" spans="1:50" s="742" customFormat="1" ht="14.25" hidden="1" customHeight="1" x14ac:dyDescent="0.25">
      <c r="A296" s="250"/>
      <c r="B296" s="2136"/>
      <c r="C296" s="2137"/>
      <c r="D296" s="2119" t="str">
        <f t="shared" si="30"/>
        <v/>
      </c>
      <c r="E296" s="2120"/>
      <c r="F296" s="2173"/>
      <c r="G296" s="2173"/>
      <c r="H296" s="2173"/>
      <c r="I296" s="2173"/>
      <c r="J296" s="703"/>
      <c r="K296" s="2173"/>
      <c r="L296" s="2173"/>
      <c r="M296" s="2173"/>
      <c r="N296" s="2173"/>
      <c r="O296" s="2173"/>
      <c r="P296" s="703"/>
      <c r="Q296" s="703" t="str">
        <f t="shared" si="29"/>
        <v/>
      </c>
      <c r="R296" s="704" t="str">
        <f t="shared" si="24"/>
        <v/>
      </c>
      <c r="S296" s="2117"/>
      <c r="T296" s="2117"/>
      <c r="AG296" s="767"/>
      <c r="AT296" s="699"/>
      <c r="AX296" s="700"/>
    </row>
    <row r="297" spans="1:50" s="742" customFormat="1" ht="14.25" hidden="1" customHeight="1" x14ac:dyDescent="0.25">
      <c r="A297" s="250"/>
      <c r="B297" s="2136"/>
      <c r="C297" s="2137"/>
      <c r="D297" s="2119" t="str">
        <f t="shared" si="30"/>
        <v/>
      </c>
      <c r="E297" s="2120"/>
      <c r="F297" s="2173"/>
      <c r="G297" s="2173"/>
      <c r="H297" s="2173"/>
      <c r="I297" s="2173"/>
      <c r="J297" s="703"/>
      <c r="K297" s="2173"/>
      <c r="L297" s="2173"/>
      <c r="M297" s="2173"/>
      <c r="N297" s="2173"/>
      <c r="O297" s="2173"/>
      <c r="P297" s="703"/>
      <c r="Q297" s="703" t="str">
        <f t="shared" si="29"/>
        <v/>
      </c>
      <c r="R297" s="704" t="str">
        <f t="shared" si="24"/>
        <v/>
      </c>
      <c r="S297" s="2117"/>
      <c r="T297" s="2117"/>
      <c r="AG297" s="767"/>
      <c r="AT297" s="699"/>
      <c r="AX297" s="700"/>
    </row>
    <row r="298" spans="1:50" s="742" customFormat="1" ht="14.25" hidden="1" customHeight="1" x14ac:dyDescent="0.25">
      <c r="A298" s="250"/>
      <c r="B298" s="2136"/>
      <c r="C298" s="2137"/>
      <c r="D298" s="2119" t="str">
        <f t="shared" si="30"/>
        <v/>
      </c>
      <c r="E298" s="2120"/>
      <c r="F298" s="2173"/>
      <c r="G298" s="2173"/>
      <c r="H298" s="2173"/>
      <c r="I298" s="2173"/>
      <c r="J298" s="703"/>
      <c r="K298" s="2173"/>
      <c r="L298" s="2173"/>
      <c r="M298" s="2173"/>
      <c r="N298" s="2173"/>
      <c r="O298" s="2173"/>
      <c r="P298" s="703"/>
      <c r="Q298" s="703" t="str">
        <f t="shared" si="29"/>
        <v/>
      </c>
      <c r="R298" s="704" t="str">
        <f t="shared" si="24"/>
        <v/>
      </c>
      <c r="S298" s="2117"/>
      <c r="T298" s="2117"/>
      <c r="AG298" s="767"/>
      <c r="AT298" s="699"/>
      <c r="AX298" s="700"/>
    </row>
    <row r="299" spans="1:50" s="742" customFormat="1" ht="14.25" hidden="1" customHeight="1" x14ac:dyDescent="0.25">
      <c r="A299" s="250"/>
      <c r="B299" s="2136"/>
      <c r="C299" s="2137"/>
      <c r="D299" s="2119" t="str">
        <f t="shared" si="30"/>
        <v/>
      </c>
      <c r="E299" s="2120"/>
      <c r="F299" s="2173"/>
      <c r="G299" s="2173"/>
      <c r="H299" s="2173"/>
      <c r="I299" s="2173"/>
      <c r="J299" s="703"/>
      <c r="K299" s="2173"/>
      <c r="L299" s="2173"/>
      <c r="M299" s="2173"/>
      <c r="N299" s="2173"/>
      <c r="O299" s="2173"/>
      <c r="P299" s="703"/>
      <c r="Q299" s="703" t="str">
        <f t="shared" si="29"/>
        <v/>
      </c>
      <c r="R299" s="704" t="str">
        <f t="shared" si="24"/>
        <v/>
      </c>
      <c r="S299" s="2117"/>
      <c r="T299" s="2117"/>
      <c r="AG299" s="767"/>
      <c r="AT299" s="699"/>
      <c r="AX299" s="700"/>
    </row>
    <row r="300" spans="1:50" s="742" customFormat="1" ht="14.25" hidden="1" customHeight="1" thickBot="1" x14ac:dyDescent="0.3">
      <c r="A300" s="250"/>
      <c r="B300" s="2138"/>
      <c r="C300" s="2139"/>
      <c r="D300" s="2141" t="str">
        <f t="shared" si="30"/>
        <v/>
      </c>
      <c r="E300" s="2142"/>
      <c r="F300" s="2175"/>
      <c r="G300" s="2175"/>
      <c r="H300" s="2175"/>
      <c r="I300" s="2175"/>
      <c r="J300" s="705"/>
      <c r="K300" s="2175"/>
      <c r="L300" s="2175"/>
      <c r="M300" s="2175"/>
      <c r="N300" s="2175"/>
      <c r="O300" s="2175"/>
      <c r="P300" s="705"/>
      <c r="Q300" s="705" t="str">
        <f t="shared" si="29"/>
        <v/>
      </c>
      <c r="R300" s="706" t="str">
        <f t="shared" si="24"/>
        <v/>
      </c>
      <c r="S300" s="2118"/>
      <c r="T300" s="2118"/>
      <c r="AG300" s="767"/>
      <c r="AT300" s="699"/>
      <c r="AX300" s="700"/>
    </row>
    <row r="301" spans="1:50" s="742" customFormat="1" ht="14.25" hidden="1" customHeight="1" x14ac:dyDescent="0.25">
      <c r="A301" s="250"/>
      <c r="B301" s="2134" t="s">
        <v>5620</v>
      </c>
      <c r="C301" s="2135"/>
      <c r="D301" s="2145" t="str">
        <f t="shared" ref="D301:D306" si="31">IF($B$40="","",D271)</f>
        <v/>
      </c>
      <c r="E301" s="2146"/>
      <c r="F301" s="2174"/>
      <c r="G301" s="2174"/>
      <c r="H301" s="2174"/>
      <c r="I301" s="2174"/>
      <c r="J301" s="701"/>
      <c r="K301" s="2174"/>
      <c r="L301" s="2174"/>
      <c r="M301" s="2174"/>
      <c r="N301" s="2174"/>
      <c r="O301" s="2174"/>
      <c r="P301" s="701"/>
      <c r="Q301" s="701" t="str">
        <f t="shared" si="29"/>
        <v/>
      </c>
      <c r="R301" s="702" t="str">
        <f t="shared" si="24"/>
        <v/>
      </c>
      <c r="S301" s="2116" t="str">
        <f>IF(Q301="","",MAX(Q301:Q306))</f>
        <v/>
      </c>
      <c r="T301" s="2116" t="str">
        <f>IF(S301="","",IF(S301&lt;0.5,"Baja",IF(S301&lt;1,"Media",IF(S301&lt;1.5,"Alta","Muy alta"))))</f>
        <v/>
      </c>
      <c r="AG301" s="767"/>
      <c r="AT301" s="699"/>
      <c r="AX301" s="700"/>
    </row>
    <row r="302" spans="1:50" s="742" customFormat="1" ht="14.25" hidden="1" customHeight="1" x14ac:dyDescent="0.25">
      <c r="A302" s="250"/>
      <c r="B302" s="2136"/>
      <c r="C302" s="2137"/>
      <c r="D302" s="2119" t="str">
        <f t="shared" si="31"/>
        <v/>
      </c>
      <c r="E302" s="2120"/>
      <c r="F302" s="2173"/>
      <c r="G302" s="2173"/>
      <c r="H302" s="2173"/>
      <c r="I302" s="2173"/>
      <c r="J302" s="703"/>
      <c r="K302" s="2173"/>
      <c r="L302" s="2173"/>
      <c r="M302" s="2173"/>
      <c r="N302" s="2173"/>
      <c r="O302" s="2173"/>
      <c r="P302" s="703"/>
      <c r="Q302" s="703" t="str">
        <f t="shared" si="29"/>
        <v/>
      </c>
      <c r="R302" s="704" t="str">
        <f t="shared" si="24"/>
        <v/>
      </c>
      <c r="S302" s="2117"/>
      <c r="T302" s="2117"/>
      <c r="AG302" s="767"/>
      <c r="AT302" s="699"/>
      <c r="AX302" s="700"/>
    </row>
    <row r="303" spans="1:50" s="742" customFormat="1" ht="14.25" hidden="1" customHeight="1" x14ac:dyDescent="0.25">
      <c r="A303" s="250"/>
      <c r="B303" s="2136"/>
      <c r="C303" s="2137"/>
      <c r="D303" s="2119" t="str">
        <f t="shared" si="31"/>
        <v/>
      </c>
      <c r="E303" s="2120"/>
      <c r="F303" s="2173"/>
      <c r="G303" s="2173"/>
      <c r="H303" s="2173"/>
      <c r="I303" s="2173"/>
      <c r="J303" s="703"/>
      <c r="K303" s="2173"/>
      <c r="L303" s="2173"/>
      <c r="M303" s="2173"/>
      <c r="N303" s="2173"/>
      <c r="O303" s="2173"/>
      <c r="P303" s="703"/>
      <c r="Q303" s="703" t="str">
        <f t="shared" si="29"/>
        <v/>
      </c>
      <c r="R303" s="704" t="str">
        <f t="shared" si="24"/>
        <v/>
      </c>
      <c r="S303" s="2117"/>
      <c r="T303" s="2117"/>
      <c r="AG303" s="767"/>
      <c r="AT303" s="699"/>
      <c r="AX303" s="700"/>
    </row>
    <row r="304" spans="1:50" s="742" customFormat="1" ht="14.25" hidden="1" customHeight="1" x14ac:dyDescent="0.25">
      <c r="A304" s="250"/>
      <c r="B304" s="2136"/>
      <c r="C304" s="2137"/>
      <c r="D304" s="2119" t="str">
        <f t="shared" si="31"/>
        <v/>
      </c>
      <c r="E304" s="2120"/>
      <c r="F304" s="2173"/>
      <c r="G304" s="2173"/>
      <c r="H304" s="2173"/>
      <c r="I304" s="2173"/>
      <c r="J304" s="703"/>
      <c r="K304" s="2173"/>
      <c r="L304" s="2173"/>
      <c r="M304" s="2173"/>
      <c r="N304" s="2173"/>
      <c r="O304" s="2173"/>
      <c r="P304" s="703"/>
      <c r="Q304" s="703" t="str">
        <f t="shared" si="29"/>
        <v/>
      </c>
      <c r="R304" s="704" t="str">
        <f t="shared" si="24"/>
        <v/>
      </c>
      <c r="S304" s="2117"/>
      <c r="T304" s="2117"/>
      <c r="AG304" s="767"/>
      <c r="AT304" s="699"/>
      <c r="AX304" s="700"/>
    </row>
    <row r="305" spans="1:50" s="742" customFormat="1" ht="14.25" hidden="1" customHeight="1" x14ac:dyDescent="0.25">
      <c r="A305" s="250"/>
      <c r="B305" s="2136"/>
      <c r="C305" s="2137"/>
      <c r="D305" s="2119" t="str">
        <f t="shared" si="31"/>
        <v/>
      </c>
      <c r="E305" s="2120"/>
      <c r="F305" s="2173"/>
      <c r="G305" s="2173"/>
      <c r="H305" s="2173"/>
      <c r="I305" s="2173"/>
      <c r="J305" s="703"/>
      <c r="K305" s="2173"/>
      <c r="L305" s="2173"/>
      <c r="M305" s="2173"/>
      <c r="N305" s="2173"/>
      <c r="O305" s="2173"/>
      <c r="P305" s="703"/>
      <c r="Q305" s="703" t="str">
        <f t="shared" si="29"/>
        <v/>
      </c>
      <c r="R305" s="704" t="str">
        <f t="shared" si="24"/>
        <v/>
      </c>
      <c r="S305" s="2117"/>
      <c r="T305" s="2117"/>
      <c r="AG305" s="767"/>
      <c r="AT305" s="699"/>
      <c r="AX305" s="700"/>
    </row>
    <row r="306" spans="1:50" s="742" customFormat="1" ht="14.25" hidden="1" customHeight="1" thickBot="1" x14ac:dyDescent="0.3">
      <c r="A306" s="250"/>
      <c r="B306" s="2138"/>
      <c r="C306" s="2139"/>
      <c r="D306" s="2141" t="str">
        <f t="shared" si="31"/>
        <v/>
      </c>
      <c r="E306" s="2142"/>
      <c r="F306" s="2176"/>
      <c r="G306" s="2176"/>
      <c r="H306" s="2176"/>
      <c r="I306" s="2176"/>
      <c r="J306" s="705"/>
      <c r="K306" s="2175"/>
      <c r="L306" s="2175"/>
      <c r="M306" s="2175"/>
      <c r="N306" s="2175"/>
      <c r="O306" s="2175"/>
      <c r="P306" s="705"/>
      <c r="Q306" s="705" t="str">
        <f t="shared" si="29"/>
        <v/>
      </c>
      <c r="R306" s="706" t="str">
        <f t="shared" si="24"/>
        <v/>
      </c>
      <c r="S306" s="2118"/>
      <c r="T306" s="2118"/>
      <c r="AG306" s="767"/>
      <c r="AT306" s="699"/>
      <c r="AX306" s="700"/>
    </row>
    <row r="307" spans="1:50" s="742" customFormat="1" hidden="1" x14ac:dyDescent="0.25">
      <c r="A307" s="250"/>
      <c r="B307" s="742" t="s">
        <v>5461</v>
      </c>
      <c r="E307" s="68"/>
      <c r="AG307" s="767"/>
      <c r="AT307" s="699"/>
      <c r="AX307" s="700"/>
    </row>
    <row r="308" spans="1:50" s="742" customFormat="1" hidden="1" x14ac:dyDescent="0.25">
      <c r="A308" s="250"/>
      <c r="B308" s="91"/>
      <c r="E308" s="68"/>
      <c r="AG308" s="767"/>
      <c r="AT308" s="699"/>
      <c r="AX308" s="700"/>
    </row>
    <row r="309" spans="1:50" s="742" customFormat="1" hidden="1" x14ac:dyDescent="0.25">
      <c r="A309" s="250"/>
      <c r="B309" s="91" t="s">
        <v>5492</v>
      </c>
      <c r="E309" s="68"/>
      <c r="AG309" s="767"/>
      <c r="AT309" s="699"/>
      <c r="AX309" s="700"/>
    </row>
    <row r="310" spans="1:50" s="742" customFormat="1" ht="10.5" hidden="1" customHeight="1" x14ac:dyDescent="0.25">
      <c r="A310" s="250"/>
      <c r="B310" s="91"/>
      <c r="E310" s="68"/>
      <c r="AG310" s="767"/>
      <c r="AT310" s="699"/>
      <c r="AX310" s="700"/>
    </row>
    <row r="311" spans="1:50" s="742" customFormat="1" ht="30" hidden="1" customHeight="1" x14ac:dyDescent="0.25">
      <c r="A311" s="250"/>
      <c r="B311" s="2155" t="s">
        <v>5454</v>
      </c>
      <c r="C311" s="2155"/>
      <c r="D311" s="2155" t="s">
        <v>5463</v>
      </c>
      <c r="E311" s="2155"/>
      <c r="F311" s="2155"/>
      <c r="G311" s="2155"/>
      <c r="H311" s="2155"/>
      <c r="I311" s="2155"/>
      <c r="J311" s="2155" t="s">
        <v>5464</v>
      </c>
      <c r="K311" s="2155"/>
      <c r="L311" s="2155"/>
      <c r="M311" s="2155"/>
      <c r="N311" s="2155"/>
      <c r="O311" s="2155"/>
      <c r="P311" s="2155"/>
      <c r="Q311" s="2148" t="s">
        <v>5493</v>
      </c>
      <c r="R311" s="2148"/>
      <c r="AG311" s="767"/>
      <c r="AT311" s="699"/>
      <c r="AX311" s="700"/>
    </row>
    <row r="312" spans="1:50" s="742" customFormat="1" ht="21.75" hidden="1" customHeight="1" x14ac:dyDescent="0.25">
      <c r="A312" s="250"/>
      <c r="B312" s="2155"/>
      <c r="C312" s="2155"/>
      <c r="D312" s="2149" t="s">
        <v>25</v>
      </c>
      <c r="E312" s="2149"/>
      <c r="F312" s="2149"/>
      <c r="G312" s="2149"/>
      <c r="H312" s="2149"/>
      <c r="I312" s="744" t="s">
        <v>5460</v>
      </c>
      <c r="J312" s="2149" t="s">
        <v>25</v>
      </c>
      <c r="K312" s="2149"/>
      <c r="L312" s="2149"/>
      <c r="M312" s="2149"/>
      <c r="N312" s="2149"/>
      <c r="O312" s="2149"/>
      <c r="P312" s="744" t="s">
        <v>5460</v>
      </c>
      <c r="Q312" s="743" t="s">
        <v>5034</v>
      </c>
      <c r="R312" s="743" t="s">
        <v>5418</v>
      </c>
      <c r="AG312" s="767"/>
      <c r="AT312" s="699"/>
      <c r="AX312" s="700"/>
    </row>
    <row r="313" spans="1:50" s="742" customFormat="1" ht="21.75" hidden="1" customHeight="1" x14ac:dyDescent="0.25">
      <c r="A313" s="250"/>
      <c r="B313" s="2150" t="s">
        <v>5466</v>
      </c>
      <c r="C313" s="2151"/>
      <c r="D313" s="2152"/>
      <c r="E313" s="2153"/>
      <c r="F313" s="2153"/>
      <c r="G313" s="2153"/>
      <c r="H313" s="2154"/>
      <c r="I313" s="707">
        <f>AVERAGE(I314:I337)</f>
        <v>2</v>
      </c>
      <c r="J313" s="2152"/>
      <c r="K313" s="2153"/>
      <c r="L313" s="2153"/>
      <c r="M313" s="2153"/>
      <c r="N313" s="2153"/>
      <c r="O313" s="2154"/>
      <c r="P313" s="707">
        <f>AVERAGE(P314:P337)</f>
        <v>1</v>
      </c>
      <c r="Q313" s="707">
        <f>IF(I313="","",(I313+P313)/2)</f>
        <v>1.5</v>
      </c>
      <c r="R313" s="743" t="str">
        <f>IF(Q313="","",IF(Q313&lt;0.5,"Baja",IF(Q313&lt;1,"Media",IF(Q313&lt;1.5,"Alta","Muy alta"))))</f>
        <v>Muy alta</v>
      </c>
      <c r="AG313" s="767"/>
      <c r="AT313" s="699"/>
      <c r="AX313" s="700"/>
    </row>
    <row r="314" spans="1:50" s="742" customFormat="1" ht="14.25" hidden="1" customHeight="1" x14ac:dyDescent="0.25">
      <c r="A314" s="250"/>
      <c r="B314" s="2137" t="s">
        <v>5620</v>
      </c>
      <c r="C314" s="2137"/>
      <c r="D314" s="2173" t="s">
        <v>5494</v>
      </c>
      <c r="E314" s="2173"/>
      <c r="F314" s="2173"/>
      <c r="G314" s="2173"/>
      <c r="H314" s="2173"/>
      <c r="I314" s="2177">
        <v>2</v>
      </c>
      <c r="J314" s="2173" t="s">
        <v>5495</v>
      </c>
      <c r="K314" s="2173"/>
      <c r="L314" s="2173"/>
      <c r="M314" s="2173"/>
      <c r="N314" s="2173"/>
      <c r="O314" s="2173"/>
      <c r="P314" s="2177">
        <v>1</v>
      </c>
      <c r="Q314" s="2161">
        <f>IF(I314="","",(I314+P314)/2)</f>
        <v>1.5</v>
      </c>
      <c r="R314" s="2161" t="str">
        <f>IF(Q314="","",IF(Q314&lt;0.5,"Baja",IF(Q314&lt;1,"Media",IF(Q314&lt;1.5,"Alta","Muy alta"))))</f>
        <v>Muy alta</v>
      </c>
      <c r="AG314" s="767"/>
      <c r="AT314" s="699"/>
      <c r="AX314" s="700"/>
    </row>
    <row r="315" spans="1:50" s="742" customFormat="1" ht="14.25" hidden="1" customHeight="1" x14ac:dyDescent="0.25">
      <c r="A315" s="250"/>
      <c r="B315" s="2137"/>
      <c r="C315" s="2137"/>
      <c r="D315" s="2173"/>
      <c r="E315" s="2173"/>
      <c r="F315" s="2173"/>
      <c r="G315" s="2173"/>
      <c r="H315" s="2173"/>
      <c r="I315" s="2177"/>
      <c r="J315" s="2173"/>
      <c r="K315" s="2173"/>
      <c r="L315" s="2173"/>
      <c r="M315" s="2173"/>
      <c r="N315" s="2173"/>
      <c r="O315" s="2173"/>
      <c r="P315" s="2177"/>
      <c r="Q315" s="2161"/>
      <c r="R315" s="2161"/>
      <c r="AG315" s="767"/>
      <c r="AT315" s="699"/>
      <c r="AX315" s="700"/>
    </row>
    <row r="316" spans="1:50" s="742" customFormat="1" ht="14.25" hidden="1" customHeight="1" x14ac:dyDescent="0.25">
      <c r="A316" s="250"/>
      <c r="B316" s="2137"/>
      <c r="C316" s="2137"/>
      <c r="D316" s="2173"/>
      <c r="E316" s="2173"/>
      <c r="F316" s="2173"/>
      <c r="G316" s="2173"/>
      <c r="H316" s="2173"/>
      <c r="I316" s="2177"/>
      <c r="J316" s="2173"/>
      <c r="K316" s="2173"/>
      <c r="L316" s="2173"/>
      <c r="M316" s="2173"/>
      <c r="N316" s="2173"/>
      <c r="O316" s="2173"/>
      <c r="P316" s="2177"/>
      <c r="Q316" s="2161"/>
      <c r="R316" s="2161"/>
      <c r="AG316" s="767"/>
      <c r="AT316" s="699"/>
      <c r="AX316" s="700"/>
    </row>
    <row r="317" spans="1:50" s="742" customFormat="1" ht="14.25" hidden="1" customHeight="1" x14ac:dyDescent="0.25">
      <c r="A317" s="250"/>
      <c r="B317" s="2137"/>
      <c r="C317" s="2137"/>
      <c r="D317" s="2173"/>
      <c r="E317" s="2173"/>
      <c r="F317" s="2173"/>
      <c r="G317" s="2173"/>
      <c r="H317" s="2173"/>
      <c r="I317" s="2177"/>
      <c r="J317" s="2173"/>
      <c r="K317" s="2173"/>
      <c r="L317" s="2173"/>
      <c r="M317" s="2173"/>
      <c r="N317" s="2173"/>
      <c r="O317" s="2173"/>
      <c r="P317" s="2177"/>
      <c r="Q317" s="2161"/>
      <c r="R317" s="2161"/>
      <c r="AG317" s="767"/>
      <c r="AT317" s="699"/>
      <c r="AX317" s="700"/>
    </row>
    <row r="318" spans="1:50" s="742" customFormat="1" ht="14.25" hidden="1" customHeight="1" x14ac:dyDescent="0.25">
      <c r="A318" s="250"/>
      <c r="B318" s="2137" t="s">
        <v>5620</v>
      </c>
      <c r="C318" s="2137"/>
      <c r="D318" s="2173" t="s">
        <v>5494</v>
      </c>
      <c r="E318" s="2173"/>
      <c r="F318" s="2173"/>
      <c r="G318" s="2173"/>
      <c r="H318" s="2173"/>
      <c r="I318" s="2177">
        <v>2</v>
      </c>
      <c r="J318" s="2173" t="s">
        <v>5495</v>
      </c>
      <c r="K318" s="2173"/>
      <c r="L318" s="2173"/>
      <c r="M318" s="2173"/>
      <c r="N318" s="2173"/>
      <c r="O318" s="2173"/>
      <c r="P318" s="2177">
        <v>1</v>
      </c>
      <c r="Q318" s="2161">
        <f>IF(I318="","",(I318+P318)/2)</f>
        <v>1.5</v>
      </c>
      <c r="R318" s="2161" t="str">
        <f>IF(Q318="","",IF(Q318&lt;0.5,"Baja",IF(Q318&lt;1,"Media",IF(Q318&lt;1.5,"Alta","Muy alta"))))</f>
        <v>Muy alta</v>
      </c>
      <c r="AG318" s="767"/>
      <c r="AT318" s="699"/>
      <c r="AX318" s="700"/>
    </row>
    <row r="319" spans="1:50" s="742" customFormat="1" ht="14.25" hidden="1" customHeight="1" x14ac:dyDescent="0.25">
      <c r="A319" s="250"/>
      <c r="B319" s="2137"/>
      <c r="C319" s="2137"/>
      <c r="D319" s="2173"/>
      <c r="E319" s="2173"/>
      <c r="F319" s="2173"/>
      <c r="G319" s="2173"/>
      <c r="H319" s="2173"/>
      <c r="I319" s="2177"/>
      <c r="J319" s="2173"/>
      <c r="K319" s="2173"/>
      <c r="L319" s="2173"/>
      <c r="M319" s="2173"/>
      <c r="N319" s="2173"/>
      <c r="O319" s="2173"/>
      <c r="P319" s="2177"/>
      <c r="Q319" s="2161"/>
      <c r="R319" s="2161"/>
      <c r="AG319" s="767"/>
      <c r="AT319" s="699"/>
      <c r="AX319" s="700"/>
    </row>
    <row r="320" spans="1:50" s="742" customFormat="1" ht="14.25" hidden="1" customHeight="1" x14ac:dyDescent="0.25">
      <c r="A320" s="250"/>
      <c r="B320" s="2137"/>
      <c r="C320" s="2137"/>
      <c r="D320" s="2173"/>
      <c r="E320" s="2173"/>
      <c r="F320" s="2173"/>
      <c r="G320" s="2173"/>
      <c r="H320" s="2173"/>
      <c r="I320" s="2177"/>
      <c r="J320" s="2173"/>
      <c r="K320" s="2173"/>
      <c r="L320" s="2173"/>
      <c r="M320" s="2173"/>
      <c r="N320" s="2173"/>
      <c r="O320" s="2173"/>
      <c r="P320" s="2177"/>
      <c r="Q320" s="2161"/>
      <c r="R320" s="2161"/>
      <c r="AG320" s="767"/>
      <c r="AT320" s="699"/>
      <c r="AX320" s="700"/>
    </row>
    <row r="321" spans="1:50" s="742" customFormat="1" ht="14.25" hidden="1" customHeight="1" x14ac:dyDescent="0.25">
      <c r="A321" s="250"/>
      <c r="B321" s="2137"/>
      <c r="C321" s="2137"/>
      <c r="D321" s="2173"/>
      <c r="E321" s="2173"/>
      <c r="F321" s="2173"/>
      <c r="G321" s="2173"/>
      <c r="H321" s="2173"/>
      <c r="I321" s="2177"/>
      <c r="J321" s="2173"/>
      <c r="K321" s="2173"/>
      <c r="L321" s="2173"/>
      <c r="M321" s="2173"/>
      <c r="N321" s="2173"/>
      <c r="O321" s="2173"/>
      <c r="P321" s="2177"/>
      <c r="Q321" s="2161"/>
      <c r="R321" s="2161"/>
      <c r="AG321" s="767"/>
      <c r="AT321" s="699"/>
      <c r="AX321" s="700"/>
    </row>
    <row r="322" spans="1:50" s="742" customFormat="1" ht="14.25" hidden="1" customHeight="1" x14ac:dyDescent="0.25">
      <c r="A322" s="250"/>
      <c r="B322" s="2137" t="s">
        <v>5620</v>
      </c>
      <c r="C322" s="2137"/>
      <c r="D322" s="2173" t="s">
        <v>5494</v>
      </c>
      <c r="E322" s="2173"/>
      <c r="F322" s="2173"/>
      <c r="G322" s="2173"/>
      <c r="H322" s="2173"/>
      <c r="I322" s="2177">
        <v>2</v>
      </c>
      <c r="J322" s="2173" t="s">
        <v>5496</v>
      </c>
      <c r="K322" s="2173"/>
      <c r="L322" s="2173"/>
      <c r="M322" s="2173"/>
      <c r="N322" s="2173"/>
      <c r="O322" s="2173"/>
      <c r="P322" s="2177">
        <v>1</v>
      </c>
      <c r="Q322" s="2161">
        <f>IF(I322="","",(I322+P322)/2)</f>
        <v>1.5</v>
      </c>
      <c r="R322" s="2161" t="str">
        <f>IF(Q322="","",IF(Q322&lt;0.5,"Baja",IF(Q322&lt;1,"Media",IF(Q322&lt;1.5,"Alta","Muy alta"))))</f>
        <v>Muy alta</v>
      </c>
      <c r="AG322" s="767"/>
      <c r="AT322" s="699"/>
      <c r="AX322" s="700"/>
    </row>
    <row r="323" spans="1:50" s="742" customFormat="1" ht="14.25" hidden="1" customHeight="1" x14ac:dyDescent="0.25">
      <c r="A323" s="250"/>
      <c r="B323" s="2137"/>
      <c r="C323" s="2137"/>
      <c r="D323" s="2173"/>
      <c r="E323" s="2173"/>
      <c r="F323" s="2173"/>
      <c r="G323" s="2173"/>
      <c r="H323" s="2173"/>
      <c r="I323" s="2177"/>
      <c r="J323" s="2173"/>
      <c r="K323" s="2173"/>
      <c r="L323" s="2173"/>
      <c r="M323" s="2173"/>
      <c r="N323" s="2173"/>
      <c r="O323" s="2173"/>
      <c r="P323" s="2177"/>
      <c r="Q323" s="2161"/>
      <c r="R323" s="2161"/>
      <c r="AG323" s="767"/>
      <c r="AT323" s="699"/>
      <c r="AX323" s="700"/>
    </row>
    <row r="324" spans="1:50" s="742" customFormat="1" ht="14.25" hidden="1" customHeight="1" x14ac:dyDescent="0.25">
      <c r="A324" s="250"/>
      <c r="B324" s="2137"/>
      <c r="C324" s="2137"/>
      <c r="D324" s="2173"/>
      <c r="E324" s="2173"/>
      <c r="F324" s="2173"/>
      <c r="G324" s="2173"/>
      <c r="H324" s="2173"/>
      <c r="I324" s="2177"/>
      <c r="J324" s="2173"/>
      <c r="K324" s="2173"/>
      <c r="L324" s="2173"/>
      <c r="M324" s="2173"/>
      <c r="N324" s="2173"/>
      <c r="O324" s="2173"/>
      <c r="P324" s="2177"/>
      <c r="Q324" s="2161"/>
      <c r="R324" s="2161"/>
      <c r="AG324" s="767"/>
      <c r="AT324" s="699"/>
      <c r="AX324" s="700"/>
    </row>
    <row r="325" spans="1:50" s="742" customFormat="1" ht="14.25" hidden="1" customHeight="1" x14ac:dyDescent="0.25">
      <c r="A325" s="250"/>
      <c r="B325" s="2137"/>
      <c r="C325" s="2137"/>
      <c r="D325" s="2173"/>
      <c r="E325" s="2173"/>
      <c r="F325" s="2173"/>
      <c r="G325" s="2173"/>
      <c r="H325" s="2173"/>
      <c r="I325" s="2177"/>
      <c r="J325" s="2173"/>
      <c r="K325" s="2173"/>
      <c r="L325" s="2173"/>
      <c r="M325" s="2173"/>
      <c r="N325" s="2173"/>
      <c r="O325" s="2173"/>
      <c r="P325" s="2177"/>
      <c r="Q325" s="2161"/>
      <c r="R325" s="2161"/>
      <c r="AG325" s="767"/>
      <c r="AT325" s="699"/>
      <c r="AX325" s="700"/>
    </row>
    <row r="326" spans="1:50" s="742" customFormat="1" ht="14.25" hidden="1" customHeight="1" x14ac:dyDescent="0.25">
      <c r="A326" s="250"/>
      <c r="B326" s="2137" t="s">
        <v>5620</v>
      </c>
      <c r="C326" s="2137"/>
      <c r="D326" s="2173" t="s">
        <v>5620</v>
      </c>
      <c r="E326" s="2173"/>
      <c r="F326" s="2173"/>
      <c r="G326" s="2173"/>
      <c r="H326" s="2173"/>
      <c r="I326" s="2177"/>
      <c r="J326" s="2173"/>
      <c r="K326" s="2173"/>
      <c r="L326" s="2173"/>
      <c r="M326" s="2173"/>
      <c r="N326" s="2173"/>
      <c r="O326" s="2173"/>
      <c r="P326" s="2177"/>
      <c r="Q326" s="2161" t="str">
        <f>IF(I326="","",(I326+P326)/2)</f>
        <v/>
      </c>
      <c r="R326" s="2161" t="str">
        <f>IF(Q326="","",IF(Q326&lt;0.5,"Baja",IF(Q326&lt;1,"Media",IF(Q326&lt;1.5,"Alta","Muy alta"))))</f>
        <v/>
      </c>
      <c r="AG326" s="767"/>
      <c r="AT326" s="699"/>
      <c r="AX326" s="700"/>
    </row>
    <row r="327" spans="1:50" s="742" customFormat="1" ht="14.25" hidden="1" customHeight="1" x14ac:dyDescent="0.25">
      <c r="A327" s="250"/>
      <c r="B327" s="2137"/>
      <c r="C327" s="2137"/>
      <c r="D327" s="2173" t="s">
        <v>5620</v>
      </c>
      <c r="E327" s="2173"/>
      <c r="F327" s="2173"/>
      <c r="G327" s="2173"/>
      <c r="H327" s="2173"/>
      <c r="I327" s="2177"/>
      <c r="J327" s="2173"/>
      <c r="K327" s="2173"/>
      <c r="L327" s="2173"/>
      <c r="M327" s="2173"/>
      <c r="N327" s="2173"/>
      <c r="O327" s="2173"/>
      <c r="P327" s="2177"/>
      <c r="Q327" s="2161"/>
      <c r="R327" s="2161"/>
      <c r="AG327" s="767"/>
      <c r="AT327" s="699"/>
      <c r="AX327" s="700"/>
    </row>
    <row r="328" spans="1:50" s="742" customFormat="1" ht="14.25" hidden="1" customHeight="1" x14ac:dyDescent="0.25">
      <c r="A328" s="250"/>
      <c r="B328" s="2137"/>
      <c r="C328" s="2137"/>
      <c r="D328" s="2173" t="s">
        <v>5620</v>
      </c>
      <c r="E328" s="2173"/>
      <c r="F328" s="2173"/>
      <c r="G328" s="2173"/>
      <c r="H328" s="2173"/>
      <c r="I328" s="2177"/>
      <c r="J328" s="2173"/>
      <c r="K328" s="2173"/>
      <c r="L328" s="2173"/>
      <c r="M328" s="2173"/>
      <c r="N328" s="2173"/>
      <c r="O328" s="2173"/>
      <c r="P328" s="2177"/>
      <c r="Q328" s="2161"/>
      <c r="R328" s="2161"/>
      <c r="AG328" s="767"/>
      <c r="AT328" s="699"/>
      <c r="AX328" s="700"/>
    </row>
    <row r="329" spans="1:50" s="742" customFormat="1" ht="14.25" hidden="1" customHeight="1" x14ac:dyDescent="0.25">
      <c r="A329" s="250"/>
      <c r="B329" s="2137"/>
      <c r="C329" s="2137"/>
      <c r="D329" s="2173" t="s">
        <v>5620</v>
      </c>
      <c r="E329" s="2173"/>
      <c r="F329" s="2173"/>
      <c r="G329" s="2173"/>
      <c r="H329" s="2173"/>
      <c r="I329" s="2177"/>
      <c r="J329" s="2173"/>
      <c r="K329" s="2173"/>
      <c r="L329" s="2173"/>
      <c r="M329" s="2173"/>
      <c r="N329" s="2173"/>
      <c r="O329" s="2173"/>
      <c r="P329" s="2177"/>
      <c r="Q329" s="2161"/>
      <c r="R329" s="2161"/>
      <c r="AG329" s="767"/>
      <c r="AT329" s="699"/>
      <c r="AX329" s="700"/>
    </row>
    <row r="330" spans="1:50" s="742" customFormat="1" ht="14.25" hidden="1" customHeight="1" x14ac:dyDescent="0.25">
      <c r="A330" s="250"/>
      <c r="B330" s="2137" t="s">
        <v>5620</v>
      </c>
      <c r="C330" s="2137"/>
      <c r="D330" s="2173" t="s">
        <v>5620</v>
      </c>
      <c r="E330" s="2173"/>
      <c r="F330" s="2173"/>
      <c r="G330" s="2173"/>
      <c r="H330" s="2173"/>
      <c r="I330" s="2177"/>
      <c r="J330" s="2173"/>
      <c r="K330" s="2173"/>
      <c r="L330" s="2173"/>
      <c r="M330" s="2173"/>
      <c r="N330" s="2173"/>
      <c r="O330" s="2173"/>
      <c r="P330" s="2177"/>
      <c r="Q330" s="2161" t="str">
        <f>IF(I330="","",(I330+P330)/2)</f>
        <v/>
      </c>
      <c r="R330" s="2161" t="str">
        <f>IF(Q330="","",IF(Q330&lt;0.5,"Baja",IF(Q330&lt;1,"Media",IF(Q330&lt;1.5,"Alta","Muy alta"))))</f>
        <v/>
      </c>
      <c r="AG330" s="767"/>
      <c r="AT330" s="699"/>
      <c r="AX330" s="700"/>
    </row>
    <row r="331" spans="1:50" s="742" customFormat="1" ht="14.25" hidden="1" customHeight="1" x14ac:dyDescent="0.25">
      <c r="A331" s="250"/>
      <c r="B331" s="2137"/>
      <c r="C331" s="2137"/>
      <c r="D331" s="2173" t="s">
        <v>5620</v>
      </c>
      <c r="E331" s="2173"/>
      <c r="F331" s="2173"/>
      <c r="G331" s="2173"/>
      <c r="H331" s="2173"/>
      <c r="I331" s="2177"/>
      <c r="J331" s="2173"/>
      <c r="K331" s="2173"/>
      <c r="L331" s="2173"/>
      <c r="M331" s="2173"/>
      <c r="N331" s="2173"/>
      <c r="O331" s="2173"/>
      <c r="P331" s="2177"/>
      <c r="Q331" s="2161"/>
      <c r="R331" s="2161"/>
      <c r="AG331" s="767"/>
      <c r="AT331" s="699"/>
      <c r="AX331" s="700"/>
    </row>
    <row r="332" spans="1:50" s="742" customFormat="1" ht="14.25" hidden="1" customHeight="1" x14ac:dyDescent="0.25">
      <c r="A332" s="250"/>
      <c r="B332" s="2137"/>
      <c r="C332" s="2137"/>
      <c r="D332" s="2173" t="s">
        <v>5620</v>
      </c>
      <c r="E332" s="2173"/>
      <c r="F332" s="2173"/>
      <c r="G332" s="2173"/>
      <c r="H332" s="2173"/>
      <c r="I332" s="2177"/>
      <c r="J332" s="2173"/>
      <c r="K332" s="2173"/>
      <c r="L332" s="2173"/>
      <c r="M332" s="2173"/>
      <c r="N332" s="2173"/>
      <c r="O332" s="2173"/>
      <c r="P332" s="2177"/>
      <c r="Q332" s="2161"/>
      <c r="R332" s="2161"/>
      <c r="AG332" s="767"/>
      <c r="AT332" s="699"/>
      <c r="AX332" s="700"/>
    </row>
    <row r="333" spans="1:50" s="742" customFormat="1" ht="14.25" hidden="1" customHeight="1" x14ac:dyDescent="0.25">
      <c r="A333" s="250"/>
      <c r="B333" s="2137"/>
      <c r="C333" s="2137"/>
      <c r="D333" s="2173" t="s">
        <v>5620</v>
      </c>
      <c r="E333" s="2173"/>
      <c r="F333" s="2173"/>
      <c r="G333" s="2173"/>
      <c r="H333" s="2173"/>
      <c r="I333" s="2177"/>
      <c r="J333" s="2173"/>
      <c r="K333" s="2173"/>
      <c r="L333" s="2173"/>
      <c r="M333" s="2173"/>
      <c r="N333" s="2173"/>
      <c r="O333" s="2173"/>
      <c r="P333" s="2177"/>
      <c r="Q333" s="2161"/>
      <c r="R333" s="2161"/>
      <c r="AG333" s="767"/>
      <c r="AT333" s="699"/>
      <c r="AX333" s="700"/>
    </row>
    <row r="334" spans="1:50" s="742" customFormat="1" ht="14.25" hidden="1" customHeight="1" x14ac:dyDescent="0.25">
      <c r="A334" s="250"/>
      <c r="B334" s="2137" t="s">
        <v>5620</v>
      </c>
      <c r="C334" s="2137"/>
      <c r="D334" s="2173" t="s">
        <v>5620</v>
      </c>
      <c r="E334" s="2173"/>
      <c r="F334" s="2173"/>
      <c r="G334" s="2173"/>
      <c r="H334" s="2173"/>
      <c r="I334" s="2177"/>
      <c r="J334" s="2173"/>
      <c r="K334" s="2173"/>
      <c r="L334" s="2173"/>
      <c r="M334" s="2173"/>
      <c r="N334" s="2173"/>
      <c r="O334" s="2173"/>
      <c r="P334" s="2177"/>
      <c r="Q334" s="2161" t="str">
        <f>IF(I334="","",(I334+P334)/2)</f>
        <v/>
      </c>
      <c r="R334" s="2161" t="str">
        <f>IF(Q334="","",IF(Q334&lt;0.5,"Baja",IF(Q334&lt;1,"Media",IF(Q334&lt;1.5,"Alta","Muy alta"))))</f>
        <v/>
      </c>
      <c r="AG334" s="767"/>
      <c r="AT334" s="699"/>
      <c r="AX334" s="700"/>
    </row>
    <row r="335" spans="1:50" s="742" customFormat="1" ht="14.25" hidden="1" customHeight="1" x14ac:dyDescent="0.25">
      <c r="A335" s="250"/>
      <c r="B335" s="2137"/>
      <c r="C335" s="2137"/>
      <c r="D335" s="2173" t="s">
        <v>5620</v>
      </c>
      <c r="E335" s="2173"/>
      <c r="F335" s="2173"/>
      <c r="G335" s="2173"/>
      <c r="H335" s="2173"/>
      <c r="I335" s="2177"/>
      <c r="J335" s="2173"/>
      <c r="K335" s="2173"/>
      <c r="L335" s="2173"/>
      <c r="M335" s="2173"/>
      <c r="N335" s="2173"/>
      <c r="O335" s="2173"/>
      <c r="P335" s="2177"/>
      <c r="Q335" s="2161"/>
      <c r="R335" s="2161"/>
      <c r="AG335" s="767"/>
      <c r="AT335" s="699"/>
      <c r="AX335" s="700"/>
    </row>
    <row r="336" spans="1:50" s="742" customFormat="1" ht="14.25" hidden="1" customHeight="1" x14ac:dyDescent="0.25">
      <c r="A336" s="250"/>
      <c r="B336" s="2137"/>
      <c r="C336" s="2137"/>
      <c r="D336" s="2173" t="s">
        <v>5620</v>
      </c>
      <c r="E336" s="2173"/>
      <c r="F336" s="2173"/>
      <c r="G336" s="2173"/>
      <c r="H336" s="2173"/>
      <c r="I336" s="2177"/>
      <c r="J336" s="2173"/>
      <c r="K336" s="2173"/>
      <c r="L336" s="2173"/>
      <c r="M336" s="2173"/>
      <c r="N336" s="2173"/>
      <c r="O336" s="2173"/>
      <c r="P336" s="2177"/>
      <c r="Q336" s="2161"/>
      <c r="R336" s="2161"/>
      <c r="AG336" s="767"/>
      <c r="AT336" s="699"/>
      <c r="AX336" s="700"/>
    </row>
    <row r="337" spans="1:50" s="742" customFormat="1" ht="14.25" hidden="1" customHeight="1" x14ac:dyDescent="0.25">
      <c r="A337" s="250"/>
      <c r="B337" s="2137"/>
      <c r="C337" s="2137"/>
      <c r="D337" s="2173" t="s">
        <v>5620</v>
      </c>
      <c r="E337" s="2173"/>
      <c r="F337" s="2173"/>
      <c r="G337" s="2173"/>
      <c r="H337" s="2173"/>
      <c r="I337" s="2177"/>
      <c r="J337" s="2173"/>
      <c r="K337" s="2173"/>
      <c r="L337" s="2173"/>
      <c r="M337" s="2173"/>
      <c r="N337" s="2173"/>
      <c r="O337" s="2173"/>
      <c r="P337" s="2177"/>
      <c r="Q337" s="2161"/>
      <c r="R337" s="2161"/>
      <c r="AG337" s="767"/>
      <c r="AT337" s="699"/>
      <c r="AX337" s="700"/>
    </row>
    <row r="338" spans="1:50" s="742" customFormat="1" hidden="1" x14ac:dyDescent="0.25">
      <c r="A338" s="250"/>
      <c r="B338" s="742" t="s">
        <v>5461</v>
      </c>
      <c r="E338" s="68"/>
      <c r="AG338" s="767"/>
      <c r="AT338" s="699"/>
      <c r="AX338" s="700"/>
    </row>
    <row r="339" spans="1:50" hidden="1" x14ac:dyDescent="0.25"/>
    <row r="340" spans="1:50" s="708" customFormat="1" ht="12.75" hidden="1" x14ac:dyDescent="0.2">
      <c r="B340" s="91" t="s">
        <v>5497</v>
      </c>
    </row>
    <row r="341" spans="1:50" s="708" customFormat="1" ht="12.75" hidden="1" x14ac:dyDescent="0.2"/>
    <row r="342" spans="1:50" s="708" customFormat="1" ht="12.75" hidden="1" x14ac:dyDescent="0.2">
      <c r="B342" s="2163" t="s">
        <v>5468</v>
      </c>
      <c r="C342" s="2163"/>
      <c r="D342" s="2163"/>
      <c r="E342" s="2163"/>
      <c r="F342" s="2163"/>
      <c r="G342" s="2163"/>
      <c r="H342" s="2163"/>
      <c r="I342" s="2163"/>
    </row>
    <row r="343" spans="1:50" s="708" customFormat="1" ht="12.75" hidden="1" x14ac:dyDescent="0.2">
      <c r="B343" s="2163"/>
      <c r="C343" s="2163"/>
      <c r="D343" s="2163"/>
      <c r="E343" s="2163"/>
      <c r="F343" s="2163"/>
      <c r="G343" s="2163"/>
      <c r="H343" s="2163"/>
      <c r="I343" s="2163"/>
    </row>
    <row r="344" spans="1:50" s="708" customFormat="1" ht="12.75" hidden="1" x14ac:dyDescent="0.2">
      <c r="B344" s="2163"/>
      <c r="C344" s="2163"/>
      <c r="D344" s="2163"/>
      <c r="E344" s="2163"/>
      <c r="F344" s="2163"/>
      <c r="G344" s="2163"/>
      <c r="H344" s="2163"/>
      <c r="I344" s="2163"/>
    </row>
    <row r="345" spans="1:50" s="708" customFormat="1" ht="13.5" hidden="1" thickBot="1" x14ac:dyDescent="0.25"/>
    <row r="346" spans="1:50" s="708" customFormat="1" ht="13.5" hidden="1" thickBot="1" x14ac:dyDescent="0.25">
      <c r="D346" s="709" t="s">
        <v>5420</v>
      </c>
      <c r="E346" s="709" t="s">
        <v>5422</v>
      </c>
      <c r="F346" s="709" t="s">
        <v>5130</v>
      </c>
      <c r="G346" s="709" t="s">
        <v>5425</v>
      </c>
    </row>
    <row r="347" spans="1:50" s="708" customFormat="1" ht="13.5" hidden="1" thickBot="1" x14ac:dyDescent="0.25">
      <c r="C347" s="709" t="s">
        <v>5420</v>
      </c>
      <c r="D347" s="710" t="s">
        <v>5130</v>
      </c>
      <c r="E347" s="711" t="s">
        <v>5422</v>
      </c>
      <c r="F347" s="712" t="s">
        <v>5420</v>
      </c>
      <c r="G347" s="712" t="s">
        <v>5420</v>
      </c>
    </row>
    <row r="348" spans="1:50" s="708" customFormat="1" ht="13.5" hidden="1" thickBot="1" x14ac:dyDescent="0.25">
      <c r="C348" s="713" t="s">
        <v>5422</v>
      </c>
      <c r="D348" s="714" t="s">
        <v>5130</v>
      </c>
      <c r="E348" s="715" t="s">
        <v>5422</v>
      </c>
      <c r="F348" s="715" t="s">
        <v>5422</v>
      </c>
      <c r="G348" s="716" t="s">
        <v>5420</v>
      </c>
    </row>
    <row r="349" spans="1:50" s="708" customFormat="1" ht="13.5" hidden="1" thickBot="1" x14ac:dyDescent="0.25">
      <c r="C349" s="713" t="s">
        <v>5130</v>
      </c>
      <c r="D349" s="717" t="s">
        <v>5425</v>
      </c>
      <c r="E349" s="714" t="s">
        <v>5130</v>
      </c>
      <c r="F349" s="715" t="s">
        <v>5422</v>
      </c>
      <c r="G349" s="715" t="s">
        <v>5422</v>
      </c>
    </row>
    <row r="350" spans="1:50" s="708" customFormat="1" ht="13.5" hidden="1" thickBot="1" x14ac:dyDescent="0.25">
      <c r="C350" s="713" t="s">
        <v>5425</v>
      </c>
      <c r="D350" s="717" t="s">
        <v>5425</v>
      </c>
      <c r="E350" s="717" t="s">
        <v>5425</v>
      </c>
      <c r="F350" s="714" t="s">
        <v>5130</v>
      </c>
      <c r="G350" s="714" t="s">
        <v>5130</v>
      </c>
    </row>
    <row r="351" spans="1:50" s="708" customFormat="1" ht="13.5" hidden="1" thickBot="1" x14ac:dyDescent="0.25">
      <c r="C351" s="718"/>
      <c r="D351" s="719" t="s">
        <v>5420</v>
      </c>
      <c r="E351" s="719" t="s">
        <v>5422</v>
      </c>
      <c r="F351" s="719" t="s">
        <v>5130</v>
      </c>
      <c r="G351" s="719" t="s">
        <v>5425</v>
      </c>
    </row>
    <row r="352" spans="1:50" s="708" customFormat="1" ht="12.75" hidden="1" x14ac:dyDescent="0.2"/>
    <row r="353" spans="2:9" s="708" customFormat="1" ht="12.75" hidden="1" x14ac:dyDescent="0.2"/>
    <row r="354" spans="2:9" hidden="1" x14ac:dyDescent="0.25"/>
    <row r="355" spans="2:9" hidden="1" x14ac:dyDescent="0.25">
      <c r="B355" s="373" t="s">
        <v>5498</v>
      </c>
    </row>
    <row r="356" spans="2:9" hidden="1" x14ac:dyDescent="0.25"/>
    <row r="357" spans="2:9" hidden="1" x14ac:dyDescent="0.25">
      <c r="B357" s="2164" t="s">
        <v>27</v>
      </c>
      <c r="C357" s="2164"/>
      <c r="D357" s="2164" t="s">
        <v>5470</v>
      </c>
      <c r="E357" s="2164"/>
      <c r="F357" s="2164" t="s">
        <v>5471</v>
      </c>
      <c r="G357" s="2164"/>
      <c r="H357" s="2164" t="s">
        <v>4782</v>
      </c>
      <c r="I357" s="2164"/>
    </row>
    <row r="358" spans="2:9" hidden="1" x14ac:dyDescent="0.25">
      <c r="B358" s="2164"/>
      <c r="C358" s="2164"/>
      <c r="D358" s="2164"/>
      <c r="E358" s="2164"/>
      <c r="F358" s="2164"/>
      <c r="G358" s="2164"/>
      <c r="H358" s="2164"/>
      <c r="I358" s="2164"/>
    </row>
    <row r="359" spans="2:9" hidden="1" x14ac:dyDescent="0.25">
      <c r="B359" s="2119" t="str">
        <f>B271</f>
        <v/>
      </c>
      <c r="C359" s="2120"/>
      <c r="D359" s="2165" t="str">
        <f>T271</f>
        <v>Media</v>
      </c>
      <c r="E359" s="2166"/>
      <c r="F359" s="2165" t="str">
        <f>R314</f>
        <v>Muy alta</v>
      </c>
      <c r="G359" s="2166"/>
      <c r="H359" s="2165" t="str">
        <f t="shared" ref="H359:H364" si="32">IF(D359="","",VLOOKUP(D359,$C$85:$G$89,MATCH(F359,$C$85:$G$85,0),FALSE))</f>
        <v>Baja</v>
      </c>
      <c r="I359" s="2166"/>
    </row>
    <row r="360" spans="2:9" hidden="1" x14ac:dyDescent="0.25">
      <c r="B360" s="2119" t="str">
        <f>B277</f>
        <v/>
      </c>
      <c r="C360" s="2120"/>
      <c r="D360" s="2165" t="str">
        <f>T277</f>
        <v>Media</v>
      </c>
      <c r="E360" s="2166"/>
      <c r="F360" s="2165" t="str">
        <f>R318</f>
        <v>Muy alta</v>
      </c>
      <c r="G360" s="2166"/>
      <c r="H360" s="2165" t="str">
        <f t="shared" si="32"/>
        <v>Baja</v>
      </c>
      <c r="I360" s="2166"/>
    </row>
    <row r="361" spans="2:9" hidden="1" x14ac:dyDescent="0.25">
      <c r="B361" s="2119" t="str">
        <f>B283</f>
        <v/>
      </c>
      <c r="C361" s="2120"/>
      <c r="D361" s="2165" t="str">
        <f>T283</f>
        <v>Baja</v>
      </c>
      <c r="E361" s="2166"/>
      <c r="F361" s="2165" t="str">
        <f>R322</f>
        <v>Muy alta</v>
      </c>
      <c r="G361" s="2166"/>
      <c r="H361" s="2165" t="str">
        <f t="shared" si="32"/>
        <v>Baja</v>
      </c>
      <c r="I361" s="2166"/>
    </row>
    <row r="362" spans="2:9" hidden="1" x14ac:dyDescent="0.25">
      <c r="B362" s="2119" t="str">
        <f>B289</f>
        <v/>
      </c>
      <c r="C362" s="2120"/>
      <c r="D362" s="2165" t="str">
        <f>T289</f>
        <v/>
      </c>
      <c r="E362" s="2166"/>
      <c r="F362" s="2165" t="str">
        <f>R326</f>
        <v/>
      </c>
      <c r="G362" s="2166"/>
      <c r="H362" s="2165" t="str">
        <f t="shared" si="32"/>
        <v/>
      </c>
      <c r="I362" s="2166"/>
    </row>
    <row r="363" spans="2:9" hidden="1" x14ac:dyDescent="0.25">
      <c r="B363" s="2119" t="str">
        <f>B295</f>
        <v/>
      </c>
      <c r="C363" s="2120"/>
      <c r="D363" s="2165" t="str">
        <f>T295</f>
        <v/>
      </c>
      <c r="E363" s="2166"/>
      <c r="F363" s="2165" t="str">
        <f>R330</f>
        <v/>
      </c>
      <c r="G363" s="2166"/>
      <c r="H363" s="2165" t="str">
        <f t="shared" si="32"/>
        <v/>
      </c>
      <c r="I363" s="2166"/>
    </row>
    <row r="364" spans="2:9" hidden="1" x14ac:dyDescent="0.25">
      <c r="B364" s="2119" t="str">
        <f>B301</f>
        <v/>
      </c>
      <c r="C364" s="2120"/>
      <c r="D364" s="2165" t="str">
        <f>T301</f>
        <v/>
      </c>
      <c r="E364" s="2166"/>
      <c r="F364" s="2165" t="str">
        <f>R334</f>
        <v/>
      </c>
      <c r="G364" s="2166"/>
      <c r="H364" s="2165" t="str">
        <f t="shared" si="32"/>
        <v/>
      </c>
      <c r="I364" s="2166"/>
    </row>
    <row r="365" spans="2:9" hidden="1" x14ac:dyDescent="0.25"/>
    <row r="366" spans="2:9" hidden="1" x14ac:dyDescent="0.25"/>
    <row r="367" spans="2:9" hidden="1" x14ac:dyDescent="0.25">
      <c r="B367" s="322" t="s">
        <v>5499</v>
      </c>
    </row>
    <row r="368" spans="2:9" hidden="1" x14ac:dyDescent="0.25"/>
    <row r="369" spans="2:9" hidden="1" x14ac:dyDescent="0.25">
      <c r="B369" s="2169" t="s">
        <v>5473</v>
      </c>
      <c r="C369" s="2169"/>
      <c r="D369" s="2169"/>
      <c r="E369" s="2169"/>
      <c r="F369" s="2169"/>
      <c r="G369" s="2169"/>
      <c r="H369" s="2169"/>
      <c r="I369" s="2169"/>
    </row>
    <row r="370" spans="2:9" hidden="1" x14ac:dyDescent="0.25">
      <c r="B370" s="2169"/>
      <c r="C370" s="2169"/>
      <c r="D370" s="2169"/>
      <c r="E370" s="2169"/>
      <c r="F370" s="2169"/>
      <c r="G370" s="2169"/>
      <c r="H370" s="2169"/>
      <c r="I370" s="2169"/>
    </row>
    <row r="371" spans="2:9" hidden="1" x14ac:dyDescent="0.25">
      <c r="B371" s="2169"/>
      <c r="C371" s="2169"/>
      <c r="D371" s="2169"/>
      <c r="E371" s="2169"/>
      <c r="F371" s="2169"/>
      <c r="G371" s="2169"/>
      <c r="H371" s="2169"/>
      <c r="I371" s="2169"/>
    </row>
    <row r="372" spans="2:9" hidden="1" x14ac:dyDescent="0.25"/>
    <row r="373" spans="2:9" hidden="1" x14ac:dyDescent="0.25">
      <c r="B373" s="322" t="s">
        <v>5500</v>
      </c>
    </row>
    <row r="374" spans="2:9" ht="15.75" hidden="1" thickBot="1" x14ac:dyDescent="0.3"/>
    <row r="375" spans="2:9" ht="15.75" hidden="1" thickBot="1" x14ac:dyDescent="0.3">
      <c r="D375" s="709" t="s">
        <v>5425</v>
      </c>
      <c r="E375" s="709" t="s">
        <v>5130</v>
      </c>
      <c r="F375" s="709" t="s">
        <v>5422</v>
      </c>
      <c r="G375" s="709" t="s">
        <v>5420</v>
      </c>
    </row>
    <row r="376" spans="2:9" ht="15.75" hidden="1" thickBot="1" x14ac:dyDescent="0.3">
      <c r="C376" s="720" t="s">
        <v>5420</v>
      </c>
      <c r="D376" s="710" t="s">
        <v>5130</v>
      </c>
      <c r="E376" s="711" t="s">
        <v>5422</v>
      </c>
      <c r="F376" s="712" t="s">
        <v>5420</v>
      </c>
      <c r="G376" s="712" t="s">
        <v>5420</v>
      </c>
    </row>
    <row r="377" spans="2:9" ht="15.75" hidden="1" thickBot="1" x14ac:dyDescent="0.3">
      <c r="C377" s="721" t="s">
        <v>5422</v>
      </c>
      <c r="D377" s="714" t="s">
        <v>5130</v>
      </c>
      <c r="E377" s="715" t="s">
        <v>5422</v>
      </c>
      <c r="F377" s="715" t="s">
        <v>5422</v>
      </c>
      <c r="G377" s="716" t="s">
        <v>5420</v>
      </c>
    </row>
    <row r="378" spans="2:9" ht="15.75" hidden="1" thickBot="1" x14ac:dyDescent="0.3">
      <c r="C378" s="721" t="s">
        <v>5130</v>
      </c>
      <c r="D378" s="717" t="s">
        <v>5425</v>
      </c>
      <c r="E378" s="714" t="s">
        <v>5130</v>
      </c>
      <c r="F378" s="715" t="s">
        <v>5422</v>
      </c>
      <c r="G378" s="715" t="s">
        <v>5422</v>
      </c>
    </row>
    <row r="379" spans="2:9" ht="15.75" hidden="1" thickBot="1" x14ac:dyDescent="0.3">
      <c r="C379" s="721" t="s">
        <v>5425</v>
      </c>
      <c r="D379" s="717" t="s">
        <v>5425</v>
      </c>
      <c r="E379" s="717" t="s">
        <v>5425</v>
      </c>
      <c r="F379" s="714" t="s">
        <v>5130</v>
      </c>
      <c r="G379" s="714" t="s">
        <v>5130</v>
      </c>
    </row>
    <row r="380" spans="2:9" ht="15.75" hidden="1" thickBot="1" x14ac:dyDescent="0.3">
      <c r="C380" s="722"/>
      <c r="D380" s="723" t="s">
        <v>433</v>
      </c>
      <c r="E380" s="723" t="s">
        <v>434</v>
      </c>
      <c r="F380" s="723" t="s">
        <v>435</v>
      </c>
      <c r="G380" s="723" t="s">
        <v>432</v>
      </c>
    </row>
    <row r="381" spans="2:9" hidden="1" x14ac:dyDescent="0.25"/>
    <row r="382" spans="2:9" hidden="1" x14ac:dyDescent="0.25"/>
    <row r="383" spans="2:9" hidden="1" x14ac:dyDescent="0.25"/>
    <row r="384" spans="2:9" hidden="1" x14ac:dyDescent="0.25">
      <c r="B384" s="2164" t="s">
        <v>27</v>
      </c>
      <c r="C384" s="2164"/>
      <c r="D384" s="2164" t="s">
        <v>5501</v>
      </c>
      <c r="E384" s="2164"/>
      <c r="F384" s="2164" t="s">
        <v>5502</v>
      </c>
      <c r="G384" s="2164"/>
      <c r="H384" s="2164" t="s">
        <v>5475</v>
      </c>
      <c r="I384" s="2164"/>
    </row>
    <row r="385" spans="2:9" hidden="1" x14ac:dyDescent="0.25">
      <c r="B385" s="2164"/>
      <c r="C385" s="2164"/>
      <c r="D385" s="2164"/>
      <c r="E385" s="2164"/>
      <c r="F385" s="2164"/>
      <c r="G385" s="2164"/>
      <c r="H385" s="2164"/>
      <c r="I385" s="2164"/>
    </row>
    <row r="386" spans="2:9" hidden="1" x14ac:dyDescent="0.25">
      <c r="B386" s="2119" t="str">
        <f t="shared" ref="B386:B391" si="33">B359</f>
        <v/>
      </c>
      <c r="C386" s="2120"/>
      <c r="D386" s="2165" t="s">
        <v>5620</v>
      </c>
      <c r="E386" s="2166"/>
      <c r="F386" s="2165" t="str">
        <f t="shared" ref="F386:F391" si="34">IF(H359="","",H359)</f>
        <v>Baja</v>
      </c>
      <c r="G386" s="2166"/>
      <c r="H386" s="2165" t="str">
        <f t="shared" ref="H386:H391" si="35">IF(D386="","",VLOOKUP(D386,$C$114:$G$118,MATCH(F386,$C$114:$G$114,0),FALSE))</f>
        <v/>
      </c>
      <c r="I386" s="2166"/>
    </row>
    <row r="387" spans="2:9" hidden="1" x14ac:dyDescent="0.25">
      <c r="B387" s="2119" t="str">
        <f t="shared" si="33"/>
        <v/>
      </c>
      <c r="C387" s="2120"/>
      <c r="D387" s="2165" t="s">
        <v>5620</v>
      </c>
      <c r="E387" s="2166"/>
      <c r="F387" s="2165" t="str">
        <f t="shared" si="34"/>
        <v>Baja</v>
      </c>
      <c r="G387" s="2166"/>
      <c r="H387" s="2165" t="str">
        <f t="shared" si="35"/>
        <v/>
      </c>
      <c r="I387" s="2166"/>
    </row>
    <row r="388" spans="2:9" hidden="1" x14ac:dyDescent="0.25">
      <c r="B388" s="2119" t="str">
        <f t="shared" si="33"/>
        <v/>
      </c>
      <c r="C388" s="2120"/>
      <c r="D388" s="2165" t="s">
        <v>5620</v>
      </c>
      <c r="E388" s="2166"/>
      <c r="F388" s="2165" t="str">
        <f t="shared" si="34"/>
        <v>Baja</v>
      </c>
      <c r="G388" s="2166"/>
      <c r="H388" s="2165" t="str">
        <f t="shared" si="35"/>
        <v/>
      </c>
      <c r="I388" s="2166"/>
    </row>
    <row r="389" spans="2:9" hidden="1" x14ac:dyDescent="0.25">
      <c r="B389" s="2119" t="str">
        <f t="shared" si="33"/>
        <v/>
      </c>
      <c r="C389" s="2120"/>
      <c r="D389" s="2165" t="s">
        <v>5620</v>
      </c>
      <c r="E389" s="2166"/>
      <c r="F389" s="2165" t="str">
        <f t="shared" si="34"/>
        <v/>
      </c>
      <c r="G389" s="2166"/>
      <c r="H389" s="2165" t="str">
        <f t="shared" si="35"/>
        <v/>
      </c>
      <c r="I389" s="2166"/>
    </row>
    <row r="390" spans="2:9" hidden="1" x14ac:dyDescent="0.25">
      <c r="B390" s="2119" t="str">
        <f t="shared" si="33"/>
        <v/>
      </c>
      <c r="C390" s="2120"/>
      <c r="D390" s="2165" t="s">
        <v>5620</v>
      </c>
      <c r="E390" s="2166"/>
      <c r="F390" s="2165" t="str">
        <f t="shared" si="34"/>
        <v/>
      </c>
      <c r="G390" s="2166"/>
      <c r="H390" s="2165" t="str">
        <f t="shared" si="35"/>
        <v/>
      </c>
      <c r="I390" s="2166"/>
    </row>
    <row r="391" spans="2:9" hidden="1" x14ac:dyDescent="0.25">
      <c r="B391" s="2119" t="str">
        <f t="shared" si="33"/>
        <v/>
      </c>
      <c r="C391" s="2120"/>
      <c r="D391" s="2165" t="s">
        <v>5620</v>
      </c>
      <c r="E391" s="2166"/>
      <c r="F391" s="2165" t="str">
        <f t="shared" si="34"/>
        <v/>
      </c>
      <c r="G391" s="2166"/>
      <c r="H391" s="2165" t="str">
        <f t="shared" si="35"/>
        <v/>
      </c>
      <c r="I391" s="2166"/>
    </row>
    <row r="392" spans="2:9" hidden="1" x14ac:dyDescent="0.25"/>
  </sheetData>
  <sheetProtection password="9AA6" sheet="1" objects="1" scenarios="1"/>
  <mergeCells count="729">
    <mergeCell ref="B390:C390"/>
    <mergeCell ref="D390:E390"/>
    <mergeCell ref="F390:G390"/>
    <mergeCell ref="H390:I390"/>
    <mergeCell ref="B391:C391"/>
    <mergeCell ref="D391:E391"/>
    <mergeCell ref="F391:G391"/>
    <mergeCell ref="H391:I391"/>
    <mergeCell ref="B388:C388"/>
    <mergeCell ref="D388:E388"/>
    <mergeCell ref="F388:G388"/>
    <mergeCell ref="H388:I388"/>
    <mergeCell ref="B389:C389"/>
    <mergeCell ref="D389:E389"/>
    <mergeCell ref="F389:G389"/>
    <mergeCell ref="H389:I389"/>
    <mergeCell ref="B386:C386"/>
    <mergeCell ref="D386:E386"/>
    <mergeCell ref="F386:G386"/>
    <mergeCell ref="H386:I386"/>
    <mergeCell ref="B387:C387"/>
    <mergeCell ref="D387:E387"/>
    <mergeCell ref="F387:G387"/>
    <mergeCell ref="H387:I387"/>
    <mergeCell ref="B364:C364"/>
    <mergeCell ref="D364:E364"/>
    <mergeCell ref="F364:G364"/>
    <mergeCell ref="H364:I364"/>
    <mergeCell ref="B369:I371"/>
    <mergeCell ref="B384:C385"/>
    <mergeCell ref="D384:E385"/>
    <mergeCell ref="F384:G385"/>
    <mergeCell ref="H384:I385"/>
    <mergeCell ref="B362:C362"/>
    <mergeCell ref="D362:E362"/>
    <mergeCell ref="F362:G362"/>
    <mergeCell ref="H362:I362"/>
    <mergeCell ref="B363:C363"/>
    <mergeCell ref="D363:E363"/>
    <mergeCell ref="F363:G363"/>
    <mergeCell ref="H363:I363"/>
    <mergeCell ref="B360:C360"/>
    <mergeCell ref="D360:E360"/>
    <mergeCell ref="F360:G360"/>
    <mergeCell ref="H360:I360"/>
    <mergeCell ref="B361:C361"/>
    <mergeCell ref="D361:E361"/>
    <mergeCell ref="F361:G361"/>
    <mergeCell ref="H361:I361"/>
    <mergeCell ref="B342:I344"/>
    <mergeCell ref="B357:C358"/>
    <mergeCell ref="D357:E358"/>
    <mergeCell ref="F357:G358"/>
    <mergeCell ref="H357:I358"/>
    <mergeCell ref="B359:C359"/>
    <mergeCell ref="D359:E359"/>
    <mergeCell ref="F359:G359"/>
    <mergeCell ref="H359:I359"/>
    <mergeCell ref="R330:R333"/>
    <mergeCell ref="B334:C337"/>
    <mergeCell ref="D334:H337"/>
    <mergeCell ref="I334:I337"/>
    <mergeCell ref="J334:O337"/>
    <mergeCell ref="P334:P337"/>
    <mergeCell ref="Q334:Q337"/>
    <mergeCell ref="R334:R337"/>
    <mergeCell ref="B330:C333"/>
    <mergeCell ref="D330:H333"/>
    <mergeCell ref="I330:I333"/>
    <mergeCell ref="J330:O333"/>
    <mergeCell ref="P330:P333"/>
    <mergeCell ref="Q330:Q333"/>
    <mergeCell ref="R322:R325"/>
    <mergeCell ref="B326:C329"/>
    <mergeCell ref="D326:H329"/>
    <mergeCell ref="I326:I329"/>
    <mergeCell ref="J326:O329"/>
    <mergeCell ref="P326:P329"/>
    <mergeCell ref="Q326:Q329"/>
    <mergeCell ref="R326:R329"/>
    <mergeCell ref="B322:C325"/>
    <mergeCell ref="D322:H325"/>
    <mergeCell ref="I322:I325"/>
    <mergeCell ref="J322:O325"/>
    <mergeCell ref="P322:P325"/>
    <mergeCell ref="Q322:Q325"/>
    <mergeCell ref="R314:R317"/>
    <mergeCell ref="B318:C321"/>
    <mergeCell ref="D318:H321"/>
    <mergeCell ref="I318:I321"/>
    <mergeCell ref="J318:O321"/>
    <mergeCell ref="P318:P321"/>
    <mergeCell ref="Q318:Q321"/>
    <mergeCell ref="R318:R321"/>
    <mergeCell ref="B314:C317"/>
    <mergeCell ref="D314:H317"/>
    <mergeCell ref="I314:I317"/>
    <mergeCell ref="J314:O317"/>
    <mergeCell ref="P314:P317"/>
    <mergeCell ref="Q314:Q317"/>
    <mergeCell ref="Q311:R311"/>
    <mergeCell ref="D312:H312"/>
    <mergeCell ref="J312:O312"/>
    <mergeCell ref="B313:C313"/>
    <mergeCell ref="D313:H313"/>
    <mergeCell ref="J313:O313"/>
    <mergeCell ref="K305:O305"/>
    <mergeCell ref="D306:E306"/>
    <mergeCell ref="F306:I306"/>
    <mergeCell ref="K306:O306"/>
    <mergeCell ref="B311:C312"/>
    <mergeCell ref="D311:I311"/>
    <mergeCell ref="J311:P311"/>
    <mergeCell ref="S301:S306"/>
    <mergeCell ref="T301:T306"/>
    <mergeCell ref="D302:E302"/>
    <mergeCell ref="F302:I302"/>
    <mergeCell ref="K302:O302"/>
    <mergeCell ref="D303:E303"/>
    <mergeCell ref="F303:I303"/>
    <mergeCell ref="K303:O303"/>
    <mergeCell ref="D304:E304"/>
    <mergeCell ref="F304:I304"/>
    <mergeCell ref="B295:C300"/>
    <mergeCell ref="D295:E295"/>
    <mergeCell ref="F295:I295"/>
    <mergeCell ref="K295:O295"/>
    <mergeCell ref="D300:E300"/>
    <mergeCell ref="F300:I300"/>
    <mergeCell ref="K300:O300"/>
    <mergeCell ref="B301:C306"/>
    <mergeCell ref="D301:E301"/>
    <mergeCell ref="F301:I301"/>
    <mergeCell ref="K301:O301"/>
    <mergeCell ref="K304:O304"/>
    <mergeCell ref="D305:E305"/>
    <mergeCell ref="F305:I305"/>
    <mergeCell ref="K291:O291"/>
    <mergeCell ref="D292:E292"/>
    <mergeCell ref="F292:I292"/>
    <mergeCell ref="F297:I297"/>
    <mergeCell ref="K297:O297"/>
    <mergeCell ref="D298:E298"/>
    <mergeCell ref="F298:I298"/>
    <mergeCell ref="K298:O298"/>
    <mergeCell ref="D299:E299"/>
    <mergeCell ref="F299:I299"/>
    <mergeCell ref="K299:O299"/>
    <mergeCell ref="B289:C294"/>
    <mergeCell ref="D289:E289"/>
    <mergeCell ref="F289:I289"/>
    <mergeCell ref="K289:O289"/>
    <mergeCell ref="K292:O292"/>
    <mergeCell ref="S295:S300"/>
    <mergeCell ref="T295:T300"/>
    <mergeCell ref="D296:E296"/>
    <mergeCell ref="F296:I296"/>
    <mergeCell ref="K296:O296"/>
    <mergeCell ref="D297:E297"/>
    <mergeCell ref="D293:E293"/>
    <mergeCell ref="F293:I293"/>
    <mergeCell ref="K293:O293"/>
    <mergeCell ref="D294:E294"/>
    <mergeCell ref="F294:I294"/>
    <mergeCell ref="K294:O294"/>
    <mergeCell ref="S289:S294"/>
    <mergeCell ref="T289:T294"/>
    <mergeCell ref="D290:E290"/>
    <mergeCell ref="F290:I290"/>
    <mergeCell ref="K290:O290"/>
    <mergeCell ref="D291:E291"/>
    <mergeCell ref="F291:I291"/>
    <mergeCell ref="B283:C288"/>
    <mergeCell ref="D283:E283"/>
    <mergeCell ref="F283:I283"/>
    <mergeCell ref="K283:O283"/>
    <mergeCell ref="K286:O286"/>
    <mergeCell ref="D287:E287"/>
    <mergeCell ref="S283:S288"/>
    <mergeCell ref="T283:T288"/>
    <mergeCell ref="D284:E284"/>
    <mergeCell ref="F284:I284"/>
    <mergeCell ref="K284:O284"/>
    <mergeCell ref="D285:E285"/>
    <mergeCell ref="F285:I285"/>
    <mergeCell ref="K285:O285"/>
    <mergeCell ref="D286:E286"/>
    <mergeCell ref="F286:I286"/>
    <mergeCell ref="F287:I287"/>
    <mergeCell ref="K287:O287"/>
    <mergeCell ref="D288:E288"/>
    <mergeCell ref="F288:I288"/>
    <mergeCell ref="K288:O288"/>
    <mergeCell ref="S277:S282"/>
    <mergeCell ref="T277:T282"/>
    <mergeCell ref="D278:E278"/>
    <mergeCell ref="F278:I278"/>
    <mergeCell ref="K278:O278"/>
    <mergeCell ref="D279:E279"/>
    <mergeCell ref="F279:I279"/>
    <mergeCell ref="K279:O279"/>
    <mergeCell ref="D280:E280"/>
    <mergeCell ref="F280:I280"/>
    <mergeCell ref="K281:O281"/>
    <mergeCell ref="D282:E282"/>
    <mergeCell ref="F282:I282"/>
    <mergeCell ref="K282:O282"/>
    <mergeCell ref="F271:I271"/>
    <mergeCell ref="K271:O271"/>
    <mergeCell ref="D276:E276"/>
    <mergeCell ref="F276:I276"/>
    <mergeCell ref="K276:O276"/>
    <mergeCell ref="B277:C282"/>
    <mergeCell ref="D277:E277"/>
    <mergeCell ref="F277:I277"/>
    <mergeCell ref="K277:O277"/>
    <mergeCell ref="K280:O280"/>
    <mergeCell ref="D281:E281"/>
    <mergeCell ref="F281:I281"/>
    <mergeCell ref="S271:S276"/>
    <mergeCell ref="T271:T276"/>
    <mergeCell ref="D272:E272"/>
    <mergeCell ref="F272:I272"/>
    <mergeCell ref="K272:O272"/>
    <mergeCell ref="D273:E273"/>
    <mergeCell ref="B269:C270"/>
    <mergeCell ref="D269:E270"/>
    <mergeCell ref="F269:J269"/>
    <mergeCell ref="K269:P269"/>
    <mergeCell ref="Q269:R269"/>
    <mergeCell ref="S269:T269"/>
    <mergeCell ref="F270:I270"/>
    <mergeCell ref="K270:O270"/>
    <mergeCell ref="F273:I273"/>
    <mergeCell ref="K273:O273"/>
    <mergeCell ref="D274:E274"/>
    <mergeCell ref="F274:I274"/>
    <mergeCell ref="K274:O274"/>
    <mergeCell ref="D275:E275"/>
    <mergeCell ref="F275:I275"/>
    <mergeCell ref="K275:O275"/>
    <mergeCell ref="B271:C276"/>
    <mergeCell ref="D271:E271"/>
    <mergeCell ref="B260:C260"/>
    <mergeCell ref="D260:E260"/>
    <mergeCell ref="F260:G260"/>
    <mergeCell ref="H260:I260"/>
    <mergeCell ref="B261:C261"/>
    <mergeCell ref="D261:E261"/>
    <mergeCell ref="F261:G261"/>
    <mergeCell ref="H261:I261"/>
    <mergeCell ref="B258:C258"/>
    <mergeCell ref="D258:E258"/>
    <mergeCell ref="F258:G258"/>
    <mergeCell ref="H258:I258"/>
    <mergeCell ref="B259:C259"/>
    <mergeCell ref="D259:E259"/>
    <mergeCell ref="F259:G259"/>
    <mergeCell ref="H259:I259"/>
    <mergeCell ref="B256:C256"/>
    <mergeCell ref="D256:E256"/>
    <mergeCell ref="F256:G256"/>
    <mergeCell ref="H256:I256"/>
    <mergeCell ref="B257:C257"/>
    <mergeCell ref="D257:E257"/>
    <mergeCell ref="F257:G257"/>
    <mergeCell ref="H257:I257"/>
    <mergeCell ref="B234:C234"/>
    <mergeCell ref="D234:E234"/>
    <mergeCell ref="F234:G234"/>
    <mergeCell ref="H234:I234"/>
    <mergeCell ref="B239:I241"/>
    <mergeCell ref="B254:C255"/>
    <mergeCell ref="D254:E255"/>
    <mergeCell ref="F254:G255"/>
    <mergeCell ref="H254:I255"/>
    <mergeCell ref="B232:C232"/>
    <mergeCell ref="D232:E232"/>
    <mergeCell ref="F232:G232"/>
    <mergeCell ref="H232:I232"/>
    <mergeCell ref="B233:C233"/>
    <mergeCell ref="D233:E233"/>
    <mergeCell ref="F233:G233"/>
    <mergeCell ref="H233:I233"/>
    <mergeCell ref="B230:C230"/>
    <mergeCell ref="D230:E230"/>
    <mergeCell ref="F230:G230"/>
    <mergeCell ref="H230:I230"/>
    <mergeCell ref="B231:C231"/>
    <mergeCell ref="D231:E231"/>
    <mergeCell ref="F231:G231"/>
    <mergeCell ref="H231:I231"/>
    <mergeCell ref="B212:I214"/>
    <mergeCell ref="B227:C228"/>
    <mergeCell ref="D227:E228"/>
    <mergeCell ref="F227:G228"/>
    <mergeCell ref="H227:I228"/>
    <mergeCell ref="B229:C229"/>
    <mergeCell ref="D229:E229"/>
    <mergeCell ref="F229:G229"/>
    <mergeCell ref="H229:I229"/>
    <mergeCell ref="R200:R203"/>
    <mergeCell ref="B204:C207"/>
    <mergeCell ref="D204:H207"/>
    <mergeCell ref="I204:I207"/>
    <mergeCell ref="J204:O207"/>
    <mergeCell ref="P204:P207"/>
    <mergeCell ref="Q204:Q207"/>
    <mergeCell ref="R204:R207"/>
    <mergeCell ref="B200:C203"/>
    <mergeCell ref="D200:H203"/>
    <mergeCell ref="I200:I203"/>
    <mergeCell ref="J200:O203"/>
    <mergeCell ref="P200:P203"/>
    <mergeCell ref="Q200:Q203"/>
    <mergeCell ref="R192:R195"/>
    <mergeCell ref="B196:C199"/>
    <mergeCell ref="D196:H199"/>
    <mergeCell ref="I196:I199"/>
    <mergeCell ref="J196:O199"/>
    <mergeCell ref="P196:P199"/>
    <mergeCell ref="Q196:Q199"/>
    <mergeCell ref="R196:R199"/>
    <mergeCell ref="B192:C195"/>
    <mergeCell ref="D192:H195"/>
    <mergeCell ref="I192:I195"/>
    <mergeCell ref="J192:O195"/>
    <mergeCell ref="P192:P195"/>
    <mergeCell ref="Q192:Q195"/>
    <mergeCell ref="R184:R187"/>
    <mergeCell ref="B188:C191"/>
    <mergeCell ref="D188:H191"/>
    <mergeCell ref="I188:I191"/>
    <mergeCell ref="J188:O191"/>
    <mergeCell ref="P188:P191"/>
    <mergeCell ref="Q188:Q191"/>
    <mergeCell ref="R188:R191"/>
    <mergeCell ref="B184:C187"/>
    <mergeCell ref="D184:H187"/>
    <mergeCell ref="I184:I187"/>
    <mergeCell ref="J184:O187"/>
    <mergeCell ref="P184:P187"/>
    <mergeCell ref="Q184:Q187"/>
    <mergeCell ref="Q181:R181"/>
    <mergeCell ref="D182:H182"/>
    <mergeCell ref="J182:O182"/>
    <mergeCell ref="B183:C183"/>
    <mergeCell ref="D183:H183"/>
    <mergeCell ref="J183:O183"/>
    <mergeCell ref="K175:O175"/>
    <mergeCell ref="D176:E176"/>
    <mergeCell ref="F176:I176"/>
    <mergeCell ref="K176:O176"/>
    <mergeCell ref="B181:C182"/>
    <mergeCell ref="D181:I181"/>
    <mergeCell ref="J181:P181"/>
    <mergeCell ref="S171:S176"/>
    <mergeCell ref="T171:T176"/>
    <mergeCell ref="D172:E172"/>
    <mergeCell ref="F172:I172"/>
    <mergeCell ref="K172:O172"/>
    <mergeCell ref="D173:E173"/>
    <mergeCell ref="F173:I173"/>
    <mergeCell ref="K173:O173"/>
    <mergeCell ref="D174:E174"/>
    <mergeCell ref="F174:I174"/>
    <mergeCell ref="B165:C170"/>
    <mergeCell ref="D165:E165"/>
    <mergeCell ref="F165:I165"/>
    <mergeCell ref="K165:O165"/>
    <mergeCell ref="D170:E170"/>
    <mergeCell ref="F170:I170"/>
    <mergeCell ref="K170:O170"/>
    <mergeCell ref="B171:C176"/>
    <mergeCell ref="D171:E171"/>
    <mergeCell ref="F171:I171"/>
    <mergeCell ref="K171:O171"/>
    <mergeCell ref="K174:O174"/>
    <mergeCell ref="D175:E175"/>
    <mergeCell ref="F175:I175"/>
    <mergeCell ref="K161:O161"/>
    <mergeCell ref="D162:E162"/>
    <mergeCell ref="F162:I162"/>
    <mergeCell ref="F167:I167"/>
    <mergeCell ref="K167:O167"/>
    <mergeCell ref="D168:E168"/>
    <mergeCell ref="F168:I168"/>
    <mergeCell ref="K168:O168"/>
    <mergeCell ref="D169:E169"/>
    <mergeCell ref="F169:I169"/>
    <mergeCell ref="K169:O169"/>
    <mergeCell ref="B159:C164"/>
    <mergeCell ref="D159:E159"/>
    <mergeCell ref="F159:I159"/>
    <mergeCell ref="K159:O159"/>
    <mergeCell ref="K162:O162"/>
    <mergeCell ref="S165:S170"/>
    <mergeCell ref="T165:T170"/>
    <mergeCell ref="D166:E166"/>
    <mergeCell ref="F166:I166"/>
    <mergeCell ref="K166:O166"/>
    <mergeCell ref="D167:E167"/>
    <mergeCell ref="D163:E163"/>
    <mergeCell ref="F163:I163"/>
    <mergeCell ref="K163:O163"/>
    <mergeCell ref="D164:E164"/>
    <mergeCell ref="F164:I164"/>
    <mergeCell ref="K164:O164"/>
    <mergeCell ref="S159:S164"/>
    <mergeCell ref="T159:T164"/>
    <mergeCell ref="D160:E160"/>
    <mergeCell ref="F160:I160"/>
    <mergeCell ref="K160:O160"/>
    <mergeCell ref="D161:E161"/>
    <mergeCell ref="F161:I161"/>
    <mergeCell ref="B153:C158"/>
    <mergeCell ref="D153:E153"/>
    <mergeCell ref="F153:I153"/>
    <mergeCell ref="K153:O153"/>
    <mergeCell ref="K156:O156"/>
    <mergeCell ref="D157:E157"/>
    <mergeCell ref="S153:S158"/>
    <mergeCell ref="T153:T158"/>
    <mergeCell ref="D154:E154"/>
    <mergeCell ref="F154:I154"/>
    <mergeCell ref="K154:O154"/>
    <mergeCell ref="D155:E155"/>
    <mergeCell ref="F155:I155"/>
    <mergeCell ref="K155:O155"/>
    <mergeCell ref="D156:E156"/>
    <mergeCell ref="F156:I156"/>
    <mergeCell ref="F157:I157"/>
    <mergeCell ref="K157:O157"/>
    <mergeCell ref="D158:E158"/>
    <mergeCell ref="F158:I158"/>
    <mergeCell ref="K158:O158"/>
    <mergeCell ref="S147:S152"/>
    <mergeCell ref="T147:T152"/>
    <mergeCell ref="D148:E148"/>
    <mergeCell ref="F148:I148"/>
    <mergeCell ref="K148:O148"/>
    <mergeCell ref="D149:E149"/>
    <mergeCell ref="F149:I149"/>
    <mergeCell ref="K149:O149"/>
    <mergeCell ref="D150:E150"/>
    <mergeCell ref="F150:I150"/>
    <mergeCell ref="K151:O151"/>
    <mergeCell ref="D152:E152"/>
    <mergeCell ref="F152:I152"/>
    <mergeCell ref="K152:O152"/>
    <mergeCell ref="F141:I141"/>
    <mergeCell ref="K141:O141"/>
    <mergeCell ref="D146:E146"/>
    <mergeCell ref="F146:I146"/>
    <mergeCell ref="K146:O146"/>
    <mergeCell ref="B147:C152"/>
    <mergeCell ref="D147:E147"/>
    <mergeCell ref="F147:I147"/>
    <mergeCell ref="K147:O147"/>
    <mergeCell ref="K150:O150"/>
    <mergeCell ref="D151:E151"/>
    <mergeCell ref="F151:I151"/>
    <mergeCell ref="S141:S146"/>
    <mergeCell ref="T141:T146"/>
    <mergeCell ref="D142:E142"/>
    <mergeCell ref="F142:I142"/>
    <mergeCell ref="K142:O142"/>
    <mergeCell ref="D143:E143"/>
    <mergeCell ref="B139:C140"/>
    <mergeCell ref="D139:E140"/>
    <mergeCell ref="F139:J139"/>
    <mergeCell ref="K139:P139"/>
    <mergeCell ref="Q139:R139"/>
    <mergeCell ref="S139:T139"/>
    <mergeCell ref="F140:I140"/>
    <mergeCell ref="K140:O140"/>
    <mergeCell ref="F143:I143"/>
    <mergeCell ref="K143:O143"/>
    <mergeCell ref="D144:E144"/>
    <mergeCell ref="F144:I144"/>
    <mergeCell ref="K144:O144"/>
    <mergeCell ref="D145:E145"/>
    <mergeCell ref="F145:I145"/>
    <mergeCell ref="K145:O145"/>
    <mergeCell ref="B141:C146"/>
    <mergeCell ref="D141:E141"/>
    <mergeCell ref="B129:C129"/>
    <mergeCell ref="D129:E129"/>
    <mergeCell ref="F129:G129"/>
    <mergeCell ref="H129:I129"/>
    <mergeCell ref="B130:C130"/>
    <mergeCell ref="D130:E130"/>
    <mergeCell ref="F130:G130"/>
    <mergeCell ref="H130:I130"/>
    <mergeCell ref="B127:C127"/>
    <mergeCell ref="D127:E127"/>
    <mergeCell ref="F127:G127"/>
    <mergeCell ref="H127:I127"/>
    <mergeCell ref="B128:C128"/>
    <mergeCell ref="D128:E128"/>
    <mergeCell ref="F128:G128"/>
    <mergeCell ref="H128:I128"/>
    <mergeCell ref="B125:C125"/>
    <mergeCell ref="D125:E125"/>
    <mergeCell ref="F125:G125"/>
    <mergeCell ref="H125:I125"/>
    <mergeCell ref="B126:C126"/>
    <mergeCell ref="D126:E126"/>
    <mergeCell ref="F126:G126"/>
    <mergeCell ref="H126:I126"/>
    <mergeCell ref="B103:C103"/>
    <mergeCell ref="D103:E103"/>
    <mergeCell ref="F103:G103"/>
    <mergeCell ref="H103:I103"/>
    <mergeCell ref="B108:I110"/>
    <mergeCell ref="B123:C124"/>
    <mergeCell ref="D123:E124"/>
    <mergeCell ref="F123:G124"/>
    <mergeCell ref="H123:I124"/>
    <mergeCell ref="B101:C101"/>
    <mergeCell ref="D101:E101"/>
    <mergeCell ref="F101:G101"/>
    <mergeCell ref="H101:I101"/>
    <mergeCell ref="B102:C102"/>
    <mergeCell ref="D102:E102"/>
    <mergeCell ref="F102:G102"/>
    <mergeCell ref="H102:I102"/>
    <mergeCell ref="B99:C99"/>
    <mergeCell ref="D99:E99"/>
    <mergeCell ref="F99:G99"/>
    <mergeCell ref="H99:I99"/>
    <mergeCell ref="B100:C100"/>
    <mergeCell ref="D100:E100"/>
    <mergeCell ref="F100:G100"/>
    <mergeCell ref="H100:I100"/>
    <mergeCell ref="B81:I83"/>
    <mergeCell ref="B96:C97"/>
    <mergeCell ref="D96:E97"/>
    <mergeCell ref="F96:G97"/>
    <mergeCell ref="H96:I97"/>
    <mergeCell ref="B98:C98"/>
    <mergeCell ref="D98:E98"/>
    <mergeCell ref="F98:G98"/>
    <mergeCell ref="H98:I98"/>
    <mergeCell ref="R69:R72"/>
    <mergeCell ref="B73:C76"/>
    <mergeCell ref="D73:H76"/>
    <mergeCell ref="I73:I76"/>
    <mergeCell ref="J73:O76"/>
    <mergeCell ref="P73:P76"/>
    <mergeCell ref="Q73:Q76"/>
    <mergeCell ref="R73:R76"/>
    <mergeCell ref="B69:C72"/>
    <mergeCell ref="D69:H72"/>
    <mergeCell ref="I69:I72"/>
    <mergeCell ref="J69:O72"/>
    <mergeCell ref="P69:P72"/>
    <mergeCell ref="Q69:Q72"/>
    <mergeCell ref="R61:R64"/>
    <mergeCell ref="B65:C68"/>
    <mergeCell ref="D65:H68"/>
    <mergeCell ref="I65:I68"/>
    <mergeCell ref="J65:O68"/>
    <mergeCell ref="P65:P68"/>
    <mergeCell ref="Q65:Q68"/>
    <mergeCell ref="R65:R68"/>
    <mergeCell ref="B61:C64"/>
    <mergeCell ref="D61:H64"/>
    <mergeCell ref="I61:I64"/>
    <mergeCell ref="J61:O64"/>
    <mergeCell ref="P61:P64"/>
    <mergeCell ref="Q61:Q64"/>
    <mergeCell ref="R53:R56"/>
    <mergeCell ref="B57:C60"/>
    <mergeCell ref="D57:H60"/>
    <mergeCell ref="I57:I60"/>
    <mergeCell ref="J57:O60"/>
    <mergeCell ref="P57:P60"/>
    <mergeCell ref="Q57:Q60"/>
    <mergeCell ref="R57:R60"/>
    <mergeCell ref="B53:C56"/>
    <mergeCell ref="D53:H56"/>
    <mergeCell ref="I53:I56"/>
    <mergeCell ref="J53:O56"/>
    <mergeCell ref="P53:P56"/>
    <mergeCell ref="Q53:Q56"/>
    <mergeCell ref="Q50:R50"/>
    <mergeCell ref="D51:H51"/>
    <mergeCell ref="J51:O51"/>
    <mergeCell ref="B52:C52"/>
    <mergeCell ref="D52:H52"/>
    <mergeCell ref="J52:O52"/>
    <mergeCell ref="K44:O44"/>
    <mergeCell ref="D45:E45"/>
    <mergeCell ref="F45:I45"/>
    <mergeCell ref="K45:O45"/>
    <mergeCell ref="B50:C51"/>
    <mergeCell ref="D50:I50"/>
    <mergeCell ref="J50:P50"/>
    <mergeCell ref="S40:S45"/>
    <mergeCell ref="T40:T45"/>
    <mergeCell ref="D41:E41"/>
    <mergeCell ref="F41:I41"/>
    <mergeCell ref="K41:O41"/>
    <mergeCell ref="D42:E42"/>
    <mergeCell ref="F42:I42"/>
    <mergeCell ref="K42:O42"/>
    <mergeCell ref="D43:E43"/>
    <mergeCell ref="F43:I43"/>
    <mergeCell ref="B34:C39"/>
    <mergeCell ref="D34:E34"/>
    <mergeCell ref="F34:I34"/>
    <mergeCell ref="K34:O34"/>
    <mergeCell ref="D39:E39"/>
    <mergeCell ref="F39:I39"/>
    <mergeCell ref="K39:O39"/>
    <mergeCell ref="B40:C45"/>
    <mergeCell ref="D40:E40"/>
    <mergeCell ref="F40:I40"/>
    <mergeCell ref="K40:O40"/>
    <mergeCell ref="K43:O43"/>
    <mergeCell ref="D44:E44"/>
    <mergeCell ref="F44:I44"/>
    <mergeCell ref="K30:O30"/>
    <mergeCell ref="D31:E31"/>
    <mergeCell ref="F31:I31"/>
    <mergeCell ref="F36:I36"/>
    <mergeCell ref="K36:O36"/>
    <mergeCell ref="D37:E37"/>
    <mergeCell ref="F37:I37"/>
    <mergeCell ref="K37:O37"/>
    <mergeCell ref="D38:E38"/>
    <mergeCell ref="F38:I38"/>
    <mergeCell ref="K38:O38"/>
    <mergeCell ref="B28:C33"/>
    <mergeCell ref="D28:E28"/>
    <mergeCell ref="F28:I28"/>
    <mergeCell ref="K28:O28"/>
    <mergeCell ref="K31:O31"/>
    <mergeCell ref="S34:S39"/>
    <mergeCell ref="T34:T39"/>
    <mergeCell ref="D35:E35"/>
    <mergeCell ref="F35:I35"/>
    <mergeCell ref="K35:O35"/>
    <mergeCell ref="D36:E36"/>
    <mergeCell ref="D32:E32"/>
    <mergeCell ref="F32:I32"/>
    <mergeCell ref="K32:O32"/>
    <mergeCell ref="D33:E33"/>
    <mergeCell ref="F33:I33"/>
    <mergeCell ref="K33:O33"/>
    <mergeCell ref="S28:S33"/>
    <mergeCell ref="T28:T33"/>
    <mergeCell ref="D29:E29"/>
    <mergeCell ref="F29:I29"/>
    <mergeCell ref="K29:O29"/>
    <mergeCell ref="D30:E30"/>
    <mergeCell ref="F30:I30"/>
    <mergeCell ref="B22:C27"/>
    <mergeCell ref="D22:E22"/>
    <mergeCell ref="F22:I22"/>
    <mergeCell ref="K22:O22"/>
    <mergeCell ref="K25:O25"/>
    <mergeCell ref="D26:E26"/>
    <mergeCell ref="S22:S27"/>
    <mergeCell ref="T22:T27"/>
    <mergeCell ref="D23:E23"/>
    <mergeCell ref="F23:I23"/>
    <mergeCell ref="K23:O23"/>
    <mergeCell ref="D24:E24"/>
    <mergeCell ref="F24:I24"/>
    <mergeCell ref="K24:O24"/>
    <mergeCell ref="D25:E25"/>
    <mergeCell ref="F25:I25"/>
    <mergeCell ref="F26:I26"/>
    <mergeCell ref="K26:O26"/>
    <mergeCell ref="D27:E27"/>
    <mergeCell ref="F27:I27"/>
    <mergeCell ref="K27:O27"/>
    <mergeCell ref="S16:S21"/>
    <mergeCell ref="T16:T21"/>
    <mergeCell ref="D17:E17"/>
    <mergeCell ref="F17:I17"/>
    <mergeCell ref="K17:O17"/>
    <mergeCell ref="D18:E18"/>
    <mergeCell ref="F18:I18"/>
    <mergeCell ref="K18:O18"/>
    <mergeCell ref="D19:E19"/>
    <mergeCell ref="F19:I19"/>
    <mergeCell ref="K20:O20"/>
    <mergeCell ref="D21:E21"/>
    <mergeCell ref="F21:I21"/>
    <mergeCell ref="K21:O21"/>
    <mergeCell ref="F10:I10"/>
    <mergeCell ref="K10:O10"/>
    <mergeCell ref="D15:E15"/>
    <mergeCell ref="F15:I15"/>
    <mergeCell ref="K15:O15"/>
    <mergeCell ref="B16:C21"/>
    <mergeCell ref="D16:E16"/>
    <mergeCell ref="F16:I16"/>
    <mergeCell ref="K16:O16"/>
    <mergeCell ref="K19:O19"/>
    <mergeCell ref="D20:E20"/>
    <mergeCell ref="F20:I20"/>
    <mergeCell ref="S10:S15"/>
    <mergeCell ref="T10:T15"/>
    <mergeCell ref="D11:E11"/>
    <mergeCell ref="F11:I11"/>
    <mergeCell ref="K11:O11"/>
    <mergeCell ref="D12:E12"/>
    <mergeCell ref="B8:C9"/>
    <mergeCell ref="D8:E9"/>
    <mergeCell ref="F8:J8"/>
    <mergeCell ref="K8:P8"/>
    <mergeCell ref="Q8:R8"/>
    <mergeCell ref="S8:T8"/>
    <mergeCell ref="F9:I9"/>
    <mergeCell ref="K9:O9"/>
    <mergeCell ref="F12:I12"/>
    <mergeCell ref="K12:O12"/>
    <mergeCell ref="D13:E13"/>
    <mergeCell ref="F13:I13"/>
    <mergeCell ref="K13:O13"/>
    <mergeCell ref="D14:E14"/>
    <mergeCell ref="F14:I14"/>
    <mergeCell ref="K14:O14"/>
    <mergeCell ref="B10:C15"/>
    <mergeCell ref="D10:E10"/>
  </mergeCells>
  <conditionalFormatting sqref="R57 R61 R65 R69 R73 R53">
    <cfRule type="expression" dxfId="195" priority="85">
      <formula>$R53="Baja"</formula>
    </cfRule>
    <cfRule type="expression" dxfId="194" priority="86">
      <formula>$R53="Media"</formula>
    </cfRule>
    <cfRule type="expression" dxfId="193" priority="87">
      <formula>$R53="Alta"</formula>
    </cfRule>
    <cfRule type="expression" dxfId="192" priority="88">
      <formula>$R53="Muy alta"</formula>
    </cfRule>
  </conditionalFormatting>
  <conditionalFormatting sqref="T22 T28 T34 T40">
    <cfRule type="expression" dxfId="191" priority="81">
      <formula>$T22="Baja"</formula>
    </cfRule>
    <cfRule type="expression" dxfId="190" priority="82">
      <formula>$T22="Media"</formula>
    </cfRule>
    <cfRule type="expression" dxfId="189" priority="83">
      <formula>$T22="Alta"</formula>
    </cfRule>
    <cfRule type="expression" dxfId="188" priority="84">
      <formula>$T22="Muy alta"</formula>
    </cfRule>
  </conditionalFormatting>
  <conditionalFormatting sqref="T16">
    <cfRule type="expression" dxfId="187" priority="77">
      <formula>$T16="Baja"</formula>
    </cfRule>
    <cfRule type="expression" dxfId="186" priority="78">
      <formula>$T16="Media"</formula>
    </cfRule>
    <cfRule type="expression" dxfId="185" priority="79">
      <formula>$T16="Alta"</formula>
    </cfRule>
    <cfRule type="expression" dxfId="184" priority="80">
      <formula>$T16="Muy alta"</formula>
    </cfRule>
  </conditionalFormatting>
  <conditionalFormatting sqref="T10">
    <cfRule type="expression" dxfId="183" priority="73">
      <formula>$T10="Baja"</formula>
    </cfRule>
    <cfRule type="expression" dxfId="182" priority="74">
      <formula>$T10="Media"</formula>
    </cfRule>
    <cfRule type="expression" dxfId="181" priority="75">
      <formula>$T10="Alta"</formula>
    </cfRule>
    <cfRule type="expression" dxfId="180" priority="76">
      <formula>$T10="Muy alta"</formula>
    </cfRule>
  </conditionalFormatting>
  <conditionalFormatting sqref="H98:I103">
    <cfRule type="expression" dxfId="179" priority="65">
      <formula>$H98="Baja"</formula>
    </cfRule>
    <cfRule type="expression" dxfId="178" priority="66">
      <formula>$H98="Media"</formula>
    </cfRule>
    <cfRule type="expression" dxfId="177" priority="67">
      <formula>$H98="Alta"</formula>
    </cfRule>
    <cfRule type="expression" dxfId="176" priority="68">
      <formula>$H98="Muy alta"</formula>
    </cfRule>
  </conditionalFormatting>
  <conditionalFormatting sqref="H125:I130">
    <cfRule type="expression" dxfId="175" priority="69">
      <formula>$H125="Baja"</formula>
    </cfRule>
    <cfRule type="expression" dxfId="174" priority="70">
      <formula>$H125="Media"</formula>
    </cfRule>
    <cfRule type="expression" dxfId="173" priority="71">
      <formula>$H125="Alta"</formula>
    </cfRule>
    <cfRule type="expression" dxfId="172" priority="72">
      <formula>$H125="Muy alta"</formula>
    </cfRule>
  </conditionalFormatting>
  <conditionalFormatting sqref="R52">
    <cfRule type="expression" dxfId="171" priority="61">
      <formula>$R$52="Muy alta"</formula>
    </cfRule>
    <cfRule type="expression" dxfId="170" priority="62">
      <formula>$R$52="Alta"</formula>
    </cfRule>
    <cfRule type="expression" dxfId="169" priority="63">
      <formula>$R$52="Media"</formula>
    </cfRule>
    <cfRule type="expression" dxfId="168" priority="64">
      <formula>$R$52="Baja"</formula>
    </cfRule>
  </conditionalFormatting>
  <conditionalFormatting sqref="R141:R176 R188 R192 R196 R200 R204 R184">
    <cfRule type="expression" dxfId="167" priority="57">
      <formula>$R141="Baja"</formula>
    </cfRule>
    <cfRule type="expression" dxfId="166" priority="58">
      <formula>$R141="Media"</formula>
    </cfRule>
    <cfRule type="expression" dxfId="165" priority="59">
      <formula>$R141="Alta"</formula>
    </cfRule>
    <cfRule type="expression" dxfId="164" priority="60">
      <formula>$R141="Muy alta"</formula>
    </cfRule>
  </conditionalFormatting>
  <conditionalFormatting sqref="T153 T159 T165 T171">
    <cfRule type="expression" dxfId="163" priority="53">
      <formula>$T153="Baja"</formula>
    </cfRule>
    <cfRule type="expression" dxfId="162" priority="54">
      <formula>$T153="Media"</formula>
    </cfRule>
    <cfRule type="expression" dxfId="161" priority="55">
      <formula>$T153="Alta"</formula>
    </cfRule>
    <cfRule type="expression" dxfId="160" priority="56">
      <formula>$T153="Muy alta"</formula>
    </cfRule>
  </conditionalFormatting>
  <conditionalFormatting sqref="T147">
    <cfRule type="expression" dxfId="159" priority="49">
      <formula>$T147="Baja"</formula>
    </cfRule>
    <cfRule type="expression" dxfId="158" priority="50">
      <formula>$T147="Media"</formula>
    </cfRule>
    <cfRule type="expression" dxfId="157" priority="51">
      <formula>$T147="Alta"</formula>
    </cfRule>
    <cfRule type="expression" dxfId="156" priority="52">
      <formula>$T147="Muy alta"</formula>
    </cfRule>
  </conditionalFormatting>
  <conditionalFormatting sqref="T141">
    <cfRule type="expression" dxfId="155" priority="45">
      <formula>$T141="Baja"</formula>
    </cfRule>
    <cfRule type="expression" dxfId="154" priority="46">
      <formula>$T141="Media"</formula>
    </cfRule>
    <cfRule type="expression" dxfId="153" priority="47">
      <formula>$T141="Alta"</formula>
    </cfRule>
    <cfRule type="expression" dxfId="152" priority="48">
      <formula>$T141="Muy alta"</formula>
    </cfRule>
  </conditionalFormatting>
  <conditionalFormatting sqref="H229:I234">
    <cfRule type="expression" dxfId="151" priority="37">
      <formula>$H229="Baja"</formula>
    </cfRule>
    <cfRule type="expression" dxfId="150" priority="38">
      <formula>$H229="Media"</formula>
    </cfRule>
    <cfRule type="expression" dxfId="149" priority="39">
      <formula>$H229="Alta"</formula>
    </cfRule>
    <cfRule type="expression" dxfId="148" priority="40">
      <formula>$H229="Muy alta"</formula>
    </cfRule>
  </conditionalFormatting>
  <conditionalFormatting sqref="H256:I261">
    <cfRule type="expression" dxfId="147" priority="41">
      <formula>$H256="Baja"</formula>
    </cfRule>
    <cfRule type="expression" dxfId="146" priority="42">
      <formula>$H256="Media"</formula>
    </cfRule>
    <cfRule type="expression" dxfId="145" priority="43">
      <formula>$H256="Alta"</formula>
    </cfRule>
    <cfRule type="expression" dxfId="144" priority="44">
      <formula>$H256="Muy alta"</formula>
    </cfRule>
  </conditionalFormatting>
  <conditionalFormatting sqref="R183">
    <cfRule type="expression" dxfId="143" priority="33">
      <formula>$R$52="Muy alta"</formula>
    </cfRule>
    <cfRule type="expression" dxfId="142" priority="34">
      <formula>$R$52="Alta"</formula>
    </cfRule>
    <cfRule type="expression" dxfId="141" priority="35">
      <formula>$R$52="Media"</formula>
    </cfRule>
    <cfRule type="expression" dxfId="140" priority="36">
      <formula>$R$52="Baja"</formula>
    </cfRule>
  </conditionalFormatting>
  <conditionalFormatting sqref="R271:R306 R318 R322 R326 R330 R334 R314">
    <cfRule type="expression" dxfId="139" priority="29">
      <formula>$R271="Baja"</formula>
    </cfRule>
    <cfRule type="expression" dxfId="138" priority="30">
      <formula>$R271="Media"</formula>
    </cfRule>
    <cfRule type="expression" dxfId="137" priority="31">
      <formula>$R271="Alta"</formula>
    </cfRule>
    <cfRule type="expression" dxfId="136" priority="32">
      <formula>$R271="Muy alta"</formula>
    </cfRule>
  </conditionalFormatting>
  <conditionalFormatting sqref="T283 T289 T295 T301">
    <cfRule type="expression" dxfId="135" priority="25">
      <formula>$T283="Baja"</formula>
    </cfRule>
    <cfRule type="expression" dxfId="134" priority="26">
      <formula>$T283="Media"</formula>
    </cfRule>
    <cfRule type="expression" dxfId="133" priority="27">
      <formula>$T283="Alta"</formula>
    </cfRule>
    <cfRule type="expression" dxfId="132" priority="28">
      <formula>$T283="Muy alta"</formula>
    </cfRule>
  </conditionalFormatting>
  <conditionalFormatting sqref="T277">
    <cfRule type="expression" dxfId="131" priority="21">
      <formula>$T277="Baja"</formula>
    </cfRule>
    <cfRule type="expression" dxfId="130" priority="22">
      <formula>$T277="Media"</formula>
    </cfRule>
    <cfRule type="expression" dxfId="129" priority="23">
      <formula>$T277="Alta"</formula>
    </cfRule>
    <cfRule type="expression" dxfId="128" priority="24">
      <formula>$T277="Muy alta"</formula>
    </cfRule>
  </conditionalFormatting>
  <conditionalFormatting sqref="T271">
    <cfRule type="expression" dxfId="127" priority="17">
      <formula>$T271="Baja"</formula>
    </cfRule>
    <cfRule type="expression" dxfId="126" priority="18">
      <formula>$T271="Media"</formula>
    </cfRule>
    <cfRule type="expression" dxfId="125" priority="19">
      <formula>$T271="Alta"</formula>
    </cfRule>
    <cfRule type="expression" dxfId="124" priority="20">
      <formula>$T271="Muy alta"</formula>
    </cfRule>
  </conditionalFormatting>
  <conditionalFormatting sqref="H359:I364">
    <cfRule type="expression" dxfId="123" priority="9">
      <formula>$H359="Baja"</formula>
    </cfRule>
    <cfRule type="expression" dxfId="122" priority="10">
      <formula>$H359="Media"</formula>
    </cfRule>
    <cfRule type="expression" dxfId="121" priority="11">
      <formula>$H359="Alta"</formula>
    </cfRule>
    <cfRule type="expression" dxfId="120" priority="12">
      <formula>$H359="Muy alta"</formula>
    </cfRule>
  </conditionalFormatting>
  <conditionalFormatting sqref="H386:I391">
    <cfRule type="expression" dxfId="119" priority="13">
      <formula>$H386="Baja"</formula>
    </cfRule>
    <cfRule type="expression" dxfId="118" priority="14">
      <formula>$H386="Media"</formula>
    </cfRule>
    <cfRule type="expression" dxfId="117" priority="15">
      <formula>$H386="Alta"</formula>
    </cfRule>
    <cfRule type="expression" dxfId="116" priority="16">
      <formula>$H386="Muy alta"</formula>
    </cfRule>
  </conditionalFormatting>
  <conditionalFormatting sqref="R313">
    <cfRule type="expression" dxfId="115" priority="5">
      <formula>$R$52="Muy alta"</formula>
    </cfRule>
    <cfRule type="expression" dxfId="114" priority="6">
      <formula>$R$52="Alta"</formula>
    </cfRule>
    <cfRule type="expression" dxfId="113" priority="7">
      <formula>$R$52="Media"</formula>
    </cfRule>
    <cfRule type="expression" dxfId="112" priority="8">
      <formula>$R$52="Baja"</formula>
    </cfRule>
  </conditionalFormatting>
  <conditionalFormatting sqref="R10:R45">
    <cfRule type="expression" dxfId="111" priority="1">
      <formula>$R10="Muy alta"</formula>
    </cfRule>
    <cfRule type="expression" dxfId="110" priority="2">
      <formula>$R10="Alta"</formula>
    </cfRule>
    <cfRule type="expression" dxfId="109" priority="3">
      <formula>$R10="Media"</formula>
    </cfRule>
    <cfRule type="expression" dxfId="108" priority="4">
      <formula>$R10="Baja"</formula>
    </cfRule>
  </conditionalFormatting>
  <dataValidations disablePrompts="1" xWindow="877" yWindow="429" count="28">
    <dataValidation allowBlank="1" showInputMessage="1" showErrorMessage="1" promptTitle="Calificación:" prompt="Representa la calificación promedio de todos los peligros que han sido considerados." sqref="I52 P52 I183 P183 I313 P313"/>
    <dataValidation allowBlank="1" showInputMessage="1" showErrorMessage="1" promptTitle="Promedio del Total:" prompt="Es un promedio aritmético entre la calificación de los criterios de habilidades y capacidades del operador con de la organización de contingencia para la respuesta." sqref="Q52 Q183 Q313"/>
    <dataValidation allowBlank="1" showInputMessage="1" showErrorMessage="1" promptTitle="Escala del total:" prompt="Se genera de forma automática a partir del valor del promedio._x000a_De acuerdo al promedio:_x000a_&quot;Muy alta&quot; --&gt; Mayor o igual 1,5._x000a_&quot;Alta&quot;         --&gt; Entre 1 y &lt; 1,49._x000a_&quot;Media&quot;     --&gt; Entre 0,5 y &lt;0,99_x000a_&quot;Baja&quot;         --&gt; Entre 0 y &lt; 0,49" sqref="R52 R183 R313"/>
    <dataValidation allowBlank="1" showInputMessage="1" showErrorMessage="1" promptTitle="Resiliencia del Total:" prompt="Es el resultado del análisis del total de peligros que han sido considerados." sqref="J52:O52 D52:H52 J183:O183 D183:H183 J313:O313 D313:H313"/>
    <dataValidation allowBlank="1" showInputMessage="1" showErrorMessage="1" promptTitle="Análisis global:" prompt="Como consecuencia del análisis de cada uno de los peligros, se realiza el análisis global de la Unidad Productora de los peligros que han sido considerados." sqref="B52:C52 B183:C183 B313:C313"/>
    <dataValidation allowBlank="1" showInputMessage="1" showErrorMessage="1" promptTitle="Nivel de peligro:" prompt="Se seleccionan de forma automática en base a los resultados obtenidos en la Sección de Área de Estudio." sqref="D386:E391 D256:E261 D125:E130"/>
    <dataValidation allowBlank="1" showInputMessage="1" showErrorMessage="1" promptTitle="Nivel de vulnerabilidad:" prompt="Los valores se seleccionan de forma automática en base a los reultados obtenidos líneas arriba." sqref="F125:G130 F256:G261 F386:G391"/>
    <dataValidation allowBlank="1" showInputMessage="1" showErrorMessage="1" promptTitle="Peligros:" prompt="Son los peligros establecidos en la Sección de Área de Estudio." sqref="B98:C103 B125:C130 B229:C234 B256:C261 B359:C364 B386:C391"/>
    <dataValidation allowBlank="1" showInputMessage="1" showErrorMessage="1" promptTitle="Nivel de resiliencia:" prompt="Los valores se seleccionan de forma automática en base al análisis de resiliencia realizada." sqref="F98:G103 F229:G234 F359:G364"/>
    <dataValidation allowBlank="1" showInputMessage="1" showErrorMessage="1" promptTitle="Nivel de fragilidad:" prompt="Los valores se seleccionan de forma automática en base al análisis de fragilidad realizada." sqref="D98:E103 D229:E234 D359:E364"/>
    <dataValidation allowBlank="1" showInputMessage="1" showErrorMessage="1" promptTitle="Nivel de vulnerabilidad:" prompt="La escala del nivel de vulnerabilidad se selecciona de forma automática, en base a la matriz mencionada líneas arriba." sqref="H359:I364 H229:I234 H98:I103"/>
    <dataValidation allowBlank="1" showInputMessage="1" showErrorMessage="1" promptTitle="Nivel de peligro:" prompt="La escala del nivel de riesgo se selecciona de forma automática, en base a la matriz mencionada líneas arriba." sqref="H386:I391 H256:I261 H125:I130"/>
    <dataValidation allowBlank="1" showInputMessage="1" showErrorMessage="1" promptTitle="Elemento / Activo" prompt="Corresponden a los elementos (Activos) establecidos en el análisis de exposición. En este punto estos elementos (activos) serán mejorados y/o ampliados con el objetivo de reducir en nivel de vulnerabilidad." sqref="D271:E306 D141:E176 D10:E45"/>
    <dataValidation allowBlank="1" showInputMessage="1" showErrorMessage="1" promptTitle="Peligro:" prompt="Los peligros de la UP se generan de forma automática a partir de los datos establecidos en el análisis de exposición." sqref="B10:C45 B53:C76 B141:C176 B184:C207 B271:C306 B314:C337"/>
    <dataValidation allowBlank="1" showInputMessage="1" showErrorMessage="1" promptTitle="Escala:" prompt="Se genera de forma automática a partir del valor del promedio._x000a_De acuerdo al promedio:_x000a_&quot;Muy alta&quot; --&gt; Mayor o igual 1,5._x000a_&quot;Alta&quot;         --&gt; Entre 1 y &lt; 1,49._x000a_&quot;Media&quot;     --&gt; Entre 0,5 y &lt;0,99_x000a_&quot;Baja&quot;         --&gt; Entre 0 y &lt; 0,49" sqref="R10:R45 R141:R176 R271:R306"/>
    <dataValidation allowBlank="1" showInputMessage="1" showErrorMessage="1" promptTitle="Promedio:" prompt="Es un promedio aritmético entre la calificación de los criterios por tipo de construcción y aplicación de mantenimiento, posterior al mejoramiento y/o ampliación de cada elemento (activo)." sqref="Q10:Q45 Q141:Q176 Q271:Q306"/>
    <dataValidation allowBlank="1" showInputMessage="1" showErrorMessage="1" promptTitle="Descripción:" prompt="Consignar los procedimientos que se realizarán para reducir el nivel de fragilidad bajo el criterio por aplicación de mantenimiento." sqref="K10:O45 K141:O176 K271:O306"/>
    <dataValidation allowBlank="1" showInputMessage="1" showErrorMessage="1" promptTitle="Descripción:" prompt="Consignar los procedimientos que se realizarán para reducir el nivel de fragilidad bajo el criterio por tipo de construcción." sqref="F10:I45 F141:I176 F271:I306"/>
    <dataValidation allowBlank="1" showInputMessage="1" showErrorMessage="1" promptTitle="Fragilidad por peligro:" prompt="La fragilidad de la UP frente a cada peligro es la fragilidad del elemento con mayor valor." sqref="S10:S45 S141:S176 S271:S306"/>
    <dataValidation allowBlank="1" showInputMessage="1" showErrorMessage="1" promptTitle="Escala de Fragilidad por peligro" prompt="Se genera de forma automática a partir de la calificación por peligro:_x000a_&quot;Muy alta&quot; --&gt; Mayor o igual 1,5._x000a_&quot;Alta&quot;         --&gt; Entre 1 y &lt; 1,49._x000a_&quot;Media&quot;     --&gt; Entre 0,5 y &lt;0,99_x000a_&quot;Baja&quot;         --&gt; Entre 0 y &lt; 0,49" sqref="T10:T45 T141:T176 T271:T306"/>
    <dataValidation allowBlank="1" showInputMessage="1" showErrorMessage="1" promptTitle="Descripción:" prompt="Describir los procedimientos que se realizarán para potenciar el nivel de resiliencia bajo el criterio de habilidades y capacidades del operador." sqref="D53:H76 D184:H207 D314:H337"/>
    <dataValidation allowBlank="1" showInputMessage="1" showErrorMessage="1" promptTitle="Criterio:" prompt="Describir los procedimientos que se realizarán para potenciar el nivel de resiliencia bajo el criterio por organización de contingencia para la respuesta." sqref="J53:O76 J184:O207 J314:O337"/>
    <dataValidation allowBlank="1" showInputMessage="1" showErrorMessage="1" promptTitle="Promedio por peligro:" prompt="Es un promedio aritmético entre la calificación de los criterios de habilidades y capacidades del operador con de la organización de contingencia para la respuesta, posterior al mejoramiento y/o ampliación de los elementos (activos) establecidos." sqref="Q53:Q76 Q184:Q207 Q314:Q337"/>
    <dataValidation allowBlank="1" showInputMessage="1" showErrorMessage="1" promptTitle="Escala por peligro:" prompt="Se genera de forma automática a partir del valor del promedio._x000a_De acuerdo al promedio:_x000a_&quot;Muy alta&quot; --&gt; Mayor o igual 1,5._x000a_&quot;Alta&quot;         --&gt; Entre 1 y &lt; 1,49._x000a_&quot;Media&quot;     --&gt; Entre 0,5 y &lt;0,99_x000a_&quot;Baja&quot;         --&gt; Entre 0 y &lt; 0,49" sqref="R53:R76 R184:R207 R314:R337"/>
    <dataValidation type="list" allowBlank="1" showInputMessage="1" showErrorMessage="1" promptTitle="Calificación 2do criterio:" prompt="&quot;0&quot; --&gt; Cuenta con Plan de mantenimiento preventivo y correctivo._x000a_&quot;1&quot; --&gt; No cuentan con procedimientos de de mantenimiento preventivo, pero están organizados._x000a_&quot;2&quot; --&gt; No cuentan con procedimientos de mantenimiento preventivo y correctivo, ni actividades." sqref="P10:P45">
      <formula1>"0,1,2"</formula1>
    </dataValidation>
    <dataValidation type="list" allowBlank="1" showInputMessage="1" showErrorMessage="1" promptTitle="Calificación 1er criterio:" prompt="Calificación luego del mejoramiento del elemento (activo)_x000a_&quot;0&quot; --&gt; Material de alta resistencia._x000a_&quot;1&quot; --&gt; Material de resistencia media._x000a_&quot;2&quot; --&gt; Material poco resistente" sqref="J10:J45">
      <formula1>"0,1,2"</formula1>
    </dataValidation>
    <dataValidation type="list" allowBlank="1" showInputMessage="1" showErrorMessage="1" promptTitle="Calificación 1er criterio:" prompt="Respecto del personal en los dos últimos años_x000a_&quot;2&quot; --&gt; Han tenido capacitaciones anuales y cuentan con manual de operación._x000a_&quot;1&quot; --&gt; No han tenido capacitaciones anuales, pero cuentan con manual de operación._x000a_&quot;0&quot; --&gt; Sin capacitación ni manual de operación." sqref="I53:I76">
      <formula1>"2,1,0"</formula1>
    </dataValidation>
    <dataValidation type="list" allowBlank="1" showInputMessage="1" showErrorMessage="1" promptTitle="Calificación 2do criterio:" prompt="&quot;2&quot; --&gt; Cuenta con Plan de contingencia, comite operativo y herramientas y máquinas_x000a_&quot;1&quot; --&gt; Cuenta con Plan de contingencia, y pocas herramientas y máquinas_x000a_&quot;0&quot; --&gt; No cuenta con Plan de contingencia, comite operativo ni herramientas y máquinas" sqref="P53:P76">
      <formula1>"2,1,0"</formula1>
    </dataValidation>
  </dataValidations>
  <pageMargins left="0.70866141732283472" right="0.70866141732283472" top="0.74803149606299213" bottom="0.74803149606299213" header="0.31496062992125984" footer="0.31496062992125984"/>
  <pageSetup paperSize="9" scale="50" orientation="landscape" r:id="rId1"/>
  <headerFooter>
    <oddHeader>&amp;L&amp;"Arial,Negrita"&amp;9MINISTERIO DE DESARROLLO AGRARIO Y RIEGO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extLst>
    <ext xmlns:x14="http://schemas.microsoft.com/office/spreadsheetml/2009/9/main" uri="{CCE6A557-97BC-4b89-ADB6-D9C93CAAB3DF}">
      <x14:dataValidations xmlns:xm="http://schemas.microsoft.com/office/excel/2006/main" disablePrompts="1" xWindow="877" yWindow="429" count="4">
        <x14:dataValidation type="list" allowBlank="1" showInputMessage="1" showErrorMessage="1" promptTitle="Calificación 2do criterio:" prompt="&quot;2&quot; --&gt; Cuenta con Plan de contingencia, comite operativo y herramientas y máquinas_x000a_&quot;1&quot; --&gt; Cuenta con Plan de contingencia, y pocas herramientas y máquinas_x000a_&quot;0&quot; --&gt; No cuenta con Plan de contingencia, comite operativo ni herramientas y máquinas">
          <x14:formula1>
            <xm:f>[1]Desplegables!#REF!</xm:f>
          </x14:formula1>
          <xm:sqref>P314:P337 P184:P207</xm:sqref>
        </x14:dataValidation>
        <x14:dataValidation type="list" allowBlank="1" showInputMessage="1" showErrorMessage="1" promptTitle="Calificación 1er criterio:" prompt="Respecto del personal en los dos últimos años_x000a_&quot;2&quot; --&gt; Han tenido capacitaciones anuales y cuentan con manual de operación._x000a_&quot;1&quot; --&gt; No han tenido capacitaciones anuales, pero cuentan con manual de operación._x000a_&quot;0&quot; --&gt; Sin capacitación ni manual de operación.">
          <x14:formula1>
            <xm:f>[1]Desplegables!#REF!</xm:f>
          </x14:formula1>
          <xm:sqref>I314:I337 I184:I207</xm:sqref>
        </x14:dataValidation>
        <x14:dataValidation type="list" allowBlank="1" showInputMessage="1" showErrorMessage="1" promptTitle="Calificación 2do criterio:" prompt="&quot;0&quot; --&gt; Cuenta con Plan de mantenimiento preventivo y correctivo._x000a_&quot;1&quot; --&gt; No cuentan con procedimientos de de mantenimiento preventivo, pero están organizados._x000a_&quot;2&quot; --&gt; No cuentan con procedimientos de mantenimiento preventivo y correctivo, ni actividades.">
          <x14:formula1>
            <xm:f>[1]Desplegables!#REF!</xm:f>
          </x14:formula1>
          <xm:sqref>P271:P306 P141:P176</xm:sqref>
        </x14:dataValidation>
        <x14:dataValidation type="list" allowBlank="1" showInputMessage="1" showErrorMessage="1" promptTitle="Calificación 1er criterio:" prompt="Calificación luego del mejoramiento del elemento (activo)_x000a_&quot;0&quot; --&gt; Material de alta resistencia._x000a_&quot;1&quot; --&gt; Material de resistencia media._x000a_&quot;2&quot; --&gt; Material poco resistente">
          <x14:formula1>
            <xm:f>[1]Desplegables!#REF!</xm:f>
          </x14:formula1>
          <xm:sqref>J271:J306 J141:J176</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XFC164"/>
  <sheetViews>
    <sheetView topLeftCell="O1" workbookViewId="0">
      <selection sqref="A1:XFD1048576"/>
    </sheetView>
  </sheetViews>
  <sheetFormatPr baseColWidth="10" defaultColWidth="10.28515625" defaultRowHeight="15" x14ac:dyDescent="0.25"/>
  <cols>
    <col min="1" max="1" width="3.42578125" style="537" customWidth="1"/>
    <col min="2" max="2" width="10.28515625" style="50"/>
    <col min="3" max="3" width="10.28515625" style="50" customWidth="1"/>
    <col min="4" max="4" width="12.7109375" style="50" customWidth="1"/>
    <col min="5" max="5" width="13.5703125" style="50" customWidth="1"/>
    <col min="6" max="6" width="15.140625" style="50" customWidth="1"/>
    <col min="7" max="7" width="10.85546875" style="50" customWidth="1"/>
    <col min="8" max="8" width="10.42578125" style="50" customWidth="1"/>
    <col min="9" max="9" width="12" style="50" customWidth="1"/>
    <col min="10" max="10" width="11.140625" style="50" customWidth="1"/>
    <col min="11" max="13" width="12.28515625" style="50" customWidth="1"/>
    <col min="14" max="14" width="13.140625" style="50" customWidth="1"/>
    <col min="15" max="15" width="11.28515625" style="50" customWidth="1"/>
    <col min="16" max="16" width="14.7109375" style="50" customWidth="1"/>
    <col min="17" max="18" width="10.28515625" style="50" customWidth="1"/>
    <col min="19" max="16378" width="10.28515625" style="50"/>
    <col min="16379" max="16379" width="11.85546875" style="50" customWidth="1"/>
    <col min="16380" max="16382" width="10.28515625" style="50"/>
    <col min="16383" max="16383" width="51.7109375" style="769" customWidth="1"/>
    <col min="16384" max="16384" width="31.5703125" style="769" customWidth="1"/>
  </cols>
  <sheetData>
    <row r="1" spans="2:17 16383:16383" s="769" customFormat="1" ht="15" customHeight="1" x14ac:dyDescent="0.3">
      <c r="B1" s="50"/>
      <c r="C1" s="50"/>
      <c r="D1" s="50"/>
      <c r="E1" s="50"/>
      <c r="F1" s="50"/>
      <c r="G1" s="50"/>
      <c r="H1" s="50"/>
      <c r="I1" s="50"/>
      <c r="J1" s="50"/>
      <c r="K1" s="50"/>
      <c r="L1" s="50"/>
      <c r="M1" s="50"/>
      <c r="N1" s="50"/>
      <c r="O1" s="50"/>
      <c r="P1" s="50"/>
      <c r="Q1" s="50"/>
      <c r="XFC1" s="768"/>
    </row>
    <row r="2" spans="2:17 16383:16383" s="769" customFormat="1" ht="21" customHeight="1" x14ac:dyDescent="0.25">
      <c r="B2" s="2178" t="s">
        <v>5504</v>
      </c>
      <c r="C2" s="2178"/>
      <c r="D2" s="2178"/>
      <c r="E2" s="2178"/>
      <c r="F2" s="2178"/>
      <c r="G2" s="2178"/>
      <c r="H2" s="2178"/>
      <c r="I2" s="2178"/>
      <c r="J2" s="2178"/>
      <c r="K2" s="2178"/>
      <c r="L2" s="2178"/>
      <c r="M2" s="2178"/>
      <c r="N2" s="2178"/>
      <c r="O2" s="2178"/>
      <c r="P2" s="2178"/>
      <c r="Q2" s="2178"/>
    </row>
    <row r="3" spans="2:17 16383:16383" s="769" customFormat="1" ht="5.25" customHeight="1" x14ac:dyDescent="0.25">
      <c r="B3" s="50"/>
      <c r="C3" s="50"/>
      <c r="D3" s="50"/>
      <c r="E3" s="50"/>
      <c r="F3" s="50"/>
      <c r="G3" s="50"/>
      <c r="H3" s="50"/>
      <c r="I3" s="50"/>
      <c r="J3" s="50"/>
      <c r="K3" s="50"/>
      <c r="L3" s="50"/>
      <c r="M3" s="50"/>
      <c r="N3" s="50"/>
      <c r="O3" s="50"/>
      <c r="P3" s="50"/>
      <c r="Q3" s="50"/>
    </row>
    <row r="4" spans="2:17 16383:16383" s="769" customFormat="1" x14ac:dyDescent="0.25">
      <c r="B4" s="766" t="s">
        <v>5505</v>
      </c>
      <c r="C4" s="50"/>
      <c r="D4" s="50"/>
      <c r="E4" s="50"/>
      <c r="F4" s="50"/>
      <c r="G4" s="50"/>
      <c r="H4" s="50"/>
      <c r="I4" s="50"/>
      <c r="J4" s="50"/>
      <c r="K4" s="50"/>
      <c r="L4" s="50"/>
      <c r="M4" s="50"/>
      <c r="N4" s="50"/>
      <c r="O4" s="50"/>
      <c r="P4" s="50"/>
      <c r="Q4" s="50"/>
    </row>
    <row r="5" spans="2:17 16383:16383" s="769" customFormat="1" ht="6" customHeight="1" thickBot="1" x14ac:dyDescent="0.3">
      <c r="B5" s="50"/>
      <c r="C5" s="50"/>
      <c r="D5" s="50"/>
      <c r="E5" s="50"/>
      <c r="F5" s="50"/>
      <c r="G5" s="50"/>
      <c r="H5" s="50"/>
      <c r="I5" s="50"/>
      <c r="J5" s="50"/>
      <c r="K5" s="50"/>
      <c r="L5" s="50"/>
      <c r="M5" s="50"/>
      <c r="N5" s="50"/>
      <c r="O5" s="50"/>
      <c r="P5" s="50"/>
      <c r="Q5" s="50"/>
    </row>
    <row r="6" spans="2:17 16383:16383" s="769" customFormat="1" ht="36" customHeight="1" thickBot="1" x14ac:dyDescent="0.3">
      <c r="B6" s="2179" t="s">
        <v>5455</v>
      </c>
      <c r="C6" s="2180"/>
      <c r="D6" s="2181" t="s">
        <v>5506</v>
      </c>
      <c r="E6" s="2181"/>
      <c r="F6" s="2181"/>
      <c r="G6" s="2181"/>
      <c r="H6" s="2181"/>
      <c r="I6" s="2181"/>
      <c r="J6" s="2181"/>
      <c r="K6" s="2181"/>
      <c r="L6" s="2182" t="s">
        <v>5507</v>
      </c>
      <c r="M6" s="2182"/>
      <c r="N6" s="2182" t="s">
        <v>5454</v>
      </c>
      <c r="O6" s="2182"/>
      <c r="P6" s="2182" t="s">
        <v>5508</v>
      </c>
      <c r="Q6" s="2183"/>
    </row>
    <row r="7" spans="2:17 16383:16383" s="769" customFormat="1" x14ac:dyDescent="0.25">
      <c r="B7" s="2184" t="str">
        <f>IFERROR(IF('UNIDAD PRODUCTORA'!B96="","",'UNIDAD PRODUCTORA'!B96),"")</f>
        <v/>
      </c>
      <c r="C7" s="2185"/>
      <c r="D7" s="2190"/>
      <c r="E7" s="2191"/>
      <c r="F7" s="2191"/>
      <c r="G7" s="2191"/>
      <c r="H7" s="2191"/>
      <c r="I7" s="2191"/>
      <c r="J7" s="2191"/>
      <c r="K7" s="2191"/>
      <c r="L7" s="2192"/>
      <c r="M7" s="2192"/>
      <c r="N7" s="2192"/>
      <c r="O7" s="2192"/>
      <c r="P7" s="2193"/>
      <c r="Q7" s="2194"/>
    </row>
    <row r="8" spans="2:17 16383:16383" s="769" customFormat="1" x14ac:dyDescent="0.25">
      <c r="B8" s="2186"/>
      <c r="C8" s="2187"/>
      <c r="D8" s="2195"/>
      <c r="E8" s="2196"/>
      <c r="F8" s="2196"/>
      <c r="G8" s="2196"/>
      <c r="H8" s="2196"/>
      <c r="I8" s="2196"/>
      <c r="J8" s="2196"/>
      <c r="K8" s="2196"/>
      <c r="L8" s="2197"/>
      <c r="M8" s="2197"/>
      <c r="N8" s="2197"/>
      <c r="O8" s="2197"/>
      <c r="P8" s="2198"/>
      <c r="Q8" s="2199"/>
    </row>
    <row r="9" spans="2:17 16383:16383" s="769" customFormat="1" x14ac:dyDescent="0.25">
      <c r="B9" s="2186"/>
      <c r="C9" s="2187"/>
      <c r="D9" s="2195"/>
      <c r="E9" s="2196"/>
      <c r="F9" s="2196"/>
      <c r="G9" s="2196"/>
      <c r="H9" s="2196"/>
      <c r="I9" s="2196"/>
      <c r="J9" s="2196"/>
      <c r="K9" s="2196"/>
      <c r="L9" s="2197"/>
      <c r="M9" s="2197"/>
      <c r="N9" s="2197"/>
      <c r="O9" s="2197"/>
      <c r="P9" s="2198"/>
      <c r="Q9" s="2199"/>
    </row>
    <row r="10" spans="2:17 16383:16383" s="769" customFormat="1" x14ac:dyDescent="0.25">
      <c r="B10" s="2186"/>
      <c r="C10" s="2187"/>
      <c r="D10" s="2195"/>
      <c r="E10" s="2196"/>
      <c r="F10" s="2196"/>
      <c r="G10" s="2196"/>
      <c r="H10" s="2196"/>
      <c r="I10" s="2196"/>
      <c r="J10" s="2196"/>
      <c r="K10" s="2196"/>
      <c r="L10" s="2197"/>
      <c r="M10" s="2197"/>
      <c r="N10" s="2197"/>
      <c r="O10" s="2197"/>
      <c r="P10" s="2198"/>
      <c r="Q10" s="2199"/>
    </row>
    <row r="11" spans="2:17 16383:16383" s="769" customFormat="1" x14ac:dyDescent="0.25">
      <c r="B11" s="2186"/>
      <c r="C11" s="2187"/>
      <c r="D11" s="2195"/>
      <c r="E11" s="2196"/>
      <c r="F11" s="2196"/>
      <c r="G11" s="2196"/>
      <c r="H11" s="2196"/>
      <c r="I11" s="2196"/>
      <c r="J11" s="2196"/>
      <c r="K11" s="2196"/>
      <c r="L11" s="2197"/>
      <c r="M11" s="2197"/>
      <c r="N11" s="2197"/>
      <c r="O11" s="2197"/>
      <c r="P11" s="2198"/>
      <c r="Q11" s="2199"/>
    </row>
    <row r="12" spans="2:17 16383:16383" s="769" customFormat="1" ht="15.75" thickBot="1" x14ac:dyDescent="0.3">
      <c r="B12" s="2188"/>
      <c r="C12" s="2189"/>
      <c r="D12" s="2200" t="s">
        <v>5509</v>
      </c>
      <c r="E12" s="2201"/>
      <c r="F12" s="2201"/>
      <c r="G12" s="2201"/>
      <c r="H12" s="2201"/>
      <c r="I12" s="2201"/>
      <c r="J12" s="2201"/>
      <c r="K12" s="2201"/>
      <c r="L12" s="2201"/>
      <c r="M12" s="2201"/>
      <c r="N12" s="2201"/>
      <c r="O12" s="2202"/>
      <c r="P12" s="2203">
        <f>SUM(P7:Q11)</f>
        <v>0</v>
      </c>
      <c r="Q12" s="2204"/>
    </row>
    <row r="13" spans="2:17 16383:16383" s="769" customFormat="1" ht="15" customHeight="1" x14ac:dyDescent="0.25">
      <c r="B13" s="2184" t="str">
        <f>IFERROR(IF('UNIDAD PRODUCTORA'!B102="","",'UNIDAD PRODUCTORA'!B102),"")</f>
        <v/>
      </c>
      <c r="C13" s="2205"/>
      <c r="D13" s="2208"/>
      <c r="E13" s="2208"/>
      <c r="F13" s="2208"/>
      <c r="G13" s="2208"/>
      <c r="H13" s="2208"/>
      <c r="I13" s="2208"/>
      <c r="J13" s="2208"/>
      <c r="K13" s="2208"/>
      <c r="L13" s="2209"/>
      <c r="M13" s="2209"/>
      <c r="N13" s="2209"/>
      <c r="O13" s="2209"/>
      <c r="P13" s="2210"/>
      <c r="Q13" s="2211"/>
    </row>
    <row r="14" spans="2:17 16383:16383" s="769" customFormat="1" x14ac:dyDescent="0.25">
      <c r="B14" s="2186"/>
      <c r="C14" s="2206"/>
      <c r="D14" s="2196"/>
      <c r="E14" s="2196"/>
      <c r="F14" s="2196"/>
      <c r="G14" s="2196"/>
      <c r="H14" s="2196"/>
      <c r="I14" s="2196"/>
      <c r="J14" s="2196"/>
      <c r="K14" s="2196"/>
      <c r="L14" s="2197"/>
      <c r="M14" s="2197"/>
      <c r="N14" s="2197"/>
      <c r="O14" s="2197"/>
      <c r="P14" s="2198"/>
      <c r="Q14" s="2199"/>
    </row>
    <row r="15" spans="2:17 16383:16383" s="769" customFormat="1" x14ac:dyDescent="0.25">
      <c r="B15" s="2186"/>
      <c r="C15" s="2206"/>
      <c r="D15" s="2196"/>
      <c r="E15" s="2196"/>
      <c r="F15" s="2196"/>
      <c r="G15" s="2196"/>
      <c r="H15" s="2196"/>
      <c r="I15" s="2196"/>
      <c r="J15" s="2196"/>
      <c r="K15" s="2196"/>
      <c r="L15" s="2197"/>
      <c r="M15" s="2197"/>
      <c r="N15" s="2197"/>
      <c r="O15" s="2197"/>
      <c r="P15" s="2198"/>
      <c r="Q15" s="2199"/>
    </row>
    <row r="16" spans="2:17 16383:16383" s="769" customFormat="1" x14ac:dyDescent="0.25">
      <c r="B16" s="2186"/>
      <c r="C16" s="2206"/>
      <c r="D16" s="2195"/>
      <c r="E16" s="2196"/>
      <c r="F16" s="2196"/>
      <c r="G16" s="2196"/>
      <c r="H16" s="2196"/>
      <c r="I16" s="2196"/>
      <c r="J16" s="2196"/>
      <c r="K16" s="2196"/>
      <c r="L16" s="2197"/>
      <c r="M16" s="2197"/>
      <c r="N16" s="2197"/>
      <c r="O16" s="2197"/>
      <c r="P16" s="2198"/>
      <c r="Q16" s="2199"/>
    </row>
    <row r="17" spans="2:17" s="769" customFormat="1" ht="15.75" thickBot="1" x14ac:dyDescent="0.3">
      <c r="B17" s="2186"/>
      <c r="C17" s="2206"/>
      <c r="D17" s="2212"/>
      <c r="E17" s="2212"/>
      <c r="F17" s="2212"/>
      <c r="G17" s="2212"/>
      <c r="H17" s="2212"/>
      <c r="I17" s="2212"/>
      <c r="J17" s="2212"/>
      <c r="K17" s="2212"/>
      <c r="L17" s="2213"/>
      <c r="M17" s="2213"/>
      <c r="N17" s="2213"/>
      <c r="O17" s="2213"/>
      <c r="P17" s="2214"/>
      <c r="Q17" s="2215"/>
    </row>
    <row r="18" spans="2:17" s="769" customFormat="1" ht="15.75" thickBot="1" x14ac:dyDescent="0.3">
      <c r="B18" s="2188"/>
      <c r="C18" s="2207"/>
      <c r="D18" s="2200" t="s">
        <v>5509</v>
      </c>
      <c r="E18" s="2201"/>
      <c r="F18" s="2201"/>
      <c r="G18" s="2201"/>
      <c r="H18" s="2201"/>
      <c r="I18" s="2201"/>
      <c r="J18" s="2201"/>
      <c r="K18" s="2201"/>
      <c r="L18" s="2201"/>
      <c r="M18" s="2201"/>
      <c r="N18" s="2201"/>
      <c r="O18" s="2202"/>
      <c r="P18" s="2216">
        <f>SUM(P13:Q17)</f>
        <v>0</v>
      </c>
      <c r="Q18" s="2217"/>
    </row>
    <row r="19" spans="2:17" s="769" customFormat="1" ht="15" customHeight="1" x14ac:dyDescent="0.25">
      <c r="B19" s="2184" t="str">
        <f>IFERROR(IF('UNIDAD PRODUCTORA'!B108="","",'UNIDAD PRODUCTORA'!B108),"")</f>
        <v/>
      </c>
      <c r="C19" s="2205"/>
      <c r="D19" s="2191"/>
      <c r="E19" s="2191"/>
      <c r="F19" s="2191"/>
      <c r="G19" s="2191"/>
      <c r="H19" s="2191"/>
      <c r="I19" s="2191"/>
      <c r="J19" s="2191"/>
      <c r="K19" s="2191"/>
      <c r="L19" s="2192"/>
      <c r="M19" s="2192"/>
      <c r="N19" s="2192"/>
      <c r="O19" s="2192"/>
      <c r="P19" s="2193"/>
      <c r="Q19" s="2194"/>
    </row>
    <row r="20" spans="2:17" s="769" customFormat="1" x14ac:dyDescent="0.25">
      <c r="B20" s="2186"/>
      <c r="C20" s="2206"/>
      <c r="D20" s="2196"/>
      <c r="E20" s="2196"/>
      <c r="F20" s="2196"/>
      <c r="G20" s="2196"/>
      <c r="H20" s="2196"/>
      <c r="I20" s="2196"/>
      <c r="J20" s="2196"/>
      <c r="K20" s="2196"/>
      <c r="L20" s="2197"/>
      <c r="M20" s="2197"/>
      <c r="N20" s="2197"/>
      <c r="O20" s="2197"/>
      <c r="P20" s="2198"/>
      <c r="Q20" s="2199"/>
    </row>
    <row r="21" spans="2:17" s="769" customFormat="1" x14ac:dyDescent="0.25">
      <c r="B21" s="2186"/>
      <c r="C21" s="2206"/>
      <c r="D21" s="2196"/>
      <c r="E21" s="2196"/>
      <c r="F21" s="2196"/>
      <c r="G21" s="2196"/>
      <c r="H21" s="2196"/>
      <c r="I21" s="2196"/>
      <c r="J21" s="2196"/>
      <c r="K21" s="2196"/>
      <c r="L21" s="2197"/>
      <c r="M21" s="2197"/>
      <c r="N21" s="2197"/>
      <c r="O21" s="2197"/>
      <c r="P21" s="2198"/>
      <c r="Q21" s="2199"/>
    </row>
    <row r="22" spans="2:17" s="769" customFormat="1" x14ac:dyDescent="0.25">
      <c r="B22" s="2186"/>
      <c r="C22" s="2206"/>
      <c r="D22" s="2196"/>
      <c r="E22" s="2196"/>
      <c r="F22" s="2196"/>
      <c r="G22" s="2196"/>
      <c r="H22" s="2196"/>
      <c r="I22" s="2196"/>
      <c r="J22" s="2196"/>
      <c r="K22" s="2196"/>
      <c r="L22" s="2197"/>
      <c r="M22" s="2197"/>
      <c r="N22" s="2197"/>
      <c r="O22" s="2197"/>
      <c r="P22" s="2198"/>
      <c r="Q22" s="2199"/>
    </row>
    <row r="23" spans="2:17" s="769" customFormat="1" ht="15.75" thickBot="1" x14ac:dyDescent="0.3">
      <c r="B23" s="2186"/>
      <c r="C23" s="2206"/>
      <c r="D23" s="2219"/>
      <c r="E23" s="2219"/>
      <c r="F23" s="2219"/>
      <c r="G23" s="2219"/>
      <c r="H23" s="2219"/>
      <c r="I23" s="2219"/>
      <c r="J23" s="2219"/>
      <c r="K23" s="2219"/>
      <c r="L23" s="2220"/>
      <c r="M23" s="2220"/>
      <c r="N23" s="2220"/>
      <c r="O23" s="2220"/>
      <c r="P23" s="2221"/>
      <c r="Q23" s="2222"/>
    </row>
    <row r="24" spans="2:17" s="769" customFormat="1" ht="15.75" thickBot="1" x14ac:dyDescent="0.3">
      <c r="B24" s="2188"/>
      <c r="C24" s="2218"/>
      <c r="D24" s="2200" t="s">
        <v>5509</v>
      </c>
      <c r="E24" s="2201"/>
      <c r="F24" s="2201"/>
      <c r="G24" s="2201"/>
      <c r="H24" s="2201"/>
      <c r="I24" s="2201"/>
      <c r="J24" s="2201"/>
      <c r="K24" s="2201"/>
      <c r="L24" s="2201"/>
      <c r="M24" s="2201"/>
      <c r="N24" s="2201"/>
      <c r="O24" s="2202"/>
      <c r="P24" s="2203">
        <f>SUM(P19:Q23)</f>
        <v>0</v>
      </c>
      <c r="Q24" s="2204"/>
    </row>
    <row r="25" spans="2:17" s="769" customFormat="1" x14ac:dyDescent="0.25">
      <c r="B25" s="2186" t="str">
        <f>IFERROR(IF('UNIDAD PRODUCTORA'!B114="","",'UNIDAD PRODUCTORA'!B114),"")</f>
        <v/>
      </c>
      <c r="C25" s="2206"/>
      <c r="D25" s="2208"/>
      <c r="E25" s="2208"/>
      <c r="F25" s="2208"/>
      <c r="G25" s="2208"/>
      <c r="H25" s="2208"/>
      <c r="I25" s="2208"/>
      <c r="J25" s="2208"/>
      <c r="K25" s="2208"/>
      <c r="L25" s="2209"/>
      <c r="M25" s="2209"/>
      <c r="N25" s="2209"/>
      <c r="O25" s="2209"/>
      <c r="P25" s="2210"/>
      <c r="Q25" s="2211"/>
    </row>
    <row r="26" spans="2:17" s="769" customFormat="1" x14ac:dyDescent="0.25">
      <c r="B26" s="2186"/>
      <c r="C26" s="2206"/>
      <c r="D26" s="2196"/>
      <c r="E26" s="2196"/>
      <c r="F26" s="2196"/>
      <c r="G26" s="2196"/>
      <c r="H26" s="2196"/>
      <c r="I26" s="2196"/>
      <c r="J26" s="2196"/>
      <c r="K26" s="2196"/>
      <c r="L26" s="2197"/>
      <c r="M26" s="2197"/>
      <c r="N26" s="2197"/>
      <c r="O26" s="2197"/>
      <c r="P26" s="2198"/>
      <c r="Q26" s="2199"/>
    </row>
    <row r="27" spans="2:17" s="769" customFormat="1" x14ac:dyDescent="0.25">
      <c r="B27" s="2186"/>
      <c r="C27" s="2206"/>
      <c r="D27" s="2196"/>
      <c r="E27" s="2196"/>
      <c r="F27" s="2196"/>
      <c r="G27" s="2196"/>
      <c r="H27" s="2196"/>
      <c r="I27" s="2196"/>
      <c r="J27" s="2196"/>
      <c r="K27" s="2196"/>
      <c r="L27" s="2197"/>
      <c r="M27" s="2197"/>
      <c r="N27" s="2197"/>
      <c r="O27" s="2197"/>
      <c r="P27" s="2198"/>
      <c r="Q27" s="2199"/>
    </row>
    <row r="28" spans="2:17" s="769" customFormat="1" x14ac:dyDescent="0.25">
      <c r="B28" s="2186"/>
      <c r="C28" s="2206"/>
      <c r="D28" s="2196"/>
      <c r="E28" s="2196"/>
      <c r="F28" s="2196"/>
      <c r="G28" s="2196"/>
      <c r="H28" s="2196"/>
      <c r="I28" s="2196"/>
      <c r="J28" s="2196"/>
      <c r="K28" s="2196"/>
      <c r="L28" s="2197"/>
      <c r="M28" s="2197"/>
      <c r="N28" s="2197"/>
      <c r="O28" s="2197"/>
      <c r="P28" s="2198"/>
      <c r="Q28" s="2199"/>
    </row>
    <row r="29" spans="2:17" s="769" customFormat="1" ht="15.75" thickBot="1" x14ac:dyDescent="0.3">
      <c r="B29" s="2186"/>
      <c r="C29" s="2206"/>
      <c r="D29" s="2212"/>
      <c r="E29" s="2212"/>
      <c r="F29" s="2212"/>
      <c r="G29" s="2212"/>
      <c r="H29" s="2212"/>
      <c r="I29" s="2212"/>
      <c r="J29" s="2212"/>
      <c r="K29" s="2212"/>
      <c r="L29" s="2213"/>
      <c r="M29" s="2213"/>
      <c r="N29" s="2213"/>
      <c r="O29" s="2213"/>
      <c r="P29" s="2214"/>
      <c r="Q29" s="2215"/>
    </row>
    <row r="30" spans="2:17" s="769" customFormat="1" ht="15.75" thickBot="1" x14ac:dyDescent="0.3">
      <c r="B30" s="2188"/>
      <c r="C30" s="2207"/>
      <c r="D30" s="2200" t="s">
        <v>5509</v>
      </c>
      <c r="E30" s="2201"/>
      <c r="F30" s="2201"/>
      <c r="G30" s="2201"/>
      <c r="H30" s="2201"/>
      <c r="I30" s="2201"/>
      <c r="J30" s="2201"/>
      <c r="K30" s="2201"/>
      <c r="L30" s="2201"/>
      <c r="M30" s="2201"/>
      <c r="N30" s="2201"/>
      <c r="O30" s="2202"/>
      <c r="P30" s="2216">
        <f>SUM(P25:Q29)</f>
        <v>0</v>
      </c>
      <c r="Q30" s="2217"/>
    </row>
    <row r="31" spans="2:17" s="769" customFormat="1" x14ac:dyDescent="0.25">
      <c r="B31" s="2184" t="str">
        <f>IFERROR(IF('UNIDAD PRODUCTORA'!B120="","",'UNIDAD PRODUCTORA'!B120),"")</f>
        <v/>
      </c>
      <c r="C31" s="2205"/>
      <c r="D31" s="2191"/>
      <c r="E31" s="2191"/>
      <c r="F31" s="2191"/>
      <c r="G31" s="2191"/>
      <c r="H31" s="2191"/>
      <c r="I31" s="2191"/>
      <c r="J31" s="2191"/>
      <c r="K31" s="2191"/>
      <c r="L31" s="2192"/>
      <c r="M31" s="2192"/>
      <c r="N31" s="2192"/>
      <c r="O31" s="2192"/>
      <c r="P31" s="2193"/>
      <c r="Q31" s="2194"/>
    </row>
    <row r="32" spans="2:17" s="769" customFormat="1" x14ac:dyDescent="0.25">
      <c r="B32" s="2186"/>
      <c r="C32" s="2206"/>
      <c r="D32" s="2196"/>
      <c r="E32" s="2196"/>
      <c r="F32" s="2196"/>
      <c r="G32" s="2196"/>
      <c r="H32" s="2196"/>
      <c r="I32" s="2196"/>
      <c r="J32" s="2196"/>
      <c r="K32" s="2196"/>
      <c r="L32" s="2197"/>
      <c r="M32" s="2197"/>
      <c r="N32" s="2197"/>
      <c r="O32" s="2197"/>
      <c r="P32" s="2198"/>
      <c r="Q32" s="2199"/>
    </row>
    <row r="33" spans="2:17" s="769" customFormat="1" x14ac:dyDescent="0.25">
      <c r="B33" s="2186"/>
      <c r="C33" s="2206"/>
      <c r="D33" s="2196"/>
      <c r="E33" s="2196"/>
      <c r="F33" s="2196"/>
      <c r="G33" s="2196"/>
      <c r="H33" s="2196"/>
      <c r="I33" s="2196"/>
      <c r="J33" s="2196"/>
      <c r="K33" s="2196"/>
      <c r="L33" s="2197"/>
      <c r="M33" s="2197"/>
      <c r="N33" s="2197"/>
      <c r="O33" s="2197"/>
      <c r="P33" s="2198"/>
      <c r="Q33" s="2199"/>
    </row>
    <row r="34" spans="2:17" s="769" customFormat="1" x14ac:dyDescent="0.25">
      <c r="B34" s="2186"/>
      <c r="C34" s="2206"/>
      <c r="D34" s="2196"/>
      <c r="E34" s="2196"/>
      <c r="F34" s="2196"/>
      <c r="G34" s="2196"/>
      <c r="H34" s="2196"/>
      <c r="I34" s="2196"/>
      <c r="J34" s="2196"/>
      <c r="K34" s="2196"/>
      <c r="L34" s="2197"/>
      <c r="M34" s="2197"/>
      <c r="N34" s="2197"/>
      <c r="O34" s="2197"/>
      <c r="P34" s="2198"/>
      <c r="Q34" s="2199"/>
    </row>
    <row r="35" spans="2:17" s="769" customFormat="1" ht="15.75" thickBot="1" x14ac:dyDescent="0.3">
      <c r="B35" s="2186"/>
      <c r="C35" s="2206"/>
      <c r="D35" s="2219"/>
      <c r="E35" s="2219"/>
      <c r="F35" s="2219"/>
      <c r="G35" s="2219"/>
      <c r="H35" s="2219"/>
      <c r="I35" s="2219"/>
      <c r="J35" s="2219"/>
      <c r="K35" s="2219"/>
      <c r="L35" s="2220"/>
      <c r="M35" s="2220"/>
      <c r="N35" s="2220"/>
      <c r="O35" s="2220"/>
      <c r="P35" s="2221"/>
      <c r="Q35" s="2222"/>
    </row>
    <row r="36" spans="2:17" s="769" customFormat="1" ht="15.75" thickBot="1" x14ac:dyDescent="0.3">
      <c r="B36" s="2188"/>
      <c r="C36" s="2218"/>
      <c r="D36" s="2200" t="s">
        <v>5509</v>
      </c>
      <c r="E36" s="2201"/>
      <c r="F36" s="2201"/>
      <c r="G36" s="2201"/>
      <c r="H36" s="2201"/>
      <c r="I36" s="2201"/>
      <c r="J36" s="2201"/>
      <c r="K36" s="2201"/>
      <c r="L36" s="2201"/>
      <c r="M36" s="2201"/>
      <c r="N36" s="2201"/>
      <c r="O36" s="2202"/>
      <c r="P36" s="2203">
        <f>SUM(P31:Q35)</f>
        <v>0</v>
      </c>
      <c r="Q36" s="2204"/>
    </row>
    <row r="37" spans="2:17" s="769" customFormat="1" x14ac:dyDescent="0.25">
      <c r="B37" s="2186" t="str">
        <f>IFERROR(IF('UNIDAD PRODUCTORA'!B126="","",'UNIDAD PRODUCTORA'!B126),"")</f>
        <v/>
      </c>
      <c r="C37" s="2206"/>
      <c r="D37" s="2208"/>
      <c r="E37" s="2208"/>
      <c r="F37" s="2208"/>
      <c r="G37" s="2208"/>
      <c r="H37" s="2208"/>
      <c r="I37" s="2208"/>
      <c r="J37" s="2208"/>
      <c r="K37" s="2208"/>
      <c r="L37" s="2209"/>
      <c r="M37" s="2209"/>
      <c r="N37" s="2209"/>
      <c r="O37" s="2209"/>
      <c r="P37" s="2210"/>
      <c r="Q37" s="2211"/>
    </row>
    <row r="38" spans="2:17" s="769" customFormat="1" x14ac:dyDescent="0.25">
      <c r="B38" s="2186"/>
      <c r="C38" s="2206"/>
      <c r="D38" s="2196"/>
      <c r="E38" s="2196"/>
      <c r="F38" s="2196"/>
      <c r="G38" s="2196"/>
      <c r="H38" s="2196"/>
      <c r="I38" s="2196"/>
      <c r="J38" s="2196"/>
      <c r="K38" s="2196"/>
      <c r="L38" s="2197"/>
      <c r="M38" s="2197"/>
      <c r="N38" s="2197"/>
      <c r="O38" s="2197"/>
      <c r="P38" s="2198"/>
      <c r="Q38" s="2199"/>
    </row>
    <row r="39" spans="2:17" s="769" customFormat="1" x14ac:dyDescent="0.25">
      <c r="B39" s="2186"/>
      <c r="C39" s="2206"/>
      <c r="D39" s="2196"/>
      <c r="E39" s="2196"/>
      <c r="F39" s="2196"/>
      <c r="G39" s="2196"/>
      <c r="H39" s="2196"/>
      <c r="I39" s="2196"/>
      <c r="J39" s="2196"/>
      <c r="K39" s="2196"/>
      <c r="L39" s="2197"/>
      <c r="M39" s="2197"/>
      <c r="N39" s="2197"/>
      <c r="O39" s="2197"/>
      <c r="P39" s="2198"/>
      <c r="Q39" s="2199"/>
    </row>
    <row r="40" spans="2:17" s="769" customFormat="1" x14ac:dyDescent="0.25">
      <c r="B40" s="2186"/>
      <c r="C40" s="2206"/>
      <c r="D40" s="2196"/>
      <c r="E40" s="2196"/>
      <c r="F40" s="2196"/>
      <c r="G40" s="2196"/>
      <c r="H40" s="2196"/>
      <c r="I40" s="2196"/>
      <c r="J40" s="2196"/>
      <c r="K40" s="2196"/>
      <c r="L40" s="2197"/>
      <c r="M40" s="2197"/>
      <c r="N40" s="2197"/>
      <c r="O40" s="2197"/>
      <c r="P40" s="2198"/>
      <c r="Q40" s="2199"/>
    </row>
    <row r="41" spans="2:17" s="769" customFormat="1" ht="15.75" thickBot="1" x14ac:dyDescent="0.3">
      <c r="B41" s="2186"/>
      <c r="C41" s="2206"/>
      <c r="D41" s="2212"/>
      <c r="E41" s="2212"/>
      <c r="F41" s="2212"/>
      <c r="G41" s="2212"/>
      <c r="H41" s="2212"/>
      <c r="I41" s="2212"/>
      <c r="J41" s="2212"/>
      <c r="K41" s="2212"/>
      <c r="L41" s="2213"/>
      <c r="M41" s="2213"/>
      <c r="N41" s="2213"/>
      <c r="O41" s="2213"/>
      <c r="P41" s="2214"/>
      <c r="Q41" s="2215"/>
    </row>
    <row r="42" spans="2:17" s="769" customFormat="1" ht="15.75" thickBot="1" x14ac:dyDescent="0.3">
      <c r="B42" s="2188"/>
      <c r="C42" s="2207"/>
      <c r="D42" s="2200" t="s">
        <v>5509</v>
      </c>
      <c r="E42" s="2201"/>
      <c r="F42" s="2201"/>
      <c r="G42" s="2201"/>
      <c r="H42" s="2201"/>
      <c r="I42" s="2201"/>
      <c r="J42" s="2201"/>
      <c r="K42" s="2201"/>
      <c r="L42" s="2201"/>
      <c r="M42" s="2201"/>
      <c r="N42" s="2201"/>
      <c r="O42" s="2202"/>
      <c r="P42" s="2216">
        <f>SUM(P37:Q41)</f>
        <v>0</v>
      </c>
      <c r="Q42" s="2217"/>
    </row>
    <row r="43" spans="2:17" s="769" customFormat="1" ht="15" customHeight="1" x14ac:dyDescent="0.25">
      <c r="B43" s="2184" t="s">
        <v>5308</v>
      </c>
      <c r="C43" s="2205"/>
      <c r="D43" s="2223"/>
      <c r="E43" s="2191"/>
      <c r="F43" s="2191"/>
      <c r="G43" s="2191"/>
      <c r="H43" s="2191"/>
      <c r="I43" s="2191"/>
      <c r="J43" s="2191"/>
      <c r="K43" s="2191"/>
      <c r="L43" s="2192"/>
      <c r="M43" s="2192"/>
      <c r="N43" s="2192"/>
      <c r="O43" s="2192"/>
      <c r="P43" s="2193"/>
      <c r="Q43" s="2194"/>
    </row>
    <row r="44" spans="2:17" s="769" customFormat="1" x14ac:dyDescent="0.25">
      <c r="B44" s="2186"/>
      <c r="C44" s="2206"/>
      <c r="D44" s="2196"/>
      <c r="E44" s="2196"/>
      <c r="F44" s="2196"/>
      <c r="G44" s="2196"/>
      <c r="H44" s="2196"/>
      <c r="I44" s="2196"/>
      <c r="J44" s="2196"/>
      <c r="K44" s="2196"/>
      <c r="L44" s="2197"/>
      <c r="M44" s="2197"/>
      <c r="N44" s="2197"/>
      <c r="O44" s="2197"/>
      <c r="P44" s="2198"/>
      <c r="Q44" s="2199"/>
    </row>
    <row r="45" spans="2:17" s="769" customFormat="1" x14ac:dyDescent="0.25">
      <c r="B45" s="2186"/>
      <c r="C45" s="2206"/>
      <c r="D45" s="2196"/>
      <c r="E45" s="2196"/>
      <c r="F45" s="2196"/>
      <c r="G45" s="2196"/>
      <c r="H45" s="2196"/>
      <c r="I45" s="2196"/>
      <c r="J45" s="2196"/>
      <c r="K45" s="2196"/>
      <c r="L45" s="2197"/>
      <c r="M45" s="2197"/>
      <c r="N45" s="2197"/>
      <c r="O45" s="2197"/>
      <c r="P45" s="2198"/>
      <c r="Q45" s="2199"/>
    </row>
    <row r="46" spans="2:17" s="769" customFormat="1" x14ac:dyDescent="0.25">
      <c r="B46" s="2186"/>
      <c r="C46" s="2206"/>
      <c r="D46" s="2196"/>
      <c r="E46" s="2196"/>
      <c r="F46" s="2196"/>
      <c r="G46" s="2196"/>
      <c r="H46" s="2196"/>
      <c r="I46" s="2196"/>
      <c r="J46" s="2196"/>
      <c r="K46" s="2196"/>
      <c r="L46" s="2197"/>
      <c r="M46" s="2197"/>
      <c r="N46" s="2197"/>
      <c r="O46" s="2197"/>
      <c r="P46" s="2198"/>
      <c r="Q46" s="2199"/>
    </row>
    <row r="47" spans="2:17" s="769" customFormat="1" ht="15.75" thickBot="1" x14ac:dyDescent="0.3">
      <c r="B47" s="2186"/>
      <c r="C47" s="2206"/>
      <c r="D47" s="2219"/>
      <c r="E47" s="2219"/>
      <c r="F47" s="2219"/>
      <c r="G47" s="2219"/>
      <c r="H47" s="2219"/>
      <c r="I47" s="2219"/>
      <c r="J47" s="2219"/>
      <c r="K47" s="2219"/>
      <c r="L47" s="2220"/>
      <c r="M47" s="2220"/>
      <c r="N47" s="2220"/>
      <c r="O47" s="2220"/>
      <c r="P47" s="2221"/>
      <c r="Q47" s="2222"/>
    </row>
    <row r="48" spans="2:17" s="769" customFormat="1" ht="15.75" thickBot="1" x14ac:dyDescent="0.3">
      <c r="B48" s="2188"/>
      <c r="C48" s="2218"/>
      <c r="D48" s="2200" t="s">
        <v>5509</v>
      </c>
      <c r="E48" s="2201"/>
      <c r="F48" s="2201"/>
      <c r="G48" s="2201"/>
      <c r="H48" s="2201"/>
      <c r="I48" s="2201"/>
      <c r="J48" s="2201"/>
      <c r="K48" s="2201"/>
      <c r="L48" s="2201"/>
      <c r="M48" s="2201"/>
      <c r="N48" s="2201"/>
      <c r="O48" s="2202"/>
      <c r="P48" s="2203">
        <f>SUM(P43:Q47)</f>
        <v>0</v>
      </c>
      <c r="Q48" s="2204"/>
    </row>
    <row r="49" spans="2:17" s="769" customFormat="1" ht="15" customHeight="1" x14ac:dyDescent="0.25">
      <c r="B49" s="2184" t="s">
        <v>5307</v>
      </c>
      <c r="C49" s="2224"/>
      <c r="D49" s="2191"/>
      <c r="E49" s="2191"/>
      <c r="F49" s="2191"/>
      <c r="G49" s="2191"/>
      <c r="H49" s="2191"/>
      <c r="I49" s="2191"/>
      <c r="J49" s="2191"/>
      <c r="K49" s="2191"/>
      <c r="L49" s="2192"/>
      <c r="M49" s="2192"/>
      <c r="N49" s="2192"/>
      <c r="O49" s="2192"/>
      <c r="P49" s="2193"/>
      <c r="Q49" s="2194"/>
    </row>
    <row r="50" spans="2:17" s="769" customFormat="1" x14ac:dyDescent="0.25">
      <c r="B50" s="2186"/>
      <c r="C50" s="2225"/>
      <c r="D50" s="2196"/>
      <c r="E50" s="2196"/>
      <c r="F50" s="2196"/>
      <c r="G50" s="2196"/>
      <c r="H50" s="2196"/>
      <c r="I50" s="2196"/>
      <c r="J50" s="2196"/>
      <c r="K50" s="2196"/>
      <c r="L50" s="2197"/>
      <c r="M50" s="2197"/>
      <c r="N50" s="2197"/>
      <c r="O50" s="2197"/>
      <c r="P50" s="2198"/>
      <c r="Q50" s="2199"/>
    </row>
    <row r="51" spans="2:17" s="769" customFormat="1" x14ac:dyDescent="0.25">
      <c r="B51" s="2186"/>
      <c r="C51" s="2225"/>
      <c r="D51" s="2196"/>
      <c r="E51" s="2196"/>
      <c r="F51" s="2196"/>
      <c r="G51" s="2196"/>
      <c r="H51" s="2196"/>
      <c r="I51" s="2196"/>
      <c r="J51" s="2196"/>
      <c r="K51" s="2196"/>
      <c r="L51" s="2197"/>
      <c r="M51" s="2197"/>
      <c r="N51" s="2197"/>
      <c r="O51" s="2197"/>
      <c r="P51" s="2198"/>
      <c r="Q51" s="2199"/>
    </row>
    <row r="52" spans="2:17" s="769" customFormat="1" x14ac:dyDescent="0.25">
      <c r="B52" s="2186"/>
      <c r="C52" s="2225"/>
      <c r="D52" s="2196"/>
      <c r="E52" s="2196"/>
      <c r="F52" s="2196"/>
      <c r="G52" s="2196"/>
      <c r="H52" s="2196"/>
      <c r="I52" s="2196"/>
      <c r="J52" s="2196"/>
      <c r="K52" s="2196"/>
      <c r="L52" s="2197"/>
      <c r="M52" s="2197"/>
      <c r="N52" s="2197"/>
      <c r="O52" s="2197"/>
      <c r="P52" s="2198"/>
      <c r="Q52" s="2199"/>
    </row>
    <row r="53" spans="2:17" s="769" customFormat="1" ht="15.75" thickBot="1" x14ac:dyDescent="0.3">
      <c r="B53" s="2186"/>
      <c r="C53" s="2225"/>
      <c r="D53" s="2219"/>
      <c r="E53" s="2219"/>
      <c r="F53" s="2219"/>
      <c r="G53" s="2219"/>
      <c r="H53" s="2219"/>
      <c r="I53" s="2219"/>
      <c r="J53" s="2219"/>
      <c r="K53" s="2219"/>
      <c r="L53" s="2220"/>
      <c r="M53" s="2220"/>
      <c r="N53" s="2220"/>
      <c r="O53" s="2220"/>
      <c r="P53" s="2221"/>
      <c r="Q53" s="2222"/>
    </row>
    <row r="54" spans="2:17" s="769" customFormat="1" ht="15.75" thickBot="1" x14ac:dyDescent="0.3">
      <c r="B54" s="2188"/>
      <c r="C54" s="2207"/>
      <c r="D54" s="2200" t="s">
        <v>5509</v>
      </c>
      <c r="E54" s="2201"/>
      <c r="F54" s="2201"/>
      <c r="G54" s="2201"/>
      <c r="H54" s="2201"/>
      <c r="I54" s="2201"/>
      <c r="J54" s="2201"/>
      <c r="K54" s="2201"/>
      <c r="L54" s="2201"/>
      <c r="M54" s="2201"/>
      <c r="N54" s="2201"/>
      <c r="O54" s="2202"/>
      <c r="P54" s="2203">
        <f>SUM(P49:Q53)</f>
        <v>0</v>
      </c>
      <c r="Q54" s="2204"/>
    </row>
    <row r="55" spans="2:17" s="769" customFormat="1" ht="15.75" thickBot="1" x14ac:dyDescent="0.3">
      <c r="B55" s="2226" t="s">
        <v>5511</v>
      </c>
      <c r="C55" s="2227"/>
      <c r="D55" s="2227"/>
      <c r="E55" s="2227"/>
      <c r="F55" s="2227"/>
      <c r="G55" s="2227"/>
      <c r="H55" s="2227"/>
      <c r="I55" s="2227"/>
      <c r="J55" s="2227"/>
      <c r="K55" s="2227"/>
      <c r="L55" s="2227"/>
      <c r="M55" s="2227"/>
      <c r="N55" s="2227"/>
      <c r="O55" s="2227"/>
      <c r="P55" s="2228">
        <f>P12+P18+P24+P30+P36+P42+P48+P54</f>
        <v>0</v>
      </c>
      <c r="Q55" s="2229"/>
    </row>
    <row r="56" spans="2:17" s="769" customFormat="1" x14ac:dyDescent="0.25">
      <c r="B56" s="50" t="s">
        <v>5512</v>
      </c>
      <c r="C56" s="50"/>
      <c r="D56" s="50"/>
      <c r="E56" s="50"/>
      <c r="F56" s="50"/>
      <c r="G56" s="50"/>
      <c r="H56" s="50"/>
      <c r="I56" s="50"/>
      <c r="J56" s="50"/>
      <c r="K56" s="50"/>
      <c r="L56" s="50"/>
      <c r="M56" s="50"/>
      <c r="N56" s="50"/>
      <c r="O56" s="50"/>
      <c r="P56" s="50"/>
      <c r="Q56" s="50"/>
    </row>
    <row r="58" spans="2:17" s="769" customFormat="1" hidden="1" x14ac:dyDescent="0.25">
      <c r="B58" s="766" t="s">
        <v>5513</v>
      </c>
      <c r="C58" s="50"/>
      <c r="D58" s="50"/>
      <c r="E58" s="50"/>
      <c r="F58" s="50"/>
      <c r="G58" s="50"/>
      <c r="H58" s="50"/>
      <c r="I58" s="50"/>
      <c r="J58" s="50"/>
      <c r="K58" s="50"/>
      <c r="L58" s="50"/>
      <c r="M58" s="50"/>
      <c r="N58" s="50"/>
      <c r="O58" s="50"/>
      <c r="P58" s="50"/>
      <c r="Q58" s="50"/>
    </row>
    <row r="59" spans="2:17" s="769" customFormat="1" ht="15.75" hidden="1" thickBot="1" x14ac:dyDescent="0.3">
      <c r="B59" s="50"/>
      <c r="C59" s="50"/>
      <c r="D59" s="50"/>
      <c r="E59" s="50"/>
      <c r="F59" s="50"/>
      <c r="G59" s="50"/>
      <c r="H59" s="50"/>
      <c r="I59" s="50"/>
      <c r="J59" s="50"/>
      <c r="K59" s="50"/>
      <c r="L59" s="50"/>
      <c r="M59" s="50"/>
      <c r="N59" s="50"/>
      <c r="O59" s="50"/>
      <c r="P59" s="50"/>
      <c r="Q59" s="50"/>
    </row>
    <row r="60" spans="2:17" s="769" customFormat="1" ht="36" hidden="1" customHeight="1" thickBot="1" x14ac:dyDescent="0.3">
      <c r="B60" s="2179" t="s">
        <v>5455</v>
      </c>
      <c r="C60" s="2180"/>
      <c r="D60" s="2181" t="s">
        <v>5506</v>
      </c>
      <c r="E60" s="2181"/>
      <c r="F60" s="2181"/>
      <c r="G60" s="2181"/>
      <c r="H60" s="2181"/>
      <c r="I60" s="2181"/>
      <c r="J60" s="2181"/>
      <c r="K60" s="2181"/>
      <c r="L60" s="2182" t="s">
        <v>5507</v>
      </c>
      <c r="M60" s="2182"/>
      <c r="N60" s="2182" t="s">
        <v>5454</v>
      </c>
      <c r="O60" s="2182"/>
      <c r="P60" s="2182" t="s">
        <v>5508</v>
      </c>
      <c r="Q60" s="2183"/>
    </row>
    <row r="61" spans="2:17" s="769" customFormat="1" hidden="1" x14ac:dyDescent="0.25">
      <c r="B61" s="2184"/>
      <c r="C61" s="2185"/>
      <c r="D61" s="2230"/>
      <c r="E61" s="2231"/>
      <c r="F61" s="2231"/>
      <c r="G61" s="2231"/>
      <c r="H61" s="2231"/>
      <c r="I61" s="2231"/>
      <c r="J61" s="2231"/>
      <c r="K61" s="2231"/>
      <c r="L61" s="2232"/>
      <c r="M61" s="2232"/>
      <c r="N61" s="2232"/>
      <c r="O61" s="2232"/>
      <c r="P61" s="2233"/>
      <c r="Q61" s="2234"/>
    </row>
    <row r="62" spans="2:17" s="769" customFormat="1" hidden="1" x14ac:dyDescent="0.25">
      <c r="B62" s="2186"/>
      <c r="C62" s="2187"/>
      <c r="D62" s="2235"/>
      <c r="E62" s="2236"/>
      <c r="F62" s="2236"/>
      <c r="G62" s="2236"/>
      <c r="H62" s="2236"/>
      <c r="I62" s="2236"/>
      <c r="J62" s="2236"/>
      <c r="K62" s="2236"/>
      <c r="L62" s="2237"/>
      <c r="M62" s="2237"/>
      <c r="N62" s="2237"/>
      <c r="O62" s="2237"/>
      <c r="P62" s="2238"/>
      <c r="Q62" s="2239"/>
    </row>
    <row r="63" spans="2:17" s="769" customFormat="1" hidden="1" x14ac:dyDescent="0.25">
      <c r="B63" s="2186"/>
      <c r="C63" s="2187"/>
      <c r="D63" s="2235"/>
      <c r="E63" s="2236"/>
      <c r="F63" s="2236"/>
      <c r="G63" s="2236"/>
      <c r="H63" s="2236"/>
      <c r="I63" s="2236"/>
      <c r="J63" s="2236"/>
      <c r="K63" s="2236"/>
      <c r="L63" s="2237"/>
      <c r="M63" s="2237"/>
      <c r="N63" s="2237"/>
      <c r="O63" s="2237"/>
      <c r="P63" s="2238"/>
      <c r="Q63" s="2239"/>
    </row>
    <row r="64" spans="2:17" s="769" customFormat="1" hidden="1" x14ac:dyDescent="0.25">
      <c r="B64" s="2186"/>
      <c r="C64" s="2187"/>
      <c r="D64" s="2235"/>
      <c r="E64" s="2236"/>
      <c r="F64" s="2236"/>
      <c r="G64" s="2236"/>
      <c r="H64" s="2236"/>
      <c r="I64" s="2236"/>
      <c r="J64" s="2236"/>
      <c r="K64" s="2236"/>
      <c r="L64" s="2237"/>
      <c r="M64" s="2237"/>
      <c r="N64" s="2237"/>
      <c r="O64" s="2237"/>
      <c r="P64" s="2238"/>
      <c r="Q64" s="2239"/>
    </row>
    <row r="65" spans="2:17" s="769" customFormat="1" hidden="1" x14ac:dyDescent="0.25">
      <c r="B65" s="2186"/>
      <c r="C65" s="2187"/>
      <c r="D65" s="2235"/>
      <c r="E65" s="2236"/>
      <c r="F65" s="2236"/>
      <c r="G65" s="2236"/>
      <c r="H65" s="2236"/>
      <c r="I65" s="2236"/>
      <c r="J65" s="2236"/>
      <c r="K65" s="2236"/>
      <c r="L65" s="2237"/>
      <c r="M65" s="2237"/>
      <c r="N65" s="2237"/>
      <c r="O65" s="2237"/>
      <c r="P65" s="2238"/>
      <c r="Q65" s="2239"/>
    </row>
    <row r="66" spans="2:17" s="769" customFormat="1" ht="15.75" hidden="1" thickBot="1" x14ac:dyDescent="0.3">
      <c r="B66" s="2188"/>
      <c r="C66" s="2189"/>
      <c r="D66" s="2200" t="s">
        <v>5509</v>
      </c>
      <c r="E66" s="2201"/>
      <c r="F66" s="2201"/>
      <c r="G66" s="2201"/>
      <c r="H66" s="2201"/>
      <c r="I66" s="2201"/>
      <c r="J66" s="2201"/>
      <c r="K66" s="2201"/>
      <c r="L66" s="2201"/>
      <c r="M66" s="2201"/>
      <c r="N66" s="2201"/>
      <c r="O66" s="2202"/>
      <c r="P66" s="2203">
        <f>SUM(P61:Q65)</f>
        <v>0</v>
      </c>
      <c r="Q66" s="2204"/>
    </row>
    <row r="67" spans="2:17" s="769" customFormat="1" ht="15" hidden="1" customHeight="1" x14ac:dyDescent="0.25">
      <c r="B67" s="2184"/>
      <c r="C67" s="2205"/>
      <c r="D67" s="2240"/>
      <c r="E67" s="2240"/>
      <c r="F67" s="2240"/>
      <c r="G67" s="2240"/>
      <c r="H67" s="2240"/>
      <c r="I67" s="2240"/>
      <c r="J67" s="2240"/>
      <c r="K67" s="2240"/>
      <c r="L67" s="2241"/>
      <c r="M67" s="2241"/>
      <c r="N67" s="2241"/>
      <c r="O67" s="2241"/>
      <c r="P67" s="2242"/>
      <c r="Q67" s="2243"/>
    </row>
    <row r="68" spans="2:17" s="769" customFormat="1" hidden="1" x14ac:dyDescent="0.25">
      <c r="B68" s="2186"/>
      <c r="C68" s="2206"/>
      <c r="D68" s="2236"/>
      <c r="E68" s="2236"/>
      <c r="F68" s="2236"/>
      <c r="G68" s="2236"/>
      <c r="H68" s="2236"/>
      <c r="I68" s="2236"/>
      <c r="J68" s="2236"/>
      <c r="K68" s="2236"/>
      <c r="L68" s="2237"/>
      <c r="M68" s="2237"/>
      <c r="N68" s="2237"/>
      <c r="O68" s="2237"/>
      <c r="P68" s="2238"/>
      <c r="Q68" s="2239"/>
    </row>
    <row r="69" spans="2:17" s="769" customFormat="1" hidden="1" x14ac:dyDescent="0.25">
      <c r="B69" s="2186"/>
      <c r="C69" s="2206"/>
      <c r="D69" s="2236"/>
      <c r="E69" s="2236"/>
      <c r="F69" s="2236"/>
      <c r="G69" s="2236"/>
      <c r="H69" s="2236"/>
      <c r="I69" s="2236"/>
      <c r="J69" s="2236"/>
      <c r="K69" s="2236"/>
      <c r="L69" s="2237"/>
      <c r="M69" s="2237"/>
      <c r="N69" s="2237"/>
      <c r="O69" s="2237"/>
      <c r="P69" s="2238"/>
      <c r="Q69" s="2239"/>
    </row>
    <row r="70" spans="2:17" s="769" customFormat="1" hidden="1" x14ac:dyDescent="0.25">
      <c r="B70" s="2186"/>
      <c r="C70" s="2206"/>
      <c r="D70" s="2235"/>
      <c r="E70" s="2236"/>
      <c r="F70" s="2236"/>
      <c r="G70" s="2236"/>
      <c r="H70" s="2236"/>
      <c r="I70" s="2236"/>
      <c r="J70" s="2236"/>
      <c r="K70" s="2236"/>
      <c r="L70" s="2237"/>
      <c r="M70" s="2237"/>
      <c r="N70" s="2237"/>
      <c r="O70" s="2237"/>
      <c r="P70" s="2238"/>
      <c r="Q70" s="2239"/>
    </row>
    <row r="71" spans="2:17" s="769" customFormat="1" ht="15.75" hidden="1" thickBot="1" x14ac:dyDescent="0.3">
      <c r="B71" s="2186"/>
      <c r="C71" s="2206"/>
      <c r="D71" s="2244"/>
      <c r="E71" s="2244"/>
      <c r="F71" s="2244"/>
      <c r="G71" s="2244"/>
      <c r="H71" s="2244"/>
      <c r="I71" s="2244"/>
      <c r="J71" s="2244"/>
      <c r="K71" s="2244"/>
      <c r="L71" s="2245"/>
      <c r="M71" s="2245"/>
      <c r="N71" s="2245"/>
      <c r="O71" s="2245"/>
      <c r="P71" s="2246"/>
      <c r="Q71" s="2247"/>
    </row>
    <row r="72" spans="2:17" s="769" customFormat="1" ht="15.75" hidden="1" thickBot="1" x14ac:dyDescent="0.3">
      <c r="B72" s="2188"/>
      <c r="C72" s="2207"/>
      <c r="D72" s="2200" t="s">
        <v>5509</v>
      </c>
      <c r="E72" s="2201"/>
      <c r="F72" s="2201"/>
      <c r="G72" s="2201"/>
      <c r="H72" s="2201"/>
      <c r="I72" s="2201"/>
      <c r="J72" s="2201"/>
      <c r="K72" s="2201"/>
      <c r="L72" s="2201"/>
      <c r="M72" s="2201"/>
      <c r="N72" s="2201"/>
      <c r="O72" s="2202"/>
      <c r="P72" s="2216">
        <f>SUM(P67:Q71)</f>
        <v>0</v>
      </c>
      <c r="Q72" s="2217"/>
    </row>
    <row r="73" spans="2:17" s="769" customFormat="1" ht="15" hidden="1" customHeight="1" x14ac:dyDescent="0.25">
      <c r="B73" s="2184"/>
      <c r="C73" s="2205"/>
      <c r="D73" s="2231"/>
      <c r="E73" s="2231"/>
      <c r="F73" s="2231"/>
      <c r="G73" s="2231"/>
      <c r="H73" s="2231"/>
      <c r="I73" s="2231"/>
      <c r="J73" s="2231"/>
      <c r="K73" s="2231"/>
      <c r="L73" s="2232"/>
      <c r="M73" s="2232"/>
      <c r="N73" s="2232"/>
      <c r="O73" s="2232"/>
      <c r="P73" s="2233"/>
      <c r="Q73" s="2234"/>
    </row>
    <row r="74" spans="2:17" s="769" customFormat="1" hidden="1" x14ac:dyDescent="0.25">
      <c r="B74" s="2186"/>
      <c r="C74" s="2206"/>
      <c r="D74" s="2236"/>
      <c r="E74" s="2236"/>
      <c r="F74" s="2236"/>
      <c r="G74" s="2236"/>
      <c r="H74" s="2236"/>
      <c r="I74" s="2236"/>
      <c r="J74" s="2236"/>
      <c r="K74" s="2236"/>
      <c r="L74" s="2237"/>
      <c r="M74" s="2237"/>
      <c r="N74" s="2237"/>
      <c r="O74" s="2237"/>
      <c r="P74" s="2238"/>
      <c r="Q74" s="2239"/>
    </row>
    <row r="75" spans="2:17" s="769" customFormat="1" hidden="1" x14ac:dyDescent="0.25">
      <c r="B75" s="2186"/>
      <c r="C75" s="2206"/>
      <c r="D75" s="2236"/>
      <c r="E75" s="2236"/>
      <c r="F75" s="2236"/>
      <c r="G75" s="2236"/>
      <c r="H75" s="2236"/>
      <c r="I75" s="2236"/>
      <c r="J75" s="2236"/>
      <c r="K75" s="2236"/>
      <c r="L75" s="2237"/>
      <c r="M75" s="2237"/>
      <c r="N75" s="2237"/>
      <c r="O75" s="2237"/>
      <c r="P75" s="2238"/>
      <c r="Q75" s="2239"/>
    </row>
    <row r="76" spans="2:17" s="769" customFormat="1" hidden="1" x14ac:dyDescent="0.25">
      <c r="B76" s="2186"/>
      <c r="C76" s="2206"/>
      <c r="D76" s="2236"/>
      <c r="E76" s="2236"/>
      <c r="F76" s="2236"/>
      <c r="G76" s="2236"/>
      <c r="H76" s="2236"/>
      <c r="I76" s="2236"/>
      <c r="J76" s="2236"/>
      <c r="K76" s="2236"/>
      <c r="L76" s="2237"/>
      <c r="M76" s="2237"/>
      <c r="N76" s="2237"/>
      <c r="O76" s="2237"/>
      <c r="P76" s="2238"/>
      <c r="Q76" s="2239"/>
    </row>
    <row r="77" spans="2:17" s="769" customFormat="1" ht="15.75" hidden="1" thickBot="1" x14ac:dyDescent="0.3">
      <c r="B77" s="2186"/>
      <c r="C77" s="2206"/>
      <c r="D77" s="2248"/>
      <c r="E77" s="2248"/>
      <c r="F77" s="2248"/>
      <c r="G77" s="2248"/>
      <c r="H77" s="2248"/>
      <c r="I77" s="2248"/>
      <c r="J77" s="2248"/>
      <c r="K77" s="2248"/>
      <c r="L77" s="2249"/>
      <c r="M77" s="2249"/>
      <c r="N77" s="2249"/>
      <c r="O77" s="2249"/>
      <c r="P77" s="2203"/>
      <c r="Q77" s="2204"/>
    </row>
    <row r="78" spans="2:17" s="769" customFormat="1" ht="15.75" hidden="1" thickBot="1" x14ac:dyDescent="0.3">
      <c r="B78" s="2188"/>
      <c r="C78" s="2218"/>
      <c r="D78" s="2200" t="s">
        <v>5509</v>
      </c>
      <c r="E78" s="2201"/>
      <c r="F78" s="2201"/>
      <c r="G78" s="2201"/>
      <c r="H78" s="2201"/>
      <c r="I78" s="2201"/>
      <c r="J78" s="2201"/>
      <c r="K78" s="2201"/>
      <c r="L78" s="2201"/>
      <c r="M78" s="2201"/>
      <c r="N78" s="2201"/>
      <c r="O78" s="2202"/>
      <c r="P78" s="2203">
        <f>SUM(P73:Q77)</f>
        <v>0</v>
      </c>
      <c r="Q78" s="2204"/>
    </row>
    <row r="79" spans="2:17" s="769" customFormat="1" hidden="1" x14ac:dyDescent="0.25">
      <c r="B79" s="2186"/>
      <c r="C79" s="2206"/>
      <c r="D79" s="2240"/>
      <c r="E79" s="2240"/>
      <c r="F79" s="2240"/>
      <c r="G79" s="2240"/>
      <c r="H79" s="2240"/>
      <c r="I79" s="2240"/>
      <c r="J79" s="2240"/>
      <c r="K79" s="2240"/>
      <c r="L79" s="2241"/>
      <c r="M79" s="2241"/>
      <c r="N79" s="2241"/>
      <c r="O79" s="2241"/>
      <c r="P79" s="2242"/>
      <c r="Q79" s="2243"/>
    </row>
    <row r="80" spans="2:17" s="769" customFormat="1" hidden="1" x14ac:dyDescent="0.25">
      <c r="B80" s="2186"/>
      <c r="C80" s="2206"/>
      <c r="D80" s="2236"/>
      <c r="E80" s="2236"/>
      <c r="F80" s="2236"/>
      <c r="G80" s="2236"/>
      <c r="H80" s="2236"/>
      <c r="I80" s="2236"/>
      <c r="J80" s="2236"/>
      <c r="K80" s="2236"/>
      <c r="L80" s="2237"/>
      <c r="M80" s="2237"/>
      <c r="N80" s="2237"/>
      <c r="O80" s="2237"/>
      <c r="P80" s="2238"/>
      <c r="Q80" s="2239"/>
    </row>
    <row r="81" spans="2:17" s="769" customFormat="1" hidden="1" x14ac:dyDescent="0.25">
      <c r="B81" s="2186"/>
      <c r="C81" s="2206"/>
      <c r="D81" s="2236"/>
      <c r="E81" s="2236"/>
      <c r="F81" s="2236"/>
      <c r="G81" s="2236"/>
      <c r="H81" s="2236"/>
      <c r="I81" s="2236"/>
      <c r="J81" s="2236"/>
      <c r="K81" s="2236"/>
      <c r="L81" s="2237"/>
      <c r="M81" s="2237"/>
      <c r="N81" s="2237"/>
      <c r="O81" s="2237"/>
      <c r="P81" s="2238"/>
      <c r="Q81" s="2239"/>
    </row>
    <row r="82" spans="2:17" s="769" customFormat="1" hidden="1" x14ac:dyDescent="0.25">
      <c r="B82" s="2186"/>
      <c r="C82" s="2206"/>
      <c r="D82" s="2236"/>
      <c r="E82" s="2236"/>
      <c r="F82" s="2236"/>
      <c r="G82" s="2236"/>
      <c r="H82" s="2236"/>
      <c r="I82" s="2236"/>
      <c r="J82" s="2236"/>
      <c r="K82" s="2236"/>
      <c r="L82" s="2237"/>
      <c r="M82" s="2237"/>
      <c r="N82" s="2237"/>
      <c r="O82" s="2237"/>
      <c r="P82" s="2238"/>
      <c r="Q82" s="2239"/>
    </row>
    <row r="83" spans="2:17" s="769" customFormat="1" ht="15.75" hidden="1" thickBot="1" x14ac:dyDescent="0.3">
      <c r="B83" s="2186"/>
      <c r="C83" s="2206"/>
      <c r="D83" s="2244"/>
      <c r="E83" s="2244"/>
      <c r="F83" s="2244"/>
      <c r="G83" s="2244"/>
      <c r="H83" s="2244"/>
      <c r="I83" s="2244"/>
      <c r="J83" s="2244"/>
      <c r="K83" s="2244"/>
      <c r="L83" s="2245"/>
      <c r="M83" s="2245"/>
      <c r="N83" s="2245"/>
      <c r="O83" s="2245"/>
      <c r="P83" s="2246"/>
      <c r="Q83" s="2247"/>
    </row>
    <row r="84" spans="2:17" s="769" customFormat="1" ht="15.75" hidden="1" thickBot="1" x14ac:dyDescent="0.3">
      <c r="B84" s="2188"/>
      <c r="C84" s="2207"/>
      <c r="D84" s="2200" t="s">
        <v>5509</v>
      </c>
      <c r="E84" s="2201"/>
      <c r="F84" s="2201"/>
      <c r="G84" s="2201"/>
      <c r="H84" s="2201"/>
      <c r="I84" s="2201"/>
      <c r="J84" s="2201"/>
      <c r="K84" s="2201"/>
      <c r="L84" s="2201"/>
      <c r="M84" s="2201"/>
      <c r="N84" s="2201"/>
      <c r="O84" s="2202"/>
      <c r="P84" s="2216">
        <f>SUM(P79:Q83)</f>
        <v>0</v>
      </c>
      <c r="Q84" s="2217"/>
    </row>
    <row r="85" spans="2:17" s="769" customFormat="1" hidden="1" x14ac:dyDescent="0.25">
      <c r="B85" s="2184"/>
      <c r="C85" s="2205"/>
      <c r="D85" s="2231"/>
      <c r="E85" s="2231"/>
      <c r="F85" s="2231"/>
      <c r="G85" s="2231"/>
      <c r="H85" s="2231"/>
      <c r="I85" s="2231"/>
      <c r="J85" s="2231"/>
      <c r="K85" s="2231"/>
      <c r="L85" s="2232"/>
      <c r="M85" s="2232"/>
      <c r="N85" s="2232"/>
      <c r="O85" s="2232"/>
      <c r="P85" s="2233"/>
      <c r="Q85" s="2234"/>
    </row>
    <row r="86" spans="2:17" s="769" customFormat="1" hidden="1" x14ac:dyDescent="0.25">
      <c r="B86" s="2186"/>
      <c r="C86" s="2206"/>
      <c r="D86" s="2236"/>
      <c r="E86" s="2236"/>
      <c r="F86" s="2236"/>
      <c r="G86" s="2236"/>
      <c r="H86" s="2236"/>
      <c r="I86" s="2236"/>
      <c r="J86" s="2236"/>
      <c r="K86" s="2236"/>
      <c r="L86" s="2237"/>
      <c r="M86" s="2237"/>
      <c r="N86" s="2237"/>
      <c r="O86" s="2237"/>
      <c r="P86" s="2238"/>
      <c r="Q86" s="2239"/>
    </row>
    <row r="87" spans="2:17" s="769" customFormat="1" hidden="1" x14ac:dyDescent="0.25">
      <c r="B87" s="2186"/>
      <c r="C87" s="2206"/>
      <c r="D87" s="2236"/>
      <c r="E87" s="2236"/>
      <c r="F87" s="2236"/>
      <c r="G87" s="2236"/>
      <c r="H87" s="2236"/>
      <c r="I87" s="2236"/>
      <c r="J87" s="2236"/>
      <c r="K87" s="2236"/>
      <c r="L87" s="2237"/>
      <c r="M87" s="2237"/>
      <c r="N87" s="2237"/>
      <c r="O87" s="2237"/>
      <c r="P87" s="2238"/>
      <c r="Q87" s="2239"/>
    </row>
    <row r="88" spans="2:17" s="769" customFormat="1" hidden="1" x14ac:dyDescent="0.25">
      <c r="B88" s="2186"/>
      <c r="C88" s="2206"/>
      <c r="D88" s="2236"/>
      <c r="E88" s="2236"/>
      <c r="F88" s="2236"/>
      <c r="G88" s="2236"/>
      <c r="H88" s="2236"/>
      <c r="I88" s="2236"/>
      <c r="J88" s="2236"/>
      <c r="K88" s="2236"/>
      <c r="L88" s="2237"/>
      <c r="M88" s="2237"/>
      <c r="N88" s="2237"/>
      <c r="O88" s="2237"/>
      <c r="P88" s="2238"/>
      <c r="Q88" s="2239"/>
    </row>
    <row r="89" spans="2:17" s="769" customFormat="1" ht="15.75" hidden="1" thickBot="1" x14ac:dyDescent="0.3">
      <c r="B89" s="2186"/>
      <c r="C89" s="2206"/>
      <c r="D89" s="2248"/>
      <c r="E89" s="2248"/>
      <c r="F89" s="2248"/>
      <c r="G89" s="2248"/>
      <c r="H89" s="2248"/>
      <c r="I89" s="2248"/>
      <c r="J89" s="2248"/>
      <c r="K89" s="2248"/>
      <c r="L89" s="2249"/>
      <c r="M89" s="2249"/>
      <c r="N89" s="2249"/>
      <c r="O89" s="2249"/>
      <c r="P89" s="2203"/>
      <c r="Q89" s="2204"/>
    </row>
    <row r="90" spans="2:17" s="769" customFormat="1" ht="15.75" hidden="1" thickBot="1" x14ac:dyDescent="0.3">
      <c r="B90" s="2188"/>
      <c r="C90" s="2218"/>
      <c r="D90" s="2200" t="s">
        <v>5509</v>
      </c>
      <c r="E90" s="2201"/>
      <c r="F90" s="2201"/>
      <c r="G90" s="2201"/>
      <c r="H90" s="2201"/>
      <c r="I90" s="2201"/>
      <c r="J90" s="2201"/>
      <c r="K90" s="2201"/>
      <c r="L90" s="2201"/>
      <c r="M90" s="2201"/>
      <c r="N90" s="2201"/>
      <c r="O90" s="2202"/>
      <c r="P90" s="2203">
        <f>SUM(P85:Q89)</f>
        <v>0</v>
      </c>
      <c r="Q90" s="2204"/>
    </row>
    <row r="91" spans="2:17" s="769" customFormat="1" hidden="1" x14ac:dyDescent="0.25">
      <c r="B91" s="2186"/>
      <c r="C91" s="2206"/>
      <c r="D91" s="2240"/>
      <c r="E91" s="2240"/>
      <c r="F91" s="2240"/>
      <c r="G91" s="2240"/>
      <c r="H91" s="2240"/>
      <c r="I91" s="2240"/>
      <c r="J91" s="2240"/>
      <c r="K91" s="2240"/>
      <c r="L91" s="2241"/>
      <c r="M91" s="2241"/>
      <c r="N91" s="2241"/>
      <c r="O91" s="2241"/>
      <c r="P91" s="2242"/>
      <c r="Q91" s="2243"/>
    </row>
    <row r="92" spans="2:17" s="769" customFormat="1" hidden="1" x14ac:dyDescent="0.25">
      <c r="B92" s="2186"/>
      <c r="C92" s="2206"/>
      <c r="D92" s="2236"/>
      <c r="E92" s="2236"/>
      <c r="F92" s="2236"/>
      <c r="G92" s="2236"/>
      <c r="H92" s="2236"/>
      <c r="I92" s="2236"/>
      <c r="J92" s="2236"/>
      <c r="K92" s="2236"/>
      <c r="L92" s="2237"/>
      <c r="M92" s="2237"/>
      <c r="N92" s="2237"/>
      <c r="O92" s="2237"/>
      <c r="P92" s="2238"/>
      <c r="Q92" s="2239"/>
    </row>
    <row r="93" spans="2:17" s="769" customFormat="1" hidden="1" x14ac:dyDescent="0.25">
      <c r="B93" s="2186"/>
      <c r="C93" s="2206"/>
      <c r="D93" s="2236"/>
      <c r="E93" s="2236"/>
      <c r="F93" s="2236"/>
      <c r="G93" s="2236"/>
      <c r="H93" s="2236"/>
      <c r="I93" s="2236"/>
      <c r="J93" s="2236"/>
      <c r="K93" s="2236"/>
      <c r="L93" s="2237"/>
      <c r="M93" s="2237"/>
      <c r="N93" s="2237"/>
      <c r="O93" s="2237"/>
      <c r="P93" s="2238"/>
      <c r="Q93" s="2239"/>
    </row>
    <row r="94" spans="2:17" s="769" customFormat="1" hidden="1" x14ac:dyDescent="0.25">
      <c r="B94" s="2186"/>
      <c r="C94" s="2206"/>
      <c r="D94" s="2236"/>
      <c r="E94" s="2236"/>
      <c r="F94" s="2236"/>
      <c r="G94" s="2236"/>
      <c r="H94" s="2236"/>
      <c r="I94" s="2236"/>
      <c r="J94" s="2236"/>
      <c r="K94" s="2236"/>
      <c r="L94" s="2237"/>
      <c r="M94" s="2237"/>
      <c r="N94" s="2237"/>
      <c r="O94" s="2237"/>
      <c r="P94" s="2238"/>
      <c r="Q94" s="2239"/>
    </row>
    <row r="95" spans="2:17" s="769" customFormat="1" ht="15.75" hidden="1" thickBot="1" x14ac:dyDescent="0.3">
      <c r="B95" s="2186"/>
      <c r="C95" s="2206"/>
      <c r="D95" s="2244"/>
      <c r="E95" s="2244"/>
      <c r="F95" s="2244"/>
      <c r="G95" s="2244"/>
      <c r="H95" s="2244"/>
      <c r="I95" s="2244"/>
      <c r="J95" s="2244"/>
      <c r="K95" s="2244"/>
      <c r="L95" s="2245"/>
      <c r="M95" s="2245"/>
      <c r="N95" s="2245"/>
      <c r="O95" s="2245"/>
      <c r="P95" s="2246"/>
      <c r="Q95" s="2247"/>
    </row>
    <row r="96" spans="2:17" s="769" customFormat="1" ht="15.75" hidden="1" thickBot="1" x14ac:dyDescent="0.3">
      <c r="B96" s="2188"/>
      <c r="C96" s="2207"/>
      <c r="D96" s="2200" t="s">
        <v>5509</v>
      </c>
      <c r="E96" s="2201"/>
      <c r="F96" s="2201"/>
      <c r="G96" s="2201"/>
      <c r="H96" s="2201"/>
      <c r="I96" s="2201"/>
      <c r="J96" s="2201"/>
      <c r="K96" s="2201"/>
      <c r="L96" s="2201"/>
      <c r="M96" s="2201"/>
      <c r="N96" s="2201"/>
      <c r="O96" s="2202"/>
      <c r="P96" s="2216">
        <f>SUM(P91:Q95)</f>
        <v>0</v>
      </c>
      <c r="Q96" s="2217"/>
    </row>
    <row r="97" spans="1:16382" ht="15" hidden="1" customHeight="1" x14ac:dyDescent="0.25">
      <c r="A97" s="769"/>
      <c r="B97" s="2184"/>
      <c r="C97" s="2205"/>
      <c r="D97" s="2250"/>
      <c r="E97" s="2231"/>
      <c r="F97" s="2231"/>
      <c r="G97" s="2231"/>
      <c r="H97" s="2231"/>
      <c r="I97" s="2231"/>
      <c r="J97" s="2231"/>
      <c r="K97" s="2231"/>
      <c r="L97" s="2232"/>
      <c r="M97" s="2232"/>
      <c r="N97" s="2232"/>
      <c r="O97" s="2232"/>
      <c r="P97" s="2233"/>
      <c r="Q97" s="2234"/>
      <c r="R97" s="769"/>
      <c r="S97" s="769"/>
      <c r="T97" s="769"/>
      <c r="U97" s="769"/>
      <c r="V97" s="769"/>
      <c r="W97" s="769"/>
      <c r="X97" s="769"/>
      <c r="Y97" s="769"/>
      <c r="Z97" s="769"/>
      <c r="AA97" s="769"/>
      <c r="AB97" s="769"/>
      <c r="AC97" s="769"/>
      <c r="AD97" s="769"/>
      <c r="AE97" s="769"/>
      <c r="AF97" s="769"/>
      <c r="AG97" s="769"/>
      <c r="AH97" s="769"/>
      <c r="AI97" s="769"/>
      <c r="AJ97" s="769"/>
      <c r="AK97" s="769"/>
      <c r="AL97" s="769"/>
      <c r="AM97" s="769"/>
      <c r="AN97" s="769"/>
      <c r="AO97" s="769"/>
      <c r="AP97" s="769"/>
      <c r="AQ97" s="769"/>
      <c r="AR97" s="769"/>
      <c r="AS97" s="769"/>
      <c r="AT97" s="769"/>
      <c r="AU97" s="769"/>
      <c r="AV97" s="769"/>
      <c r="AW97" s="769"/>
      <c r="AX97" s="769"/>
      <c r="AY97" s="769"/>
      <c r="AZ97" s="769"/>
      <c r="BA97" s="769"/>
      <c r="BB97" s="769"/>
      <c r="BC97" s="769"/>
      <c r="BD97" s="769"/>
      <c r="BE97" s="769"/>
      <c r="BF97" s="769"/>
      <c r="BG97" s="769"/>
      <c r="BH97" s="769"/>
      <c r="BI97" s="769"/>
      <c r="BJ97" s="769"/>
      <c r="BK97" s="769"/>
      <c r="BL97" s="769"/>
      <c r="BM97" s="769"/>
      <c r="BN97" s="769"/>
      <c r="BO97" s="769"/>
      <c r="BP97" s="769"/>
      <c r="BQ97" s="769"/>
      <c r="BR97" s="769"/>
      <c r="BS97" s="769"/>
      <c r="BT97" s="769"/>
      <c r="BU97" s="769"/>
      <c r="BV97" s="769"/>
      <c r="BW97" s="769"/>
      <c r="BX97" s="769"/>
      <c r="BY97" s="769"/>
      <c r="BZ97" s="769"/>
      <c r="CA97" s="769"/>
      <c r="CB97" s="769"/>
      <c r="CC97" s="769"/>
      <c r="CD97" s="769"/>
      <c r="CE97" s="769"/>
      <c r="CF97" s="769"/>
      <c r="CG97" s="769"/>
      <c r="CH97" s="769"/>
      <c r="CI97" s="769"/>
      <c r="CJ97" s="769"/>
      <c r="CK97" s="769"/>
      <c r="CL97" s="769"/>
      <c r="CM97" s="769"/>
      <c r="CN97" s="769"/>
      <c r="CO97" s="769"/>
      <c r="CP97" s="769"/>
      <c r="CQ97" s="769"/>
      <c r="CR97" s="769"/>
      <c r="CS97" s="769"/>
      <c r="CT97" s="769"/>
      <c r="CU97" s="769"/>
      <c r="CV97" s="769"/>
      <c r="CW97" s="769"/>
      <c r="CX97" s="769"/>
      <c r="CY97" s="769"/>
      <c r="CZ97" s="769"/>
      <c r="DA97" s="769"/>
      <c r="DB97" s="769"/>
      <c r="DC97" s="769"/>
      <c r="DD97" s="769"/>
      <c r="DE97" s="769"/>
      <c r="DF97" s="769"/>
      <c r="DG97" s="769"/>
      <c r="DH97" s="769"/>
      <c r="DI97" s="769"/>
      <c r="DJ97" s="769"/>
      <c r="DK97" s="769"/>
      <c r="DL97" s="769"/>
      <c r="DM97" s="769"/>
      <c r="DN97" s="769"/>
      <c r="DO97" s="769"/>
      <c r="DP97" s="769"/>
      <c r="DQ97" s="769"/>
      <c r="DR97" s="769"/>
      <c r="DS97" s="769"/>
      <c r="DT97" s="769"/>
      <c r="DU97" s="769"/>
      <c r="DV97" s="769"/>
      <c r="DW97" s="769"/>
      <c r="DX97" s="769"/>
      <c r="DY97" s="769"/>
      <c r="DZ97" s="769"/>
      <c r="EA97" s="769"/>
      <c r="EB97" s="769"/>
      <c r="EC97" s="769"/>
      <c r="ED97" s="769"/>
      <c r="EE97" s="769"/>
      <c r="EF97" s="769"/>
      <c r="EG97" s="769"/>
      <c r="EH97" s="769"/>
      <c r="EI97" s="769"/>
      <c r="EJ97" s="769"/>
      <c r="EK97" s="769"/>
      <c r="EL97" s="769"/>
      <c r="EM97" s="769"/>
      <c r="EN97" s="769"/>
      <c r="EO97" s="769"/>
      <c r="EP97" s="769"/>
      <c r="EQ97" s="769"/>
      <c r="ER97" s="769"/>
      <c r="ES97" s="769"/>
      <c r="ET97" s="769"/>
      <c r="EU97" s="769"/>
      <c r="EV97" s="769"/>
      <c r="EW97" s="769"/>
      <c r="EX97" s="769"/>
      <c r="EY97" s="769"/>
      <c r="EZ97" s="769"/>
      <c r="FA97" s="769"/>
      <c r="FB97" s="769"/>
      <c r="FC97" s="769"/>
      <c r="FD97" s="769"/>
      <c r="FE97" s="769"/>
      <c r="FF97" s="769"/>
      <c r="FG97" s="769"/>
      <c r="FH97" s="769"/>
      <c r="FI97" s="769"/>
      <c r="FJ97" s="769"/>
      <c r="FK97" s="769"/>
      <c r="FL97" s="769"/>
      <c r="FM97" s="769"/>
      <c r="FN97" s="769"/>
      <c r="FO97" s="769"/>
      <c r="FP97" s="769"/>
      <c r="FQ97" s="769"/>
      <c r="FR97" s="769"/>
      <c r="FS97" s="769"/>
      <c r="FT97" s="769"/>
      <c r="FU97" s="769"/>
      <c r="FV97" s="769"/>
      <c r="FW97" s="769"/>
      <c r="FX97" s="769"/>
      <c r="FY97" s="769"/>
      <c r="FZ97" s="769"/>
      <c r="GA97" s="769"/>
      <c r="GB97" s="769"/>
      <c r="GC97" s="769"/>
      <c r="GD97" s="769"/>
      <c r="GE97" s="769"/>
      <c r="GF97" s="769"/>
      <c r="GG97" s="769"/>
      <c r="GH97" s="769"/>
      <c r="GI97" s="769"/>
      <c r="GJ97" s="769"/>
      <c r="GK97" s="769"/>
      <c r="GL97" s="769"/>
      <c r="GM97" s="769"/>
      <c r="GN97" s="769"/>
      <c r="GO97" s="769"/>
      <c r="GP97" s="769"/>
      <c r="GQ97" s="769"/>
      <c r="GR97" s="769"/>
      <c r="GS97" s="769"/>
      <c r="GT97" s="769"/>
      <c r="GU97" s="769"/>
      <c r="GV97" s="769"/>
      <c r="GW97" s="769"/>
      <c r="GX97" s="769"/>
      <c r="GY97" s="769"/>
      <c r="GZ97" s="769"/>
      <c r="HA97" s="769"/>
      <c r="HB97" s="769"/>
      <c r="HC97" s="769"/>
      <c r="HD97" s="769"/>
      <c r="HE97" s="769"/>
      <c r="HF97" s="769"/>
      <c r="HG97" s="769"/>
      <c r="HH97" s="769"/>
      <c r="HI97" s="769"/>
      <c r="HJ97" s="769"/>
      <c r="HK97" s="769"/>
      <c r="HL97" s="769"/>
      <c r="HM97" s="769"/>
      <c r="HN97" s="769"/>
      <c r="HO97" s="769"/>
      <c r="HP97" s="769"/>
      <c r="HQ97" s="769"/>
      <c r="HR97" s="769"/>
      <c r="HS97" s="769"/>
      <c r="HT97" s="769"/>
      <c r="HU97" s="769"/>
      <c r="HV97" s="769"/>
      <c r="HW97" s="769"/>
      <c r="HX97" s="769"/>
      <c r="HY97" s="769"/>
      <c r="HZ97" s="769"/>
      <c r="IA97" s="769"/>
      <c r="IB97" s="769"/>
      <c r="IC97" s="769"/>
      <c r="ID97" s="769"/>
      <c r="IE97" s="769"/>
      <c r="IF97" s="769"/>
      <c r="IG97" s="769"/>
      <c r="IH97" s="769"/>
      <c r="II97" s="769"/>
      <c r="IJ97" s="769"/>
      <c r="IK97" s="769"/>
      <c r="IL97" s="769"/>
      <c r="IM97" s="769"/>
      <c r="IN97" s="769"/>
      <c r="IO97" s="769"/>
      <c r="IP97" s="769"/>
      <c r="IQ97" s="769"/>
      <c r="IR97" s="769"/>
      <c r="IS97" s="769"/>
      <c r="IT97" s="769"/>
      <c r="IU97" s="769"/>
      <c r="IV97" s="769"/>
      <c r="IW97" s="769"/>
      <c r="IX97" s="769"/>
      <c r="IY97" s="769"/>
      <c r="IZ97" s="769"/>
      <c r="JA97" s="769"/>
      <c r="JB97" s="769"/>
      <c r="JC97" s="769"/>
      <c r="JD97" s="769"/>
      <c r="JE97" s="769"/>
      <c r="JF97" s="769"/>
      <c r="JG97" s="769"/>
      <c r="JH97" s="769"/>
      <c r="JI97" s="769"/>
      <c r="JJ97" s="769"/>
      <c r="JK97" s="769"/>
      <c r="JL97" s="769"/>
      <c r="JM97" s="769"/>
      <c r="JN97" s="769"/>
      <c r="JO97" s="769"/>
      <c r="JP97" s="769"/>
      <c r="JQ97" s="769"/>
      <c r="JR97" s="769"/>
      <c r="JS97" s="769"/>
      <c r="JT97" s="769"/>
      <c r="JU97" s="769"/>
      <c r="JV97" s="769"/>
      <c r="JW97" s="769"/>
      <c r="JX97" s="769"/>
      <c r="JY97" s="769"/>
      <c r="JZ97" s="769"/>
      <c r="KA97" s="769"/>
      <c r="KB97" s="769"/>
      <c r="KC97" s="769"/>
      <c r="KD97" s="769"/>
      <c r="KE97" s="769"/>
      <c r="KF97" s="769"/>
      <c r="KG97" s="769"/>
      <c r="KH97" s="769"/>
      <c r="KI97" s="769"/>
      <c r="KJ97" s="769"/>
      <c r="KK97" s="769"/>
      <c r="KL97" s="769"/>
      <c r="KM97" s="769"/>
      <c r="KN97" s="769"/>
      <c r="KO97" s="769"/>
      <c r="KP97" s="769"/>
      <c r="KQ97" s="769"/>
      <c r="KR97" s="769"/>
      <c r="KS97" s="769"/>
      <c r="KT97" s="769"/>
      <c r="KU97" s="769"/>
      <c r="KV97" s="769"/>
      <c r="KW97" s="769"/>
      <c r="KX97" s="769"/>
      <c r="KY97" s="769"/>
      <c r="KZ97" s="769"/>
      <c r="LA97" s="769"/>
      <c r="LB97" s="769"/>
      <c r="LC97" s="769"/>
      <c r="LD97" s="769"/>
      <c r="LE97" s="769"/>
      <c r="LF97" s="769"/>
      <c r="LG97" s="769"/>
      <c r="LH97" s="769"/>
      <c r="LI97" s="769"/>
      <c r="LJ97" s="769"/>
      <c r="LK97" s="769"/>
      <c r="LL97" s="769"/>
      <c r="LM97" s="769"/>
      <c r="LN97" s="769"/>
      <c r="LO97" s="769"/>
      <c r="LP97" s="769"/>
      <c r="LQ97" s="769"/>
      <c r="LR97" s="769"/>
      <c r="LS97" s="769"/>
      <c r="LT97" s="769"/>
      <c r="LU97" s="769"/>
      <c r="LV97" s="769"/>
      <c r="LW97" s="769"/>
      <c r="LX97" s="769"/>
      <c r="LY97" s="769"/>
      <c r="LZ97" s="769"/>
      <c r="MA97" s="769"/>
      <c r="MB97" s="769"/>
      <c r="MC97" s="769"/>
      <c r="MD97" s="769"/>
      <c r="ME97" s="769"/>
      <c r="MF97" s="769"/>
      <c r="MG97" s="769"/>
      <c r="MH97" s="769"/>
      <c r="MI97" s="769"/>
      <c r="MJ97" s="769"/>
      <c r="MK97" s="769"/>
      <c r="ML97" s="769"/>
      <c r="MM97" s="769"/>
      <c r="MN97" s="769"/>
      <c r="MO97" s="769"/>
      <c r="MP97" s="769"/>
      <c r="MQ97" s="769"/>
      <c r="MR97" s="769"/>
      <c r="MS97" s="769"/>
      <c r="MT97" s="769"/>
      <c r="MU97" s="769"/>
      <c r="MV97" s="769"/>
      <c r="MW97" s="769"/>
      <c r="MX97" s="769"/>
      <c r="MY97" s="769"/>
      <c r="MZ97" s="769"/>
      <c r="NA97" s="769"/>
      <c r="NB97" s="769"/>
      <c r="NC97" s="769"/>
      <c r="ND97" s="769"/>
      <c r="NE97" s="769"/>
      <c r="NF97" s="769"/>
      <c r="NG97" s="769"/>
      <c r="NH97" s="769"/>
      <c r="NI97" s="769"/>
      <c r="NJ97" s="769"/>
      <c r="NK97" s="769"/>
      <c r="NL97" s="769"/>
      <c r="NM97" s="769"/>
      <c r="NN97" s="769"/>
      <c r="NO97" s="769"/>
      <c r="NP97" s="769"/>
      <c r="NQ97" s="769"/>
      <c r="NR97" s="769"/>
      <c r="NS97" s="769"/>
      <c r="NT97" s="769"/>
      <c r="NU97" s="769"/>
      <c r="NV97" s="769"/>
      <c r="NW97" s="769"/>
      <c r="NX97" s="769"/>
      <c r="NY97" s="769"/>
      <c r="NZ97" s="769"/>
      <c r="OA97" s="769"/>
      <c r="OB97" s="769"/>
      <c r="OC97" s="769"/>
      <c r="OD97" s="769"/>
      <c r="OE97" s="769"/>
      <c r="OF97" s="769"/>
      <c r="OG97" s="769"/>
      <c r="OH97" s="769"/>
      <c r="OI97" s="769"/>
      <c r="OJ97" s="769"/>
      <c r="OK97" s="769"/>
      <c r="OL97" s="769"/>
      <c r="OM97" s="769"/>
      <c r="ON97" s="769"/>
      <c r="OO97" s="769"/>
      <c r="OP97" s="769"/>
      <c r="OQ97" s="769"/>
      <c r="OR97" s="769"/>
      <c r="OS97" s="769"/>
      <c r="OT97" s="769"/>
      <c r="OU97" s="769"/>
      <c r="OV97" s="769"/>
      <c r="OW97" s="769"/>
      <c r="OX97" s="769"/>
      <c r="OY97" s="769"/>
      <c r="OZ97" s="769"/>
      <c r="PA97" s="769"/>
      <c r="PB97" s="769"/>
      <c r="PC97" s="769"/>
      <c r="PD97" s="769"/>
      <c r="PE97" s="769"/>
      <c r="PF97" s="769"/>
      <c r="PG97" s="769"/>
      <c r="PH97" s="769"/>
      <c r="PI97" s="769"/>
      <c r="PJ97" s="769"/>
      <c r="PK97" s="769"/>
      <c r="PL97" s="769"/>
      <c r="PM97" s="769"/>
      <c r="PN97" s="769"/>
      <c r="PO97" s="769"/>
      <c r="PP97" s="769"/>
      <c r="PQ97" s="769"/>
      <c r="PR97" s="769"/>
      <c r="PS97" s="769"/>
      <c r="PT97" s="769"/>
      <c r="PU97" s="769"/>
      <c r="PV97" s="769"/>
      <c r="PW97" s="769"/>
      <c r="PX97" s="769"/>
      <c r="PY97" s="769"/>
      <c r="PZ97" s="769"/>
      <c r="QA97" s="769"/>
      <c r="QB97" s="769"/>
      <c r="QC97" s="769"/>
      <c r="QD97" s="769"/>
      <c r="QE97" s="769"/>
      <c r="QF97" s="769"/>
      <c r="QG97" s="769"/>
      <c r="QH97" s="769"/>
      <c r="QI97" s="769"/>
      <c r="QJ97" s="769"/>
      <c r="QK97" s="769"/>
      <c r="QL97" s="769"/>
      <c r="QM97" s="769"/>
      <c r="QN97" s="769"/>
      <c r="QO97" s="769"/>
      <c r="QP97" s="769"/>
      <c r="QQ97" s="769"/>
      <c r="QR97" s="769"/>
      <c r="QS97" s="769"/>
      <c r="QT97" s="769"/>
      <c r="QU97" s="769"/>
      <c r="QV97" s="769"/>
      <c r="QW97" s="769"/>
      <c r="QX97" s="769"/>
      <c r="QY97" s="769"/>
      <c r="QZ97" s="769"/>
      <c r="RA97" s="769"/>
      <c r="RB97" s="769"/>
      <c r="RC97" s="769"/>
      <c r="RD97" s="769"/>
      <c r="RE97" s="769"/>
      <c r="RF97" s="769"/>
      <c r="RG97" s="769"/>
      <c r="RH97" s="769"/>
      <c r="RI97" s="769"/>
      <c r="RJ97" s="769"/>
      <c r="RK97" s="769"/>
      <c r="RL97" s="769"/>
      <c r="RM97" s="769"/>
      <c r="RN97" s="769"/>
      <c r="RO97" s="769"/>
      <c r="RP97" s="769"/>
      <c r="RQ97" s="769"/>
      <c r="RR97" s="769"/>
      <c r="RS97" s="769"/>
      <c r="RT97" s="769"/>
      <c r="RU97" s="769"/>
      <c r="RV97" s="769"/>
      <c r="RW97" s="769"/>
      <c r="RX97" s="769"/>
      <c r="RY97" s="769"/>
      <c r="RZ97" s="769"/>
      <c r="SA97" s="769"/>
      <c r="SB97" s="769"/>
      <c r="SC97" s="769"/>
      <c r="SD97" s="769"/>
      <c r="SE97" s="769"/>
      <c r="SF97" s="769"/>
      <c r="SG97" s="769"/>
      <c r="SH97" s="769"/>
      <c r="SI97" s="769"/>
      <c r="SJ97" s="769"/>
      <c r="SK97" s="769"/>
      <c r="SL97" s="769"/>
      <c r="SM97" s="769"/>
      <c r="SN97" s="769"/>
      <c r="SO97" s="769"/>
      <c r="SP97" s="769"/>
      <c r="SQ97" s="769"/>
      <c r="SR97" s="769"/>
      <c r="SS97" s="769"/>
      <c r="ST97" s="769"/>
      <c r="SU97" s="769"/>
      <c r="SV97" s="769"/>
      <c r="SW97" s="769"/>
      <c r="SX97" s="769"/>
      <c r="SY97" s="769"/>
      <c r="SZ97" s="769"/>
      <c r="TA97" s="769"/>
      <c r="TB97" s="769"/>
      <c r="TC97" s="769"/>
      <c r="TD97" s="769"/>
      <c r="TE97" s="769"/>
      <c r="TF97" s="769"/>
      <c r="TG97" s="769"/>
      <c r="TH97" s="769"/>
      <c r="TI97" s="769"/>
      <c r="TJ97" s="769"/>
      <c r="TK97" s="769"/>
      <c r="TL97" s="769"/>
      <c r="TM97" s="769"/>
      <c r="TN97" s="769"/>
      <c r="TO97" s="769"/>
      <c r="TP97" s="769"/>
      <c r="TQ97" s="769"/>
      <c r="TR97" s="769"/>
      <c r="TS97" s="769"/>
      <c r="TT97" s="769"/>
      <c r="TU97" s="769"/>
      <c r="TV97" s="769"/>
      <c r="TW97" s="769"/>
      <c r="TX97" s="769"/>
      <c r="TY97" s="769"/>
      <c r="TZ97" s="769"/>
      <c r="UA97" s="769"/>
      <c r="UB97" s="769"/>
      <c r="UC97" s="769"/>
      <c r="UD97" s="769"/>
      <c r="UE97" s="769"/>
      <c r="UF97" s="769"/>
      <c r="UG97" s="769"/>
      <c r="UH97" s="769"/>
      <c r="UI97" s="769"/>
      <c r="UJ97" s="769"/>
      <c r="UK97" s="769"/>
      <c r="UL97" s="769"/>
      <c r="UM97" s="769"/>
      <c r="UN97" s="769"/>
      <c r="UO97" s="769"/>
      <c r="UP97" s="769"/>
      <c r="UQ97" s="769"/>
      <c r="UR97" s="769"/>
      <c r="US97" s="769"/>
      <c r="UT97" s="769"/>
      <c r="UU97" s="769"/>
      <c r="UV97" s="769"/>
      <c r="UW97" s="769"/>
      <c r="UX97" s="769"/>
      <c r="UY97" s="769"/>
      <c r="UZ97" s="769"/>
      <c r="VA97" s="769"/>
      <c r="VB97" s="769"/>
      <c r="VC97" s="769"/>
      <c r="VD97" s="769"/>
      <c r="VE97" s="769"/>
      <c r="VF97" s="769"/>
      <c r="VG97" s="769"/>
      <c r="VH97" s="769"/>
      <c r="VI97" s="769"/>
      <c r="VJ97" s="769"/>
      <c r="VK97" s="769"/>
      <c r="VL97" s="769"/>
      <c r="VM97" s="769"/>
      <c r="VN97" s="769"/>
      <c r="VO97" s="769"/>
      <c r="VP97" s="769"/>
      <c r="VQ97" s="769"/>
      <c r="VR97" s="769"/>
      <c r="VS97" s="769"/>
      <c r="VT97" s="769"/>
      <c r="VU97" s="769"/>
      <c r="VV97" s="769"/>
      <c r="VW97" s="769"/>
      <c r="VX97" s="769"/>
      <c r="VY97" s="769"/>
      <c r="VZ97" s="769"/>
      <c r="WA97" s="769"/>
      <c r="WB97" s="769"/>
      <c r="WC97" s="769"/>
      <c r="WD97" s="769"/>
      <c r="WE97" s="769"/>
      <c r="WF97" s="769"/>
      <c r="WG97" s="769"/>
      <c r="WH97" s="769"/>
      <c r="WI97" s="769"/>
      <c r="WJ97" s="769"/>
      <c r="WK97" s="769"/>
      <c r="WL97" s="769"/>
      <c r="WM97" s="769"/>
      <c r="WN97" s="769"/>
      <c r="WO97" s="769"/>
      <c r="WP97" s="769"/>
      <c r="WQ97" s="769"/>
      <c r="WR97" s="769"/>
      <c r="WS97" s="769"/>
      <c r="WT97" s="769"/>
      <c r="WU97" s="769"/>
      <c r="WV97" s="769"/>
      <c r="WW97" s="769"/>
      <c r="WX97" s="769"/>
      <c r="WY97" s="769"/>
      <c r="WZ97" s="769"/>
      <c r="XA97" s="769"/>
      <c r="XB97" s="769"/>
      <c r="XC97" s="769"/>
      <c r="XD97" s="769"/>
      <c r="XE97" s="769"/>
      <c r="XF97" s="769"/>
      <c r="XG97" s="769"/>
      <c r="XH97" s="769"/>
      <c r="XI97" s="769"/>
      <c r="XJ97" s="769"/>
      <c r="XK97" s="769"/>
      <c r="XL97" s="769"/>
      <c r="XM97" s="769"/>
      <c r="XN97" s="769"/>
      <c r="XO97" s="769"/>
      <c r="XP97" s="769"/>
      <c r="XQ97" s="769"/>
      <c r="XR97" s="769"/>
      <c r="XS97" s="769"/>
      <c r="XT97" s="769"/>
      <c r="XU97" s="769"/>
      <c r="XV97" s="769"/>
      <c r="XW97" s="769"/>
      <c r="XX97" s="769"/>
      <c r="XY97" s="769"/>
      <c r="XZ97" s="769"/>
      <c r="YA97" s="769"/>
      <c r="YB97" s="769"/>
      <c r="YC97" s="769"/>
      <c r="YD97" s="769"/>
      <c r="YE97" s="769"/>
      <c r="YF97" s="769"/>
      <c r="YG97" s="769"/>
      <c r="YH97" s="769"/>
      <c r="YI97" s="769"/>
      <c r="YJ97" s="769"/>
      <c r="YK97" s="769"/>
      <c r="YL97" s="769"/>
      <c r="YM97" s="769"/>
      <c r="YN97" s="769"/>
      <c r="YO97" s="769"/>
      <c r="YP97" s="769"/>
      <c r="YQ97" s="769"/>
      <c r="YR97" s="769"/>
      <c r="YS97" s="769"/>
      <c r="YT97" s="769"/>
      <c r="YU97" s="769"/>
      <c r="YV97" s="769"/>
      <c r="YW97" s="769"/>
      <c r="YX97" s="769"/>
      <c r="YY97" s="769"/>
      <c r="YZ97" s="769"/>
      <c r="ZA97" s="769"/>
      <c r="ZB97" s="769"/>
      <c r="ZC97" s="769"/>
      <c r="ZD97" s="769"/>
      <c r="ZE97" s="769"/>
      <c r="ZF97" s="769"/>
      <c r="ZG97" s="769"/>
      <c r="ZH97" s="769"/>
      <c r="ZI97" s="769"/>
      <c r="ZJ97" s="769"/>
      <c r="ZK97" s="769"/>
      <c r="ZL97" s="769"/>
      <c r="ZM97" s="769"/>
      <c r="ZN97" s="769"/>
      <c r="ZO97" s="769"/>
      <c r="ZP97" s="769"/>
      <c r="ZQ97" s="769"/>
      <c r="ZR97" s="769"/>
      <c r="ZS97" s="769"/>
      <c r="ZT97" s="769"/>
      <c r="ZU97" s="769"/>
      <c r="ZV97" s="769"/>
      <c r="ZW97" s="769"/>
      <c r="ZX97" s="769"/>
      <c r="ZY97" s="769"/>
      <c r="ZZ97" s="769"/>
      <c r="AAA97" s="769"/>
      <c r="AAB97" s="769"/>
      <c r="AAC97" s="769"/>
      <c r="AAD97" s="769"/>
      <c r="AAE97" s="769"/>
      <c r="AAF97" s="769"/>
      <c r="AAG97" s="769"/>
      <c r="AAH97" s="769"/>
      <c r="AAI97" s="769"/>
      <c r="AAJ97" s="769"/>
      <c r="AAK97" s="769"/>
      <c r="AAL97" s="769"/>
      <c r="AAM97" s="769"/>
      <c r="AAN97" s="769"/>
      <c r="AAO97" s="769"/>
      <c r="AAP97" s="769"/>
      <c r="AAQ97" s="769"/>
      <c r="AAR97" s="769"/>
      <c r="AAS97" s="769"/>
      <c r="AAT97" s="769"/>
      <c r="AAU97" s="769"/>
      <c r="AAV97" s="769"/>
      <c r="AAW97" s="769"/>
      <c r="AAX97" s="769"/>
      <c r="AAY97" s="769"/>
      <c r="AAZ97" s="769"/>
      <c r="ABA97" s="769"/>
      <c r="ABB97" s="769"/>
      <c r="ABC97" s="769"/>
      <c r="ABD97" s="769"/>
      <c r="ABE97" s="769"/>
      <c r="ABF97" s="769"/>
      <c r="ABG97" s="769"/>
      <c r="ABH97" s="769"/>
      <c r="ABI97" s="769"/>
      <c r="ABJ97" s="769"/>
      <c r="ABK97" s="769"/>
      <c r="ABL97" s="769"/>
      <c r="ABM97" s="769"/>
      <c r="ABN97" s="769"/>
      <c r="ABO97" s="769"/>
      <c r="ABP97" s="769"/>
      <c r="ABQ97" s="769"/>
      <c r="ABR97" s="769"/>
      <c r="ABS97" s="769"/>
      <c r="ABT97" s="769"/>
      <c r="ABU97" s="769"/>
      <c r="ABV97" s="769"/>
      <c r="ABW97" s="769"/>
      <c r="ABX97" s="769"/>
      <c r="ABY97" s="769"/>
      <c r="ABZ97" s="769"/>
      <c r="ACA97" s="769"/>
      <c r="ACB97" s="769"/>
      <c r="ACC97" s="769"/>
      <c r="ACD97" s="769"/>
      <c r="ACE97" s="769"/>
      <c r="ACF97" s="769"/>
      <c r="ACG97" s="769"/>
      <c r="ACH97" s="769"/>
      <c r="ACI97" s="769"/>
      <c r="ACJ97" s="769"/>
      <c r="ACK97" s="769"/>
      <c r="ACL97" s="769"/>
      <c r="ACM97" s="769"/>
      <c r="ACN97" s="769"/>
      <c r="ACO97" s="769"/>
      <c r="ACP97" s="769"/>
      <c r="ACQ97" s="769"/>
      <c r="ACR97" s="769"/>
      <c r="ACS97" s="769"/>
      <c r="ACT97" s="769"/>
      <c r="ACU97" s="769"/>
      <c r="ACV97" s="769"/>
      <c r="ACW97" s="769"/>
      <c r="ACX97" s="769"/>
      <c r="ACY97" s="769"/>
      <c r="ACZ97" s="769"/>
      <c r="ADA97" s="769"/>
      <c r="ADB97" s="769"/>
      <c r="ADC97" s="769"/>
      <c r="ADD97" s="769"/>
      <c r="ADE97" s="769"/>
      <c r="ADF97" s="769"/>
      <c r="ADG97" s="769"/>
      <c r="ADH97" s="769"/>
      <c r="ADI97" s="769"/>
      <c r="ADJ97" s="769"/>
      <c r="ADK97" s="769"/>
      <c r="ADL97" s="769"/>
      <c r="ADM97" s="769"/>
      <c r="ADN97" s="769"/>
      <c r="ADO97" s="769"/>
      <c r="ADP97" s="769"/>
      <c r="ADQ97" s="769"/>
      <c r="ADR97" s="769"/>
      <c r="ADS97" s="769"/>
      <c r="ADT97" s="769"/>
      <c r="ADU97" s="769"/>
      <c r="ADV97" s="769"/>
      <c r="ADW97" s="769"/>
      <c r="ADX97" s="769"/>
      <c r="ADY97" s="769"/>
      <c r="ADZ97" s="769"/>
      <c r="AEA97" s="769"/>
      <c r="AEB97" s="769"/>
      <c r="AEC97" s="769"/>
      <c r="AED97" s="769"/>
      <c r="AEE97" s="769"/>
      <c r="AEF97" s="769"/>
      <c r="AEG97" s="769"/>
      <c r="AEH97" s="769"/>
      <c r="AEI97" s="769"/>
      <c r="AEJ97" s="769"/>
      <c r="AEK97" s="769"/>
      <c r="AEL97" s="769"/>
      <c r="AEM97" s="769"/>
      <c r="AEN97" s="769"/>
      <c r="AEO97" s="769"/>
      <c r="AEP97" s="769"/>
      <c r="AEQ97" s="769"/>
      <c r="AER97" s="769"/>
      <c r="AES97" s="769"/>
      <c r="AET97" s="769"/>
      <c r="AEU97" s="769"/>
      <c r="AEV97" s="769"/>
      <c r="AEW97" s="769"/>
      <c r="AEX97" s="769"/>
      <c r="AEY97" s="769"/>
      <c r="AEZ97" s="769"/>
      <c r="AFA97" s="769"/>
      <c r="AFB97" s="769"/>
      <c r="AFC97" s="769"/>
      <c r="AFD97" s="769"/>
      <c r="AFE97" s="769"/>
      <c r="AFF97" s="769"/>
      <c r="AFG97" s="769"/>
      <c r="AFH97" s="769"/>
      <c r="AFI97" s="769"/>
      <c r="AFJ97" s="769"/>
      <c r="AFK97" s="769"/>
      <c r="AFL97" s="769"/>
      <c r="AFM97" s="769"/>
      <c r="AFN97" s="769"/>
      <c r="AFO97" s="769"/>
      <c r="AFP97" s="769"/>
      <c r="AFQ97" s="769"/>
      <c r="AFR97" s="769"/>
      <c r="AFS97" s="769"/>
      <c r="AFT97" s="769"/>
      <c r="AFU97" s="769"/>
      <c r="AFV97" s="769"/>
      <c r="AFW97" s="769"/>
      <c r="AFX97" s="769"/>
      <c r="AFY97" s="769"/>
      <c r="AFZ97" s="769"/>
      <c r="AGA97" s="769"/>
      <c r="AGB97" s="769"/>
      <c r="AGC97" s="769"/>
      <c r="AGD97" s="769"/>
      <c r="AGE97" s="769"/>
      <c r="AGF97" s="769"/>
      <c r="AGG97" s="769"/>
      <c r="AGH97" s="769"/>
      <c r="AGI97" s="769"/>
      <c r="AGJ97" s="769"/>
      <c r="AGK97" s="769"/>
      <c r="AGL97" s="769"/>
      <c r="AGM97" s="769"/>
      <c r="AGN97" s="769"/>
      <c r="AGO97" s="769"/>
      <c r="AGP97" s="769"/>
      <c r="AGQ97" s="769"/>
      <c r="AGR97" s="769"/>
      <c r="AGS97" s="769"/>
      <c r="AGT97" s="769"/>
      <c r="AGU97" s="769"/>
      <c r="AGV97" s="769"/>
      <c r="AGW97" s="769"/>
      <c r="AGX97" s="769"/>
      <c r="AGY97" s="769"/>
      <c r="AGZ97" s="769"/>
      <c r="AHA97" s="769"/>
      <c r="AHB97" s="769"/>
      <c r="AHC97" s="769"/>
      <c r="AHD97" s="769"/>
      <c r="AHE97" s="769"/>
      <c r="AHF97" s="769"/>
      <c r="AHG97" s="769"/>
      <c r="AHH97" s="769"/>
      <c r="AHI97" s="769"/>
      <c r="AHJ97" s="769"/>
      <c r="AHK97" s="769"/>
      <c r="AHL97" s="769"/>
      <c r="AHM97" s="769"/>
      <c r="AHN97" s="769"/>
      <c r="AHO97" s="769"/>
      <c r="AHP97" s="769"/>
      <c r="AHQ97" s="769"/>
      <c r="AHR97" s="769"/>
      <c r="AHS97" s="769"/>
      <c r="AHT97" s="769"/>
      <c r="AHU97" s="769"/>
      <c r="AHV97" s="769"/>
      <c r="AHW97" s="769"/>
      <c r="AHX97" s="769"/>
      <c r="AHY97" s="769"/>
      <c r="AHZ97" s="769"/>
      <c r="AIA97" s="769"/>
      <c r="AIB97" s="769"/>
      <c r="AIC97" s="769"/>
      <c r="AID97" s="769"/>
      <c r="AIE97" s="769"/>
      <c r="AIF97" s="769"/>
      <c r="AIG97" s="769"/>
      <c r="AIH97" s="769"/>
      <c r="AII97" s="769"/>
      <c r="AIJ97" s="769"/>
      <c r="AIK97" s="769"/>
      <c r="AIL97" s="769"/>
      <c r="AIM97" s="769"/>
      <c r="AIN97" s="769"/>
      <c r="AIO97" s="769"/>
      <c r="AIP97" s="769"/>
      <c r="AIQ97" s="769"/>
      <c r="AIR97" s="769"/>
      <c r="AIS97" s="769"/>
      <c r="AIT97" s="769"/>
      <c r="AIU97" s="769"/>
      <c r="AIV97" s="769"/>
      <c r="AIW97" s="769"/>
      <c r="AIX97" s="769"/>
      <c r="AIY97" s="769"/>
      <c r="AIZ97" s="769"/>
      <c r="AJA97" s="769"/>
      <c r="AJB97" s="769"/>
      <c r="AJC97" s="769"/>
      <c r="AJD97" s="769"/>
      <c r="AJE97" s="769"/>
      <c r="AJF97" s="769"/>
      <c r="AJG97" s="769"/>
      <c r="AJH97" s="769"/>
      <c r="AJI97" s="769"/>
      <c r="AJJ97" s="769"/>
      <c r="AJK97" s="769"/>
      <c r="AJL97" s="769"/>
      <c r="AJM97" s="769"/>
      <c r="AJN97" s="769"/>
      <c r="AJO97" s="769"/>
      <c r="AJP97" s="769"/>
      <c r="AJQ97" s="769"/>
      <c r="AJR97" s="769"/>
      <c r="AJS97" s="769"/>
      <c r="AJT97" s="769"/>
      <c r="AJU97" s="769"/>
      <c r="AJV97" s="769"/>
      <c r="AJW97" s="769"/>
      <c r="AJX97" s="769"/>
      <c r="AJY97" s="769"/>
      <c r="AJZ97" s="769"/>
      <c r="AKA97" s="769"/>
      <c r="AKB97" s="769"/>
      <c r="AKC97" s="769"/>
      <c r="AKD97" s="769"/>
      <c r="AKE97" s="769"/>
      <c r="AKF97" s="769"/>
      <c r="AKG97" s="769"/>
      <c r="AKH97" s="769"/>
      <c r="AKI97" s="769"/>
      <c r="AKJ97" s="769"/>
      <c r="AKK97" s="769"/>
      <c r="AKL97" s="769"/>
      <c r="AKM97" s="769"/>
      <c r="AKN97" s="769"/>
      <c r="AKO97" s="769"/>
      <c r="AKP97" s="769"/>
      <c r="AKQ97" s="769"/>
      <c r="AKR97" s="769"/>
      <c r="AKS97" s="769"/>
      <c r="AKT97" s="769"/>
      <c r="AKU97" s="769"/>
      <c r="AKV97" s="769"/>
      <c r="AKW97" s="769"/>
      <c r="AKX97" s="769"/>
      <c r="AKY97" s="769"/>
      <c r="AKZ97" s="769"/>
      <c r="ALA97" s="769"/>
      <c r="ALB97" s="769"/>
      <c r="ALC97" s="769"/>
      <c r="ALD97" s="769"/>
      <c r="ALE97" s="769"/>
      <c r="ALF97" s="769"/>
      <c r="ALG97" s="769"/>
      <c r="ALH97" s="769"/>
      <c r="ALI97" s="769"/>
      <c r="ALJ97" s="769"/>
      <c r="ALK97" s="769"/>
      <c r="ALL97" s="769"/>
      <c r="ALM97" s="769"/>
      <c r="ALN97" s="769"/>
      <c r="ALO97" s="769"/>
      <c r="ALP97" s="769"/>
      <c r="ALQ97" s="769"/>
      <c r="ALR97" s="769"/>
      <c r="ALS97" s="769"/>
      <c r="ALT97" s="769"/>
      <c r="ALU97" s="769"/>
      <c r="ALV97" s="769"/>
      <c r="ALW97" s="769"/>
      <c r="ALX97" s="769"/>
      <c r="ALY97" s="769"/>
      <c r="ALZ97" s="769"/>
      <c r="AMA97" s="769"/>
      <c r="AMB97" s="769"/>
      <c r="AMC97" s="769"/>
      <c r="AMD97" s="769"/>
      <c r="AME97" s="769"/>
      <c r="AMF97" s="769"/>
      <c r="AMG97" s="769"/>
      <c r="AMH97" s="769"/>
      <c r="AMI97" s="769"/>
      <c r="AMJ97" s="769"/>
      <c r="AMK97" s="769"/>
      <c r="AML97" s="769"/>
      <c r="AMM97" s="769"/>
      <c r="AMN97" s="769"/>
      <c r="AMO97" s="769"/>
      <c r="AMP97" s="769"/>
      <c r="AMQ97" s="769"/>
      <c r="AMR97" s="769"/>
      <c r="AMS97" s="769"/>
      <c r="AMT97" s="769"/>
      <c r="AMU97" s="769"/>
      <c r="AMV97" s="769"/>
      <c r="AMW97" s="769"/>
      <c r="AMX97" s="769"/>
      <c r="AMY97" s="769"/>
      <c r="AMZ97" s="769"/>
      <c r="ANA97" s="769"/>
      <c r="ANB97" s="769"/>
      <c r="ANC97" s="769"/>
      <c r="AND97" s="769"/>
      <c r="ANE97" s="769"/>
      <c r="ANF97" s="769"/>
      <c r="ANG97" s="769"/>
      <c r="ANH97" s="769"/>
      <c r="ANI97" s="769"/>
      <c r="ANJ97" s="769"/>
      <c r="ANK97" s="769"/>
      <c r="ANL97" s="769"/>
      <c r="ANM97" s="769"/>
      <c r="ANN97" s="769"/>
      <c r="ANO97" s="769"/>
      <c r="ANP97" s="769"/>
      <c r="ANQ97" s="769"/>
      <c r="ANR97" s="769"/>
      <c r="ANS97" s="769"/>
      <c r="ANT97" s="769"/>
      <c r="ANU97" s="769"/>
      <c r="ANV97" s="769"/>
      <c r="ANW97" s="769"/>
      <c r="ANX97" s="769"/>
      <c r="ANY97" s="769"/>
      <c r="ANZ97" s="769"/>
      <c r="AOA97" s="769"/>
      <c r="AOB97" s="769"/>
      <c r="AOC97" s="769"/>
      <c r="AOD97" s="769"/>
      <c r="AOE97" s="769"/>
      <c r="AOF97" s="769"/>
      <c r="AOG97" s="769"/>
      <c r="AOH97" s="769"/>
      <c r="AOI97" s="769"/>
      <c r="AOJ97" s="769"/>
      <c r="AOK97" s="769"/>
      <c r="AOL97" s="769"/>
      <c r="AOM97" s="769"/>
      <c r="AON97" s="769"/>
      <c r="AOO97" s="769"/>
      <c r="AOP97" s="769"/>
      <c r="AOQ97" s="769"/>
      <c r="AOR97" s="769"/>
      <c r="AOS97" s="769"/>
      <c r="AOT97" s="769"/>
      <c r="AOU97" s="769"/>
      <c r="AOV97" s="769"/>
      <c r="AOW97" s="769"/>
      <c r="AOX97" s="769"/>
      <c r="AOY97" s="769"/>
      <c r="AOZ97" s="769"/>
      <c r="APA97" s="769"/>
      <c r="APB97" s="769"/>
      <c r="APC97" s="769"/>
      <c r="APD97" s="769"/>
      <c r="APE97" s="769"/>
      <c r="APF97" s="769"/>
      <c r="APG97" s="769"/>
      <c r="APH97" s="769"/>
      <c r="API97" s="769"/>
      <c r="APJ97" s="769"/>
      <c r="APK97" s="769"/>
      <c r="APL97" s="769"/>
      <c r="APM97" s="769"/>
      <c r="APN97" s="769"/>
      <c r="APO97" s="769"/>
      <c r="APP97" s="769"/>
      <c r="APQ97" s="769"/>
      <c r="APR97" s="769"/>
      <c r="APS97" s="769"/>
      <c r="APT97" s="769"/>
      <c r="APU97" s="769"/>
      <c r="APV97" s="769"/>
      <c r="APW97" s="769"/>
      <c r="APX97" s="769"/>
      <c r="APY97" s="769"/>
      <c r="APZ97" s="769"/>
      <c r="AQA97" s="769"/>
      <c r="AQB97" s="769"/>
      <c r="AQC97" s="769"/>
      <c r="AQD97" s="769"/>
      <c r="AQE97" s="769"/>
      <c r="AQF97" s="769"/>
      <c r="AQG97" s="769"/>
      <c r="AQH97" s="769"/>
      <c r="AQI97" s="769"/>
      <c r="AQJ97" s="769"/>
      <c r="AQK97" s="769"/>
      <c r="AQL97" s="769"/>
      <c r="AQM97" s="769"/>
      <c r="AQN97" s="769"/>
      <c r="AQO97" s="769"/>
      <c r="AQP97" s="769"/>
      <c r="AQQ97" s="769"/>
      <c r="AQR97" s="769"/>
      <c r="AQS97" s="769"/>
      <c r="AQT97" s="769"/>
      <c r="AQU97" s="769"/>
      <c r="AQV97" s="769"/>
      <c r="AQW97" s="769"/>
      <c r="AQX97" s="769"/>
      <c r="AQY97" s="769"/>
      <c r="AQZ97" s="769"/>
      <c r="ARA97" s="769"/>
      <c r="ARB97" s="769"/>
      <c r="ARC97" s="769"/>
      <c r="ARD97" s="769"/>
      <c r="ARE97" s="769"/>
      <c r="ARF97" s="769"/>
      <c r="ARG97" s="769"/>
      <c r="ARH97" s="769"/>
      <c r="ARI97" s="769"/>
      <c r="ARJ97" s="769"/>
      <c r="ARK97" s="769"/>
      <c r="ARL97" s="769"/>
      <c r="ARM97" s="769"/>
      <c r="ARN97" s="769"/>
      <c r="ARO97" s="769"/>
      <c r="ARP97" s="769"/>
      <c r="ARQ97" s="769"/>
      <c r="ARR97" s="769"/>
      <c r="ARS97" s="769"/>
      <c r="ART97" s="769"/>
      <c r="ARU97" s="769"/>
      <c r="ARV97" s="769"/>
      <c r="ARW97" s="769"/>
      <c r="ARX97" s="769"/>
      <c r="ARY97" s="769"/>
      <c r="ARZ97" s="769"/>
      <c r="ASA97" s="769"/>
      <c r="ASB97" s="769"/>
      <c r="ASC97" s="769"/>
      <c r="ASD97" s="769"/>
      <c r="ASE97" s="769"/>
      <c r="ASF97" s="769"/>
      <c r="ASG97" s="769"/>
      <c r="ASH97" s="769"/>
      <c r="ASI97" s="769"/>
      <c r="ASJ97" s="769"/>
      <c r="ASK97" s="769"/>
      <c r="ASL97" s="769"/>
      <c r="ASM97" s="769"/>
      <c r="ASN97" s="769"/>
      <c r="ASO97" s="769"/>
      <c r="ASP97" s="769"/>
      <c r="ASQ97" s="769"/>
      <c r="ASR97" s="769"/>
      <c r="ASS97" s="769"/>
      <c r="AST97" s="769"/>
      <c r="ASU97" s="769"/>
      <c r="ASV97" s="769"/>
      <c r="ASW97" s="769"/>
      <c r="ASX97" s="769"/>
      <c r="ASY97" s="769"/>
      <c r="ASZ97" s="769"/>
      <c r="ATA97" s="769"/>
      <c r="ATB97" s="769"/>
      <c r="ATC97" s="769"/>
      <c r="ATD97" s="769"/>
      <c r="ATE97" s="769"/>
      <c r="ATF97" s="769"/>
      <c r="ATG97" s="769"/>
      <c r="ATH97" s="769"/>
      <c r="ATI97" s="769"/>
      <c r="ATJ97" s="769"/>
      <c r="ATK97" s="769"/>
      <c r="ATL97" s="769"/>
      <c r="ATM97" s="769"/>
      <c r="ATN97" s="769"/>
      <c r="ATO97" s="769"/>
      <c r="ATP97" s="769"/>
      <c r="ATQ97" s="769"/>
      <c r="ATR97" s="769"/>
      <c r="ATS97" s="769"/>
      <c r="ATT97" s="769"/>
      <c r="ATU97" s="769"/>
      <c r="ATV97" s="769"/>
      <c r="ATW97" s="769"/>
      <c r="ATX97" s="769"/>
      <c r="ATY97" s="769"/>
      <c r="ATZ97" s="769"/>
      <c r="AUA97" s="769"/>
      <c r="AUB97" s="769"/>
      <c r="AUC97" s="769"/>
      <c r="AUD97" s="769"/>
      <c r="AUE97" s="769"/>
      <c r="AUF97" s="769"/>
      <c r="AUG97" s="769"/>
      <c r="AUH97" s="769"/>
      <c r="AUI97" s="769"/>
      <c r="AUJ97" s="769"/>
      <c r="AUK97" s="769"/>
      <c r="AUL97" s="769"/>
      <c r="AUM97" s="769"/>
      <c r="AUN97" s="769"/>
      <c r="AUO97" s="769"/>
      <c r="AUP97" s="769"/>
      <c r="AUQ97" s="769"/>
      <c r="AUR97" s="769"/>
      <c r="AUS97" s="769"/>
      <c r="AUT97" s="769"/>
      <c r="AUU97" s="769"/>
      <c r="AUV97" s="769"/>
      <c r="AUW97" s="769"/>
      <c r="AUX97" s="769"/>
      <c r="AUY97" s="769"/>
      <c r="AUZ97" s="769"/>
      <c r="AVA97" s="769"/>
      <c r="AVB97" s="769"/>
      <c r="AVC97" s="769"/>
      <c r="AVD97" s="769"/>
      <c r="AVE97" s="769"/>
      <c r="AVF97" s="769"/>
      <c r="AVG97" s="769"/>
      <c r="AVH97" s="769"/>
      <c r="AVI97" s="769"/>
      <c r="AVJ97" s="769"/>
      <c r="AVK97" s="769"/>
      <c r="AVL97" s="769"/>
      <c r="AVM97" s="769"/>
      <c r="AVN97" s="769"/>
      <c r="AVO97" s="769"/>
      <c r="AVP97" s="769"/>
      <c r="AVQ97" s="769"/>
      <c r="AVR97" s="769"/>
      <c r="AVS97" s="769"/>
      <c r="AVT97" s="769"/>
      <c r="AVU97" s="769"/>
      <c r="AVV97" s="769"/>
      <c r="AVW97" s="769"/>
      <c r="AVX97" s="769"/>
      <c r="AVY97" s="769"/>
      <c r="AVZ97" s="769"/>
      <c r="AWA97" s="769"/>
      <c r="AWB97" s="769"/>
      <c r="AWC97" s="769"/>
      <c r="AWD97" s="769"/>
      <c r="AWE97" s="769"/>
      <c r="AWF97" s="769"/>
      <c r="AWG97" s="769"/>
      <c r="AWH97" s="769"/>
      <c r="AWI97" s="769"/>
      <c r="AWJ97" s="769"/>
      <c r="AWK97" s="769"/>
      <c r="AWL97" s="769"/>
      <c r="AWM97" s="769"/>
      <c r="AWN97" s="769"/>
      <c r="AWO97" s="769"/>
      <c r="AWP97" s="769"/>
      <c r="AWQ97" s="769"/>
      <c r="AWR97" s="769"/>
      <c r="AWS97" s="769"/>
      <c r="AWT97" s="769"/>
      <c r="AWU97" s="769"/>
      <c r="AWV97" s="769"/>
      <c r="AWW97" s="769"/>
      <c r="AWX97" s="769"/>
      <c r="AWY97" s="769"/>
      <c r="AWZ97" s="769"/>
      <c r="AXA97" s="769"/>
      <c r="AXB97" s="769"/>
      <c r="AXC97" s="769"/>
      <c r="AXD97" s="769"/>
      <c r="AXE97" s="769"/>
      <c r="AXF97" s="769"/>
      <c r="AXG97" s="769"/>
      <c r="AXH97" s="769"/>
      <c r="AXI97" s="769"/>
      <c r="AXJ97" s="769"/>
      <c r="AXK97" s="769"/>
      <c r="AXL97" s="769"/>
      <c r="AXM97" s="769"/>
      <c r="AXN97" s="769"/>
      <c r="AXO97" s="769"/>
      <c r="AXP97" s="769"/>
      <c r="AXQ97" s="769"/>
      <c r="AXR97" s="769"/>
      <c r="AXS97" s="769"/>
      <c r="AXT97" s="769"/>
      <c r="AXU97" s="769"/>
      <c r="AXV97" s="769"/>
      <c r="AXW97" s="769"/>
      <c r="AXX97" s="769"/>
      <c r="AXY97" s="769"/>
      <c r="AXZ97" s="769"/>
      <c r="AYA97" s="769"/>
      <c r="AYB97" s="769"/>
      <c r="AYC97" s="769"/>
      <c r="AYD97" s="769"/>
      <c r="AYE97" s="769"/>
      <c r="AYF97" s="769"/>
      <c r="AYG97" s="769"/>
      <c r="AYH97" s="769"/>
      <c r="AYI97" s="769"/>
      <c r="AYJ97" s="769"/>
      <c r="AYK97" s="769"/>
      <c r="AYL97" s="769"/>
      <c r="AYM97" s="769"/>
      <c r="AYN97" s="769"/>
      <c r="AYO97" s="769"/>
      <c r="AYP97" s="769"/>
      <c r="AYQ97" s="769"/>
      <c r="AYR97" s="769"/>
      <c r="AYS97" s="769"/>
      <c r="AYT97" s="769"/>
      <c r="AYU97" s="769"/>
      <c r="AYV97" s="769"/>
      <c r="AYW97" s="769"/>
      <c r="AYX97" s="769"/>
      <c r="AYY97" s="769"/>
      <c r="AYZ97" s="769"/>
      <c r="AZA97" s="769"/>
      <c r="AZB97" s="769"/>
      <c r="AZC97" s="769"/>
      <c r="AZD97" s="769"/>
      <c r="AZE97" s="769"/>
      <c r="AZF97" s="769"/>
      <c r="AZG97" s="769"/>
      <c r="AZH97" s="769"/>
      <c r="AZI97" s="769"/>
      <c r="AZJ97" s="769"/>
      <c r="AZK97" s="769"/>
      <c r="AZL97" s="769"/>
      <c r="AZM97" s="769"/>
      <c r="AZN97" s="769"/>
      <c r="AZO97" s="769"/>
      <c r="AZP97" s="769"/>
      <c r="AZQ97" s="769"/>
      <c r="AZR97" s="769"/>
      <c r="AZS97" s="769"/>
      <c r="AZT97" s="769"/>
      <c r="AZU97" s="769"/>
      <c r="AZV97" s="769"/>
      <c r="AZW97" s="769"/>
      <c r="AZX97" s="769"/>
      <c r="AZY97" s="769"/>
      <c r="AZZ97" s="769"/>
      <c r="BAA97" s="769"/>
      <c r="BAB97" s="769"/>
      <c r="BAC97" s="769"/>
      <c r="BAD97" s="769"/>
      <c r="BAE97" s="769"/>
      <c r="BAF97" s="769"/>
      <c r="BAG97" s="769"/>
      <c r="BAH97" s="769"/>
      <c r="BAI97" s="769"/>
      <c r="BAJ97" s="769"/>
      <c r="BAK97" s="769"/>
      <c r="BAL97" s="769"/>
      <c r="BAM97" s="769"/>
      <c r="BAN97" s="769"/>
      <c r="BAO97" s="769"/>
      <c r="BAP97" s="769"/>
      <c r="BAQ97" s="769"/>
      <c r="BAR97" s="769"/>
      <c r="BAS97" s="769"/>
      <c r="BAT97" s="769"/>
      <c r="BAU97" s="769"/>
      <c r="BAV97" s="769"/>
      <c r="BAW97" s="769"/>
      <c r="BAX97" s="769"/>
      <c r="BAY97" s="769"/>
      <c r="BAZ97" s="769"/>
      <c r="BBA97" s="769"/>
      <c r="BBB97" s="769"/>
      <c r="BBC97" s="769"/>
      <c r="BBD97" s="769"/>
      <c r="BBE97" s="769"/>
      <c r="BBF97" s="769"/>
      <c r="BBG97" s="769"/>
      <c r="BBH97" s="769"/>
      <c r="BBI97" s="769"/>
      <c r="BBJ97" s="769"/>
      <c r="BBK97" s="769"/>
      <c r="BBL97" s="769"/>
      <c r="BBM97" s="769"/>
      <c r="BBN97" s="769"/>
      <c r="BBO97" s="769"/>
      <c r="BBP97" s="769"/>
      <c r="BBQ97" s="769"/>
      <c r="BBR97" s="769"/>
      <c r="BBS97" s="769"/>
      <c r="BBT97" s="769"/>
      <c r="BBU97" s="769"/>
      <c r="BBV97" s="769"/>
      <c r="BBW97" s="769"/>
      <c r="BBX97" s="769"/>
      <c r="BBY97" s="769"/>
      <c r="BBZ97" s="769"/>
      <c r="BCA97" s="769"/>
      <c r="BCB97" s="769"/>
      <c r="BCC97" s="769"/>
      <c r="BCD97" s="769"/>
      <c r="BCE97" s="769"/>
      <c r="BCF97" s="769"/>
      <c r="BCG97" s="769"/>
      <c r="BCH97" s="769"/>
      <c r="BCI97" s="769"/>
      <c r="BCJ97" s="769"/>
      <c r="BCK97" s="769"/>
      <c r="BCL97" s="769"/>
      <c r="BCM97" s="769"/>
      <c r="BCN97" s="769"/>
      <c r="BCO97" s="769"/>
      <c r="BCP97" s="769"/>
      <c r="BCQ97" s="769"/>
      <c r="BCR97" s="769"/>
      <c r="BCS97" s="769"/>
      <c r="BCT97" s="769"/>
      <c r="BCU97" s="769"/>
      <c r="BCV97" s="769"/>
      <c r="BCW97" s="769"/>
      <c r="BCX97" s="769"/>
      <c r="BCY97" s="769"/>
      <c r="BCZ97" s="769"/>
      <c r="BDA97" s="769"/>
      <c r="BDB97" s="769"/>
      <c r="BDC97" s="769"/>
      <c r="BDD97" s="769"/>
      <c r="BDE97" s="769"/>
      <c r="BDF97" s="769"/>
      <c r="BDG97" s="769"/>
      <c r="BDH97" s="769"/>
      <c r="BDI97" s="769"/>
      <c r="BDJ97" s="769"/>
      <c r="BDK97" s="769"/>
      <c r="BDL97" s="769"/>
      <c r="BDM97" s="769"/>
      <c r="BDN97" s="769"/>
      <c r="BDO97" s="769"/>
      <c r="BDP97" s="769"/>
      <c r="BDQ97" s="769"/>
      <c r="BDR97" s="769"/>
      <c r="BDS97" s="769"/>
      <c r="BDT97" s="769"/>
      <c r="BDU97" s="769"/>
      <c r="BDV97" s="769"/>
      <c r="BDW97" s="769"/>
      <c r="BDX97" s="769"/>
      <c r="BDY97" s="769"/>
      <c r="BDZ97" s="769"/>
      <c r="BEA97" s="769"/>
      <c r="BEB97" s="769"/>
      <c r="BEC97" s="769"/>
      <c r="BED97" s="769"/>
      <c r="BEE97" s="769"/>
      <c r="BEF97" s="769"/>
      <c r="BEG97" s="769"/>
      <c r="BEH97" s="769"/>
      <c r="BEI97" s="769"/>
      <c r="BEJ97" s="769"/>
      <c r="BEK97" s="769"/>
      <c r="BEL97" s="769"/>
      <c r="BEM97" s="769"/>
      <c r="BEN97" s="769"/>
      <c r="BEO97" s="769"/>
      <c r="BEP97" s="769"/>
      <c r="BEQ97" s="769"/>
      <c r="BER97" s="769"/>
      <c r="BES97" s="769"/>
      <c r="BET97" s="769"/>
      <c r="BEU97" s="769"/>
      <c r="BEV97" s="769"/>
      <c r="BEW97" s="769"/>
      <c r="BEX97" s="769"/>
      <c r="BEY97" s="769"/>
      <c r="BEZ97" s="769"/>
      <c r="BFA97" s="769"/>
      <c r="BFB97" s="769"/>
      <c r="BFC97" s="769"/>
      <c r="BFD97" s="769"/>
      <c r="BFE97" s="769"/>
      <c r="BFF97" s="769"/>
      <c r="BFG97" s="769"/>
      <c r="BFH97" s="769"/>
      <c r="BFI97" s="769"/>
      <c r="BFJ97" s="769"/>
      <c r="BFK97" s="769"/>
      <c r="BFL97" s="769"/>
      <c r="BFM97" s="769"/>
      <c r="BFN97" s="769"/>
      <c r="BFO97" s="769"/>
      <c r="BFP97" s="769"/>
      <c r="BFQ97" s="769"/>
      <c r="BFR97" s="769"/>
      <c r="BFS97" s="769"/>
      <c r="BFT97" s="769"/>
      <c r="BFU97" s="769"/>
      <c r="BFV97" s="769"/>
      <c r="BFW97" s="769"/>
      <c r="BFX97" s="769"/>
      <c r="BFY97" s="769"/>
      <c r="BFZ97" s="769"/>
      <c r="BGA97" s="769"/>
      <c r="BGB97" s="769"/>
      <c r="BGC97" s="769"/>
      <c r="BGD97" s="769"/>
      <c r="BGE97" s="769"/>
      <c r="BGF97" s="769"/>
      <c r="BGG97" s="769"/>
      <c r="BGH97" s="769"/>
      <c r="BGI97" s="769"/>
      <c r="BGJ97" s="769"/>
      <c r="BGK97" s="769"/>
      <c r="BGL97" s="769"/>
      <c r="BGM97" s="769"/>
      <c r="BGN97" s="769"/>
      <c r="BGO97" s="769"/>
      <c r="BGP97" s="769"/>
      <c r="BGQ97" s="769"/>
      <c r="BGR97" s="769"/>
      <c r="BGS97" s="769"/>
      <c r="BGT97" s="769"/>
      <c r="BGU97" s="769"/>
      <c r="BGV97" s="769"/>
      <c r="BGW97" s="769"/>
      <c r="BGX97" s="769"/>
      <c r="BGY97" s="769"/>
      <c r="BGZ97" s="769"/>
      <c r="BHA97" s="769"/>
      <c r="BHB97" s="769"/>
      <c r="BHC97" s="769"/>
      <c r="BHD97" s="769"/>
      <c r="BHE97" s="769"/>
      <c r="BHF97" s="769"/>
      <c r="BHG97" s="769"/>
      <c r="BHH97" s="769"/>
      <c r="BHI97" s="769"/>
      <c r="BHJ97" s="769"/>
      <c r="BHK97" s="769"/>
      <c r="BHL97" s="769"/>
      <c r="BHM97" s="769"/>
      <c r="BHN97" s="769"/>
      <c r="BHO97" s="769"/>
      <c r="BHP97" s="769"/>
      <c r="BHQ97" s="769"/>
      <c r="BHR97" s="769"/>
      <c r="BHS97" s="769"/>
      <c r="BHT97" s="769"/>
      <c r="BHU97" s="769"/>
      <c r="BHV97" s="769"/>
      <c r="BHW97" s="769"/>
      <c r="BHX97" s="769"/>
      <c r="BHY97" s="769"/>
      <c r="BHZ97" s="769"/>
      <c r="BIA97" s="769"/>
      <c r="BIB97" s="769"/>
      <c r="BIC97" s="769"/>
      <c r="BID97" s="769"/>
      <c r="BIE97" s="769"/>
      <c r="BIF97" s="769"/>
      <c r="BIG97" s="769"/>
      <c r="BIH97" s="769"/>
      <c r="BII97" s="769"/>
      <c r="BIJ97" s="769"/>
      <c r="BIK97" s="769"/>
      <c r="BIL97" s="769"/>
      <c r="BIM97" s="769"/>
      <c r="BIN97" s="769"/>
      <c r="BIO97" s="769"/>
      <c r="BIP97" s="769"/>
      <c r="BIQ97" s="769"/>
      <c r="BIR97" s="769"/>
      <c r="BIS97" s="769"/>
      <c r="BIT97" s="769"/>
      <c r="BIU97" s="769"/>
      <c r="BIV97" s="769"/>
      <c r="BIW97" s="769"/>
      <c r="BIX97" s="769"/>
      <c r="BIY97" s="769"/>
      <c r="BIZ97" s="769"/>
      <c r="BJA97" s="769"/>
      <c r="BJB97" s="769"/>
      <c r="BJC97" s="769"/>
      <c r="BJD97" s="769"/>
      <c r="BJE97" s="769"/>
      <c r="BJF97" s="769"/>
      <c r="BJG97" s="769"/>
      <c r="BJH97" s="769"/>
      <c r="BJI97" s="769"/>
      <c r="BJJ97" s="769"/>
      <c r="BJK97" s="769"/>
      <c r="BJL97" s="769"/>
      <c r="BJM97" s="769"/>
      <c r="BJN97" s="769"/>
      <c r="BJO97" s="769"/>
      <c r="BJP97" s="769"/>
      <c r="BJQ97" s="769"/>
      <c r="BJR97" s="769"/>
      <c r="BJS97" s="769"/>
      <c r="BJT97" s="769"/>
      <c r="BJU97" s="769"/>
      <c r="BJV97" s="769"/>
      <c r="BJW97" s="769"/>
      <c r="BJX97" s="769"/>
      <c r="BJY97" s="769"/>
      <c r="BJZ97" s="769"/>
      <c r="BKA97" s="769"/>
      <c r="BKB97" s="769"/>
      <c r="BKC97" s="769"/>
      <c r="BKD97" s="769"/>
      <c r="BKE97" s="769"/>
      <c r="BKF97" s="769"/>
      <c r="BKG97" s="769"/>
      <c r="BKH97" s="769"/>
      <c r="BKI97" s="769"/>
      <c r="BKJ97" s="769"/>
      <c r="BKK97" s="769"/>
      <c r="BKL97" s="769"/>
      <c r="BKM97" s="769"/>
      <c r="BKN97" s="769"/>
      <c r="BKO97" s="769"/>
      <c r="BKP97" s="769"/>
      <c r="BKQ97" s="769"/>
      <c r="BKR97" s="769"/>
      <c r="BKS97" s="769"/>
      <c r="BKT97" s="769"/>
      <c r="BKU97" s="769"/>
      <c r="BKV97" s="769"/>
      <c r="BKW97" s="769"/>
      <c r="BKX97" s="769"/>
      <c r="BKY97" s="769"/>
      <c r="BKZ97" s="769"/>
      <c r="BLA97" s="769"/>
      <c r="BLB97" s="769"/>
      <c r="BLC97" s="769"/>
      <c r="BLD97" s="769"/>
      <c r="BLE97" s="769"/>
      <c r="BLF97" s="769"/>
      <c r="BLG97" s="769"/>
      <c r="BLH97" s="769"/>
      <c r="BLI97" s="769"/>
      <c r="BLJ97" s="769"/>
      <c r="BLK97" s="769"/>
      <c r="BLL97" s="769"/>
      <c r="BLM97" s="769"/>
      <c r="BLN97" s="769"/>
      <c r="BLO97" s="769"/>
      <c r="BLP97" s="769"/>
      <c r="BLQ97" s="769"/>
      <c r="BLR97" s="769"/>
      <c r="BLS97" s="769"/>
      <c r="BLT97" s="769"/>
      <c r="BLU97" s="769"/>
      <c r="BLV97" s="769"/>
      <c r="BLW97" s="769"/>
      <c r="BLX97" s="769"/>
      <c r="BLY97" s="769"/>
      <c r="BLZ97" s="769"/>
      <c r="BMA97" s="769"/>
      <c r="BMB97" s="769"/>
      <c r="BMC97" s="769"/>
      <c r="BMD97" s="769"/>
      <c r="BME97" s="769"/>
      <c r="BMF97" s="769"/>
      <c r="BMG97" s="769"/>
      <c r="BMH97" s="769"/>
      <c r="BMI97" s="769"/>
      <c r="BMJ97" s="769"/>
      <c r="BMK97" s="769"/>
      <c r="BML97" s="769"/>
      <c r="BMM97" s="769"/>
      <c r="BMN97" s="769"/>
      <c r="BMO97" s="769"/>
      <c r="BMP97" s="769"/>
      <c r="BMQ97" s="769"/>
      <c r="BMR97" s="769"/>
      <c r="BMS97" s="769"/>
      <c r="BMT97" s="769"/>
      <c r="BMU97" s="769"/>
      <c r="BMV97" s="769"/>
      <c r="BMW97" s="769"/>
      <c r="BMX97" s="769"/>
      <c r="BMY97" s="769"/>
      <c r="BMZ97" s="769"/>
      <c r="BNA97" s="769"/>
      <c r="BNB97" s="769"/>
      <c r="BNC97" s="769"/>
      <c r="BND97" s="769"/>
      <c r="BNE97" s="769"/>
      <c r="BNF97" s="769"/>
      <c r="BNG97" s="769"/>
      <c r="BNH97" s="769"/>
      <c r="BNI97" s="769"/>
      <c r="BNJ97" s="769"/>
      <c r="BNK97" s="769"/>
      <c r="BNL97" s="769"/>
      <c r="BNM97" s="769"/>
      <c r="BNN97" s="769"/>
      <c r="BNO97" s="769"/>
      <c r="BNP97" s="769"/>
      <c r="BNQ97" s="769"/>
      <c r="BNR97" s="769"/>
      <c r="BNS97" s="769"/>
      <c r="BNT97" s="769"/>
      <c r="BNU97" s="769"/>
      <c r="BNV97" s="769"/>
      <c r="BNW97" s="769"/>
      <c r="BNX97" s="769"/>
      <c r="BNY97" s="769"/>
      <c r="BNZ97" s="769"/>
      <c r="BOA97" s="769"/>
      <c r="BOB97" s="769"/>
      <c r="BOC97" s="769"/>
      <c r="BOD97" s="769"/>
      <c r="BOE97" s="769"/>
      <c r="BOF97" s="769"/>
      <c r="BOG97" s="769"/>
      <c r="BOH97" s="769"/>
      <c r="BOI97" s="769"/>
      <c r="BOJ97" s="769"/>
      <c r="BOK97" s="769"/>
      <c r="BOL97" s="769"/>
      <c r="BOM97" s="769"/>
      <c r="BON97" s="769"/>
      <c r="BOO97" s="769"/>
      <c r="BOP97" s="769"/>
      <c r="BOQ97" s="769"/>
      <c r="BOR97" s="769"/>
      <c r="BOS97" s="769"/>
      <c r="BOT97" s="769"/>
      <c r="BOU97" s="769"/>
      <c r="BOV97" s="769"/>
      <c r="BOW97" s="769"/>
      <c r="BOX97" s="769"/>
      <c r="BOY97" s="769"/>
      <c r="BOZ97" s="769"/>
      <c r="BPA97" s="769"/>
      <c r="BPB97" s="769"/>
      <c r="BPC97" s="769"/>
      <c r="BPD97" s="769"/>
      <c r="BPE97" s="769"/>
      <c r="BPF97" s="769"/>
      <c r="BPG97" s="769"/>
      <c r="BPH97" s="769"/>
      <c r="BPI97" s="769"/>
      <c r="BPJ97" s="769"/>
      <c r="BPK97" s="769"/>
      <c r="BPL97" s="769"/>
      <c r="BPM97" s="769"/>
      <c r="BPN97" s="769"/>
      <c r="BPO97" s="769"/>
      <c r="BPP97" s="769"/>
      <c r="BPQ97" s="769"/>
      <c r="BPR97" s="769"/>
      <c r="BPS97" s="769"/>
      <c r="BPT97" s="769"/>
      <c r="BPU97" s="769"/>
      <c r="BPV97" s="769"/>
      <c r="BPW97" s="769"/>
      <c r="BPX97" s="769"/>
      <c r="BPY97" s="769"/>
      <c r="BPZ97" s="769"/>
      <c r="BQA97" s="769"/>
      <c r="BQB97" s="769"/>
      <c r="BQC97" s="769"/>
      <c r="BQD97" s="769"/>
      <c r="BQE97" s="769"/>
      <c r="BQF97" s="769"/>
      <c r="BQG97" s="769"/>
      <c r="BQH97" s="769"/>
      <c r="BQI97" s="769"/>
      <c r="BQJ97" s="769"/>
      <c r="BQK97" s="769"/>
      <c r="BQL97" s="769"/>
      <c r="BQM97" s="769"/>
      <c r="BQN97" s="769"/>
      <c r="BQO97" s="769"/>
      <c r="BQP97" s="769"/>
      <c r="BQQ97" s="769"/>
      <c r="BQR97" s="769"/>
      <c r="BQS97" s="769"/>
      <c r="BQT97" s="769"/>
      <c r="BQU97" s="769"/>
      <c r="BQV97" s="769"/>
      <c r="BQW97" s="769"/>
      <c r="BQX97" s="769"/>
      <c r="BQY97" s="769"/>
      <c r="BQZ97" s="769"/>
      <c r="BRA97" s="769"/>
      <c r="BRB97" s="769"/>
      <c r="BRC97" s="769"/>
      <c r="BRD97" s="769"/>
      <c r="BRE97" s="769"/>
      <c r="BRF97" s="769"/>
      <c r="BRG97" s="769"/>
      <c r="BRH97" s="769"/>
      <c r="BRI97" s="769"/>
      <c r="BRJ97" s="769"/>
      <c r="BRK97" s="769"/>
      <c r="BRL97" s="769"/>
      <c r="BRM97" s="769"/>
      <c r="BRN97" s="769"/>
      <c r="BRO97" s="769"/>
      <c r="BRP97" s="769"/>
      <c r="BRQ97" s="769"/>
      <c r="BRR97" s="769"/>
      <c r="BRS97" s="769"/>
      <c r="BRT97" s="769"/>
      <c r="BRU97" s="769"/>
      <c r="BRV97" s="769"/>
      <c r="BRW97" s="769"/>
      <c r="BRX97" s="769"/>
      <c r="BRY97" s="769"/>
      <c r="BRZ97" s="769"/>
      <c r="BSA97" s="769"/>
      <c r="BSB97" s="769"/>
      <c r="BSC97" s="769"/>
      <c r="BSD97" s="769"/>
      <c r="BSE97" s="769"/>
      <c r="BSF97" s="769"/>
      <c r="BSG97" s="769"/>
      <c r="BSH97" s="769"/>
      <c r="BSI97" s="769"/>
      <c r="BSJ97" s="769"/>
      <c r="BSK97" s="769"/>
      <c r="BSL97" s="769"/>
      <c r="BSM97" s="769"/>
      <c r="BSN97" s="769"/>
      <c r="BSO97" s="769"/>
      <c r="BSP97" s="769"/>
      <c r="BSQ97" s="769"/>
      <c r="BSR97" s="769"/>
      <c r="BSS97" s="769"/>
      <c r="BST97" s="769"/>
      <c r="BSU97" s="769"/>
      <c r="BSV97" s="769"/>
      <c r="BSW97" s="769"/>
      <c r="BSX97" s="769"/>
      <c r="BSY97" s="769"/>
      <c r="BSZ97" s="769"/>
      <c r="BTA97" s="769"/>
      <c r="BTB97" s="769"/>
      <c r="BTC97" s="769"/>
      <c r="BTD97" s="769"/>
      <c r="BTE97" s="769"/>
      <c r="BTF97" s="769"/>
      <c r="BTG97" s="769"/>
      <c r="BTH97" s="769"/>
      <c r="BTI97" s="769"/>
      <c r="BTJ97" s="769"/>
      <c r="BTK97" s="769"/>
      <c r="BTL97" s="769"/>
      <c r="BTM97" s="769"/>
      <c r="BTN97" s="769"/>
      <c r="BTO97" s="769"/>
      <c r="BTP97" s="769"/>
      <c r="BTQ97" s="769"/>
      <c r="BTR97" s="769"/>
      <c r="BTS97" s="769"/>
      <c r="BTT97" s="769"/>
      <c r="BTU97" s="769"/>
      <c r="BTV97" s="769"/>
      <c r="BTW97" s="769"/>
      <c r="BTX97" s="769"/>
      <c r="BTY97" s="769"/>
      <c r="BTZ97" s="769"/>
      <c r="BUA97" s="769"/>
      <c r="BUB97" s="769"/>
      <c r="BUC97" s="769"/>
      <c r="BUD97" s="769"/>
      <c r="BUE97" s="769"/>
      <c r="BUF97" s="769"/>
      <c r="BUG97" s="769"/>
      <c r="BUH97" s="769"/>
      <c r="BUI97" s="769"/>
      <c r="BUJ97" s="769"/>
      <c r="BUK97" s="769"/>
      <c r="BUL97" s="769"/>
      <c r="BUM97" s="769"/>
      <c r="BUN97" s="769"/>
      <c r="BUO97" s="769"/>
      <c r="BUP97" s="769"/>
      <c r="BUQ97" s="769"/>
      <c r="BUR97" s="769"/>
      <c r="BUS97" s="769"/>
      <c r="BUT97" s="769"/>
      <c r="BUU97" s="769"/>
      <c r="BUV97" s="769"/>
      <c r="BUW97" s="769"/>
      <c r="BUX97" s="769"/>
      <c r="BUY97" s="769"/>
      <c r="BUZ97" s="769"/>
      <c r="BVA97" s="769"/>
      <c r="BVB97" s="769"/>
      <c r="BVC97" s="769"/>
      <c r="BVD97" s="769"/>
      <c r="BVE97" s="769"/>
      <c r="BVF97" s="769"/>
      <c r="BVG97" s="769"/>
      <c r="BVH97" s="769"/>
      <c r="BVI97" s="769"/>
      <c r="BVJ97" s="769"/>
      <c r="BVK97" s="769"/>
      <c r="BVL97" s="769"/>
      <c r="BVM97" s="769"/>
      <c r="BVN97" s="769"/>
      <c r="BVO97" s="769"/>
      <c r="BVP97" s="769"/>
      <c r="BVQ97" s="769"/>
      <c r="BVR97" s="769"/>
      <c r="BVS97" s="769"/>
      <c r="BVT97" s="769"/>
      <c r="BVU97" s="769"/>
      <c r="BVV97" s="769"/>
      <c r="BVW97" s="769"/>
      <c r="BVX97" s="769"/>
      <c r="BVY97" s="769"/>
      <c r="BVZ97" s="769"/>
      <c r="BWA97" s="769"/>
      <c r="BWB97" s="769"/>
      <c r="BWC97" s="769"/>
      <c r="BWD97" s="769"/>
      <c r="BWE97" s="769"/>
      <c r="BWF97" s="769"/>
      <c r="BWG97" s="769"/>
      <c r="BWH97" s="769"/>
      <c r="BWI97" s="769"/>
      <c r="BWJ97" s="769"/>
      <c r="BWK97" s="769"/>
      <c r="BWL97" s="769"/>
      <c r="BWM97" s="769"/>
      <c r="BWN97" s="769"/>
      <c r="BWO97" s="769"/>
      <c r="BWP97" s="769"/>
      <c r="BWQ97" s="769"/>
      <c r="BWR97" s="769"/>
      <c r="BWS97" s="769"/>
      <c r="BWT97" s="769"/>
      <c r="BWU97" s="769"/>
      <c r="BWV97" s="769"/>
      <c r="BWW97" s="769"/>
      <c r="BWX97" s="769"/>
      <c r="BWY97" s="769"/>
      <c r="BWZ97" s="769"/>
      <c r="BXA97" s="769"/>
      <c r="BXB97" s="769"/>
      <c r="BXC97" s="769"/>
      <c r="BXD97" s="769"/>
      <c r="BXE97" s="769"/>
      <c r="BXF97" s="769"/>
      <c r="BXG97" s="769"/>
      <c r="BXH97" s="769"/>
      <c r="BXI97" s="769"/>
      <c r="BXJ97" s="769"/>
      <c r="BXK97" s="769"/>
      <c r="BXL97" s="769"/>
      <c r="BXM97" s="769"/>
      <c r="BXN97" s="769"/>
      <c r="BXO97" s="769"/>
      <c r="BXP97" s="769"/>
      <c r="BXQ97" s="769"/>
      <c r="BXR97" s="769"/>
      <c r="BXS97" s="769"/>
      <c r="BXT97" s="769"/>
      <c r="BXU97" s="769"/>
      <c r="BXV97" s="769"/>
      <c r="BXW97" s="769"/>
      <c r="BXX97" s="769"/>
      <c r="BXY97" s="769"/>
      <c r="BXZ97" s="769"/>
      <c r="BYA97" s="769"/>
      <c r="BYB97" s="769"/>
      <c r="BYC97" s="769"/>
      <c r="BYD97" s="769"/>
      <c r="BYE97" s="769"/>
      <c r="BYF97" s="769"/>
      <c r="BYG97" s="769"/>
      <c r="BYH97" s="769"/>
      <c r="BYI97" s="769"/>
      <c r="BYJ97" s="769"/>
      <c r="BYK97" s="769"/>
      <c r="BYL97" s="769"/>
      <c r="BYM97" s="769"/>
      <c r="BYN97" s="769"/>
      <c r="BYO97" s="769"/>
      <c r="BYP97" s="769"/>
      <c r="BYQ97" s="769"/>
      <c r="BYR97" s="769"/>
      <c r="BYS97" s="769"/>
      <c r="BYT97" s="769"/>
      <c r="BYU97" s="769"/>
      <c r="BYV97" s="769"/>
      <c r="BYW97" s="769"/>
      <c r="BYX97" s="769"/>
      <c r="BYY97" s="769"/>
      <c r="BYZ97" s="769"/>
      <c r="BZA97" s="769"/>
      <c r="BZB97" s="769"/>
      <c r="BZC97" s="769"/>
      <c r="BZD97" s="769"/>
      <c r="BZE97" s="769"/>
      <c r="BZF97" s="769"/>
      <c r="BZG97" s="769"/>
      <c r="BZH97" s="769"/>
      <c r="BZI97" s="769"/>
      <c r="BZJ97" s="769"/>
      <c r="BZK97" s="769"/>
      <c r="BZL97" s="769"/>
      <c r="BZM97" s="769"/>
      <c r="BZN97" s="769"/>
      <c r="BZO97" s="769"/>
      <c r="BZP97" s="769"/>
      <c r="BZQ97" s="769"/>
      <c r="BZR97" s="769"/>
      <c r="BZS97" s="769"/>
      <c r="BZT97" s="769"/>
      <c r="BZU97" s="769"/>
      <c r="BZV97" s="769"/>
      <c r="BZW97" s="769"/>
      <c r="BZX97" s="769"/>
      <c r="BZY97" s="769"/>
      <c r="BZZ97" s="769"/>
      <c r="CAA97" s="769"/>
      <c r="CAB97" s="769"/>
      <c r="CAC97" s="769"/>
      <c r="CAD97" s="769"/>
      <c r="CAE97" s="769"/>
      <c r="CAF97" s="769"/>
      <c r="CAG97" s="769"/>
      <c r="CAH97" s="769"/>
      <c r="CAI97" s="769"/>
      <c r="CAJ97" s="769"/>
      <c r="CAK97" s="769"/>
      <c r="CAL97" s="769"/>
      <c r="CAM97" s="769"/>
      <c r="CAN97" s="769"/>
      <c r="CAO97" s="769"/>
      <c r="CAP97" s="769"/>
      <c r="CAQ97" s="769"/>
      <c r="CAR97" s="769"/>
      <c r="CAS97" s="769"/>
      <c r="CAT97" s="769"/>
      <c r="CAU97" s="769"/>
      <c r="CAV97" s="769"/>
      <c r="CAW97" s="769"/>
      <c r="CAX97" s="769"/>
      <c r="CAY97" s="769"/>
      <c r="CAZ97" s="769"/>
      <c r="CBA97" s="769"/>
      <c r="CBB97" s="769"/>
      <c r="CBC97" s="769"/>
      <c r="CBD97" s="769"/>
      <c r="CBE97" s="769"/>
      <c r="CBF97" s="769"/>
      <c r="CBG97" s="769"/>
      <c r="CBH97" s="769"/>
      <c r="CBI97" s="769"/>
      <c r="CBJ97" s="769"/>
      <c r="CBK97" s="769"/>
      <c r="CBL97" s="769"/>
      <c r="CBM97" s="769"/>
      <c r="CBN97" s="769"/>
      <c r="CBO97" s="769"/>
      <c r="CBP97" s="769"/>
      <c r="CBQ97" s="769"/>
      <c r="CBR97" s="769"/>
      <c r="CBS97" s="769"/>
      <c r="CBT97" s="769"/>
      <c r="CBU97" s="769"/>
      <c r="CBV97" s="769"/>
      <c r="CBW97" s="769"/>
      <c r="CBX97" s="769"/>
      <c r="CBY97" s="769"/>
      <c r="CBZ97" s="769"/>
      <c r="CCA97" s="769"/>
      <c r="CCB97" s="769"/>
      <c r="CCC97" s="769"/>
      <c r="CCD97" s="769"/>
      <c r="CCE97" s="769"/>
      <c r="CCF97" s="769"/>
      <c r="CCG97" s="769"/>
      <c r="CCH97" s="769"/>
      <c r="CCI97" s="769"/>
      <c r="CCJ97" s="769"/>
      <c r="CCK97" s="769"/>
      <c r="CCL97" s="769"/>
      <c r="CCM97" s="769"/>
      <c r="CCN97" s="769"/>
      <c r="CCO97" s="769"/>
      <c r="CCP97" s="769"/>
      <c r="CCQ97" s="769"/>
      <c r="CCR97" s="769"/>
      <c r="CCS97" s="769"/>
      <c r="CCT97" s="769"/>
      <c r="CCU97" s="769"/>
      <c r="CCV97" s="769"/>
      <c r="CCW97" s="769"/>
      <c r="CCX97" s="769"/>
      <c r="CCY97" s="769"/>
      <c r="CCZ97" s="769"/>
      <c r="CDA97" s="769"/>
      <c r="CDB97" s="769"/>
      <c r="CDC97" s="769"/>
      <c r="CDD97" s="769"/>
      <c r="CDE97" s="769"/>
      <c r="CDF97" s="769"/>
      <c r="CDG97" s="769"/>
      <c r="CDH97" s="769"/>
      <c r="CDI97" s="769"/>
      <c r="CDJ97" s="769"/>
      <c r="CDK97" s="769"/>
      <c r="CDL97" s="769"/>
      <c r="CDM97" s="769"/>
      <c r="CDN97" s="769"/>
      <c r="CDO97" s="769"/>
      <c r="CDP97" s="769"/>
      <c r="CDQ97" s="769"/>
      <c r="CDR97" s="769"/>
      <c r="CDS97" s="769"/>
      <c r="CDT97" s="769"/>
      <c r="CDU97" s="769"/>
      <c r="CDV97" s="769"/>
      <c r="CDW97" s="769"/>
      <c r="CDX97" s="769"/>
      <c r="CDY97" s="769"/>
      <c r="CDZ97" s="769"/>
      <c r="CEA97" s="769"/>
      <c r="CEB97" s="769"/>
      <c r="CEC97" s="769"/>
      <c r="CED97" s="769"/>
      <c r="CEE97" s="769"/>
      <c r="CEF97" s="769"/>
      <c r="CEG97" s="769"/>
      <c r="CEH97" s="769"/>
      <c r="CEI97" s="769"/>
      <c r="CEJ97" s="769"/>
      <c r="CEK97" s="769"/>
      <c r="CEL97" s="769"/>
      <c r="CEM97" s="769"/>
      <c r="CEN97" s="769"/>
      <c r="CEO97" s="769"/>
      <c r="CEP97" s="769"/>
      <c r="CEQ97" s="769"/>
      <c r="CER97" s="769"/>
      <c r="CES97" s="769"/>
      <c r="CET97" s="769"/>
      <c r="CEU97" s="769"/>
      <c r="CEV97" s="769"/>
      <c r="CEW97" s="769"/>
      <c r="CEX97" s="769"/>
      <c r="CEY97" s="769"/>
      <c r="CEZ97" s="769"/>
      <c r="CFA97" s="769"/>
      <c r="CFB97" s="769"/>
      <c r="CFC97" s="769"/>
      <c r="CFD97" s="769"/>
      <c r="CFE97" s="769"/>
      <c r="CFF97" s="769"/>
      <c r="CFG97" s="769"/>
      <c r="CFH97" s="769"/>
      <c r="CFI97" s="769"/>
      <c r="CFJ97" s="769"/>
      <c r="CFK97" s="769"/>
      <c r="CFL97" s="769"/>
      <c r="CFM97" s="769"/>
      <c r="CFN97" s="769"/>
      <c r="CFO97" s="769"/>
      <c r="CFP97" s="769"/>
      <c r="CFQ97" s="769"/>
      <c r="CFR97" s="769"/>
      <c r="CFS97" s="769"/>
      <c r="CFT97" s="769"/>
      <c r="CFU97" s="769"/>
      <c r="CFV97" s="769"/>
      <c r="CFW97" s="769"/>
      <c r="CFX97" s="769"/>
      <c r="CFY97" s="769"/>
      <c r="CFZ97" s="769"/>
      <c r="CGA97" s="769"/>
      <c r="CGB97" s="769"/>
      <c r="CGC97" s="769"/>
      <c r="CGD97" s="769"/>
      <c r="CGE97" s="769"/>
      <c r="CGF97" s="769"/>
      <c r="CGG97" s="769"/>
      <c r="CGH97" s="769"/>
      <c r="CGI97" s="769"/>
      <c r="CGJ97" s="769"/>
      <c r="CGK97" s="769"/>
      <c r="CGL97" s="769"/>
      <c r="CGM97" s="769"/>
      <c r="CGN97" s="769"/>
      <c r="CGO97" s="769"/>
      <c r="CGP97" s="769"/>
      <c r="CGQ97" s="769"/>
      <c r="CGR97" s="769"/>
      <c r="CGS97" s="769"/>
      <c r="CGT97" s="769"/>
      <c r="CGU97" s="769"/>
      <c r="CGV97" s="769"/>
      <c r="CGW97" s="769"/>
      <c r="CGX97" s="769"/>
      <c r="CGY97" s="769"/>
      <c r="CGZ97" s="769"/>
      <c r="CHA97" s="769"/>
      <c r="CHB97" s="769"/>
      <c r="CHC97" s="769"/>
      <c r="CHD97" s="769"/>
      <c r="CHE97" s="769"/>
      <c r="CHF97" s="769"/>
      <c r="CHG97" s="769"/>
      <c r="CHH97" s="769"/>
      <c r="CHI97" s="769"/>
      <c r="CHJ97" s="769"/>
      <c r="CHK97" s="769"/>
      <c r="CHL97" s="769"/>
      <c r="CHM97" s="769"/>
      <c r="CHN97" s="769"/>
      <c r="CHO97" s="769"/>
      <c r="CHP97" s="769"/>
      <c r="CHQ97" s="769"/>
      <c r="CHR97" s="769"/>
      <c r="CHS97" s="769"/>
      <c r="CHT97" s="769"/>
      <c r="CHU97" s="769"/>
      <c r="CHV97" s="769"/>
      <c r="CHW97" s="769"/>
      <c r="CHX97" s="769"/>
      <c r="CHY97" s="769"/>
      <c r="CHZ97" s="769"/>
      <c r="CIA97" s="769"/>
      <c r="CIB97" s="769"/>
      <c r="CIC97" s="769"/>
      <c r="CID97" s="769"/>
      <c r="CIE97" s="769"/>
      <c r="CIF97" s="769"/>
      <c r="CIG97" s="769"/>
      <c r="CIH97" s="769"/>
      <c r="CII97" s="769"/>
      <c r="CIJ97" s="769"/>
      <c r="CIK97" s="769"/>
      <c r="CIL97" s="769"/>
      <c r="CIM97" s="769"/>
      <c r="CIN97" s="769"/>
      <c r="CIO97" s="769"/>
      <c r="CIP97" s="769"/>
      <c r="CIQ97" s="769"/>
      <c r="CIR97" s="769"/>
      <c r="CIS97" s="769"/>
      <c r="CIT97" s="769"/>
      <c r="CIU97" s="769"/>
      <c r="CIV97" s="769"/>
      <c r="CIW97" s="769"/>
      <c r="CIX97" s="769"/>
      <c r="CIY97" s="769"/>
      <c r="CIZ97" s="769"/>
      <c r="CJA97" s="769"/>
      <c r="CJB97" s="769"/>
      <c r="CJC97" s="769"/>
      <c r="CJD97" s="769"/>
      <c r="CJE97" s="769"/>
      <c r="CJF97" s="769"/>
      <c r="CJG97" s="769"/>
      <c r="CJH97" s="769"/>
      <c r="CJI97" s="769"/>
      <c r="CJJ97" s="769"/>
      <c r="CJK97" s="769"/>
      <c r="CJL97" s="769"/>
      <c r="CJM97" s="769"/>
      <c r="CJN97" s="769"/>
      <c r="CJO97" s="769"/>
      <c r="CJP97" s="769"/>
      <c r="CJQ97" s="769"/>
      <c r="CJR97" s="769"/>
      <c r="CJS97" s="769"/>
      <c r="CJT97" s="769"/>
      <c r="CJU97" s="769"/>
      <c r="CJV97" s="769"/>
      <c r="CJW97" s="769"/>
      <c r="CJX97" s="769"/>
      <c r="CJY97" s="769"/>
      <c r="CJZ97" s="769"/>
      <c r="CKA97" s="769"/>
      <c r="CKB97" s="769"/>
      <c r="CKC97" s="769"/>
      <c r="CKD97" s="769"/>
      <c r="CKE97" s="769"/>
      <c r="CKF97" s="769"/>
      <c r="CKG97" s="769"/>
      <c r="CKH97" s="769"/>
      <c r="CKI97" s="769"/>
      <c r="CKJ97" s="769"/>
      <c r="CKK97" s="769"/>
      <c r="CKL97" s="769"/>
      <c r="CKM97" s="769"/>
      <c r="CKN97" s="769"/>
      <c r="CKO97" s="769"/>
      <c r="CKP97" s="769"/>
      <c r="CKQ97" s="769"/>
      <c r="CKR97" s="769"/>
      <c r="CKS97" s="769"/>
      <c r="CKT97" s="769"/>
      <c r="CKU97" s="769"/>
      <c r="CKV97" s="769"/>
      <c r="CKW97" s="769"/>
      <c r="CKX97" s="769"/>
      <c r="CKY97" s="769"/>
      <c r="CKZ97" s="769"/>
      <c r="CLA97" s="769"/>
      <c r="CLB97" s="769"/>
      <c r="CLC97" s="769"/>
      <c r="CLD97" s="769"/>
      <c r="CLE97" s="769"/>
      <c r="CLF97" s="769"/>
      <c r="CLG97" s="769"/>
      <c r="CLH97" s="769"/>
      <c r="CLI97" s="769"/>
      <c r="CLJ97" s="769"/>
      <c r="CLK97" s="769"/>
      <c r="CLL97" s="769"/>
      <c r="CLM97" s="769"/>
      <c r="CLN97" s="769"/>
      <c r="CLO97" s="769"/>
      <c r="CLP97" s="769"/>
      <c r="CLQ97" s="769"/>
      <c r="CLR97" s="769"/>
      <c r="CLS97" s="769"/>
      <c r="CLT97" s="769"/>
      <c r="CLU97" s="769"/>
      <c r="CLV97" s="769"/>
      <c r="CLW97" s="769"/>
      <c r="CLX97" s="769"/>
      <c r="CLY97" s="769"/>
      <c r="CLZ97" s="769"/>
      <c r="CMA97" s="769"/>
      <c r="CMB97" s="769"/>
      <c r="CMC97" s="769"/>
      <c r="CMD97" s="769"/>
      <c r="CME97" s="769"/>
      <c r="CMF97" s="769"/>
      <c r="CMG97" s="769"/>
      <c r="CMH97" s="769"/>
      <c r="CMI97" s="769"/>
      <c r="CMJ97" s="769"/>
      <c r="CMK97" s="769"/>
      <c r="CML97" s="769"/>
      <c r="CMM97" s="769"/>
      <c r="CMN97" s="769"/>
      <c r="CMO97" s="769"/>
      <c r="CMP97" s="769"/>
      <c r="CMQ97" s="769"/>
      <c r="CMR97" s="769"/>
      <c r="CMS97" s="769"/>
      <c r="CMT97" s="769"/>
      <c r="CMU97" s="769"/>
      <c r="CMV97" s="769"/>
      <c r="CMW97" s="769"/>
      <c r="CMX97" s="769"/>
      <c r="CMY97" s="769"/>
      <c r="CMZ97" s="769"/>
      <c r="CNA97" s="769"/>
      <c r="CNB97" s="769"/>
      <c r="CNC97" s="769"/>
      <c r="CND97" s="769"/>
      <c r="CNE97" s="769"/>
      <c r="CNF97" s="769"/>
      <c r="CNG97" s="769"/>
      <c r="CNH97" s="769"/>
      <c r="CNI97" s="769"/>
      <c r="CNJ97" s="769"/>
      <c r="CNK97" s="769"/>
      <c r="CNL97" s="769"/>
      <c r="CNM97" s="769"/>
      <c r="CNN97" s="769"/>
      <c r="CNO97" s="769"/>
      <c r="CNP97" s="769"/>
      <c r="CNQ97" s="769"/>
      <c r="CNR97" s="769"/>
      <c r="CNS97" s="769"/>
      <c r="CNT97" s="769"/>
      <c r="CNU97" s="769"/>
      <c r="CNV97" s="769"/>
      <c r="CNW97" s="769"/>
      <c r="CNX97" s="769"/>
      <c r="CNY97" s="769"/>
      <c r="CNZ97" s="769"/>
      <c r="COA97" s="769"/>
      <c r="COB97" s="769"/>
      <c r="COC97" s="769"/>
      <c r="COD97" s="769"/>
      <c r="COE97" s="769"/>
      <c r="COF97" s="769"/>
      <c r="COG97" s="769"/>
      <c r="COH97" s="769"/>
      <c r="COI97" s="769"/>
      <c r="COJ97" s="769"/>
      <c r="COK97" s="769"/>
      <c r="COL97" s="769"/>
      <c r="COM97" s="769"/>
      <c r="CON97" s="769"/>
      <c r="COO97" s="769"/>
      <c r="COP97" s="769"/>
      <c r="COQ97" s="769"/>
      <c r="COR97" s="769"/>
      <c r="COS97" s="769"/>
      <c r="COT97" s="769"/>
      <c r="COU97" s="769"/>
      <c r="COV97" s="769"/>
      <c r="COW97" s="769"/>
      <c r="COX97" s="769"/>
      <c r="COY97" s="769"/>
      <c r="COZ97" s="769"/>
      <c r="CPA97" s="769"/>
      <c r="CPB97" s="769"/>
      <c r="CPC97" s="769"/>
      <c r="CPD97" s="769"/>
      <c r="CPE97" s="769"/>
      <c r="CPF97" s="769"/>
      <c r="CPG97" s="769"/>
      <c r="CPH97" s="769"/>
      <c r="CPI97" s="769"/>
      <c r="CPJ97" s="769"/>
      <c r="CPK97" s="769"/>
      <c r="CPL97" s="769"/>
      <c r="CPM97" s="769"/>
      <c r="CPN97" s="769"/>
      <c r="CPO97" s="769"/>
      <c r="CPP97" s="769"/>
      <c r="CPQ97" s="769"/>
      <c r="CPR97" s="769"/>
      <c r="CPS97" s="769"/>
      <c r="CPT97" s="769"/>
      <c r="CPU97" s="769"/>
      <c r="CPV97" s="769"/>
      <c r="CPW97" s="769"/>
      <c r="CPX97" s="769"/>
      <c r="CPY97" s="769"/>
      <c r="CPZ97" s="769"/>
      <c r="CQA97" s="769"/>
      <c r="CQB97" s="769"/>
      <c r="CQC97" s="769"/>
      <c r="CQD97" s="769"/>
      <c r="CQE97" s="769"/>
      <c r="CQF97" s="769"/>
      <c r="CQG97" s="769"/>
      <c r="CQH97" s="769"/>
      <c r="CQI97" s="769"/>
      <c r="CQJ97" s="769"/>
      <c r="CQK97" s="769"/>
      <c r="CQL97" s="769"/>
      <c r="CQM97" s="769"/>
      <c r="CQN97" s="769"/>
      <c r="CQO97" s="769"/>
      <c r="CQP97" s="769"/>
      <c r="CQQ97" s="769"/>
      <c r="CQR97" s="769"/>
      <c r="CQS97" s="769"/>
      <c r="CQT97" s="769"/>
      <c r="CQU97" s="769"/>
      <c r="CQV97" s="769"/>
      <c r="CQW97" s="769"/>
      <c r="CQX97" s="769"/>
      <c r="CQY97" s="769"/>
      <c r="CQZ97" s="769"/>
      <c r="CRA97" s="769"/>
      <c r="CRB97" s="769"/>
      <c r="CRC97" s="769"/>
      <c r="CRD97" s="769"/>
      <c r="CRE97" s="769"/>
      <c r="CRF97" s="769"/>
      <c r="CRG97" s="769"/>
      <c r="CRH97" s="769"/>
      <c r="CRI97" s="769"/>
      <c r="CRJ97" s="769"/>
      <c r="CRK97" s="769"/>
      <c r="CRL97" s="769"/>
      <c r="CRM97" s="769"/>
      <c r="CRN97" s="769"/>
      <c r="CRO97" s="769"/>
      <c r="CRP97" s="769"/>
      <c r="CRQ97" s="769"/>
      <c r="CRR97" s="769"/>
      <c r="CRS97" s="769"/>
      <c r="CRT97" s="769"/>
      <c r="CRU97" s="769"/>
      <c r="CRV97" s="769"/>
      <c r="CRW97" s="769"/>
      <c r="CRX97" s="769"/>
      <c r="CRY97" s="769"/>
      <c r="CRZ97" s="769"/>
      <c r="CSA97" s="769"/>
      <c r="CSB97" s="769"/>
      <c r="CSC97" s="769"/>
      <c r="CSD97" s="769"/>
      <c r="CSE97" s="769"/>
      <c r="CSF97" s="769"/>
      <c r="CSG97" s="769"/>
      <c r="CSH97" s="769"/>
      <c r="CSI97" s="769"/>
      <c r="CSJ97" s="769"/>
      <c r="CSK97" s="769"/>
      <c r="CSL97" s="769"/>
      <c r="CSM97" s="769"/>
      <c r="CSN97" s="769"/>
      <c r="CSO97" s="769"/>
      <c r="CSP97" s="769"/>
      <c r="CSQ97" s="769"/>
      <c r="CSR97" s="769"/>
      <c r="CSS97" s="769"/>
      <c r="CST97" s="769"/>
      <c r="CSU97" s="769"/>
      <c r="CSV97" s="769"/>
      <c r="CSW97" s="769"/>
      <c r="CSX97" s="769"/>
      <c r="CSY97" s="769"/>
      <c r="CSZ97" s="769"/>
      <c r="CTA97" s="769"/>
      <c r="CTB97" s="769"/>
      <c r="CTC97" s="769"/>
      <c r="CTD97" s="769"/>
      <c r="CTE97" s="769"/>
      <c r="CTF97" s="769"/>
      <c r="CTG97" s="769"/>
      <c r="CTH97" s="769"/>
      <c r="CTI97" s="769"/>
      <c r="CTJ97" s="769"/>
      <c r="CTK97" s="769"/>
      <c r="CTL97" s="769"/>
      <c r="CTM97" s="769"/>
      <c r="CTN97" s="769"/>
      <c r="CTO97" s="769"/>
      <c r="CTP97" s="769"/>
      <c r="CTQ97" s="769"/>
      <c r="CTR97" s="769"/>
      <c r="CTS97" s="769"/>
      <c r="CTT97" s="769"/>
      <c r="CTU97" s="769"/>
      <c r="CTV97" s="769"/>
      <c r="CTW97" s="769"/>
      <c r="CTX97" s="769"/>
      <c r="CTY97" s="769"/>
      <c r="CTZ97" s="769"/>
      <c r="CUA97" s="769"/>
      <c r="CUB97" s="769"/>
      <c r="CUC97" s="769"/>
      <c r="CUD97" s="769"/>
      <c r="CUE97" s="769"/>
      <c r="CUF97" s="769"/>
      <c r="CUG97" s="769"/>
      <c r="CUH97" s="769"/>
      <c r="CUI97" s="769"/>
      <c r="CUJ97" s="769"/>
      <c r="CUK97" s="769"/>
      <c r="CUL97" s="769"/>
      <c r="CUM97" s="769"/>
      <c r="CUN97" s="769"/>
      <c r="CUO97" s="769"/>
      <c r="CUP97" s="769"/>
      <c r="CUQ97" s="769"/>
      <c r="CUR97" s="769"/>
      <c r="CUS97" s="769"/>
      <c r="CUT97" s="769"/>
      <c r="CUU97" s="769"/>
      <c r="CUV97" s="769"/>
      <c r="CUW97" s="769"/>
      <c r="CUX97" s="769"/>
      <c r="CUY97" s="769"/>
      <c r="CUZ97" s="769"/>
      <c r="CVA97" s="769"/>
      <c r="CVB97" s="769"/>
      <c r="CVC97" s="769"/>
      <c r="CVD97" s="769"/>
      <c r="CVE97" s="769"/>
      <c r="CVF97" s="769"/>
      <c r="CVG97" s="769"/>
      <c r="CVH97" s="769"/>
      <c r="CVI97" s="769"/>
      <c r="CVJ97" s="769"/>
      <c r="CVK97" s="769"/>
      <c r="CVL97" s="769"/>
      <c r="CVM97" s="769"/>
      <c r="CVN97" s="769"/>
      <c r="CVO97" s="769"/>
      <c r="CVP97" s="769"/>
      <c r="CVQ97" s="769"/>
      <c r="CVR97" s="769"/>
      <c r="CVS97" s="769"/>
      <c r="CVT97" s="769"/>
      <c r="CVU97" s="769"/>
      <c r="CVV97" s="769"/>
      <c r="CVW97" s="769"/>
      <c r="CVX97" s="769"/>
      <c r="CVY97" s="769"/>
      <c r="CVZ97" s="769"/>
      <c r="CWA97" s="769"/>
      <c r="CWB97" s="769"/>
      <c r="CWC97" s="769"/>
      <c r="CWD97" s="769"/>
      <c r="CWE97" s="769"/>
      <c r="CWF97" s="769"/>
      <c r="CWG97" s="769"/>
      <c r="CWH97" s="769"/>
      <c r="CWI97" s="769"/>
      <c r="CWJ97" s="769"/>
      <c r="CWK97" s="769"/>
      <c r="CWL97" s="769"/>
      <c r="CWM97" s="769"/>
      <c r="CWN97" s="769"/>
      <c r="CWO97" s="769"/>
      <c r="CWP97" s="769"/>
      <c r="CWQ97" s="769"/>
      <c r="CWR97" s="769"/>
      <c r="CWS97" s="769"/>
      <c r="CWT97" s="769"/>
      <c r="CWU97" s="769"/>
      <c r="CWV97" s="769"/>
      <c r="CWW97" s="769"/>
      <c r="CWX97" s="769"/>
      <c r="CWY97" s="769"/>
      <c r="CWZ97" s="769"/>
      <c r="CXA97" s="769"/>
      <c r="CXB97" s="769"/>
      <c r="CXC97" s="769"/>
      <c r="CXD97" s="769"/>
      <c r="CXE97" s="769"/>
      <c r="CXF97" s="769"/>
      <c r="CXG97" s="769"/>
      <c r="CXH97" s="769"/>
      <c r="CXI97" s="769"/>
      <c r="CXJ97" s="769"/>
      <c r="CXK97" s="769"/>
      <c r="CXL97" s="769"/>
      <c r="CXM97" s="769"/>
      <c r="CXN97" s="769"/>
      <c r="CXO97" s="769"/>
      <c r="CXP97" s="769"/>
      <c r="CXQ97" s="769"/>
      <c r="CXR97" s="769"/>
      <c r="CXS97" s="769"/>
      <c r="CXT97" s="769"/>
      <c r="CXU97" s="769"/>
      <c r="CXV97" s="769"/>
      <c r="CXW97" s="769"/>
      <c r="CXX97" s="769"/>
      <c r="CXY97" s="769"/>
      <c r="CXZ97" s="769"/>
      <c r="CYA97" s="769"/>
      <c r="CYB97" s="769"/>
      <c r="CYC97" s="769"/>
      <c r="CYD97" s="769"/>
      <c r="CYE97" s="769"/>
      <c r="CYF97" s="769"/>
      <c r="CYG97" s="769"/>
      <c r="CYH97" s="769"/>
      <c r="CYI97" s="769"/>
      <c r="CYJ97" s="769"/>
      <c r="CYK97" s="769"/>
      <c r="CYL97" s="769"/>
      <c r="CYM97" s="769"/>
      <c r="CYN97" s="769"/>
      <c r="CYO97" s="769"/>
      <c r="CYP97" s="769"/>
      <c r="CYQ97" s="769"/>
      <c r="CYR97" s="769"/>
      <c r="CYS97" s="769"/>
      <c r="CYT97" s="769"/>
      <c r="CYU97" s="769"/>
      <c r="CYV97" s="769"/>
      <c r="CYW97" s="769"/>
      <c r="CYX97" s="769"/>
      <c r="CYY97" s="769"/>
      <c r="CYZ97" s="769"/>
      <c r="CZA97" s="769"/>
      <c r="CZB97" s="769"/>
      <c r="CZC97" s="769"/>
      <c r="CZD97" s="769"/>
      <c r="CZE97" s="769"/>
      <c r="CZF97" s="769"/>
      <c r="CZG97" s="769"/>
      <c r="CZH97" s="769"/>
      <c r="CZI97" s="769"/>
      <c r="CZJ97" s="769"/>
      <c r="CZK97" s="769"/>
      <c r="CZL97" s="769"/>
      <c r="CZM97" s="769"/>
      <c r="CZN97" s="769"/>
      <c r="CZO97" s="769"/>
      <c r="CZP97" s="769"/>
      <c r="CZQ97" s="769"/>
      <c r="CZR97" s="769"/>
      <c r="CZS97" s="769"/>
      <c r="CZT97" s="769"/>
      <c r="CZU97" s="769"/>
      <c r="CZV97" s="769"/>
      <c r="CZW97" s="769"/>
      <c r="CZX97" s="769"/>
      <c r="CZY97" s="769"/>
      <c r="CZZ97" s="769"/>
      <c r="DAA97" s="769"/>
      <c r="DAB97" s="769"/>
      <c r="DAC97" s="769"/>
      <c r="DAD97" s="769"/>
      <c r="DAE97" s="769"/>
      <c r="DAF97" s="769"/>
      <c r="DAG97" s="769"/>
      <c r="DAH97" s="769"/>
      <c r="DAI97" s="769"/>
      <c r="DAJ97" s="769"/>
      <c r="DAK97" s="769"/>
      <c r="DAL97" s="769"/>
      <c r="DAM97" s="769"/>
      <c r="DAN97" s="769"/>
      <c r="DAO97" s="769"/>
      <c r="DAP97" s="769"/>
      <c r="DAQ97" s="769"/>
      <c r="DAR97" s="769"/>
      <c r="DAS97" s="769"/>
      <c r="DAT97" s="769"/>
      <c r="DAU97" s="769"/>
      <c r="DAV97" s="769"/>
      <c r="DAW97" s="769"/>
      <c r="DAX97" s="769"/>
      <c r="DAY97" s="769"/>
      <c r="DAZ97" s="769"/>
      <c r="DBA97" s="769"/>
      <c r="DBB97" s="769"/>
      <c r="DBC97" s="769"/>
      <c r="DBD97" s="769"/>
      <c r="DBE97" s="769"/>
      <c r="DBF97" s="769"/>
      <c r="DBG97" s="769"/>
      <c r="DBH97" s="769"/>
      <c r="DBI97" s="769"/>
      <c r="DBJ97" s="769"/>
      <c r="DBK97" s="769"/>
      <c r="DBL97" s="769"/>
      <c r="DBM97" s="769"/>
      <c r="DBN97" s="769"/>
      <c r="DBO97" s="769"/>
      <c r="DBP97" s="769"/>
      <c r="DBQ97" s="769"/>
      <c r="DBR97" s="769"/>
      <c r="DBS97" s="769"/>
      <c r="DBT97" s="769"/>
      <c r="DBU97" s="769"/>
      <c r="DBV97" s="769"/>
      <c r="DBW97" s="769"/>
      <c r="DBX97" s="769"/>
      <c r="DBY97" s="769"/>
      <c r="DBZ97" s="769"/>
      <c r="DCA97" s="769"/>
      <c r="DCB97" s="769"/>
      <c r="DCC97" s="769"/>
      <c r="DCD97" s="769"/>
      <c r="DCE97" s="769"/>
      <c r="DCF97" s="769"/>
      <c r="DCG97" s="769"/>
      <c r="DCH97" s="769"/>
      <c r="DCI97" s="769"/>
      <c r="DCJ97" s="769"/>
      <c r="DCK97" s="769"/>
      <c r="DCL97" s="769"/>
      <c r="DCM97" s="769"/>
      <c r="DCN97" s="769"/>
      <c r="DCO97" s="769"/>
      <c r="DCP97" s="769"/>
      <c r="DCQ97" s="769"/>
      <c r="DCR97" s="769"/>
      <c r="DCS97" s="769"/>
      <c r="DCT97" s="769"/>
      <c r="DCU97" s="769"/>
      <c r="DCV97" s="769"/>
      <c r="DCW97" s="769"/>
      <c r="DCX97" s="769"/>
      <c r="DCY97" s="769"/>
      <c r="DCZ97" s="769"/>
      <c r="DDA97" s="769"/>
      <c r="DDB97" s="769"/>
      <c r="DDC97" s="769"/>
      <c r="DDD97" s="769"/>
      <c r="DDE97" s="769"/>
      <c r="DDF97" s="769"/>
      <c r="DDG97" s="769"/>
      <c r="DDH97" s="769"/>
      <c r="DDI97" s="769"/>
      <c r="DDJ97" s="769"/>
      <c r="DDK97" s="769"/>
      <c r="DDL97" s="769"/>
      <c r="DDM97" s="769"/>
      <c r="DDN97" s="769"/>
      <c r="DDO97" s="769"/>
      <c r="DDP97" s="769"/>
      <c r="DDQ97" s="769"/>
      <c r="DDR97" s="769"/>
      <c r="DDS97" s="769"/>
      <c r="DDT97" s="769"/>
      <c r="DDU97" s="769"/>
      <c r="DDV97" s="769"/>
      <c r="DDW97" s="769"/>
      <c r="DDX97" s="769"/>
      <c r="DDY97" s="769"/>
      <c r="DDZ97" s="769"/>
      <c r="DEA97" s="769"/>
      <c r="DEB97" s="769"/>
      <c r="DEC97" s="769"/>
      <c r="DED97" s="769"/>
      <c r="DEE97" s="769"/>
      <c r="DEF97" s="769"/>
      <c r="DEG97" s="769"/>
      <c r="DEH97" s="769"/>
      <c r="DEI97" s="769"/>
      <c r="DEJ97" s="769"/>
      <c r="DEK97" s="769"/>
      <c r="DEL97" s="769"/>
      <c r="DEM97" s="769"/>
      <c r="DEN97" s="769"/>
      <c r="DEO97" s="769"/>
      <c r="DEP97" s="769"/>
      <c r="DEQ97" s="769"/>
      <c r="DER97" s="769"/>
      <c r="DES97" s="769"/>
      <c r="DET97" s="769"/>
      <c r="DEU97" s="769"/>
      <c r="DEV97" s="769"/>
      <c r="DEW97" s="769"/>
      <c r="DEX97" s="769"/>
      <c r="DEY97" s="769"/>
      <c r="DEZ97" s="769"/>
      <c r="DFA97" s="769"/>
      <c r="DFB97" s="769"/>
      <c r="DFC97" s="769"/>
      <c r="DFD97" s="769"/>
      <c r="DFE97" s="769"/>
      <c r="DFF97" s="769"/>
      <c r="DFG97" s="769"/>
      <c r="DFH97" s="769"/>
      <c r="DFI97" s="769"/>
      <c r="DFJ97" s="769"/>
      <c r="DFK97" s="769"/>
      <c r="DFL97" s="769"/>
      <c r="DFM97" s="769"/>
      <c r="DFN97" s="769"/>
      <c r="DFO97" s="769"/>
      <c r="DFP97" s="769"/>
      <c r="DFQ97" s="769"/>
      <c r="DFR97" s="769"/>
      <c r="DFS97" s="769"/>
      <c r="DFT97" s="769"/>
      <c r="DFU97" s="769"/>
      <c r="DFV97" s="769"/>
      <c r="DFW97" s="769"/>
      <c r="DFX97" s="769"/>
      <c r="DFY97" s="769"/>
      <c r="DFZ97" s="769"/>
      <c r="DGA97" s="769"/>
      <c r="DGB97" s="769"/>
      <c r="DGC97" s="769"/>
      <c r="DGD97" s="769"/>
      <c r="DGE97" s="769"/>
      <c r="DGF97" s="769"/>
      <c r="DGG97" s="769"/>
      <c r="DGH97" s="769"/>
      <c r="DGI97" s="769"/>
      <c r="DGJ97" s="769"/>
      <c r="DGK97" s="769"/>
      <c r="DGL97" s="769"/>
      <c r="DGM97" s="769"/>
      <c r="DGN97" s="769"/>
      <c r="DGO97" s="769"/>
      <c r="DGP97" s="769"/>
      <c r="DGQ97" s="769"/>
      <c r="DGR97" s="769"/>
      <c r="DGS97" s="769"/>
      <c r="DGT97" s="769"/>
      <c r="DGU97" s="769"/>
      <c r="DGV97" s="769"/>
      <c r="DGW97" s="769"/>
      <c r="DGX97" s="769"/>
      <c r="DGY97" s="769"/>
      <c r="DGZ97" s="769"/>
      <c r="DHA97" s="769"/>
      <c r="DHB97" s="769"/>
      <c r="DHC97" s="769"/>
      <c r="DHD97" s="769"/>
      <c r="DHE97" s="769"/>
      <c r="DHF97" s="769"/>
      <c r="DHG97" s="769"/>
      <c r="DHH97" s="769"/>
      <c r="DHI97" s="769"/>
      <c r="DHJ97" s="769"/>
      <c r="DHK97" s="769"/>
      <c r="DHL97" s="769"/>
      <c r="DHM97" s="769"/>
      <c r="DHN97" s="769"/>
      <c r="DHO97" s="769"/>
      <c r="DHP97" s="769"/>
      <c r="DHQ97" s="769"/>
      <c r="DHR97" s="769"/>
      <c r="DHS97" s="769"/>
      <c r="DHT97" s="769"/>
      <c r="DHU97" s="769"/>
      <c r="DHV97" s="769"/>
      <c r="DHW97" s="769"/>
      <c r="DHX97" s="769"/>
      <c r="DHY97" s="769"/>
      <c r="DHZ97" s="769"/>
      <c r="DIA97" s="769"/>
      <c r="DIB97" s="769"/>
      <c r="DIC97" s="769"/>
      <c r="DID97" s="769"/>
      <c r="DIE97" s="769"/>
      <c r="DIF97" s="769"/>
      <c r="DIG97" s="769"/>
      <c r="DIH97" s="769"/>
      <c r="DII97" s="769"/>
      <c r="DIJ97" s="769"/>
      <c r="DIK97" s="769"/>
      <c r="DIL97" s="769"/>
      <c r="DIM97" s="769"/>
      <c r="DIN97" s="769"/>
      <c r="DIO97" s="769"/>
      <c r="DIP97" s="769"/>
      <c r="DIQ97" s="769"/>
      <c r="DIR97" s="769"/>
      <c r="DIS97" s="769"/>
      <c r="DIT97" s="769"/>
      <c r="DIU97" s="769"/>
      <c r="DIV97" s="769"/>
      <c r="DIW97" s="769"/>
      <c r="DIX97" s="769"/>
      <c r="DIY97" s="769"/>
      <c r="DIZ97" s="769"/>
      <c r="DJA97" s="769"/>
      <c r="DJB97" s="769"/>
      <c r="DJC97" s="769"/>
      <c r="DJD97" s="769"/>
      <c r="DJE97" s="769"/>
      <c r="DJF97" s="769"/>
      <c r="DJG97" s="769"/>
      <c r="DJH97" s="769"/>
      <c r="DJI97" s="769"/>
      <c r="DJJ97" s="769"/>
      <c r="DJK97" s="769"/>
      <c r="DJL97" s="769"/>
      <c r="DJM97" s="769"/>
      <c r="DJN97" s="769"/>
      <c r="DJO97" s="769"/>
      <c r="DJP97" s="769"/>
      <c r="DJQ97" s="769"/>
      <c r="DJR97" s="769"/>
      <c r="DJS97" s="769"/>
      <c r="DJT97" s="769"/>
      <c r="DJU97" s="769"/>
      <c r="DJV97" s="769"/>
      <c r="DJW97" s="769"/>
      <c r="DJX97" s="769"/>
      <c r="DJY97" s="769"/>
      <c r="DJZ97" s="769"/>
      <c r="DKA97" s="769"/>
      <c r="DKB97" s="769"/>
      <c r="DKC97" s="769"/>
      <c r="DKD97" s="769"/>
      <c r="DKE97" s="769"/>
      <c r="DKF97" s="769"/>
      <c r="DKG97" s="769"/>
      <c r="DKH97" s="769"/>
      <c r="DKI97" s="769"/>
      <c r="DKJ97" s="769"/>
      <c r="DKK97" s="769"/>
      <c r="DKL97" s="769"/>
      <c r="DKM97" s="769"/>
      <c r="DKN97" s="769"/>
      <c r="DKO97" s="769"/>
      <c r="DKP97" s="769"/>
      <c r="DKQ97" s="769"/>
      <c r="DKR97" s="769"/>
      <c r="DKS97" s="769"/>
      <c r="DKT97" s="769"/>
      <c r="DKU97" s="769"/>
      <c r="DKV97" s="769"/>
      <c r="DKW97" s="769"/>
      <c r="DKX97" s="769"/>
      <c r="DKY97" s="769"/>
      <c r="DKZ97" s="769"/>
      <c r="DLA97" s="769"/>
      <c r="DLB97" s="769"/>
      <c r="DLC97" s="769"/>
      <c r="DLD97" s="769"/>
      <c r="DLE97" s="769"/>
      <c r="DLF97" s="769"/>
      <c r="DLG97" s="769"/>
      <c r="DLH97" s="769"/>
      <c r="DLI97" s="769"/>
      <c r="DLJ97" s="769"/>
      <c r="DLK97" s="769"/>
      <c r="DLL97" s="769"/>
      <c r="DLM97" s="769"/>
      <c r="DLN97" s="769"/>
      <c r="DLO97" s="769"/>
      <c r="DLP97" s="769"/>
      <c r="DLQ97" s="769"/>
      <c r="DLR97" s="769"/>
      <c r="DLS97" s="769"/>
      <c r="DLT97" s="769"/>
      <c r="DLU97" s="769"/>
      <c r="DLV97" s="769"/>
      <c r="DLW97" s="769"/>
      <c r="DLX97" s="769"/>
      <c r="DLY97" s="769"/>
      <c r="DLZ97" s="769"/>
      <c r="DMA97" s="769"/>
      <c r="DMB97" s="769"/>
      <c r="DMC97" s="769"/>
      <c r="DMD97" s="769"/>
      <c r="DME97" s="769"/>
      <c r="DMF97" s="769"/>
      <c r="DMG97" s="769"/>
      <c r="DMH97" s="769"/>
      <c r="DMI97" s="769"/>
      <c r="DMJ97" s="769"/>
      <c r="DMK97" s="769"/>
      <c r="DML97" s="769"/>
      <c r="DMM97" s="769"/>
      <c r="DMN97" s="769"/>
      <c r="DMO97" s="769"/>
      <c r="DMP97" s="769"/>
      <c r="DMQ97" s="769"/>
      <c r="DMR97" s="769"/>
      <c r="DMS97" s="769"/>
      <c r="DMT97" s="769"/>
      <c r="DMU97" s="769"/>
      <c r="DMV97" s="769"/>
      <c r="DMW97" s="769"/>
      <c r="DMX97" s="769"/>
      <c r="DMY97" s="769"/>
      <c r="DMZ97" s="769"/>
      <c r="DNA97" s="769"/>
      <c r="DNB97" s="769"/>
      <c r="DNC97" s="769"/>
      <c r="DND97" s="769"/>
      <c r="DNE97" s="769"/>
      <c r="DNF97" s="769"/>
      <c r="DNG97" s="769"/>
      <c r="DNH97" s="769"/>
      <c r="DNI97" s="769"/>
      <c r="DNJ97" s="769"/>
      <c r="DNK97" s="769"/>
      <c r="DNL97" s="769"/>
      <c r="DNM97" s="769"/>
      <c r="DNN97" s="769"/>
      <c r="DNO97" s="769"/>
      <c r="DNP97" s="769"/>
      <c r="DNQ97" s="769"/>
      <c r="DNR97" s="769"/>
      <c r="DNS97" s="769"/>
      <c r="DNT97" s="769"/>
      <c r="DNU97" s="769"/>
      <c r="DNV97" s="769"/>
      <c r="DNW97" s="769"/>
      <c r="DNX97" s="769"/>
      <c r="DNY97" s="769"/>
      <c r="DNZ97" s="769"/>
      <c r="DOA97" s="769"/>
      <c r="DOB97" s="769"/>
      <c r="DOC97" s="769"/>
      <c r="DOD97" s="769"/>
      <c r="DOE97" s="769"/>
      <c r="DOF97" s="769"/>
      <c r="DOG97" s="769"/>
      <c r="DOH97" s="769"/>
      <c r="DOI97" s="769"/>
      <c r="DOJ97" s="769"/>
      <c r="DOK97" s="769"/>
      <c r="DOL97" s="769"/>
      <c r="DOM97" s="769"/>
      <c r="DON97" s="769"/>
      <c r="DOO97" s="769"/>
      <c r="DOP97" s="769"/>
      <c r="DOQ97" s="769"/>
      <c r="DOR97" s="769"/>
      <c r="DOS97" s="769"/>
      <c r="DOT97" s="769"/>
      <c r="DOU97" s="769"/>
      <c r="DOV97" s="769"/>
      <c r="DOW97" s="769"/>
      <c r="DOX97" s="769"/>
      <c r="DOY97" s="769"/>
      <c r="DOZ97" s="769"/>
      <c r="DPA97" s="769"/>
      <c r="DPB97" s="769"/>
      <c r="DPC97" s="769"/>
      <c r="DPD97" s="769"/>
      <c r="DPE97" s="769"/>
      <c r="DPF97" s="769"/>
      <c r="DPG97" s="769"/>
      <c r="DPH97" s="769"/>
      <c r="DPI97" s="769"/>
      <c r="DPJ97" s="769"/>
      <c r="DPK97" s="769"/>
      <c r="DPL97" s="769"/>
      <c r="DPM97" s="769"/>
      <c r="DPN97" s="769"/>
      <c r="DPO97" s="769"/>
      <c r="DPP97" s="769"/>
      <c r="DPQ97" s="769"/>
      <c r="DPR97" s="769"/>
      <c r="DPS97" s="769"/>
      <c r="DPT97" s="769"/>
      <c r="DPU97" s="769"/>
      <c r="DPV97" s="769"/>
      <c r="DPW97" s="769"/>
      <c r="DPX97" s="769"/>
      <c r="DPY97" s="769"/>
      <c r="DPZ97" s="769"/>
      <c r="DQA97" s="769"/>
      <c r="DQB97" s="769"/>
      <c r="DQC97" s="769"/>
      <c r="DQD97" s="769"/>
      <c r="DQE97" s="769"/>
      <c r="DQF97" s="769"/>
      <c r="DQG97" s="769"/>
      <c r="DQH97" s="769"/>
      <c r="DQI97" s="769"/>
      <c r="DQJ97" s="769"/>
      <c r="DQK97" s="769"/>
      <c r="DQL97" s="769"/>
      <c r="DQM97" s="769"/>
      <c r="DQN97" s="769"/>
      <c r="DQO97" s="769"/>
      <c r="DQP97" s="769"/>
      <c r="DQQ97" s="769"/>
      <c r="DQR97" s="769"/>
      <c r="DQS97" s="769"/>
      <c r="DQT97" s="769"/>
      <c r="DQU97" s="769"/>
      <c r="DQV97" s="769"/>
      <c r="DQW97" s="769"/>
      <c r="DQX97" s="769"/>
      <c r="DQY97" s="769"/>
      <c r="DQZ97" s="769"/>
      <c r="DRA97" s="769"/>
      <c r="DRB97" s="769"/>
      <c r="DRC97" s="769"/>
      <c r="DRD97" s="769"/>
      <c r="DRE97" s="769"/>
      <c r="DRF97" s="769"/>
      <c r="DRG97" s="769"/>
      <c r="DRH97" s="769"/>
      <c r="DRI97" s="769"/>
      <c r="DRJ97" s="769"/>
      <c r="DRK97" s="769"/>
      <c r="DRL97" s="769"/>
      <c r="DRM97" s="769"/>
      <c r="DRN97" s="769"/>
      <c r="DRO97" s="769"/>
      <c r="DRP97" s="769"/>
      <c r="DRQ97" s="769"/>
      <c r="DRR97" s="769"/>
      <c r="DRS97" s="769"/>
      <c r="DRT97" s="769"/>
      <c r="DRU97" s="769"/>
      <c r="DRV97" s="769"/>
      <c r="DRW97" s="769"/>
      <c r="DRX97" s="769"/>
      <c r="DRY97" s="769"/>
      <c r="DRZ97" s="769"/>
      <c r="DSA97" s="769"/>
      <c r="DSB97" s="769"/>
      <c r="DSC97" s="769"/>
      <c r="DSD97" s="769"/>
      <c r="DSE97" s="769"/>
      <c r="DSF97" s="769"/>
      <c r="DSG97" s="769"/>
      <c r="DSH97" s="769"/>
      <c r="DSI97" s="769"/>
      <c r="DSJ97" s="769"/>
      <c r="DSK97" s="769"/>
      <c r="DSL97" s="769"/>
      <c r="DSM97" s="769"/>
      <c r="DSN97" s="769"/>
      <c r="DSO97" s="769"/>
      <c r="DSP97" s="769"/>
      <c r="DSQ97" s="769"/>
      <c r="DSR97" s="769"/>
      <c r="DSS97" s="769"/>
      <c r="DST97" s="769"/>
      <c r="DSU97" s="769"/>
      <c r="DSV97" s="769"/>
      <c r="DSW97" s="769"/>
      <c r="DSX97" s="769"/>
      <c r="DSY97" s="769"/>
      <c r="DSZ97" s="769"/>
      <c r="DTA97" s="769"/>
      <c r="DTB97" s="769"/>
      <c r="DTC97" s="769"/>
      <c r="DTD97" s="769"/>
      <c r="DTE97" s="769"/>
      <c r="DTF97" s="769"/>
      <c r="DTG97" s="769"/>
      <c r="DTH97" s="769"/>
      <c r="DTI97" s="769"/>
      <c r="DTJ97" s="769"/>
      <c r="DTK97" s="769"/>
      <c r="DTL97" s="769"/>
      <c r="DTM97" s="769"/>
      <c r="DTN97" s="769"/>
      <c r="DTO97" s="769"/>
      <c r="DTP97" s="769"/>
      <c r="DTQ97" s="769"/>
      <c r="DTR97" s="769"/>
      <c r="DTS97" s="769"/>
      <c r="DTT97" s="769"/>
      <c r="DTU97" s="769"/>
      <c r="DTV97" s="769"/>
      <c r="DTW97" s="769"/>
      <c r="DTX97" s="769"/>
      <c r="DTY97" s="769"/>
      <c r="DTZ97" s="769"/>
      <c r="DUA97" s="769"/>
      <c r="DUB97" s="769"/>
      <c r="DUC97" s="769"/>
      <c r="DUD97" s="769"/>
      <c r="DUE97" s="769"/>
      <c r="DUF97" s="769"/>
      <c r="DUG97" s="769"/>
      <c r="DUH97" s="769"/>
      <c r="DUI97" s="769"/>
      <c r="DUJ97" s="769"/>
      <c r="DUK97" s="769"/>
      <c r="DUL97" s="769"/>
      <c r="DUM97" s="769"/>
      <c r="DUN97" s="769"/>
      <c r="DUO97" s="769"/>
      <c r="DUP97" s="769"/>
      <c r="DUQ97" s="769"/>
      <c r="DUR97" s="769"/>
      <c r="DUS97" s="769"/>
      <c r="DUT97" s="769"/>
      <c r="DUU97" s="769"/>
      <c r="DUV97" s="769"/>
      <c r="DUW97" s="769"/>
      <c r="DUX97" s="769"/>
      <c r="DUY97" s="769"/>
      <c r="DUZ97" s="769"/>
      <c r="DVA97" s="769"/>
      <c r="DVB97" s="769"/>
      <c r="DVC97" s="769"/>
      <c r="DVD97" s="769"/>
      <c r="DVE97" s="769"/>
      <c r="DVF97" s="769"/>
      <c r="DVG97" s="769"/>
      <c r="DVH97" s="769"/>
      <c r="DVI97" s="769"/>
      <c r="DVJ97" s="769"/>
      <c r="DVK97" s="769"/>
      <c r="DVL97" s="769"/>
      <c r="DVM97" s="769"/>
      <c r="DVN97" s="769"/>
      <c r="DVO97" s="769"/>
      <c r="DVP97" s="769"/>
      <c r="DVQ97" s="769"/>
      <c r="DVR97" s="769"/>
      <c r="DVS97" s="769"/>
      <c r="DVT97" s="769"/>
      <c r="DVU97" s="769"/>
      <c r="DVV97" s="769"/>
      <c r="DVW97" s="769"/>
      <c r="DVX97" s="769"/>
      <c r="DVY97" s="769"/>
      <c r="DVZ97" s="769"/>
      <c r="DWA97" s="769"/>
      <c r="DWB97" s="769"/>
      <c r="DWC97" s="769"/>
      <c r="DWD97" s="769"/>
      <c r="DWE97" s="769"/>
      <c r="DWF97" s="769"/>
      <c r="DWG97" s="769"/>
      <c r="DWH97" s="769"/>
      <c r="DWI97" s="769"/>
      <c r="DWJ97" s="769"/>
      <c r="DWK97" s="769"/>
      <c r="DWL97" s="769"/>
      <c r="DWM97" s="769"/>
      <c r="DWN97" s="769"/>
      <c r="DWO97" s="769"/>
      <c r="DWP97" s="769"/>
      <c r="DWQ97" s="769"/>
      <c r="DWR97" s="769"/>
      <c r="DWS97" s="769"/>
      <c r="DWT97" s="769"/>
      <c r="DWU97" s="769"/>
      <c r="DWV97" s="769"/>
      <c r="DWW97" s="769"/>
      <c r="DWX97" s="769"/>
      <c r="DWY97" s="769"/>
      <c r="DWZ97" s="769"/>
      <c r="DXA97" s="769"/>
      <c r="DXB97" s="769"/>
      <c r="DXC97" s="769"/>
      <c r="DXD97" s="769"/>
      <c r="DXE97" s="769"/>
      <c r="DXF97" s="769"/>
      <c r="DXG97" s="769"/>
      <c r="DXH97" s="769"/>
      <c r="DXI97" s="769"/>
      <c r="DXJ97" s="769"/>
      <c r="DXK97" s="769"/>
      <c r="DXL97" s="769"/>
      <c r="DXM97" s="769"/>
      <c r="DXN97" s="769"/>
      <c r="DXO97" s="769"/>
      <c r="DXP97" s="769"/>
      <c r="DXQ97" s="769"/>
      <c r="DXR97" s="769"/>
      <c r="DXS97" s="769"/>
      <c r="DXT97" s="769"/>
      <c r="DXU97" s="769"/>
      <c r="DXV97" s="769"/>
      <c r="DXW97" s="769"/>
      <c r="DXX97" s="769"/>
      <c r="DXY97" s="769"/>
      <c r="DXZ97" s="769"/>
      <c r="DYA97" s="769"/>
      <c r="DYB97" s="769"/>
      <c r="DYC97" s="769"/>
      <c r="DYD97" s="769"/>
      <c r="DYE97" s="769"/>
      <c r="DYF97" s="769"/>
      <c r="DYG97" s="769"/>
      <c r="DYH97" s="769"/>
      <c r="DYI97" s="769"/>
      <c r="DYJ97" s="769"/>
      <c r="DYK97" s="769"/>
      <c r="DYL97" s="769"/>
      <c r="DYM97" s="769"/>
      <c r="DYN97" s="769"/>
      <c r="DYO97" s="769"/>
      <c r="DYP97" s="769"/>
      <c r="DYQ97" s="769"/>
      <c r="DYR97" s="769"/>
      <c r="DYS97" s="769"/>
      <c r="DYT97" s="769"/>
      <c r="DYU97" s="769"/>
      <c r="DYV97" s="769"/>
      <c r="DYW97" s="769"/>
      <c r="DYX97" s="769"/>
      <c r="DYY97" s="769"/>
      <c r="DYZ97" s="769"/>
      <c r="DZA97" s="769"/>
      <c r="DZB97" s="769"/>
      <c r="DZC97" s="769"/>
      <c r="DZD97" s="769"/>
      <c r="DZE97" s="769"/>
      <c r="DZF97" s="769"/>
      <c r="DZG97" s="769"/>
      <c r="DZH97" s="769"/>
      <c r="DZI97" s="769"/>
      <c r="DZJ97" s="769"/>
      <c r="DZK97" s="769"/>
      <c r="DZL97" s="769"/>
      <c r="DZM97" s="769"/>
      <c r="DZN97" s="769"/>
      <c r="DZO97" s="769"/>
      <c r="DZP97" s="769"/>
      <c r="DZQ97" s="769"/>
      <c r="DZR97" s="769"/>
      <c r="DZS97" s="769"/>
      <c r="DZT97" s="769"/>
      <c r="DZU97" s="769"/>
      <c r="DZV97" s="769"/>
      <c r="DZW97" s="769"/>
      <c r="DZX97" s="769"/>
      <c r="DZY97" s="769"/>
      <c r="DZZ97" s="769"/>
      <c r="EAA97" s="769"/>
      <c r="EAB97" s="769"/>
      <c r="EAC97" s="769"/>
      <c r="EAD97" s="769"/>
      <c r="EAE97" s="769"/>
      <c r="EAF97" s="769"/>
      <c r="EAG97" s="769"/>
      <c r="EAH97" s="769"/>
      <c r="EAI97" s="769"/>
      <c r="EAJ97" s="769"/>
      <c r="EAK97" s="769"/>
      <c r="EAL97" s="769"/>
      <c r="EAM97" s="769"/>
      <c r="EAN97" s="769"/>
      <c r="EAO97" s="769"/>
      <c r="EAP97" s="769"/>
      <c r="EAQ97" s="769"/>
      <c r="EAR97" s="769"/>
      <c r="EAS97" s="769"/>
      <c r="EAT97" s="769"/>
      <c r="EAU97" s="769"/>
      <c r="EAV97" s="769"/>
      <c r="EAW97" s="769"/>
      <c r="EAX97" s="769"/>
      <c r="EAY97" s="769"/>
      <c r="EAZ97" s="769"/>
      <c r="EBA97" s="769"/>
      <c r="EBB97" s="769"/>
      <c r="EBC97" s="769"/>
      <c r="EBD97" s="769"/>
      <c r="EBE97" s="769"/>
      <c r="EBF97" s="769"/>
      <c r="EBG97" s="769"/>
      <c r="EBH97" s="769"/>
      <c r="EBI97" s="769"/>
      <c r="EBJ97" s="769"/>
      <c r="EBK97" s="769"/>
      <c r="EBL97" s="769"/>
      <c r="EBM97" s="769"/>
      <c r="EBN97" s="769"/>
      <c r="EBO97" s="769"/>
      <c r="EBP97" s="769"/>
      <c r="EBQ97" s="769"/>
      <c r="EBR97" s="769"/>
      <c r="EBS97" s="769"/>
      <c r="EBT97" s="769"/>
      <c r="EBU97" s="769"/>
      <c r="EBV97" s="769"/>
      <c r="EBW97" s="769"/>
      <c r="EBX97" s="769"/>
      <c r="EBY97" s="769"/>
      <c r="EBZ97" s="769"/>
      <c r="ECA97" s="769"/>
      <c r="ECB97" s="769"/>
      <c r="ECC97" s="769"/>
      <c r="ECD97" s="769"/>
      <c r="ECE97" s="769"/>
      <c r="ECF97" s="769"/>
      <c r="ECG97" s="769"/>
      <c r="ECH97" s="769"/>
      <c r="ECI97" s="769"/>
      <c r="ECJ97" s="769"/>
      <c r="ECK97" s="769"/>
      <c r="ECL97" s="769"/>
      <c r="ECM97" s="769"/>
      <c r="ECN97" s="769"/>
      <c r="ECO97" s="769"/>
      <c r="ECP97" s="769"/>
      <c r="ECQ97" s="769"/>
      <c r="ECR97" s="769"/>
      <c r="ECS97" s="769"/>
      <c r="ECT97" s="769"/>
      <c r="ECU97" s="769"/>
      <c r="ECV97" s="769"/>
      <c r="ECW97" s="769"/>
      <c r="ECX97" s="769"/>
      <c r="ECY97" s="769"/>
      <c r="ECZ97" s="769"/>
      <c r="EDA97" s="769"/>
      <c r="EDB97" s="769"/>
      <c r="EDC97" s="769"/>
      <c r="EDD97" s="769"/>
      <c r="EDE97" s="769"/>
      <c r="EDF97" s="769"/>
      <c r="EDG97" s="769"/>
      <c r="EDH97" s="769"/>
      <c r="EDI97" s="769"/>
      <c r="EDJ97" s="769"/>
      <c r="EDK97" s="769"/>
      <c r="EDL97" s="769"/>
      <c r="EDM97" s="769"/>
      <c r="EDN97" s="769"/>
      <c r="EDO97" s="769"/>
      <c r="EDP97" s="769"/>
      <c r="EDQ97" s="769"/>
      <c r="EDR97" s="769"/>
      <c r="EDS97" s="769"/>
      <c r="EDT97" s="769"/>
      <c r="EDU97" s="769"/>
      <c r="EDV97" s="769"/>
      <c r="EDW97" s="769"/>
      <c r="EDX97" s="769"/>
      <c r="EDY97" s="769"/>
      <c r="EDZ97" s="769"/>
      <c r="EEA97" s="769"/>
      <c r="EEB97" s="769"/>
      <c r="EEC97" s="769"/>
      <c r="EED97" s="769"/>
      <c r="EEE97" s="769"/>
      <c r="EEF97" s="769"/>
      <c r="EEG97" s="769"/>
      <c r="EEH97" s="769"/>
      <c r="EEI97" s="769"/>
      <c r="EEJ97" s="769"/>
      <c r="EEK97" s="769"/>
      <c r="EEL97" s="769"/>
      <c r="EEM97" s="769"/>
      <c r="EEN97" s="769"/>
      <c r="EEO97" s="769"/>
      <c r="EEP97" s="769"/>
      <c r="EEQ97" s="769"/>
      <c r="EER97" s="769"/>
      <c r="EES97" s="769"/>
      <c r="EET97" s="769"/>
      <c r="EEU97" s="769"/>
      <c r="EEV97" s="769"/>
      <c r="EEW97" s="769"/>
      <c r="EEX97" s="769"/>
      <c r="EEY97" s="769"/>
      <c r="EEZ97" s="769"/>
      <c r="EFA97" s="769"/>
      <c r="EFB97" s="769"/>
      <c r="EFC97" s="769"/>
      <c r="EFD97" s="769"/>
      <c r="EFE97" s="769"/>
      <c r="EFF97" s="769"/>
      <c r="EFG97" s="769"/>
      <c r="EFH97" s="769"/>
      <c r="EFI97" s="769"/>
      <c r="EFJ97" s="769"/>
      <c r="EFK97" s="769"/>
      <c r="EFL97" s="769"/>
      <c r="EFM97" s="769"/>
      <c r="EFN97" s="769"/>
      <c r="EFO97" s="769"/>
      <c r="EFP97" s="769"/>
      <c r="EFQ97" s="769"/>
      <c r="EFR97" s="769"/>
      <c r="EFS97" s="769"/>
      <c r="EFT97" s="769"/>
      <c r="EFU97" s="769"/>
      <c r="EFV97" s="769"/>
      <c r="EFW97" s="769"/>
      <c r="EFX97" s="769"/>
      <c r="EFY97" s="769"/>
      <c r="EFZ97" s="769"/>
      <c r="EGA97" s="769"/>
      <c r="EGB97" s="769"/>
      <c r="EGC97" s="769"/>
      <c r="EGD97" s="769"/>
      <c r="EGE97" s="769"/>
      <c r="EGF97" s="769"/>
      <c r="EGG97" s="769"/>
      <c r="EGH97" s="769"/>
      <c r="EGI97" s="769"/>
      <c r="EGJ97" s="769"/>
      <c r="EGK97" s="769"/>
      <c r="EGL97" s="769"/>
      <c r="EGM97" s="769"/>
      <c r="EGN97" s="769"/>
      <c r="EGO97" s="769"/>
      <c r="EGP97" s="769"/>
      <c r="EGQ97" s="769"/>
      <c r="EGR97" s="769"/>
      <c r="EGS97" s="769"/>
      <c r="EGT97" s="769"/>
      <c r="EGU97" s="769"/>
      <c r="EGV97" s="769"/>
      <c r="EGW97" s="769"/>
      <c r="EGX97" s="769"/>
      <c r="EGY97" s="769"/>
      <c r="EGZ97" s="769"/>
      <c r="EHA97" s="769"/>
      <c r="EHB97" s="769"/>
      <c r="EHC97" s="769"/>
      <c r="EHD97" s="769"/>
      <c r="EHE97" s="769"/>
      <c r="EHF97" s="769"/>
      <c r="EHG97" s="769"/>
      <c r="EHH97" s="769"/>
      <c r="EHI97" s="769"/>
      <c r="EHJ97" s="769"/>
      <c r="EHK97" s="769"/>
      <c r="EHL97" s="769"/>
      <c r="EHM97" s="769"/>
      <c r="EHN97" s="769"/>
      <c r="EHO97" s="769"/>
      <c r="EHP97" s="769"/>
      <c r="EHQ97" s="769"/>
      <c r="EHR97" s="769"/>
      <c r="EHS97" s="769"/>
      <c r="EHT97" s="769"/>
      <c r="EHU97" s="769"/>
      <c r="EHV97" s="769"/>
      <c r="EHW97" s="769"/>
      <c r="EHX97" s="769"/>
      <c r="EHY97" s="769"/>
      <c r="EHZ97" s="769"/>
      <c r="EIA97" s="769"/>
      <c r="EIB97" s="769"/>
      <c r="EIC97" s="769"/>
      <c r="EID97" s="769"/>
      <c r="EIE97" s="769"/>
      <c r="EIF97" s="769"/>
      <c r="EIG97" s="769"/>
      <c r="EIH97" s="769"/>
      <c r="EII97" s="769"/>
      <c r="EIJ97" s="769"/>
      <c r="EIK97" s="769"/>
      <c r="EIL97" s="769"/>
      <c r="EIM97" s="769"/>
      <c r="EIN97" s="769"/>
      <c r="EIO97" s="769"/>
      <c r="EIP97" s="769"/>
      <c r="EIQ97" s="769"/>
      <c r="EIR97" s="769"/>
      <c r="EIS97" s="769"/>
      <c r="EIT97" s="769"/>
      <c r="EIU97" s="769"/>
      <c r="EIV97" s="769"/>
      <c r="EIW97" s="769"/>
      <c r="EIX97" s="769"/>
      <c r="EIY97" s="769"/>
      <c r="EIZ97" s="769"/>
      <c r="EJA97" s="769"/>
      <c r="EJB97" s="769"/>
      <c r="EJC97" s="769"/>
      <c r="EJD97" s="769"/>
      <c r="EJE97" s="769"/>
      <c r="EJF97" s="769"/>
      <c r="EJG97" s="769"/>
      <c r="EJH97" s="769"/>
      <c r="EJI97" s="769"/>
      <c r="EJJ97" s="769"/>
      <c r="EJK97" s="769"/>
      <c r="EJL97" s="769"/>
      <c r="EJM97" s="769"/>
      <c r="EJN97" s="769"/>
      <c r="EJO97" s="769"/>
      <c r="EJP97" s="769"/>
      <c r="EJQ97" s="769"/>
      <c r="EJR97" s="769"/>
      <c r="EJS97" s="769"/>
      <c r="EJT97" s="769"/>
      <c r="EJU97" s="769"/>
      <c r="EJV97" s="769"/>
      <c r="EJW97" s="769"/>
      <c r="EJX97" s="769"/>
      <c r="EJY97" s="769"/>
      <c r="EJZ97" s="769"/>
      <c r="EKA97" s="769"/>
      <c r="EKB97" s="769"/>
      <c r="EKC97" s="769"/>
      <c r="EKD97" s="769"/>
      <c r="EKE97" s="769"/>
      <c r="EKF97" s="769"/>
      <c r="EKG97" s="769"/>
      <c r="EKH97" s="769"/>
      <c r="EKI97" s="769"/>
      <c r="EKJ97" s="769"/>
      <c r="EKK97" s="769"/>
      <c r="EKL97" s="769"/>
      <c r="EKM97" s="769"/>
      <c r="EKN97" s="769"/>
      <c r="EKO97" s="769"/>
      <c r="EKP97" s="769"/>
      <c r="EKQ97" s="769"/>
      <c r="EKR97" s="769"/>
      <c r="EKS97" s="769"/>
      <c r="EKT97" s="769"/>
      <c r="EKU97" s="769"/>
      <c r="EKV97" s="769"/>
      <c r="EKW97" s="769"/>
      <c r="EKX97" s="769"/>
      <c r="EKY97" s="769"/>
      <c r="EKZ97" s="769"/>
      <c r="ELA97" s="769"/>
      <c r="ELB97" s="769"/>
      <c r="ELC97" s="769"/>
      <c r="ELD97" s="769"/>
      <c r="ELE97" s="769"/>
      <c r="ELF97" s="769"/>
      <c r="ELG97" s="769"/>
      <c r="ELH97" s="769"/>
      <c r="ELI97" s="769"/>
      <c r="ELJ97" s="769"/>
      <c r="ELK97" s="769"/>
      <c r="ELL97" s="769"/>
      <c r="ELM97" s="769"/>
      <c r="ELN97" s="769"/>
      <c r="ELO97" s="769"/>
      <c r="ELP97" s="769"/>
      <c r="ELQ97" s="769"/>
      <c r="ELR97" s="769"/>
      <c r="ELS97" s="769"/>
      <c r="ELT97" s="769"/>
      <c r="ELU97" s="769"/>
      <c r="ELV97" s="769"/>
      <c r="ELW97" s="769"/>
      <c r="ELX97" s="769"/>
      <c r="ELY97" s="769"/>
      <c r="ELZ97" s="769"/>
      <c r="EMA97" s="769"/>
      <c r="EMB97" s="769"/>
      <c r="EMC97" s="769"/>
      <c r="EMD97" s="769"/>
      <c r="EME97" s="769"/>
      <c r="EMF97" s="769"/>
      <c r="EMG97" s="769"/>
      <c r="EMH97" s="769"/>
      <c r="EMI97" s="769"/>
      <c r="EMJ97" s="769"/>
      <c r="EMK97" s="769"/>
      <c r="EML97" s="769"/>
      <c r="EMM97" s="769"/>
      <c r="EMN97" s="769"/>
      <c r="EMO97" s="769"/>
      <c r="EMP97" s="769"/>
      <c r="EMQ97" s="769"/>
      <c r="EMR97" s="769"/>
      <c r="EMS97" s="769"/>
      <c r="EMT97" s="769"/>
      <c r="EMU97" s="769"/>
      <c r="EMV97" s="769"/>
      <c r="EMW97" s="769"/>
      <c r="EMX97" s="769"/>
      <c r="EMY97" s="769"/>
      <c r="EMZ97" s="769"/>
      <c r="ENA97" s="769"/>
      <c r="ENB97" s="769"/>
      <c r="ENC97" s="769"/>
      <c r="END97" s="769"/>
      <c r="ENE97" s="769"/>
      <c r="ENF97" s="769"/>
      <c r="ENG97" s="769"/>
      <c r="ENH97" s="769"/>
      <c r="ENI97" s="769"/>
      <c r="ENJ97" s="769"/>
      <c r="ENK97" s="769"/>
      <c r="ENL97" s="769"/>
      <c r="ENM97" s="769"/>
      <c r="ENN97" s="769"/>
      <c r="ENO97" s="769"/>
      <c r="ENP97" s="769"/>
      <c r="ENQ97" s="769"/>
      <c r="ENR97" s="769"/>
      <c r="ENS97" s="769"/>
      <c r="ENT97" s="769"/>
      <c r="ENU97" s="769"/>
      <c r="ENV97" s="769"/>
      <c r="ENW97" s="769"/>
      <c r="ENX97" s="769"/>
      <c r="ENY97" s="769"/>
      <c r="ENZ97" s="769"/>
      <c r="EOA97" s="769"/>
      <c r="EOB97" s="769"/>
      <c r="EOC97" s="769"/>
      <c r="EOD97" s="769"/>
      <c r="EOE97" s="769"/>
      <c r="EOF97" s="769"/>
      <c r="EOG97" s="769"/>
      <c r="EOH97" s="769"/>
      <c r="EOI97" s="769"/>
      <c r="EOJ97" s="769"/>
      <c r="EOK97" s="769"/>
      <c r="EOL97" s="769"/>
      <c r="EOM97" s="769"/>
      <c r="EON97" s="769"/>
      <c r="EOO97" s="769"/>
      <c r="EOP97" s="769"/>
      <c r="EOQ97" s="769"/>
      <c r="EOR97" s="769"/>
      <c r="EOS97" s="769"/>
      <c r="EOT97" s="769"/>
      <c r="EOU97" s="769"/>
      <c r="EOV97" s="769"/>
      <c r="EOW97" s="769"/>
      <c r="EOX97" s="769"/>
      <c r="EOY97" s="769"/>
      <c r="EOZ97" s="769"/>
      <c r="EPA97" s="769"/>
      <c r="EPB97" s="769"/>
      <c r="EPC97" s="769"/>
      <c r="EPD97" s="769"/>
      <c r="EPE97" s="769"/>
      <c r="EPF97" s="769"/>
      <c r="EPG97" s="769"/>
      <c r="EPH97" s="769"/>
      <c r="EPI97" s="769"/>
      <c r="EPJ97" s="769"/>
      <c r="EPK97" s="769"/>
      <c r="EPL97" s="769"/>
      <c r="EPM97" s="769"/>
      <c r="EPN97" s="769"/>
      <c r="EPO97" s="769"/>
      <c r="EPP97" s="769"/>
      <c r="EPQ97" s="769"/>
      <c r="EPR97" s="769"/>
      <c r="EPS97" s="769"/>
      <c r="EPT97" s="769"/>
      <c r="EPU97" s="769"/>
      <c r="EPV97" s="769"/>
      <c r="EPW97" s="769"/>
      <c r="EPX97" s="769"/>
      <c r="EPY97" s="769"/>
      <c r="EPZ97" s="769"/>
      <c r="EQA97" s="769"/>
      <c r="EQB97" s="769"/>
      <c r="EQC97" s="769"/>
      <c r="EQD97" s="769"/>
      <c r="EQE97" s="769"/>
      <c r="EQF97" s="769"/>
      <c r="EQG97" s="769"/>
      <c r="EQH97" s="769"/>
      <c r="EQI97" s="769"/>
      <c r="EQJ97" s="769"/>
      <c r="EQK97" s="769"/>
      <c r="EQL97" s="769"/>
      <c r="EQM97" s="769"/>
      <c r="EQN97" s="769"/>
      <c r="EQO97" s="769"/>
      <c r="EQP97" s="769"/>
      <c r="EQQ97" s="769"/>
      <c r="EQR97" s="769"/>
      <c r="EQS97" s="769"/>
      <c r="EQT97" s="769"/>
      <c r="EQU97" s="769"/>
      <c r="EQV97" s="769"/>
      <c r="EQW97" s="769"/>
      <c r="EQX97" s="769"/>
      <c r="EQY97" s="769"/>
      <c r="EQZ97" s="769"/>
      <c r="ERA97" s="769"/>
      <c r="ERB97" s="769"/>
      <c r="ERC97" s="769"/>
      <c r="ERD97" s="769"/>
      <c r="ERE97" s="769"/>
      <c r="ERF97" s="769"/>
      <c r="ERG97" s="769"/>
      <c r="ERH97" s="769"/>
      <c r="ERI97" s="769"/>
      <c r="ERJ97" s="769"/>
      <c r="ERK97" s="769"/>
      <c r="ERL97" s="769"/>
      <c r="ERM97" s="769"/>
      <c r="ERN97" s="769"/>
      <c r="ERO97" s="769"/>
      <c r="ERP97" s="769"/>
      <c r="ERQ97" s="769"/>
      <c r="ERR97" s="769"/>
      <c r="ERS97" s="769"/>
      <c r="ERT97" s="769"/>
      <c r="ERU97" s="769"/>
      <c r="ERV97" s="769"/>
      <c r="ERW97" s="769"/>
      <c r="ERX97" s="769"/>
      <c r="ERY97" s="769"/>
      <c r="ERZ97" s="769"/>
      <c r="ESA97" s="769"/>
      <c r="ESB97" s="769"/>
      <c r="ESC97" s="769"/>
      <c r="ESD97" s="769"/>
      <c r="ESE97" s="769"/>
      <c r="ESF97" s="769"/>
      <c r="ESG97" s="769"/>
      <c r="ESH97" s="769"/>
      <c r="ESI97" s="769"/>
      <c r="ESJ97" s="769"/>
      <c r="ESK97" s="769"/>
      <c r="ESL97" s="769"/>
      <c r="ESM97" s="769"/>
      <c r="ESN97" s="769"/>
      <c r="ESO97" s="769"/>
      <c r="ESP97" s="769"/>
      <c r="ESQ97" s="769"/>
      <c r="ESR97" s="769"/>
      <c r="ESS97" s="769"/>
      <c r="EST97" s="769"/>
      <c r="ESU97" s="769"/>
      <c r="ESV97" s="769"/>
      <c r="ESW97" s="769"/>
      <c r="ESX97" s="769"/>
      <c r="ESY97" s="769"/>
      <c r="ESZ97" s="769"/>
      <c r="ETA97" s="769"/>
      <c r="ETB97" s="769"/>
      <c r="ETC97" s="769"/>
      <c r="ETD97" s="769"/>
      <c r="ETE97" s="769"/>
      <c r="ETF97" s="769"/>
      <c r="ETG97" s="769"/>
      <c r="ETH97" s="769"/>
      <c r="ETI97" s="769"/>
      <c r="ETJ97" s="769"/>
      <c r="ETK97" s="769"/>
      <c r="ETL97" s="769"/>
      <c r="ETM97" s="769"/>
      <c r="ETN97" s="769"/>
      <c r="ETO97" s="769"/>
      <c r="ETP97" s="769"/>
      <c r="ETQ97" s="769"/>
      <c r="ETR97" s="769"/>
      <c r="ETS97" s="769"/>
      <c r="ETT97" s="769"/>
      <c r="ETU97" s="769"/>
      <c r="ETV97" s="769"/>
      <c r="ETW97" s="769"/>
      <c r="ETX97" s="769"/>
      <c r="ETY97" s="769"/>
      <c r="ETZ97" s="769"/>
      <c r="EUA97" s="769"/>
      <c r="EUB97" s="769"/>
      <c r="EUC97" s="769"/>
      <c r="EUD97" s="769"/>
      <c r="EUE97" s="769"/>
      <c r="EUF97" s="769"/>
      <c r="EUG97" s="769"/>
      <c r="EUH97" s="769"/>
      <c r="EUI97" s="769"/>
      <c r="EUJ97" s="769"/>
      <c r="EUK97" s="769"/>
      <c r="EUL97" s="769"/>
      <c r="EUM97" s="769"/>
      <c r="EUN97" s="769"/>
      <c r="EUO97" s="769"/>
      <c r="EUP97" s="769"/>
      <c r="EUQ97" s="769"/>
      <c r="EUR97" s="769"/>
      <c r="EUS97" s="769"/>
      <c r="EUT97" s="769"/>
      <c r="EUU97" s="769"/>
      <c r="EUV97" s="769"/>
      <c r="EUW97" s="769"/>
      <c r="EUX97" s="769"/>
      <c r="EUY97" s="769"/>
      <c r="EUZ97" s="769"/>
      <c r="EVA97" s="769"/>
      <c r="EVB97" s="769"/>
      <c r="EVC97" s="769"/>
      <c r="EVD97" s="769"/>
      <c r="EVE97" s="769"/>
      <c r="EVF97" s="769"/>
      <c r="EVG97" s="769"/>
      <c r="EVH97" s="769"/>
      <c r="EVI97" s="769"/>
      <c r="EVJ97" s="769"/>
      <c r="EVK97" s="769"/>
      <c r="EVL97" s="769"/>
      <c r="EVM97" s="769"/>
      <c r="EVN97" s="769"/>
      <c r="EVO97" s="769"/>
      <c r="EVP97" s="769"/>
      <c r="EVQ97" s="769"/>
      <c r="EVR97" s="769"/>
      <c r="EVS97" s="769"/>
      <c r="EVT97" s="769"/>
      <c r="EVU97" s="769"/>
      <c r="EVV97" s="769"/>
      <c r="EVW97" s="769"/>
      <c r="EVX97" s="769"/>
      <c r="EVY97" s="769"/>
      <c r="EVZ97" s="769"/>
      <c r="EWA97" s="769"/>
      <c r="EWB97" s="769"/>
      <c r="EWC97" s="769"/>
      <c r="EWD97" s="769"/>
      <c r="EWE97" s="769"/>
      <c r="EWF97" s="769"/>
      <c r="EWG97" s="769"/>
      <c r="EWH97" s="769"/>
      <c r="EWI97" s="769"/>
      <c r="EWJ97" s="769"/>
      <c r="EWK97" s="769"/>
      <c r="EWL97" s="769"/>
      <c r="EWM97" s="769"/>
      <c r="EWN97" s="769"/>
      <c r="EWO97" s="769"/>
      <c r="EWP97" s="769"/>
      <c r="EWQ97" s="769"/>
      <c r="EWR97" s="769"/>
      <c r="EWS97" s="769"/>
      <c r="EWT97" s="769"/>
      <c r="EWU97" s="769"/>
      <c r="EWV97" s="769"/>
      <c r="EWW97" s="769"/>
      <c r="EWX97" s="769"/>
      <c r="EWY97" s="769"/>
      <c r="EWZ97" s="769"/>
      <c r="EXA97" s="769"/>
      <c r="EXB97" s="769"/>
      <c r="EXC97" s="769"/>
      <c r="EXD97" s="769"/>
      <c r="EXE97" s="769"/>
      <c r="EXF97" s="769"/>
      <c r="EXG97" s="769"/>
      <c r="EXH97" s="769"/>
      <c r="EXI97" s="769"/>
      <c r="EXJ97" s="769"/>
      <c r="EXK97" s="769"/>
      <c r="EXL97" s="769"/>
      <c r="EXM97" s="769"/>
      <c r="EXN97" s="769"/>
      <c r="EXO97" s="769"/>
      <c r="EXP97" s="769"/>
      <c r="EXQ97" s="769"/>
      <c r="EXR97" s="769"/>
      <c r="EXS97" s="769"/>
      <c r="EXT97" s="769"/>
      <c r="EXU97" s="769"/>
      <c r="EXV97" s="769"/>
      <c r="EXW97" s="769"/>
      <c r="EXX97" s="769"/>
      <c r="EXY97" s="769"/>
      <c r="EXZ97" s="769"/>
      <c r="EYA97" s="769"/>
      <c r="EYB97" s="769"/>
      <c r="EYC97" s="769"/>
      <c r="EYD97" s="769"/>
      <c r="EYE97" s="769"/>
      <c r="EYF97" s="769"/>
      <c r="EYG97" s="769"/>
      <c r="EYH97" s="769"/>
      <c r="EYI97" s="769"/>
      <c r="EYJ97" s="769"/>
      <c r="EYK97" s="769"/>
      <c r="EYL97" s="769"/>
      <c r="EYM97" s="769"/>
      <c r="EYN97" s="769"/>
      <c r="EYO97" s="769"/>
      <c r="EYP97" s="769"/>
      <c r="EYQ97" s="769"/>
      <c r="EYR97" s="769"/>
      <c r="EYS97" s="769"/>
      <c r="EYT97" s="769"/>
      <c r="EYU97" s="769"/>
      <c r="EYV97" s="769"/>
      <c r="EYW97" s="769"/>
      <c r="EYX97" s="769"/>
      <c r="EYY97" s="769"/>
      <c r="EYZ97" s="769"/>
      <c r="EZA97" s="769"/>
      <c r="EZB97" s="769"/>
      <c r="EZC97" s="769"/>
      <c r="EZD97" s="769"/>
      <c r="EZE97" s="769"/>
      <c r="EZF97" s="769"/>
      <c r="EZG97" s="769"/>
      <c r="EZH97" s="769"/>
      <c r="EZI97" s="769"/>
      <c r="EZJ97" s="769"/>
      <c r="EZK97" s="769"/>
      <c r="EZL97" s="769"/>
      <c r="EZM97" s="769"/>
      <c r="EZN97" s="769"/>
      <c r="EZO97" s="769"/>
      <c r="EZP97" s="769"/>
      <c r="EZQ97" s="769"/>
      <c r="EZR97" s="769"/>
      <c r="EZS97" s="769"/>
      <c r="EZT97" s="769"/>
      <c r="EZU97" s="769"/>
      <c r="EZV97" s="769"/>
      <c r="EZW97" s="769"/>
      <c r="EZX97" s="769"/>
      <c r="EZY97" s="769"/>
      <c r="EZZ97" s="769"/>
      <c r="FAA97" s="769"/>
      <c r="FAB97" s="769"/>
      <c r="FAC97" s="769"/>
      <c r="FAD97" s="769"/>
      <c r="FAE97" s="769"/>
      <c r="FAF97" s="769"/>
      <c r="FAG97" s="769"/>
      <c r="FAH97" s="769"/>
      <c r="FAI97" s="769"/>
      <c r="FAJ97" s="769"/>
      <c r="FAK97" s="769"/>
      <c r="FAL97" s="769"/>
      <c r="FAM97" s="769"/>
      <c r="FAN97" s="769"/>
      <c r="FAO97" s="769"/>
      <c r="FAP97" s="769"/>
      <c r="FAQ97" s="769"/>
      <c r="FAR97" s="769"/>
      <c r="FAS97" s="769"/>
      <c r="FAT97" s="769"/>
      <c r="FAU97" s="769"/>
      <c r="FAV97" s="769"/>
      <c r="FAW97" s="769"/>
      <c r="FAX97" s="769"/>
      <c r="FAY97" s="769"/>
      <c r="FAZ97" s="769"/>
      <c r="FBA97" s="769"/>
      <c r="FBB97" s="769"/>
      <c r="FBC97" s="769"/>
      <c r="FBD97" s="769"/>
      <c r="FBE97" s="769"/>
      <c r="FBF97" s="769"/>
      <c r="FBG97" s="769"/>
      <c r="FBH97" s="769"/>
      <c r="FBI97" s="769"/>
      <c r="FBJ97" s="769"/>
      <c r="FBK97" s="769"/>
      <c r="FBL97" s="769"/>
      <c r="FBM97" s="769"/>
      <c r="FBN97" s="769"/>
      <c r="FBO97" s="769"/>
      <c r="FBP97" s="769"/>
      <c r="FBQ97" s="769"/>
      <c r="FBR97" s="769"/>
      <c r="FBS97" s="769"/>
      <c r="FBT97" s="769"/>
      <c r="FBU97" s="769"/>
      <c r="FBV97" s="769"/>
      <c r="FBW97" s="769"/>
      <c r="FBX97" s="769"/>
      <c r="FBY97" s="769"/>
      <c r="FBZ97" s="769"/>
      <c r="FCA97" s="769"/>
      <c r="FCB97" s="769"/>
      <c r="FCC97" s="769"/>
      <c r="FCD97" s="769"/>
      <c r="FCE97" s="769"/>
      <c r="FCF97" s="769"/>
      <c r="FCG97" s="769"/>
      <c r="FCH97" s="769"/>
      <c r="FCI97" s="769"/>
      <c r="FCJ97" s="769"/>
      <c r="FCK97" s="769"/>
      <c r="FCL97" s="769"/>
      <c r="FCM97" s="769"/>
      <c r="FCN97" s="769"/>
      <c r="FCO97" s="769"/>
      <c r="FCP97" s="769"/>
      <c r="FCQ97" s="769"/>
      <c r="FCR97" s="769"/>
      <c r="FCS97" s="769"/>
      <c r="FCT97" s="769"/>
      <c r="FCU97" s="769"/>
      <c r="FCV97" s="769"/>
      <c r="FCW97" s="769"/>
      <c r="FCX97" s="769"/>
      <c r="FCY97" s="769"/>
      <c r="FCZ97" s="769"/>
      <c r="FDA97" s="769"/>
      <c r="FDB97" s="769"/>
      <c r="FDC97" s="769"/>
      <c r="FDD97" s="769"/>
      <c r="FDE97" s="769"/>
      <c r="FDF97" s="769"/>
      <c r="FDG97" s="769"/>
      <c r="FDH97" s="769"/>
      <c r="FDI97" s="769"/>
      <c r="FDJ97" s="769"/>
      <c r="FDK97" s="769"/>
      <c r="FDL97" s="769"/>
      <c r="FDM97" s="769"/>
      <c r="FDN97" s="769"/>
      <c r="FDO97" s="769"/>
      <c r="FDP97" s="769"/>
      <c r="FDQ97" s="769"/>
      <c r="FDR97" s="769"/>
      <c r="FDS97" s="769"/>
      <c r="FDT97" s="769"/>
      <c r="FDU97" s="769"/>
      <c r="FDV97" s="769"/>
      <c r="FDW97" s="769"/>
      <c r="FDX97" s="769"/>
      <c r="FDY97" s="769"/>
      <c r="FDZ97" s="769"/>
      <c r="FEA97" s="769"/>
      <c r="FEB97" s="769"/>
      <c r="FEC97" s="769"/>
      <c r="FED97" s="769"/>
      <c r="FEE97" s="769"/>
      <c r="FEF97" s="769"/>
      <c r="FEG97" s="769"/>
      <c r="FEH97" s="769"/>
      <c r="FEI97" s="769"/>
      <c r="FEJ97" s="769"/>
      <c r="FEK97" s="769"/>
      <c r="FEL97" s="769"/>
      <c r="FEM97" s="769"/>
      <c r="FEN97" s="769"/>
      <c r="FEO97" s="769"/>
      <c r="FEP97" s="769"/>
      <c r="FEQ97" s="769"/>
      <c r="FER97" s="769"/>
      <c r="FES97" s="769"/>
      <c r="FET97" s="769"/>
      <c r="FEU97" s="769"/>
      <c r="FEV97" s="769"/>
      <c r="FEW97" s="769"/>
      <c r="FEX97" s="769"/>
      <c r="FEY97" s="769"/>
      <c r="FEZ97" s="769"/>
      <c r="FFA97" s="769"/>
      <c r="FFB97" s="769"/>
      <c r="FFC97" s="769"/>
      <c r="FFD97" s="769"/>
      <c r="FFE97" s="769"/>
      <c r="FFF97" s="769"/>
      <c r="FFG97" s="769"/>
      <c r="FFH97" s="769"/>
      <c r="FFI97" s="769"/>
      <c r="FFJ97" s="769"/>
      <c r="FFK97" s="769"/>
      <c r="FFL97" s="769"/>
      <c r="FFM97" s="769"/>
      <c r="FFN97" s="769"/>
      <c r="FFO97" s="769"/>
      <c r="FFP97" s="769"/>
      <c r="FFQ97" s="769"/>
      <c r="FFR97" s="769"/>
      <c r="FFS97" s="769"/>
      <c r="FFT97" s="769"/>
      <c r="FFU97" s="769"/>
      <c r="FFV97" s="769"/>
      <c r="FFW97" s="769"/>
      <c r="FFX97" s="769"/>
      <c r="FFY97" s="769"/>
      <c r="FFZ97" s="769"/>
      <c r="FGA97" s="769"/>
      <c r="FGB97" s="769"/>
      <c r="FGC97" s="769"/>
      <c r="FGD97" s="769"/>
      <c r="FGE97" s="769"/>
      <c r="FGF97" s="769"/>
      <c r="FGG97" s="769"/>
      <c r="FGH97" s="769"/>
      <c r="FGI97" s="769"/>
      <c r="FGJ97" s="769"/>
      <c r="FGK97" s="769"/>
      <c r="FGL97" s="769"/>
      <c r="FGM97" s="769"/>
      <c r="FGN97" s="769"/>
      <c r="FGO97" s="769"/>
      <c r="FGP97" s="769"/>
      <c r="FGQ97" s="769"/>
      <c r="FGR97" s="769"/>
      <c r="FGS97" s="769"/>
      <c r="FGT97" s="769"/>
      <c r="FGU97" s="769"/>
      <c r="FGV97" s="769"/>
      <c r="FGW97" s="769"/>
      <c r="FGX97" s="769"/>
      <c r="FGY97" s="769"/>
      <c r="FGZ97" s="769"/>
      <c r="FHA97" s="769"/>
      <c r="FHB97" s="769"/>
      <c r="FHC97" s="769"/>
      <c r="FHD97" s="769"/>
      <c r="FHE97" s="769"/>
      <c r="FHF97" s="769"/>
      <c r="FHG97" s="769"/>
      <c r="FHH97" s="769"/>
      <c r="FHI97" s="769"/>
      <c r="FHJ97" s="769"/>
      <c r="FHK97" s="769"/>
      <c r="FHL97" s="769"/>
      <c r="FHM97" s="769"/>
      <c r="FHN97" s="769"/>
      <c r="FHO97" s="769"/>
      <c r="FHP97" s="769"/>
      <c r="FHQ97" s="769"/>
      <c r="FHR97" s="769"/>
      <c r="FHS97" s="769"/>
      <c r="FHT97" s="769"/>
      <c r="FHU97" s="769"/>
      <c r="FHV97" s="769"/>
      <c r="FHW97" s="769"/>
      <c r="FHX97" s="769"/>
      <c r="FHY97" s="769"/>
      <c r="FHZ97" s="769"/>
      <c r="FIA97" s="769"/>
      <c r="FIB97" s="769"/>
      <c r="FIC97" s="769"/>
      <c r="FID97" s="769"/>
      <c r="FIE97" s="769"/>
      <c r="FIF97" s="769"/>
      <c r="FIG97" s="769"/>
      <c r="FIH97" s="769"/>
      <c r="FII97" s="769"/>
      <c r="FIJ97" s="769"/>
      <c r="FIK97" s="769"/>
      <c r="FIL97" s="769"/>
      <c r="FIM97" s="769"/>
      <c r="FIN97" s="769"/>
      <c r="FIO97" s="769"/>
      <c r="FIP97" s="769"/>
      <c r="FIQ97" s="769"/>
      <c r="FIR97" s="769"/>
      <c r="FIS97" s="769"/>
      <c r="FIT97" s="769"/>
      <c r="FIU97" s="769"/>
      <c r="FIV97" s="769"/>
      <c r="FIW97" s="769"/>
      <c r="FIX97" s="769"/>
      <c r="FIY97" s="769"/>
      <c r="FIZ97" s="769"/>
      <c r="FJA97" s="769"/>
      <c r="FJB97" s="769"/>
      <c r="FJC97" s="769"/>
      <c r="FJD97" s="769"/>
      <c r="FJE97" s="769"/>
      <c r="FJF97" s="769"/>
      <c r="FJG97" s="769"/>
      <c r="FJH97" s="769"/>
      <c r="FJI97" s="769"/>
      <c r="FJJ97" s="769"/>
      <c r="FJK97" s="769"/>
      <c r="FJL97" s="769"/>
      <c r="FJM97" s="769"/>
      <c r="FJN97" s="769"/>
      <c r="FJO97" s="769"/>
      <c r="FJP97" s="769"/>
      <c r="FJQ97" s="769"/>
      <c r="FJR97" s="769"/>
      <c r="FJS97" s="769"/>
      <c r="FJT97" s="769"/>
      <c r="FJU97" s="769"/>
      <c r="FJV97" s="769"/>
      <c r="FJW97" s="769"/>
      <c r="FJX97" s="769"/>
      <c r="FJY97" s="769"/>
      <c r="FJZ97" s="769"/>
      <c r="FKA97" s="769"/>
      <c r="FKB97" s="769"/>
      <c r="FKC97" s="769"/>
      <c r="FKD97" s="769"/>
      <c r="FKE97" s="769"/>
      <c r="FKF97" s="769"/>
      <c r="FKG97" s="769"/>
      <c r="FKH97" s="769"/>
      <c r="FKI97" s="769"/>
      <c r="FKJ97" s="769"/>
      <c r="FKK97" s="769"/>
      <c r="FKL97" s="769"/>
      <c r="FKM97" s="769"/>
      <c r="FKN97" s="769"/>
      <c r="FKO97" s="769"/>
      <c r="FKP97" s="769"/>
      <c r="FKQ97" s="769"/>
      <c r="FKR97" s="769"/>
      <c r="FKS97" s="769"/>
      <c r="FKT97" s="769"/>
      <c r="FKU97" s="769"/>
      <c r="FKV97" s="769"/>
      <c r="FKW97" s="769"/>
      <c r="FKX97" s="769"/>
      <c r="FKY97" s="769"/>
      <c r="FKZ97" s="769"/>
      <c r="FLA97" s="769"/>
      <c r="FLB97" s="769"/>
      <c r="FLC97" s="769"/>
      <c r="FLD97" s="769"/>
      <c r="FLE97" s="769"/>
      <c r="FLF97" s="769"/>
      <c r="FLG97" s="769"/>
      <c r="FLH97" s="769"/>
      <c r="FLI97" s="769"/>
      <c r="FLJ97" s="769"/>
      <c r="FLK97" s="769"/>
      <c r="FLL97" s="769"/>
      <c r="FLM97" s="769"/>
      <c r="FLN97" s="769"/>
      <c r="FLO97" s="769"/>
      <c r="FLP97" s="769"/>
      <c r="FLQ97" s="769"/>
      <c r="FLR97" s="769"/>
      <c r="FLS97" s="769"/>
      <c r="FLT97" s="769"/>
      <c r="FLU97" s="769"/>
      <c r="FLV97" s="769"/>
      <c r="FLW97" s="769"/>
      <c r="FLX97" s="769"/>
      <c r="FLY97" s="769"/>
      <c r="FLZ97" s="769"/>
      <c r="FMA97" s="769"/>
      <c r="FMB97" s="769"/>
      <c r="FMC97" s="769"/>
      <c r="FMD97" s="769"/>
      <c r="FME97" s="769"/>
      <c r="FMF97" s="769"/>
      <c r="FMG97" s="769"/>
      <c r="FMH97" s="769"/>
      <c r="FMI97" s="769"/>
      <c r="FMJ97" s="769"/>
      <c r="FMK97" s="769"/>
      <c r="FML97" s="769"/>
      <c r="FMM97" s="769"/>
      <c r="FMN97" s="769"/>
      <c r="FMO97" s="769"/>
      <c r="FMP97" s="769"/>
      <c r="FMQ97" s="769"/>
      <c r="FMR97" s="769"/>
      <c r="FMS97" s="769"/>
      <c r="FMT97" s="769"/>
      <c r="FMU97" s="769"/>
      <c r="FMV97" s="769"/>
      <c r="FMW97" s="769"/>
      <c r="FMX97" s="769"/>
      <c r="FMY97" s="769"/>
      <c r="FMZ97" s="769"/>
      <c r="FNA97" s="769"/>
      <c r="FNB97" s="769"/>
      <c r="FNC97" s="769"/>
      <c r="FND97" s="769"/>
      <c r="FNE97" s="769"/>
      <c r="FNF97" s="769"/>
      <c r="FNG97" s="769"/>
      <c r="FNH97" s="769"/>
      <c r="FNI97" s="769"/>
      <c r="FNJ97" s="769"/>
      <c r="FNK97" s="769"/>
      <c r="FNL97" s="769"/>
      <c r="FNM97" s="769"/>
      <c r="FNN97" s="769"/>
      <c r="FNO97" s="769"/>
      <c r="FNP97" s="769"/>
      <c r="FNQ97" s="769"/>
      <c r="FNR97" s="769"/>
      <c r="FNS97" s="769"/>
      <c r="FNT97" s="769"/>
      <c r="FNU97" s="769"/>
      <c r="FNV97" s="769"/>
      <c r="FNW97" s="769"/>
      <c r="FNX97" s="769"/>
      <c r="FNY97" s="769"/>
      <c r="FNZ97" s="769"/>
      <c r="FOA97" s="769"/>
      <c r="FOB97" s="769"/>
      <c r="FOC97" s="769"/>
      <c r="FOD97" s="769"/>
      <c r="FOE97" s="769"/>
      <c r="FOF97" s="769"/>
      <c r="FOG97" s="769"/>
      <c r="FOH97" s="769"/>
      <c r="FOI97" s="769"/>
      <c r="FOJ97" s="769"/>
      <c r="FOK97" s="769"/>
      <c r="FOL97" s="769"/>
      <c r="FOM97" s="769"/>
      <c r="FON97" s="769"/>
      <c r="FOO97" s="769"/>
      <c r="FOP97" s="769"/>
      <c r="FOQ97" s="769"/>
      <c r="FOR97" s="769"/>
      <c r="FOS97" s="769"/>
      <c r="FOT97" s="769"/>
      <c r="FOU97" s="769"/>
      <c r="FOV97" s="769"/>
      <c r="FOW97" s="769"/>
      <c r="FOX97" s="769"/>
      <c r="FOY97" s="769"/>
      <c r="FOZ97" s="769"/>
      <c r="FPA97" s="769"/>
      <c r="FPB97" s="769"/>
      <c r="FPC97" s="769"/>
      <c r="FPD97" s="769"/>
      <c r="FPE97" s="769"/>
      <c r="FPF97" s="769"/>
      <c r="FPG97" s="769"/>
      <c r="FPH97" s="769"/>
      <c r="FPI97" s="769"/>
      <c r="FPJ97" s="769"/>
      <c r="FPK97" s="769"/>
      <c r="FPL97" s="769"/>
      <c r="FPM97" s="769"/>
      <c r="FPN97" s="769"/>
      <c r="FPO97" s="769"/>
      <c r="FPP97" s="769"/>
      <c r="FPQ97" s="769"/>
      <c r="FPR97" s="769"/>
      <c r="FPS97" s="769"/>
      <c r="FPT97" s="769"/>
      <c r="FPU97" s="769"/>
      <c r="FPV97" s="769"/>
      <c r="FPW97" s="769"/>
      <c r="FPX97" s="769"/>
      <c r="FPY97" s="769"/>
      <c r="FPZ97" s="769"/>
      <c r="FQA97" s="769"/>
      <c r="FQB97" s="769"/>
      <c r="FQC97" s="769"/>
      <c r="FQD97" s="769"/>
      <c r="FQE97" s="769"/>
      <c r="FQF97" s="769"/>
      <c r="FQG97" s="769"/>
      <c r="FQH97" s="769"/>
      <c r="FQI97" s="769"/>
      <c r="FQJ97" s="769"/>
      <c r="FQK97" s="769"/>
      <c r="FQL97" s="769"/>
      <c r="FQM97" s="769"/>
      <c r="FQN97" s="769"/>
      <c r="FQO97" s="769"/>
      <c r="FQP97" s="769"/>
      <c r="FQQ97" s="769"/>
      <c r="FQR97" s="769"/>
      <c r="FQS97" s="769"/>
      <c r="FQT97" s="769"/>
      <c r="FQU97" s="769"/>
      <c r="FQV97" s="769"/>
      <c r="FQW97" s="769"/>
      <c r="FQX97" s="769"/>
      <c r="FQY97" s="769"/>
      <c r="FQZ97" s="769"/>
      <c r="FRA97" s="769"/>
      <c r="FRB97" s="769"/>
      <c r="FRC97" s="769"/>
      <c r="FRD97" s="769"/>
      <c r="FRE97" s="769"/>
      <c r="FRF97" s="769"/>
      <c r="FRG97" s="769"/>
      <c r="FRH97" s="769"/>
      <c r="FRI97" s="769"/>
      <c r="FRJ97" s="769"/>
      <c r="FRK97" s="769"/>
      <c r="FRL97" s="769"/>
      <c r="FRM97" s="769"/>
      <c r="FRN97" s="769"/>
      <c r="FRO97" s="769"/>
      <c r="FRP97" s="769"/>
      <c r="FRQ97" s="769"/>
      <c r="FRR97" s="769"/>
      <c r="FRS97" s="769"/>
      <c r="FRT97" s="769"/>
      <c r="FRU97" s="769"/>
      <c r="FRV97" s="769"/>
      <c r="FRW97" s="769"/>
      <c r="FRX97" s="769"/>
      <c r="FRY97" s="769"/>
      <c r="FRZ97" s="769"/>
      <c r="FSA97" s="769"/>
      <c r="FSB97" s="769"/>
      <c r="FSC97" s="769"/>
      <c r="FSD97" s="769"/>
      <c r="FSE97" s="769"/>
      <c r="FSF97" s="769"/>
      <c r="FSG97" s="769"/>
      <c r="FSH97" s="769"/>
      <c r="FSI97" s="769"/>
      <c r="FSJ97" s="769"/>
      <c r="FSK97" s="769"/>
      <c r="FSL97" s="769"/>
      <c r="FSM97" s="769"/>
      <c r="FSN97" s="769"/>
      <c r="FSO97" s="769"/>
      <c r="FSP97" s="769"/>
      <c r="FSQ97" s="769"/>
      <c r="FSR97" s="769"/>
      <c r="FSS97" s="769"/>
      <c r="FST97" s="769"/>
      <c r="FSU97" s="769"/>
      <c r="FSV97" s="769"/>
      <c r="FSW97" s="769"/>
      <c r="FSX97" s="769"/>
      <c r="FSY97" s="769"/>
      <c r="FSZ97" s="769"/>
      <c r="FTA97" s="769"/>
      <c r="FTB97" s="769"/>
      <c r="FTC97" s="769"/>
      <c r="FTD97" s="769"/>
      <c r="FTE97" s="769"/>
      <c r="FTF97" s="769"/>
      <c r="FTG97" s="769"/>
      <c r="FTH97" s="769"/>
      <c r="FTI97" s="769"/>
      <c r="FTJ97" s="769"/>
      <c r="FTK97" s="769"/>
      <c r="FTL97" s="769"/>
      <c r="FTM97" s="769"/>
      <c r="FTN97" s="769"/>
      <c r="FTO97" s="769"/>
      <c r="FTP97" s="769"/>
      <c r="FTQ97" s="769"/>
      <c r="FTR97" s="769"/>
      <c r="FTS97" s="769"/>
      <c r="FTT97" s="769"/>
      <c r="FTU97" s="769"/>
      <c r="FTV97" s="769"/>
      <c r="FTW97" s="769"/>
      <c r="FTX97" s="769"/>
      <c r="FTY97" s="769"/>
      <c r="FTZ97" s="769"/>
      <c r="FUA97" s="769"/>
      <c r="FUB97" s="769"/>
      <c r="FUC97" s="769"/>
      <c r="FUD97" s="769"/>
      <c r="FUE97" s="769"/>
      <c r="FUF97" s="769"/>
      <c r="FUG97" s="769"/>
      <c r="FUH97" s="769"/>
      <c r="FUI97" s="769"/>
      <c r="FUJ97" s="769"/>
      <c r="FUK97" s="769"/>
      <c r="FUL97" s="769"/>
      <c r="FUM97" s="769"/>
      <c r="FUN97" s="769"/>
      <c r="FUO97" s="769"/>
      <c r="FUP97" s="769"/>
      <c r="FUQ97" s="769"/>
      <c r="FUR97" s="769"/>
      <c r="FUS97" s="769"/>
      <c r="FUT97" s="769"/>
      <c r="FUU97" s="769"/>
      <c r="FUV97" s="769"/>
      <c r="FUW97" s="769"/>
      <c r="FUX97" s="769"/>
      <c r="FUY97" s="769"/>
      <c r="FUZ97" s="769"/>
      <c r="FVA97" s="769"/>
      <c r="FVB97" s="769"/>
      <c r="FVC97" s="769"/>
      <c r="FVD97" s="769"/>
      <c r="FVE97" s="769"/>
      <c r="FVF97" s="769"/>
      <c r="FVG97" s="769"/>
      <c r="FVH97" s="769"/>
      <c r="FVI97" s="769"/>
      <c r="FVJ97" s="769"/>
      <c r="FVK97" s="769"/>
      <c r="FVL97" s="769"/>
      <c r="FVM97" s="769"/>
      <c r="FVN97" s="769"/>
      <c r="FVO97" s="769"/>
      <c r="FVP97" s="769"/>
      <c r="FVQ97" s="769"/>
      <c r="FVR97" s="769"/>
      <c r="FVS97" s="769"/>
      <c r="FVT97" s="769"/>
      <c r="FVU97" s="769"/>
      <c r="FVV97" s="769"/>
      <c r="FVW97" s="769"/>
      <c r="FVX97" s="769"/>
      <c r="FVY97" s="769"/>
      <c r="FVZ97" s="769"/>
      <c r="FWA97" s="769"/>
      <c r="FWB97" s="769"/>
      <c r="FWC97" s="769"/>
      <c r="FWD97" s="769"/>
      <c r="FWE97" s="769"/>
      <c r="FWF97" s="769"/>
      <c r="FWG97" s="769"/>
      <c r="FWH97" s="769"/>
      <c r="FWI97" s="769"/>
      <c r="FWJ97" s="769"/>
      <c r="FWK97" s="769"/>
      <c r="FWL97" s="769"/>
      <c r="FWM97" s="769"/>
      <c r="FWN97" s="769"/>
      <c r="FWO97" s="769"/>
      <c r="FWP97" s="769"/>
      <c r="FWQ97" s="769"/>
      <c r="FWR97" s="769"/>
      <c r="FWS97" s="769"/>
      <c r="FWT97" s="769"/>
      <c r="FWU97" s="769"/>
      <c r="FWV97" s="769"/>
      <c r="FWW97" s="769"/>
      <c r="FWX97" s="769"/>
      <c r="FWY97" s="769"/>
      <c r="FWZ97" s="769"/>
      <c r="FXA97" s="769"/>
      <c r="FXB97" s="769"/>
      <c r="FXC97" s="769"/>
      <c r="FXD97" s="769"/>
      <c r="FXE97" s="769"/>
      <c r="FXF97" s="769"/>
      <c r="FXG97" s="769"/>
      <c r="FXH97" s="769"/>
      <c r="FXI97" s="769"/>
      <c r="FXJ97" s="769"/>
      <c r="FXK97" s="769"/>
      <c r="FXL97" s="769"/>
      <c r="FXM97" s="769"/>
      <c r="FXN97" s="769"/>
      <c r="FXO97" s="769"/>
      <c r="FXP97" s="769"/>
      <c r="FXQ97" s="769"/>
      <c r="FXR97" s="769"/>
      <c r="FXS97" s="769"/>
      <c r="FXT97" s="769"/>
      <c r="FXU97" s="769"/>
      <c r="FXV97" s="769"/>
      <c r="FXW97" s="769"/>
      <c r="FXX97" s="769"/>
      <c r="FXY97" s="769"/>
      <c r="FXZ97" s="769"/>
      <c r="FYA97" s="769"/>
      <c r="FYB97" s="769"/>
      <c r="FYC97" s="769"/>
      <c r="FYD97" s="769"/>
      <c r="FYE97" s="769"/>
      <c r="FYF97" s="769"/>
      <c r="FYG97" s="769"/>
      <c r="FYH97" s="769"/>
      <c r="FYI97" s="769"/>
      <c r="FYJ97" s="769"/>
      <c r="FYK97" s="769"/>
      <c r="FYL97" s="769"/>
      <c r="FYM97" s="769"/>
      <c r="FYN97" s="769"/>
      <c r="FYO97" s="769"/>
      <c r="FYP97" s="769"/>
      <c r="FYQ97" s="769"/>
      <c r="FYR97" s="769"/>
      <c r="FYS97" s="769"/>
      <c r="FYT97" s="769"/>
      <c r="FYU97" s="769"/>
      <c r="FYV97" s="769"/>
      <c r="FYW97" s="769"/>
      <c r="FYX97" s="769"/>
      <c r="FYY97" s="769"/>
      <c r="FYZ97" s="769"/>
      <c r="FZA97" s="769"/>
      <c r="FZB97" s="769"/>
      <c r="FZC97" s="769"/>
      <c r="FZD97" s="769"/>
      <c r="FZE97" s="769"/>
      <c r="FZF97" s="769"/>
      <c r="FZG97" s="769"/>
      <c r="FZH97" s="769"/>
      <c r="FZI97" s="769"/>
      <c r="FZJ97" s="769"/>
      <c r="FZK97" s="769"/>
      <c r="FZL97" s="769"/>
      <c r="FZM97" s="769"/>
      <c r="FZN97" s="769"/>
      <c r="FZO97" s="769"/>
      <c r="FZP97" s="769"/>
      <c r="FZQ97" s="769"/>
      <c r="FZR97" s="769"/>
      <c r="FZS97" s="769"/>
      <c r="FZT97" s="769"/>
      <c r="FZU97" s="769"/>
      <c r="FZV97" s="769"/>
      <c r="FZW97" s="769"/>
      <c r="FZX97" s="769"/>
      <c r="FZY97" s="769"/>
      <c r="FZZ97" s="769"/>
      <c r="GAA97" s="769"/>
      <c r="GAB97" s="769"/>
      <c r="GAC97" s="769"/>
      <c r="GAD97" s="769"/>
      <c r="GAE97" s="769"/>
      <c r="GAF97" s="769"/>
      <c r="GAG97" s="769"/>
      <c r="GAH97" s="769"/>
      <c r="GAI97" s="769"/>
      <c r="GAJ97" s="769"/>
      <c r="GAK97" s="769"/>
      <c r="GAL97" s="769"/>
      <c r="GAM97" s="769"/>
      <c r="GAN97" s="769"/>
      <c r="GAO97" s="769"/>
      <c r="GAP97" s="769"/>
      <c r="GAQ97" s="769"/>
      <c r="GAR97" s="769"/>
      <c r="GAS97" s="769"/>
      <c r="GAT97" s="769"/>
      <c r="GAU97" s="769"/>
      <c r="GAV97" s="769"/>
      <c r="GAW97" s="769"/>
      <c r="GAX97" s="769"/>
      <c r="GAY97" s="769"/>
      <c r="GAZ97" s="769"/>
      <c r="GBA97" s="769"/>
      <c r="GBB97" s="769"/>
      <c r="GBC97" s="769"/>
      <c r="GBD97" s="769"/>
      <c r="GBE97" s="769"/>
      <c r="GBF97" s="769"/>
      <c r="GBG97" s="769"/>
      <c r="GBH97" s="769"/>
      <c r="GBI97" s="769"/>
      <c r="GBJ97" s="769"/>
      <c r="GBK97" s="769"/>
      <c r="GBL97" s="769"/>
      <c r="GBM97" s="769"/>
      <c r="GBN97" s="769"/>
      <c r="GBO97" s="769"/>
      <c r="GBP97" s="769"/>
      <c r="GBQ97" s="769"/>
      <c r="GBR97" s="769"/>
      <c r="GBS97" s="769"/>
      <c r="GBT97" s="769"/>
      <c r="GBU97" s="769"/>
      <c r="GBV97" s="769"/>
      <c r="GBW97" s="769"/>
      <c r="GBX97" s="769"/>
      <c r="GBY97" s="769"/>
      <c r="GBZ97" s="769"/>
      <c r="GCA97" s="769"/>
      <c r="GCB97" s="769"/>
      <c r="GCC97" s="769"/>
      <c r="GCD97" s="769"/>
      <c r="GCE97" s="769"/>
      <c r="GCF97" s="769"/>
      <c r="GCG97" s="769"/>
      <c r="GCH97" s="769"/>
      <c r="GCI97" s="769"/>
      <c r="GCJ97" s="769"/>
      <c r="GCK97" s="769"/>
      <c r="GCL97" s="769"/>
      <c r="GCM97" s="769"/>
      <c r="GCN97" s="769"/>
      <c r="GCO97" s="769"/>
      <c r="GCP97" s="769"/>
      <c r="GCQ97" s="769"/>
      <c r="GCR97" s="769"/>
      <c r="GCS97" s="769"/>
      <c r="GCT97" s="769"/>
      <c r="GCU97" s="769"/>
      <c r="GCV97" s="769"/>
      <c r="GCW97" s="769"/>
      <c r="GCX97" s="769"/>
      <c r="GCY97" s="769"/>
      <c r="GCZ97" s="769"/>
      <c r="GDA97" s="769"/>
      <c r="GDB97" s="769"/>
      <c r="GDC97" s="769"/>
      <c r="GDD97" s="769"/>
      <c r="GDE97" s="769"/>
      <c r="GDF97" s="769"/>
      <c r="GDG97" s="769"/>
      <c r="GDH97" s="769"/>
      <c r="GDI97" s="769"/>
      <c r="GDJ97" s="769"/>
      <c r="GDK97" s="769"/>
      <c r="GDL97" s="769"/>
      <c r="GDM97" s="769"/>
      <c r="GDN97" s="769"/>
      <c r="GDO97" s="769"/>
      <c r="GDP97" s="769"/>
      <c r="GDQ97" s="769"/>
      <c r="GDR97" s="769"/>
      <c r="GDS97" s="769"/>
      <c r="GDT97" s="769"/>
      <c r="GDU97" s="769"/>
      <c r="GDV97" s="769"/>
      <c r="GDW97" s="769"/>
      <c r="GDX97" s="769"/>
      <c r="GDY97" s="769"/>
      <c r="GDZ97" s="769"/>
      <c r="GEA97" s="769"/>
      <c r="GEB97" s="769"/>
      <c r="GEC97" s="769"/>
      <c r="GED97" s="769"/>
      <c r="GEE97" s="769"/>
      <c r="GEF97" s="769"/>
      <c r="GEG97" s="769"/>
      <c r="GEH97" s="769"/>
      <c r="GEI97" s="769"/>
      <c r="GEJ97" s="769"/>
      <c r="GEK97" s="769"/>
      <c r="GEL97" s="769"/>
      <c r="GEM97" s="769"/>
      <c r="GEN97" s="769"/>
      <c r="GEO97" s="769"/>
      <c r="GEP97" s="769"/>
      <c r="GEQ97" s="769"/>
      <c r="GER97" s="769"/>
      <c r="GES97" s="769"/>
      <c r="GET97" s="769"/>
      <c r="GEU97" s="769"/>
      <c r="GEV97" s="769"/>
      <c r="GEW97" s="769"/>
      <c r="GEX97" s="769"/>
      <c r="GEY97" s="769"/>
      <c r="GEZ97" s="769"/>
      <c r="GFA97" s="769"/>
      <c r="GFB97" s="769"/>
      <c r="GFC97" s="769"/>
      <c r="GFD97" s="769"/>
      <c r="GFE97" s="769"/>
      <c r="GFF97" s="769"/>
      <c r="GFG97" s="769"/>
      <c r="GFH97" s="769"/>
      <c r="GFI97" s="769"/>
      <c r="GFJ97" s="769"/>
      <c r="GFK97" s="769"/>
      <c r="GFL97" s="769"/>
      <c r="GFM97" s="769"/>
      <c r="GFN97" s="769"/>
      <c r="GFO97" s="769"/>
      <c r="GFP97" s="769"/>
      <c r="GFQ97" s="769"/>
      <c r="GFR97" s="769"/>
      <c r="GFS97" s="769"/>
      <c r="GFT97" s="769"/>
      <c r="GFU97" s="769"/>
      <c r="GFV97" s="769"/>
      <c r="GFW97" s="769"/>
      <c r="GFX97" s="769"/>
      <c r="GFY97" s="769"/>
      <c r="GFZ97" s="769"/>
      <c r="GGA97" s="769"/>
      <c r="GGB97" s="769"/>
      <c r="GGC97" s="769"/>
      <c r="GGD97" s="769"/>
      <c r="GGE97" s="769"/>
      <c r="GGF97" s="769"/>
      <c r="GGG97" s="769"/>
      <c r="GGH97" s="769"/>
      <c r="GGI97" s="769"/>
      <c r="GGJ97" s="769"/>
      <c r="GGK97" s="769"/>
      <c r="GGL97" s="769"/>
      <c r="GGM97" s="769"/>
      <c r="GGN97" s="769"/>
      <c r="GGO97" s="769"/>
      <c r="GGP97" s="769"/>
      <c r="GGQ97" s="769"/>
      <c r="GGR97" s="769"/>
      <c r="GGS97" s="769"/>
      <c r="GGT97" s="769"/>
      <c r="GGU97" s="769"/>
      <c r="GGV97" s="769"/>
      <c r="GGW97" s="769"/>
      <c r="GGX97" s="769"/>
      <c r="GGY97" s="769"/>
      <c r="GGZ97" s="769"/>
      <c r="GHA97" s="769"/>
      <c r="GHB97" s="769"/>
      <c r="GHC97" s="769"/>
      <c r="GHD97" s="769"/>
      <c r="GHE97" s="769"/>
      <c r="GHF97" s="769"/>
      <c r="GHG97" s="769"/>
      <c r="GHH97" s="769"/>
      <c r="GHI97" s="769"/>
      <c r="GHJ97" s="769"/>
      <c r="GHK97" s="769"/>
      <c r="GHL97" s="769"/>
      <c r="GHM97" s="769"/>
      <c r="GHN97" s="769"/>
      <c r="GHO97" s="769"/>
      <c r="GHP97" s="769"/>
      <c r="GHQ97" s="769"/>
      <c r="GHR97" s="769"/>
      <c r="GHS97" s="769"/>
      <c r="GHT97" s="769"/>
      <c r="GHU97" s="769"/>
      <c r="GHV97" s="769"/>
      <c r="GHW97" s="769"/>
      <c r="GHX97" s="769"/>
      <c r="GHY97" s="769"/>
      <c r="GHZ97" s="769"/>
      <c r="GIA97" s="769"/>
      <c r="GIB97" s="769"/>
      <c r="GIC97" s="769"/>
      <c r="GID97" s="769"/>
      <c r="GIE97" s="769"/>
      <c r="GIF97" s="769"/>
      <c r="GIG97" s="769"/>
      <c r="GIH97" s="769"/>
      <c r="GII97" s="769"/>
      <c r="GIJ97" s="769"/>
      <c r="GIK97" s="769"/>
      <c r="GIL97" s="769"/>
      <c r="GIM97" s="769"/>
      <c r="GIN97" s="769"/>
      <c r="GIO97" s="769"/>
      <c r="GIP97" s="769"/>
      <c r="GIQ97" s="769"/>
      <c r="GIR97" s="769"/>
      <c r="GIS97" s="769"/>
      <c r="GIT97" s="769"/>
      <c r="GIU97" s="769"/>
      <c r="GIV97" s="769"/>
      <c r="GIW97" s="769"/>
      <c r="GIX97" s="769"/>
      <c r="GIY97" s="769"/>
      <c r="GIZ97" s="769"/>
      <c r="GJA97" s="769"/>
      <c r="GJB97" s="769"/>
      <c r="GJC97" s="769"/>
      <c r="GJD97" s="769"/>
      <c r="GJE97" s="769"/>
      <c r="GJF97" s="769"/>
      <c r="GJG97" s="769"/>
      <c r="GJH97" s="769"/>
      <c r="GJI97" s="769"/>
      <c r="GJJ97" s="769"/>
      <c r="GJK97" s="769"/>
      <c r="GJL97" s="769"/>
      <c r="GJM97" s="769"/>
      <c r="GJN97" s="769"/>
      <c r="GJO97" s="769"/>
      <c r="GJP97" s="769"/>
      <c r="GJQ97" s="769"/>
      <c r="GJR97" s="769"/>
      <c r="GJS97" s="769"/>
      <c r="GJT97" s="769"/>
      <c r="GJU97" s="769"/>
      <c r="GJV97" s="769"/>
      <c r="GJW97" s="769"/>
      <c r="GJX97" s="769"/>
      <c r="GJY97" s="769"/>
      <c r="GJZ97" s="769"/>
      <c r="GKA97" s="769"/>
      <c r="GKB97" s="769"/>
      <c r="GKC97" s="769"/>
      <c r="GKD97" s="769"/>
      <c r="GKE97" s="769"/>
      <c r="GKF97" s="769"/>
      <c r="GKG97" s="769"/>
      <c r="GKH97" s="769"/>
      <c r="GKI97" s="769"/>
      <c r="GKJ97" s="769"/>
      <c r="GKK97" s="769"/>
      <c r="GKL97" s="769"/>
      <c r="GKM97" s="769"/>
      <c r="GKN97" s="769"/>
      <c r="GKO97" s="769"/>
      <c r="GKP97" s="769"/>
      <c r="GKQ97" s="769"/>
      <c r="GKR97" s="769"/>
      <c r="GKS97" s="769"/>
      <c r="GKT97" s="769"/>
      <c r="GKU97" s="769"/>
      <c r="GKV97" s="769"/>
      <c r="GKW97" s="769"/>
      <c r="GKX97" s="769"/>
      <c r="GKY97" s="769"/>
      <c r="GKZ97" s="769"/>
      <c r="GLA97" s="769"/>
      <c r="GLB97" s="769"/>
      <c r="GLC97" s="769"/>
      <c r="GLD97" s="769"/>
      <c r="GLE97" s="769"/>
      <c r="GLF97" s="769"/>
      <c r="GLG97" s="769"/>
      <c r="GLH97" s="769"/>
      <c r="GLI97" s="769"/>
      <c r="GLJ97" s="769"/>
      <c r="GLK97" s="769"/>
      <c r="GLL97" s="769"/>
      <c r="GLM97" s="769"/>
      <c r="GLN97" s="769"/>
      <c r="GLO97" s="769"/>
      <c r="GLP97" s="769"/>
      <c r="GLQ97" s="769"/>
      <c r="GLR97" s="769"/>
      <c r="GLS97" s="769"/>
      <c r="GLT97" s="769"/>
      <c r="GLU97" s="769"/>
      <c r="GLV97" s="769"/>
      <c r="GLW97" s="769"/>
      <c r="GLX97" s="769"/>
      <c r="GLY97" s="769"/>
      <c r="GLZ97" s="769"/>
      <c r="GMA97" s="769"/>
      <c r="GMB97" s="769"/>
      <c r="GMC97" s="769"/>
      <c r="GMD97" s="769"/>
      <c r="GME97" s="769"/>
      <c r="GMF97" s="769"/>
      <c r="GMG97" s="769"/>
      <c r="GMH97" s="769"/>
      <c r="GMI97" s="769"/>
      <c r="GMJ97" s="769"/>
      <c r="GMK97" s="769"/>
      <c r="GML97" s="769"/>
      <c r="GMM97" s="769"/>
      <c r="GMN97" s="769"/>
      <c r="GMO97" s="769"/>
      <c r="GMP97" s="769"/>
      <c r="GMQ97" s="769"/>
      <c r="GMR97" s="769"/>
      <c r="GMS97" s="769"/>
      <c r="GMT97" s="769"/>
      <c r="GMU97" s="769"/>
      <c r="GMV97" s="769"/>
      <c r="GMW97" s="769"/>
      <c r="GMX97" s="769"/>
      <c r="GMY97" s="769"/>
      <c r="GMZ97" s="769"/>
      <c r="GNA97" s="769"/>
      <c r="GNB97" s="769"/>
      <c r="GNC97" s="769"/>
      <c r="GND97" s="769"/>
      <c r="GNE97" s="769"/>
      <c r="GNF97" s="769"/>
      <c r="GNG97" s="769"/>
      <c r="GNH97" s="769"/>
      <c r="GNI97" s="769"/>
      <c r="GNJ97" s="769"/>
      <c r="GNK97" s="769"/>
      <c r="GNL97" s="769"/>
      <c r="GNM97" s="769"/>
      <c r="GNN97" s="769"/>
      <c r="GNO97" s="769"/>
      <c r="GNP97" s="769"/>
      <c r="GNQ97" s="769"/>
      <c r="GNR97" s="769"/>
      <c r="GNS97" s="769"/>
      <c r="GNT97" s="769"/>
      <c r="GNU97" s="769"/>
      <c r="GNV97" s="769"/>
      <c r="GNW97" s="769"/>
      <c r="GNX97" s="769"/>
      <c r="GNY97" s="769"/>
      <c r="GNZ97" s="769"/>
      <c r="GOA97" s="769"/>
      <c r="GOB97" s="769"/>
      <c r="GOC97" s="769"/>
      <c r="GOD97" s="769"/>
      <c r="GOE97" s="769"/>
      <c r="GOF97" s="769"/>
      <c r="GOG97" s="769"/>
      <c r="GOH97" s="769"/>
      <c r="GOI97" s="769"/>
      <c r="GOJ97" s="769"/>
      <c r="GOK97" s="769"/>
      <c r="GOL97" s="769"/>
      <c r="GOM97" s="769"/>
      <c r="GON97" s="769"/>
      <c r="GOO97" s="769"/>
      <c r="GOP97" s="769"/>
      <c r="GOQ97" s="769"/>
      <c r="GOR97" s="769"/>
      <c r="GOS97" s="769"/>
      <c r="GOT97" s="769"/>
      <c r="GOU97" s="769"/>
      <c r="GOV97" s="769"/>
      <c r="GOW97" s="769"/>
      <c r="GOX97" s="769"/>
      <c r="GOY97" s="769"/>
      <c r="GOZ97" s="769"/>
      <c r="GPA97" s="769"/>
      <c r="GPB97" s="769"/>
      <c r="GPC97" s="769"/>
      <c r="GPD97" s="769"/>
      <c r="GPE97" s="769"/>
      <c r="GPF97" s="769"/>
      <c r="GPG97" s="769"/>
      <c r="GPH97" s="769"/>
      <c r="GPI97" s="769"/>
      <c r="GPJ97" s="769"/>
      <c r="GPK97" s="769"/>
      <c r="GPL97" s="769"/>
      <c r="GPM97" s="769"/>
      <c r="GPN97" s="769"/>
      <c r="GPO97" s="769"/>
      <c r="GPP97" s="769"/>
      <c r="GPQ97" s="769"/>
      <c r="GPR97" s="769"/>
      <c r="GPS97" s="769"/>
      <c r="GPT97" s="769"/>
      <c r="GPU97" s="769"/>
      <c r="GPV97" s="769"/>
      <c r="GPW97" s="769"/>
      <c r="GPX97" s="769"/>
      <c r="GPY97" s="769"/>
      <c r="GPZ97" s="769"/>
      <c r="GQA97" s="769"/>
      <c r="GQB97" s="769"/>
      <c r="GQC97" s="769"/>
      <c r="GQD97" s="769"/>
      <c r="GQE97" s="769"/>
      <c r="GQF97" s="769"/>
      <c r="GQG97" s="769"/>
      <c r="GQH97" s="769"/>
      <c r="GQI97" s="769"/>
      <c r="GQJ97" s="769"/>
      <c r="GQK97" s="769"/>
      <c r="GQL97" s="769"/>
      <c r="GQM97" s="769"/>
      <c r="GQN97" s="769"/>
      <c r="GQO97" s="769"/>
      <c r="GQP97" s="769"/>
      <c r="GQQ97" s="769"/>
      <c r="GQR97" s="769"/>
      <c r="GQS97" s="769"/>
      <c r="GQT97" s="769"/>
      <c r="GQU97" s="769"/>
      <c r="GQV97" s="769"/>
      <c r="GQW97" s="769"/>
      <c r="GQX97" s="769"/>
      <c r="GQY97" s="769"/>
      <c r="GQZ97" s="769"/>
      <c r="GRA97" s="769"/>
      <c r="GRB97" s="769"/>
      <c r="GRC97" s="769"/>
      <c r="GRD97" s="769"/>
      <c r="GRE97" s="769"/>
      <c r="GRF97" s="769"/>
      <c r="GRG97" s="769"/>
      <c r="GRH97" s="769"/>
      <c r="GRI97" s="769"/>
      <c r="GRJ97" s="769"/>
      <c r="GRK97" s="769"/>
      <c r="GRL97" s="769"/>
      <c r="GRM97" s="769"/>
      <c r="GRN97" s="769"/>
      <c r="GRO97" s="769"/>
      <c r="GRP97" s="769"/>
      <c r="GRQ97" s="769"/>
      <c r="GRR97" s="769"/>
      <c r="GRS97" s="769"/>
      <c r="GRT97" s="769"/>
      <c r="GRU97" s="769"/>
      <c r="GRV97" s="769"/>
      <c r="GRW97" s="769"/>
      <c r="GRX97" s="769"/>
      <c r="GRY97" s="769"/>
      <c r="GRZ97" s="769"/>
      <c r="GSA97" s="769"/>
      <c r="GSB97" s="769"/>
      <c r="GSC97" s="769"/>
      <c r="GSD97" s="769"/>
      <c r="GSE97" s="769"/>
      <c r="GSF97" s="769"/>
      <c r="GSG97" s="769"/>
      <c r="GSH97" s="769"/>
      <c r="GSI97" s="769"/>
      <c r="GSJ97" s="769"/>
      <c r="GSK97" s="769"/>
      <c r="GSL97" s="769"/>
      <c r="GSM97" s="769"/>
      <c r="GSN97" s="769"/>
      <c r="GSO97" s="769"/>
      <c r="GSP97" s="769"/>
      <c r="GSQ97" s="769"/>
      <c r="GSR97" s="769"/>
      <c r="GSS97" s="769"/>
      <c r="GST97" s="769"/>
      <c r="GSU97" s="769"/>
      <c r="GSV97" s="769"/>
      <c r="GSW97" s="769"/>
      <c r="GSX97" s="769"/>
      <c r="GSY97" s="769"/>
      <c r="GSZ97" s="769"/>
      <c r="GTA97" s="769"/>
      <c r="GTB97" s="769"/>
      <c r="GTC97" s="769"/>
      <c r="GTD97" s="769"/>
      <c r="GTE97" s="769"/>
      <c r="GTF97" s="769"/>
      <c r="GTG97" s="769"/>
      <c r="GTH97" s="769"/>
      <c r="GTI97" s="769"/>
      <c r="GTJ97" s="769"/>
      <c r="GTK97" s="769"/>
      <c r="GTL97" s="769"/>
      <c r="GTM97" s="769"/>
      <c r="GTN97" s="769"/>
      <c r="GTO97" s="769"/>
      <c r="GTP97" s="769"/>
      <c r="GTQ97" s="769"/>
      <c r="GTR97" s="769"/>
      <c r="GTS97" s="769"/>
      <c r="GTT97" s="769"/>
      <c r="GTU97" s="769"/>
      <c r="GTV97" s="769"/>
      <c r="GTW97" s="769"/>
      <c r="GTX97" s="769"/>
      <c r="GTY97" s="769"/>
      <c r="GTZ97" s="769"/>
      <c r="GUA97" s="769"/>
      <c r="GUB97" s="769"/>
      <c r="GUC97" s="769"/>
      <c r="GUD97" s="769"/>
      <c r="GUE97" s="769"/>
      <c r="GUF97" s="769"/>
      <c r="GUG97" s="769"/>
      <c r="GUH97" s="769"/>
      <c r="GUI97" s="769"/>
      <c r="GUJ97" s="769"/>
      <c r="GUK97" s="769"/>
      <c r="GUL97" s="769"/>
      <c r="GUM97" s="769"/>
      <c r="GUN97" s="769"/>
      <c r="GUO97" s="769"/>
      <c r="GUP97" s="769"/>
      <c r="GUQ97" s="769"/>
      <c r="GUR97" s="769"/>
      <c r="GUS97" s="769"/>
      <c r="GUT97" s="769"/>
      <c r="GUU97" s="769"/>
      <c r="GUV97" s="769"/>
      <c r="GUW97" s="769"/>
      <c r="GUX97" s="769"/>
      <c r="GUY97" s="769"/>
      <c r="GUZ97" s="769"/>
      <c r="GVA97" s="769"/>
      <c r="GVB97" s="769"/>
      <c r="GVC97" s="769"/>
      <c r="GVD97" s="769"/>
      <c r="GVE97" s="769"/>
      <c r="GVF97" s="769"/>
      <c r="GVG97" s="769"/>
      <c r="GVH97" s="769"/>
      <c r="GVI97" s="769"/>
      <c r="GVJ97" s="769"/>
      <c r="GVK97" s="769"/>
      <c r="GVL97" s="769"/>
      <c r="GVM97" s="769"/>
      <c r="GVN97" s="769"/>
      <c r="GVO97" s="769"/>
      <c r="GVP97" s="769"/>
      <c r="GVQ97" s="769"/>
      <c r="GVR97" s="769"/>
      <c r="GVS97" s="769"/>
      <c r="GVT97" s="769"/>
      <c r="GVU97" s="769"/>
      <c r="GVV97" s="769"/>
      <c r="GVW97" s="769"/>
      <c r="GVX97" s="769"/>
      <c r="GVY97" s="769"/>
      <c r="GVZ97" s="769"/>
      <c r="GWA97" s="769"/>
      <c r="GWB97" s="769"/>
      <c r="GWC97" s="769"/>
      <c r="GWD97" s="769"/>
      <c r="GWE97" s="769"/>
      <c r="GWF97" s="769"/>
      <c r="GWG97" s="769"/>
      <c r="GWH97" s="769"/>
      <c r="GWI97" s="769"/>
      <c r="GWJ97" s="769"/>
      <c r="GWK97" s="769"/>
      <c r="GWL97" s="769"/>
      <c r="GWM97" s="769"/>
      <c r="GWN97" s="769"/>
      <c r="GWO97" s="769"/>
      <c r="GWP97" s="769"/>
      <c r="GWQ97" s="769"/>
      <c r="GWR97" s="769"/>
      <c r="GWS97" s="769"/>
      <c r="GWT97" s="769"/>
      <c r="GWU97" s="769"/>
      <c r="GWV97" s="769"/>
      <c r="GWW97" s="769"/>
      <c r="GWX97" s="769"/>
      <c r="GWY97" s="769"/>
      <c r="GWZ97" s="769"/>
      <c r="GXA97" s="769"/>
      <c r="GXB97" s="769"/>
      <c r="GXC97" s="769"/>
      <c r="GXD97" s="769"/>
      <c r="GXE97" s="769"/>
      <c r="GXF97" s="769"/>
      <c r="GXG97" s="769"/>
      <c r="GXH97" s="769"/>
      <c r="GXI97" s="769"/>
      <c r="GXJ97" s="769"/>
      <c r="GXK97" s="769"/>
      <c r="GXL97" s="769"/>
      <c r="GXM97" s="769"/>
      <c r="GXN97" s="769"/>
      <c r="GXO97" s="769"/>
      <c r="GXP97" s="769"/>
      <c r="GXQ97" s="769"/>
      <c r="GXR97" s="769"/>
      <c r="GXS97" s="769"/>
      <c r="GXT97" s="769"/>
      <c r="GXU97" s="769"/>
      <c r="GXV97" s="769"/>
      <c r="GXW97" s="769"/>
      <c r="GXX97" s="769"/>
      <c r="GXY97" s="769"/>
      <c r="GXZ97" s="769"/>
      <c r="GYA97" s="769"/>
      <c r="GYB97" s="769"/>
      <c r="GYC97" s="769"/>
      <c r="GYD97" s="769"/>
      <c r="GYE97" s="769"/>
      <c r="GYF97" s="769"/>
      <c r="GYG97" s="769"/>
      <c r="GYH97" s="769"/>
      <c r="GYI97" s="769"/>
      <c r="GYJ97" s="769"/>
      <c r="GYK97" s="769"/>
      <c r="GYL97" s="769"/>
      <c r="GYM97" s="769"/>
      <c r="GYN97" s="769"/>
      <c r="GYO97" s="769"/>
      <c r="GYP97" s="769"/>
      <c r="GYQ97" s="769"/>
      <c r="GYR97" s="769"/>
      <c r="GYS97" s="769"/>
      <c r="GYT97" s="769"/>
      <c r="GYU97" s="769"/>
      <c r="GYV97" s="769"/>
      <c r="GYW97" s="769"/>
      <c r="GYX97" s="769"/>
      <c r="GYY97" s="769"/>
      <c r="GYZ97" s="769"/>
      <c r="GZA97" s="769"/>
      <c r="GZB97" s="769"/>
      <c r="GZC97" s="769"/>
      <c r="GZD97" s="769"/>
      <c r="GZE97" s="769"/>
      <c r="GZF97" s="769"/>
      <c r="GZG97" s="769"/>
      <c r="GZH97" s="769"/>
      <c r="GZI97" s="769"/>
      <c r="GZJ97" s="769"/>
      <c r="GZK97" s="769"/>
      <c r="GZL97" s="769"/>
      <c r="GZM97" s="769"/>
      <c r="GZN97" s="769"/>
      <c r="GZO97" s="769"/>
      <c r="GZP97" s="769"/>
      <c r="GZQ97" s="769"/>
      <c r="GZR97" s="769"/>
      <c r="GZS97" s="769"/>
      <c r="GZT97" s="769"/>
      <c r="GZU97" s="769"/>
      <c r="GZV97" s="769"/>
      <c r="GZW97" s="769"/>
      <c r="GZX97" s="769"/>
      <c r="GZY97" s="769"/>
      <c r="GZZ97" s="769"/>
      <c r="HAA97" s="769"/>
      <c r="HAB97" s="769"/>
      <c r="HAC97" s="769"/>
      <c r="HAD97" s="769"/>
      <c r="HAE97" s="769"/>
      <c r="HAF97" s="769"/>
      <c r="HAG97" s="769"/>
      <c r="HAH97" s="769"/>
      <c r="HAI97" s="769"/>
      <c r="HAJ97" s="769"/>
      <c r="HAK97" s="769"/>
      <c r="HAL97" s="769"/>
      <c r="HAM97" s="769"/>
      <c r="HAN97" s="769"/>
      <c r="HAO97" s="769"/>
      <c r="HAP97" s="769"/>
      <c r="HAQ97" s="769"/>
      <c r="HAR97" s="769"/>
      <c r="HAS97" s="769"/>
      <c r="HAT97" s="769"/>
      <c r="HAU97" s="769"/>
      <c r="HAV97" s="769"/>
      <c r="HAW97" s="769"/>
      <c r="HAX97" s="769"/>
      <c r="HAY97" s="769"/>
      <c r="HAZ97" s="769"/>
      <c r="HBA97" s="769"/>
      <c r="HBB97" s="769"/>
      <c r="HBC97" s="769"/>
      <c r="HBD97" s="769"/>
      <c r="HBE97" s="769"/>
      <c r="HBF97" s="769"/>
      <c r="HBG97" s="769"/>
      <c r="HBH97" s="769"/>
      <c r="HBI97" s="769"/>
      <c r="HBJ97" s="769"/>
      <c r="HBK97" s="769"/>
      <c r="HBL97" s="769"/>
      <c r="HBM97" s="769"/>
      <c r="HBN97" s="769"/>
      <c r="HBO97" s="769"/>
      <c r="HBP97" s="769"/>
      <c r="HBQ97" s="769"/>
      <c r="HBR97" s="769"/>
      <c r="HBS97" s="769"/>
      <c r="HBT97" s="769"/>
      <c r="HBU97" s="769"/>
      <c r="HBV97" s="769"/>
      <c r="HBW97" s="769"/>
      <c r="HBX97" s="769"/>
      <c r="HBY97" s="769"/>
      <c r="HBZ97" s="769"/>
      <c r="HCA97" s="769"/>
      <c r="HCB97" s="769"/>
      <c r="HCC97" s="769"/>
      <c r="HCD97" s="769"/>
      <c r="HCE97" s="769"/>
      <c r="HCF97" s="769"/>
      <c r="HCG97" s="769"/>
      <c r="HCH97" s="769"/>
      <c r="HCI97" s="769"/>
      <c r="HCJ97" s="769"/>
      <c r="HCK97" s="769"/>
      <c r="HCL97" s="769"/>
      <c r="HCM97" s="769"/>
      <c r="HCN97" s="769"/>
      <c r="HCO97" s="769"/>
      <c r="HCP97" s="769"/>
      <c r="HCQ97" s="769"/>
      <c r="HCR97" s="769"/>
      <c r="HCS97" s="769"/>
      <c r="HCT97" s="769"/>
      <c r="HCU97" s="769"/>
      <c r="HCV97" s="769"/>
      <c r="HCW97" s="769"/>
      <c r="HCX97" s="769"/>
      <c r="HCY97" s="769"/>
      <c r="HCZ97" s="769"/>
      <c r="HDA97" s="769"/>
      <c r="HDB97" s="769"/>
      <c r="HDC97" s="769"/>
      <c r="HDD97" s="769"/>
      <c r="HDE97" s="769"/>
      <c r="HDF97" s="769"/>
      <c r="HDG97" s="769"/>
      <c r="HDH97" s="769"/>
      <c r="HDI97" s="769"/>
      <c r="HDJ97" s="769"/>
      <c r="HDK97" s="769"/>
      <c r="HDL97" s="769"/>
      <c r="HDM97" s="769"/>
      <c r="HDN97" s="769"/>
      <c r="HDO97" s="769"/>
      <c r="HDP97" s="769"/>
      <c r="HDQ97" s="769"/>
      <c r="HDR97" s="769"/>
      <c r="HDS97" s="769"/>
      <c r="HDT97" s="769"/>
      <c r="HDU97" s="769"/>
      <c r="HDV97" s="769"/>
      <c r="HDW97" s="769"/>
      <c r="HDX97" s="769"/>
      <c r="HDY97" s="769"/>
      <c r="HDZ97" s="769"/>
      <c r="HEA97" s="769"/>
      <c r="HEB97" s="769"/>
      <c r="HEC97" s="769"/>
      <c r="HED97" s="769"/>
      <c r="HEE97" s="769"/>
      <c r="HEF97" s="769"/>
      <c r="HEG97" s="769"/>
      <c r="HEH97" s="769"/>
      <c r="HEI97" s="769"/>
      <c r="HEJ97" s="769"/>
      <c r="HEK97" s="769"/>
      <c r="HEL97" s="769"/>
      <c r="HEM97" s="769"/>
      <c r="HEN97" s="769"/>
      <c r="HEO97" s="769"/>
      <c r="HEP97" s="769"/>
      <c r="HEQ97" s="769"/>
      <c r="HER97" s="769"/>
      <c r="HES97" s="769"/>
      <c r="HET97" s="769"/>
      <c r="HEU97" s="769"/>
      <c r="HEV97" s="769"/>
      <c r="HEW97" s="769"/>
      <c r="HEX97" s="769"/>
      <c r="HEY97" s="769"/>
      <c r="HEZ97" s="769"/>
      <c r="HFA97" s="769"/>
      <c r="HFB97" s="769"/>
      <c r="HFC97" s="769"/>
      <c r="HFD97" s="769"/>
      <c r="HFE97" s="769"/>
      <c r="HFF97" s="769"/>
      <c r="HFG97" s="769"/>
      <c r="HFH97" s="769"/>
      <c r="HFI97" s="769"/>
      <c r="HFJ97" s="769"/>
      <c r="HFK97" s="769"/>
      <c r="HFL97" s="769"/>
      <c r="HFM97" s="769"/>
      <c r="HFN97" s="769"/>
      <c r="HFO97" s="769"/>
      <c r="HFP97" s="769"/>
      <c r="HFQ97" s="769"/>
      <c r="HFR97" s="769"/>
      <c r="HFS97" s="769"/>
      <c r="HFT97" s="769"/>
      <c r="HFU97" s="769"/>
      <c r="HFV97" s="769"/>
      <c r="HFW97" s="769"/>
      <c r="HFX97" s="769"/>
      <c r="HFY97" s="769"/>
      <c r="HFZ97" s="769"/>
      <c r="HGA97" s="769"/>
      <c r="HGB97" s="769"/>
      <c r="HGC97" s="769"/>
      <c r="HGD97" s="769"/>
      <c r="HGE97" s="769"/>
      <c r="HGF97" s="769"/>
      <c r="HGG97" s="769"/>
      <c r="HGH97" s="769"/>
      <c r="HGI97" s="769"/>
      <c r="HGJ97" s="769"/>
      <c r="HGK97" s="769"/>
      <c r="HGL97" s="769"/>
      <c r="HGM97" s="769"/>
      <c r="HGN97" s="769"/>
      <c r="HGO97" s="769"/>
      <c r="HGP97" s="769"/>
      <c r="HGQ97" s="769"/>
      <c r="HGR97" s="769"/>
      <c r="HGS97" s="769"/>
      <c r="HGT97" s="769"/>
      <c r="HGU97" s="769"/>
      <c r="HGV97" s="769"/>
      <c r="HGW97" s="769"/>
      <c r="HGX97" s="769"/>
      <c r="HGY97" s="769"/>
      <c r="HGZ97" s="769"/>
      <c r="HHA97" s="769"/>
      <c r="HHB97" s="769"/>
      <c r="HHC97" s="769"/>
      <c r="HHD97" s="769"/>
      <c r="HHE97" s="769"/>
      <c r="HHF97" s="769"/>
      <c r="HHG97" s="769"/>
      <c r="HHH97" s="769"/>
      <c r="HHI97" s="769"/>
      <c r="HHJ97" s="769"/>
      <c r="HHK97" s="769"/>
      <c r="HHL97" s="769"/>
      <c r="HHM97" s="769"/>
      <c r="HHN97" s="769"/>
      <c r="HHO97" s="769"/>
      <c r="HHP97" s="769"/>
      <c r="HHQ97" s="769"/>
      <c r="HHR97" s="769"/>
      <c r="HHS97" s="769"/>
      <c r="HHT97" s="769"/>
      <c r="HHU97" s="769"/>
      <c r="HHV97" s="769"/>
      <c r="HHW97" s="769"/>
      <c r="HHX97" s="769"/>
      <c r="HHY97" s="769"/>
      <c r="HHZ97" s="769"/>
      <c r="HIA97" s="769"/>
      <c r="HIB97" s="769"/>
      <c r="HIC97" s="769"/>
      <c r="HID97" s="769"/>
      <c r="HIE97" s="769"/>
      <c r="HIF97" s="769"/>
      <c r="HIG97" s="769"/>
      <c r="HIH97" s="769"/>
      <c r="HII97" s="769"/>
      <c r="HIJ97" s="769"/>
      <c r="HIK97" s="769"/>
      <c r="HIL97" s="769"/>
      <c r="HIM97" s="769"/>
      <c r="HIN97" s="769"/>
      <c r="HIO97" s="769"/>
      <c r="HIP97" s="769"/>
      <c r="HIQ97" s="769"/>
      <c r="HIR97" s="769"/>
      <c r="HIS97" s="769"/>
      <c r="HIT97" s="769"/>
      <c r="HIU97" s="769"/>
      <c r="HIV97" s="769"/>
      <c r="HIW97" s="769"/>
      <c r="HIX97" s="769"/>
      <c r="HIY97" s="769"/>
      <c r="HIZ97" s="769"/>
      <c r="HJA97" s="769"/>
      <c r="HJB97" s="769"/>
      <c r="HJC97" s="769"/>
      <c r="HJD97" s="769"/>
      <c r="HJE97" s="769"/>
      <c r="HJF97" s="769"/>
      <c r="HJG97" s="769"/>
      <c r="HJH97" s="769"/>
      <c r="HJI97" s="769"/>
      <c r="HJJ97" s="769"/>
      <c r="HJK97" s="769"/>
      <c r="HJL97" s="769"/>
      <c r="HJM97" s="769"/>
      <c r="HJN97" s="769"/>
      <c r="HJO97" s="769"/>
      <c r="HJP97" s="769"/>
      <c r="HJQ97" s="769"/>
      <c r="HJR97" s="769"/>
      <c r="HJS97" s="769"/>
      <c r="HJT97" s="769"/>
      <c r="HJU97" s="769"/>
      <c r="HJV97" s="769"/>
      <c r="HJW97" s="769"/>
      <c r="HJX97" s="769"/>
      <c r="HJY97" s="769"/>
      <c r="HJZ97" s="769"/>
      <c r="HKA97" s="769"/>
      <c r="HKB97" s="769"/>
      <c r="HKC97" s="769"/>
      <c r="HKD97" s="769"/>
      <c r="HKE97" s="769"/>
      <c r="HKF97" s="769"/>
      <c r="HKG97" s="769"/>
      <c r="HKH97" s="769"/>
      <c r="HKI97" s="769"/>
      <c r="HKJ97" s="769"/>
      <c r="HKK97" s="769"/>
      <c r="HKL97" s="769"/>
      <c r="HKM97" s="769"/>
      <c r="HKN97" s="769"/>
      <c r="HKO97" s="769"/>
      <c r="HKP97" s="769"/>
      <c r="HKQ97" s="769"/>
      <c r="HKR97" s="769"/>
      <c r="HKS97" s="769"/>
      <c r="HKT97" s="769"/>
      <c r="HKU97" s="769"/>
      <c r="HKV97" s="769"/>
      <c r="HKW97" s="769"/>
      <c r="HKX97" s="769"/>
      <c r="HKY97" s="769"/>
      <c r="HKZ97" s="769"/>
      <c r="HLA97" s="769"/>
      <c r="HLB97" s="769"/>
      <c r="HLC97" s="769"/>
      <c r="HLD97" s="769"/>
      <c r="HLE97" s="769"/>
      <c r="HLF97" s="769"/>
      <c r="HLG97" s="769"/>
      <c r="HLH97" s="769"/>
      <c r="HLI97" s="769"/>
      <c r="HLJ97" s="769"/>
      <c r="HLK97" s="769"/>
      <c r="HLL97" s="769"/>
      <c r="HLM97" s="769"/>
      <c r="HLN97" s="769"/>
      <c r="HLO97" s="769"/>
      <c r="HLP97" s="769"/>
      <c r="HLQ97" s="769"/>
      <c r="HLR97" s="769"/>
      <c r="HLS97" s="769"/>
      <c r="HLT97" s="769"/>
      <c r="HLU97" s="769"/>
      <c r="HLV97" s="769"/>
      <c r="HLW97" s="769"/>
      <c r="HLX97" s="769"/>
      <c r="HLY97" s="769"/>
      <c r="HLZ97" s="769"/>
      <c r="HMA97" s="769"/>
      <c r="HMB97" s="769"/>
      <c r="HMC97" s="769"/>
      <c r="HMD97" s="769"/>
      <c r="HME97" s="769"/>
      <c r="HMF97" s="769"/>
      <c r="HMG97" s="769"/>
      <c r="HMH97" s="769"/>
      <c r="HMI97" s="769"/>
      <c r="HMJ97" s="769"/>
      <c r="HMK97" s="769"/>
      <c r="HML97" s="769"/>
      <c r="HMM97" s="769"/>
      <c r="HMN97" s="769"/>
      <c r="HMO97" s="769"/>
      <c r="HMP97" s="769"/>
      <c r="HMQ97" s="769"/>
      <c r="HMR97" s="769"/>
      <c r="HMS97" s="769"/>
      <c r="HMT97" s="769"/>
      <c r="HMU97" s="769"/>
      <c r="HMV97" s="769"/>
      <c r="HMW97" s="769"/>
      <c r="HMX97" s="769"/>
      <c r="HMY97" s="769"/>
      <c r="HMZ97" s="769"/>
      <c r="HNA97" s="769"/>
      <c r="HNB97" s="769"/>
      <c r="HNC97" s="769"/>
      <c r="HND97" s="769"/>
      <c r="HNE97" s="769"/>
      <c r="HNF97" s="769"/>
      <c r="HNG97" s="769"/>
      <c r="HNH97" s="769"/>
      <c r="HNI97" s="769"/>
      <c r="HNJ97" s="769"/>
      <c r="HNK97" s="769"/>
      <c r="HNL97" s="769"/>
      <c r="HNM97" s="769"/>
      <c r="HNN97" s="769"/>
      <c r="HNO97" s="769"/>
      <c r="HNP97" s="769"/>
      <c r="HNQ97" s="769"/>
      <c r="HNR97" s="769"/>
      <c r="HNS97" s="769"/>
      <c r="HNT97" s="769"/>
      <c r="HNU97" s="769"/>
      <c r="HNV97" s="769"/>
      <c r="HNW97" s="769"/>
      <c r="HNX97" s="769"/>
      <c r="HNY97" s="769"/>
      <c r="HNZ97" s="769"/>
      <c r="HOA97" s="769"/>
      <c r="HOB97" s="769"/>
      <c r="HOC97" s="769"/>
      <c r="HOD97" s="769"/>
      <c r="HOE97" s="769"/>
      <c r="HOF97" s="769"/>
      <c r="HOG97" s="769"/>
      <c r="HOH97" s="769"/>
      <c r="HOI97" s="769"/>
      <c r="HOJ97" s="769"/>
      <c r="HOK97" s="769"/>
      <c r="HOL97" s="769"/>
      <c r="HOM97" s="769"/>
      <c r="HON97" s="769"/>
      <c r="HOO97" s="769"/>
      <c r="HOP97" s="769"/>
      <c r="HOQ97" s="769"/>
      <c r="HOR97" s="769"/>
      <c r="HOS97" s="769"/>
      <c r="HOT97" s="769"/>
      <c r="HOU97" s="769"/>
      <c r="HOV97" s="769"/>
      <c r="HOW97" s="769"/>
      <c r="HOX97" s="769"/>
      <c r="HOY97" s="769"/>
      <c r="HOZ97" s="769"/>
      <c r="HPA97" s="769"/>
      <c r="HPB97" s="769"/>
      <c r="HPC97" s="769"/>
      <c r="HPD97" s="769"/>
      <c r="HPE97" s="769"/>
      <c r="HPF97" s="769"/>
      <c r="HPG97" s="769"/>
      <c r="HPH97" s="769"/>
      <c r="HPI97" s="769"/>
      <c r="HPJ97" s="769"/>
      <c r="HPK97" s="769"/>
      <c r="HPL97" s="769"/>
      <c r="HPM97" s="769"/>
      <c r="HPN97" s="769"/>
      <c r="HPO97" s="769"/>
      <c r="HPP97" s="769"/>
      <c r="HPQ97" s="769"/>
      <c r="HPR97" s="769"/>
      <c r="HPS97" s="769"/>
      <c r="HPT97" s="769"/>
      <c r="HPU97" s="769"/>
      <c r="HPV97" s="769"/>
      <c r="HPW97" s="769"/>
      <c r="HPX97" s="769"/>
      <c r="HPY97" s="769"/>
      <c r="HPZ97" s="769"/>
      <c r="HQA97" s="769"/>
      <c r="HQB97" s="769"/>
      <c r="HQC97" s="769"/>
      <c r="HQD97" s="769"/>
      <c r="HQE97" s="769"/>
      <c r="HQF97" s="769"/>
      <c r="HQG97" s="769"/>
      <c r="HQH97" s="769"/>
      <c r="HQI97" s="769"/>
      <c r="HQJ97" s="769"/>
      <c r="HQK97" s="769"/>
      <c r="HQL97" s="769"/>
      <c r="HQM97" s="769"/>
      <c r="HQN97" s="769"/>
      <c r="HQO97" s="769"/>
      <c r="HQP97" s="769"/>
      <c r="HQQ97" s="769"/>
      <c r="HQR97" s="769"/>
      <c r="HQS97" s="769"/>
      <c r="HQT97" s="769"/>
      <c r="HQU97" s="769"/>
      <c r="HQV97" s="769"/>
      <c r="HQW97" s="769"/>
      <c r="HQX97" s="769"/>
      <c r="HQY97" s="769"/>
      <c r="HQZ97" s="769"/>
      <c r="HRA97" s="769"/>
      <c r="HRB97" s="769"/>
      <c r="HRC97" s="769"/>
      <c r="HRD97" s="769"/>
      <c r="HRE97" s="769"/>
      <c r="HRF97" s="769"/>
      <c r="HRG97" s="769"/>
      <c r="HRH97" s="769"/>
      <c r="HRI97" s="769"/>
      <c r="HRJ97" s="769"/>
      <c r="HRK97" s="769"/>
      <c r="HRL97" s="769"/>
      <c r="HRM97" s="769"/>
      <c r="HRN97" s="769"/>
      <c r="HRO97" s="769"/>
      <c r="HRP97" s="769"/>
      <c r="HRQ97" s="769"/>
      <c r="HRR97" s="769"/>
      <c r="HRS97" s="769"/>
      <c r="HRT97" s="769"/>
      <c r="HRU97" s="769"/>
      <c r="HRV97" s="769"/>
      <c r="HRW97" s="769"/>
      <c r="HRX97" s="769"/>
      <c r="HRY97" s="769"/>
      <c r="HRZ97" s="769"/>
      <c r="HSA97" s="769"/>
      <c r="HSB97" s="769"/>
      <c r="HSC97" s="769"/>
      <c r="HSD97" s="769"/>
      <c r="HSE97" s="769"/>
      <c r="HSF97" s="769"/>
      <c r="HSG97" s="769"/>
      <c r="HSH97" s="769"/>
      <c r="HSI97" s="769"/>
      <c r="HSJ97" s="769"/>
      <c r="HSK97" s="769"/>
      <c r="HSL97" s="769"/>
      <c r="HSM97" s="769"/>
      <c r="HSN97" s="769"/>
      <c r="HSO97" s="769"/>
      <c r="HSP97" s="769"/>
      <c r="HSQ97" s="769"/>
      <c r="HSR97" s="769"/>
      <c r="HSS97" s="769"/>
      <c r="HST97" s="769"/>
      <c r="HSU97" s="769"/>
      <c r="HSV97" s="769"/>
      <c r="HSW97" s="769"/>
      <c r="HSX97" s="769"/>
      <c r="HSY97" s="769"/>
      <c r="HSZ97" s="769"/>
      <c r="HTA97" s="769"/>
      <c r="HTB97" s="769"/>
      <c r="HTC97" s="769"/>
      <c r="HTD97" s="769"/>
      <c r="HTE97" s="769"/>
      <c r="HTF97" s="769"/>
      <c r="HTG97" s="769"/>
      <c r="HTH97" s="769"/>
      <c r="HTI97" s="769"/>
      <c r="HTJ97" s="769"/>
      <c r="HTK97" s="769"/>
      <c r="HTL97" s="769"/>
      <c r="HTM97" s="769"/>
      <c r="HTN97" s="769"/>
      <c r="HTO97" s="769"/>
      <c r="HTP97" s="769"/>
      <c r="HTQ97" s="769"/>
      <c r="HTR97" s="769"/>
      <c r="HTS97" s="769"/>
      <c r="HTT97" s="769"/>
      <c r="HTU97" s="769"/>
      <c r="HTV97" s="769"/>
      <c r="HTW97" s="769"/>
      <c r="HTX97" s="769"/>
      <c r="HTY97" s="769"/>
      <c r="HTZ97" s="769"/>
      <c r="HUA97" s="769"/>
      <c r="HUB97" s="769"/>
      <c r="HUC97" s="769"/>
      <c r="HUD97" s="769"/>
      <c r="HUE97" s="769"/>
      <c r="HUF97" s="769"/>
      <c r="HUG97" s="769"/>
      <c r="HUH97" s="769"/>
      <c r="HUI97" s="769"/>
      <c r="HUJ97" s="769"/>
      <c r="HUK97" s="769"/>
      <c r="HUL97" s="769"/>
      <c r="HUM97" s="769"/>
      <c r="HUN97" s="769"/>
      <c r="HUO97" s="769"/>
      <c r="HUP97" s="769"/>
      <c r="HUQ97" s="769"/>
      <c r="HUR97" s="769"/>
      <c r="HUS97" s="769"/>
      <c r="HUT97" s="769"/>
      <c r="HUU97" s="769"/>
      <c r="HUV97" s="769"/>
      <c r="HUW97" s="769"/>
      <c r="HUX97" s="769"/>
      <c r="HUY97" s="769"/>
      <c r="HUZ97" s="769"/>
      <c r="HVA97" s="769"/>
      <c r="HVB97" s="769"/>
      <c r="HVC97" s="769"/>
      <c r="HVD97" s="769"/>
      <c r="HVE97" s="769"/>
      <c r="HVF97" s="769"/>
      <c r="HVG97" s="769"/>
      <c r="HVH97" s="769"/>
      <c r="HVI97" s="769"/>
      <c r="HVJ97" s="769"/>
      <c r="HVK97" s="769"/>
      <c r="HVL97" s="769"/>
      <c r="HVM97" s="769"/>
      <c r="HVN97" s="769"/>
      <c r="HVO97" s="769"/>
      <c r="HVP97" s="769"/>
      <c r="HVQ97" s="769"/>
      <c r="HVR97" s="769"/>
      <c r="HVS97" s="769"/>
      <c r="HVT97" s="769"/>
      <c r="HVU97" s="769"/>
      <c r="HVV97" s="769"/>
      <c r="HVW97" s="769"/>
      <c r="HVX97" s="769"/>
      <c r="HVY97" s="769"/>
      <c r="HVZ97" s="769"/>
      <c r="HWA97" s="769"/>
      <c r="HWB97" s="769"/>
      <c r="HWC97" s="769"/>
      <c r="HWD97" s="769"/>
      <c r="HWE97" s="769"/>
      <c r="HWF97" s="769"/>
      <c r="HWG97" s="769"/>
      <c r="HWH97" s="769"/>
      <c r="HWI97" s="769"/>
      <c r="HWJ97" s="769"/>
      <c r="HWK97" s="769"/>
      <c r="HWL97" s="769"/>
      <c r="HWM97" s="769"/>
      <c r="HWN97" s="769"/>
      <c r="HWO97" s="769"/>
      <c r="HWP97" s="769"/>
      <c r="HWQ97" s="769"/>
      <c r="HWR97" s="769"/>
      <c r="HWS97" s="769"/>
      <c r="HWT97" s="769"/>
      <c r="HWU97" s="769"/>
      <c r="HWV97" s="769"/>
      <c r="HWW97" s="769"/>
      <c r="HWX97" s="769"/>
      <c r="HWY97" s="769"/>
      <c r="HWZ97" s="769"/>
      <c r="HXA97" s="769"/>
      <c r="HXB97" s="769"/>
      <c r="HXC97" s="769"/>
      <c r="HXD97" s="769"/>
      <c r="HXE97" s="769"/>
      <c r="HXF97" s="769"/>
      <c r="HXG97" s="769"/>
      <c r="HXH97" s="769"/>
      <c r="HXI97" s="769"/>
      <c r="HXJ97" s="769"/>
      <c r="HXK97" s="769"/>
      <c r="HXL97" s="769"/>
      <c r="HXM97" s="769"/>
      <c r="HXN97" s="769"/>
      <c r="HXO97" s="769"/>
      <c r="HXP97" s="769"/>
      <c r="HXQ97" s="769"/>
      <c r="HXR97" s="769"/>
      <c r="HXS97" s="769"/>
      <c r="HXT97" s="769"/>
      <c r="HXU97" s="769"/>
      <c r="HXV97" s="769"/>
      <c r="HXW97" s="769"/>
      <c r="HXX97" s="769"/>
      <c r="HXY97" s="769"/>
      <c r="HXZ97" s="769"/>
      <c r="HYA97" s="769"/>
      <c r="HYB97" s="769"/>
      <c r="HYC97" s="769"/>
      <c r="HYD97" s="769"/>
      <c r="HYE97" s="769"/>
      <c r="HYF97" s="769"/>
      <c r="HYG97" s="769"/>
      <c r="HYH97" s="769"/>
      <c r="HYI97" s="769"/>
      <c r="HYJ97" s="769"/>
      <c r="HYK97" s="769"/>
      <c r="HYL97" s="769"/>
      <c r="HYM97" s="769"/>
      <c r="HYN97" s="769"/>
      <c r="HYO97" s="769"/>
      <c r="HYP97" s="769"/>
      <c r="HYQ97" s="769"/>
      <c r="HYR97" s="769"/>
      <c r="HYS97" s="769"/>
      <c r="HYT97" s="769"/>
      <c r="HYU97" s="769"/>
      <c r="HYV97" s="769"/>
      <c r="HYW97" s="769"/>
      <c r="HYX97" s="769"/>
      <c r="HYY97" s="769"/>
      <c r="HYZ97" s="769"/>
      <c r="HZA97" s="769"/>
      <c r="HZB97" s="769"/>
      <c r="HZC97" s="769"/>
      <c r="HZD97" s="769"/>
      <c r="HZE97" s="769"/>
      <c r="HZF97" s="769"/>
      <c r="HZG97" s="769"/>
      <c r="HZH97" s="769"/>
      <c r="HZI97" s="769"/>
      <c r="HZJ97" s="769"/>
      <c r="HZK97" s="769"/>
      <c r="HZL97" s="769"/>
      <c r="HZM97" s="769"/>
      <c r="HZN97" s="769"/>
      <c r="HZO97" s="769"/>
      <c r="HZP97" s="769"/>
      <c r="HZQ97" s="769"/>
      <c r="HZR97" s="769"/>
      <c r="HZS97" s="769"/>
      <c r="HZT97" s="769"/>
      <c r="HZU97" s="769"/>
      <c r="HZV97" s="769"/>
      <c r="HZW97" s="769"/>
      <c r="HZX97" s="769"/>
      <c r="HZY97" s="769"/>
      <c r="HZZ97" s="769"/>
      <c r="IAA97" s="769"/>
      <c r="IAB97" s="769"/>
      <c r="IAC97" s="769"/>
      <c r="IAD97" s="769"/>
      <c r="IAE97" s="769"/>
      <c r="IAF97" s="769"/>
      <c r="IAG97" s="769"/>
      <c r="IAH97" s="769"/>
      <c r="IAI97" s="769"/>
      <c r="IAJ97" s="769"/>
      <c r="IAK97" s="769"/>
      <c r="IAL97" s="769"/>
      <c r="IAM97" s="769"/>
      <c r="IAN97" s="769"/>
      <c r="IAO97" s="769"/>
      <c r="IAP97" s="769"/>
      <c r="IAQ97" s="769"/>
      <c r="IAR97" s="769"/>
      <c r="IAS97" s="769"/>
      <c r="IAT97" s="769"/>
      <c r="IAU97" s="769"/>
      <c r="IAV97" s="769"/>
      <c r="IAW97" s="769"/>
      <c r="IAX97" s="769"/>
      <c r="IAY97" s="769"/>
      <c r="IAZ97" s="769"/>
      <c r="IBA97" s="769"/>
      <c r="IBB97" s="769"/>
      <c r="IBC97" s="769"/>
      <c r="IBD97" s="769"/>
      <c r="IBE97" s="769"/>
      <c r="IBF97" s="769"/>
      <c r="IBG97" s="769"/>
      <c r="IBH97" s="769"/>
      <c r="IBI97" s="769"/>
      <c r="IBJ97" s="769"/>
      <c r="IBK97" s="769"/>
      <c r="IBL97" s="769"/>
      <c r="IBM97" s="769"/>
      <c r="IBN97" s="769"/>
      <c r="IBO97" s="769"/>
      <c r="IBP97" s="769"/>
      <c r="IBQ97" s="769"/>
      <c r="IBR97" s="769"/>
      <c r="IBS97" s="769"/>
      <c r="IBT97" s="769"/>
      <c r="IBU97" s="769"/>
      <c r="IBV97" s="769"/>
      <c r="IBW97" s="769"/>
      <c r="IBX97" s="769"/>
      <c r="IBY97" s="769"/>
      <c r="IBZ97" s="769"/>
      <c r="ICA97" s="769"/>
      <c r="ICB97" s="769"/>
      <c r="ICC97" s="769"/>
      <c r="ICD97" s="769"/>
      <c r="ICE97" s="769"/>
      <c r="ICF97" s="769"/>
      <c r="ICG97" s="769"/>
      <c r="ICH97" s="769"/>
      <c r="ICI97" s="769"/>
      <c r="ICJ97" s="769"/>
      <c r="ICK97" s="769"/>
      <c r="ICL97" s="769"/>
      <c r="ICM97" s="769"/>
      <c r="ICN97" s="769"/>
      <c r="ICO97" s="769"/>
      <c r="ICP97" s="769"/>
      <c r="ICQ97" s="769"/>
      <c r="ICR97" s="769"/>
      <c r="ICS97" s="769"/>
      <c r="ICT97" s="769"/>
      <c r="ICU97" s="769"/>
      <c r="ICV97" s="769"/>
      <c r="ICW97" s="769"/>
      <c r="ICX97" s="769"/>
      <c r="ICY97" s="769"/>
      <c r="ICZ97" s="769"/>
      <c r="IDA97" s="769"/>
      <c r="IDB97" s="769"/>
      <c r="IDC97" s="769"/>
      <c r="IDD97" s="769"/>
      <c r="IDE97" s="769"/>
      <c r="IDF97" s="769"/>
      <c r="IDG97" s="769"/>
      <c r="IDH97" s="769"/>
      <c r="IDI97" s="769"/>
      <c r="IDJ97" s="769"/>
      <c r="IDK97" s="769"/>
      <c r="IDL97" s="769"/>
      <c r="IDM97" s="769"/>
      <c r="IDN97" s="769"/>
      <c r="IDO97" s="769"/>
      <c r="IDP97" s="769"/>
      <c r="IDQ97" s="769"/>
      <c r="IDR97" s="769"/>
      <c r="IDS97" s="769"/>
      <c r="IDT97" s="769"/>
      <c r="IDU97" s="769"/>
      <c r="IDV97" s="769"/>
      <c r="IDW97" s="769"/>
      <c r="IDX97" s="769"/>
      <c r="IDY97" s="769"/>
      <c r="IDZ97" s="769"/>
      <c r="IEA97" s="769"/>
      <c r="IEB97" s="769"/>
      <c r="IEC97" s="769"/>
      <c r="IED97" s="769"/>
      <c r="IEE97" s="769"/>
      <c r="IEF97" s="769"/>
      <c r="IEG97" s="769"/>
      <c r="IEH97" s="769"/>
      <c r="IEI97" s="769"/>
      <c r="IEJ97" s="769"/>
      <c r="IEK97" s="769"/>
      <c r="IEL97" s="769"/>
      <c r="IEM97" s="769"/>
      <c r="IEN97" s="769"/>
      <c r="IEO97" s="769"/>
      <c r="IEP97" s="769"/>
      <c r="IEQ97" s="769"/>
      <c r="IER97" s="769"/>
      <c r="IES97" s="769"/>
      <c r="IET97" s="769"/>
      <c r="IEU97" s="769"/>
      <c r="IEV97" s="769"/>
      <c r="IEW97" s="769"/>
      <c r="IEX97" s="769"/>
      <c r="IEY97" s="769"/>
      <c r="IEZ97" s="769"/>
      <c r="IFA97" s="769"/>
      <c r="IFB97" s="769"/>
      <c r="IFC97" s="769"/>
      <c r="IFD97" s="769"/>
      <c r="IFE97" s="769"/>
      <c r="IFF97" s="769"/>
      <c r="IFG97" s="769"/>
      <c r="IFH97" s="769"/>
      <c r="IFI97" s="769"/>
      <c r="IFJ97" s="769"/>
      <c r="IFK97" s="769"/>
      <c r="IFL97" s="769"/>
      <c r="IFM97" s="769"/>
      <c r="IFN97" s="769"/>
      <c r="IFO97" s="769"/>
      <c r="IFP97" s="769"/>
      <c r="IFQ97" s="769"/>
      <c r="IFR97" s="769"/>
      <c r="IFS97" s="769"/>
      <c r="IFT97" s="769"/>
      <c r="IFU97" s="769"/>
      <c r="IFV97" s="769"/>
      <c r="IFW97" s="769"/>
      <c r="IFX97" s="769"/>
      <c r="IFY97" s="769"/>
      <c r="IFZ97" s="769"/>
      <c r="IGA97" s="769"/>
      <c r="IGB97" s="769"/>
      <c r="IGC97" s="769"/>
      <c r="IGD97" s="769"/>
      <c r="IGE97" s="769"/>
      <c r="IGF97" s="769"/>
      <c r="IGG97" s="769"/>
      <c r="IGH97" s="769"/>
      <c r="IGI97" s="769"/>
      <c r="IGJ97" s="769"/>
      <c r="IGK97" s="769"/>
      <c r="IGL97" s="769"/>
      <c r="IGM97" s="769"/>
      <c r="IGN97" s="769"/>
      <c r="IGO97" s="769"/>
      <c r="IGP97" s="769"/>
      <c r="IGQ97" s="769"/>
      <c r="IGR97" s="769"/>
      <c r="IGS97" s="769"/>
      <c r="IGT97" s="769"/>
      <c r="IGU97" s="769"/>
      <c r="IGV97" s="769"/>
      <c r="IGW97" s="769"/>
      <c r="IGX97" s="769"/>
      <c r="IGY97" s="769"/>
      <c r="IGZ97" s="769"/>
      <c r="IHA97" s="769"/>
      <c r="IHB97" s="769"/>
      <c r="IHC97" s="769"/>
      <c r="IHD97" s="769"/>
      <c r="IHE97" s="769"/>
      <c r="IHF97" s="769"/>
      <c r="IHG97" s="769"/>
      <c r="IHH97" s="769"/>
      <c r="IHI97" s="769"/>
      <c r="IHJ97" s="769"/>
      <c r="IHK97" s="769"/>
      <c r="IHL97" s="769"/>
      <c r="IHM97" s="769"/>
      <c r="IHN97" s="769"/>
      <c r="IHO97" s="769"/>
      <c r="IHP97" s="769"/>
      <c r="IHQ97" s="769"/>
      <c r="IHR97" s="769"/>
      <c r="IHS97" s="769"/>
      <c r="IHT97" s="769"/>
      <c r="IHU97" s="769"/>
      <c r="IHV97" s="769"/>
      <c r="IHW97" s="769"/>
      <c r="IHX97" s="769"/>
      <c r="IHY97" s="769"/>
      <c r="IHZ97" s="769"/>
      <c r="IIA97" s="769"/>
      <c r="IIB97" s="769"/>
      <c r="IIC97" s="769"/>
      <c r="IID97" s="769"/>
      <c r="IIE97" s="769"/>
      <c r="IIF97" s="769"/>
      <c r="IIG97" s="769"/>
      <c r="IIH97" s="769"/>
      <c r="III97" s="769"/>
      <c r="IIJ97" s="769"/>
      <c r="IIK97" s="769"/>
      <c r="IIL97" s="769"/>
      <c r="IIM97" s="769"/>
      <c r="IIN97" s="769"/>
      <c r="IIO97" s="769"/>
      <c r="IIP97" s="769"/>
      <c r="IIQ97" s="769"/>
      <c r="IIR97" s="769"/>
      <c r="IIS97" s="769"/>
      <c r="IIT97" s="769"/>
      <c r="IIU97" s="769"/>
      <c r="IIV97" s="769"/>
      <c r="IIW97" s="769"/>
      <c r="IIX97" s="769"/>
      <c r="IIY97" s="769"/>
      <c r="IIZ97" s="769"/>
      <c r="IJA97" s="769"/>
      <c r="IJB97" s="769"/>
      <c r="IJC97" s="769"/>
      <c r="IJD97" s="769"/>
      <c r="IJE97" s="769"/>
      <c r="IJF97" s="769"/>
      <c r="IJG97" s="769"/>
      <c r="IJH97" s="769"/>
      <c r="IJI97" s="769"/>
      <c r="IJJ97" s="769"/>
      <c r="IJK97" s="769"/>
      <c r="IJL97" s="769"/>
      <c r="IJM97" s="769"/>
      <c r="IJN97" s="769"/>
      <c r="IJO97" s="769"/>
      <c r="IJP97" s="769"/>
      <c r="IJQ97" s="769"/>
      <c r="IJR97" s="769"/>
      <c r="IJS97" s="769"/>
      <c r="IJT97" s="769"/>
      <c r="IJU97" s="769"/>
      <c r="IJV97" s="769"/>
      <c r="IJW97" s="769"/>
      <c r="IJX97" s="769"/>
      <c r="IJY97" s="769"/>
      <c r="IJZ97" s="769"/>
      <c r="IKA97" s="769"/>
      <c r="IKB97" s="769"/>
      <c r="IKC97" s="769"/>
      <c r="IKD97" s="769"/>
      <c r="IKE97" s="769"/>
      <c r="IKF97" s="769"/>
      <c r="IKG97" s="769"/>
      <c r="IKH97" s="769"/>
      <c r="IKI97" s="769"/>
      <c r="IKJ97" s="769"/>
      <c r="IKK97" s="769"/>
      <c r="IKL97" s="769"/>
      <c r="IKM97" s="769"/>
      <c r="IKN97" s="769"/>
      <c r="IKO97" s="769"/>
      <c r="IKP97" s="769"/>
      <c r="IKQ97" s="769"/>
      <c r="IKR97" s="769"/>
      <c r="IKS97" s="769"/>
      <c r="IKT97" s="769"/>
      <c r="IKU97" s="769"/>
      <c r="IKV97" s="769"/>
      <c r="IKW97" s="769"/>
      <c r="IKX97" s="769"/>
      <c r="IKY97" s="769"/>
      <c r="IKZ97" s="769"/>
      <c r="ILA97" s="769"/>
      <c r="ILB97" s="769"/>
      <c r="ILC97" s="769"/>
      <c r="ILD97" s="769"/>
      <c r="ILE97" s="769"/>
      <c r="ILF97" s="769"/>
      <c r="ILG97" s="769"/>
      <c r="ILH97" s="769"/>
      <c r="ILI97" s="769"/>
      <c r="ILJ97" s="769"/>
      <c r="ILK97" s="769"/>
      <c r="ILL97" s="769"/>
      <c r="ILM97" s="769"/>
      <c r="ILN97" s="769"/>
      <c r="ILO97" s="769"/>
      <c r="ILP97" s="769"/>
      <c r="ILQ97" s="769"/>
      <c r="ILR97" s="769"/>
      <c r="ILS97" s="769"/>
      <c r="ILT97" s="769"/>
      <c r="ILU97" s="769"/>
      <c r="ILV97" s="769"/>
      <c r="ILW97" s="769"/>
      <c r="ILX97" s="769"/>
      <c r="ILY97" s="769"/>
      <c r="ILZ97" s="769"/>
      <c r="IMA97" s="769"/>
      <c r="IMB97" s="769"/>
      <c r="IMC97" s="769"/>
      <c r="IMD97" s="769"/>
      <c r="IME97" s="769"/>
      <c r="IMF97" s="769"/>
      <c r="IMG97" s="769"/>
      <c r="IMH97" s="769"/>
      <c r="IMI97" s="769"/>
      <c r="IMJ97" s="769"/>
      <c r="IMK97" s="769"/>
      <c r="IML97" s="769"/>
      <c r="IMM97" s="769"/>
      <c r="IMN97" s="769"/>
      <c r="IMO97" s="769"/>
      <c r="IMP97" s="769"/>
      <c r="IMQ97" s="769"/>
      <c r="IMR97" s="769"/>
      <c r="IMS97" s="769"/>
      <c r="IMT97" s="769"/>
      <c r="IMU97" s="769"/>
      <c r="IMV97" s="769"/>
      <c r="IMW97" s="769"/>
      <c r="IMX97" s="769"/>
      <c r="IMY97" s="769"/>
      <c r="IMZ97" s="769"/>
      <c r="INA97" s="769"/>
      <c r="INB97" s="769"/>
      <c r="INC97" s="769"/>
      <c r="IND97" s="769"/>
      <c r="INE97" s="769"/>
      <c r="INF97" s="769"/>
      <c r="ING97" s="769"/>
      <c r="INH97" s="769"/>
      <c r="INI97" s="769"/>
      <c r="INJ97" s="769"/>
      <c r="INK97" s="769"/>
      <c r="INL97" s="769"/>
      <c r="INM97" s="769"/>
      <c r="INN97" s="769"/>
      <c r="INO97" s="769"/>
      <c r="INP97" s="769"/>
      <c r="INQ97" s="769"/>
      <c r="INR97" s="769"/>
      <c r="INS97" s="769"/>
      <c r="INT97" s="769"/>
      <c r="INU97" s="769"/>
      <c r="INV97" s="769"/>
      <c r="INW97" s="769"/>
      <c r="INX97" s="769"/>
      <c r="INY97" s="769"/>
      <c r="INZ97" s="769"/>
      <c r="IOA97" s="769"/>
      <c r="IOB97" s="769"/>
      <c r="IOC97" s="769"/>
      <c r="IOD97" s="769"/>
      <c r="IOE97" s="769"/>
      <c r="IOF97" s="769"/>
      <c r="IOG97" s="769"/>
      <c r="IOH97" s="769"/>
      <c r="IOI97" s="769"/>
      <c r="IOJ97" s="769"/>
      <c r="IOK97" s="769"/>
      <c r="IOL97" s="769"/>
      <c r="IOM97" s="769"/>
      <c r="ION97" s="769"/>
      <c r="IOO97" s="769"/>
      <c r="IOP97" s="769"/>
      <c r="IOQ97" s="769"/>
      <c r="IOR97" s="769"/>
      <c r="IOS97" s="769"/>
      <c r="IOT97" s="769"/>
      <c r="IOU97" s="769"/>
      <c r="IOV97" s="769"/>
      <c r="IOW97" s="769"/>
      <c r="IOX97" s="769"/>
      <c r="IOY97" s="769"/>
      <c r="IOZ97" s="769"/>
      <c r="IPA97" s="769"/>
      <c r="IPB97" s="769"/>
      <c r="IPC97" s="769"/>
      <c r="IPD97" s="769"/>
      <c r="IPE97" s="769"/>
      <c r="IPF97" s="769"/>
      <c r="IPG97" s="769"/>
      <c r="IPH97" s="769"/>
      <c r="IPI97" s="769"/>
      <c r="IPJ97" s="769"/>
      <c r="IPK97" s="769"/>
      <c r="IPL97" s="769"/>
      <c r="IPM97" s="769"/>
      <c r="IPN97" s="769"/>
      <c r="IPO97" s="769"/>
      <c r="IPP97" s="769"/>
      <c r="IPQ97" s="769"/>
      <c r="IPR97" s="769"/>
      <c r="IPS97" s="769"/>
      <c r="IPT97" s="769"/>
      <c r="IPU97" s="769"/>
      <c r="IPV97" s="769"/>
      <c r="IPW97" s="769"/>
      <c r="IPX97" s="769"/>
      <c r="IPY97" s="769"/>
      <c r="IPZ97" s="769"/>
      <c r="IQA97" s="769"/>
      <c r="IQB97" s="769"/>
      <c r="IQC97" s="769"/>
      <c r="IQD97" s="769"/>
      <c r="IQE97" s="769"/>
      <c r="IQF97" s="769"/>
      <c r="IQG97" s="769"/>
      <c r="IQH97" s="769"/>
      <c r="IQI97" s="769"/>
      <c r="IQJ97" s="769"/>
      <c r="IQK97" s="769"/>
      <c r="IQL97" s="769"/>
      <c r="IQM97" s="769"/>
      <c r="IQN97" s="769"/>
      <c r="IQO97" s="769"/>
      <c r="IQP97" s="769"/>
      <c r="IQQ97" s="769"/>
      <c r="IQR97" s="769"/>
      <c r="IQS97" s="769"/>
      <c r="IQT97" s="769"/>
      <c r="IQU97" s="769"/>
      <c r="IQV97" s="769"/>
      <c r="IQW97" s="769"/>
      <c r="IQX97" s="769"/>
      <c r="IQY97" s="769"/>
      <c r="IQZ97" s="769"/>
      <c r="IRA97" s="769"/>
      <c r="IRB97" s="769"/>
      <c r="IRC97" s="769"/>
      <c r="IRD97" s="769"/>
      <c r="IRE97" s="769"/>
      <c r="IRF97" s="769"/>
      <c r="IRG97" s="769"/>
      <c r="IRH97" s="769"/>
      <c r="IRI97" s="769"/>
      <c r="IRJ97" s="769"/>
      <c r="IRK97" s="769"/>
      <c r="IRL97" s="769"/>
      <c r="IRM97" s="769"/>
      <c r="IRN97" s="769"/>
      <c r="IRO97" s="769"/>
      <c r="IRP97" s="769"/>
      <c r="IRQ97" s="769"/>
      <c r="IRR97" s="769"/>
      <c r="IRS97" s="769"/>
      <c r="IRT97" s="769"/>
      <c r="IRU97" s="769"/>
      <c r="IRV97" s="769"/>
      <c r="IRW97" s="769"/>
      <c r="IRX97" s="769"/>
      <c r="IRY97" s="769"/>
      <c r="IRZ97" s="769"/>
      <c r="ISA97" s="769"/>
      <c r="ISB97" s="769"/>
      <c r="ISC97" s="769"/>
      <c r="ISD97" s="769"/>
      <c r="ISE97" s="769"/>
      <c r="ISF97" s="769"/>
      <c r="ISG97" s="769"/>
      <c r="ISH97" s="769"/>
      <c r="ISI97" s="769"/>
      <c r="ISJ97" s="769"/>
      <c r="ISK97" s="769"/>
      <c r="ISL97" s="769"/>
      <c r="ISM97" s="769"/>
      <c r="ISN97" s="769"/>
      <c r="ISO97" s="769"/>
      <c r="ISP97" s="769"/>
      <c r="ISQ97" s="769"/>
      <c r="ISR97" s="769"/>
      <c r="ISS97" s="769"/>
      <c r="IST97" s="769"/>
      <c r="ISU97" s="769"/>
      <c r="ISV97" s="769"/>
      <c r="ISW97" s="769"/>
      <c r="ISX97" s="769"/>
      <c r="ISY97" s="769"/>
      <c r="ISZ97" s="769"/>
      <c r="ITA97" s="769"/>
      <c r="ITB97" s="769"/>
      <c r="ITC97" s="769"/>
      <c r="ITD97" s="769"/>
      <c r="ITE97" s="769"/>
      <c r="ITF97" s="769"/>
      <c r="ITG97" s="769"/>
      <c r="ITH97" s="769"/>
      <c r="ITI97" s="769"/>
      <c r="ITJ97" s="769"/>
      <c r="ITK97" s="769"/>
      <c r="ITL97" s="769"/>
      <c r="ITM97" s="769"/>
      <c r="ITN97" s="769"/>
      <c r="ITO97" s="769"/>
      <c r="ITP97" s="769"/>
      <c r="ITQ97" s="769"/>
      <c r="ITR97" s="769"/>
      <c r="ITS97" s="769"/>
      <c r="ITT97" s="769"/>
      <c r="ITU97" s="769"/>
      <c r="ITV97" s="769"/>
      <c r="ITW97" s="769"/>
      <c r="ITX97" s="769"/>
      <c r="ITY97" s="769"/>
      <c r="ITZ97" s="769"/>
      <c r="IUA97" s="769"/>
      <c r="IUB97" s="769"/>
      <c r="IUC97" s="769"/>
      <c r="IUD97" s="769"/>
      <c r="IUE97" s="769"/>
      <c r="IUF97" s="769"/>
      <c r="IUG97" s="769"/>
      <c r="IUH97" s="769"/>
      <c r="IUI97" s="769"/>
      <c r="IUJ97" s="769"/>
      <c r="IUK97" s="769"/>
      <c r="IUL97" s="769"/>
      <c r="IUM97" s="769"/>
      <c r="IUN97" s="769"/>
      <c r="IUO97" s="769"/>
      <c r="IUP97" s="769"/>
      <c r="IUQ97" s="769"/>
      <c r="IUR97" s="769"/>
      <c r="IUS97" s="769"/>
      <c r="IUT97" s="769"/>
      <c r="IUU97" s="769"/>
      <c r="IUV97" s="769"/>
      <c r="IUW97" s="769"/>
      <c r="IUX97" s="769"/>
      <c r="IUY97" s="769"/>
      <c r="IUZ97" s="769"/>
      <c r="IVA97" s="769"/>
      <c r="IVB97" s="769"/>
      <c r="IVC97" s="769"/>
      <c r="IVD97" s="769"/>
      <c r="IVE97" s="769"/>
      <c r="IVF97" s="769"/>
      <c r="IVG97" s="769"/>
      <c r="IVH97" s="769"/>
      <c r="IVI97" s="769"/>
      <c r="IVJ97" s="769"/>
      <c r="IVK97" s="769"/>
      <c r="IVL97" s="769"/>
      <c r="IVM97" s="769"/>
      <c r="IVN97" s="769"/>
      <c r="IVO97" s="769"/>
      <c r="IVP97" s="769"/>
      <c r="IVQ97" s="769"/>
      <c r="IVR97" s="769"/>
      <c r="IVS97" s="769"/>
      <c r="IVT97" s="769"/>
      <c r="IVU97" s="769"/>
      <c r="IVV97" s="769"/>
      <c r="IVW97" s="769"/>
      <c r="IVX97" s="769"/>
      <c r="IVY97" s="769"/>
      <c r="IVZ97" s="769"/>
      <c r="IWA97" s="769"/>
      <c r="IWB97" s="769"/>
      <c r="IWC97" s="769"/>
      <c r="IWD97" s="769"/>
      <c r="IWE97" s="769"/>
      <c r="IWF97" s="769"/>
      <c r="IWG97" s="769"/>
      <c r="IWH97" s="769"/>
      <c r="IWI97" s="769"/>
      <c r="IWJ97" s="769"/>
      <c r="IWK97" s="769"/>
      <c r="IWL97" s="769"/>
      <c r="IWM97" s="769"/>
      <c r="IWN97" s="769"/>
      <c r="IWO97" s="769"/>
      <c r="IWP97" s="769"/>
      <c r="IWQ97" s="769"/>
      <c r="IWR97" s="769"/>
      <c r="IWS97" s="769"/>
      <c r="IWT97" s="769"/>
      <c r="IWU97" s="769"/>
      <c r="IWV97" s="769"/>
      <c r="IWW97" s="769"/>
      <c r="IWX97" s="769"/>
      <c r="IWY97" s="769"/>
      <c r="IWZ97" s="769"/>
      <c r="IXA97" s="769"/>
      <c r="IXB97" s="769"/>
      <c r="IXC97" s="769"/>
      <c r="IXD97" s="769"/>
      <c r="IXE97" s="769"/>
      <c r="IXF97" s="769"/>
      <c r="IXG97" s="769"/>
      <c r="IXH97" s="769"/>
      <c r="IXI97" s="769"/>
      <c r="IXJ97" s="769"/>
      <c r="IXK97" s="769"/>
      <c r="IXL97" s="769"/>
      <c r="IXM97" s="769"/>
      <c r="IXN97" s="769"/>
      <c r="IXO97" s="769"/>
      <c r="IXP97" s="769"/>
      <c r="IXQ97" s="769"/>
      <c r="IXR97" s="769"/>
      <c r="IXS97" s="769"/>
      <c r="IXT97" s="769"/>
      <c r="IXU97" s="769"/>
      <c r="IXV97" s="769"/>
      <c r="IXW97" s="769"/>
      <c r="IXX97" s="769"/>
      <c r="IXY97" s="769"/>
      <c r="IXZ97" s="769"/>
      <c r="IYA97" s="769"/>
      <c r="IYB97" s="769"/>
      <c r="IYC97" s="769"/>
      <c r="IYD97" s="769"/>
      <c r="IYE97" s="769"/>
      <c r="IYF97" s="769"/>
      <c r="IYG97" s="769"/>
      <c r="IYH97" s="769"/>
      <c r="IYI97" s="769"/>
      <c r="IYJ97" s="769"/>
      <c r="IYK97" s="769"/>
      <c r="IYL97" s="769"/>
      <c r="IYM97" s="769"/>
      <c r="IYN97" s="769"/>
      <c r="IYO97" s="769"/>
      <c r="IYP97" s="769"/>
      <c r="IYQ97" s="769"/>
      <c r="IYR97" s="769"/>
      <c r="IYS97" s="769"/>
      <c r="IYT97" s="769"/>
      <c r="IYU97" s="769"/>
      <c r="IYV97" s="769"/>
      <c r="IYW97" s="769"/>
      <c r="IYX97" s="769"/>
      <c r="IYY97" s="769"/>
      <c r="IYZ97" s="769"/>
      <c r="IZA97" s="769"/>
      <c r="IZB97" s="769"/>
      <c r="IZC97" s="769"/>
      <c r="IZD97" s="769"/>
      <c r="IZE97" s="769"/>
      <c r="IZF97" s="769"/>
      <c r="IZG97" s="769"/>
      <c r="IZH97" s="769"/>
      <c r="IZI97" s="769"/>
      <c r="IZJ97" s="769"/>
      <c r="IZK97" s="769"/>
      <c r="IZL97" s="769"/>
      <c r="IZM97" s="769"/>
      <c r="IZN97" s="769"/>
      <c r="IZO97" s="769"/>
      <c r="IZP97" s="769"/>
      <c r="IZQ97" s="769"/>
      <c r="IZR97" s="769"/>
      <c r="IZS97" s="769"/>
      <c r="IZT97" s="769"/>
      <c r="IZU97" s="769"/>
      <c r="IZV97" s="769"/>
      <c r="IZW97" s="769"/>
      <c r="IZX97" s="769"/>
      <c r="IZY97" s="769"/>
      <c r="IZZ97" s="769"/>
      <c r="JAA97" s="769"/>
      <c r="JAB97" s="769"/>
      <c r="JAC97" s="769"/>
      <c r="JAD97" s="769"/>
      <c r="JAE97" s="769"/>
      <c r="JAF97" s="769"/>
      <c r="JAG97" s="769"/>
      <c r="JAH97" s="769"/>
      <c r="JAI97" s="769"/>
      <c r="JAJ97" s="769"/>
      <c r="JAK97" s="769"/>
      <c r="JAL97" s="769"/>
      <c r="JAM97" s="769"/>
      <c r="JAN97" s="769"/>
      <c r="JAO97" s="769"/>
      <c r="JAP97" s="769"/>
      <c r="JAQ97" s="769"/>
      <c r="JAR97" s="769"/>
      <c r="JAS97" s="769"/>
      <c r="JAT97" s="769"/>
      <c r="JAU97" s="769"/>
      <c r="JAV97" s="769"/>
      <c r="JAW97" s="769"/>
      <c r="JAX97" s="769"/>
      <c r="JAY97" s="769"/>
      <c r="JAZ97" s="769"/>
      <c r="JBA97" s="769"/>
      <c r="JBB97" s="769"/>
      <c r="JBC97" s="769"/>
      <c r="JBD97" s="769"/>
      <c r="JBE97" s="769"/>
      <c r="JBF97" s="769"/>
      <c r="JBG97" s="769"/>
      <c r="JBH97" s="769"/>
      <c r="JBI97" s="769"/>
      <c r="JBJ97" s="769"/>
      <c r="JBK97" s="769"/>
      <c r="JBL97" s="769"/>
      <c r="JBM97" s="769"/>
      <c r="JBN97" s="769"/>
      <c r="JBO97" s="769"/>
      <c r="JBP97" s="769"/>
      <c r="JBQ97" s="769"/>
      <c r="JBR97" s="769"/>
      <c r="JBS97" s="769"/>
      <c r="JBT97" s="769"/>
      <c r="JBU97" s="769"/>
      <c r="JBV97" s="769"/>
      <c r="JBW97" s="769"/>
      <c r="JBX97" s="769"/>
      <c r="JBY97" s="769"/>
      <c r="JBZ97" s="769"/>
      <c r="JCA97" s="769"/>
      <c r="JCB97" s="769"/>
      <c r="JCC97" s="769"/>
      <c r="JCD97" s="769"/>
      <c r="JCE97" s="769"/>
      <c r="JCF97" s="769"/>
      <c r="JCG97" s="769"/>
      <c r="JCH97" s="769"/>
      <c r="JCI97" s="769"/>
      <c r="JCJ97" s="769"/>
      <c r="JCK97" s="769"/>
      <c r="JCL97" s="769"/>
      <c r="JCM97" s="769"/>
      <c r="JCN97" s="769"/>
      <c r="JCO97" s="769"/>
      <c r="JCP97" s="769"/>
      <c r="JCQ97" s="769"/>
      <c r="JCR97" s="769"/>
      <c r="JCS97" s="769"/>
      <c r="JCT97" s="769"/>
      <c r="JCU97" s="769"/>
      <c r="JCV97" s="769"/>
      <c r="JCW97" s="769"/>
      <c r="JCX97" s="769"/>
      <c r="JCY97" s="769"/>
      <c r="JCZ97" s="769"/>
      <c r="JDA97" s="769"/>
      <c r="JDB97" s="769"/>
      <c r="JDC97" s="769"/>
      <c r="JDD97" s="769"/>
      <c r="JDE97" s="769"/>
      <c r="JDF97" s="769"/>
      <c r="JDG97" s="769"/>
      <c r="JDH97" s="769"/>
      <c r="JDI97" s="769"/>
      <c r="JDJ97" s="769"/>
      <c r="JDK97" s="769"/>
      <c r="JDL97" s="769"/>
      <c r="JDM97" s="769"/>
      <c r="JDN97" s="769"/>
      <c r="JDO97" s="769"/>
      <c r="JDP97" s="769"/>
      <c r="JDQ97" s="769"/>
      <c r="JDR97" s="769"/>
      <c r="JDS97" s="769"/>
      <c r="JDT97" s="769"/>
      <c r="JDU97" s="769"/>
      <c r="JDV97" s="769"/>
      <c r="JDW97" s="769"/>
      <c r="JDX97" s="769"/>
      <c r="JDY97" s="769"/>
      <c r="JDZ97" s="769"/>
      <c r="JEA97" s="769"/>
      <c r="JEB97" s="769"/>
      <c r="JEC97" s="769"/>
      <c r="JED97" s="769"/>
      <c r="JEE97" s="769"/>
      <c r="JEF97" s="769"/>
      <c r="JEG97" s="769"/>
      <c r="JEH97" s="769"/>
      <c r="JEI97" s="769"/>
      <c r="JEJ97" s="769"/>
      <c r="JEK97" s="769"/>
      <c r="JEL97" s="769"/>
      <c r="JEM97" s="769"/>
      <c r="JEN97" s="769"/>
      <c r="JEO97" s="769"/>
      <c r="JEP97" s="769"/>
      <c r="JEQ97" s="769"/>
      <c r="JER97" s="769"/>
      <c r="JES97" s="769"/>
      <c r="JET97" s="769"/>
      <c r="JEU97" s="769"/>
      <c r="JEV97" s="769"/>
      <c r="JEW97" s="769"/>
      <c r="JEX97" s="769"/>
      <c r="JEY97" s="769"/>
      <c r="JEZ97" s="769"/>
      <c r="JFA97" s="769"/>
      <c r="JFB97" s="769"/>
      <c r="JFC97" s="769"/>
      <c r="JFD97" s="769"/>
      <c r="JFE97" s="769"/>
      <c r="JFF97" s="769"/>
      <c r="JFG97" s="769"/>
      <c r="JFH97" s="769"/>
      <c r="JFI97" s="769"/>
      <c r="JFJ97" s="769"/>
      <c r="JFK97" s="769"/>
      <c r="JFL97" s="769"/>
      <c r="JFM97" s="769"/>
      <c r="JFN97" s="769"/>
      <c r="JFO97" s="769"/>
      <c r="JFP97" s="769"/>
      <c r="JFQ97" s="769"/>
      <c r="JFR97" s="769"/>
      <c r="JFS97" s="769"/>
      <c r="JFT97" s="769"/>
      <c r="JFU97" s="769"/>
      <c r="JFV97" s="769"/>
      <c r="JFW97" s="769"/>
      <c r="JFX97" s="769"/>
      <c r="JFY97" s="769"/>
      <c r="JFZ97" s="769"/>
      <c r="JGA97" s="769"/>
      <c r="JGB97" s="769"/>
      <c r="JGC97" s="769"/>
      <c r="JGD97" s="769"/>
      <c r="JGE97" s="769"/>
      <c r="JGF97" s="769"/>
      <c r="JGG97" s="769"/>
      <c r="JGH97" s="769"/>
      <c r="JGI97" s="769"/>
      <c r="JGJ97" s="769"/>
      <c r="JGK97" s="769"/>
      <c r="JGL97" s="769"/>
      <c r="JGM97" s="769"/>
      <c r="JGN97" s="769"/>
      <c r="JGO97" s="769"/>
      <c r="JGP97" s="769"/>
      <c r="JGQ97" s="769"/>
      <c r="JGR97" s="769"/>
      <c r="JGS97" s="769"/>
      <c r="JGT97" s="769"/>
      <c r="JGU97" s="769"/>
      <c r="JGV97" s="769"/>
      <c r="JGW97" s="769"/>
      <c r="JGX97" s="769"/>
      <c r="JGY97" s="769"/>
      <c r="JGZ97" s="769"/>
      <c r="JHA97" s="769"/>
      <c r="JHB97" s="769"/>
      <c r="JHC97" s="769"/>
      <c r="JHD97" s="769"/>
      <c r="JHE97" s="769"/>
      <c r="JHF97" s="769"/>
      <c r="JHG97" s="769"/>
      <c r="JHH97" s="769"/>
      <c r="JHI97" s="769"/>
      <c r="JHJ97" s="769"/>
      <c r="JHK97" s="769"/>
      <c r="JHL97" s="769"/>
      <c r="JHM97" s="769"/>
      <c r="JHN97" s="769"/>
      <c r="JHO97" s="769"/>
      <c r="JHP97" s="769"/>
      <c r="JHQ97" s="769"/>
      <c r="JHR97" s="769"/>
      <c r="JHS97" s="769"/>
      <c r="JHT97" s="769"/>
      <c r="JHU97" s="769"/>
      <c r="JHV97" s="769"/>
      <c r="JHW97" s="769"/>
      <c r="JHX97" s="769"/>
      <c r="JHY97" s="769"/>
      <c r="JHZ97" s="769"/>
      <c r="JIA97" s="769"/>
      <c r="JIB97" s="769"/>
      <c r="JIC97" s="769"/>
      <c r="JID97" s="769"/>
      <c r="JIE97" s="769"/>
      <c r="JIF97" s="769"/>
      <c r="JIG97" s="769"/>
      <c r="JIH97" s="769"/>
      <c r="JII97" s="769"/>
      <c r="JIJ97" s="769"/>
      <c r="JIK97" s="769"/>
      <c r="JIL97" s="769"/>
      <c r="JIM97" s="769"/>
      <c r="JIN97" s="769"/>
      <c r="JIO97" s="769"/>
      <c r="JIP97" s="769"/>
      <c r="JIQ97" s="769"/>
      <c r="JIR97" s="769"/>
      <c r="JIS97" s="769"/>
      <c r="JIT97" s="769"/>
      <c r="JIU97" s="769"/>
      <c r="JIV97" s="769"/>
      <c r="JIW97" s="769"/>
      <c r="JIX97" s="769"/>
      <c r="JIY97" s="769"/>
      <c r="JIZ97" s="769"/>
      <c r="JJA97" s="769"/>
      <c r="JJB97" s="769"/>
      <c r="JJC97" s="769"/>
      <c r="JJD97" s="769"/>
      <c r="JJE97" s="769"/>
      <c r="JJF97" s="769"/>
      <c r="JJG97" s="769"/>
      <c r="JJH97" s="769"/>
      <c r="JJI97" s="769"/>
      <c r="JJJ97" s="769"/>
      <c r="JJK97" s="769"/>
      <c r="JJL97" s="769"/>
      <c r="JJM97" s="769"/>
      <c r="JJN97" s="769"/>
      <c r="JJO97" s="769"/>
      <c r="JJP97" s="769"/>
      <c r="JJQ97" s="769"/>
      <c r="JJR97" s="769"/>
      <c r="JJS97" s="769"/>
      <c r="JJT97" s="769"/>
      <c r="JJU97" s="769"/>
      <c r="JJV97" s="769"/>
      <c r="JJW97" s="769"/>
      <c r="JJX97" s="769"/>
      <c r="JJY97" s="769"/>
      <c r="JJZ97" s="769"/>
      <c r="JKA97" s="769"/>
      <c r="JKB97" s="769"/>
      <c r="JKC97" s="769"/>
      <c r="JKD97" s="769"/>
      <c r="JKE97" s="769"/>
      <c r="JKF97" s="769"/>
      <c r="JKG97" s="769"/>
      <c r="JKH97" s="769"/>
      <c r="JKI97" s="769"/>
      <c r="JKJ97" s="769"/>
      <c r="JKK97" s="769"/>
      <c r="JKL97" s="769"/>
      <c r="JKM97" s="769"/>
      <c r="JKN97" s="769"/>
      <c r="JKO97" s="769"/>
      <c r="JKP97" s="769"/>
      <c r="JKQ97" s="769"/>
      <c r="JKR97" s="769"/>
      <c r="JKS97" s="769"/>
      <c r="JKT97" s="769"/>
      <c r="JKU97" s="769"/>
      <c r="JKV97" s="769"/>
      <c r="JKW97" s="769"/>
      <c r="JKX97" s="769"/>
      <c r="JKY97" s="769"/>
      <c r="JKZ97" s="769"/>
      <c r="JLA97" s="769"/>
      <c r="JLB97" s="769"/>
      <c r="JLC97" s="769"/>
      <c r="JLD97" s="769"/>
      <c r="JLE97" s="769"/>
      <c r="JLF97" s="769"/>
      <c r="JLG97" s="769"/>
      <c r="JLH97" s="769"/>
      <c r="JLI97" s="769"/>
      <c r="JLJ97" s="769"/>
      <c r="JLK97" s="769"/>
      <c r="JLL97" s="769"/>
      <c r="JLM97" s="769"/>
      <c r="JLN97" s="769"/>
      <c r="JLO97" s="769"/>
      <c r="JLP97" s="769"/>
      <c r="JLQ97" s="769"/>
      <c r="JLR97" s="769"/>
      <c r="JLS97" s="769"/>
      <c r="JLT97" s="769"/>
      <c r="JLU97" s="769"/>
      <c r="JLV97" s="769"/>
      <c r="JLW97" s="769"/>
      <c r="JLX97" s="769"/>
      <c r="JLY97" s="769"/>
      <c r="JLZ97" s="769"/>
      <c r="JMA97" s="769"/>
      <c r="JMB97" s="769"/>
      <c r="JMC97" s="769"/>
      <c r="JMD97" s="769"/>
      <c r="JME97" s="769"/>
      <c r="JMF97" s="769"/>
      <c r="JMG97" s="769"/>
      <c r="JMH97" s="769"/>
      <c r="JMI97" s="769"/>
      <c r="JMJ97" s="769"/>
      <c r="JMK97" s="769"/>
      <c r="JML97" s="769"/>
      <c r="JMM97" s="769"/>
      <c r="JMN97" s="769"/>
      <c r="JMO97" s="769"/>
      <c r="JMP97" s="769"/>
      <c r="JMQ97" s="769"/>
      <c r="JMR97" s="769"/>
      <c r="JMS97" s="769"/>
      <c r="JMT97" s="769"/>
      <c r="JMU97" s="769"/>
      <c r="JMV97" s="769"/>
      <c r="JMW97" s="769"/>
      <c r="JMX97" s="769"/>
      <c r="JMY97" s="769"/>
      <c r="JMZ97" s="769"/>
      <c r="JNA97" s="769"/>
      <c r="JNB97" s="769"/>
      <c r="JNC97" s="769"/>
      <c r="JND97" s="769"/>
      <c r="JNE97" s="769"/>
      <c r="JNF97" s="769"/>
      <c r="JNG97" s="769"/>
      <c r="JNH97" s="769"/>
      <c r="JNI97" s="769"/>
      <c r="JNJ97" s="769"/>
      <c r="JNK97" s="769"/>
      <c r="JNL97" s="769"/>
      <c r="JNM97" s="769"/>
      <c r="JNN97" s="769"/>
      <c r="JNO97" s="769"/>
      <c r="JNP97" s="769"/>
      <c r="JNQ97" s="769"/>
      <c r="JNR97" s="769"/>
      <c r="JNS97" s="769"/>
      <c r="JNT97" s="769"/>
      <c r="JNU97" s="769"/>
      <c r="JNV97" s="769"/>
      <c r="JNW97" s="769"/>
      <c r="JNX97" s="769"/>
      <c r="JNY97" s="769"/>
      <c r="JNZ97" s="769"/>
      <c r="JOA97" s="769"/>
      <c r="JOB97" s="769"/>
      <c r="JOC97" s="769"/>
      <c r="JOD97" s="769"/>
      <c r="JOE97" s="769"/>
      <c r="JOF97" s="769"/>
      <c r="JOG97" s="769"/>
      <c r="JOH97" s="769"/>
      <c r="JOI97" s="769"/>
      <c r="JOJ97" s="769"/>
      <c r="JOK97" s="769"/>
      <c r="JOL97" s="769"/>
      <c r="JOM97" s="769"/>
      <c r="JON97" s="769"/>
      <c r="JOO97" s="769"/>
      <c r="JOP97" s="769"/>
      <c r="JOQ97" s="769"/>
      <c r="JOR97" s="769"/>
      <c r="JOS97" s="769"/>
      <c r="JOT97" s="769"/>
      <c r="JOU97" s="769"/>
      <c r="JOV97" s="769"/>
      <c r="JOW97" s="769"/>
      <c r="JOX97" s="769"/>
      <c r="JOY97" s="769"/>
      <c r="JOZ97" s="769"/>
      <c r="JPA97" s="769"/>
      <c r="JPB97" s="769"/>
      <c r="JPC97" s="769"/>
      <c r="JPD97" s="769"/>
      <c r="JPE97" s="769"/>
      <c r="JPF97" s="769"/>
      <c r="JPG97" s="769"/>
      <c r="JPH97" s="769"/>
      <c r="JPI97" s="769"/>
      <c r="JPJ97" s="769"/>
      <c r="JPK97" s="769"/>
      <c r="JPL97" s="769"/>
      <c r="JPM97" s="769"/>
      <c r="JPN97" s="769"/>
      <c r="JPO97" s="769"/>
      <c r="JPP97" s="769"/>
      <c r="JPQ97" s="769"/>
      <c r="JPR97" s="769"/>
      <c r="JPS97" s="769"/>
      <c r="JPT97" s="769"/>
      <c r="JPU97" s="769"/>
      <c r="JPV97" s="769"/>
      <c r="JPW97" s="769"/>
      <c r="JPX97" s="769"/>
      <c r="JPY97" s="769"/>
      <c r="JPZ97" s="769"/>
      <c r="JQA97" s="769"/>
      <c r="JQB97" s="769"/>
      <c r="JQC97" s="769"/>
      <c r="JQD97" s="769"/>
      <c r="JQE97" s="769"/>
      <c r="JQF97" s="769"/>
      <c r="JQG97" s="769"/>
      <c r="JQH97" s="769"/>
      <c r="JQI97" s="769"/>
      <c r="JQJ97" s="769"/>
      <c r="JQK97" s="769"/>
      <c r="JQL97" s="769"/>
      <c r="JQM97" s="769"/>
      <c r="JQN97" s="769"/>
      <c r="JQO97" s="769"/>
      <c r="JQP97" s="769"/>
      <c r="JQQ97" s="769"/>
      <c r="JQR97" s="769"/>
      <c r="JQS97" s="769"/>
      <c r="JQT97" s="769"/>
      <c r="JQU97" s="769"/>
      <c r="JQV97" s="769"/>
      <c r="JQW97" s="769"/>
      <c r="JQX97" s="769"/>
      <c r="JQY97" s="769"/>
      <c r="JQZ97" s="769"/>
      <c r="JRA97" s="769"/>
      <c r="JRB97" s="769"/>
      <c r="JRC97" s="769"/>
      <c r="JRD97" s="769"/>
      <c r="JRE97" s="769"/>
      <c r="JRF97" s="769"/>
      <c r="JRG97" s="769"/>
      <c r="JRH97" s="769"/>
      <c r="JRI97" s="769"/>
      <c r="JRJ97" s="769"/>
      <c r="JRK97" s="769"/>
      <c r="JRL97" s="769"/>
      <c r="JRM97" s="769"/>
      <c r="JRN97" s="769"/>
      <c r="JRO97" s="769"/>
      <c r="JRP97" s="769"/>
      <c r="JRQ97" s="769"/>
      <c r="JRR97" s="769"/>
      <c r="JRS97" s="769"/>
      <c r="JRT97" s="769"/>
      <c r="JRU97" s="769"/>
      <c r="JRV97" s="769"/>
      <c r="JRW97" s="769"/>
      <c r="JRX97" s="769"/>
      <c r="JRY97" s="769"/>
      <c r="JRZ97" s="769"/>
      <c r="JSA97" s="769"/>
      <c r="JSB97" s="769"/>
      <c r="JSC97" s="769"/>
      <c r="JSD97" s="769"/>
      <c r="JSE97" s="769"/>
      <c r="JSF97" s="769"/>
      <c r="JSG97" s="769"/>
      <c r="JSH97" s="769"/>
      <c r="JSI97" s="769"/>
      <c r="JSJ97" s="769"/>
      <c r="JSK97" s="769"/>
      <c r="JSL97" s="769"/>
      <c r="JSM97" s="769"/>
      <c r="JSN97" s="769"/>
      <c r="JSO97" s="769"/>
      <c r="JSP97" s="769"/>
      <c r="JSQ97" s="769"/>
      <c r="JSR97" s="769"/>
      <c r="JSS97" s="769"/>
      <c r="JST97" s="769"/>
      <c r="JSU97" s="769"/>
      <c r="JSV97" s="769"/>
      <c r="JSW97" s="769"/>
      <c r="JSX97" s="769"/>
      <c r="JSY97" s="769"/>
      <c r="JSZ97" s="769"/>
      <c r="JTA97" s="769"/>
      <c r="JTB97" s="769"/>
      <c r="JTC97" s="769"/>
      <c r="JTD97" s="769"/>
      <c r="JTE97" s="769"/>
      <c r="JTF97" s="769"/>
      <c r="JTG97" s="769"/>
      <c r="JTH97" s="769"/>
      <c r="JTI97" s="769"/>
      <c r="JTJ97" s="769"/>
      <c r="JTK97" s="769"/>
      <c r="JTL97" s="769"/>
      <c r="JTM97" s="769"/>
      <c r="JTN97" s="769"/>
      <c r="JTO97" s="769"/>
      <c r="JTP97" s="769"/>
      <c r="JTQ97" s="769"/>
      <c r="JTR97" s="769"/>
      <c r="JTS97" s="769"/>
      <c r="JTT97" s="769"/>
      <c r="JTU97" s="769"/>
      <c r="JTV97" s="769"/>
      <c r="JTW97" s="769"/>
      <c r="JTX97" s="769"/>
      <c r="JTY97" s="769"/>
      <c r="JTZ97" s="769"/>
      <c r="JUA97" s="769"/>
      <c r="JUB97" s="769"/>
      <c r="JUC97" s="769"/>
      <c r="JUD97" s="769"/>
      <c r="JUE97" s="769"/>
      <c r="JUF97" s="769"/>
      <c r="JUG97" s="769"/>
      <c r="JUH97" s="769"/>
      <c r="JUI97" s="769"/>
      <c r="JUJ97" s="769"/>
      <c r="JUK97" s="769"/>
      <c r="JUL97" s="769"/>
      <c r="JUM97" s="769"/>
      <c r="JUN97" s="769"/>
      <c r="JUO97" s="769"/>
      <c r="JUP97" s="769"/>
      <c r="JUQ97" s="769"/>
      <c r="JUR97" s="769"/>
      <c r="JUS97" s="769"/>
      <c r="JUT97" s="769"/>
      <c r="JUU97" s="769"/>
      <c r="JUV97" s="769"/>
      <c r="JUW97" s="769"/>
      <c r="JUX97" s="769"/>
      <c r="JUY97" s="769"/>
      <c r="JUZ97" s="769"/>
      <c r="JVA97" s="769"/>
      <c r="JVB97" s="769"/>
      <c r="JVC97" s="769"/>
      <c r="JVD97" s="769"/>
      <c r="JVE97" s="769"/>
      <c r="JVF97" s="769"/>
      <c r="JVG97" s="769"/>
      <c r="JVH97" s="769"/>
      <c r="JVI97" s="769"/>
      <c r="JVJ97" s="769"/>
      <c r="JVK97" s="769"/>
      <c r="JVL97" s="769"/>
      <c r="JVM97" s="769"/>
      <c r="JVN97" s="769"/>
      <c r="JVO97" s="769"/>
      <c r="JVP97" s="769"/>
      <c r="JVQ97" s="769"/>
      <c r="JVR97" s="769"/>
      <c r="JVS97" s="769"/>
      <c r="JVT97" s="769"/>
      <c r="JVU97" s="769"/>
      <c r="JVV97" s="769"/>
      <c r="JVW97" s="769"/>
      <c r="JVX97" s="769"/>
      <c r="JVY97" s="769"/>
      <c r="JVZ97" s="769"/>
      <c r="JWA97" s="769"/>
      <c r="JWB97" s="769"/>
      <c r="JWC97" s="769"/>
      <c r="JWD97" s="769"/>
      <c r="JWE97" s="769"/>
      <c r="JWF97" s="769"/>
      <c r="JWG97" s="769"/>
      <c r="JWH97" s="769"/>
      <c r="JWI97" s="769"/>
      <c r="JWJ97" s="769"/>
      <c r="JWK97" s="769"/>
      <c r="JWL97" s="769"/>
      <c r="JWM97" s="769"/>
      <c r="JWN97" s="769"/>
      <c r="JWO97" s="769"/>
      <c r="JWP97" s="769"/>
      <c r="JWQ97" s="769"/>
      <c r="JWR97" s="769"/>
      <c r="JWS97" s="769"/>
      <c r="JWT97" s="769"/>
      <c r="JWU97" s="769"/>
      <c r="JWV97" s="769"/>
      <c r="JWW97" s="769"/>
      <c r="JWX97" s="769"/>
      <c r="JWY97" s="769"/>
      <c r="JWZ97" s="769"/>
      <c r="JXA97" s="769"/>
      <c r="JXB97" s="769"/>
      <c r="JXC97" s="769"/>
      <c r="JXD97" s="769"/>
      <c r="JXE97" s="769"/>
      <c r="JXF97" s="769"/>
      <c r="JXG97" s="769"/>
      <c r="JXH97" s="769"/>
      <c r="JXI97" s="769"/>
      <c r="JXJ97" s="769"/>
      <c r="JXK97" s="769"/>
      <c r="JXL97" s="769"/>
      <c r="JXM97" s="769"/>
      <c r="JXN97" s="769"/>
      <c r="JXO97" s="769"/>
      <c r="JXP97" s="769"/>
      <c r="JXQ97" s="769"/>
      <c r="JXR97" s="769"/>
      <c r="JXS97" s="769"/>
      <c r="JXT97" s="769"/>
      <c r="JXU97" s="769"/>
      <c r="JXV97" s="769"/>
      <c r="JXW97" s="769"/>
      <c r="JXX97" s="769"/>
      <c r="JXY97" s="769"/>
      <c r="JXZ97" s="769"/>
      <c r="JYA97" s="769"/>
      <c r="JYB97" s="769"/>
      <c r="JYC97" s="769"/>
      <c r="JYD97" s="769"/>
      <c r="JYE97" s="769"/>
      <c r="JYF97" s="769"/>
      <c r="JYG97" s="769"/>
      <c r="JYH97" s="769"/>
      <c r="JYI97" s="769"/>
      <c r="JYJ97" s="769"/>
      <c r="JYK97" s="769"/>
      <c r="JYL97" s="769"/>
      <c r="JYM97" s="769"/>
      <c r="JYN97" s="769"/>
      <c r="JYO97" s="769"/>
      <c r="JYP97" s="769"/>
      <c r="JYQ97" s="769"/>
      <c r="JYR97" s="769"/>
      <c r="JYS97" s="769"/>
      <c r="JYT97" s="769"/>
      <c r="JYU97" s="769"/>
      <c r="JYV97" s="769"/>
      <c r="JYW97" s="769"/>
      <c r="JYX97" s="769"/>
      <c r="JYY97" s="769"/>
      <c r="JYZ97" s="769"/>
      <c r="JZA97" s="769"/>
      <c r="JZB97" s="769"/>
      <c r="JZC97" s="769"/>
      <c r="JZD97" s="769"/>
      <c r="JZE97" s="769"/>
      <c r="JZF97" s="769"/>
      <c r="JZG97" s="769"/>
      <c r="JZH97" s="769"/>
      <c r="JZI97" s="769"/>
      <c r="JZJ97" s="769"/>
      <c r="JZK97" s="769"/>
      <c r="JZL97" s="769"/>
      <c r="JZM97" s="769"/>
      <c r="JZN97" s="769"/>
      <c r="JZO97" s="769"/>
      <c r="JZP97" s="769"/>
      <c r="JZQ97" s="769"/>
      <c r="JZR97" s="769"/>
      <c r="JZS97" s="769"/>
      <c r="JZT97" s="769"/>
      <c r="JZU97" s="769"/>
      <c r="JZV97" s="769"/>
      <c r="JZW97" s="769"/>
      <c r="JZX97" s="769"/>
      <c r="JZY97" s="769"/>
      <c r="JZZ97" s="769"/>
      <c r="KAA97" s="769"/>
      <c r="KAB97" s="769"/>
      <c r="KAC97" s="769"/>
      <c r="KAD97" s="769"/>
      <c r="KAE97" s="769"/>
      <c r="KAF97" s="769"/>
      <c r="KAG97" s="769"/>
      <c r="KAH97" s="769"/>
      <c r="KAI97" s="769"/>
      <c r="KAJ97" s="769"/>
      <c r="KAK97" s="769"/>
      <c r="KAL97" s="769"/>
      <c r="KAM97" s="769"/>
      <c r="KAN97" s="769"/>
      <c r="KAO97" s="769"/>
      <c r="KAP97" s="769"/>
      <c r="KAQ97" s="769"/>
      <c r="KAR97" s="769"/>
      <c r="KAS97" s="769"/>
      <c r="KAT97" s="769"/>
      <c r="KAU97" s="769"/>
      <c r="KAV97" s="769"/>
      <c r="KAW97" s="769"/>
      <c r="KAX97" s="769"/>
      <c r="KAY97" s="769"/>
      <c r="KAZ97" s="769"/>
      <c r="KBA97" s="769"/>
      <c r="KBB97" s="769"/>
      <c r="KBC97" s="769"/>
      <c r="KBD97" s="769"/>
      <c r="KBE97" s="769"/>
      <c r="KBF97" s="769"/>
      <c r="KBG97" s="769"/>
      <c r="KBH97" s="769"/>
      <c r="KBI97" s="769"/>
      <c r="KBJ97" s="769"/>
      <c r="KBK97" s="769"/>
      <c r="KBL97" s="769"/>
      <c r="KBM97" s="769"/>
      <c r="KBN97" s="769"/>
      <c r="KBO97" s="769"/>
      <c r="KBP97" s="769"/>
      <c r="KBQ97" s="769"/>
      <c r="KBR97" s="769"/>
      <c r="KBS97" s="769"/>
      <c r="KBT97" s="769"/>
      <c r="KBU97" s="769"/>
      <c r="KBV97" s="769"/>
      <c r="KBW97" s="769"/>
      <c r="KBX97" s="769"/>
      <c r="KBY97" s="769"/>
      <c r="KBZ97" s="769"/>
      <c r="KCA97" s="769"/>
      <c r="KCB97" s="769"/>
      <c r="KCC97" s="769"/>
      <c r="KCD97" s="769"/>
      <c r="KCE97" s="769"/>
      <c r="KCF97" s="769"/>
      <c r="KCG97" s="769"/>
      <c r="KCH97" s="769"/>
      <c r="KCI97" s="769"/>
      <c r="KCJ97" s="769"/>
      <c r="KCK97" s="769"/>
      <c r="KCL97" s="769"/>
      <c r="KCM97" s="769"/>
      <c r="KCN97" s="769"/>
      <c r="KCO97" s="769"/>
      <c r="KCP97" s="769"/>
      <c r="KCQ97" s="769"/>
      <c r="KCR97" s="769"/>
      <c r="KCS97" s="769"/>
      <c r="KCT97" s="769"/>
      <c r="KCU97" s="769"/>
      <c r="KCV97" s="769"/>
      <c r="KCW97" s="769"/>
      <c r="KCX97" s="769"/>
      <c r="KCY97" s="769"/>
      <c r="KCZ97" s="769"/>
      <c r="KDA97" s="769"/>
      <c r="KDB97" s="769"/>
      <c r="KDC97" s="769"/>
      <c r="KDD97" s="769"/>
      <c r="KDE97" s="769"/>
      <c r="KDF97" s="769"/>
      <c r="KDG97" s="769"/>
      <c r="KDH97" s="769"/>
      <c r="KDI97" s="769"/>
      <c r="KDJ97" s="769"/>
      <c r="KDK97" s="769"/>
      <c r="KDL97" s="769"/>
      <c r="KDM97" s="769"/>
      <c r="KDN97" s="769"/>
      <c r="KDO97" s="769"/>
      <c r="KDP97" s="769"/>
      <c r="KDQ97" s="769"/>
      <c r="KDR97" s="769"/>
      <c r="KDS97" s="769"/>
      <c r="KDT97" s="769"/>
      <c r="KDU97" s="769"/>
      <c r="KDV97" s="769"/>
      <c r="KDW97" s="769"/>
      <c r="KDX97" s="769"/>
      <c r="KDY97" s="769"/>
      <c r="KDZ97" s="769"/>
      <c r="KEA97" s="769"/>
      <c r="KEB97" s="769"/>
      <c r="KEC97" s="769"/>
      <c r="KED97" s="769"/>
      <c r="KEE97" s="769"/>
      <c r="KEF97" s="769"/>
      <c r="KEG97" s="769"/>
      <c r="KEH97" s="769"/>
      <c r="KEI97" s="769"/>
      <c r="KEJ97" s="769"/>
      <c r="KEK97" s="769"/>
      <c r="KEL97" s="769"/>
      <c r="KEM97" s="769"/>
      <c r="KEN97" s="769"/>
      <c r="KEO97" s="769"/>
      <c r="KEP97" s="769"/>
      <c r="KEQ97" s="769"/>
      <c r="KER97" s="769"/>
      <c r="KES97" s="769"/>
      <c r="KET97" s="769"/>
      <c r="KEU97" s="769"/>
      <c r="KEV97" s="769"/>
      <c r="KEW97" s="769"/>
      <c r="KEX97" s="769"/>
      <c r="KEY97" s="769"/>
      <c r="KEZ97" s="769"/>
      <c r="KFA97" s="769"/>
      <c r="KFB97" s="769"/>
      <c r="KFC97" s="769"/>
      <c r="KFD97" s="769"/>
      <c r="KFE97" s="769"/>
      <c r="KFF97" s="769"/>
      <c r="KFG97" s="769"/>
      <c r="KFH97" s="769"/>
      <c r="KFI97" s="769"/>
      <c r="KFJ97" s="769"/>
      <c r="KFK97" s="769"/>
      <c r="KFL97" s="769"/>
      <c r="KFM97" s="769"/>
      <c r="KFN97" s="769"/>
      <c r="KFO97" s="769"/>
      <c r="KFP97" s="769"/>
      <c r="KFQ97" s="769"/>
      <c r="KFR97" s="769"/>
      <c r="KFS97" s="769"/>
      <c r="KFT97" s="769"/>
      <c r="KFU97" s="769"/>
      <c r="KFV97" s="769"/>
      <c r="KFW97" s="769"/>
      <c r="KFX97" s="769"/>
      <c r="KFY97" s="769"/>
      <c r="KFZ97" s="769"/>
      <c r="KGA97" s="769"/>
      <c r="KGB97" s="769"/>
      <c r="KGC97" s="769"/>
      <c r="KGD97" s="769"/>
      <c r="KGE97" s="769"/>
      <c r="KGF97" s="769"/>
      <c r="KGG97" s="769"/>
      <c r="KGH97" s="769"/>
      <c r="KGI97" s="769"/>
      <c r="KGJ97" s="769"/>
      <c r="KGK97" s="769"/>
      <c r="KGL97" s="769"/>
      <c r="KGM97" s="769"/>
      <c r="KGN97" s="769"/>
      <c r="KGO97" s="769"/>
      <c r="KGP97" s="769"/>
      <c r="KGQ97" s="769"/>
      <c r="KGR97" s="769"/>
      <c r="KGS97" s="769"/>
      <c r="KGT97" s="769"/>
      <c r="KGU97" s="769"/>
      <c r="KGV97" s="769"/>
      <c r="KGW97" s="769"/>
      <c r="KGX97" s="769"/>
      <c r="KGY97" s="769"/>
      <c r="KGZ97" s="769"/>
      <c r="KHA97" s="769"/>
      <c r="KHB97" s="769"/>
      <c r="KHC97" s="769"/>
      <c r="KHD97" s="769"/>
      <c r="KHE97" s="769"/>
      <c r="KHF97" s="769"/>
      <c r="KHG97" s="769"/>
      <c r="KHH97" s="769"/>
      <c r="KHI97" s="769"/>
      <c r="KHJ97" s="769"/>
      <c r="KHK97" s="769"/>
      <c r="KHL97" s="769"/>
      <c r="KHM97" s="769"/>
      <c r="KHN97" s="769"/>
      <c r="KHO97" s="769"/>
      <c r="KHP97" s="769"/>
      <c r="KHQ97" s="769"/>
      <c r="KHR97" s="769"/>
      <c r="KHS97" s="769"/>
      <c r="KHT97" s="769"/>
      <c r="KHU97" s="769"/>
      <c r="KHV97" s="769"/>
      <c r="KHW97" s="769"/>
      <c r="KHX97" s="769"/>
      <c r="KHY97" s="769"/>
      <c r="KHZ97" s="769"/>
      <c r="KIA97" s="769"/>
      <c r="KIB97" s="769"/>
      <c r="KIC97" s="769"/>
      <c r="KID97" s="769"/>
      <c r="KIE97" s="769"/>
      <c r="KIF97" s="769"/>
      <c r="KIG97" s="769"/>
      <c r="KIH97" s="769"/>
      <c r="KII97" s="769"/>
      <c r="KIJ97" s="769"/>
      <c r="KIK97" s="769"/>
      <c r="KIL97" s="769"/>
      <c r="KIM97" s="769"/>
      <c r="KIN97" s="769"/>
      <c r="KIO97" s="769"/>
      <c r="KIP97" s="769"/>
      <c r="KIQ97" s="769"/>
      <c r="KIR97" s="769"/>
      <c r="KIS97" s="769"/>
      <c r="KIT97" s="769"/>
      <c r="KIU97" s="769"/>
      <c r="KIV97" s="769"/>
      <c r="KIW97" s="769"/>
      <c r="KIX97" s="769"/>
      <c r="KIY97" s="769"/>
      <c r="KIZ97" s="769"/>
      <c r="KJA97" s="769"/>
      <c r="KJB97" s="769"/>
      <c r="KJC97" s="769"/>
      <c r="KJD97" s="769"/>
      <c r="KJE97" s="769"/>
      <c r="KJF97" s="769"/>
      <c r="KJG97" s="769"/>
      <c r="KJH97" s="769"/>
      <c r="KJI97" s="769"/>
      <c r="KJJ97" s="769"/>
      <c r="KJK97" s="769"/>
      <c r="KJL97" s="769"/>
      <c r="KJM97" s="769"/>
      <c r="KJN97" s="769"/>
      <c r="KJO97" s="769"/>
      <c r="KJP97" s="769"/>
      <c r="KJQ97" s="769"/>
      <c r="KJR97" s="769"/>
      <c r="KJS97" s="769"/>
      <c r="KJT97" s="769"/>
      <c r="KJU97" s="769"/>
      <c r="KJV97" s="769"/>
      <c r="KJW97" s="769"/>
      <c r="KJX97" s="769"/>
      <c r="KJY97" s="769"/>
      <c r="KJZ97" s="769"/>
      <c r="KKA97" s="769"/>
      <c r="KKB97" s="769"/>
      <c r="KKC97" s="769"/>
      <c r="KKD97" s="769"/>
      <c r="KKE97" s="769"/>
      <c r="KKF97" s="769"/>
      <c r="KKG97" s="769"/>
      <c r="KKH97" s="769"/>
      <c r="KKI97" s="769"/>
      <c r="KKJ97" s="769"/>
      <c r="KKK97" s="769"/>
      <c r="KKL97" s="769"/>
      <c r="KKM97" s="769"/>
      <c r="KKN97" s="769"/>
      <c r="KKO97" s="769"/>
      <c r="KKP97" s="769"/>
      <c r="KKQ97" s="769"/>
      <c r="KKR97" s="769"/>
      <c r="KKS97" s="769"/>
      <c r="KKT97" s="769"/>
      <c r="KKU97" s="769"/>
      <c r="KKV97" s="769"/>
      <c r="KKW97" s="769"/>
      <c r="KKX97" s="769"/>
      <c r="KKY97" s="769"/>
      <c r="KKZ97" s="769"/>
      <c r="KLA97" s="769"/>
      <c r="KLB97" s="769"/>
      <c r="KLC97" s="769"/>
      <c r="KLD97" s="769"/>
      <c r="KLE97" s="769"/>
      <c r="KLF97" s="769"/>
      <c r="KLG97" s="769"/>
      <c r="KLH97" s="769"/>
      <c r="KLI97" s="769"/>
      <c r="KLJ97" s="769"/>
      <c r="KLK97" s="769"/>
      <c r="KLL97" s="769"/>
      <c r="KLM97" s="769"/>
      <c r="KLN97" s="769"/>
      <c r="KLO97" s="769"/>
      <c r="KLP97" s="769"/>
      <c r="KLQ97" s="769"/>
      <c r="KLR97" s="769"/>
      <c r="KLS97" s="769"/>
      <c r="KLT97" s="769"/>
      <c r="KLU97" s="769"/>
      <c r="KLV97" s="769"/>
      <c r="KLW97" s="769"/>
      <c r="KLX97" s="769"/>
      <c r="KLY97" s="769"/>
      <c r="KLZ97" s="769"/>
      <c r="KMA97" s="769"/>
      <c r="KMB97" s="769"/>
      <c r="KMC97" s="769"/>
      <c r="KMD97" s="769"/>
      <c r="KME97" s="769"/>
      <c r="KMF97" s="769"/>
      <c r="KMG97" s="769"/>
      <c r="KMH97" s="769"/>
      <c r="KMI97" s="769"/>
      <c r="KMJ97" s="769"/>
      <c r="KMK97" s="769"/>
      <c r="KML97" s="769"/>
      <c r="KMM97" s="769"/>
      <c r="KMN97" s="769"/>
      <c r="KMO97" s="769"/>
      <c r="KMP97" s="769"/>
      <c r="KMQ97" s="769"/>
      <c r="KMR97" s="769"/>
      <c r="KMS97" s="769"/>
      <c r="KMT97" s="769"/>
      <c r="KMU97" s="769"/>
      <c r="KMV97" s="769"/>
      <c r="KMW97" s="769"/>
      <c r="KMX97" s="769"/>
      <c r="KMY97" s="769"/>
      <c r="KMZ97" s="769"/>
      <c r="KNA97" s="769"/>
      <c r="KNB97" s="769"/>
      <c r="KNC97" s="769"/>
      <c r="KND97" s="769"/>
      <c r="KNE97" s="769"/>
      <c r="KNF97" s="769"/>
      <c r="KNG97" s="769"/>
      <c r="KNH97" s="769"/>
      <c r="KNI97" s="769"/>
      <c r="KNJ97" s="769"/>
      <c r="KNK97" s="769"/>
      <c r="KNL97" s="769"/>
      <c r="KNM97" s="769"/>
      <c r="KNN97" s="769"/>
      <c r="KNO97" s="769"/>
      <c r="KNP97" s="769"/>
      <c r="KNQ97" s="769"/>
      <c r="KNR97" s="769"/>
      <c r="KNS97" s="769"/>
      <c r="KNT97" s="769"/>
      <c r="KNU97" s="769"/>
      <c r="KNV97" s="769"/>
      <c r="KNW97" s="769"/>
      <c r="KNX97" s="769"/>
      <c r="KNY97" s="769"/>
      <c r="KNZ97" s="769"/>
      <c r="KOA97" s="769"/>
      <c r="KOB97" s="769"/>
      <c r="KOC97" s="769"/>
      <c r="KOD97" s="769"/>
      <c r="KOE97" s="769"/>
      <c r="KOF97" s="769"/>
      <c r="KOG97" s="769"/>
      <c r="KOH97" s="769"/>
      <c r="KOI97" s="769"/>
      <c r="KOJ97" s="769"/>
      <c r="KOK97" s="769"/>
      <c r="KOL97" s="769"/>
      <c r="KOM97" s="769"/>
      <c r="KON97" s="769"/>
      <c r="KOO97" s="769"/>
      <c r="KOP97" s="769"/>
      <c r="KOQ97" s="769"/>
      <c r="KOR97" s="769"/>
      <c r="KOS97" s="769"/>
      <c r="KOT97" s="769"/>
      <c r="KOU97" s="769"/>
      <c r="KOV97" s="769"/>
      <c r="KOW97" s="769"/>
      <c r="KOX97" s="769"/>
      <c r="KOY97" s="769"/>
      <c r="KOZ97" s="769"/>
      <c r="KPA97" s="769"/>
      <c r="KPB97" s="769"/>
      <c r="KPC97" s="769"/>
      <c r="KPD97" s="769"/>
      <c r="KPE97" s="769"/>
      <c r="KPF97" s="769"/>
      <c r="KPG97" s="769"/>
      <c r="KPH97" s="769"/>
      <c r="KPI97" s="769"/>
      <c r="KPJ97" s="769"/>
      <c r="KPK97" s="769"/>
      <c r="KPL97" s="769"/>
      <c r="KPM97" s="769"/>
      <c r="KPN97" s="769"/>
      <c r="KPO97" s="769"/>
      <c r="KPP97" s="769"/>
      <c r="KPQ97" s="769"/>
      <c r="KPR97" s="769"/>
      <c r="KPS97" s="769"/>
      <c r="KPT97" s="769"/>
      <c r="KPU97" s="769"/>
      <c r="KPV97" s="769"/>
      <c r="KPW97" s="769"/>
      <c r="KPX97" s="769"/>
      <c r="KPY97" s="769"/>
      <c r="KPZ97" s="769"/>
      <c r="KQA97" s="769"/>
      <c r="KQB97" s="769"/>
      <c r="KQC97" s="769"/>
      <c r="KQD97" s="769"/>
      <c r="KQE97" s="769"/>
      <c r="KQF97" s="769"/>
      <c r="KQG97" s="769"/>
      <c r="KQH97" s="769"/>
      <c r="KQI97" s="769"/>
      <c r="KQJ97" s="769"/>
      <c r="KQK97" s="769"/>
      <c r="KQL97" s="769"/>
      <c r="KQM97" s="769"/>
      <c r="KQN97" s="769"/>
      <c r="KQO97" s="769"/>
      <c r="KQP97" s="769"/>
      <c r="KQQ97" s="769"/>
      <c r="KQR97" s="769"/>
      <c r="KQS97" s="769"/>
      <c r="KQT97" s="769"/>
      <c r="KQU97" s="769"/>
      <c r="KQV97" s="769"/>
      <c r="KQW97" s="769"/>
      <c r="KQX97" s="769"/>
      <c r="KQY97" s="769"/>
      <c r="KQZ97" s="769"/>
      <c r="KRA97" s="769"/>
      <c r="KRB97" s="769"/>
      <c r="KRC97" s="769"/>
      <c r="KRD97" s="769"/>
      <c r="KRE97" s="769"/>
      <c r="KRF97" s="769"/>
      <c r="KRG97" s="769"/>
      <c r="KRH97" s="769"/>
      <c r="KRI97" s="769"/>
      <c r="KRJ97" s="769"/>
      <c r="KRK97" s="769"/>
      <c r="KRL97" s="769"/>
      <c r="KRM97" s="769"/>
      <c r="KRN97" s="769"/>
      <c r="KRO97" s="769"/>
      <c r="KRP97" s="769"/>
      <c r="KRQ97" s="769"/>
      <c r="KRR97" s="769"/>
      <c r="KRS97" s="769"/>
      <c r="KRT97" s="769"/>
      <c r="KRU97" s="769"/>
      <c r="KRV97" s="769"/>
      <c r="KRW97" s="769"/>
      <c r="KRX97" s="769"/>
      <c r="KRY97" s="769"/>
      <c r="KRZ97" s="769"/>
      <c r="KSA97" s="769"/>
      <c r="KSB97" s="769"/>
      <c r="KSC97" s="769"/>
      <c r="KSD97" s="769"/>
      <c r="KSE97" s="769"/>
      <c r="KSF97" s="769"/>
      <c r="KSG97" s="769"/>
      <c r="KSH97" s="769"/>
      <c r="KSI97" s="769"/>
      <c r="KSJ97" s="769"/>
      <c r="KSK97" s="769"/>
      <c r="KSL97" s="769"/>
      <c r="KSM97" s="769"/>
      <c r="KSN97" s="769"/>
      <c r="KSO97" s="769"/>
      <c r="KSP97" s="769"/>
      <c r="KSQ97" s="769"/>
      <c r="KSR97" s="769"/>
      <c r="KSS97" s="769"/>
      <c r="KST97" s="769"/>
      <c r="KSU97" s="769"/>
      <c r="KSV97" s="769"/>
      <c r="KSW97" s="769"/>
      <c r="KSX97" s="769"/>
      <c r="KSY97" s="769"/>
      <c r="KSZ97" s="769"/>
      <c r="KTA97" s="769"/>
      <c r="KTB97" s="769"/>
      <c r="KTC97" s="769"/>
      <c r="KTD97" s="769"/>
      <c r="KTE97" s="769"/>
      <c r="KTF97" s="769"/>
      <c r="KTG97" s="769"/>
      <c r="KTH97" s="769"/>
      <c r="KTI97" s="769"/>
      <c r="KTJ97" s="769"/>
      <c r="KTK97" s="769"/>
      <c r="KTL97" s="769"/>
      <c r="KTM97" s="769"/>
      <c r="KTN97" s="769"/>
      <c r="KTO97" s="769"/>
      <c r="KTP97" s="769"/>
      <c r="KTQ97" s="769"/>
      <c r="KTR97" s="769"/>
      <c r="KTS97" s="769"/>
      <c r="KTT97" s="769"/>
      <c r="KTU97" s="769"/>
      <c r="KTV97" s="769"/>
      <c r="KTW97" s="769"/>
      <c r="KTX97" s="769"/>
      <c r="KTY97" s="769"/>
      <c r="KTZ97" s="769"/>
      <c r="KUA97" s="769"/>
      <c r="KUB97" s="769"/>
      <c r="KUC97" s="769"/>
      <c r="KUD97" s="769"/>
      <c r="KUE97" s="769"/>
      <c r="KUF97" s="769"/>
      <c r="KUG97" s="769"/>
      <c r="KUH97" s="769"/>
      <c r="KUI97" s="769"/>
      <c r="KUJ97" s="769"/>
      <c r="KUK97" s="769"/>
      <c r="KUL97" s="769"/>
      <c r="KUM97" s="769"/>
      <c r="KUN97" s="769"/>
      <c r="KUO97" s="769"/>
      <c r="KUP97" s="769"/>
      <c r="KUQ97" s="769"/>
      <c r="KUR97" s="769"/>
      <c r="KUS97" s="769"/>
      <c r="KUT97" s="769"/>
      <c r="KUU97" s="769"/>
      <c r="KUV97" s="769"/>
      <c r="KUW97" s="769"/>
      <c r="KUX97" s="769"/>
      <c r="KUY97" s="769"/>
      <c r="KUZ97" s="769"/>
      <c r="KVA97" s="769"/>
      <c r="KVB97" s="769"/>
      <c r="KVC97" s="769"/>
      <c r="KVD97" s="769"/>
      <c r="KVE97" s="769"/>
      <c r="KVF97" s="769"/>
      <c r="KVG97" s="769"/>
      <c r="KVH97" s="769"/>
      <c r="KVI97" s="769"/>
      <c r="KVJ97" s="769"/>
      <c r="KVK97" s="769"/>
      <c r="KVL97" s="769"/>
      <c r="KVM97" s="769"/>
      <c r="KVN97" s="769"/>
      <c r="KVO97" s="769"/>
      <c r="KVP97" s="769"/>
      <c r="KVQ97" s="769"/>
      <c r="KVR97" s="769"/>
      <c r="KVS97" s="769"/>
      <c r="KVT97" s="769"/>
      <c r="KVU97" s="769"/>
      <c r="KVV97" s="769"/>
      <c r="KVW97" s="769"/>
      <c r="KVX97" s="769"/>
      <c r="KVY97" s="769"/>
      <c r="KVZ97" s="769"/>
      <c r="KWA97" s="769"/>
      <c r="KWB97" s="769"/>
      <c r="KWC97" s="769"/>
      <c r="KWD97" s="769"/>
      <c r="KWE97" s="769"/>
      <c r="KWF97" s="769"/>
      <c r="KWG97" s="769"/>
      <c r="KWH97" s="769"/>
      <c r="KWI97" s="769"/>
      <c r="KWJ97" s="769"/>
      <c r="KWK97" s="769"/>
      <c r="KWL97" s="769"/>
      <c r="KWM97" s="769"/>
      <c r="KWN97" s="769"/>
      <c r="KWO97" s="769"/>
      <c r="KWP97" s="769"/>
      <c r="KWQ97" s="769"/>
      <c r="KWR97" s="769"/>
      <c r="KWS97" s="769"/>
      <c r="KWT97" s="769"/>
      <c r="KWU97" s="769"/>
      <c r="KWV97" s="769"/>
      <c r="KWW97" s="769"/>
      <c r="KWX97" s="769"/>
      <c r="KWY97" s="769"/>
      <c r="KWZ97" s="769"/>
      <c r="KXA97" s="769"/>
      <c r="KXB97" s="769"/>
      <c r="KXC97" s="769"/>
      <c r="KXD97" s="769"/>
      <c r="KXE97" s="769"/>
      <c r="KXF97" s="769"/>
      <c r="KXG97" s="769"/>
      <c r="KXH97" s="769"/>
      <c r="KXI97" s="769"/>
      <c r="KXJ97" s="769"/>
      <c r="KXK97" s="769"/>
      <c r="KXL97" s="769"/>
      <c r="KXM97" s="769"/>
      <c r="KXN97" s="769"/>
      <c r="KXO97" s="769"/>
      <c r="KXP97" s="769"/>
      <c r="KXQ97" s="769"/>
      <c r="KXR97" s="769"/>
      <c r="KXS97" s="769"/>
      <c r="KXT97" s="769"/>
      <c r="KXU97" s="769"/>
      <c r="KXV97" s="769"/>
      <c r="KXW97" s="769"/>
      <c r="KXX97" s="769"/>
      <c r="KXY97" s="769"/>
      <c r="KXZ97" s="769"/>
      <c r="KYA97" s="769"/>
      <c r="KYB97" s="769"/>
      <c r="KYC97" s="769"/>
      <c r="KYD97" s="769"/>
      <c r="KYE97" s="769"/>
      <c r="KYF97" s="769"/>
      <c r="KYG97" s="769"/>
      <c r="KYH97" s="769"/>
      <c r="KYI97" s="769"/>
      <c r="KYJ97" s="769"/>
      <c r="KYK97" s="769"/>
      <c r="KYL97" s="769"/>
      <c r="KYM97" s="769"/>
      <c r="KYN97" s="769"/>
      <c r="KYO97" s="769"/>
      <c r="KYP97" s="769"/>
      <c r="KYQ97" s="769"/>
      <c r="KYR97" s="769"/>
      <c r="KYS97" s="769"/>
      <c r="KYT97" s="769"/>
      <c r="KYU97" s="769"/>
      <c r="KYV97" s="769"/>
      <c r="KYW97" s="769"/>
      <c r="KYX97" s="769"/>
      <c r="KYY97" s="769"/>
      <c r="KYZ97" s="769"/>
      <c r="KZA97" s="769"/>
      <c r="KZB97" s="769"/>
      <c r="KZC97" s="769"/>
      <c r="KZD97" s="769"/>
      <c r="KZE97" s="769"/>
      <c r="KZF97" s="769"/>
      <c r="KZG97" s="769"/>
      <c r="KZH97" s="769"/>
      <c r="KZI97" s="769"/>
      <c r="KZJ97" s="769"/>
      <c r="KZK97" s="769"/>
      <c r="KZL97" s="769"/>
      <c r="KZM97" s="769"/>
      <c r="KZN97" s="769"/>
      <c r="KZO97" s="769"/>
      <c r="KZP97" s="769"/>
      <c r="KZQ97" s="769"/>
      <c r="KZR97" s="769"/>
      <c r="KZS97" s="769"/>
      <c r="KZT97" s="769"/>
      <c r="KZU97" s="769"/>
      <c r="KZV97" s="769"/>
      <c r="KZW97" s="769"/>
      <c r="KZX97" s="769"/>
      <c r="KZY97" s="769"/>
      <c r="KZZ97" s="769"/>
      <c r="LAA97" s="769"/>
      <c r="LAB97" s="769"/>
      <c r="LAC97" s="769"/>
      <c r="LAD97" s="769"/>
      <c r="LAE97" s="769"/>
      <c r="LAF97" s="769"/>
      <c r="LAG97" s="769"/>
      <c r="LAH97" s="769"/>
      <c r="LAI97" s="769"/>
      <c r="LAJ97" s="769"/>
      <c r="LAK97" s="769"/>
      <c r="LAL97" s="769"/>
      <c r="LAM97" s="769"/>
      <c r="LAN97" s="769"/>
      <c r="LAO97" s="769"/>
      <c r="LAP97" s="769"/>
      <c r="LAQ97" s="769"/>
      <c r="LAR97" s="769"/>
      <c r="LAS97" s="769"/>
      <c r="LAT97" s="769"/>
      <c r="LAU97" s="769"/>
      <c r="LAV97" s="769"/>
      <c r="LAW97" s="769"/>
      <c r="LAX97" s="769"/>
      <c r="LAY97" s="769"/>
      <c r="LAZ97" s="769"/>
      <c r="LBA97" s="769"/>
      <c r="LBB97" s="769"/>
      <c r="LBC97" s="769"/>
      <c r="LBD97" s="769"/>
      <c r="LBE97" s="769"/>
      <c r="LBF97" s="769"/>
      <c r="LBG97" s="769"/>
      <c r="LBH97" s="769"/>
      <c r="LBI97" s="769"/>
      <c r="LBJ97" s="769"/>
      <c r="LBK97" s="769"/>
      <c r="LBL97" s="769"/>
      <c r="LBM97" s="769"/>
      <c r="LBN97" s="769"/>
      <c r="LBO97" s="769"/>
      <c r="LBP97" s="769"/>
      <c r="LBQ97" s="769"/>
      <c r="LBR97" s="769"/>
      <c r="LBS97" s="769"/>
      <c r="LBT97" s="769"/>
      <c r="LBU97" s="769"/>
      <c r="LBV97" s="769"/>
      <c r="LBW97" s="769"/>
      <c r="LBX97" s="769"/>
      <c r="LBY97" s="769"/>
      <c r="LBZ97" s="769"/>
      <c r="LCA97" s="769"/>
      <c r="LCB97" s="769"/>
      <c r="LCC97" s="769"/>
      <c r="LCD97" s="769"/>
      <c r="LCE97" s="769"/>
      <c r="LCF97" s="769"/>
      <c r="LCG97" s="769"/>
      <c r="LCH97" s="769"/>
      <c r="LCI97" s="769"/>
      <c r="LCJ97" s="769"/>
      <c r="LCK97" s="769"/>
      <c r="LCL97" s="769"/>
      <c r="LCM97" s="769"/>
      <c r="LCN97" s="769"/>
      <c r="LCO97" s="769"/>
      <c r="LCP97" s="769"/>
      <c r="LCQ97" s="769"/>
      <c r="LCR97" s="769"/>
      <c r="LCS97" s="769"/>
      <c r="LCT97" s="769"/>
      <c r="LCU97" s="769"/>
      <c r="LCV97" s="769"/>
      <c r="LCW97" s="769"/>
      <c r="LCX97" s="769"/>
      <c r="LCY97" s="769"/>
      <c r="LCZ97" s="769"/>
      <c r="LDA97" s="769"/>
      <c r="LDB97" s="769"/>
      <c r="LDC97" s="769"/>
      <c r="LDD97" s="769"/>
      <c r="LDE97" s="769"/>
      <c r="LDF97" s="769"/>
      <c r="LDG97" s="769"/>
      <c r="LDH97" s="769"/>
      <c r="LDI97" s="769"/>
      <c r="LDJ97" s="769"/>
      <c r="LDK97" s="769"/>
      <c r="LDL97" s="769"/>
      <c r="LDM97" s="769"/>
      <c r="LDN97" s="769"/>
      <c r="LDO97" s="769"/>
      <c r="LDP97" s="769"/>
      <c r="LDQ97" s="769"/>
      <c r="LDR97" s="769"/>
      <c r="LDS97" s="769"/>
      <c r="LDT97" s="769"/>
      <c r="LDU97" s="769"/>
      <c r="LDV97" s="769"/>
      <c r="LDW97" s="769"/>
      <c r="LDX97" s="769"/>
      <c r="LDY97" s="769"/>
      <c r="LDZ97" s="769"/>
      <c r="LEA97" s="769"/>
      <c r="LEB97" s="769"/>
      <c r="LEC97" s="769"/>
      <c r="LED97" s="769"/>
      <c r="LEE97" s="769"/>
      <c r="LEF97" s="769"/>
      <c r="LEG97" s="769"/>
      <c r="LEH97" s="769"/>
      <c r="LEI97" s="769"/>
      <c r="LEJ97" s="769"/>
      <c r="LEK97" s="769"/>
      <c r="LEL97" s="769"/>
      <c r="LEM97" s="769"/>
      <c r="LEN97" s="769"/>
      <c r="LEO97" s="769"/>
      <c r="LEP97" s="769"/>
      <c r="LEQ97" s="769"/>
      <c r="LER97" s="769"/>
      <c r="LES97" s="769"/>
      <c r="LET97" s="769"/>
      <c r="LEU97" s="769"/>
      <c r="LEV97" s="769"/>
      <c r="LEW97" s="769"/>
      <c r="LEX97" s="769"/>
      <c r="LEY97" s="769"/>
      <c r="LEZ97" s="769"/>
      <c r="LFA97" s="769"/>
      <c r="LFB97" s="769"/>
      <c r="LFC97" s="769"/>
      <c r="LFD97" s="769"/>
      <c r="LFE97" s="769"/>
      <c r="LFF97" s="769"/>
      <c r="LFG97" s="769"/>
      <c r="LFH97" s="769"/>
      <c r="LFI97" s="769"/>
      <c r="LFJ97" s="769"/>
      <c r="LFK97" s="769"/>
      <c r="LFL97" s="769"/>
      <c r="LFM97" s="769"/>
      <c r="LFN97" s="769"/>
      <c r="LFO97" s="769"/>
      <c r="LFP97" s="769"/>
      <c r="LFQ97" s="769"/>
      <c r="LFR97" s="769"/>
      <c r="LFS97" s="769"/>
      <c r="LFT97" s="769"/>
      <c r="LFU97" s="769"/>
      <c r="LFV97" s="769"/>
      <c r="LFW97" s="769"/>
      <c r="LFX97" s="769"/>
      <c r="LFY97" s="769"/>
      <c r="LFZ97" s="769"/>
      <c r="LGA97" s="769"/>
      <c r="LGB97" s="769"/>
      <c r="LGC97" s="769"/>
      <c r="LGD97" s="769"/>
      <c r="LGE97" s="769"/>
      <c r="LGF97" s="769"/>
      <c r="LGG97" s="769"/>
      <c r="LGH97" s="769"/>
      <c r="LGI97" s="769"/>
      <c r="LGJ97" s="769"/>
      <c r="LGK97" s="769"/>
      <c r="LGL97" s="769"/>
      <c r="LGM97" s="769"/>
      <c r="LGN97" s="769"/>
      <c r="LGO97" s="769"/>
      <c r="LGP97" s="769"/>
      <c r="LGQ97" s="769"/>
      <c r="LGR97" s="769"/>
      <c r="LGS97" s="769"/>
      <c r="LGT97" s="769"/>
      <c r="LGU97" s="769"/>
      <c r="LGV97" s="769"/>
      <c r="LGW97" s="769"/>
      <c r="LGX97" s="769"/>
      <c r="LGY97" s="769"/>
      <c r="LGZ97" s="769"/>
      <c r="LHA97" s="769"/>
      <c r="LHB97" s="769"/>
      <c r="LHC97" s="769"/>
      <c r="LHD97" s="769"/>
      <c r="LHE97" s="769"/>
      <c r="LHF97" s="769"/>
      <c r="LHG97" s="769"/>
      <c r="LHH97" s="769"/>
      <c r="LHI97" s="769"/>
      <c r="LHJ97" s="769"/>
      <c r="LHK97" s="769"/>
      <c r="LHL97" s="769"/>
      <c r="LHM97" s="769"/>
      <c r="LHN97" s="769"/>
      <c r="LHO97" s="769"/>
      <c r="LHP97" s="769"/>
      <c r="LHQ97" s="769"/>
      <c r="LHR97" s="769"/>
      <c r="LHS97" s="769"/>
      <c r="LHT97" s="769"/>
      <c r="LHU97" s="769"/>
      <c r="LHV97" s="769"/>
      <c r="LHW97" s="769"/>
      <c r="LHX97" s="769"/>
      <c r="LHY97" s="769"/>
      <c r="LHZ97" s="769"/>
      <c r="LIA97" s="769"/>
      <c r="LIB97" s="769"/>
      <c r="LIC97" s="769"/>
      <c r="LID97" s="769"/>
      <c r="LIE97" s="769"/>
      <c r="LIF97" s="769"/>
      <c r="LIG97" s="769"/>
      <c r="LIH97" s="769"/>
      <c r="LII97" s="769"/>
      <c r="LIJ97" s="769"/>
      <c r="LIK97" s="769"/>
      <c r="LIL97" s="769"/>
      <c r="LIM97" s="769"/>
      <c r="LIN97" s="769"/>
      <c r="LIO97" s="769"/>
      <c r="LIP97" s="769"/>
      <c r="LIQ97" s="769"/>
      <c r="LIR97" s="769"/>
      <c r="LIS97" s="769"/>
      <c r="LIT97" s="769"/>
      <c r="LIU97" s="769"/>
      <c r="LIV97" s="769"/>
      <c r="LIW97" s="769"/>
      <c r="LIX97" s="769"/>
      <c r="LIY97" s="769"/>
      <c r="LIZ97" s="769"/>
      <c r="LJA97" s="769"/>
      <c r="LJB97" s="769"/>
      <c r="LJC97" s="769"/>
      <c r="LJD97" s="769"/>
      <c r="LJE97" s="769"/>
      <c r="LJF97" s="769"/>
      <c r="LJG97" s="769"/>
      <c r="LJH97" s="769"/>
      <c r="LJI97" s="769"/>
      <c r="LJJ97" s="769"/>
      <c r="LJK97" s="769"/>
      <c r="LJL97" s="769"/>
      <c r="LJM97" s="769"/>
      <c r="LJN97" s="769"/>
      <c r="LJO97" s="769"/>
      <c r="LJP97" s="769"/>
      <c r="LJQ97" s="769"/>
      <c r="LJR97" s="769"/>
      <c r="LJS97" s="769"/>
      <c r="LJT97" s="769"/>
      <c r="LJU97" s="769"/>
      <c r="LJV97" s="769"/>
      <c r="LJW97" s="769"/>
      <c r="LJX97" s="769"/>
      <c r="LJY97" s="769"/>
      <c r="LJZ97" s="769"/>
      <c r="LKA97" s="769"/>
      <c r="LKB97" s="769"/>
      <c r="LKC97" s="769"/>
      <c r="LKD97" s="769"/>
      <c r="LKE97" s="769"/>
      <c r="LKF97" s="769"/>
      <c r="LKG97" s="769"/>
      <c r="LKH97" s="769"/>
      <c r="LKI97" s="769"/>
      <c r="LKJ97" s="769"/>
      <c r="LKK97" s="769"/>
      <c r="LKL97" s="769"/>
      <c r="LKM97" s="769"/>
      <c r="LKN97" s="769"/>
      <c r="LKO97" s="769"/>
      <c r="LKP97" s="769"/>
      <c r="LKQ97" s="769"/>
      <c r="LKR97" s="769"/>
      <c r="LKS97" s="769"/>
      <c r="LKT97" s="769"/>
      <c r="LKU97" s="769"/>
      <c r="LKV97" s="769"/>
      <c r="LKW97" s="769"/>
      <c r="LKX97" s="769"/>
      <c r="LKY97" s="769"/>
      <c r="LKZ97" s="769"/>
      <c r="LLA97" s="769"/>
      <c r="LLB97" s="769"/>
      <c r="LLC97" s="769"/>
      <c r="LLD97" s="769"/>
      <c r="LLE97" s="769"/>
      <c r="LLF97" s="769"/>
      <c r="LLG97" s="769"/>
      <c r="LLH97" s="769"/>
      <c r="LLI97" s="769"/>
      <c r="LLJ97" s="769"/>
      <c r="LLK97" s="769"/>
      <c r="LLL97" s="769"/>
      <c r="LLM97" s="769"/>
      <c r="LLN97" s="769"/>
      <c r="LLO97" s="769"/>
      <c r="LLP97" s="769"/>
      <c r="LLQ97" s="769"/>
      <c r="LLR97" s="769"/>
      <c r="LLS97" s="769"/>
      <c r="LLT97" s="769"/>
      <c r="LLU97" s="769"/>
      <c r="LLV97" s="769"/>
      <c r="LLW97" s="769"/>
      <c r="LLX97" s="769"/>
      <c r="LLY97" s="769"/>
      <c r="LLZ97" s="769"/>
      <c r="LMA97" s="769"/>
      <c r="LMB97" s="769"/>
      <c r="LMC97" s="769"/>
      <c r="LMD97" s="769"/>
      <c r="LME97" s="769"/>
      <c r="LMF97" s="769"/>
      <c r="LMG97" s="769"/>
      <c r="LMH97" s="769"/>
      <c r="LMI97" s="769"/>
      <c r="LMJ97" s="769"/>
      <c r="LMK97" s="769"/>
      <c r="LML97" s="769"/>
      <c r="LMM97" s="769"/>
      <c r="LMN97" s="769"/>
      <c r="LMO97" s="769"/>
      <c r="LMP97" s="769"/>
      <c r="LMQ97" s="769"/>
      <c r="LMR97" s="769"/>
      <c r="LMS97" s="769"/>
      <c r="LMT97" s="769"/>
      <c r="LMU97" s="769"/>
      <c r="LMV97" s="769"/>
      <c r="LMW97" s="769"/>
      <c r="LMX97" s="769"/>
      <c r="LMY97" s="769"/>
      <c r="LMZ97" s="769"/>
      <c r="LNA97" s="769"/>
      <c r="LNB97" s="769"/>
      <c r="LNC97" s="769"/>
      <c r="LND97" s="769"/>
      <c r="LNE97" s="769"/>
      <c r="LNF97" s="769"/>
      <c r="LNG97" s="769"/>
      <c r="LNH97" s="769"/>
      <c r="LNI97" s="769"/>
      <c r="LNJ97" s="769"/>
      <c r="LNK97" s="769"/>
      <c r="LNL97" s="769"/>
      <c r="LNM97" s="769"/>
      <c r="LNN97" s="769"/>
      <c r="LNO97" s="769"/>
      <c r="LNP97" s="769"/>
      <c r="LNQ97" s="769"/>
      <c r="LNR97" s="769"/>
      <c r="LNS97" s="769"/>
      <c r="LNT97" s="769"/>
      <c r="LNU97" s="769"/>
      <c r="LNV97" s="769"/>
      <c r="LNW97" s="769"/>
      <c r="LNX97" s="769"/>
      <c r="LNY97" s="769"/>
      <c r="LNZ97" s="769"/>
      <c r="LOA97" s="769"/>
      <c r="LOB97" s="769"/>
      <c r="LOC97" s="769"/>
      <c r="LOD97" s="769"/>
      <c r="LOE97" s="769"/>
      <c r="LOF97" s="769"/>
      <c r="LOG97" s="769"/>
      <c r="LOH97" s="769"/>
      <c r="LOI97" s="769"/>
      <c r="LOJ97" s="769"/>
      <c r="LOK97" s="769"/>
      <c r="LOL97" s="769"/>
      <c r="LOM97" s="769"/>
      <c r="LON97" s="769"/>
      <c r="LOO97" s="769"/>
      <c r="LOP97" s="769"/>
      <c r="LOQ97" s="769"/>
      <c r="LOR97" s="769"/>
      <c r="LOS97" s="769"/>
      <c r="LOT97" s="769"/>
      <c r="LOU97" s="769"/>
      <c r="LOV97" s="769"/>
      <c r="LOW97" s="769"/>
      <c r="LOX97" s="769"/>
      <c r="LOY97" s="769"/>
      <c r="LOZ97" s="769"/>
      <c r="LPA97" s="769"/>
      <c r="LPB97" s="769"/>
      <c r="LPC97" s="769"/>
      <c r="LPD97" s="769"/>
      <c r="LPE97" s="769"/>
      <c r="LPF97" s="769"/>
      <c r="LPG97" s="769"/>
      <c r="LPH97" s="769"/>
      <c r="LPI97" s="769"/>
      <c r="LPJ97" s="769"/>
      <c r="LPK97" s="769"/>
      <c r="LPL97" s="769"/>
      <c r="LPM97" s="769"/>
      <c r="LPN97" s="769"/>
      <c r="LPO97" s="769"/>
      <c r="LPP97" s="769"/>
      <c r="LPQ97" s="769"/>
      <c r="LPR97" s="769"/>
      <c r="LPS97" s="769"/>
      <c r="LPT97" s="769"/>
      <c r="LPU97" s="769"/>
      <c r="LPV97" s="769"/>
      <c r="LPW97" s="769"/>
      <c r="LPX97" s="769"/>
      <c r="LPY97" s="769"/>
      <c r="LPZ97" s="769"/>
      <c r="LQA97" s="769"/>
      <c r="LQB97" s="769"/>
      <c r="LQC97" s="769"/>
      <c r="LQD97" s="769"/>
      <c r="LQE97" s="769"/>
      <c r="LQF97" s="769"/>
      <c r="LQG97" s="769"/>
      <c r="LQH97" s="769"/>
      <c r="LQI97" s="769"/>
      <c r="LQJ97" s="769"/>
      <c r="LQK97" s="769"/>
      <c r="LQL97" s="769"/>
      <c r="LQM97" s="769"/>
      <c r="LQN97" s="769"/>
      <c r="LQO97" s="769"/>
      <c r="LQP97" s="769"/>
      <c r="LQQ97" s="769"/>
      <c r="LQR97" s="769"/>
      <c r="LQS97" s="769"/>
      <c r="LQT97" s="769"/>
      <c r="LQU97" s="769"/>
      <c r="LQV97" s="769"/>
      <c r="LQW97" s="769"/>
      <c r="LQX97" s="769"/>
      <c r="LQY97" s="769"/>
      <c r="LQZ97" s="769"/>
      <c r="LRA97" s="769"/>
      <c r="LRB97" s="769"/>
      <c r="LRC97" s="769"/>
      <c r="LRD97" s="769"/>
      <c r="LRE97" s="769"/>
      <c r="LRF97" s="769"/>
      <c r="LRG97" s="769"/>
      <c r="LRH97" s="769"/>
      <c r="LRI97" s="769"/>
      <c r="LRJ97" s="769"/>
      <c r="LRK97" s="769"/>
      <c r="LRL97" s="769"/>
      <c r="LRM97" s="769"/>
      <c r="LRN97" s="769"/>
      <c r="LRO97" s="769"/>
      <c r="LRP97" s="769"/>
      <c r="LRQ97" s="769"/>
      <c r="LRR97" s="769"/>
      <c r="LRS97" s="769"/>
      <c r="LRT97" s="769"/>
      <c r="LRU97" s="769"/>
      <c r="LRV97" s="769"/>
      <c r="LRW97" s="769"/>
      <c r="LRX97" s="769"/>
      <c r="LRY97" s="769"/>
      <c r="LRZ97" s="769"/>
      <c r="LSA97" s="769"/>
      <c r="LSB97" s="769"/>
      <c r="LSC97" s="769"/>
      <c r="LSD97" s="769"/>
      <c r="LSE97" s="769"/>
      <c r="LSF97" s="769"/>
      <c r="LSG97" s="769"/>
      <c r="LSH97" s="769"/>
      <c r="LSI97" s="769"/>
      <c r="LSJ97" s="769"/>
      <c r="LSK97" s="769"/>
      <c r="LSL97" s="769"/>
      <c r="LSM97" s="769"/>
      <c r="LSN97" s="769"/>
      <c r="LSO97" s="769"/>
      <c r="LSP97" s="769"/>
      <c r="LSQ97" s="769"/>
      <c r="LSR97" s="769"/>
      <c r="LSS97" s="769"/>
      <c r="LST97" s="769"/>
      <c r="LSU97" s="769"/>
      <c r="LSV97" s="769"/>
      <c r="LSW97" s="769"/>
      <c r="LSX97" s="769"/>
      <c r="LSY97" s="769"/>
      <c r="LSZ97" s="769"/>
      <c r="LTA97" s="769"/>
      <c r="LTB97" s="769"/>
      <c r="LTC97" s="769"/>
      <c r="LTD97" s="769"/>
      <c r="LTE97" s="769"/>
      <c r="LTF97" s="769"/>
      <c r="LTG97" s="769"/>
      <c r="LTH97" s="769"/>
      <c r="LTI97" s="769"/>
      <c r="LTJ97" s="769"/>
      <c r="LTK97" s="769"/>
      <c r="LTL97" s="769"/>
      <c r="LTM97" s="769"/>
      <c r="LTN97" s="769"/>
      <c r="LTO97" s="769"/>
      <c r="LTP97" s="769"/>
      <c r="LTQ97" s="769"/>
      <c r="LTR97" s="769"/>
      <c r="LTS97" s="769"/>
      <c r="LTT97" s="769"/>
      <c r="LTU97" s="769"/>
      <c r="LTV97" s="769"/>
      <c r="LTW97" s="769"/>
      <c r="LTX97" s="769"/>
      <c r="LTY97" s="769"/>
      <c r="LTZ97" s="769"/>
      <c r="LUA97" s="769"/>
      <c r="LUB97" s="769"/>
      <c r="LUC97" s="769"/>
      <c r="LUD97" s="769"/>
      <c r="LUE97" s="769"/>
      <c r="LUF97" s="769"/>
      <c r="LUG97" s="769"/>
      <c r="LUH97" s="769"/>
      <c r="LUI97" s="769"/>
      <c r="LUJ97" s="769"/>
      <c r="LUK97" s="769"/>
      <c r="LUL97" s="769"/>
      <c r="LUM97" s="769"/>
      <c r="LUN97" s="769"/>
      <c r="LUO97" s="769"/>
      <c r="LUP97" s="769"/>
      <c r="LUQ97" s="769"/>
      <c r="LUR97" s="769"/>
      <c r="LUS97" s="769"/>
      <c r="LUT97" s="769"/>
      <c r="LUU97" s="769"/>
      <c r="LUV97" s="769"/>
      <c r="LUW97" s="769"/>
      <c r="LUX97" s="769"/>
      <c r="LUY97" s="769"/>
      <c r="LUZ97" s="769"/>
      <c r="LVA97" s="769"/>
      <c r="LVB97" s="769"/>
      <c r="LVC97" s="769"/>
      <c r="LVD97" s="769"/>
      <c r="LVE97" s="769"/>
      <c r="LVF97" s="769"/>
      <c r="LVG97" s="769"/>
      <c r="LVH97" s="769"/>
      <c r="LVI97" s="769"/>
      <c r="LVJ97" s="769"/>
      <c r="LVK97" s="769"/>
      <c r="LVL97" s="769"/>
      <c r="LVM97" s="769"/>
      <c r="LVN97" s="769"/>
      <c r="LVO97" s="769"/>
      <c r="LVP97" s="769"/>
      <c r="LVQ97" s="769"/>
      <c r="LVR97" s="769"/>
      <c r="LVS97" s="769"/>
      <c r="LVT97" s="769"/>
      <c r="LVU97" s="769"/>
      <c r="LVV97" s="769"/>
      <c r="LVW97" s="769"/>
      <c r="LVX97" s="769"/>
      <c r="LVY97" s="769"/>
      <c r="LVZ97" s="769"/>
      <c r="LWA97" s="769"/>
      <c r="LWB97" s="769"/>
      <c r="LWC97" s="769"/>
      <c r="LWD97" s="769"/>
      <c r="LWE97" s="769"/>
      <c r="LWF97" s="769"/>
      <c r="LWG97" s="769"/>
      <c r="LWH97" s="769"/>
      <c r="LWI97" s="769"/>
      <c r="LWJ97" s="769"/>
      <c r="LWK97" s="769"/>
      <c r="LWL97" s="769"/>
      <c r="LWM97" s="769"/>
      <c r="LWN97" s="769"/>
      <c r="LWO97" s="769"/>
      <c r="LWP97" s="769"/>
      <c r="LWQ97" s="769"/>
      <c r="LWR97" s="769"/>
      <c r="LWS97" s="769"/>
      <c r="LWT97" s="769"/>
      <c r="LWU97" s="769"/>
      <c r="LWV97" s="769"/>
      <c r="LWW97" s="769"/>
      <c r="LWX97" s="769"/>
      <c r="LWY97" s="769"/>
      <c r="LWZ97" s="769"/>
      <c r="LXA97" s="769"/>
      <c r="LXB97" s="769"/>
      <c r="LXC97" s="769"/>
      <c r="LXD97" s="769"/>
      <c r="LXE97" s="769"/>
      <c r="LXF97" s="769"/>
      <c r="LXG97" s="769"/>
      <c r="LXH97" s="769"/>
      <c r="LXI97" s="769"/>
      <c r="LXJ97" s="769"/>
      <c r="LXK97" s="769"/>
      <c r="LXL97" s="769"/>
      <c r="LXM97" s="769"/>
      <c r="LXN97" s="769"/>
      <c r="LXO97" s="769"/>
      <c r="LXP97" s="769"/>
      <c r="LXQ97" s="769"/>
      <c r="LXR97" s="769"/>
      <c r="LXS97" s="769"/>
      <c r="LXT97" s="769"/>
      <c r="LXU97" s="769"/>
      <c r="LXV97" s="769"/>
      <c r="LXW97" s="769"/>
      <c r="LXX97" s="769"/>
      <c r="LXY97" s="769"/>
      <c r="LXZ97" s="769"/>
      <c r="LYA97" s="769"/>
      <c r="LYB97" s="769"/>
      <c r="LYC97" s="769"/>
      <c r="LYD97" s="769"/>
      <c r="LYE97" s="769"/>
      <c r="LYF97" s="769"/>
      <c r="LYG97" s="769"/>
      <c r="LYH97" s="769"/>
      <c r="LYI97" s="769"/>
      <c r="LYJ97" s="769"/>
      <c r="LYK97" s="769"/>
      <c r="LYL97" s="769"/>
      <c r="LYM97" s="769"/>
      <c r="LYN97" s="769"/>
      <c r="LYO97" s="769"/>
      <c r="LYP97" s="769"/>
      <c r="LYQ97" s="769"/>
      <c r="LYR97" s="769"/>
      <c r="LYS97" s="769"/>
      <c r="LYT97" s="769"/>
      <c r="LYU97" s="769"/>
      <c r="LYV97" s="769"/>
      <c r="LYW97" s="769"/>
      <c r="LYX97" s="769"/>
      <c r="LYY97" s="769"/>
      <c r="LYZ97" s="769"/>
      <c r="LZA97" s="769"/>
      <c r="LZB97" s="769"/>
      <c r="LZC97" s="769"/>
      <c r="LZD97" s="769"/>
      <c r="LZE97" s="769"/>
      <c r="LZF97" s="769"/>
      <c r="LZG97" s="769"/>
      <c r="LZH97" s="769"/>
      <c r="LZI97" s="769"/>
      <c r="LZJ97" s="769"/>
      <c r="LZK97" s="769"/>
      <c r="LZL97" s="769"/>
      <c r="LZM97" s="769"/>
      <c r="LZN97" s="769"/>
      <c r="LZO97" s="769"/>
      <c r="LZP97" s="769"/>
      <c r="LZQ97" s="769"/>
      <c r="LZR97" s="769"/>
      <c r="LZS97" s="769"/>
      <c r="LZT97" s="769"/>
      <c r="LZU97" s="769"/>
      <c r="LZV97" s="769"/>
      <c r="LZW97" s="769"/>
      <c r="LZX97" s="769"/>
      <c r="LZY97" s="769"/>
      <c r="LZZ97" s="769"/>
      <c r="MAA97" s="769"/>
      <c r="MAB97" s="769"/>
      <c r="MAC97" s="769"/>
      <c r="MAD97" s="769"/>
      <c r="MAE97" s="769"/>
      <c r="MAF97" s="769"/>
      <c r="MAG97" s="769"/>
      <c r="MAH97" s="769"/>
      <c r="MAI97" s="769"/>
      <c r="MAJ97" s="769"/>
      <c r="MAK97" s="769"/>
      <c r="MAL97" s="769"/>
      <c r="MAM97" s="769"/>
      <c r="MAN97" s="769"/>
      <c r="MAO97" s="769"/>
      <c r="MAP97" s="769"/>
      <c r="MAQ97" s="769"/>
      <c r="MAR97" s="769"/>
      <c r="MAS97" s="769"/>
      <c r="MAT97" s="769"/>
      <c r="MAU97" s="769"/>
      <c r="MAV97" s="769"/>
      <c r="MAW97" s="769"/>
      <c r="MAX97" s="769"/>
      <c r="MAY97" s="769"/>
      <c r="MAZ97" s="769"/>
      <c r="MBA97" s="769"/>
      <c r="MBB97" s="769"/>
      <c r="MBC97" s="769"/>
      <c r="MBD97" s="769"/>
      <c r="MBE97" s="769"/>
      <c r="MBF97" s="769"/>
      <c r="MBG97" s="769"/>
      <c r="MBH97" s="769"/>
      <c r="MBI97" s="769"/>
      <c r="MBJ97" s="769"/>
      <c r="MBK97" s="769"/>
      <c r="MBL97" s="769"/>
      <c r="MBM97" s="769"/>
      <c r="MBN97" s="769"/>
      <c r="MBO97" s="769"/>
      <c r="MBP97" s="769"/>
      <c r="MBQ97" s="769"/>
      <c r="MBR97" s="769"/>
      <c r="MBS97" s="769"/>
      <c r="MBT97" s="769"/>
      <c r="MBU97" s="769"/>
      <c r="MBV97" s="769"/>
      <c r="MBW97" s="769"/>
      <c r="MBX97" s="769"/>
      <c r="MBY97" s="769"/>
      <c r="MBZ97" s="769"/>
      <c r="MCA97" s="769"/>
      <c r="MCB97" s="769"/>
      <c r="MCC97" s="769"/>
      <c r="MCD97" s="769"/>
      <c r="MCE97" s="769"/>
      <c r="MCF97" s="769"/>
      <c r="MCG97" s="769"/>
      <c r="MCH97" s="769"/>
      <c r="MCI97" s="769"/>
      <c r="MCJ97" s="769"/>
      <c r="MCK97" s="769"/>
      <c r="MCL97" s="769"/>
      <c r="MCM97" s="769"/>
      <c r="MCN97" s="769"/>
      <c r="MCO97" s="769"/>
      <c r="MCP97" s="769"/>
      <c r="MCQ97" s="769"/>
      <c r="MCR97" s="769"/>
      <c r="MCS97" s="769"/>
      <c r="MCT97" s="769"/>
      <c r="MCU97" s="769"/>
      <c r="MCV97" s="769"/>
      <c r="MCW97" s="769"/>
      <c r="MCX97" s="769"/>
      <c r="MCY97" s="769"/>
      <c r="MCZ97" s="769"/>
      <c r="MDA97" s="769"/>
      <c r="MDB97" s="769"/>
      <c r="MDC97" s="769"/>
      <c r="MDD97" s="769"/>
      <c r="MDE97" s="769"/>
      <c r="MDF97" s="769"/>
      <c r="MDG97" s="769"/>
      <c r="MDH97" s="769"/>
      <c r="MDI97" s="769"/>
      <c r="MDJ97" s="769"/>
      <c r="MDK97" s="769"/>
      <c r="MDL97" s="769"/>
      <c r="MDM97" s="769"/>
      <c r="MDN97" s="769"/>
      <c r="MDO97" s="769"/>
      <c r="MDP97" s="769"/>
      <c r="MDQ97" s="769"/>
      <c r="MDR97" s="769"/>
      <c r="MDS97" s="769"/>
      <c r="MDT97" s="769"/>
      <c r="MDU97" s="769"/>
      <c r="MDV97" s="769"/>
      <c r="MDW97" s="769"/>
      <c r="MDX97" s="769"/>
      <c r="MDY97" s="769"/>
      <c r="MDZ97" s="769"/>
      <c r="MEA97" s="769"/>
      <c r="MEB97" s="769"/>
      <c r="MEC97" s="769"/>
      <c r="MED97" s="769"/>
      <c r="MEE97" s="769"/>
      <c r="MEF97" s="769"/>
      <c r="MEG97" s="769"/>
      <c r="MEH97" s="769"/>
      <c r="MEI97" s="769"/>
      <c r="MEJ97" s="769"/>
      <c r="MEK97" s="769"/>
      <c r="MEL97" s="769"/>
      <c r="MEM97" s="769"/>
      <c r="MEN97" s="769"/>
      <c r="MEO97" s="769"/>
      <c r="MEP97" s="769"/>
      <c r="MEQ97" s="769"/>
      <c r="MER97" s="769"/>
      <c r="MES97" s="769"/>
      <c r="MET97" s="769"/>
      <c r="MEU97" s="769"/>
      <c r="MEV97" s="769"/>
      <c r="MEW97" s="769"/>
      <c r="MEX97" s="769"/>
      <c r="MEY97" s="769"/>
      <c r="MEZ97" s="769"/>
      <c r="MFA97" s="769"/>
      <c r="MFB97" s="769"/>
      <c r="MFC97" s="769"/>
      <c r="MFD97" s="769"/>
      <c r="MFE97" s="769"/>
      <c r="MFF97" s="769"/>
      <c r="MFG97" s="769"/>
      <c r="MFH97" s="769"/>
      <c r="MFI97" s="769"/>
      <c r="MFJ97" s="769"/>
      <c r="MFK97" s="769"/>
      <c r="MFL97" s="769"/>
      <c r="MFM97" s="769"/>
      <c r="MFN97" s="769"/>
      <c r="MFO97" s="769"/>
      <c r="MFP97" s="769"/>
      <c r="MFQ97" s="769"/>
      <c r="MFR97" s="769"/>
      <c r="MFS97" s="769"/>
      <c r="MFT97" s="769"/>
      <c r="MFU97" s="769"/>
      <c r="MFV97" s="769"/>
      <c r="MFW97" s="769"/>
      <c r="MFX97" s="769"/>
      <c r="MFY97" s="769"/>
      <c r="MFZ97" s="769"/>
      <c r="MGA97" s="769"/>
      <c r="MGB97" s="769"/>
      <c r="MGC97" s="769"/>
      <c r="MGD97" s="769"/>
      <c r="MGE97" s="769"/>
      <c r="MGF97" s="769"/>
      <c r="MGG97" s="769"/>
      <c r="MGH97" s="769"/>
      <c r="MGI97" s="769"/>
      <c r="MGJ97" s="769"/>
      <c r="MGK97" s="769"/>
      <c r="MGL97" s="769"/>
      <c r="MGM97" s="769"/>
      <c r="MGN97" s="769"/>
      <c r="MGO97" s="769"/>
      <c r="MGP97" s="769"/>
      <c r="MGQ97" s="769"/>
      <c r="MGR97" s="769"/>
      <c r="MGS97" s="769"/>
      <c r="MGT97" s="769"/>
      <c r="MGU97" s="769"/>
      <c r="MGV97" s="769"/>
      <c r="MGW97" s="769"/>
      <c r="MGX97" s="769"/>
      <c r="MGY97" s="769"/>
      <c r="MGZ97" s="769"/>
      <c r="MHA97" s="769"/>
      <c r="MHB97" s="769"/>
      <c r="MHC97" s="769"/>
      <c r="MHD97" s="769"/>
      <c r="MHE97" s="769"/>
      <c r="MHF97" s="769"/>
      <c r="MHG97" s="769"/>
      <c r="MHH97" s="769"/>
      <c r="MHI97" s="769"/>
      <c r="MHJ97" s="769"/>
      <c r="MHK97" s="769"/>
      <c r="MHL97" s="769"/>
      <c r="MHM97" s="769"/>
      <c r="MHN97" s="769"/>
      <c r="MHO97" s="769"/>
      <c r="MHP97" s="769"/>
      <c r="MHQ97" s="769"/>
      <c r="MHR97" s="769"/>
      <c r="MHS97" s="769"/>
      <c r="MHT97" s="769"/>
      <c r="MHU97" s="769"/>
      <c r="MHV97" s="769"/>
      <c r="MHW97" s="769"/>
      <c r="MHX97" s="769"/>
      <c r="MHY97" s="769"/>
      <c r="MHZ97" s="769"/>
      <c r="MIA97" s="769"/>
      <c r="MIB97" s="769"/>
      <c r="MIC97" s="769"/>
      <c r="MID97" s="769"/>
      <c r="MIE97" s="769"/>
      <c r="MIF97" s="769"/>
      <c r="MIG97" s="769"/>
      <c r="MIH97" s="769"/>
      <c r="MII97" s="769"/>
      <c r="MIJ97" s="769"/>
      <c r="MIK97" s="769"/>
      <c r="MIL97" s="769"/>
      <c r="MIM97" s="769"/>
      <c r="MIN97" s="769"/>
      <c r="MIO97" s="769"/>
      <c r="MIP97" s="769"/>
      <c r="MIQ97" s="769"/>
      <c r="MIR97" s="769"/>
      <c r="MIS97" s="769"/>
      <c r="MIT97" s="769"/>
      <c r="MIU97" s="769"/>
      <c r="MIV97" s="769"/>
      <c r="MIW97" s="769"/>
      <c r="MIX97" s="769"/>
      <c r="MIY97" s="769"/>
      <c r="MIZ97" s="769"/>
      <c r="MJA97" s="769"/>
      <c r="MJB97" s="769"/>
      <c r="MJC97" s="769"/>
      <c r="MJD97" s="769"/>
      <c r="MJE97" s="769"/>
      <c r="MJF97" s="769"/>
      <c r="MJG97" s="769"/>
      <c r="MJH97" s="769"/>
      <c r="MJI97" s="769"/>
      <c r="MJJ97" s="769"/>
      <c r="MJK97" s="769"/>
      <c r="MJL97" s="769"/>
      <c r="MJM97" s="769"/>
      <c r="MJN97" s="769"/>
      <c r="MJO97" s="769"/>
      <c r="MJP97" s="769"/>
      <c r="MJQ97" s="769"/>
      <c r="MJR97" s="769"/>
      <c r="MJS97" s="769"/>
      <c r="MJT97" s="769"/>
      <c r="MJU97" s="769"/>
      <c r="MJV97" s="769"/>
      <c r="MJW97" s="769"/>
      <c r="MJX97" s="769"/>
      <c r="MJY97" s="769"/>
      <c r="MJZ97" s="769"/>
      <c r="MKA97" s="769"/>
      <c r="MKB97" s="769"/>
      <c r="MKC97" s="769"/>
      <c r="MKD97" s="769"/>
      <c r="MKE97" s="769"/>
      <c r="MKF97" s="769"/>
      <c r="MKG97" s="769"/>
      <c r="MKH97" s="769"/>
      <c r="MKI97" s="769"/>
      <c r="MKJ97" s="769"/>
      <c r="MKK97" s="769"/>
      <c r="MKL97" s="769"/>
      <c r="MKM97" s="769"/>
      <c r="MKN97" s="769"/>
      <c r="MKO97" s="769"/>
      <c r="MKP97" s="769"/>
      <c r="MKQ97" s="769"/>
      <c r="MKR97" s="769"/>
      <c r="MKS97" s="769"/>
      <c r="MKT97" s="769"/>
      <c r="MKU97" s="769"/>
      <c r="MKV97" s="769"/>
      <c r="MKW97" s="769"/>
      <c r="MKX97" s="769"/>
      <c r="MKY97" s="769"/>
      <c r="MKZ97" s="769"/>
      <c r="MLA97" s="769"/>
      <c r="MLB97" s="769"/>
      <c r="MLC97" s="769"/>
      <c r="MLD97" s="769"/>
      <c r="MLE97" s="769"/>
      <c r="MLF97" s="769"/>
      <c r="MLG97" s="769"/>
      <c r="MLH97" s="769"/>
      <c r="MLI97" s="769"/>
      <c r="MLJ97" s="769"/>
      <c r="MLK97" s="769"/>
      <c r="MLL97" s="769"/>
      <c r="MLM97" s="769"/>
      <c r="MLN97" s="769"/>
      <c r="MLO97" s="769"/>
      <c r="MLP97" s="769"/>
      <c r="MLQ97" s="769"/>
      <c r="MLR97" s="769"/>
      <c r="MLS97" s="769"/>
      <c r="MLT97" s="769"/>
      <c r="MLU97" s="769"/>
      <c r="MLV97" s="769"/>
      <c r="MLW97" s="769"/>
      <c r="MLX97" s="769"/>
      <c r="MLY97" s="769"/>
      <c r="MLZ97" s="769"/>
      <c r="MMA97" s="769"/>
      <c r="MMB97" s="769"/>
      <c r="MMC97" s="769"/>
      <c r="MMD97" s="769"/>
      <c r="MME97" s="769"/>
      <c r="MMF97" s="769"/>
      <c r="MMG97" s="769"/>
      <c r="MMH97" s="769"/>
      <c r="MMI97" s="769"/>
      <c r="MMJ97" s="769"/>
      <c r="MMK97" s="769"/>
      <c r="MML97" s="769"/>
      <c r="MMM97" s="769"/>
      <c r="MMN97" s="769"/>
      <c r="MMO97" s="769"/>
      <c r="MMP97" s="769"/>
      <c r="MMQ97" s="769"/>
      <c r="MMR97" s="769"/>
      <c r="MMS97" s="769"/>
      <c r="MMT97" s="769"/>
      <c r="MMU97" s="769"/>
      <c r="MMV97" s="769"/>
      <c r="MMW97" s="769"/>
      <c r="MMX97" s="769"/>
      <c r="MMY97" s="769"/>
      <c r="MMZ97" s="769"/>
      <c r="MNA97" s="769"/>
      <c r="MNB97" s="769"/>
      <c r="MNC97" s="769"/>
      <c r="MND97" s="769"/>
      <c r="MNE97" s="769"/>
      <c r="MNF97" s="769"/>
      <c r="MNG97" s="769"/>
      <c r="MNH97" s="769"/>
      <c r="MNI97" s="769"/>
      <c r="MNJ97" s="769"/>
      <c r="MNK97" s="769"/>
      <c r="MNL97" s="769"/>
      <c r="MNM97" s="769"/>
      <c r="MNN97" s="769"/>
      <c r="MNO97" s="769"/>
      <c r="MNP97" s="769"/>
      <c r="MNQ97" s="769"/>
      <c r="MNR97" s="769"/>
      <c r="MNS97" s="769"/>
      <c r="MNT97" s="769"/>
      <c r="MNU97" s="769"/>
      <c r="MNV97" s="769"/>
      <c r="MNW97" s="769"/>
      <c r="MNX97" s="769"/>
      <c r="MNY97" s="769"/>
      <c r="MNZ97" s="769"/>
      <c r="MOA97" s="769"/>
      <c r="MOB97" s="769"/>
      <c r="MOC97" s="769"/>
      <c r="MOD97" s="769"/>
      <c r="MOE97" s="769"/>
      <c r="MOF97" s="769"/>
      <c r="MOG97" s="769"/>
      <c r="MOH97" s="769"/>
      <c r="MOI97" s="769"/>
      <c r="MOJ97" s="769"/>
      <c r="MOK97" s="769"/>
      <c r="MOL97" s="769"/>
      <c r="MOM97" s="769"/>
      <c r="MON97" s="769"/>
      <c r="MOO97" s="769"/>
      <c r="MOP97" s="769"/>
      <c r="MOQ97" s="769"/>
      <c r="MOR97" s="769"/>
      <c r="MOS97" s="769"/>
      <c r="MOT97" s="769"/>
      <c r="MOU97" s="769"/>
      <c r="MOV97" s="769"/>
      <c r="MOW97" s="769"/>
      <c r="MOX97" s="769"/>
      <c r="MOY97" s="769"/>
      <c r="MOZ97" s="769"/>
      <c r="MPA97" s="769"/>
      <c r="MPB97" s="769"/>
      <c r="MPC97" s="769"/>
      <c r="MPD97" s="769"/>
      <c r="MPE97" s="769"/>
      <c r="MPF97" s="769"/>
      <c r="MPG97" s="769"/>
      <c r="MPH97" s="769"/>
      <c r="MPI97" s="769"/>
      <c r="MPJ97" s="769"/>
      <c r="MPK97" s="769"/>
      <c r="MPL97" s="769"/>
      <c r="MPM97" s="769"/>
      <c r="MPN97" s="769"/>
      <c r="MPO97" s="769"/>
      <c r="MPP97" s="769"/>
      <c r="MPQ97" s="769"/>
      <c r="MPR97" s="769"/>
      <c r="MPS97" s="769"/>
      <c r="MPT97" s="769"/>
      <c r="MPU97" s="769"/>
      <c r="MPV97" s="769"/>
      <c r="MPW97" s="769"/>
      <c r="MPX97" s="769"/>
      <c r="MPY97" s="769"/>
      <c r="MPZ97" s="769"/>
      <c r="MQA97" s="769"/>
      <c r="MQB97" s="769"/>
      <c r="MQC97" s="769"/>
      <c r="MQD97" s="769"/>
      <c r="MQE97" s="769"/>
      <c r="MQF97" s="769"/>
      <c r="MQG97" s="769"/>
      <c r="MQH97" s="769"/>
      <c r="MQI97" s="769"/>
      <c r="MQJ97" s="769"/>
      <c r="MQK97" s="769"/>
      <c r="MQL97" s="769"/>
      <c r="MQM97" s="769"/>
      <c r="MQN97" s="769"/>
      <c r="MQO97" s="769"/>
      <c r="MQP97" s="769"/>
      <c r="MQQ97" s="769"/>
      <c r="MQR97" s="769"/>
      <c r="MQS97" s="769"/>
      <c r="MQT97" s="769"/>
      <c r="MQU97" s="769"/>
      <c r="MQV97" s="769"/>
      <c r="MQW97" s="769"/>
      <c r="MQX97" s="769"/>
      <c r="MQY97" s="769"/>
      <c r="MQZ97" s="769"/>
      <c r="MRA97" s="769"/>
      <c r="MRB97" s="769"/>
      <c r="MRC97" s="769"/>
      <c r="MRD97" s="769"/>
      <c r="MRE97" s="769"/>
      <c r="MRF97" s="769"/>
      <c r="MRG97" s="769"/>
      <c r="MRH97" s="769"/>
      <c r="MRI97" s="769"/>
      <c r="MRJ97" s="769"/>
      <c r="MRK97" s="769"/>
      <c r="MRL97" s="769"/>
      <c r="MRM97" s="769"/>
      <c r="MRN97" s="769"/>
      <c r="MRO97" s="769"/>
      <c r="MRP97" s="769"/>
      <c r="MRQ97" s="769"/>
      <c r="MRR97" s="769"/>
      <c r="MRS97" s="769"/>
      <c r="MRT97" s="769"/>
      <c r="MRU97" s="769"/>
      <c r="MRV97" s="769"/>
      <c r="MRW97" s="769"/>
      <c r="MRX97" s="769"/>
      <c r="MRY97" s="769"/>
      <c r="MRZ97" s="769"/>
      <c r="MSA97" s="769"/>
      <c r="MSB97" s="769"/>
      <c r="MSC97" s="769"/>
      <c r="MSD97" s="769"/>
      <c r="MSE97" s="769"/>
      <c r="MSF97" s="769"/>
      <c r="MSG97" s="769"/>
      <c r="MSH97" s="769"/>
      <c r="MSI97" s="769"/>
      <c r="MSJ97" s="769"/>
      <c r="MSK97" s="769"/>
      <c r="MSL97" s="769"/>
      <c r="MSM97" s="769"/>
      <c r="MSN97" s="769"/>
      <c r="MSO97" s="769"/>
      <c r="MSP97" s="769"/>
      <c r="MSQ97" s="769"/>
      <c r="MSR97" s="769"/>
      <c r="MSS97" s="769"/>
      <c r="MST97" s="769"/>
      <c r="MSU97" s="769"/>
      <c r="MSV97" s="769"/>
      <c r="MSW97" s="769"/>
      <c r="MSX97" s="769"/>
      <c r="MSY97" s="769"/>
      <c r="MSZ97" s="769"/>
      <c r="MTA97" s="769"/>
      <c r="MTB97" s="769"/>
      <c r="MTC97" s="769"/>
      <c r="MTD97" s="769"/>
      <c r="MTE97" s="769"/>
      <c r="MTF97" s="769"/>
      <c r="MTG97" s="769"/>
      <c r="MTH97" s="769"/>
      <c r="MTI97" s="769"/>
      <c r="MTJ97" s="769"/>
      <c r="MTK97" s="769"/>
      <c r="MTL97" s="769"/>
      <c r="MTM97" s="769"/>
      <c r="MTN97" s="769"/>
      <c r="MTO97" s="769"/>
      <c r="MTP97" s="769"/>
      <c r="MTQ97" s="769"/>
      <c r="MTR97" s="769"/>
      <c r="MTS97" s="769"/>
      <c r="MTT97" s="769"/>
      <c r="MTU97" s="769"/>
      <c r="MTV97" s="769"/>
      <c r="MTW97" s="769"/>
      <c r="MTX97" s="769"/>
      <c r="MTY97" s="769"/>
      <c r="MTZ97" s="769"/>
      <c r="MUA97" s="769"/>
      <c r="MUB97" s="769"/>
      <c r="MUC97" s="769"/>
      <c r="MUD97" s="769"/>
      <c r="MUE97" s="769"/>
      <c r="MUF97" s="769"/>
      <c r="MUG97" s="769"/>
      <c r="MUH97" s="769"/>
      <c r="MUI97" s="769"/>
      <c r="MUJ97" s="769"/>
      <c r="MUK97" s="769"/>
      <c r="MUL97" s="769"/>
      <c r="MUM97" s="769"/>
      <c r="MUN97" s="769"/>
      <c r="MUO97" s="769"/>
      <c r="MUP97" s="769"/>
      <c r="MUQ97" s="769"/>
      <c r="MUR97" s="769"/>
      <c r="MUS97" s="769"/>
      <c r="MUT97" s="769"/>
      <c r="MUU97" s="769"/>
      <c r="MUV97" s="769"/>
      <c r="MUW97" s="769"/>
      <c r="MUX97" s="769"/>
      <c r="MUY97" s="769"/>
      <c r="MUZ97" s="769"/>
      <c r="MVA97" s="769"/>
      <c r="MVB97" s="769"/>
      <c r="MVC97" s="769"/>
      <c r="MVD97" s="769"/>
      <c r="MVE97" s="769"/>
      <c r="MVF97" s="769"/>
      <c r="MVG97" s="769"/>
      <c r="MVH97" s="769"/>
      <c r="MVI97" s="769"/>
      <c r="MVJ97" s="769"/>
      <c r="MVK97" s="769"/>
      <c r="MVL97" s="769"/>
      <c r="MVM97" s="769"/>
      <c r="MVN97" s="769"/>
      <c r="MVO97" s="769"/>
      <c r="MVP97" s="769"/>
      <c r="MVQ97" s="769"/>
      <c r="MVR97" s="769"/>
      <c r="MVS97" s="769"/>
      <c r="MVT97" s="769"/>
      <c r="MVU97" s="769"/>
      <c r="MVV97" s="769"/>
      <c r="MVW97" s="769"/>
      <c r="MVX97" s="769"/>
      <c r="MVY97" s="769"/>
      <c r="MVZ97" s="769"/>
      <c r="MWA97" s="769"/>
      <c r="MWB97" s="769"/>
      <c r="MWC97" s="769"/>
      <c r="MWD97" s="769"/>
      <c r="MWE97" s="769"/>
      <c r="MWF97" s="769"/>
      <c r="MWG97" s="769"/>
      <c r="MWH97" s="769"/>
      <c r="MWI97" s="769"/>
      <c r="MWJ97" s="769"/>
      <c r="MWK97" s="769"/>
      <c r="MWL97" s="769"/>
      <c r="MWM97" s="769"/>
      <c r="MWN97" s="769"/>
      <c r="MWO97" s="769"/>
      <c r="MWP97" s="769"/>
      <c r="MWQ97" s="769"/>
      <c r="MWR97" s="769"/>
      <c r="MWS97" s="769"/>
      <c r="MWT97" s="769"/>
      <c r="MWU97" s="769"/>
      <c r="MWV97" s="769"/>
      <c r="MWW97" s="769"/>
      <c r="MWX97" s="769"/>
      <c r="MWY97" s="769"/>
      <c r="MWZ97" s="769"/>
      <c r="MXA97" s="769"/>
      <c r="MXB97" s="769"/>
      <c r="MXC97" s="769"/>
      <c r="MXD97" s="769"/>
      <c r="MXE97" s="769"/>
      <c r="MXF97" s="769"/>
      <c r="MXG97" s="769"/>
      <c r="MXH97" s="769"/>
      <c r="MXI97" s="769"/>
      <c r="MXJ97" s="769"/>
      <c r="MXK97" s="769"/>
      <c r="MXL97" s="769"/>
      <c r="MXM97" s="769"/>
      <c r="MXN97" s="769"/>
      <c r="MXO97" s="769"/>
      <c r="MXP97" s="769"/>
      <c r="MXQ97" s="769"/>
      <c r="MXR97" s="769"/>
      <c r="MXS97" s="769"/>
      <c r="MXT97" s="769"/>
      <c r="MXU97" s="769"/>
      <c r="MXV97" s="769"/>
      <c r="MXW97" s="769"/>
      <c r="MXX97" s="769"/>
      <c r="MXY97" s="769"/>
      <c r="MXZ97" s="769"/>
      <c r="MYA97" s="769"/>
      <c r="MYB97" s="769"/>
      <c r="MYC97" s="769"/>
      <c r="MYD97" s="769"/>
      <c r="MYE97" s="769"/>
      <c r="MYF97" s="769"/>
      <c r="MYG97" s="769"/>
      <c r="MYH97" s="769"/>
      <c r="MYI97" s="769"/>
      <c r="MYJ97" s="769"/>
      <c r="MYK97" s="769"/>
      <c r="MYL97" s="769"/>
      <c r="MYM97" s="769"/>
      <c r="MYN97" s="769"/>
      <c r="MYO97" s="769"/>
      <c r="MYP97" s="769"/>
      <c r="MYQ97" s="769"/>
      <c r="MYR97" s="769"/>
      <c r="MYS97" s="769"/>
      <c r="MYT97" s="769"/>
      <c r="MYU97" s="769"/>
      <c r="MYV97" s="769"/>
      <c r="MYW97" s="769"/>
      <c r="MYX97" s="769"/>
      <c r="MYY97" s="769"/>
      <c r="MYZ97" s="769"/>
      <c r="MZA97" s="769"/>
      <c r="MZB97" s="769"/>
      <c r="MZC97" s="769"/>
      <c r="MZD97" s="769"/>
      <c r="MZE97" s="769"/>
      <c r="MZF97" s="769"/>
      <c r="MZG97" s="769"/>
      <c r="MZH97" s="769"/>
      <c r="MZI97" s="769"/>
      <c r="MZJ97" s="769"/>
      <c r="MZK97" s="769"/>
      <c r="MZL97" s="769"/>
      <c r="MZM97" s="769"/>
      <c r="MZN97" s="769"/>
      <c r="MZO97" s="769"/>
      <c r="MZP97" s="769"/>
      <c r="MZQ97" s="769"/>
      <c r="MZR97" s="769"/>
      <c r="MZS97" s="769"/>
      <c r="MZT97" s="769"/>
      <c r="MZU97" s="769"/>
      <c r="MZV97" s="769"/>
      <c r="MZW97" s="769"/>
      <c r="MZX97" s="769"/>
      <c r="MZY97" s="769"/>
      <c r="MZZ97" s="769"/>
      <c r="NAA97" s="769"/>
      <c r="NAB97" s="769"/>
      <c r="NAC97" s="769"/>
      <c r="NAD97" s="769"/>
      <c r="NAE97" s="769"/>
      <c r="NAF97" s="769"/>
      <c r="NAG97" s="769"/>
      <c r="NAH97" s="769"/>
      <c r="NAI97" s="769"/>
      <c r="NAJ97" s="769"/>
      <c r="NAK97" s="769"/>
      <c r="NAL97" s="769"/>
      <c r="NAM97" s="769"/>
      <c r="NAN97" s="769"/>
      <c r="NAO97" s="769"/>
      <c r="NAP97" s="769"/>
      <c r="NAQ97" s="769"/>
      <c r="NAR97" s="769"/>
      <c r="NAS97" s="769"/>
      <c r="NAT97" s="769"/>
      <c r="NAU97" s="769"/>
      <c r="NAV97" s="769"/>
      <c r="NAW97" s="769"/>
      <c r="NAX97" s="769"/>
      <c r="NAY97" s="769"/>
      <c r="NAZ97" s="769"/>
      <c r="NBA97" s="769"/>
      <c r="NBB97" s="769"/>
      <c r="NBC97" s="769"/>
      <c r="NBD97" s="769"/>
      <c r="NBE97" s="769"/>
      <c r="NBF97" s="769"/>
      <c r="NBG97" s="769"/>
      <c r="NBH97" s="769"/>
      <c r="NBI97" s="769"/>
      <c r="NBJ97" s="769"/>
      <c r="NBK97" s="769"/>
      <c r="NBL97" s="769"/>
      <c r="NBM97" s="769"/>
      <c r="NBN97" s="769"/>
      <c r="NBO97" s="769"/>
      <c r="NBP97" s="769"/>
      <c r="NBQ97" s="769"/>
      <c r="NBR97" s="769"/>
      <c r="NBS97" s="769"/>
      <c r="NBT97" s="769"/>
      <c r="NBU97" s="769"/>
      <c r="NBV97" s="769"/>
      <c r="NBW97" s="769"/>
      <c r="NBX97" s="769"/>
      <c r="NBY97" s="769"/>
      <c r="NBZ97" s="769"/>
      <c r="NCA97" s="769"/>
      <c r="NCB97" s="769"/>
      <c r="NCC97" s="769"/>
      <c r="NCD97" s="769"/>
      <c r="NCE97" s="769"/>
      <c r="NCF97" s="769"/>
      <c r="NCG97" s="769"/>
      <c r="NCH97" s="769"/>
      <c r="NCI97" s="769"/>
      <c r="NCJ97" s="769"/>
      <c r="NCK97" s="769"/>
      <c r="NCL97" s="769"/>
      <c r="NCM97" s="769"/>
      <c r="NCN97" s="769"/>
      <c r="NCO97" s="769"/>
      <c r="NCP97" s="769"/>
      <c r="NCQ97" s="769"/>
      <c r="NCR97" s="769"/>
      <c r="NCS97" s="769"/>
      <c r="NCT97" s="769"/>
      <c r="NCU97" s="769"/>
      <c r="NCV97" s="769"/>
      <c r="NCW97" s="769"/>
      <c r="NCX97" s="769"/>
      <c r="NCY97" s="769"/>
      <c r="NCZ97" s="769"/>
      <c r="NDA97" s="769"/>
      <c r="NDB97" s="769"/>
      <c r="NDC97" s="769"/>
      <c r="NDD97" s="769"/>
      <c r="NDE97" s="769"/>
      <c r="NDF97" s="769"/>
      <c r="NDG97" s="769"/>
      <c r="NDH97" s="769"/>
      <c r="NDI97" s="769"/>
      <c r="NDJ97" s="769"/>
      <c r="NDK97" s="769"/>
      <c r="NDL97" s="769"/>
      <c r="NDM97" s="769"/>
      <c r="NDN97" s="769"/>
      <c r="NDO97" s="769"/>
      <c r="NDP97" s="769"/>
      <c r="NDQ97" s="769"/>
      <c r="NDR97" s="769"/>
      <c r="NDS97" s="769"/>
      <c r="NDT97" s="769"/>
      <c r="NDU97" s="769"/>
      <c r="NDV97" s="769"/>
      <c r="NDW97" s="769"/>
      <c r="NDX97" s="769"/>
      <c r="NDY97" s="769"/>
      <c r="NDZ97" s="769"/>
      <c r="NEA97" s="769"/>
      <c r="NEB97" s="769"/>
      <c r="NEC97" s="769"/>
      <c r="NED97" s="769"/>
      <c r="NEE97" s="769"/>
      <c r="NEF97" s="769"/>
      <c r="NEG97" s="769"/>
      <c r="NEH97" s="769"/>
      <c r="NEI97" s="769"/>
      <c r="NEJ97" s="769"/>
      <c r="NEK97" s="769"/>
      <c r="NEL97" s="769"/>
      <c r="NEM97" s="769"/>
      <c r="NEN97" s="769"/>
      <c r="NEO97" s="769"/>
      <c r="NEP97" s="769"/>
      <c r="NEQ97" s="769"/>
      <c r="NER97" s="769"/>
      <c r="NES97" s="769"/>
      <c r="NET97" s="769"/>
      <c r="NEU97" s="769"/>
      <c r="NEV97" s="769"/>
      <c r="NEW97" s="769"/>
      <c r="NEX97" s="769"/>
      <c r="NEY97" s="769"/>
      <c r="NEZ97" s="769"/>
      <c r="NFA97" s="769"/>
      <c r="NFB97" s="769"/>
      <c r="NFC97" s="769"/>
      <c r="NFD97" s="769"/>
      <c r="NFE97" s="769"/>
      <c r="NFF97" s="769"/>
      <c r="NFG97" s="769"/>
      <c r="NFH97" s="769"/>
      <c r="NFI97" s="769"/>
      <c r="NFJ97" s="769"/>
      <c r="NFK97" s="769"/>
      <c r="NFL97" s="769"/>
      <c r="NFM97" s="769"/>
      <c r="NFN97" s="769"/>
      <c r="NFO97" s="769"/>
      <c r="NFP97" s="769"/>
      <c r="NFQ97" s="769"/>
      <c r="NFR97" s="769"/>
      <c r="NFS97" s="769"/>
      <c r="NFT97" s="769"/>
      <c r="NFU97" s="769"/>
      <c r="NFV97" s="769"/>
      <c r="NFW97" s="769"/>
      <c r="NFX97" s="769"/>
      <c r="NFY97" s="769"/>
      <c r="NFZ97" s="769"/>
      <c r="NGA97" s="769"/>
      <c r="NGB97" s="769"/>
      <c r="NGC97" s="769"/>
      <c r="NGD97" s="769"/>
      <c r="NGE97" s="769"/>
      <c r="NGF97" s="769"/>
      <c r="NGG97" s="769"/>
      <c r="NGH97" s="769"/>
      <c r="NGI97" s="769"/>
      <c r="NGJ97" s="769"/>
      <c r="NGK97" s="769"/>
      <c r="NGL97" s="769"/>
      <c r="NGM97" s="769"/>
      <c r="NGN97" s="769"/>
      <c r="NGO97" s="769"/>
      <c r="NGP97" s="769"/>
      <c r="NGQ97" s="769"/>
      <c r="NGR97" s="769"/>
      <c r="NGS97" s="769"/>
      <c r="NGT97" s="769"/>
      <c r="NGU97" s="769"/>
      <c r="NGV97" s="769"/>
      <c r="NGW97" s="769"/>
      <c r="NGX97" s="769"/>
      <c r="NGY97" s="769"/>
      <c r="NGZ97" s="769"/>
      <c r="NHA97" s="769"/>
      <c r="NHB97" s="769"/>
      <c r="NHC97" s="769"/>
      <c r="NHD97" s="769"/>
      <c r="NHE97" s="769"/>
      <c r="NHF97" s="769"/>
      <c r="NHG97" s="769"/>
      <c r="NHH97" s="769"/>
      <c r="NHI97" s="769"/>
      <c r="NHJ97" s="769"/>
      <c r="NHK97" s="769"/>
      <c r="NHL97" s="769"/>
      <c r="NHM97" s="769"/>
      <c r="NHN97" s="769"/>
      <c r="NHO97" s="769"/>
      <c r="NHP97" s="769"/>
      <c r="NHQ97" s="769"/>
      <c r="NHR97" s="769"/>
      <c r="NHS97" s="769"/>
      <c r="NHT97" s="769"/>
      <c r="NHU97" s="769"/>
      <c r="NHV97" s="769"/>
      <c r="NHW97" s="769"/>
      <c r="NHX97" s="769"/>
      <c r="NHY97" s="769"/>
      <c r="NHZ97" s="769"/>
      <c r="NIA97" s="769"/>
      <c r="NIB97" s="769"/>
      <c r="NIC97" s="769"/>
      <c r="NID97" s="769"/>
      <c r="NIE97" s="769"/>
      <c r="NIF97" s="769"/>
      <c r="NIG97" s="769"/>
      <c r="NIH97" s="769"/>
      <c r="NII97" s="769"/>
      <c r="NIJ97" s="769"/>
      <c r="NIK97" s="769"/>
      <c r="NIL97" s="769"/>
      <c r="NIM97" s="769"/>
      <c r="NIN97" s="769"/>
      <c r="NIO97" s="769"/>
      <c r="NIP97" s="769"/>
      <c r="NIQ97" s="769"/>
      <c r="NIR97" s="769"/>
      <c r="NIS97" s="769"/>
      <c r="NIT97" s="769"/>
      <c r="NIU97" s="769"/>
      <c r="NIV97" s="769"/>
      <c r="NIW97" s="769"/>
      <c r="NIX97" s="769"/>
      <c r="NIY97" s="769"/>
      <c r="NIZ97" s="769"/>
      <c r="NJA97" s="769"/>
      <c r="NJB97" s="769"/>
      <c r="NJC97" s="769"/>
      <c r="NJD97" s="769"/>
      <c r="NJE97" s="769"/>
      <c r="NJF97" s="769"/>
      <c r="NJG97" s="769"/>
      <c r="NJH97" s="769"/>
      <c r="NJI97" s="769"/>
      <c r="NJJ97" s="769"/>
      <c r="NJK97" s="769"/>
      <c r="NJL97" s="769"/>
      <c r="NJM97" s="769"/>
      <c r="NJN97" s="769"/>
      <c r="NJO97" s="769"/>
      <c r="NJP97" s="769"/>
      <c r="NJQ97" s="769"/>
      <c r="NJR97" s="769"/>
      <c r="NJS97" s="769"/>
      <c r="NJT97" s="769"/>
      <c r="NJU97" s="769"/>
      <c r="NJV97" s="769"/>
      <c r="NJW97" s="769"/>
      <c r="NJX97" s="769"/>
      <c r="NJY97" s="769"/>
      <c r="NJZ97" s="769"/>
      <c r="NKA97" s="769"/>
      <c r="NKB97" s="769"/>
      <c r="NKC97" s="769"/>
      <c r="NKD97" s="769"/>
      <c r="NKE97" s="769"/>
      <c r="NKF97" s="769"/>
      <c r="NKG97" s="769"/>
      <c r="NKH97" s="769"/>
      <c r="NKI97" s="769"/>
      <c r="NKJ97" s="769"/>
      <c r="NKK97" s="769"/>
      <c r="NKL97" s="769"/>
      <c r="NKM97" s="769"/>
      <c r="NKN97" s="769"/>
      <c r="NKO97" s="769"/>
      <c r="NKP97" s="769"/>
      <c r="NKQ97" s="769"/>
      <c r="NKR97" s="769"/>
      <c r="NKS97" s="769"/>
      <c r="NKT97" s="769"/>
      <c r="NKU97" s="769"/>
      <c r="NKV97" s="769"/>
      <c r="NKW97" s="769"/>
      <c r="NKX97" s="769"/>
      <c r="NKY97" s="769"/>
      <c r="NKZ97" s="769"/>
      <c r="NLA97" s="769"/>
      <c r="NLB97" s="769"/>
      <c r="NLC97" s="769"/>
      <c r="NLD97" s="769"/>
      <c r="NLE97" s="769"/>
      <c r="NLF97" s="769"/>
      <c r="NLG97" s="769"/>
      <c r="NLH97" s="769"/>
      <c r="NLI97" s="769"/>
      <c r="NLJ97" s="769"/>
      <c r="NLK97" s="769"/>
      <c r="NLL97" s="769"/>
      <c r="NLM97" s="769"/>
      <c r="NLN97" s="769"/>
      <c r="NLO97" s="769"/>
      <c r="NLP97" s="769"/>
      <c r="NLQ97" s="769"/>
      <c r="NLR97" s="769"/>
      <c r="NLS97" s="769"/>
      <c r="NLT97" s="769"/>
      <c r="NLU97" s="769"/>
      <c r="NLV97" s="769"/>
      <c r="NLW97" s="769"/>
      <c r="NLX97" s="769"/>
      <c r="NLY97" s="769"/>
      <c r="NLZ97" s="769"/>
      <c r="NMA97" s="769"/>
      <c r="NMB97" s="769"/>
      <c r="NMC97" s="769"/>
      <c r="NMD97" s="769"/>
      <c r="NME97" s="769"/>
      <c r="NMF97" s="769"/>
      <c r="NMG97" s="769"/>
      <c r="NMH97" s="769"/>
      <c r="NMI97" s="769"/>
      <c r="NMJ97" s="769"/>
      <c r="NMK97" s="769"/>
      <c r="NML97" s="769"/>
      <c r="NMM97" s="769"/>
      <c r="NMN97" s="769"/>
      <c r="NMO97" s="769"/>
      <c r="NMP97" s="769"/>
      <c r="NMQ97" s="769"/>
      <c r="NMR97" s="769"/>
      <c r="NMS97" s="769"/>
      <c r="NMT97" s="769"/>
      <c r="NMU97" s="769"/>
      <c r="NMV97" s="769"/>
      <c r="NMW97" s="769"/>
      <c r="NMX97" s="769"/>
      <c r="NMY97" s="769"/>
      <c r="NMZ97" s="769"/>
      <c r="NNA97" s="769"/>
      <c r="NNB97" s="769"/>
      <c r="NNC97" s="769"/>
      <c r="NND97" s="769"/>
      <c r="NNE97" s="769"/>
      <c r="NNF97" s="769"/>
      <c r="NNG97" s="769"/>
      <c r="NNH97" s="769"/>
      <c r="NNI97" s="769"/>
      <c r="NNJ97" s="769"/>
      <c r="NNK97" s="769"/>
      <c r="NNL97" s="769"/>
      <c r="NNM97" s="769"/>
      <c r="NNN97" s="769"/>
      <c r="NNO97" s="769"/>
      <c r="NNP97" s="769"/>
      <c r="NNQ97" s="769"/>
      <c r="NNR97" s="769"/>
      <c r="NNS97" s="769"/>
      <c r="NNT97" s="769"/>
      <c r="NNU97" s="769"/>
      <c r="NNV97" s="769"/>
      <c r="NNW97" s="769"/>
      <c r="NNX97" s="769"/>
      <c r="NNY97" s="769"/>
      <c r="NNZ97" s="769"/>
      <c r="NOA97" s="769"/>
      <c r="NOB97" s="769"/>
      <c r="NOC97" s="769"/>
      <c r="NOD97" s="769"/>
      <c r="NOE97" s="769"/>
      <c r="NOF97" s="769"/>
      <c r="NOG97" s="769"/>
      <c r="NOH97" s="769"/>
      <c r="NOI97" s="769"/>
      <c r="NOJ97" s="769"/>
      <c r="NOK97" s="769"/>
      <c r="NOL97" s="769"/>
      <c r="NOM97" s="769"/>
      <c r="NON97" s="769"/>
      <c r="NOO97" s="769"/>
      <c r="NOP97" s="769"/>
      <c r="NOQ97" s="769"/>
      <c r="NOR97" s="769"/>
      <c r="NOS97" s="769"/>
      <c r="NOT97" s="769"/>
      <c r="NOU97" s="769"/>
      <c r="NOV97" s="769"/>
      <c r="NOW97" s="769"/>
      <c r="NOX97" s="769"/>
      <c r="NOY97" s="769"/>
      <c r="NOZ97" s="769"/>
      <c r="NPA97" s="769"/>
      <c r="NPB97" s="769"/>
      <c r="NPC97" s="769"/>
      <c r="NPD97" s="769"/>
      <c r="NPE97" s="769"/>
      <c r="NPF97" s="769"/>
      <c r="NPG97" s="769"/>
      <c r="NPH97" s="769"/>
      <c r="NPI97" s="769"/>
      <c r="NPJ97" s="769"/>
      <c r="NPK97" s="769"/>
      <c r="NPL97" s="769"/>
      <c r="NPM97" s="769"/>
      <c r="NPN97" s="769"/>
      <c r="NPO97" s="769"/>
      <c r="NPP97" s="769"/>
      <c r="NPQ97" s="769"/>
      <c r="NPR97" s="769"/>
      <c r="NPS97" s="769"/>
      <c r="NPT97" s="769"/>
      <c r="NPU97" s="769"/>
      <c r="NPV97" s="769"/>
      <c r="NPW97" s="769"/>
      <c r="NPX97" s="769"/>
      <c r="NPY97" s="769"/>
      <c r="NPZ97" s="769"/>
      <c r="NQA97" s="769"/>
      <c r="NQB97" s="769"/>
      <c r="NQC97" s="769"/>
      <c r="NQD97" s="769"/>
      <c r="NQE97" s="769"/>
      <c r="NQF97" s="769"/>
      <c r="NQG97" s="769"/>
      <c r="NQH97" s="769"/>
      <c r="NQI97" s="769"/>
      <c r="NQJ97" s="769"/>
      <c r="NQK97" s="769"/>
      <c r="NQL97" s="769"/>
      <c r="NQM97" s="769"/>
      <c r="NQN97" s="769"/>
      <c r="NQO97" s="769"/>
      <c r="NQP97" s="769"/>
      <c r="NQQ97" s="769"/>
      <c r="NQR97" s="769"/>
      <c r="NQS97" s="769"/>
      <c r="NQT97" s="769"/>
      <c r="NQU97" s="769"/>
      <c r="NQV97" s="769"/>
      <c r="NQW97" s="769"/>
      <c r="NQX97" s="769"/>
      <c r="NQY97" s="769"/>
      <c r="NQZ97" s="769"/>
      <c r="NRA97" s="769"/>
      <c r="NRB97" s="769"/>
      <c r="NRC97" s="769"/>
      <c r="NRD97" s="769"/>
      <c r="NRE97" s="769"/>
      <c r="NRF97" s="769"/>
      <c r="NRG97" s="769"/>
      <c r="NRH97" s="769"/>
      <c r="NRI97" s="769"/>
      <c r="NRJ97" s="769"/>
      <c r="NRK97" s="769"/>
      <c r="NRL97" s="769"/>
      <c r="NRM97" s="769"/>
      <c r="NRN97" s="769"/>
      <c r="NRO97" s="769"/>
      <c r="NRP97" s="769"/>
      <c r="NRQ97" s="769"/>
      <c r="NRR97" s="769"/>
      <c r="NRS97" s="769"/>
      <c r="NRT97" s="769"/>
      <c r="NRU97" s="769"/>
      <c r="NRV97" s="769"/>
      <c r="NRW97" s="769"/>
      <c r="NRX97" s="769"/>
      <c r="NRY97" s="769"/>
      <c r="NRZ97" s="769"/>
      <c r="NSA97" s="769"/>
      <c r="NSB97" s="769"/>
      <c r="NSC97" s="769"/>
      <c r="NSD97" s="769"/>
      <c r="NSE97" s="769"/>
      <c r="NSF97" s="769"/>
      <c r="NSG97" s="769"/>
      <c r="NSH97" s="769"/>
      <c r="NSI97" s="769"/>
      <c r="NSJ97" s="769"/>
      <c r="NSK97" s="769"/>
      <c r="NSL97" s="769"/>
      <c r="NSM97" s="769"/>
      <c r="NSN97" s="769"/>
      <c r="NSO97" s="769"/>
      <c r="NSP97" s="769"/>
      <c r="NSQ97" s="769"/>
      <c r="NSR97" s="769"/>
      <c r="NSS97" s="769"/>
      <c r="NST97" s="769"/>
      <c r="NSU97" s="769"/>
      <c r="NSV97" s="769"/>
      <c r="NSW97" s="769"/>
      <c r="NSX97" s="769"/>
      <c r="NSY97" s="769"/>
      <c r="NSZ97" s="769"/>
      <c r="NTA97" s="769"/>
      <c r="NTB97" s="769"/>
      <c r="NTC97" s="769"/>
      <c r="NTD97" s="769"/>
      <c r="NTE97" s="769"/>
      <c r="NTF97" s="769"/>
      <c r="NTG97" s="769"/>
      <c r="NTH97" s="769"/>
      <c r="NTI97" s="769"/>
      <c r="NTJ97" s="769"/>
      <c r="NTK97" s="769"/>
      <c r="NTL97" s="769"/>
      <c r="NTM97" s="769"/>
      <c r="NTN97" s="769"/>
      <c r="NTO97" s="769"/>
      <c r="NTP97" s="769"/>
      <c r="NTQ97" s="769"/>
      <c r="NTR97" s="769"/>
      <c r="NTS97" s="769"/>
      <c r="NTT97" s="769"/>
      <c r="NTU97" s="769"/>
      <c r="NTV97" s="769"/>
      <c r="NTW97" s="769"/>
      <c r="NTX97" s="769"/>
      <c r="NTY97" s="769"/>
      <c r="NTZ97" s="769"/>
      <c r="NUA97" s="769"/>
      <c r="NUB97" s="769"/>
      <c r="NUC97" s="769"/>
      <c r="NUD97" s="769"/>
      <c r="NUE97" s="769"/>
      <c r="NUF97" s="769"/>
      <c r="NUG97" s="769"/>
      <c r="NUH97" s="769"/>
      <c r="NUI97" s="769"/>
      <c r="NUJ97" s="769"/>
      <c r="NUK97" s="769"/>
      <c r="NUL97" s="769"/>
      <c r="NUM97" s="769"/>
      <c r="NUN97" s="769"/>
      <c r="NUO97" s="769"/>
      <c r="NUP97" s="769"/>
      <c r="NUQ97" s="769"/>
      <c r="NUR97" s="769"/>
      <c r="NUS97" s="769"/>
      <c r="NUT97" s="769"/>
      <c r="NUU97" s="769"/>
      <c r="NUV97" s="769"/>
      <c r="NUW97" s="769"/>
      <c r="NUX97" s="769"/>
      <c r="NUY97" s="769"/>
      <c r="NUZ97" s="769"/>
      <c r="NVA97" s="769"/>
      <c r="NVB97" s="769"/>
      <c r="NVC97" s="769"/>
      <c r="NVD97" s="769"/>
      <c r="NVE97" s="769"/>
      <c r="NVF97" s="769"/>
      <c r="NVG97" s="769"/>
      <c r="NVH97" s="769"/>
      <c r="NVI97" s="769"/>
      <c r="NVJ97" s="769"/>
      <c r="NVK97" s="769"/>
      <c r="NVL97" s="769"/>
      <c r="NVM97" s="769"/>
      <c r="NVN97" s="769"/>
      <c r="NVO97" s="769"/>
      <c r="NVP97" s="769"/>
      <c r="NVQ97" s="769"/>
      <c r="NVR97" s="769"/>
      <c r="NVS97" s="769"/>
      <c r="NVT97" s="769"/>
      <c r="NVU97" s="769"/>
      <c r="NVV97" s="769"/>
      <c r="NVW97" s="769"/>
      <c r="NVX97" s="769"/>
      <c r="NVY97" s="769"/>
      <c r="NVZ97" s="769"/>
      <c r="NWA97" s="769"/>
      <c r="NWB97" s="769"/>
      <c r="NWC97" s="769"/>
      <c r="NWD97" s="769"/>
      <c r="NWE97" s="769"/>
      <c r="NWF97" s="769"/>
      <c r="NWG97" s="769"/>
      <c r="NWH97" s="769"/>
      <c r="NWI97" s="769"/>
      <c r="NWJ97" s="769"/>
      <c r="NWK97" s="769"/>
      <c r="NWL97" s="769"/>
      <c r="NWM97" s="769"/>
      <c r="NWN97" s="769"/>
      <c r="NWO97" s="769"/>
      <c r="NWP97" s="769"/>
      <c r="NWQ97" s="769"/>
      <c r="NWR97" s="769"/>
      <c r="NWS97" s="769"/>
      <c r="NWT97" s="769"/>
      <c r="NWU97" s="769"/>
      <c r="NWV97" s="769"/>
      <c r="NWW97" s="769"/>
      <c r="NWX97" s="769"/>
      <c r="NWY97" s="769"/>
      <c r="NWZ97" s="769"/>
      <c r="NXA97" s="769"/>
      <c r="NXB97" s="769"/>
      <c r="NXC97" s="769"/>
      <c r="NXD97" s="769"/>
      <c r="NXE97" s="769"/>
      <c r="NXF97" s="769"/>
      <c r="NXG97" s="769"/>
      <c r="NXH97" s="769"/>
      <c r="NXI97" s="769"/>
      <c r="NXJ97" s="769"/>
      <c r="NXK97" s="769"/>
      <c r="NXL97" s="769"/>
      <c r="NXM97" s="769"/>
      <c r="NXN97" s="769"/>
      <c r="NXO97" s="769"/>
      <c r="NXP97" s="769"/>
      <c r="NXQ97" s="769"/>
      <c r="NXR97" s="769"/>
      <c r="NXS97" s="769"/>
      <c r="NXT97" s="769"/>
      <c r="NXU97" s="769"/>
      <c r="NXV97" s="769"/>
      <c r="NXW97" s="769"/>
      <c r="NXX97" s="769"/>
      <c r="NXY97" s="769"/>
      <c r="NXZ97" s="769"/>
      <c r="NYA97" s="769"/>
      <c r="NYB97" s="769"/>
      <c r="NYC97" s="769"/>
      <c r="NYD97" s="769"/>
      <c r="NYE97" s="769"/>
      <c r="NYF97" s="769"/>
      <c r="NYG97" s="769"/>
      <c r="NYH97" s="769"/>
      <c r="NYI97" s="769"/>
      <c r="NYJ97" s="769"/>
      <c r="NYK97" s="769"/>
      <c r="NYL97" s="769"/>
      <c r="NYM97" s="769"/>
      <c r="NYN97" s="769"/>
      <c r="NYO97" s="769"/>
      <c r="NYP97" s="769"/>
      <c r="NYQ97" s="769"/>
      <c r="NYR97" s="769"/>
      <c r="NYS97" s="769"/>
      <c r="NYT97" s="769"/>
      <c r="NYU97" s="769"/>
      <c r="NYV97" s="769"/>
      <c r="NYW97" s="769"/>
      <c r="NYX97" s="769"/>
      <c r="NYY97" s="769"/>
      <c r="NYZ97" s="769"/>
      <c r="NZA97" s="769"/>
      <c r="NZB97" s="769"/>
      <c r="NZC97" s="769"/>
      <c r="NZD97" s="769"/>
      <c r="NZE97" s="769"/>
      <c r="NZF97" s="769"/>
      <c r="NZG97" s="769"/>
      <c r="NZH97" s="769"/>
      <c r="NZI97" s="769"/>
      <c r="NZJ97" s="769"/>
      <c r="NZK97" s="769"/>
      <c r="NZL97" s="769"/>
      <c r="NZM97" s="769"/>
      <c r="NZN97" s="769"/>
      <c r="NZO97" s="769"/>
      <c r="NZP97" s="769"/>
      <c r="NZQ97" s="769"/>
      <c r="NZR97" s="769"/>
      <c r="NZS97" s="769"/>
      <c r="NZT97" s="769"/>
      <c r="NZU97" s="769"/>
      <c r="NZV97" s="769"/>
      <c r="NZW97" s="769"/>
      <c r="NZX97" s="769"/>
      <c r="NZY97" s="769"/>
      <c r="NZZ97" s="769"/>
      <c r="OAA97" s="769"/>
      <c r="OAB97" s="769"/>
      <c r="OAC97" s="769"/>
      <c r="OAD97" s="769"/>
      <c r="OAE97" s="769"/>
      <c r="OAF97" s="769"/>
      <c r="OAG97" s="769"/>
      <c r="OAH97" s="769"/>
      <c r="OAI97" s="769"/>
      <c r="OAJ97" s="769"/>
      <c r="OAK97" s="769"/>
      <c r="OAL97" s="769"/>
      <c r="OAM97" s="769"/>
      <c r="OAN97" s="769"/>
      <c r="OAO97" s="769"/>
      <c r="OAP97" s="769"/>
      <c r="OAQ97" s="769"/>
      <c r="OAR97" s="769"/>
      <c r="OAS97" s="769"/>
      <c r="OAT97" s="769"/>
      <c r="OAU97" s="769"/>
      <c r="OAV97" s="769"/>
      <c r="OAW97" s="769"/>
      <c r="OAX97" s="769"/>
      <c r="OAY97" s="769"/>
      <c r="OAZ97" s="769"/>
      <c r="OBA97" s="769"/>
      <c r="OBB97" s="769"/>
      <c r="OBC97" s="769"/>
      <c r="OBD97" s="769"/>
      <c r="OBE97" s="769"/>
      <c r="OBF97" s="769"/>
      <c r="OBG97" s="769"/>
      <c r="OBH97" s="769"/>
      <c r="OBI97" s="769"/>
      <c r="OBJ97" s="769"/>
      <c r="OBK97" s="769"/>
      <c r="OBL97" s="769"/>
      <c r="OBM97" s="769"/>
      <c r="OBN97" s="769"/>
      <c r="OBO97" s="769"/>
      <c r="OBP97" s="769"/>
      <c r="OBQ97" s="769"/>
      <c r="OBR97" s="769"/>
      <c r="OBS97" s="769"/>
      <c r="OBT97" s="769"/>
      <c r="OBU97" s="769"/>
      <c r="OBV97" s="769"/>
      <c r="OBW97" s="769"/>
      <c r="OBX97" s="769"/>
      <c r="OBY97" s="769"/>
      <c r="OBZ97" s="769"/>
      <c r="OCA97" s="769"/>
      <c r="OCB97" s="769"/>
      <c r="OCC97" s="769"/>
      <c r="OCD97" s="769"/>
      <c r="OCE97" s="769"/>
      <c r="OCF97" s="769"/>
      <c r="OCG97" s="769"/>
      <c r="OCH97" s="769"/>
      <c r="OCI97" s="769"/>
      <c r="OCJ97" s="769"/>
      <c r="OCK97" s="769"/>
      <c r="OCL97" s="769"/>
      <c r="OCM97" s="769"/>
      <c r="OCN97" s="769"/>
      <c r="OCO97" s="769"/>
      <c r="OCP97" s="769"/>
      <c r="OCQ97" s="769"/>
      <c r="OCR97" s="769"/>
      <c r="OCS97" s="769"/>
      <c r="OCT97" s="769"/>
      <c r="OCU97" s="769"/>
      <c r="OCV97" s="769"/>
      <c r="OCW97" s="769"/>
      <c r="OCX97" s="769"/>
      <c r="OCY97" s="769"/>
      <c r="OCZ97" s="769"/>
      <c r="ODA97" s="769"/>
      <c r="ODB97" s="769"/>
      <c r="ODC97" s="769"/>
      <c r="ODD97" s="769"/>
      <c r="ODE97" s="769"/>
      <c r="ODF97" s="769"/>
      <c r="ODG97" s="769"/>
      <c r="ODH97" s="769"/>
      <c r="ODI97" s="769"/>
      <c r="ODJ97" s="769"/>
      <c r="ODK97" s="769"/>
      <c r="ODL97" s="769"/>
      <c r="ODM97" s="769"/>
      <c r="ODN97" s="769"/>
      <c r="ODO97" s="769"/>
      <c r="ODP97" s="769"/>
      <c r="ODQ97" s="769"/>
      <c r="ODR97" s="769"/>
      <c r="ODS97" s="769"/>
      <c r="ODT97" s="769"/>
      <c r="ODU97" s="769"/>
      <c r="ODV97" s="769"/>
      <c r="ODW97" s="769"/>
      <c r="ODX97" s="769"/>
      <c r="ODY97" s="769"/>
      <c r="ODZ97" s="769"/>
      <c r="OEA97" s="769"/>
      <c r="OEB97" s="769"/>
      <c r="OEC97" s="769"/>
      <c r="OED97" s="769"/>
      <c r="OEE97" s="769"/>
      <c r="OEF97" s="769"/>
      <c r="OEG97" s="769"/>
      <c r="OEH97" s="769"/>
      <c r="OEI97" s="769"/>
      <c r="OEJ97" s="769"/>
      <c r="OEK97" s="769"/>
      <c r="OEL97" s="769"/>
      <c r="OEM97" s="769"/>
      <c r="OEN97" s="769"/>
      <c r="OEO97" s="769"/>
      <c r="OEP97" s="769"/>
      <c r="OEQ97" s="769"/>
      <c r="OER97" s="769"/>
      <c r="OES97" s="769"/>
      <c r="OET97" s="769"/>
      <c r="OEU97" s="769"/>
      <c r="OEV97" s="769"/>
      <c r="OEW97" s="769"/>
      <c r="OEX97" s="769"/>
      <c r="OEY97" s="769"/>
      <c r="OEZ97" s="769"/>
      <c r="OFA97" s="769"/>
      <c r="OFB97" s="769"/>
      <c r="OFC97" s="769"/>
      <c r="OFD97" s="769"/>
      <c r="OFE97" s="769"/>
      <c r="OFF97" s="769"/>
      <c r="OFG97" s="769"/>
      <c r="OFH97" s="769"/>
      <c r="OFI97" s="769"/>
      <c r="OFJ97" s="769"/>
      <c r="OFK97" s="769"/>
      <c r="OFL97" s="769"/>
      <c r="OFM97" s="769"/>
      <c r="OFN97" s="769"/>
      <c r="OFO97" s="769"/>
      <c r="OFP97" s="769"/>
      <c r="OFQ97" s="769"/>
      <c r="OFR97" s="769"/>
      <c r="OFS97" s="769"/>
      <c r="OFT97" s="769"/>
      <c r="OFU97" s="769"/>
      <c r="OFV97" s="769"/>
      <c r="OFW97" s="769"/>
      <c r="OFX97" s="769"/>
      <c r="OFY97" s="769"/>
      <c r="OFZ97" s="769"/>
      <c r="OGA97" s="769"/>
      <c r="OGB97" s="769"/>
      <c r="OGC97" s="769"/>
      <c r="OGD97" s="769"/>
      <c r="OGE97" s="769"/>
      <c r="OGF97" s="769"/>
      <c r="OGG97" s="769"/>
      <c r="OGH97" s="769"/>
      <c r="OGI97" s="769"/>
      <c r="OGJ97" s="769"/>
      <c r="OGK97" s="769"/>
      <c r="OGL97" s="769"/>
      <c r="OGM97" s="769"/>
      <c r="OGN97" s="769"/>
      <c r="OGO97" s="769"/>
      <c r="OGP97" s="769"/>
      <c r="OGQ97" s="769"/>
      <c r="OGR97" s="769"/>
      <c r="OGS97" s="769"/>
      <c r="OGT97" s="769"/>
      <c r="OGU97" s="769"/>
      <c r="OGV97" s="769"/>
      <c r="OGW97" s="769"/>
      <c r="OGX97" s="769"/>
      <c r="OGY97" s="769"/>
      <c r="OGZ97" s="769"/>
      <c r="OHA97" s="769"/>
      <c r="OHB97" s="769"/>
      <c r="OHC97" s="769"/>
      <c r="OHD97" s="769"/>
      <c r="OHE97" s="769"/>
      <c r="OHF97" s="769"/>
      <c r="OHG97" s="769"/>
      <c r="OHH97" s="769"/>
      <c r="OHI97" s="769"/>
      <c r="OHJ97" s="769"/>
      <c r="OHK97" s="769"/>
      <c r="OHL97" s="769"/>
      <c r="OHM97" s="769"/>
      <c r="OHN97" s="769"/>
      <c r="OHO97" s="769"/>
      <c r="OHP97" s="769"/>
      <c r="OHQ97" s="769"/>
      <c r="OHR97" s="769"/>
      <c r="OHS97" s="769"/>
      <c r="OHT97" s="769"/>
      <c r="OHU97" s="769"/>
      <c r="OHV97" s="769"/>
      <c r="OHW97" s="769"/>
      <c r="OHX97" s="769"/>
      <c r="OHY97" s="769"/>
      <c r="OHZ97" s="769"/>
      <c r="OIA97" s="769"/>
      <c r="OIB97" s="769"/>
      <c r="OIC97" s="769"/>
      <c r="OID97" s="769"/>
      <c r="OIE97" s="769"/>
      <c r="OIF97" s="769"/>
      <c r="OIG97" s="769"/>
      <c r="OIH97" s="769"/>
      <c r="OII97" s="769"/>
      <c r="OIJ97" s="769"/>
      <c r="OIK97" s="769"/>
      <c r="OIL97" s="769"/>
      <c r="OIM97" s="769"/>
      <c r="OIN97" s="769"/>
      <c r="OIO97" s="769"/>
      <c r="OIP97" s="769"/>
      <c r="OIQ97" s="769"/>
      <c r="OIR97" s="769"/>
      <c r="OIS97" s="769"/>
      <c r="OIT97" s="769"/>
      <c r="OIU97" s="769"/>
      <c r="OIV97" s="769"/>
      <c r="OIW97" s="769"/>
      <c r="OIX97" s="769"/>
      <c r="OIY97" s="769"/>
      <c r="OIZ97" s="769"/>
      <c r="OJA97" s="769"/>
      <c r="OJB97" s="769"/>
      <c r="OJC97" s="769"/>
      <c r="OJD97" s="769"/>
      <c r="OJE97" s="769"/>
      <c r="OJF97" s="769"/>
      <c r="OJG97" s="769"/>
      <c r="OJH97" s="769"/>
      <c r="OJI97" s="769"/>
      <c r="OJJ97" s="769"/>
      <c r="OJK97" s="769"/>
      <c r="OJL97" s="769"/>
      <c r="OJM97" s="769"/>
      <c r="OJN97" s="769"/>
      <c r="OJO97" s="769"/>
      <c r="OJP97" s="769"/>
      <c r="OJQ97" s="769"/>
      <c r="OJR97" s="769"/>
      <c r="OJS97" s="769"/>
      <c r="OJT97" s="769"/>
      <c r="OJU97" s="769"/>
      <c r="OJV97" s="769"/>
      <c r="OJW97" s="769"/>
      <c r="OJX97" s="769"/>
      <c r="OJY97" s="769"/>
      <c r="OJZ97" s="769"/>
      <c r="OKA97" s="769"/>
      <c r="OKB97" s="769"/>
      <c r="OKC97" s="769"/>
      <c r="OKD97" s="769"/>
      <c r="OKE97" s="769"/>
      <c r="OKF97" s="769"/>
      <c r="OKG97" s="769"/>
      <c r="OKH97" s="769"/>
      <c r="OKI97" s="769"/>
      <c r="OKJ97" s="769"/>
      <c r="OKK97" s="769"/>
      <c r="OKL97" s="769"/>
      <c r="OKM97" s="769"/>
      <c r="OKN97" s="769"/>
      <c r="OKO97" s="769"/>
      <c r="OKP97" s="769"/>
      <c r="OKQ97" s="769"/>
      <c r="OKR97" s="769"/>
      <c r="OKS97" s="769"/>
      <c r="OKT97" s="769"/>
      <c r="OKU97" s="769"/>
      <c r="OKV97" s="769"/>
      <c r="OKW97" s="769"/>
      <c r="OKX97" s="769"/>
      <c r="OKY97" s="769"/>
      <c r="OKZ97" s="769"/>
      <c r="OLA97" s="769"/>
      <c r="OLB97" s="769"/>
      <c r="OLC97" s="769"/>
      <c r="OLD97" s="769"/>
      <c r="OLE97" s="769"/>
      <c r="OLF97" s="769"/>
      <c r="OLG97" s="769"/>
      <c r="OLH97" s="769"/>
      <c r="OLI97" s="769"/>
      <c r="OLJ97" s="769"/>
      <c r="OLK97" s="769"/>
      <c r="OLL97" s="769"/>
      <c r="OLM97" s="769"/>
      <c r="OLN97" s="769"/>
      <c r="OLO97" s="769"/>
      <c r="OLP97" s="769"/>
      <c r="OLQ97" s="769"/>
      <c r="OLR97" s="769"/>
      <c r="OLS97" s="769"/>
      <c r="OLT97" s="769"/>
      <c r="OLU97" s="769"/>
      <c r="OLV97" s="769"/>
      <c r="OLW97" s="769"/>
      <c r="OLX97" s="769"/>
      <c r="OLY97" s="769"/>
      <c r="OLZ97" s="769"/>
      <c r="OMA97" s="769"/>
      <c r="OMB97" s="769"/>
      <c r="OMC97" s="769"/>
      <c r="OMD97" s="769"/>
      <c r="OME97" s="769"/>
      <c r="OMF97" s="769"/>
      <c r="OMG97" s="769"/>
      <c r="OMH97" s="769"/>
      <c r="OMI97" s="769"/>
      <c r="OMJ97" s="769"/>
      <c r="OMK97" s="769"/>
      <c r="OML97" s="769"/>
      <c r="OMM97" s="769"/>
      <c r="OMN97" s="769"/>
      <c r="OMO97" s="769"/>
      <c r="OMP97" s="769"/>
      <c r="OMQ97" s="769"/>
      <c r="OMR97" s="769"/>
      <c r="OMS97" s="769"/>
      <c r="OMT97" s="769"/>
      <c r="OMU97" s="769"/>
      <c r="OMV97" s="769"/>
      <c r="OMW97" s="769"/>
      <c r="OMX97" s="769"/>
      <c r="OMY97" s="769"/>
      <c r="OMZ97" s="769"/>
      <c r="ONA97" s="769"/>
      <c r="ONB97" s="769"/>
      <c r="ONC97" s="769"/>
      <c r="OND97" s="769"/>
      <c r="ONE97" s="769"/>
      <c r="ONF97" s="769"/>
      <c r="ONG97" s="769"/>
      <c r="ONH97" s="769"/>
      <c r="ONI97" s="769"/>
      <c r="ONJ97" s="769"/>
      <c r="ONK97" s="769"/>
      <c r="ONL97" s="769"/>
      <c r="ONM97" s="769"/>
      <c r="ONN97" s="769"/>
      <c r="ONO97" s="769"/>
      <c r="ONP97" s="769"/>
      <c r="ONQ97" s="769"/>
      <c r="ONR97" s="769"/>
      <c r="ONS97" s="769"/>
      <c r="ONT97" s="769"/>
      <c r="ONU97" s="769"/>
      <c r="ONV97" s="769"/>
      <c r="ONW97" s="769"/>
      <c r="ONX97" s="769"/>
      <c r="ONY97" s="769"/>
      <c r="ONZ97" s="769"/>
      <c r="OOA97" s="769"/>
      <c r="OOB97" s="769"/>
      <c r="OOC97" s="769"/>
      <c r="OOD97" s="769"/>
      <c r="OOE97" s="769"/>
      <c r="OOF97" s="769"/>
      <c r="OOG97" s="769"/>
      <c r="OOH97" s="769"/>
      <c r="OOI97" s="769"/>
      <c r="OOJ97" s="769"/>
      <c r="OOK97" s="769"/>
      <c r="OOL97" s="769"/>
      <c r="OOM97" s="769"/>
      <c r="OON97" s="769"/>
      <c r="OOO97" s="769"/>
      <c r="OOP97" s="769"/>
      <c r="OOQ97" s="769"/>
      <c r="OOR97" s="769"/>
      <c r="OOS97" s="769"/>
      <c r="OOT97" s="769"/>
      <c r="OOU97" s="769"/>
      <c r="OOV97" s="769"/>
      <c r="OOW97" s="769"/>
      <c r="OOX97" s="769"/>
      <c r="OOY97" s="769"/>
      <c r="OOZ97" s="769"/>
      <c r="OPA97" s="769"/>
      <c r="OPB97" s="769"/>
      <c r="OPC97" s="769"/>
      <c r="OPD97" s="769"/>
      <c r="OPE97" s="769"/>
      <c r="OPF97" s="769"/>
      <c r="OPG97" s="769"/>
      <c r="OPH97" s="769"/>
      <c r="OPI97" s="769"/>
      <c r="OPJ97" s="769"/>
      <c r="OPK97" s="769"/>
      <c r="OPL97" s="769"/>
      <c r="OPM97" s="769"/>
      <c r="OPN97" s="769"/>
      <c r="OPO97" s="769"/>
      <c r="OPP97" s="769"/>
      <c r="OPQ97" s="769"/>
      <c r="OPR97" s="769"/>
      <c r="OPS97" s="769"/>
      <c r="OPT97" s="769"/>
      <c r="OPU97" s="769"/>
      <c r="OPV97" s="769"/>
      <c r="OPW97" s="769"/>
      <c r="OPX97" s="769"/>
      <c r="OPY97" s="769"/>
      <c r="OPZ97" s="769"/>
      <c r="OQA97" s="769"/>
      <c r="OQB97" s="769"/>
      <c r="OQC97" s="769"/>
      <c r="OQD97" s="769"/>
      <c r="OQE97" s="769"/>
      <c r="OQF97" s="769"/>
      <c r="OQG97" s="769"/>
      <c r="OQH97" s="769"/>
      <c r="OQI97" s="769"/>
      <c r="OQJ97" s="769"/>
      <c r="OQK97" s="769"/>
      <c r="OQL97" s="769"/>
      <c r="OQM97" s="769"/>
      <c r="OQN97" s="769"/>
      <c r="OQO97" s="769"/>
      <c r="OQP97" s="769"/>
      <c r="OQQ97" s="769"/>
      <c r="OQR97" s="769"/>
      <c r="OQS97" s="769"/>
      <c r="OQT97" s="769"/>
      <c r="OQU97" s="769"/>
      <c r="OQV97" s="769"/>
      <c r="OQW97" s="769"/>
      <c r="OQX97" s="769"/>
      <c r="OQY97" s="769"/>
      <c r="OQZ97" s="769"/>
      <c r="ORA97" s="769"/>
      <c r="ORB97" s="769"/>
      <c r="ORC97" s="769"/>
      <c r="ORD97" s="769"/>
      <c r="ORE97" s="769"/>
      <c r="ORF97" s="769"/>
      <c r="ORG97" s="769"/>
      <c r="ORH97" s="769"/>
      <c r="ORI97" s="769"/>
      <c r="ORJ97" s="769"/>
      <c r="ORK97" s="769"/>
      <c r="ORL97" s="769"/>
      <c r="ORM97" s="769"/>
      <c r="ORN97" s="769"/>
      <c r="ORO97" s="769"/>
      <c r="ORP97" s="769"/>
      <c r="ORQ97" s="769"/>
      <c r="ORR97" s="769"/>
      <c r="ORS97" s="769"/>
      <c r="ORT97" s="769"/>
      <c r="ORU97" s="769"/>
      <c r="ORV97" s="769"/>
      <c r="ORW97" s="769"/>
      <c r="ORX97" s="769"/>
      <c r="ORY97" s="769"/>
      <c r="ORZ97" s="769"/>
      <c r="OSA97" s="769"/>
      <c r="OSB97" s="769"/>
      <c r="OSC97" s="769"/>
      <c r="OSD97" s="769"/>
      <c r="OSE97" s="769"/>
      <c r="OSF97" s="769"/>
      <c r="OSG97" s="769"/>
      <c r="OSH97" s="769"/>
      <c r="OSI97" s="769"/>
      <c r="OSJ97" s="769"/>
      <c r="OSK97" s="769"/>
      <c r="OSL97" s="769"/>
      <c r="OSM97" s="769"/>
      <c r="OSN97" s="769"/>
      <c r="OSO97" s="769"/>
      <c r="OSP97" s="769"/>
      <c r="OSQ97" s="769"/>
      <c r="OSR97" s="769"/>
      <c r="OSS97" s="769"/>
      <c r="OST97" s="769"/>
      <c r="OSU97" s="769"/>
      <c r="OSV97" s="769"/>
      <c r="OSW97" s="769"/>
      <c r="OSX97" s="769"/>
      <c r="OSY97" s="769"/>
      <c r="OSZ97" s="769"/>
      <c r="OTA97" s="769"/>
      <c r="OTB97" s="769"/>
      <c r="OTC97" s="769"/>
      <c r="OTD97" s="769"/>
      <c r="OTE97" s="769"/>
      <c r="OTF97" s="769"/>
      <c r="OTG97" s="769"/>
      <c r="OTH97" s="769"/>
      <c r="OTI97" s="769"/>
      <c r="OTJ97" s="769"/>
      <c r="OTK97" s="769"/>
      <c r="OTL97" s="769"/>
      <c r="OTM97" s="769"/>
      <c r="OTN97" s="769"/>
      <c r="OTO97" s="769"/>
      <c r="OTP97" s="769"/>
      <c r="OTQ97" s="769"/>
      <c r="OTR97" s="769"/>
      <c r="OTS97" s="769"/>
      <c r="OTT97" s="769"/>
      <c r="OTU97" s="769"/>
      <c r="OTV97" s="769"/>
      <c r="OTW97" s="769"/>
      <c r="OTX97" s="769"/>
      <c r="OTY97" s="769"/>
      <c r="OTZ97" s="769"/>
      <c r="OUA97" s="769"/>
      <c r="OUB97" s="769"/>
      <c r="OUC97" s="769"/>
      <c r="OUD97" s="769"/>
      <c r="OUE97" s="769"/>
      <c r="OUF97" s="769"/>
      <c r="OUG97" s="769"/>
      <c r="OUH97" s="769"/>
      <c r="OUI97" s="769"/>
      <c r="OUJ97" s="769"/>
      <c r="OUK97" s="769"/>
      <c r="OUL97" s="769"/>
      <c r="OUM97" s="769"/>
      <c r="OUN97" s="769"/>
      <c r="OUO97" s="769"/>
      <c r="OUP97" s="769"/>
      <c r="OUQ97" s="769"/>
      <c r="OUR97" s="769"/>
      <c r="OUS97" s="769"/>
      <c r="OUT97" s="769"/>
      <c r="OUU97" s="769"/>
      <c r="OUV97" s="769"/>
      <c r="OUW97" s="769"/>
      <c r="OUX97" s="769"/>
      <c r="OUY97" s="769"/>
      <c r="OUZ97" s="769"/>
      <c r="OVA97" s="769"/>
      <c r="OVB97" s="769"/>
      <c r="OVC97" s="769"/>
      <c r="OVD97" s="769"/>
      <c r="OVE97" s="769"/>
      <c r="OVF97" s="769"/>
      <c r="OVG97" s="769"/>
      <c r="OVH97" s="769"/>
      <c r="OVI97" s="769"/>
      <c r="OVJ97" s="769"/>
      <c r="OVK97" s="769"/>
      <c r="OVL97" s="769"/>
      <c r="OVM97" s="769"/>
      <c r="OVN97" s="769"/>
      <c r="OVO97" s="769"/>
      <c r="OVP97" s="769"/>
      <c r="OVQ97" s="769"/>
      <c r="OVR97" s="769"/>
      <c r="OVS97" s="769"/>
      <c r="OVT97" s="769"/>
      <c r="OVU97" s="769"/>
      <c r="OVV97" s="769"/>
      <c r="OVW97" s="769"/>
      <c r="OVX97" s="769"/>
      <c r="OVY97" s="769"/>
      <c r="OVZ97" s="769"/>
      <c r="OWA97" s="769"/>
      <c r="OWB97" s="769"/>
      <c r="OWC97" s="769"/>
      <c r="OWD97" s="769"/>
      <c r="OWE97" s="769"/>
      <c r="OWF97" s="769"/>
      <c r="OWG97" s="769"/>
      <c r="OWH97" s="769"/>
      <c r="OWI97" s="769"/>
      <c r="OWJ97" s="769"/>
      <c r="OWK97" s="769"/>
      <c r="OWL97" s="769"/>
      <c r="OWM97" s="769"/>
      <c r="OWN97" s="769"/>
      <c r="OWO97" s="769"/>
      <c r="OWP97" s="769"/>
      <c r="OWQ97" s="769"/>
      <c r="OWR97" s="769"/>
      <c r="OWS97" s="769"/>
      <c r="OWT97" s="769"/>
      <c r="OWU97" s="769"/>
      <c r="OWV97" s="769"/>
      <c r="OWW97" s="769"/>
      <c r="OWX97" s="769"/>
      <c r="OWY97" s="769"/>
      <c r="OWZ97" s="769"/>
      <c r="OXA97" s="769"/>
      <c r="OXB97" s="769"/>
      <c r="OXC97" s="769"/>
      <c r="OXD97" s="769"/>
      <c r="OXE97" s="769"/>
      <c r="OXF97" s="769"/>
      <c r="OXG97" s="769"/>
      <c r="OXH97" s="769"/>
      <c r="OXI97" s="769"/>
      <c r="OXJ97" s="769"/>
      <c r="OXK97" s="769"/>
      <c r="OXL97" s="769"/>
      <c r="OXM97" s="769"/>
      <c r="OXN97" s="769"/>
      <c r="OXO97" s="769"/>
      <c r="OXP97" s="769"/>
      <c r="OXQ97" s="769"/>
      <c r="OXR97" s="769"/>
      <c r="OXS97" s="769"/>
      <c r="OXT97" s="769"/>
      <c r="OXU97" s="769"/>
      <c r="OXV97" s="769"/>
      <c r="OXW97" s="769"/>
      <c r="OXX97" s="769"/>
      <c r="OXY97" s="769"/>
      <c r="OXZ97" s="769"/>
      <c r="OYA97" s="769"/>
      <c r="OYB97" s="769"/>
      <c r="OYC97" s="769"/>
      <c r="OYD97" s="769"/>
      <c r="OYE97" s="769"/>
      <c r="OYF97" s="769"/>
      <c r="OYG97" s="769"/>
      <c r="OYH97" s="769"/>
      <c r="OYI97" s="769"/>
      <c r="OYJ97" s="769"/>
      <c r="OYK97" s="769"/>
      <c r="OYL97" s="769"/>
      <c r="OYM97" s="769"/>
      <c r="OYN97" s="769"/>
      <c r="OYO97" s="769"/>
      <c r="OYP97" s="769"/>
      <c r="OYQ97" s="769"/>
      <c r="OYR97" s="769"/>
      <c r="OYS97" s="769"/>
      <c r="OYT97" s="769"/>
      <c r="OYU97" s="769"/>
      <c r="OYV97" s="769"/>
      <c r="OYW97" s="769"/>
      <c r="OYX97" s="769"/>
      <c r="OYY97" s="769"/>
      <c r="OYZ97" s="769"/>
      <c r="OZA97" s="769"/>
      <c r="OZB97" s="769"/>
      <c r="OZC97" s="769"/>
      <c r="OZD97" s="769"/>
      <c r="OZE97" s="769"/>
      <c r="OZF97" s="769"/>
      <c r="OZG97" s="769"/>
      <c r="OZH97" s="769"/>
      <c r="OZI97" s="769"/>
      <c r="OZJ97" s="769"/>
      <c r="OZK97" s="769"/>
      <c r="OZL97" s="769"/>
      <c r="OZM97" s="769"/>
      <c r="OZN97" s="769"/>
      <c r="OZO97" s="769"/>
      <c r="OZP97" s="769"/>
      <c r="OZQ97" s="769"/>
      <c r="OZR97" s="769"/>
      <c r="OZS97" s="769"/>
      <c r="OZT97" s="769"/>
      <c r="OZU97" s="769"/>
      <c r="OZV97" s="769"/>
      <c r="OZW97" s="769"/>
      <c r="OZX97" s="769"/>
      <c r="OZY97" s="769"/>
      <c r="OZZ97" s="769"/>
      <c r="PAA97" s="769"/>
      <c r="PAB97" s="769"/>
      <c r="PAC97" s="769"/>
      <c r="PAD97" s="769"/>
      <c r="PAE97" s="769"/>
      <c r="PAF97" s="769"/>
      <c r="PAG97" s="769"/>
      <c r="PAH97" s="769"/>
      <c r="PAI97" s="769"/>
      <c r="PAJ97" s="769"/>
      <c r="PAK97" s="769"/>
      <c r="PAL97" s="769"/>
      <c r="PAM97" s="769"/>
      <c r="PAN97" s="769"/>
      <c r="PAO97" s="769"/>
      <c r="PAP97" s="769"/>
      <c r="PAQ97" s="769"/>
      <c r="PAR97" s="769"/>
      <c r="PAS97" s="769"/>
      <c r="PAT97" s="769"/>
      <c r="PAU97" s="769"/>
      <c r="PAV97" s="769"/>
      <c r="PAW97" s="769"/>
      <c r="PAX97" s="769"/>
      <c r="PAY97" s="769"/>
      <c r="PAZ97" s="769"/>
      <c r="PBA97" s="769"/>
      <c r="PBB97" s="769"/>
      <c r="PBC97" s="769"/>
      <c r="PBD97" s="769"/>
      <c r="PBE97" s="769"/>
      <c r="PBF97" s="769"/>
      <c r="PBG97" s="769"/>
      <c r="PBH97" s="769"/>
      <c r="PBI97" s="769"/>
      <c r="PBJ97" s="769"/>
      <c r="PBK97" s="769"/>
      <c r="PBL97" s="769"/>
      <c r="PBM97" s="769"/>
      <c r="PBN97" s="769"/>
      <c r="PBO97" s="769"/>
      <c r="PBP97" s="769"/>
      <c r="PBQ97" s="769"/>
      <c r="PBR97" s="769"/>
      <c r="PBS97" s="769"/>
      <c r="PBT97" s="769"/>
      <c r="PBU97" s="769"/>
      <c r="PBV97" s="769"/>
      <c r="PBW97" s="769"/>
      <c r="PBX97" s="769"/>
      <c r="PBY97" s="769"/>
      <c r="PBZ97" s="769"/>
      <c r="PCA97" s="769"/>
      <c r="PCB97" s="769"/>
      <c r="PCC97" s="769"/>
      <c r="PCD97" s="769"/>
      <c r="PCE97" s="769"/>
      <c r="PCF97" s="769"/>
      <c r="PCG97" s="769"/>
      <c r="PCH97" s="769"/>
      <c r="PCI97" s="769"/>
      <c r="PCJ97" s="769"/>
      <c r="PCK97" s="769"/>
      <c r="PCL97" s="769"/>
      <c r="PCM97" s="769"/>
      <c r="PCN97" s="769"/>
      <c r="PCO97" s="769"/>
      <c r="PCP97" s="769"/>
      <c r="PCQ97" s="769"/>
      <c r="PCR97" s="769"/>
      <c r="PCS97" s="769"/>
      <c r="PCT97" s="769"/>
      <c r="PCU97" s="769"/>
      <c r="PCV97" s="769"/>
      <c r="PCW97" s="769"/>
      <c r="PCX97" s="769"/>
      <c r="PCY97" s="769"/>
      <c r="PCZ97" s="769"/>
      <c r="PDA97" s="769"/>
      <c r="PDB97" s="769"/>
      <c r="PDC97" s="769"/>
      <c r="PDD97" s="769"/>
      <c r="PDE97" s="769"/>
      <c r="PDF97" s="769"/>
      <c r="PDG97" s="769"/>
      <c r="PDH97" s="769"/>
      <c r="PDI97" s="769"/>
      <c r="PDJ97" s="769"/>
      <c r="PDK97" s="769"/>
      <c r="PDL97" s="769"/>
      <c r="PDM97" s="769"/>
      <c r="PDN97" s="769"/>
      <c r="PDO97" s="769"/>
      <c r="PDP97" s="769"/>
      <c r="PDQ97" s="769"/>
      <c r="PDR97" s="769"/>
      <c r="PDS97" s="769"/>
      <c r="PDT97" s="769"/>
      <c r="PDU97" s="769"/>
      <c r="PDV97" s="769"/>
      <c r="PDW97" s="769"/>
      <c r="PDX97" s="769"/>
      <c r="PDY97" s="769"/>
      <c r="PDZ97" s="769"/>
      <c r="PEA97" s="769"/>
      <c r="PEB97" s="769"/>
      <c r="PEC97" s="769"/>
      <c r="PED97" s="769"/>
      <c r="PEE97" s="769"/>
      <c r="PEF97" s="769"/>
      <c r="PEG97" s="769"/>
      <c r="PEH97" s="769"/>
      <c r="PEI97" s="769"/>
      <c r="PEJ97" s="769"/>
      <c r="PEK97" s="769"/>
      <c r="PEL97" s="769"/>
      <c r="PEM97" s="769"/>
      <c r="PEN97" s="769"/>
      <c r="PEO97" s="769"/>
      <c r="PEP97" s="769"/>
      <c r="PEQ97" s="769"/>
      <c r="PER97" s="769"/>
      <c r="PES97" s="769"/>
      <c r="PET97" s="769"/>
      <c r="PEU97" s="769"/>
      <c r="PEV97" s="769"/>
      <c r="PEW97" s="769"/>
      <c r="PEX97" s="769"/>
      <c r="PEY97" s="769"/>
      <c r="PEZ97" s="769"/>
      <c r="PFA97" s="769"/>
      <c r="PFB97" s="769"/>
      <c r="PFC97" s="769"/>
      <c r="PFD97" s="769"/>
      <c r="PFE97" s="769"/>
      <c r="PFF97" s="769"/>
      <c r="PFG97" s="769"/>
      <c r="PFH97" s="769"/>
      <c r="PFI97" s="769"/>
      <c r="PFJ97" s="769"/>
      <c r="PFK97" s="769"/>
      <c r="PFL97" s="769"/>
      <c r="PFM97" s="769"/>
      <c r="PFN97" s="769"/>
      <c r="PFO97" s="769"/>
      <c r="PFP97" s="769"/>
      <c r="PFQ97" s="769"/>
      <c r="PFR97" s="769"/>
      <c r="PFS97" s="769"/>
      <c r="PFT97" s="769"/>
      <c r="PFU97" s="769"/>
      <c r="PFV97" s="769"/>
      <c r="PFW97" s="769"/>
      <c r="PFX97" s="769"/>
      <c r="PFY97" s="769"/>
      <c r="PFZ97" s="769"/>
      <c r="PGA97" s="769"/>
      <c r="PGB97" s="769"/>
      <c r="PGC97" s="769"/>
      <c r="PGD97" s="769"/>
      <c r="PGE97" s="769"/>
      <c r="PGF97" s="769"/>
      <c r="PGG97" s="769"/>
      <c r="PGH97" s="769"/>
      <c r="PGI97" s="769"/>
      <c r="PGJ97" s="769"/>
      <c r="PGK97" s="769"/>
      <c r="PGL97" s="769"/>
      <c r="PGM97" s="769"/>
      <c r="PGN97" s="769"/>
      <c r="PGO97" s="769"/>
      <c r="PGP97" s="769"/>
      <c r="PGQ97" s="769"/>
      <c r="PGR97" s="769"/>
      <c r="PGS97" s="769"/>
      <c r="PGT97" s="769"/>
      <c r="PGU97" s="769"/>
      <c r="PGV97" s="769"/>
      <c r="PGW97" s="769"/>
      <c r="PGX97" s="769"/>
      <c r="PGY97" s="769"/>
      <c r="PGZ97" s="769"/>
      <c r="PHA97" s="769"/>
      <c r="PHB97" s="769"/>
      <c r="PHC97" s="769"/>
      <c r="PHD97" s="769"/>
      <c r="PHE97" s="769"/>
      <c r="PHF97" s="769"/>
      <c r="PHG97" s="769"/>
      <c r="PHH97" s="769"/>
      <c r="PHI97" s="769"/>
      <c r="PHJ97" s="769"/>
      <c r="PHK97" s="769"/>
      <c r="PHL97" s="769"/>
      <c r="PHM97" s="769"/>
      <c r="PHN97" s="769"/>
      <c r="PHO97" s="769"/>
      <c r="PHP97" s="769"/>
      <c r="PHQ97" s="769"/>
      <c r="PHR97" s="769"/>
      <c r="PHS97" s="769"/>
      <c r="PHT97" s="769"/>
      <c r="PHU97" s="769"/>
      <c r="PHV97" s="769"/>
      <c r="PHW97" s="769"/>
      <c r="PHX97" s="769"/>
      <c r="PHY97" s="769"/>
      <c r="PHZ97" s="769"/>
      <c r="PIA97" s="769"/>
      <c r="PIB97" s="769"/>
      <c r="PIC97" s="769"/>
      <c r="PID97" s="769"/>
      <c r="PIE97" s="769"/>
      <c r="PIF97" s="769"/>
      <c r="PIG97" s="769"/>
      <c r="PIH97" s="769"/>
      <c r="PII97" s="769"/>
      <c r="PIJ97" s="769"/>
      <c r="PIK97" s="769"/>
      <c r="PIL97" s="769"/>
      <c r="PIM97" s="769"/>
      <c r="PIN97" s="769"/>
      <c r="PIO97" s="769"/>
      <c r="PIP97" s="769"/>
      <c r="PIQ97" s="769"/>
      <c r="PIR97" s="769"/>
      <c r="PIS97" s="769"/>
      <c r="PIT97" s="769"/>
      <c r="PIU97" s="769"/>
      <c r="PIV97" s="769"/>
      <c r="PIW97" s="769"/>
      <c r="PIX97" s="769"/>
      <c r="PIY97" s="769"/>
      <c r="PIZ97" s="769"/>
      <c r="PJA97" s="769"/>
      <c r="PJB97" s="769"/>
      <c r="PJC97" s="769"/>
      <c r="PJD97" s="769"/>
      <c r="PJE97" s="769"/>
      <c r="PJF97" s="769"/>
      <c r="PJG97" s="769"/>
      <c r="PJH97" s="769"/>
      <c r="PJI97" s="769"/>
      <c r="PJJ97" s="769"/>
      <c r="PJK97" s="769"/>
      <c r="PJL97" s="769"/>
      <c r="PJM97" s="769"/>
      <c r="PJN97" s="769"/>
      <c r="PJO97" s="769"/>
      <c r="PJP97" s="769"/>
      <c r="PJQ97" s="769"/>
      <c r="PJR97" s="769"/>
      <c r="PJS97" s="769"/>
      <c r="PJT97" s="769"/>
      <c r="PJU97" s="769"/>
      <c r="PJV97" s="769"/>
      <c r="PJW97" s="769"/>
      <c r="PJX97" s="769"/>
      <c r="PJY97" s="769"/>
      <c r="PJZ97" s="769"/>
      <c r="PKA97" s="769"/>
      <c r="PKB97" s="769"/>
      <c r="PKC97" s="769"/>
      <c r="PKD97" s="769"/>
      <c r="PKE97" s="769"/>
      <c r="PKF97" s="769"/>
      <c r="PKG97" s="769"/>
      <c r="PKH97" s="769"/>
      <c r="PKI97" s="769"/>
      <c r="PKJ97" s="769"/>
      <c r="PKK97" s="769"/>
      <c r="PKL97" s="769"/>
      <c r="PKM97" s="769"/>
      <c r="PKN97" s="769"/>
      <c r="PKO97" s="769"/>
      <c r="PKP97" s="769"/>
      <c r="PKQ97" s="769"/>
      <c r="PKR97" s="769"/>
      <c r="PKS97" s="769"/>
      <c r="PKT97" s="769"/>
      <c r="PKU97" s="769"/>
      <c r="PKV97" s="769"/>
      <c r="PKW97" s="769"/>
      <c r="PKX97" s="769"/>
      <c r="PKY97" s="769"/>
      <c r="PKZ97" s="769"/>
      <c r="PLA97" s="769"/>
      <c r="PLB97" s="769"/>
      <c r="PLC97" s="769"/>
      <c r="PLD97" s="769"/>
      <c r="PLE97" s="769"/>
      <c r="PLF97" s="769"/>
      <c r="PLG97" s="769"/>
      <c r="PLH97" s="769"/>
      <c r="PLI97" s="769"/>
      <c r="PLJ97" s="769"/>
      <c r="PLK97" s="769"/>
      <c r="PLL97" s="769"/>
      <c r="PLM97" s="769"/>
      <c r="PLN97" s="769"/>
      <c r="PLO97" s="769"/>
      <c r="PLP97" s="769"/>
      <c r="PLQ97" s="769"/>
      <c r="PLR97" s="769"/>
      <c r="PLS97" s="769"/>
      <c r="PLT97" s="769"/>
      <c r="PLU97" s="769"/>
      <c r="PLV97" s="769"/>
      <c r="PLW97" s="769"/>
      <c r="PLX97" s="769"/>
      <c r="PLY97" s="769"/>
      <c r="PLZ97" s="769"/>
      <c r="PMA97" s="769"/>
      <c r="PMB97" s="769"/>
      <c r="PMC97" s="769"/>
      <c r="PMD97" s="769"/>
      <c r="PME97" s="769"/>
      <c r="PMF97" s="769"/>
      <c r="PMG97" s="769"/>
      <c r="PMH97" s="769"/>
      <c r="PMI97" s="769"/>
      <c r="PMJ97" s="769"/>
      <c r="PMK97" s="769"/>
      <c r="PML97" s="769"/>
      <c r="PMM97" s="769"/>
      <c r="PMN97" s="769"/>
      <c r="PMO97" s="769"/>
      <c r="PMP97" s="769"/>
      <c r="PMQ97" s="769"/>
      <c r="PMR97" s="769"/>
      <c r="PMS97" s="769"/>
      <c r="PMT97" s="769"/>
      <c r="PMU97" s="769"/>
      <c r="PMV97" s="769"/>
      <c r="PMW97" s="769"/>
      <c r="PMX97" s="769"/>
      <c r="PMY97" s="769"/>
      <c r="PMZ97" s="769"/>
      <c r="PNA97" s="769"/>
      <c r="PNB97" s="769"/>
      <c r="PNC97" s="769"/>
      <c r="PND97" s="769"/>
      <c r="PNE97" s="769"/>
      <c r="PNF97" s="769"/>
      <c r="PNG97" s="769"/>
      <c r="PNH97" s="769"/>
      <c r="PNI97" s="769"/>
      <c r="PNJ97" s="769"/>
      <c r="PNK97" s="769"/>
      <c r="PNL97" s="769"/>
      <c r="PNM97" s="769"/>
      <c r="PNN97" s="769"/>
      <c r="PNO97" s="769"/>
      <c r="PNP97" s="769"/>
      <c r="PNQ97" s="769"/>
      <c r="PNR97" s="769"/>
      <c r="PNS97" s="769"/>
      <c r="PNT97" s="769"/>
      <c r="PNU97" s="769"/>
      <c r="PNV97" s="769"/>
      <c r="PNW97" s="769"/>
      <c r="PNX97" s="769"/>
      <c r="PNY97" s="769"/>
      <c r="PNZ97" s="769"/>
      <c r="POA97" s="769"/>
      <c r="POB97" s="769"/>
      <c r="POC97" s="769"/>
      <c r="POD97" s="769"/>
      <c r="POE97" s="769"/>
      <c r="POF97" s="769"/>
      <c r="POG97" s="769"/>
      <c r="POH97" s="769"/>
      <c r="POI97" s="769"/>
      <c r="POJ97" s="769"/>
      <c r="POK97" s="769"/>
      <c r="POL97" s="769"/>
      <c r="POM97" s="769"/>
      <c r="PON97" s="769"/>
      <c r="POO97" s="769"/>
      <c r="POP97" s="769"/>
      <c r="POQ97" s="769"/>
      <c r="POR97" s="769"/>
      <c r="POS97" s="769"/>
      <c r="POT97" s="769"/>
      <c r="POU97" s="769"/>
      <c r="POV97" s="769"/>
      <c r="POW97" s="769"/>
      <c r="POX97" s="769"/>
      <c r="POY97" s="769"/>
      <c r="POZ97" s="769"/>
      <c r="PPA97" s="769"/>
      <c r="PPB97" s="769"/>
      <c r="PPC97" s="769"/>
      <c r="PPD97" s="769"/>
      <c r="PPE97" s="769"/>
      <c r="PPF97" s="769"/>
      <c r="PPG97" s="769"/>
      <c r="PPH97" s="769"/>
      <c r="PPI97" s="769"/>
      <c r="PPJ97" s="769"/>
      <c r="PPK97" s="769"/>
      <c r="PPL97" s="769"/>
      <c r="PPM97" s="769"/>
      <c r="PPN97" s="769"/>
      <c r="PPO97" s="769"/>
      <c r="PPP97" s="769"/>
      <c r="PPQ97" s="769"/>
      <c r="PPR97" s="769"/>
      <c r="PPS97" s="769"/>
      <c r="PPT97" s="769"/>
      <c r="PPU97" s="769"/>
      <c r="PPV97" s="769"/>
      <c r="PPW97" s="769"/>
      <c r="PPX97" s="769"/>
      <c r="PPY97" s="769"/>
      <c r="PPZ97" s="769"/>
      <c r="PQA97" s="769"/>
      <c r="PQB97" s="769"/>
      <c r="PQC97" s="769"/>
      <c r="PQD97" s="769"/>
      <c r="PQE97" s="769"/>
      <c r="PQF97" s="769"/>
      <c r="PQG97" s="769"/>
      <c r="PQH97" s="769"/>
      <c r="PQI97" s="769"/>
      <c r="PQJ97" s="769"/>
      <c r="PQK97" s="769"/>
      <c r="PQL97" s="769"/>
      <c r="PQM97" s="769"/>
      <c r="PQN97" s="769"/>
      <c r="PQO97" s="769"/>
      <c r="PQP97" s="769"/>
      <c r="PQQ97" s="769"/>
      <c r="PQR97" s="769"/>
      <c r="PQS97" s="769"/>
      <c r="PQT97" s="769"/>
      <c r="PQU97" s="769"/>
      <c r="PQV97" s="769"/>
      <c r="PQW97" s="769"/>
      <c r="PQX97" s="769"/>
      <c r="PQY97" s="769"/>
      <c r="PQZ97" s="769"/>
      <c r="PRA97" s="769"/>
      <c r="PRB97" s="769"/>
      <c r="PRC97" s="769"/>
      <c r="PRD97" s="769"/>
      <c r="PRE97" s="769"/>
      <c r="PRF97" s="769"/>
      <c r="PRG97" s="769"/>
      <c r="PRH97" s="769"/>
      <c r="PRI97" s="769"/>
      <c r="PRJ97" s="769"/>
      <c r="PRK97" s="769"/>
      <c r="PRL97" s="769"/>
      <c r="PRM97" s="769"/>
      <c r="PRN97" s="769"/>
      <c r="PRO97" s="769"/>
      <c r="PRP97" s="769"/>
      <c r="PRQ97" s="769"/>
      <c r="PRR97" s="769"/>
      <c r="PRS97" s="769"/>
      <c r="PRT97" s="769"/>
      <c r="PRU97" s="769"/>
      <c r="PRV97" s="769"/>
      <c r="PRW97" s="769"/>
      <c r="PRX97" s="769"/>
      <c r="PRY97" s="769"/>
      <c r="PRZ97" s="769"/>
      <c r="PSA97" s="769"/>
      <c r="PSB97" s="769"/>
      <c r="PSC97" s="769"/>
      <c r="PSD97" s="769"/>
      <c r="PSE97" s="769"/>
      <c r="PSF97" s="769"/>
      <c r="PSG97" s="769"/>
      <c r="PSH97" s="769"/>
      <c r="PSI97" s="769"/>
      <c r="PSJ97" s="769"/>
      <c r="PSK97" s="769"/>
      <c r="PSL97" s="769"/>
      <c r="PSM97" s="769"/>
      <c r="PSN97" s="769"/>
      <c r="PSO97" s="769"/>
      <c r="PSP97" s="769"/>
      <c r="PSQ97" s="769"/>
      <c r="PSR97" s="769"/>
      <c r="PSS97" s="769"/>
      <c r="PST97" s="769"/>
      <c r="PSU97" s="769"/>
      <c r="PSV97" s="769"/>
      <c r="PSW97" s="769"/>
      <c r="PSX97" s="769"/>
      <c r="PSY97" s="769"/>
      <c r="PSZ97" s="769"/>
      <c r="PTA97" s="769"/>
      <c r="PTB97" s="769"/>
      <c r="PTC97" s="769"/>
      <c r="PTD97" s="769"/>
      <c r="PTE97" s="769"/>
      <c r="PTF97" s="769"/>
      <c r="PTG97" s="769"/>
      <c r="PTH97" s="769"/>
      <c r="PTI97" s="769"/>
      <c r="PTJ97" s="769"/>
      <c r="PTK97" s="769"/>
      <c r="PTL97" s="769"/>
      <c r="PTM97" s="769"/>
      <c r="PTN97" s="769"/>
      <c r="PTO97" s="769"/>
      <c r="PTP97" s="769"/>
      <c r="PTQ97" s="769"/>
      <c r="PTR97" s="769"/>
      <c r="PTS97" s="769"/>
      <c r="PTT97" s="769"/>
      <c r="PTU97" s="769"/>
      <c r="PTV97" s="769"/>
      <c r="PTW97" s="769"/>
      <c r="PTX97" s="769"/>
      <c r="PTY97" s="769"/>
      <c r="PTZ97" s="769"/>
      <c r="PUA97" s="769"/>
      <c r="PUB97" s="769"/>
      <c r="PUC97" s="769"/>
      <c r="PUD97" s="769"/>
      <c r="PUE97" s="769"/>
      <c r="PUF97" s="769"/>
      <c r="PUG97" s="769"/>
      <c r="PUH97" s="769"/>
      <c r="PUI97" s="769"/>
      <c r="PUJ97" s="769"/>
      <c r="PUK97" s="769"/>
      <c r="PUL97" s="769"/>
      <c r="PUM97" s="769"/>
      <c r="PUN97" s="769"/>
      <c r="PUO97" s="769"/>
      <c r="PUP97" s="769"/>
      <c r="PUQ97" s="769"/>
      <c r="PUR97" s="769"/>
      <c r="PUS97" s="769"/>
      <c r="PUT97" s="769"/>
      <c r="PUU97" s="769"/>
      <c r="PUV97" s="769"/>
      <c r="PUW97" s="769"/>
      <c r="PUX97" s="769"/>
      <c r="PUY97" s="769"/>
      <c r="PUZ97" s="769"/>
      <c r="PVA97" s="769"/>
      <c r="PVB97" s="769"/>
      <c r="PVC97" s="769"/>
      <c r="PVD97" s="769"/>
      <c r="PVE97" s="769"/>
      <c r="PVF97" s="769"/>
      <c r="PVG97" s="769"/>
      <c r="PVH97" s="769"/>
      <c r="PVI97" s="769"/>
      <c r="PVJ97" s="769"/>
      <c r="PVK97" s="769"/>
      <c r="PVL97" s="769"/>
      <c r="PVM97" s="769"/>
      <c r="PVN97" s="769"/>
      <c r="PVO97" s="769"/>
      <c r="PVP97" s="769"/>
      <c r="PVQ97" s="769"/>
      <c r="PVR97" s="769"/>
      <c r="PVS97" s="769"/>
      <c r="PVT97" s="769"/>
      <c r="PVU97" s="769"/>
      <c r="PVV97" s="769"/>
      <c r="PVW97" s="769"/>
      <c r="PVX97" s="769"/>
      <c r="PVY97" s="769"/>
      <c r="PVZ97" s="769"/>
      <c r="PWA97" s="769"/>
      <c r="PWB97" s="769"/>
      <c r="PWC97" s="769"/>
      <c r="PWD97" s="769"/>
      <c r="PWE97" s="769"/>
      <c r="PWF97" s="769"/>
      <c r="PWG97" s="769"/>
      <c r="PWH97" s="769"/>
      <c r="PWI97" s="769"/>
      <c r="PWJ97" s="769"/>
      <c r="PWK97" s="769"/>
      <c r="PWL97" s="769"/>
      <c r="PWM97" s="769"/>
      <c r="PWN97" s="769"/>
      <c r="PWO97" s="769"/>
      <c r="PWP97" s="769"/>
      <c r="PWQ97" s="769"/>
      <c r="PWR97" s="769"/>
      <c r="PWS97" s="769"/>
      <c r="PWT97" s="769"/>
      <c r="PWU97" s="769"/>
      <c r="PWV97" s="769"/>
      <c r="PWW97" s="769"/>
      <c r="PWX97" s="769"/>
      <c r="PWY97" s="769"/>
      <c r="PWZ97" s="769"/>
      <c r="PXA97" s="769"/>
      <c r="PXB97" s="769"/>
      <c r="PXC97" s="769"/>
      <c r="PXD97" s="769"/>
      <c r="PXE97" s="769"/>
      <c r="PXF97" s="769"/>
      <c r="PXG97" s="769"/>
      <c r="PXH97" s="769"/>
      <c r="PXI97" s="769"/>
      <c r="PXJ97" s="769"/>
      <c r="PXK97" s="769"/>
      <c r="PXL97" s="769"/>
      <c r="PXM97" s="769"/>
      <c r="PXN97" s="769"/>
      <c r="PXO97" s="769"/>
      <c r="PXP97" s="769"/>
      <c r="PXQ97" s="769"/>
      <c r="PXR97" s="769"/>
      <c r="PXS97" s="769"/>
      <c r="PXT97" s="769"/>
      <c r="PXU97" s="769"/>
      <c r="PXV97" s="769"/>
      <c r="PXW97" s="769"/>
      <c r="PXX97" s="769"/>
      <c r="PXY97" s="769"/>
      <c r="PXZ97" s="769"/>
      <c r="PYA97" s="769"/>
      <c r="PYB97" s="769"/>
      <c r="PYC97" s="769"/>
      <c r="PYD97" s="769"/>
      <c r="PYE97" s="769"/>
      <c r="PYF97" s="769"/>
      <c r="PYG97" s="769"/>
      <c r="PYH97" s="769"/>
      <c r="PYI97" s="769"/>
      <c r="PYJ97" s="769"/>
      <c r="PYK97" s="769"/>
      <c r="PYL97" s="769"/>
      <c r="PYM97" s="769"/>
      <c r="PYN97" s="769"/>
      <c r="PYO97" s="769"/>
      <c r="PYP97" s="769"/>
      <c r="PYQ97" s="769"/>
      <c r="PYR97" s="769"/>
      <c r="PYS97" s="769"/>
      <c r="PYT97" s="769"/>
      <c r="PYU97" s="769"/>
      <c r="PYV97" s="769"/>
      <c r="PYW97" s="769"/>
      <c r="PYX97" s="769"/>
      <c r="PYY97" s="769"/>
      <c r="PYZ97" s="769"/>
      <c r="PZA97" s="769"/>
      <c r="PZB97" s="769"/>
      <c r="PZC97" s="769"/>
      <c r="PZD97" s="769"/>
      <c r="PZE97" s="769"/>
      <c r="PZF97" s="769"/>
      <c r="PZG97" s="769"/>
      <c r="PZH97" s="769"/>
      <c r="PZI97" s="769"/>
      <c r="PZJ97" s="769"/>
      <c r="PZK97" s="769"/>
      <c r="PZL97" s="769"/>
      <c r="PZM97" s="769"/>
      <c r="PZN97" s="769"/>
      <c r="PZO97" s="769"/>
      <c r="PZP97" s="769"/>
      <c r="PZQ97" s="769"/>
      <c r="PZR97" s="769"/>
      <c r="PZS97" s="769"/>
      <c r="PZT97" s="769"/>
      <c r="PZU97" s="769"/>
      <c r="PZV97" s="769"/>
      <c r="PZW97" s="769"/>
      <c r="PZX97" s="769"/>
      <c r="PZY97" s="769"/>
      <c r="PZZ97" s="769"/>
      <c r="QAA97" s="769"/>
      <c r="QAB97" s="769"/>
      <c r="QAC97" s="769"/>
      <c r="QAD97" s="769"/>
      <c r="QAE97" s="769"/>
      <c r="QAF97" s="769"/>
      <c r="QAG97" s="769"/>
      <c r="QAH97" s="769"/>
      <c r="QAI97" s="769"/>
      <c r="QAJ97" s="769"/>
      <c r="QAK97" s="769"/>
      <c r="QAL97" s="769"/>
      <c r="QAM97" s="769"/>
      <c r="QAN97" s="769"/>
      <c r="QAO97" s="769"/>
      <c r="QAP97" s="769"/>
      <c r="QAQ97" s="769"/>
      <c r="QAR97" s="769"/>
      <c r="QAS97" s="769"/>
      <c r="QAT97" s="769"/>
      <c r="QAU97" s="769"/>
      <c r="QAV97" s="769"/>
      <c r="QAW97" s="769"/>
      <c r="QAX97" s="769"/>
      <c r="QAY97" s="769"/>
      <c r="QAZ97" s="769"/>
      <c r="QBA97" s="769"/>
      <c r="QBB97" s="769"/>
      <c r="QBC97" s="769"/>
      <c r="QBD97" s="769"/>
      <c r="QBE97" s="769"/>
      <c r="QBF97" s="769"/>
      <c r="QBG97" s="769"/>
      <c r="QBH97" s="769"/>
      <c r="QBI97" s="769"/>
      <c r="QBJ97" s="769"/>
      <c r="QBK97" s="769"/>
      <c r="QBL97" s="769"/>
      <c r="QBM97" s="769"/>
      <c r="QBN97" s="769"/>
      <c r="QBO97" s="769"/>
      <c r="QBP97" s="769"/>
      <c r="QBQ97" s="769"/>
      <c r="QBR97" s="769"/>
      <c r="QBS97" s="769"/>
      <c r="QBT97" s="769"/>
      <c r="QBU97" s="769"/>
      <c r="QBV97" s="769"/>
      <c r="QBW97" s="769"/>
      <c r="QBX97" s="769"/>
      <c r="QBY97" s="769"/>
      <c r="QBZ97" s="769"/>
      <c r="QCA97" s="769"/>
      <c r="QCB97" s="769"/>
      <c r="QCC97" s="769"/>
      <c r="QCD97" s="769"/>
      <c r="QCE97" s="769"/>
      <c r="QCF97" s="769"/>
      <c r="QCG97" s="769"/>
      <c r="QCH97" s="769"/>
      <c r="QCI97" s="769"/>
      <c r="QCJ97" s="769"/>
      <c r="QCK97" s="769"/>
      <c r="QCL97" s="769"/>
      <c r="QCM97" s="769"/>
      <c r="QCN97" s="769"/>
      <c r="QCO97" s="769"/>
      <c r="QCP97" s="769"/>
      <c r="QCQ97" s="769"/>
      <c r="QCR97" s="769"/>
      <c r="QCS97" s="769"/>
      <c r="QCT97" s="769"/>
      <c r="QCU97" s="769"/>
      <c r="QCV97" s="769"/>
      <c r="QCW97" s="769"/>
      <c r="QCX97" s="769"/>
      <c r="QCY97" s="769"/>
      <c r="QCZ97" s="769"/>
      <c r="QDA97" s="769"/>
      <c r="QDB97" s="769"/>
      <c r="QDC97" s="769"/>
      <c r="QDD97" s="769"/>
      <c r="QDE97" s="769"/>
      <c r="QDF97" s="769"/>
      <c r="QDG97" s="769"/>
      <c r="QDH97" s="769"/>
      <c r="QDI97" s="769"/>
      <c r="QDJ97" s="769"/>
      <c r="QDK97" s="769"/>
      <c r="QDL97" s="769"/>
      <c r="QDM97" s="769"/>
      <c r="QDN97" s="769"/>
      <c r="QDO97" s="769"/>
      <c r="QDP97" s="769"/>
      <c r="QDQ97" s="769"/>
      <c r="QDR97" s="769"/>
      <c r="QDS97" s="769"/>
      <c r="QDT97" s="769"/>
      <c r="QDU97" s="769"/>
      <c r="QDV97" s="769"/>
      <c r="QDW97" s="769"/>
      <c r="QDX97" s="769"/>
      <c r="QDY97" s="769"/>
      <c r="QDZ97" s="769"/>
      <c r="QEA97" s="769"/>
      <c r="QEB97" s="769"/>
      <c r="QEC97" s="769"/>
      <c r="QED97" s="769"/>
      <c r="QEE97" s="769"/>
      <c r="QEF97" s="769"/>
      <c r="QEG97" s="769"/>
      <c r="QEH97" s="769"/>
      <c r="QEI97" s="769"/>
      <c r="QEJ97" s="769"/>
      <c r="QEK97" s="769"/>
      <c r="QEL97" s="769"/>
      <c r="QEM97" s="769"/>
      <c r="QEN97" s="769"/>
      <c r="QEO97" s="769"/>
      <c r="QEP97" s="769"/>
      <c r="QEQ97" s="769"/>
      <c r="QER97" s="769"/>
      <c r="QES97" s="769"/>
      <c r="QET97" s="769"/>
      <c r="QEU97" s="769"/>
      <c r="QEV97" s="769"/>
      <c r="QEW97" s="769"/>
      <c r="QEX97" s="769"/>
      <c r="QEY97" s="769"/>
      <c r="QEZ97" s="769"/>
      <c r="QFA97" s="769"/>
      <c r="QFB97" s="769"/>
      <c r="QFC97" s="769"/>
      <c r="QFD97" s="769"/>
      <c r="QFE97" s="769"/>
      <c r="QFF97" s="769"/>
      <c r="QFG97" s="769"/>
      <c r="QFH97" s="769"/>
      <c r="QFI97" s="769"/>
      <c r="QFJ97" s="769"/>
      <c r="QFK97" s="769"/>
      <c r="QFL97" s="769"/>
      <c r="QFM97" s="769"/>
      <c r="QFN97" s="769"/>
      <c r="QFO97" s="769"/>
      <c r="QFP97" s="769"/>
      <c r="QFQ97" s="769"/>
      <c r="QFR97" s="769"/>
      <c r="QFS97" s="769"/>
      <c r="QFT97" s="769"/>
      <c r="QFU97" s="769"/>
      <c r="QFV97" s="769"/>
      <c r="QFW97" s="769"/>
      <c r="QFX97" s="769"/>
      <c r="QFY97" s="769"/>
      <c r="QFZ97" s="769"/>
      <c r="QGA97" s="769"/>
      <c r="QGB97" s="769"/>
      <c r="QGC97" s="769"/>
      <c r="QGD97" s="769"/>
      <c r="QGE97" s="769"/>
      <c r="QGF97" s="769"/>
      <c r="QGG97" s="769"/>
      <c r="QGH97" s="769"/>
      <c r="QGI97" s="769"/>
      <c r="QGJ97" s="769"/>
      <c r="QGK97" s="769"/>
      <c r="QGL97" s="769"/>
      <c r="QGM97" s="769"/>
      <c r="QGN97" s="769"/>
      <c r="QGO97" s="769"/>
      <c r="QGP97" s="769"/>
      <c r="QGQ97" s="769"/>
      <c r="QGR97" s="769"/>
      <c r="QGS97" s="769"/>
      <c r="QGT97" s="769"/>
      <c r="QGU97" s="769"/>
      <c r="QGV97" s="769"/>
      <c r="QGW97" s="769"/>
      <c r="QGX97" s="769"/>
      <c r="QGY97" s="769"/>
      <c r="QGZ97" s="769"/>
      <c r="QHA97" s="769"/>
      <c r="QHB97" s="769"/>
      <c r="QHC97" s="769"/>
      <c r="QHD97" s="769"/>
      <c r="QHE97" s="769"/>
      <c r="QHF97" s="769"/>
      <c r="QHG97" s="769"/>
      <c r="QHH97" s="769"/>
      <c r="QHI97" s="769"/>
      <c r="QHJ97" s="769"/>
      <c r="QHK97" s="769"/>
      <c r="QHL97" s="769"/>
      <c r="QHM97" s="769"/>
      <c r="QHN97" s="769"/>
      <c r="QHO97" s="769"/>
      <c r="QHP97" s="769"/>
      <c r="QHQ97" s="769"/>
      <c r="QHR97" s="769"/>
      <c r="QHS97" s="769"/>
      <c r="QHT97" s="769"/>
      <c r="QHU97" s="769"/>
      <c r="QHV97" s="769"/>
      <c r="QHW97" s="769"/>
      <c r="QHX97" s="769"/>
      <c r="QHY97" s="769"/>
      <c r="QHZ97" s="769"/>
      <c r="QIA97" s="769"/>
      <c r="QIB97" s="769"/>
      <c r="QIC97" s="769"/>
      <c r="QID97" s="769"/>
      <c r="QIE97" s="769"/>
      <c r="QIF97" s="769"/>
      <c r="QIG97" s="769"/>
      <c r="QIH97" s="769"/>
      <c r="QII97" s="769"/>
      <c r="QIJ97" s="769"/>
      <c r="QIK97" s="769"/>
      <c r="QIL97" s="769"/>
      <c r="QIM97" s="769"/>
      <c r="QIN97" s="769"/>
      <c r="QIO97" s="769"/>
      <c r="QIP97" s="769"/>
      <c r="QIQ97" s="769"/>
      <c r="QIR97" s="769"/>
      <c r="QIS97" s="769"/>
      <c r="QIT97" s="769"/>
      <c r="QIU97" s="769"/>
      <c r="QIV97" s="769"/>
      <c r="QIW97" s="769"/>
      <c r="QIX97" s="769"/>
      <c r="QIY97" s="769"/>
      <c r="QIZ97" s="769"/>
      <c r="QJA97" s="769"/>
      <c r="QJB97" s="769"/>
      <c r="QJC97" s="769"/>
      <c r="QJD97" s="769"/>
      <c r="QJE97" s="769"/>
      <c r="QJF97" s="769"/>
      <c r="QJG97" s="769"/>
      <c r="QJH97" s="769"/>
      <c r="QJI97" s="769"/>
      <c r="QJJ97" s="769"/>
      <c r="QJK97" s="769"/>
      <c r="QJL97" s="769"/>
      <c r="QJM97" s="769"/>
      <c r="QJN97" s="769"/>
      <c r="QJO97" s="769"/>
      <c r="QJP97" s="769"/>
      <c r="QJQ97" s="769"/>
      <c r="QJR97" s="769"/>
      <c r="QJS97" s="769"/>
      <c r="QJT97" s="769"/>
      <c r="QJU97" s="769"/>
      <c r="QJV97" s="769"/>
      <c r="QJW97" s="769"/>
      <c r="QJX97" s="769"/>
      <c r="QJY97" s="769"/>
      <c r="QJZ97" s="769"/>
      <c r="QKA97" s="769"/>
      <c r="QKB97" s="769"/>
      <c r="QKC97" s="769"/>
      <c r="QKD97" s="769"/>
      <c r="QKE97" s="769"/>
      <c r="QKF97" s="769"/>
      <c r="QKG97" s="769"/>
      <c r="QKH97" s="769"/>
      <c r="QKI97" s="769"/>
      <c r="QKJ97" s="769"/>
      <c r="QKK97" s="769"/>
      <c r="QKL97" s="769"/>
      <c r="QKM97" s="769"/>
      <c r="QKN97" s="769"/>
      <c r="QKO97" s="769"/>
      <c r="QKP97" s="769"/>
      <c r="QKQ97" s="769"/>
      <c r="QKR97" s="769"/>
      <c r="QKS97" s="769"/>
      <c r="QKT97" s="769"/>
      <c r="QKU97" s="769"/>
      <c r="QKV97" s="769"/>
      <c r="QKW97" s="769"/>
      <c r="QKX97" s="769"/>
      <c r="QKY97" s="769"/>
      <c r="QKZ97" s="769"/>
      <c r="QLA97" s="769"/>
      <c r="QLB97" s="769"/>
      <c r="QLC97" s="769"/>
      <c r="QLD97" s="769"/>
      <c r="QLE97" s="769"/>
      <c r="QLF97" s="769"/>
      <c r="QLG97" s="769"/>
      <c r="QLH97" s="769"/>
      <c r="QLI97" s="769"/>
      <c r="QLJ97" s="769"/>
      <c r="QLK97" s="769"/>
      <c r="QLL97" s="769"/>
      <c r="QLM97" s="769"/>
      <c r="QLN97" s="769"/>
      <c r="QLO97" s="769"/>
      <c r="QLP97" s="769"/>
      <c r="QLQ97" s="769"/>
      <c r="QLR97" s="769"/>
      <c r="QLS97" s="769"/>
      <c r="QLT97" s="769"/>
      <c r="QLU97" s="769"/>
      <c r="QLV97" s="769"/>
      <c r="QLW97" s="769"/>
      <c r="QLX97" s="769"/>
      <c r="QLY97" s="769"/>
      <c r="QLZ97" s="769"/>
      <c r="QMA97" s="769"/>
      <c r="QMB97" s="769"/>
      <c r="QMC97" s="769"/>
      <c r="QMD97" s="769"/>
      <c r="QME97" s="769"/>
      <c r="QMF97" s="769"/>
      <c r="QMG97" s="769"/>
      <c r="QMH97" s="769"/>
      <c r="QMI97" s="769"/>
      <c r="QMJ97" s="769"/>
      <c r="QMK97" s="769"/>
      <c r="QML97" s="769"/>
      <c r="QMM97" s="769"/>
      <c r="QMN97" s="769"/>
      <c r="QMO97" s="769"/>
      <c r="QMP97" s="769"/>
      <c r="QMQ97" s="769"/>
      <c r="QMR97" s="769"/>
      <c r="QMS97" s="769"/>
      <c r="QMT97" s="769"/>
      <c r="QMU97" s="769"/>
      <c r="QMV97" s="769"/>
      <c r="QMW97" s="769"/>
      <c r="QMX97" s="769"/>
      <c r="QMY97" s="769"/>
      <c r="QMZ97" s="769"/>
      <c r="QNA97" s="769"/>
      <c r="QNB97" s="769"/>
      <c r="QNC97" s="769"/>
      <c r="QND97" s="769"/>
      <c r="QNE97" s="769"/>
      <c r="QNF97" s="769"/>
      <c r="QNG97" s="769"/>
      <c r="QNH97" s="769"/>
      <c r="QNI97" s="769"/>
      <c r="QNJ97" s="769"/>
      <c r="QNK97" s="769"/>
      <c r="QNL97" s="769"/>
      <c r="QNM97" s="769"/>
      <c r="QNN97" s="769"/>
      <c r="QNO97" s="769"/>
      <c r="QNP97" s="769"/>
      <c r="QNQ97" s="769"/>
      <c r="QNR97" s="769"/>
      <c r="QNS97" s="769"/>
      <c r="QNT97" s="769"/>
      <c r="QNU97" s="769"/>
      <c r="QNV97" s="769"/>
      <c r="QNW97" s="769"/>
      <c r="QNX97" s="769"/>
      <c r="QNY97" s="769"/>
      <c r="QNZ97" s="769"/>
      <c r="QOA97" s="769"/>
      <c r="QOB97" s="769"/>
      <c r="QOC97" s="769"/>
      <c r="QOD97" s="769"/>
      <c r="QOE97" s="769"/>
      <c r="QOF97" s="769"/>
      <c r="QOG97" s="769"/>
      <c r="QOH97" s="769"/>
      <c r="QOI97" s="769"/>
      <c r="QOJ97" s="769"/>
      <c r="QOK97" s="769"/>
      <c r="QOL97" s="769"/>
      <c r="QOM97" s="769"/>
      <c r="QON97" s="769"/>
      <c r="QOO97" s="769"/>
      <c r="QOP97" s="769"/>
      <c r="QOQ97" s="769"/>
      <c r="QOR97" s="769"/>
      <c r="QOS97" s="769"/>
      <c r="QOT97" s="769"/>
      <c r="QOU97" s="769"/>
      <c r="QOV97" s="769"/>
      <c r="QOW97" s="769"/>
      <c r="QOX97" s="769"/>
      <c r="QOY97" s="769"/>
      <c r="QOZ97" s="769"/>
      <c r="QPA97" s="769"/>
      <c r="QPB97" s="769"/>
      <c r="QPC97" s="769"/>
      <c r="QPD97" s="769"/>
      <c r="QPE97" s="769"/>
      <c r="QPF97" s="769"/>
      <c r="QPG97" s="769"/>
      <c r="QPH97" s="769"/>
      <c r="QPI97" s="769"/>
      <c r="QPJ97" s="769"/>
      <c r="QPK97" s="769"/>
      <c r="QPL97" s="769"/>
      <c r="QPM97" s="769"/>
      <c r="QPN97" s="769"/>
      <c r="QPO97" s="769"/>
      <c r="QPP97" s="769"/>
      <c r="QPQ97" s="769"/>
      <c r="QPR97" s="769"/>
      <c r="QPS97" s="769"/>
      <c r="QPT97" s="769"/>
      <c r="QPU97" s="769"/>
      <c r="QPV97" s="769"/>
      <c r="QPW97" s="769"/>
      <c r="QPX97" s="769"/>
      <c r="QPY97" s="769"/>
      <c r="QPZ97" s="769"/>
      <c r="QQA97" s="769"/>
      <c r="QQB97" s="769"/>
      <c r="QQC97" s="769"/>
      <c r="QQD97" s="769"/>
      <c r="QQE97" s="769"/>
      <c r="QQF97" s="769"/>
      <c r="QQG97" s="769"/>
      <c r="QQH97" s="769"/>
      <c r="QQI97" s="769"/>
      <c r="QQJ97" s="769"/>
      <c r="QQK97" s="769"/>
      <c r="QQL97" s="769"/>
      <c r="QQM97" s="769"/>
      <c r="QQN97" s="769"/>
      <c r="QQO97" s="769"/>
      <c r="QQP97" s="769"/>
      <c r="QQQ97" s="769"/>
      <c r="QQR97" s="769"/>
      <c r="QQS97" s="769"/>
      <c r="QQT97" s="769"/>
      <c r="QQU97" s="769"/>
      <c r="QQV97" s="769"/>
      <c r="QQW97" s="769"/>
      <c r="QQX97" s="769"/>
      <c r="QQY97" s="769"/>
      <c r="QQZ97" s="769"/>
      <c r="QRA97" s="769"/>
      <c r="QRB97" s="769"/>
      <c r="QRC97" s="769"/>
      <c r="QRD97" s="769"/>
      <c r="QRE97" s="769"/>
      <c r="QRF97" s="769"/>
      <c r="QRG97" s="769"/>
      <c r="QRH97" s="769"/>
      <c r="QRI97" s="769"/>
      <c r="QRJ97" s="769"/>
      <c r="QRK97" s="769"/>
      <c r="QRL97" s="769"/>
      <c r="QRM97" s="769"/>
      <c r="QRN97" s="769"/>
      <c r="QRO97" s="769"/>
      <c r="QRP97" s="769"/>
      <c r="QRQ97" s="769"/>
      <c r="QRR97" s="769"/>
      <c r="QRS97" s="769"/>
      <c r="QRT97" s="769"/>
      <c r="QRU97" s="769"/>
      <c r="QRV97" s="769"/>
      <c r="QRW97" s="769"/>
      <c r="QRX97" s="769"/>
      <c r="QRY97" s="769"/>
      <c r="QRZ97" s="769"/>
      <c r="QSA97" s="769"/>
      <c r="QSB97" s="769"/>
      <c r="QSC97" s="769"/>
      <c r="QSD97" s="769"/>
      <c r="QSE97" s="769"/>
      <c r="QSF97" s="769"/>
      <c r="QSG97" s="769"/>
      <c r="QSH97" s="769"/>
      <c r="QSI97" s="769"/>
      <c r="QSJ97" s="769"/>
      <c r="QSK97" s="769"/>
      <c r="QSL97" s="769"/>
      <c r="QSM97" s="769"/>
      <c r="QSN97" s="769"/>
      <c r="QSO97" s="769"/>
      <c r="QSP97" s="769"/>
      <c r="QSQ97" s="769"/>
      <c r="QSR97" s="769"/>
      <c r="QSS97" s="769"/>
      <c r="QST97" s="769"/>
      <c r="QSU97" s="769"/>
      <c r="QSV97" s="769"/>
      <c r="QSW97" s="769"/>
      <c r="QSX97" s="769"/>
      <c r="QSY97" s="769"/>
      <c r="QSZ97" s="769"/>
      <c r="QTA97" s="769"/>
      <c r="QTB97" s="769"/>
      <c r="QTC97" s="769"/>
      <c r="QTD97" s="769"/>
      <c r="QTE97" s="769"/>
      <c r="QTF97" s="769"/>
      <c r="QTG97" s="769"/>
      <c r="QTH97" s="769"/>
      <c r="QTI97" s="769"/>
      <c r="QTJ97" s="769"/>
      <c r="QTK97" s="769"/>
      <c r="QTL97" s="769"/>
      <c r="QTM97" s="769"/>
      <c r="QTN97" s="769"/>
      <c r="QTO97" s="769"/>
      <c r="QTP97" s="769"/>
      <c r="QTQ97" s="769"/>
      <c r="QTR97" s="769"/>
      <c r="QTS97" s="769"/>
      <c r="QTT97" s="769"/>
      <c r="QTU97" s="769"/>
      <c r="QTV97" s="769"/>
      <c r="QTW97" s="769"/>
      <c r="QTX97" s="769"/>
      <c r="QTY97" s="769"/>
      <c r="QTZ97" s="769"/>
      <c r="QUA97" s="769"/>
      <c r="QUB97" s="769"/>
      <c r="QUC97" s="769"/>
      <c r="QUD97" s="769"/>
      <c r="QUE97" s="769"/>
      <c r="QUF97" s="769"/>
      <c r="QUG97" s="769"/>
      <c r="QUH97" s="769"/>
      <c r="QUI97" s="769"/>
      <c r="QUJ97" s="769"/>
      <c r="QUK97" s="769"/>
      <c r="QUL97" s="769"/>
      <c r="QUM97" s="769"/>
      <c r="QUN97" s="769"/>
      <c r="QUO97" s="769"/>
      <c r="QUP97" s="769"/>
      <c r="QUQ97" s="769"/>
      <c r="QUR97" s="769"/>
      <c r="QUS97" s="769"/>
      <c r="QUT97" s="769"/>
      <c r="QUU97" s="769"/>
      <c r="QUV97" s="769"/>
      <c r="QUW97" s="769"/>
      <c r="QUX97" s="769"/>
      <c r="QUY97" s="769"/>
      <c r="QUZ97" s="769"/>
      <c r="QVA97" s="769"/>
      <c r="QVB97" s="769"/>
      <c r="QVC97" s="769"/>
      <c r="QVD97" s="769"/>
      <c r="QVE97" s="769"/>
      <c r="QVF97" s="769"/>
      <c r="QVG97" s="769"/>
      <c r="QVH97" s="769"/>
      <c r="QVI97" s="769"/>
      <c r="QVJ97" s="769"/>
      <c r="QVK97" s="769"/>
      <c r="QVL97" s="769"/>
      <c r="QVM97" s="769"/>
      <c r="QVN97" s="769"/>
      <c r="QVO97" s="769"/>
      <c r="QVP97" s="769"/>
      <c r="QVQ97" s="769"/>
      <c r="QVR97" s="769"/>
      <c r="QVS97" s="769"/>
      <c r="QVT97" s="769"/>
      <c r="QVU97" s="769"/>
      <c r="QVV97" s="769"/>
      <c r="QVW97" s="769"/>
      <c r="QVX97" s="769"/>
      <c r="QVY97" s="769"/>
      <c r="QVZ97" s="769"/>
      <c r="QWA97" s="769"/>
      <c r="QWB97" s="769"/>
      <c r="QWC97" s="769"/>
      <c r="QWD97" s="769"/>
      <c r="QWE97" s="769"/>
      <c r="QWF97" s="769"/>
      <c r="QWG97" s="769"/>
      <c r="QWH97" s="769"/>
      <c r="QWI97" s="769"/>
      <c r="QWJ97" s="769"/>
      <c r="QWK97" s="769"/>
      <c r="QWL97" s="769"/>
      <c r="QWM97" s="769"/>
      <c r="QWN97" s="769"/>
      <c r="QWO97" s="769"/>
      <c r="QWP97" s="769"/>
      <c r="QWQ97" s="769"/>
      <c r="QWR97" s="769"/>
      <c r="QWS97" s="769"/>
      <c r="QWT97" s="769"/>
      <c r="QWU97" s="769"/>
      <c r="QWV97" s="769"/>
      <c r="QWW97" s="769"/>
      <c r="QWX97" s="769"/>
      <c r="QWY97" s="769"/>
      <c r="QWZ97" s="769"/>
      <c r="QXA97" s="769"/>
      <c r="QXB97" s="769"/>
      <c r="QXC97" s="769"/>
      <c r="QXD97" s="769"/>
      <c r="QXE97" s="769"/>
      <c r="QXF97" s="769"/>
      <c r="QXG97" s="769"/>
      <c r="QXH97" s="769"/>
      <c r="QXI97" s="769"/>
      <c r="QXJ97" s="769"/>
      <c r="QXK97" s="769"/>
      <c r="QXL97" s="769"/>
      <c r="QXM97" s="769"/>
      <c r="QXN97" s="769"/>
      <c r="QXO97" s="769"/>
      <c r="QXP97" s="769"/>
      <c r="QXQ97" s="769"/>
      <c r="QXR97" s="769"/>
      <c r="QXS97" s="769"/>
      <c r="QXT97" s="769"/>
      <c r="QXU97" s="769"/>
      <c r="QXV97" s="769"/>
      <c r="QXW97" s="769"/>
      <c r="QXX97" s="769"/>
      <c r="QXY97" s="769"/>
      <c r="QXZ97" s="769"/>
      <c r="QYA97" s="769"/>
      <c r="QYB97" s="769"/>
      <c r="QYC97" s="769"/>
      <c r="QYD97" s="769"/>
      <c r="QYE97" s="769"/>
      <c r="QYF97" s="769"/>
      <c r="QYG97" s="769"/>
      <c r="QYH97" s="769"/>
      <c r="QYI97" s="769"/>
      <c r="QYJ97" s="769"/>
      <c r="QYK97" s="769"/>
      <c r="QYL97" s="769"/>
      <c r="QYM97" s="769"/>
      <c r="QYN97" s="769"/>
      <c r="QYO97" s="769"/>
      <c r="QYP97" s="769"/>
      <c r="QYQ97" s="769"/>
      <c r="QYR97" s="769"/>
      <c r="QYS97" s="769"/>
      <c r="QYT97" s="769"/>
      <c r="QYU97" s="769"/>
      <c r="QYV97" s="769"/>
      <c r="QYW97" s="769"/>
      <c r="QYX97" s="769"/>
      <c r="QYY97" s="769"/>
      <c r="QYZ97" s="769"/>
      <c r="QZA97" s="769"/>
      <c r="QZB97" s="769"/>
      <c r="QZC97" s="769"/>
      <c r="QZD97" s="769"/>
      <c r="QZE97" s="769"/>
      <c r="QZF97" s="769"/>
      <c r="QZG97" s="769"/>
      <c r="QZH97" s="769"/>
      <c r="QZI97" s="769"/>
      <c r="QZJ97" s="769"/>
      <c r="QZK97" s="769"/>
      <c r="QZL97" s="769"/>
      <c r="QZM97" s="769"/>
      <c r="QZN97" s="769"/>
      <c r="QZO97" s="769"/>
      <c r="QZP97" s="769"/>
      <c r="QZQ97" s="769"/>
      <c r="QZR97" s="769"/>
      <c r="QZS97" s="769"/>
      <c r="QZT97" s="769"/>
      <c r="QZU97" s="769"/>
      <c r="QZV97" s="769"/>
      <c r="QZW97" s="769"/>
      <c r="QZX97" s="769"/>
      <c r="QZY97" s="769"/>
      <c r="QZZ97" s="769"/>
      <c r="RAA97" s="769"/>
      <c r="RAB97" s="769"/>
      <c r="RAC97" s="769"/>
      <c r="RAD97" s="769"/>
      <c r="RAE97" s="769"/>
      <c r="RAF97" s="769"/>
      <c r="RAG97" s="769"/>
      <c r="RAH97" s="769"/>
      <c r="RAI97" s="769"/>
      <c r="RAJ97" s="769"/>
      <c r="RAK97" s="769"/>
      <c r="RAL97" s="769"/>
      <c r="RAM97" s="769"/>
      <c r="RAN97" s="769"/>
      <c r="RAO97" s="769"/>
      <c r="RAP97" s="769"/>
      <c r="RAQ97" s="769"/>
      <c r="RAR97" s="769"/>
      <c r="RAS97" s="769"/>
      <c r="RAT97" s="769"/>
      <c r="RAU97" s="769"/>
      <c r="RAV97" s="769"/>
      <c r="RAW97" s="769"/>
      <c r="RAX97" s="769"/>
      <c r="RAY97" s="769"/>
      <c r="RAZ97" s="769"/>
      <c r="RBA97" s="769"/>
      <c r="RBB97" s="769"/>
      <c r="RBC97" s="769"/>
      <c r="RBD97" s="769"/>
      <c r="RBE97" s="769"/>
      <c r="RBF97" s="769"/>
      <c r="RBG97" s="769"/>
      <c r="RBH97" s="769"/>
      <c r="RBI97" s="769"/>
      <c r="RBJ97" s="769"/>
      <c r="RBK97" s="769"/>
      <c r="RBL97" s="769"/>
      <c r="RBM97" s="769"/>
      <c r="RBN97" s="769"/>
      <c r="RBO97" s="769"/>
      <c r="RBP97" s="769"/>
      <c r="RBQ97" s="769"/>
      <c r="RBR97" s="769"/>
      <c r="RBS97" s="769"/>
      <c r="RBT97" s="769"/>
      <c r="RBU97" s="769"/>
      <c r="RBV97" s="769"/>
      <c r="RBW97" s="769"/>
      <c r="RBX97" s="769"/>
      <c r="RBY97" s="769"/>
      <c r="RBZ97" s="769"/>
      <c r="RCA97" s="769"/>
      <c r="RCB97" s="769"/>
      <c r="RCC97" s="769"/>
      <c r="RCD97" s="769"/>
      <c r="RCE97" s="769"/>
      <c r="RCF97" s="769"/>
      <c r="RCG97" s="769"/>
      <c r="RCH97" s="769"/>
      <c r="RCI97" s="769"/>
      <c r="RCJ97" s="769"/>
      <c r="RCK97" s="769"/>
      <c r="RCL97" s="769"/>
      <c r="RCM97" s="769"/>
      <c r="RCN97" s="769"/>
      <c r="RCO97" s="769"/>
      <c r="RCP97" s="769"/>
      <c r="RCQ97" s="769"/>
      <c r="RCR97" s="769"/>
      <c r="RCS97" s="769"/>
      <c r="RCT97" s="769"/>
      <c r="RCU97" s="769"/>
      <c r="RCV97" s="769"/>
      <c r="RCW97" s="769"/>
      <c r="RCX97" s="769"/>
      <c r="RCY97" s="769"/>
      <c r="RCZ97" s="769"/>
      <c r="RDA97" s="769"/>
      <c r="RDB97" s="769"/>
      <c r="RDC97" s="769"/>
      <c r="RDD97" s="769"/>
      <c r="RDE97" s="769"/>
      <c r="RDF97" s="769"/>
      <c r="RDG97" s="769"/>
      <c r="RDH97" s="769"/>
      <c r="RDI97" s="769"/>
      <c r="RDJ97" s="769"/>
      <c r="RDK97" s="769"/>
      <c r="RDL97" s="769"/>
      <c r="RDM97" s="769"/>
      <c r="RDN97" s="769"/>
      <c r="RDO97" s="769"/>
      <c r="RDP97" s="769"/>
      <c r="RDQ97" s="769"/>
      <c r="RDR97" s="769"/>
      <c r="RDS97" s="769"/>
      <c r="RDT97" s="769"/>
      <c r="RDU97" s="769"/>
      <c r="RDV97" s="769"/>
      <c r="RDW97" s="769"/>
      <c r="RDX97" s="769"/>
      <c r="RDY97" s="769"/>
      <c r="RDZ97" s="769"/>
      <c r="REA97" s="769"/>
      <c r="REB97" s="769"/>
      <c r="REC97" s="769"/>
      <c r="RED97" s="769"/>
      <c r="REE97" s="769"/>
      <c r="REF97" s="769"/>
      <c r="REG97" s="769"/>
      <c r="REH97" s="769"/>
      <c r="REI97" s="769"/>
      <c r="REJ97" s="769"/>
      <c r="REK97" s="769"/>
      <c r="REL97" s="769"/>
      <c r="REM97" s="769"/>
      <c r="REN97" s="769"/>
      <c r="REO97" s="769"/>
      <c r="REP97" s="769"/>
      <c r="REQ97" s="769"/>
      <c r="RER97" s="769"/>
      <c r="RES97" s="769"/>
      <c r="RET97" s="769"/>
      <c r="REU97" s="769"/>
      <c r="REV97" s="769"/>
      <c r="REW97" s="769"/>
      <c r="REX97" s="769"/>
      <c r="REY97" s="769"/>
      <c r="REZ97" s="769"/>
      <c r="RFA97" s="769"/>
      <c r="RFB97" s="769"/>
      <c r="RFC97" s="769"/>
      <c r="RFD97" s="769"/>
      <c r="RFE97" s="769"/>
      <c r="RFF97" s="769"/>
      <c r="RFG97" s="769"/>
      <c r="RFH97" s="769"/>
      <c r="RFI97" s="769"/>
      <c r="RFJ97" s="769"/>
      <c r="RFK97" s="769"/>
      <c r="RFL97" s="769"/>
      <c r="RFM97" s="769"/>
      <c r="RFN97" s="769"/>
      <c r="RFO97" s="769"/>
      <c r="RFP97" s="769"/>
      <c r="RFQ97" s="769"/>
      <c r="RFR97" s="769"/>
      <c r="RFS97" s="769"/>
      <c r="RFT97" s="769"/>
      <c r="RFU97" s="769"/>
      <c r="RFV97" s="769"/>
      <c r="RFW97" s="769"/>
      <c r="RFX97" s="769"/>
      <c r="RFY97" s="769"/>
      <c r="RFZ97" s="769"/>
      <c r="RGA97" s="769"/>
      <c r="RGB97" s="769"/>
      <c r="RGC97" s="769"/>
      <c r="RGD97" s="769"/>
      <c r="RGE97" s="769"/>
      <c r="RGF97" s="769"/>
      <c r="RGG97" s="769"/>
      <c r="RGH97" s="769"/>
      <c r="RGI97" s="769"/>
      <c r="RGJ97" s="769"/>
      <c r="RGK97" s="769"/>
      <c r="RGL97" s="769"/>
      <c r="RGM97" s="769"/>
      <c r="RGN97" s="769"/>
      <c r="RGO97" s="769"/>
      <c r="RGP97" s="769"/>
      <c r="RGQ97" s="769"/>
      <c r="RGR97" s="769"/>
      <c r="RGS97" s="769"/>
      <c r="RGT97" s="769"/>
      <c r="RGU97" s="769"/>
      <c r="RGV97" s="769"/>
      <c r="RGW97" s="769"/>
      <c r="RGX97" s="769"/>
      <c r="RGY97" s="769"/>
      <c r="RGZ97" s="769"/>
      <c r="RHA97" s="769"/>
      <c r="RHB97" s="769"/>
      <c r="RHC97" s="769"/>
      <c r="RHD97" s="769"/>
      <c r="RHE97" s="769"/>
      <c r="RHF97" s="769"/>
      <c r="RHG97" s="769"/>
      <c r="RHH97" s="769"/>
      <c r="RHI97" s="769"/>
      <c r="RHJ97" s="769"/>
      <c r="RHK97" s="769"/>
      <c r="RHL97" s="769"/>
      <c r="RHM97" s="769"/>
      <c r="RHN97" s="769"/>
      <c r="RHO97" s="769"/>
      <c r="RHP97" s="769"/>
      <c r="RHQ97" s="769"/>
      <c r="RHR97" s="769"/>
      <c r="RHS97" s="769"/>
      <c r="RHT97" s="769"/>
      <c r="RHU97" s="769"/>
      <c r="RHV97" s="769"/>
      <c r="RHW97" s="769"/>
      <c r="RHX97" s="769"/>
      <c r="RHY97" s="769"/>
      <c r="RHZ97" s="769"/>
      <c r="RIA97" s="769"/>
      <c r="RIB97" s="769"/>
      <c r="RIC97" s="769"/>
      <c r="RID97" s="769"/>
      <c r="RIE97" s="769"/>
      <c r="RIF97" s="769"/>
      <c r="RIG97" s="769"/>
      <c r="RIH97" s="769"/>
      <c r="RII97" s="769"/>
      <c r="RIJ97" s="769"/>
      <c r="RIK97" s="769"/>
      <c r="RIL97" s="769"/>
      <c r="RIM97" s="769"/>
      <c r="RIN97" s="769"/>
      <c r="RIO97" s="769"/>
      <c r="RIP97" s="769"/>
      <c r="RIQ97" s="769"/>
      <c r="RIR97" s="769"/>
      <c r="RIS97" s="769"/>
      <c r="RIT97" s="769"/>
      <c r="RIU97" s="769"/>
      <c r="RIV97" s="769"/>
      <c r="RIW97" s="769"/>
      <c r="RIX97" s="769"/>
      <c r="RIY97" s="769"/>
      <c r="RIZ97" s="769"/>
      <c r="RJA97" s="769"/>
      <c r="RJB97" s="769"/>
      <c r="RJC97" s="769"/>
      <c r="RJD97" s="769"/>
      <c r="RJE97" s="769"/>
      <c r="RJF97" s="769"/>
      <c r="RJG97" s="769"/>
      <c r="RJH97" s="769"/>
      <c r="RJI97" s="769"/>
      <c r="RJJ97" s="769"/>
      <c r="RJK97" s="769"/>
      <c r="RJL97" s="769"/>
      <c r="RJM97" s="769"/>
      <c r="RJN97" s="769"/>
      <c r="RJO97" s="769"/>
      <c r="RJP97" s="769"/>
      <c r="RJQ97" s="769"/>
      <c r="RJR97" s="769"/>
      <c r="RJS97" s="769"/>
      <c r="RJT97" s="769"/>
      <c r="RJU97" s="769"/>
      <c r="RJV97" s="769"/>
      <c r="RJW97" s="769"/>
      <c r="RJX97" s="769"/>
      <c r="RJY97" s="769"/>
      <c r="RJZ97" s="769"/>
      <c r="RKA97" s="769"/>
      <c r="RKB97" s="769"/>
      <c r="RKC97" s="769"/>
      <c r="RKD97" s="769"/>
      <c r="RKE97" s="769"/>
      <c r="RKF97" s="769"/>
      <c r="RKG97" s="769"/>
      <c r="RKH97" s="769"/>
      <c r="RKI97" s="769"/>
      <c r="RKJ97" s="769"/>
      <c r="RKK97" s="769"/>
      <c r="RKL97" s="769"/>
      <c r="RKM97" s="769"/>
      <c r="RKN97" s="769"/>
      <c r="RKO97" s="769"/>
      <c r="RKP97" s="769"/>
      <c r="RKQ97" s="769"/>
      <c r="RKR97" s="769"/>
      <c r="RKS97" s="769"/>
      <c r="RKT97" s="769"/>
      <c r="RKU97" s="769"/>
      <c r="RKV97" s="769"/>
      <c r="RKW97" s="769"/>
      <c r="RKX97" s="769"/>
      <c r="RKY97" s="769"/>
      <c r="RKZ97" s="769"/>
      <c r="RLA97" s="769"/>
      <c r="RLB97" s="769"/>
      <c r="RLC97" s="769"/>
      <c r="RLD97" s="769"/>
      <c r="RLE97" s="769"/>
      <c r="RLF97" s="769"/>
      <c r="RLG97" s="769"/>
      <c r="RLH97" s="769"/>
      <c r="RLI97" s="769"/>
      <c r="RLJ97" s="769"/>
      <c r="RLK97" s="769"/>
      <c r="RLL97" s="769"/>
      <c r="RLM97" s="769"/>
      <c r="RLN97" s="769"/>
      <c r="RLO97" s="769"/>
      <c r="RLP97" s="769"/>
      <c r="RLQ97" s="769"/>
      <c r="RLR97" s="769"/>
      <c r="RLS97" s="769"/>
      <c r="RLT97" s="769"/>
      <c r="RLU97" s="769"/>
      <c r="RLV97" s="769"/>
      <c r="RLW97" s="769"/>
      <c r="RLX97" s="769"/>
      <c r="RLY97" s="769"/>
      <c r="RLZ97" s="769"/>
      <c r="RMA97" s="769"/>
      <c r="RMB97" s="769"/>
      <c r="RMC97" s="769"/>
      <c r="RMD97" s="769"/>
      <c r="RME97" s="769"/>
      <c r="RMF97" s="769"/>
      <c r="RMG97" s="769"/>
      <c r="RMH97" s="769"/>
      <c r="RMI97" s="769"/>
      <c r="RMJ97" s="769"/>
      <c r="RMK97" s="769"/>
      <c r="RML97" s="769"/>
      <c r="RMM97" s="769"/>
      <c r="RMN97" s="769"/>
      <c r="RMO97" s="769"/>
      <c r="RMP97" s="769"/>
      <c r="RMQ97" s="769"/>
      <c r="RMR97" s="769"/>
      <c r="RMS97" s="769"/>
      <c r="RMT97" s="769"/>
      <c r="RMU97" s="769"/>
      <c r="RMV97" s="769"/>
      <c r="RMW97" s="769"/>
      <c r="RMX97" s="769"/>
      <c r="RMY97" s="769"/>
      <c r="RMZ97" s="769"/>
      <c r="RNA97" s="769"/>
      <c r="RNB97" s="769"/>
      <c r="RNC97" s="769"/>
      <c r="RND97" s="769"/>
      <c r="RNE97" s="769"/>
      <c r="RNF97" s="769"/>
      <c r="RNG97" s="769"/>
      <c r="RNH97" s="769"/>
      <c r="RNI97" s="769"/>
      <c r="RNJ97" s="769"/>
      <c r="RNK97" s="769"/>
      <c r="RNL97" s="769"/>
      <c r="RNM97" s="769"/>
      <c r="RNN97" s="769"/>
      <c r="RNO97" s="769"/>
      <c r="RNP97" s="769"/>
      <c r="RNQ97" s="769"/>
      <c r="RNR97" s="769"/>
      <c r="RNS97" s="769"/>
      <c r="RNT97" s="769"/>
      <c r="RNU97" s="769"/>
      <c r="RNV97" s="769"/>
      <c r="RNW97" s="769"/>
      <c r="RNX97" s="769"/>
      <c r="RNY97" s="769"/>
      <c r="RNZ97" s="769"/>
      <c r="ROA97" s="769"/>
      <c r="ROB97" s="769"/>
      <c r="ROC97" s="769"/>
      <c r="ROD97" s="769"/>
      <c r="ROE97" s="769"/>
      <c r="ROF97" s="769"/>
      <c r="ROG97" s="769"/>
      <c r="ROH97" s="769"/>
      <c r="ROI97" s="769"/>
      <c r="ROJ97" s="769"/>
      <c r="ROK97" s="769"/>
      <c r="ROL97" s="769"/>
      <c r="ROM97" s="769"/>
      <c r="RON97" s="769"/>
      <c r="ROO97" s="769"/>
      <c r="ROP97" s="769"/>
      <c r="ROQ97" s="769"/>
      <c r="ROR97" s="769"/>
      <c r="ROS97" s="769"/>
      <c r="ROT97" s="769"/>
      <c r="ROU97" s="769"/>
      <c r="ROV97" s="769"/>
      <c r="ROW97" s="769"/>
      <c r="ROX97" s="769"/>
      <c r="ROY97" s="769"/>
      <c r="ROZ97" s="769"/>
      <c r="RPA97" s="769"/>
      <c r="RPB97" s="769"/>
      <c r="RPC97" s="769"/>
      <c r="RPD97" s="769"/>
      <c r="RPE97" s="769"/>
      <c r="RPF97" s="769"/>
      <c r="RPG97" s="769"/>
      <c r="RPH97" s="769"/>
      <c r="RPI97" s="769"/>
      <c r="RPJ97" s="769"/>
      <c r="RPK97" s="769"/>
      <c r="RPL97" s="769"/>
      <c r="RPM97" s="769"/>
      <c r="RPN97" s="769"/>
      <c r="RPO97" s="769"/>
      <c r="RPP97" s="769"/>
      <c r="RPQ97" s="769"/>
      <c r="RPR97" s="769"/>
      <c r="RPS97" s="769"/>
      <c r="RPT97" s="769"/>
      <c r="RPU97" s="769"/>
      <c r="RPV97" s="769"/>
      <c r="RPW97" s="769"/>
      <c r="RPX97" s="769"/>
      <c r="RPY97" s="769"/>
      <c r="RPZ97" s="769"/>
      <c r="RQA97" s="769"/>
      <c r="RQB97" s="769"/>
      <c r="RQC97" s="769"/>
      <c r="RQD97" s="769"/>
      <c r="RQE97" s="769"/>
      <c r="RQF97" s="769"/>
      <c r="RQG97" s="769"/>
      <c r="RQH97" s="769"/>
      <c r="RQI97" s="769"/>
      <c r="RQJ97" s="769"/>
      <c r="RQK97" s="769"/>
      <c r="RQL97" s="769"/>
      <c r="RQM97" s="769"/>
      <c r="RQN97" s="769"/>
      <c r="RQO97" s="769"/>
      <c r="RQP97" s="769"/>
      <c r="RQQ97" s="769"/>
      <c r="RQR97" s="769"/>
      <c r="RQS97" s="769"/>
      <c r="RQT97" s="769"/>
      <c r="RQU97" s="769"/>
      <c r="RQV97" s="769"/>
      <c r="RQW97" s="769"/>
      <c r="RQX97" s="769"/>
      <c r="RQY97" s="769"/>
      <c r="RQZ97" s="769"/>
      <c r="RRA97" s="769"/>
      <c r="RRB97" s="769"/>
      <c r="RRC97" s="769"/>
      <c r="RRD97" s="769"/>
      <c r="RRE97" s="769"/>
      <c r="RRF97" s="769"/>
      <c r="RRG97" s="769"/>
      <c r="RRH97" s="769"/>
      <c r="RRI97" s="769"/>
      <c r="RRJ97" s="769"/>
      <c r="RRK97" s="769"/>
      <c r="RRL97" s="769"/>
      <c r="RRM97" s="769"/>
      <c r="RRN97" s="769"/>
      <c r="RRO97" s="769"/>
      <c r="RRP97" s="769"/>
      <c r="RRQ97" s="769"/>
      <c r="RRR97" s="769"/>
      <c r="RRS97" s="769"/>
      <c r="RRT97" s="769"/>
      <c r="RRU97" s="769"/>
      <c r="RRV97" s="769"/>
      <c r="RRW97" s="769"/>
      <c r="RRX97" s="769"/>
      <c r="RRY97" s="769"/>
      <c r="RRZ97" s="769"/>
      <c r="RSA97" s="769"/>
      <c r="RSB97" s="769"/>
      <c r="RSC97" s="769"/>
      <c r="RSD97" s="769"/>
      <c r="RSE97" s="769"/>
      <c r="RSF97" s="769"/>
      <c r="RSG97" s="769"/>
      <c r="RSH97" s="769"/>
      <c r="RSI97" s="769"/>
      <c r="RSJ97" s="769"/>
      <c r="RSK97" s="769"/>
      <c r="RSL97" s="769"/>
      <c r="RSM97" s="769"/>
      <c r="RSN97" s="769"/>
      <c r="RSO97" s="769"/>
      <c r="RSP97" s="769"/>
      <c r="RSQ97" s="769"/>
      <c r="RSR97" s="769"/>
      <c r="RSS97" s="769"/>
      <c r="RST97" s="769"/>
      <c r="RSU97" s="769"/>
      <c r="RSV97" s="769"/>
      <c r="RSW97" s="769"/>
      <c r="RSX97" s="769"/>
      <c r="RSY97" s="769"/>
      <c r="RSZ97" s="769"/>
      <c r="RTA97" s="769"/>
      <c r="RTB97" s="769"/>
      <c r="RTC97" s="769"/>
      <c r="RTD97" s="769"/>
      <c r="RTE97" s="769"/>
      <c r="RTF97" s="769"/>
      <c r="RTG97" s="769"/>
      <c r="RTH97" s="769"/>
      <c r="RTI97" s="769"/>
      <c r="RTJ97" s="769"/>
      <c r="RTK97" s="769"/>
      <c r="RTL97" s="769"/>
      <c r="RTM97" s="769"/>
      <c r="RTN97" s="769"/>
      <c r="RTO97" s="769"/>
      <c r="RTP97" s="769"/>
      <c r="RTQ97" s="769"/>
      <c r="RTR97" s="769"/>
      <c r="RTS97" s="769"/>
      <c r="RTT97" s="769"/>
      <c r="RTU97" s="769"/>
      <c r="RTV97" s="769"/>
      <c r="RTW97" s="769"/>
      <c r="RTX97" s="769"/>
      <c r="RTY97" s="769"/>
      <c r="RTZ97" s="769"/>
      <c r="RUA97" s="769"/>
      <c r="RUB97" s="769"/>
      <c r="RUC97" s="769"/>
      <c r="RUD97" s="769"/>
      <c r="RUE97" s="769"/>
      <c r="RUF97" s="769"/>
      <c r="RUG97" s="769"/>
      <c r="RUH97" s="769"/>
      <c r="RUI97" s="769"/>
      <c r="RUJ97" s="769"/>
      <c r="RUK97" s="769"/>
      <c r="RUL97" s="769"/>
      <c r="RUM97" s="769"/>
      <c r="RUN97" s="769"/>
      <c r="RUO97" s="769"/>
      <c r="RUP97" s="769"/>
      <c r="RUQ97" s="769"/>
      <c r="RUR97" s="769"/>
      <c r="RUS97" s="769"/>
      <c r="RUT97" s="769"/>
      <c r="RUU97" s="769"/>
      <c r="RUV97" s="769"/>
      <c r="RUW97" s="769"/>
      <c r="RUX97" s="769"/>
      <c r="RUY97" s="769"/>
      <c r="RUZ97" s="769"/>
      <c r="RVA97" s="769"/>
      <c r="RVB97" s="769"/>
      <c r="RVC97" s="769"/>
      <c r="RVD97" s="769"/>
      <c r="RVE97" s="769"/>
      <c r="RVF97" s="769"/>
      <c r="RVG97" s="769"/>
      <c r="RVH97" s="769"/>
      <c r="RVI97" s="769"/>
      <c r="RVJ97" s="769"/>
      <c r="RVK97" s="769"/>
      <c r="RVL97" s="769"/>
      <c r="RVM97" s="769"/>
      <c r="RVN97" s="769"/>
      <c r="RVO97" s="769"/>
      <c r="RVP97" s="769"/>
      <c r="RVQ97" s="769"/>
      <c r="RVR97" s="769"/>
      <c r="RVS97" s="769"/>
      <c r="RVT97" s="769"/>
      <c r="RVU97" s="769"/>
      <c r="RVV97" s="769"/>
      <c r="RVW97" s="769"/>
      <c r="RVX97" s="769"/>
      <c r="RVY97" s="769"/>
      <c r="RVZ97" s="769"/>
      <c r="RWA97" s="769"/>
      <c r="RWB97" s="769"/>
      <c r="RWC97" s="769"/>
      <c r="RWD97" s="769"/>
      <c r="RWE97" s="769"/>
      <c r="RWF97" s="769"/>
      <c r="RWG97" s="769"/>
      <c r="RWH97" s="769"/>
      <c r="RWI97" s="769"/>
      <c r="RWJ97" s="769"/>
      <c r="RWK97" s="769"/>
      <c r="RWL97" s="769"/>
      <c r="RWM97" s="769"/>
      <c r="RWN97" s="769"/>
      <c r="RWO97" s="769"/>
      <c r="RWP97" s="769"/>
      <c r="RWQ97" s="769"/>
      <c r="RWR97" s="769"/>
      <c r="RWS97" s="769"/>
      <c r="RWT97" s="769"/>
      <c r="RWU97" s="769"/>
      <c r="RWV97" s="769"/>
      <c r="RWW97" s="769"/>
      <c r="RWX97" s="769"/>
      <c r="RWY97" s="769"/>
      <c r="RWZ97" s="769"/>
      <c r="RXA97" s="769"/>
      <c r="RXB97" s="769"/>
      <c r="RXC97" s="769"/>
      <c r="RXD97" s="769"/>
      <c r="RXE97" s="769"/>
      <c r="RXF97" s="769"/>
      <c r="RXG97" s="769"/>
      <c r="RXH97" s="769"/>
      <c r="RXI97" s="769"/>
      <c r="RXJ97" s="769"/>
      <c r="RXK97" s="769"/>
      <c r="RXL97" s="769"/>
      <c r="RXM97" s="769"/>
      <c r="RXN97" s="769"/>
      <c r="RXO97" s="769"/>
      <c r="RXP97" s="769"/>
      <c r="RXQ97" s="769"/>
      <c r="RXR97" s="769"/>
      <c r="RXS97" s="769"/>
      <c r="RXT97" s="769"/>
      <c r="RXU97" s="769"/>
      <c r="RXV97" s="769"/>
      <c r="RXW97" s="769"/>
      <c r="RXX97" s="769"/>
      <c r="RXY97" s="769"/>
      <c r="RXZ97" s="769"/>
      <c r="RYA97" s="769"/>
      <c r="RYB97" s="769"/>
      <c r="RYC97" s="769"/>
      <c r="RYD97" s="769"/>
      <c r="RYE97" s="769"/>
      <c r="RYF97" s="769"/>
      <c r="RYG97" s="769"/>
      <c r="RYH97" s="769"/>
      <c r="RYI97" s="769"/>
      <c r="RYJ97" s="769"/>
      <c r="RYK97" s="769"/>
      <c r="RYL97" s="769"/>
      <c r="RYM97" s="769"/>
      <c r="RYN97" s="769"/>
      <c r="RYO97" s="769"/>
      <c r="RYP97" s="769"/>
      <c r="RYQ97" s="769"/>
      <c r="RYR97" s="769"/>
      <c r="RYS97" s="769"/>
      <c r="RYT97" s="769"/>
      <c r="RYU97" s="769"/>
      <c r="RYV97" s="769"/>
      <c r="RYW97" s="769"/>
      <c r="RYX97" s="769"/>
      <c r="RYY97" s="769"/>
      <c r="RYZ97" s="769"/>
      <c r="RZA97" s="769"/>
      <c r="RZB97" s="769"/>
      <c r="RZC97" s="769"/>
      <c r="RZD97" s="769"/>
      <c r="RZE97" s="769"/>
      <c r="RZF97" s="769"/>
      <c r="RZG97" s="769"/>
      <c r="RZH97" s="769"/>
      <c r="RZI97" s="769"/>
      <c r="RZJ97" s="769"/>
      <c r="RZK97" s="769"/>
      <c r="RZL97" s="769"/>
      <c r="RZM97" s="769"/>
      <c r="RZN97" s="769"/>
      <c r="RZO97" s="769"/>
      <c r="RZP97" s="769"/>
      <c r="RZQ97" s="769"/>
      <c r="RZR97" s="769"/>
      <c r="RZS97" s="769"/>
      <c r="RZT97" s="769"/>
      <c r="RZU97" s="769"/>
      <c r="RZV97" s="769"/>
      <c r="RZW97" s="769"/>
      <c r="RZX97" s="769"/>
      <c r="RZY97" s="769"/>
      <c r="RZZ97" s="769"/>
      <c r="SAA97" s="769"/>
      <c r="SAB97" s="769"/>
      <c r="SAC97" s="769"/>
      <c r="SAD97" s="769"/>
      <c r="SAE97" s="769"/>
      <c r="SAF97" s="769"/>
      <c r="SAG97" s="769"/>
      <c r="SAH97" s="769"/>
      <c r="SAI97" s="769"/>
      <c r="SAJ97" s="769"/>
      <c r="SAK97" s="769"/>
      <c r="SAL97" s="769"/>
      <c r="SAM97" s="769"/>
      <c r="SAN97" s="769"/>
      <c r="SAO97" s="769"/>
      <c r="SAP97" s="769"/>
      <c r="SAQ97" s="769"/>
      <c r="SAR97" s="769"/>
      <c r="SAS97" s="769"/>
      <c r="SAT97" s="769"/>
      <c r="SAU97" s="769"/>
      <c r="SAV97" s="769"/>
      <c r="SAW97" s="769"/>
      <c r="SAX97" s="769"/>
      <c r="SAY97" s="769"/>
      <c r="SAZ97" s="769"/>
      <c r="SBA97" s="769"/>
      <c r="SBB97" s="769"/>
      <c r="SBC97" s="769"/>
      <c r="SBD97" s="769"/>
      <c r="SBE97" s="769"/>
      <c r="SBF97" s="769"/>
      <c r="SBG97" s="769"/>
      <c r="SBH97" s="769"/>
      <c r="SBI97" s="769"/>
      <c r="SBJ97" s="769"/>
      <c r="SBK97" s="769"/>
      <c r="SBL97" s="769"/>
      <c r="SBM97" s="769"/>
      <c r="SBN97" s="769"/>
      <c r="SBO97" s="769"/>
      <c r="SBP97" s="769"/>
      <c r="SBQ97" s="769"/>
      <c r="SBR97" s="769"/>
      <c r="SBS97" s="769"/>
      <c r="SBT97" s="769"/>
      <c r="SBU97" s="769"/>
      <c r="SBV97" s="769"/>
      <c r="SBW97" s="769"/>
      <c r="SBX97" s="769"/>
      <c r="SBY97" s="769"/>
      <c r="SBZ97" s="769"/>
      <c r="SCA97" s="769"/>
      <c r="SCB97" s="769"/>
      <c r="SCC97" s="769"/>
      <c r="SCD97" s="769"/>
      <c r="SCE97" s="769"/>
      <c r="SCF97" s="769"/>
      <c r="SCG97" s="769"/>
      <c r="SCH97" s="769"/>
      <c r="SCI97" s="769"/>
      <c r="SCJ97" s="769"/>
      <c r="SCK97" s="769"/>
      <c r="SCL97" s="769"/>
      <c r="SCM97" s="769"/>
      <c r="SCN97" s="769"/>
      <c r="SCO97" s="769"/>
      <c r="SCP97" s="769"/>
      <c r="SCQ97" s="769"/>
      <c r="SCR97" s="769"/>
      <c r="SCS97" s="769"/>
      <c r="SCT97" s="769"/>
      <c r="SCU97" s="769"/>
      <c r="SCV97" s="769"/>
      <c r="SCW97" s="769"/>
      <c r="SCX97" s="769"/>
      <c r="SCY97" s="769"/>
      <c r="SCZ97" s="769"/>
      <c r="SDA97" s="769"/>
      <c r="SDB97" s="769"/>
      <c r="SDC97" s="769"/>
      <c r="SDD97" s="769"/>
      <c r="SDE97" s="769"/>
      <c r="SDF97" s="769"/>
      <c r="SDG97" s="769"/>
      <c r="SDH97" s="769"/>
      <c r="SDI97" s="769"/>
      <c r="SDJ97" s="769"/>
      <c r="SDK97" s="769"/>
      <c r="SDL97" s="769"/>
      <c r="SDM97" s="769"/>
      <c r="SDN97" s="769"/>
      <c r="SDO97" s="769"/>
      <c r="SDP97" s="769"/>
      <c r="SDQ97" s="769"/>
      <c r="SDR97" s="769"/>
      <c r="SDS97" s="769"/>
      <c r="SDT97" s="769"/>
      <c r="SDU97" s="769"/>
      <c r="SDV97" s="769"/>
      <c r="SDW97" s="769"/>
      <c r="SDX97" s="769"/>
      <c r="SDY97" s="769"/>
      <c r="SDZ97" s="769"/>
      <c r="SEA97" s="769"/>
      <c r="SEB97" s="769"/>
      <c r="SEC97" s="769"/>
      <c r="SED97" s="769"/>
      <c r="SEE97" s="769"/>
      <c r="SEF97" s="769"/>
      <c r="SEG97" s="769"/>
      <c r="SEH97" s="769"/>
      <c r="SEI97" s="769"/>
      <c r="SEJ97" s="769"/>
      <c r="SEK97" s="769"/>
      <c r="SEL97" s="769"/>
      <c r="SEM97" s="769"/>
      <c r="SEN97" s="769"/>
      <c r="SEO97" s="769"/>
      <c r="SEP97" s="769"/>
      <c r="SEQ97" s="769"/>
      <c r="SER97" s="769"/>
      <c r="SES97" s="769"/>
      <c r="SET97" s="769"/>
      <c r="SEU97" s="769"/>
      <c r="SEV97" s="769"/>
      <c r="SEW97" s="769"/>
      <c r="SEX97" s="769"/>
      <c r="SEY97" s="769"/>
      <c r="SEZ97" s="769"/>
      <c r="SFA97" s="769"/>
      <c r="SFB97" s="769"/>
      <c r="SFC97" s="769"/>
      <c r="SFD97" s="769"/>
      <c r="SFE97" s="769"/>
      <c r="SFF97" s="769"/>
      <c r="SFG97" s="769"/>
      <c r="SFH97" s="769"/>
      <c r="SFI97" s="769"/>
      <c r="SFJ97" s="769"/>
      <c r="SFK97" s="769"/>
      <c r="SFL97" s="769"/>
      <c r="SFM97" s="769"/>
      <c r="SFN97" s="769"/>
      <c r="SFO97" s="769"/>
      <c r="SFP97" s="769"/>
      <c r="SFQ97" s="769"/>
      <c r="SFR97" s="769"/>
      <c r="SFS97" s="769"/>
      <c r="SFT97" s="769"/>
      <c r="SFU97" s="769"/>
      <c r="SFV97" s="769"/>
      <c r="SFW97" s="769"/>
      <c r="SFX97" s="769"/>
      <c r="SFY97" s="769"/>
      <c r="SFZ97" s="769"/>
      <c r="SGA97" s="769"/>
      <c r="SGB97" s="769"/>
      <c r="SGC97" s="769"/>
      <c r="SGD97" s="769"/>
      <c r="SGE97" s="769"/>
      <c r="SGF97" s="769"/>
      <c r="SGG97" s="769"/>
      <c r="SGH97" s="769"/>
      <c r="SGI97" s="769"/>
      <c r="SGJ97" s="769"/>
      <c r="SGK97" s="769"/>
      <c r="SGL97" s="769"/>
      <c r="SGM97" s="769"/>
      <c r="SGN97" s="769"/>
      <c r="SGO97" s="769"/>
      <c r="SGP97" s="769"/>
      <c r="SGQ97" s="769"/>
      <c r="SGR97" s="769"/>
      <c r="SGS97" s="769"/>
      <c r="SGT97" s="769"/>
      <c r="SGU97" s="769"/>
      <c r="SGV97" s="769"/>
      <c r="SGW97" s="769"/>
      <c r="SGX97" s="769"/>
      <c r="SGY97" s="769"/>
      <c r="SGZ97" s="769"/>
      <c r="SHA97" s="769"/>
      <c r="SHB97" s="769"/>
      <c r="SHC97" s="769"/>
      <c r="SHD97" s="769"/>
      <c r="SHE97" s="769"/>
      <c r="SHF97" s="769"/>
      <c r="SHG97" s="769"/>
      <c r="SHH97" s="769"/>
      <c r="SHI97" s="769"/>
      <c r="SHJ97" s="769"/>
      <c r="SHK97" s="769"/>
      <c r="SHL97" s="769"/>
      <c r="SHM97" s="769"/>
      <c r="SHN97" s="769"/>
      <c r="SHO97" s="769"/>
      <c r="SHP97" s="769"/>
      <c r="SHQ97" s="769"/>
      <c r="SHR97" s="769"/>
      <c r="SHS97" s="769"/>
      <c r="SHT97" s="769"/>
      <c r="SHU97" s="769"/>
      <c r="SHV97" s="769"/>
      <c r="SHW97" s="769"/>
      <c r="SHX97" s="769"/>
      <c r="SHY97" s="769"/>
      <c r="SHZ97" s="769"/>
      <c r="SIA97" s="769"/>
      <c r="SIB97" s="769"/>
      <c r="SIC97" s="769"/>
      <c r="SID97" s="769"/>
      <c r="SIE97" s="769"/>
      <c r="SIF97" s="769"/>
      <c r="SIG97" s="769"/>
      <c r="SIH97" s="769"/>
      <c r="SII97" s="769"/>
      <c r="SIJ97" s="769"/>
      <c r="SIK97" s="769"/>
      <c r="SIL97" s="769"/>
      <c r="SIM97" s="769"/>
      <c r="SIN97" s="769"/>
      <c r="SIO97" s="769"/>
      <c r="SIP97" s="769"/>
      <c r="SIQ97" s="769"/>
      <c r="SIR97" s="769"/>
      <c r="SIS97" s="769"/>
      <c r="SIT97" s="769"/>
      <c r="SIU97" s="769"/>
      <c r="SIV97" s="769"/>
      <c r="SIW97" s="769"/>
      <c r="SIX97" s="769"/>
      <c r="SIY97" s="769"/>
      <c r="SIZ97" s="769"/>
      <c r="SJA97" s="769"/>
      <c r="SJB97" s="769"/>
      <c r="SJC97" s="769"/>
      <c r="SJD97" s="769"/>
      <c r="SJE97" s="769"/>
      <c r="SJF97" s="769"/>
      <c r="SJG97" s="769"/>
      <c r="SJH97" s="769"/>
      <c r="SJI97" s="769"/>
      <c r="SJJ97" s="769"/>
      <c r="SJK97" s="769"/>
      <c r="SJL97" s="769"/>
      <c r="SJM97" s="769"/>
      <c r="SJN97" s="769"/>
      <c r="SJO97" s="769"/>
      <c r="SJP97" s="769"/>
      <c r="SJQ97" s="769"/>
      <c r="SJR97" s="769"/>
      <c r="SJS97" s="769"/>
      <c r="SJT97" s="769"/>
      <c r="SJU97" s="769"/>
      <c r="SJV97" s="769"/>
      <c r="SJW97" s="769"/>
      <c r="SJX97" s="769"/>
      <c r="SJY97" s="769"/>
      <c r="SJZ97" s="769"/>
      <c r="SKA97" s="769"/>
      <c r="SKB97" s="769"/>
      <c r="SKC97" s="769"/>
      <c r="SKD97" s="769"/>
      <c r="SKE97" s="769"/>
      <c r="SKF97" s="769"/>
      <c r="SKG97" s="769"/>
      <c r="SKH97" s="769"/>
      <c r="SKI97" s="769"/>
      <c r="SKJ97" s="769"/>
      <c r="SKK97" s="769"/>
      <c r="SKL97" s="769"/>
      <c r="SKM97" s="769"/>
      <c r="SKN97" s="769"/>
      <c r="SKO97" s="769"/>
      <c r="SKP97" s="769"/>
      <c r="SKQ97" s="769"/>
      <c r="SKR97" s="769"/>
      <c r="SKS97" s="769"/>
      <c r="SKT97" s="769"/>
      <c r="SKU97" s="769"/>
      <c r="SKV97" s="769"/>
      <c r="SKW97" s="769"/>
      <c r="SKX97" s="769"/>
      <c r="SKY97" s="769"/>
      <c r="SKZ97" s="769"/>
      <c r="SLA97" s="769"/>
      <c r="SLB97" s="769"/>
      <c r="SLC97" s="769"/>
      <c r="SLD97" s="769"/>
      <c r="SLE97" s="769"/>
      <c r="SLF97" s="769"/>
      <c r="SLG97" s="769"/>
      <c r="SLH97" s="769"/>
      <c r="SLI97" s="769"/>
      <c r="SLJ97" s="769"/>
      <c r="SLK97" s="769"/>
      <c r="SLL97" s="769"/>
      <c r="SLM97" s="769"/>
      <c r="SLN97" s="769"/>
      <c r="SLO97" s="769"/>
      <c r="SLP97" s="769"/>
      <c r="SLQ97" s="769"/>
      <c r="SLR97" s="769"/>
      <c r="SLS97" s="769"/>
      <c r="SLT97" s="769"/>
      <c r="SLU97" s="769"/>
      <c r="SLV97" s="769"/>
      <c r="SLW97" s="769"/>
      <c r="SLX97" s="769"/>
      <c r="SLY97" s="769"/>
      <c r="SLZ97" s="769"/>
      <c r="SMA97" s="769"/>
      <c r="SMB97" s="769"/>
      <c r="SMC97" s="769"/>
      <c r="SMD97" s="769"/>
      <c r="SME97" s="769"/>
      <c r="SMF97" s="769"/>
      <c r="SMG97" s="769"/>
      <c r="SMH97" s="769"/>
      <c r="SMI97" s="769"/>
      <c r="SMJ97" s="769"/>
      <c r="SMK97" s="769"/>
      <c r="SML97" s="769"/>
      <c r="SMM97" s="769"/>
      <c r="SMN97" s="769"/>
      <c r="SMO97" s="769"/>
      <c r="SMP97" s="769"/>
      <c r="SMQ97" s="769"/>
      <c r="SMR97" s="769"/>
      <c r="SMS97" s="769"/>
      <c r="SMT97" s="769"/>
      <c r="SMU97" s="769"/>
      <c r="SMV97" s="769"/>
      <c r="SMW97" s="769"/>
      <c r="SMX97" s="769"/>
      <c r="SMY97" s="769"/>
      <c r="SMZ97" s="769"/>
      <c r="SNA97" s="769"/>
      <c r="SNB97" s="769"/>
      <c r="SNC97" s="769"/>
      <c r="SND97" s="769"/>
      <c r="SNE97" s="769"/>
      <c r="SNF97" s="769"/>
      <c r="SNG97" s="769"/>
      <c r="SNH97" s="769"/>
      <c r="SNI97" s="769"/>
      <c r="SNJ97" s="769"/>
      <c r="SNK97" s="769"/>
      <c r="SNL97" s="769"/>
      <c r="SNM97" s="769"/>
      <c r="SNN97" s="769"/>
      <c r="SNO97" s="769"/>
      <c r="SNP97" s="769"/>
      <c r="SNQ97" s="769"/>
      <c r="SNR97" s="769"/>
      <c r="SNS97" s="769"/>
      <c r="SNT97" s="769"/>
      <c r="SNU97" s="769"/>
      <c r="SNV97" s="769"/>
      <c r="SNW97" s="769"/>
      <c r="SNX97" s="769"/>
      <c r="SNY97" s="769"/>
      <c r="SNZ97" s="769"/>
      <c r="SOA97" s="769"/>
      <c r="SOB97" s="769"/>
      <c r="SOC97" s="769"/>
      <c r="SOD97" s="769"/>
      <c r="SOE97" s="769"/>
      <c r="SOF97" s="769"/>
      <c r="SOG97" s="769"/>
      <c r="SOH97" s="769"/>
      <c r="SOI97" s="769"/>
      <c r="SOJ97" s="769"/>
      <c r="SOK97" s="769"/>
      <c r="SOL97" s="769"/>
      <c r="SOM97" s="769"/>
      <c r="SON97" s="769"/>
      <c r="SOO97" s="769"/>
      <c r="SOP97" s="769"/>
      <c r="SOQ97" s="769"/>
      <c r="SOR97" s="769"/>
      <c r="SOS97" s="769"/>
      <c r="SOT97" s="769"/>
      <c r="SOU97" s="769"/>
      <c r="SOV97" s="769"/>
      <c r="SOW97" s="769"/>
      <c r="SOX97" s="769"/>
      <c r="SOY97" s="769"/>
      <c r="SOZ97" s="769"/>
      <c r="SPA97" s="769"/>
      <c r="SPB97" s="769"/>
      <c r="SPC97" s="769"/>
      <c r="SPD97" s="769"/>
      <c r="SPE97" s="769"/>
      <c r="SPF97" s="769"/>
      <c r="SPG97" s="769"/>
      <c r="SPH97" s="769"/>
      <c r="SPI97" s="769"/>
      <c r="SPJ97" s="769"/>
      <c r="SPK97" s="769"/>
      <c r="SPL97" s="769"/>
      <c r="SPM97" s="769"/>
      <c r="SPN97" s="769"/>
      <c r="SPO97" s="769"/>
      <c r="SPP97" s="769"/>
      <c r="SPQ97" s="769"/>
      <c r="SPR97" s="769"/>
      <c r="SPS97" s="769"/>
      <c r="SPT97" s="769"/>
      <c r="SPU97" s="769"/>
      <c r="SPV97" s="769"/>
      <c r="SPW97" s="769"/>
      <c r="SPX97" s="769"/>
      <c r="SPY97" s="769"/>
      <c r="SPZ97" s="769"/>
      <c r="SQA97" s="769"/>
      <c r="SQB97" s="769"/>
      <c r="SQC97" s="769"/>
      <c r="SQD97" s="769"/>
      <c r="SQE97" s="769"/>
      <c r="SQF97" s="769"/>
      <c r="SQG97" s="769"/>
      <c r="SQH97" s="769"/>
      <c r="SQI97" s="769"/>
      <c r="SQJ97" s="769"/>
      <c r="SQK97" s="769"/>
      <c r="SQL97" s="769"/>
      <c r="SQM97" s="769"/>
      <c r="SQN97" s="769"/>
      <c r="SQO97" s="769"/>
      <c r="SQP97" s="769"/>
      <c r="SQQ97" s="769"/>
      <c r="SQR97" s="769"/>
      <c r="SQS97" s="769"/>
      <c r="SQT97" s="769"/>
      <c r="SQU97" s="769"/>
      <c r="SQV97" s="769"/>
      <c r="SQW97" s="769"/>
      <c r="SQX97" s="769"/>
      <c r="SQY97" s="769"/>
      <c r="SQZ97" s="769"/>
      <c r="SRA97" s="769"/>
      <c r="SRB97" s="769"/>
      <c r="SRC97" s="769"/>
      <c r="SRD97" s="769"/>
      <c r="SRE97" s="769"/>
      <c r="SRF97" s="769"/>
      <c r="SRG97" s="769"/>
      <c r="SRH97" s="769"/>
      <c r="SRI97" s="769"/>
      <c r="SRJ97" s="769"/>
      <c r="SRK97" s="769"/>
      <c r="SRL97" s="769"/>
      <c r="SRM97" s="769"/>
      <c r="SRN97" s="769"/>
      <c r="SRO97" s="769"/>
      <c r="SRP97" s="769"/>
      <c r="SRQ97" s="769"/>
      <c r="SRR97" s="769"/>
      <c r="SRS97" s="769"/>
      <c r="SRT97" s="769"/>
      <c r="SRU97" s="769"/>
      <c r="SRV97" s="769"/>
      <c r="SRW97" s="769"/>
      <c r="SRX97" s="769"/>
      <c r="SRY97" s="769"/>
      <c r="SRZ97" s="769"/>
      <c r="SSA97" s="769"/>
      <c r="SSB97" s="769"/>
      <c r="SSC97" s="769"/>
      <c r="SSD97" s="769"/>
      <c r="SSE97" s="769"/>
      <c r="SSF97" s="769"/>
      <c r="SSG97" s="769"/>
      <c r="SSH97" s="769"/>
      <c r="SSI97" s="769"/>
      <c r="SSJ97" s="769"/>
      <c r="SSK97" s="769"/>
      <c r="SSL97" s="769"/>
      <c r="SSM97" s="769"/>
      <c r="SSN97" s="769"/>
      <c r="SSO97" s="769"/>
      <c r="SSP97" s="769"/>
      <c r="SSQ97" s="769"/>
      <c r="SSR97" s="769"/>
      <c r="SSS97" s="769"/>
      <c r="SST97" s="769"/>
      <c r="SSU97" s="769"/>
      <c r="SSV97" s="769"/>
      <c r="SSW97" s="769"/>
      <c r="SSX97" s="769"/>
      <c r="SSY97" s="769"/>
      <c r="SSZ97" s="769"/>
      <c r="STA97" s="769"/>
      <c r="STB97" s="769"/>
      <c r="STC97" s="769"/>
      <c r="STD97" s="769"/>
      <c r="STE97" s="769"/>
      <c r="STF97" s="769"/>
      <c r="STG97" s="769"/>
      <c r="STH97" s="769"/>
      <c r="STI97" s="769"/>
      <c r="STJ97" s="769"/>
      <c r="STK97" s="769"/>
      <c r="STL97" s="769"/>
      <c r="STM97" s="769"/>
      <c r="STN97" s="769"/>
      <c r="STO97" s="769"/>
      <c r="STP97" s="769"/>
      <c r="STQ97" s="769"/>
      <c r="STR97" s="769"/>
      <c r="STS97" s="769"/>
      <c r="STT97" s="769"/>
      <c r="STU97" s="769"/>
      <c r="STV97" s="769"/>
      <c r="STW97" s="769"/>
      <c r="STX97" s="769"/>
      <c r="STY97" s="769"/>
      <c r="STZ97" s="769"/>
      <c r="SUA97" s="769"/>
      <c r="SUB97" s="769"/>
      <c r="SUC97" s="769"/>
      <c r="SUD97" s="769"/>
      <c r="SUE97" s="769"/>
      <c r="SUF97" s="769"/>
      <c r="SUG97" s="769"/>
      <c r="SUH97" s="769"/>
      <c r="SUI97" s="769"/>
      <c r="SUJ97" s="769"/>
      <c r="SUK97" s="769"/>
      <c r="SUL97" s="769"/>
      <c r="SUM97" s="769"/>
      <c r="SUN97" s="769"/>
      <c r="SUO97" s="769"/>
      <c r="SUP97" s="769"/>
      <c r="SUQ97" s="769"/>
      <c r="SUR97" s="769"/>
      <c r="SUS97" s="769"/>
      <c r="SUT97" s="769"/>
      <c r="SUU97" s="769"/>
      <c r="SUV97" s="769"/>
      <c r="SUW97" s="769"/>
      <c r="SUX97" s="769"/>
      <c r="SUY97" s="769"/>
      <c r="SUZ97" s="769"/>
      <c r="SVA97" s="769"/>
      <c r="SVB97" s="769"/>
      <c r="SVC97" s="769"/>
      <c r="SVD97" s="769"/>
      <c r="SVE97" s="769"/>
      <c r="SVF97" s="769"/>
      <c r="SVG97" s="769"/>
      <c r="SVH97" s="769"/>
      <c r="SVI97" s="769"/>
      <c r="SVJ97" s="769"/>
      <c r="SVK97" s="769"/>
      <c r="SVL97" s="769"/>
      <c r="SVM97" s="769"/>
      <c r="SVN97" s="769"/>
      <c r="SVO97" s="769"/>
      <c r="SVP97" s="769"/>
      <c r="SVQ97" s="769"/>
      <c r="SVR97" s="769"/>
      <c r="SVS97" s="769"/>
      <c r="SVT97" s="769"/>
      <c r="SVU97" s="769"/>
      <c r="SVV97" s="769"/>
      <c r="SVW97" s="769"/>
      <c r="SVX97" s="769"/>
      <c r="SVY97" s="769"/>
      <c r="SVZ97" s="769"/>
      <c r="SWA97" s="769"/>
      <c r="SWB97" s="769"/>
      <c r="SWC97" s="769"/>
      <c r="SWD97" s="769"/>
      <c r="SWE97" s="769"/>
      <c r="SWF97" s="769"/>
      <c r="SWG97" s="769"/>
      <c r="SWH97" s="769"/>
      <c r="SWI97" s="769"/>
      <c r="SWJ97" s="769"/>
      <c r="SWK97" s="769"/>
      <c r="SWL97" s="769"/>
      <c r="SWM97" s="769"/>
      <c r="SWN97" s="769"/>
      <c r="SWO97" s="769"/>
      <c r="SWP97" s="769"/>
      <c r="SWQ97" s="769"/>
      <c r="SWR97" s="769"/>
      <c r="SWS97" s="769"/>
      <c r="SWT97" s="769"/>
      <c r="SWU97" s="769"/>
      <c r="SWV97" s="769"/>
      <c r="SWW97" s="769"/>
      <c r="SWX97" s="769"/>
      <c r="SWY97" s="769"/>
      <c r="SWZ97" s="769"/>
      <c r="SXA97" s="769"/>
      <c r="SXB97" s="769"/>
      <c r="SXC97" s="769"/>
      <c r="SXD97" s="769"/>
      <c r="SXE97" s="769"/>
      <c r="SXF97" s="769"/>
      <c r="SXG97" s="769"/>
      <c r="SXH97" s="769"/>
      <c r="SXI97" s="769"/>
      <c r="SXJ97" s="769"/>
      <c r="SXK97" s="769"/>
      <c r="SXL97" s="769"/>
      <c r="SXM97" s="769"/>
      <c r="SXN97" s="769"/>
      <c r="SXO97" s="769"/>
      <c r="SXP97" s="769"/>
      <c r="SXQ97" s="769"/>
      <c r="SXR97" s="769"/>
      <c r="SXS97" s="769"/>
      <c r="SXT97" s="769"/>
      <c r="SXU97" s="769"/>
      <c r="SXV97" s="769"/>
      <c r="SXW97" s="769"/>
      <c r="SXX97" s="769"/>
      <c r="SXY97" s="769"/>
      <c r="SXZ97" s="769"/>
      <c r="SYA97" s="769"/>
      <c r="SYB97" s="769"/>
      <c r="SYC97" s="769"/>
      <c r="SYD97" s="769"/>
      <c r="SYE97" s="769"/>
      <c r="SYF97" s="769"/>
      <c r="SYG97" s="769"/>
      <c r="SYH97" s="769"/>
      <c r="SYI97" s="769"/>
      <c r="SYJ97" s="769"/>
      <c r="SYK97" s="769"/>
      <c r="SYL97" s="769"/>
      <c r="SYM97" s="769"/>
      <c r="SYN97" s="769"/>
      <c r="SYO97" s="769"/>
      <c r="SYP97" s="769"/>
      <c r="SYQ97" s="769"/>
      <c r="SYR97" s="769"/>
      <c r="SYS97" s="769"/>
      <c r="SYT97" s="769"/>
      <c r="SYU97" s="769"/>
      <c r="SYV97" s="769"/>
      <c r="SYW97" s="769"/>
      <c r="SYX97" s="769"/>
      <c r="SYY97" s="769"/>
      <c r="SYZ97" s="769"/>
      <c r="SZA97" s="769"/>
      <c r="SZB97" s="769"/>
      <c r="SZC97" s="769"/>
      <c r="SZD97" s="769"/>
      <c r="SZE97" s="769"/>
      <c r="SZF97" s="769"/>
      <c r="SZG97" s="769"/>
      <c r="SZH97" s="769"/>
      <c r="SZI97" s="769"/>
      <c r="SZJ97" s="769"/>
      <c r="SZK97" s="769"/>
      <c r="SZL97" s="769"/>
      <c r="SZM97" s="769"/>
      <c r="SZN97" s="769"/>
      <c r="SZO97" s="769"/>
      <c r="SZP97" s="769"/>
      <c r="SZQ97" s="769"/>
      <c r="SZR97" s="769"/>
      <c r="SZS97" s="769"/>
      <c r="SZT97" s="769"/>
      <c r="SZU97" s="769"/>
      <c r="SZV97" s="769"/>
      <c r="SZW97" s="769"/>
      <c r="SZX97" s="769"/>
      <c r="SZY97" s="769"/>
      <c r="SZZ97" s="769"/>
      <c r="TAA97" s="769"/>
      <c r="TAB97" s="769"/>
      <c r="TAC97" s="769"/>
      <c r="TAD97" s="769"/>
      <c r="TAE97" s="769"/>
      <c r="TAF97" s="769"/>
      <c r="TAG97" s="769"/>
      <c r="TAH97" s="769"/>
      <c r="TAI97" s="769"/>
      <c r="TAJ97" s="769"/>
      <c r="TAK97" s="769"/>
      <c r="TAL97" s="769"/>
      <c r="TAM97" s="769"/>
      <c r="TAN97" s="769"/>
      <c r="TAO97" s="769"/>
      <c r="TAP97" s="769"/>
      <c r="TAQ97" s="769"/>
      <c r="TAR97" s="769"/>
      <c r="TAS97" s="769"/>
      <c r="TAT97" s="769"/>
      <c r="TAU97" s="769"/>
      <c r="TAV97" s="769"/>
      <c r="TAW97" s="769"/>
      <c r="TAX97" s="769"/>
      <c r="TAY97" s="769"/>
      <c r="TAZ97" s="769"/>
      <c r="TBA97" s="769"/>
      <c r="TBB97" s="769"/>
      <c r="TBC97" s="769"/>
      <c r="TBD97" s="769"/>
      <c r="TBE97" s="769"/>
      <c r="TBF97" s="769"/>
      <c r="TBG97" s="769"/>
      <c r="TBH97" s="769"/>
      <c r="TBI97" s="769"/>
      <c r="TBJ97" s="769"/>
      <c r="TBK97" s="769"/>
      <c r="TBL97" s="769"/>
      <c r="TBM97" s="769"/>
      <c r="TBN97" s="769"/>
      <c r="TBO97" s="769"/>
      <c r="TBP97" s="769"/>
      <c r="TBQ97" s="769"/>
      <c r="TBR97" s="769"/>
      <c r="TBS97" s="769"/>
      <c r="TBT97" s="769"/>
      <c r="TBU97" s="769"/>
      <c r="TBV97" s="769"/>
      <c r="TBW97" s="769"/>
      <c r="TBX97" s="769"/>
      <c r="TBY97" s="769"/>
      <c r="TBZ97" s="769"/>
      <c r="TCA97" s="769"/>
      <c r="TCB97" s="769"/>
      <c r="TCC97" s="769"/>
      <c r="TCD97" s="769"/>
      <c r="TCE97" s="769"/>
      <c r="TCF97" s="769"/>
      <c r="TCG97" s="769"/>
      <c r="TCH97" s="769"/>
      <c r="TCI97" s="769"/>
      <c r="TCJ97" s="769"/>
      <c r="TCK97" s="769"/>
      <c r="TCL97" s="769"/>
      <c r="TCM97" s="769"/>
      <c r="TCN97" s="769"/>
      <c r="TCO97" s="769"/>
      <c r="TCP97" s="769"/>
      <c r="TCQ97" s="769"/>
      <c r="TCR97" s="769"/>
      <c r="TCS97" s="769"/>
      <c r="TCT97" s="769"/>
      <c r="TCU97" s="769"/>
      <c r="TCV97" s="769"/>
      <c r="TCW97" s="769"/>
      <c r="TCX97" s="769"/>
      <c r="TCY97" s="769"/>
      <c r="TCZ97" s="769"/>
      <c r="TDA97" s="769"/>
      <c r="TDB97" s="769"/>
      <c r="TDC97" s="769"/>
      <c r="TDD97" s="769"/>
      <c r="TDE97" s="769"/>
      <c r="TDF97" s="769"/>
      <c r="TDG97" s="769"/>
      <c r="TDH97" s="769"/>
      <c r="TDI97" s="769"/>
      <c r="TDJ97" s="769"/>
      <c r="TDK97" s="769"/>
      <c r="TDL97" s="769"/>
      <c r="TDM97" s="769"/>
      <c r="TDN97" s="769"/>
      <c r="TDO97" s="769"/>
      <c r="TDP97" s="769"/>
      <c r="TDQ97" s="769"/>
      <c r="TDR97" s="769"/>
      <c r="TDS97" s="769"/>
      <c r="TDT97" s="769"/>
      <c r="TDU97" s="769"/>
      <c r="TDV97" s="769"/>
      <c r="TDW97" s="769"/>
      <c r="TDX97" s="769"/>
      <c r="TDY97" s="769"/>
      <c r="TDZ97" s="769"/>
      <c r="TEA97" s="769"/>
      <c r="TEB97" s="769"/>
      <c r="TEC97" s="769"/>
      <c r="TED97" s="769"/>
      <c r="TEE97" s="769"/>
      <c r="TEF97" s="769"/>
      <c r="TEG97" s="769"/>
      <c r="TEH97" s="769"/>
      <c r="TEI97" s="769"/>
      <c r="TEJ97" s="769"/>
      <c r="TEK97" s="769"/>
      <c r="TEL97" s="769"/>
      <c r="TEM97" s="769"/>
      <c r="TEN97" s="769"/>
      <c r="TEO97" s="769"/>
      <c r="TEP97" s="769"/>
      <c r="TEQ97" s="769"/>
      <c r="TER97" s="769"/>
      <c r="TES97" s="769"/>
      <c r="TET97" s="769"/>
      <c r="TEU97" s="769"/>
      <c r="TEV97" s="769"/>
      <c r="TEW97" s="769"/>
      <c r="TEX97" s="769"/>
      <c r="TEY97" s="769"/>
      <c r="TEZ97" s="769"/>
      <c r="TFA97" s="769"/>
      <c r="TFB97" s="769"/>
      <c r="TFC97" s="769"/>
      <c r="TFD97" s="769"/>
      <c r="TFE97" s="769"/>
      <c r="TFF97" s="769"/>
      <c r="TFG97" s="769"/>
      <c r="TFH97" s="769"/>
      <c r="TFI97" s="769"/>
      <c r="TFJ97" s="769"/>
      <c r="TFK97" s="769"/>
      <c r="TFL97" s="769"/>
      <c r="TFM97" s="769"/>
      <c r="TFN97" s="769"/>
      <c r="TFO97" s="769"/>
      <c r="TFP97" s="769"/>
      <c r="TFQ97" s="769"/>
      <c r="TFR97" s="769"/>
      <c r="TFS97" s="769"/>
      <c r="TFT97" s="769"/>
      <c r="TFU97" s="769"/>
      <c r="TFV97" s="769"/>
      <c r="TFW97" s="769"/>
      <c r="TFX97" s="769"/>
      <c r="TFY97" s="769"/>
      <c r="TFZ97" s="769"/>
      <c r="TGA97" s="769"/>
      <c r="TGB97" s="769"/>
      <c r="TGC97" s="769"/>
      <c r="TGD97" s="769"/>
      <c r="TGE97" s="769"/>
      <c r="TGF97" s="769"/>
      <c r="TGG97" s="769"/>
      <c r="TGH97" s="769"/>
      <c r="TGI97" s="769"/>
      <c r="TGJ97" s="769"/>
      <c r="TGK97" s="769"/>
      <c r="TGL97" s="769"/>
      <c r="TGM97" s="769"/>
      <c r="TGN97" s="769"/>
      <c r="TGO97" s="769"/>
      <c r="TGP97" s="769"/>
      <c r="TGQ97" s="769"/>
      <c r="TGR97" s="769"/>
      <c r="TGS97" s="769"/>
      <c r="TGT97" s="769"/>
      <c r="TGU97" s="769"/>
      <c r="TGV97" s="769"/>
      <c r="TGW97" s="769"/>
      <c r="TGX97" s="769"/>
      <c r="TGY97" s="769"/>
      <c r="TGZ97" s="769"/>
      <c r="THA97" s="769"/>
      <c r="THB97" s="769"/>
      <c r="THC97" s="769"/>
      <c r="THD97" s="769"/>
      <c r="THE97" s="769"/>
      <c r="THF97" s="769"/>
      <c r="THG97" s="769"/>
      <c r="THH97" s="769"/>
      <c r="THI97" s="769"/>
      <c r="THJ97" s="769"/>
      <c r="THK97" s="769"/>
      <c r="THL97" s="769"/>
      <c r="THM97" s="769"/>
      <c r="THN97" s="769"/>
      <c r="THO97" s="769"/>
      <c r="THP97" s="769"/>
      <c r="THQ97" s="769"/>
      <c r="THR97" s="769"/>
      <c r="THS97" s="769"/>
      <c r="THT97" s="769"/>
      <c r="THU97" s="769"/>
      <c r="THV97" s="769"/>
      <c r="THW97" s="769"/>
      <c r="THX97" s="769"/>
      <c r="THY97" s="769"/>
      <c r="THZ97" s="769"/>
      <c r="TIA97" s="769"/>
      <c r="TIB97" s="769"/>
      <c r="TIC97" s="769"/>
      <c r="TID97" s="769"/>
      <c r="TIE97" s="769"/>
      <c r="TIF97" s="769"/>
      <c r="TIG97" s="769"/>
      <c r="TIH97" s="769"/>
      <c r="TII97" s="769"/>
      <c r="TIJ97" s="769"/>
      <c r="TIK97" s="769"/>
      <c r="TIL97" s="769"/>
      <c r="TIM97" s="769"/>
      <c r="TIN97" s="769"/>
      <c r="TIO97" s="769"/>
      <c r="TIP97" s="769"/>
      <c r="TIQ97" s="769"/>
      <c r="TIR97" s="769"/>
      <c r="TIS97" s="769"/>
      <c r="TIT97" s="769"/>
      <c r="TIU97" s="769"/>
      <c r="TIV97" s="769"/>
      <c r="TIW97" s="769"/>
      <c r="TIX97" s="769"/>
      <c r="TIY97" s="769"/>
      <c r="TIZ97" s="769"/>
      <c r="TJA97" s="769"/>
      <c r="TJB97" s="769"/>
      <c r="TJC97" s="769"/>
      <c r="TJD97" s="769"/>
      <c r="TJE97" s="769"/>
      <c r="TJF97" s="769"/>
      <c r="TJG97" s="769"/>
      <c r="TJH97" s="769"/>
      <c r="TJI97" s="769"/>
      <c r="TJJ97" s="769"/>
      <c r="TJK97" s="769"/>
      <c r="TJL97" s="769"/>
      <c r="TJM97" s="769"/>
      <c r="TJN97" s="769"/>
      <c r="TJO97" s="769"/>
      <c r="TJP97" s="769"/>
      <c r="TJQ97" s="769"/>
      <c r="TJR97" s="769"/>
      <c r="TJS97" s="769"/>
      <c r="TJT97" s="769"/>
      <c r="TJU97" s="769"/>
      <c r="TJV97" s="769"/>
      <c r="TJW97" s="769"/>
      <c r="TJX97" s="769"/>
      <c r="TJY97" s="769"/>
      <c r="TJZ97" s="769"/>
      <c r="TKA97" s="769"/>
      <c r="TKB97" s="769"/>
      <c r="TKC97" s="769"/>
      <c r="TKD97" s="769"/>
      <c r="TKE97" s="769"/>
      <c r="TKF97" s="769"/>
      <c r="TKG97" s="769"/>
      <c r="TKH97" s="769"/>
      <c r="TKI97" s="769"/>
      <c r="TKJ97" s="769"/>
      <c r="TKK97" s="769"/>
      <c r="TKL97" s="769"/>
      <c r="TKM97" s="769"/>
      <c r="TKN97" s="769"/>
      <c r="TKO97" s="769"/>
      <c r="TKP97" s="769"/>
      <c r="TKQ97" s="769"/>
      <c r="TKR97" s="769"/>
      <c r="TKS97" s="769"/>
      <c r="TKT97" s="769"/>
      <c r="TKU97" s="769"/>
      <c r="TKV97" s="769"/>
      <c r="TKW97" s="769"/>
      <c r="TKX97" s="769"/>
      <c r="TKY97" s="769"/>
      <c r="TKZ97" s="769"/>
      <c r="TLA97" s="769"/>
      <c r="TLB97" s="769"/>
      <c r="TLC97" s="769"/>
      <c r="TLD97" s="769"/>
      <c r="TLE97" s="769"/>
      <c r="TLF97" s="769"/>
      <c r="TLG97" s="769"/>
      <c r="TLH97" s="769"/>
      <c r="TLI97" s="769"/>
      <c r="TLJ97" s="769"/>
      <c r="TLK97" s="769"/>
      <c r="TLL97" s="769"/>
      <c r="TLM97" s="769"/>
      <c r="TLN97" s="769"/>
      <c r="TLO97" s="769"/>
      <c r="TLP97" s="769"/>
      <c r="TLQ97" s="769"/>
      <c r="TLR97" s="769"/>
      <c r="TLS97" s="769"/>
      <c r="TLT97" s="769"/>
      <c r="TLU97" s="769"/>
      <c r="TLV97" s="769"/>
      <c r="TLW97" s="769"/>
      <c r="TLX97" s="769"/>
      <c r="TLY97" s="769"/>
      <c r="TLZ97" s="769"/>
      <c r="TMA97" s="769"/>
      <c r="TMB97" s="769"/>
      <c r="TMC97" s="769"/>
      <c r="TMD97" s="769"/>
      <c r="TME97" s="769"/>
      <c r="TMF97" s="769"/>
      <c r="TMG97" s="769"/>
      <c r="TMH97" s="769"/>
      <c r="TMI97" s="769"/>
      <c r="TMJ97" s="769"/>
      <c r="TMK97" s="769"/>
      <c r="TML97" s="769"/>
      <c r="TMM97" s="769"/>
      <c r="TMN97" s="769"/>
      <c r="TMO97" s="769"/>
      <c r="TMP97" s="769"/>
      <c r="TMQ97" s="769"/>
      <c r="TMR97" s="769"/>
      <c r="TMS97" s="769"/>
      <c r="TMT97" s="769"/>
      <c r="TMU97" s="769"/>
      <c r="TMV97" s="769"/>
      <c r="TMW97" s="769"/>
      <c r="TMX97" s="769"/>
      <c r="TMY97" s="769"/>
      <c r="TMZ97" s="769"/>
      <c r="TNA97" s="769"/>
      <c r="TNB97" s="769"/>
      <c r="TNC97" s="769"/>
      <c r="TND97" s="769"/>
      <c r="TNE97" s="769"/>
      <c r="TNF97" s="769"/>
      <c r="TNG97" s="769"/>
      <c r="TNH97" s="769"/>
      <c r="TNI97" s="769"/>
      <c r="TNJ97" s="769"/>
      <c r="TNK97" s="769"/>
      <c r="TNL97" s="769"/>
      <c r="TNM97" s="769"/>
      <c r="TNN97" s="769"/>
      <c r="TNO97" s="769"/>
      <c r="TNP97" s="769"/>
      <c r="TNQ97" s="769"/>
      <c r="TNR97" s="769"/>
      <c r="TNS97" s="769"/>
      <c r="TNT97" s="769"/>
      <c r="TNU97" s="769"/>
      <c r="TNV97" s="769"/>
      <c r="TNW97" s="769"/>
      <c r="TNX97" s="769"/>
      <c r="TNY97" s="769"/>
      <c r="TNZ97" s="769"/>
      <c r="TOA97" s="769"/>
      <c r="TOB97" s="769"/>
      <c r="TOC97" s="769"/>
      <c r="TOD97" s="769"/>
      <c r="TOE97" s="769"/>
      <c r="TOF97" s="769"/>
      <c r="TOG97" s="769"/>
      <c r="TOH97" s="769"/>
      <c r="TOI97" s="769"/>
      <c r="TOJ97" s="769"/>
      <c r="TOK97" s="769"/>
      <c r="TOL97" s="769"/>
      <c r="TOM97" s="769"/>
      <c r="TON97" s="769"/>
      <c r="TOO97" s="769"/>
      <c r="TOP97" s="769"/>
      <c r="TOQ97" s="769"/>
      <c r="TOR97" s="769"/>
      <c r="TOS97" s="769"/>
      <c r="TOT97" s="769"/>
      <c r="TOU97" s="769"/>
      <c r="TOV97" s="769"/>
      <c r="TOW97" s="769"/>
      <c r="TOX97" s="769"/>
      <c r="TOY97" s="769"/>
      <c r="TOZ97" s="769"/>
      <c r="TPA97" s="769"/>
      <c r="TPB97" s="769"/>
      <c r="TPC97" s="769"/>
      <c r="TPD97" s="769"/>
      <c r="TPE97" s="769"/>
      <c r="TPF97" s="769"/>
      <c r="TPG97" s="769"/>
      <c r="TPH97" s="769"/>
      <c r="TPI97" s="769"/>
      <c r="TPJ97" s="769"/>
      <c r="TPK97" s="769"/>
      <c r="TPL97" s="769"/>
      <c r="TPM97" s="769"/>
      <c r="TPN97" s="769"/>
      <c r="TPO97" s="769"/>
      <c r="TPP97" s="769"/>
      <c r="TPQ97" s="769"/>
      <c r="TPR97" s="769"/>
      <c r="TPS97" s="769"/>
      <c r="TPT97" s="769"/>
      <c r="TPU97" s="769"/>
      <c r="TPV97" s="769"/>
      <c r="TPW97" s="769"/>
      <c r="TPX97" s="769"/>
      <c r="TPY97" s="769"/>
      <c r="TPZ97" s="769"/>
      <c r="TQA97" s="769"/>
      <c r="TQB97" s="769"/>
      <c r="TQC97" s="769"/>
      <c r="TQD97" s="769"/>
      <c r="TQE97" s="769"/>
      <c r="TQF97" s="769"/>
      <c r="TQG97" s="769"/>
      <c r="TQH97" s="769"/>
      <c r="TQI97" s="769"/>
      <c r="TQJ97" s="769"/>
      <c r="TQK97" s="769"/>
      <c r="TQL97" s="769"/>
      <c r="TQM97" s="769"/>
      <c r="TQN97" s="769"/>
      <c r="TQO97" s="769"/>
      <c r="TQP97" s="769"/>
      <c r="TQQ97" s="769"/>
      <c r="TQR97" s="769"/>
      <c r="TQS97" s="769"/>
      <c r="TQT97" s="769"/>
      <c r="TQU97" s="769"/>
      <c r="TQV97" s="769"/>
      <c r="TQW97" s="769"/>
      <c r="TQX97" s="769"/>
      <c r="TQY97" s="769"/>
      <c r="TQZ97" s="769"/>
      <c r="TRA97" s="769"/>
      <c r="TRB97" s="769"/>
      <c r="TRC97" s="769"/>
      <c r="TRD97" s="769"/>
      <c r="TRE97" s="769"/>
      <c r="TRF97" s="769"/>
      <c r="TRG97" s="769"/>
      <c r="TRH97" s="769"/>
      <c r="TRI97" s="769"/>
      <c r="TRJ97" s="769"/>
      <c r="TRK97" s="769"/>
      <c r="TRL97" s="769"/>
      <c r="TRM97" s="769"/>
      <c r="TRN97" s="769"/>
      <c r="TRO97" s="769"/>
      <c r="TRP97" s="769"/>
      <c r="TRQ97" s="769"/>
      <c r="TRR97" s="769"/>
      <c r="TRS97" s="769"/>
      <c r="TRT97" s="769"/>
      <c r="TRU97" s="769"/>
      <c r="TRV97" s="769"/>
      <c r="TRW97" s="769"/>
      <c r="TRX97" s="769"/>
      <c r="TRY97" s="769"/>
      <c r="TRZ97" s="769"/>
      <c r="TSA97" s="769"/>
      <c r="TSB97" s="769"/>
      <c r="TSC97" s="769"/>
      <c r="TSD97" s="769"/>
      <c r="TSE97" s="769"/>
      <c r="TSF97" s="769"/>
      <c r="TSG97" s="769"/>
      <c r="TSH97" s="769"/>
      <c r="TSI97" s="769"/>
      <c r="TSJ97" s="769"/>
      <c r="TSK97" s="769"/>
      <c r="TSL97" s="769"/>
      <c r="TSM97" s="769"/>
      <c r="TSN97" s="769"/>
      <c r="TSO97" s="769"/>
      <c r="TSP97" s="769"/>
      <c r="TSQ97" s="769"/>
      <c r="TSR97" s="769"/>
      <c r="TSS97" s="769"/>
      <c r="TST97" s="769"/>
      <c r="TSU97" s="769"/>
      <c r="TSV97" s="769"/>
      <c r="TSW97" s="769"/>
      <c r="TSX97" s="769"/>
      <c r="TSY97" s="769"/>
      <c r="TSZ97" s="769"/>
      <c r="TTA97" s="769"/>
      <c r="TTB97" s="769"/>
      <c r="TTC97" s="769"/>
      <c r="TTD97" s="769"/>
      <c r="TTE97" s="769"/>
      <c r="TTF97" s="769"/>
      <c r="TTG97" s="769"/>
      <c r="TTH97" s="769"/>
      <c r="TTI97" s="769"/>
      <c r="TTJ97" s="769"/>
      <c r="TTK97" s="769"/>
      <c r="TTL97" s="769"/>
      <c r="TTM97" s="769"/>
      <c r="TTN97" s="769"/>
      <c r="TTO97" s="769"/>
      <c r="TTP97" s="769"/>
      <c r="TTQ97" s="769"/>
      <c r="TTR97" s="769"/>
      <c r="TTS97" s="769"/>
      <c r="TTT97" s="769"/>
      <c r="TTU97" s="769"/>
      <c r="TTV97" s="769"/>
      <c r="TTW97" s="769"/>
      <c r="TTX97" s="769"/>
      <c r="TTY97" s="769"/>
      <c r="TTZ97" s="769"/>
      <c r="TUA97" s="769"/>
      <c r="TUB97" s="769"/>
      <c r="TUC97" s="769"/>
      <c r="TUD97" s="769"/>
      <c r="TUE97" s="769"/>
      <c r="TUF97" s="769"/>
      <c r="TUG97" s="769"/>
      <c r="TUH97" s="769"/>
      <c r="TUI97" s="769"/>
      <c r="TUJ97" s="769"/>
      <c r="TUK97" s="769"/>
      <c r="TUL97" s="769"/>
      <c r="TUM97" s="769"/>
      <c r="TUN97" s="769"/>
      <c r="TUO97" s="769"/>
      <c r="TUP97" s="769"/>
      <c r="TUQ97" s="769"/>
      <c r="TUR97" s="769"/>
      <c r="TUS97" s="769"/>
      <c r="TUT97" s="769"/>
      <c r="TUU97" s="769"/>
      <c r="TUV97" s="769"/>
      <c r="TUW97" s="769"/>
      <c r="TUX97" s="769"/>
      <c r="TUY97" s="769"/>
      <c r="TUZ97" s="769"/>
      <c r="TVA97" s="769"/>
      <c r="TVB97" s="769"/>
      <c r="TVC97" s="769"/>
      <c r="TVD97" s="769"/>
      <c r="TVE97" s="769"/>
      <c r="TVF97" s="769"/>
      <c r="TVG97" s="769"/>
      <c r="TVH97" s="769"/>
      <c r="TVI97" s="769"/>
      <c r="TVJ97" s="769"/>
      <c r="TVK97" s="769"/>
      <c r="TVL97" s="769"/>
      <c r="TVM97" s="769"/>
      <c r="TVN97" s="769"/>
      <c r="TVO97" s="769"/>
      <c r="TVP97" s="769"/>
      <c r="TVQ97" s="769"/>
      <c r="TVR97" s="769"/>
      <c r="TVS97" s="769"/>
      <c r="TVT97" s="769"/>
      <c r="TVU97" s="769"/>
      <c r="TVV97" s="769"/>
      <c r="TVW97" s="769"/>
      <c r="TVX97" s="769"/>
      <c r="TVY97" s="769"/>
      <c r="TVZ97" s="769"/>
      <c r="TWA97" s="769"/>
      <c r="TWB97" s="769"/>
      <c r="TWC97" s="769"/>
      <c r="TWD97" s="769"/>
      <c r="TWE97" s="769"/>
      <c r="TWF97" s="769"/>
      <c r="TWG97" s="769"/>
      <c r="TWH97" s="769"/>
      <c r="TWI97" s="769"/>
      <c r="TWJ97" s="769"/>
      <c r="TWK97" s="769"/>
      <c r="TWL97" s="769"/>
      <c r="TWM97" s="769"/>
      <c r="TWN97" s="769"/>
      <c r="TWO97" s="769"/>
      <c r="TWP97" s="769"/>
      <c r="TWQ97" s="769"/>
      <c r="TWR97" s="769"/>
      <c r="TWS97" s="769"/>
      <c r="TWT97" s="769"/>
      <c r="TWU97" s="769"/>
      <c r="TWV97" s="769"/>
      <c r="TWW97" s="769"/>
      <c r="TWX97" s="769"/>
      <c r="TWY97" s="769"/>
      <c r="TWZ97" s="769"/>
      <c r="TXA97" s="769"/>
      <c r="TXB97" s="769"/>
      <c r="TXC97" s="769"/>
      <c r="TXD97" s="769"/>
      <c r="TXE97" s="769"/>
      <c r="TXF97" s="769"/>
      <c r="TXG97" s="769"/>
      <c r="TXH97" s="769"/>
      <c r="TXI97" s="769"/>
      <c r="TXJ97" s="769"/>
      <c r="TXK97" s="769"/>
      <c r="TXL97" s="769"/>
      <c r="TXM97" s="769"/>
      <c r="TXN97" s="769"/>
      <c r="TXO97" s="769"/>
      <c r="TXP97" s="769"/>
      <c r="TXQ97" s="769"/>
      <c r="TXR97" s="769"/>
      <c r="TXS97" s="769"/>
      <c r="TXT97" s="769"/>
      <c r="TXU97" s="769"/>
      <c r="TXV97" s="769"/>
      <c r="TXW97" s="769"/>
      <c r="TXX97" s="769"/>
      <c r="TXY97" s="769"/>
      <c r="TXZ97" s="769"/>
      <c r="TYA97" s="769"/>
      <c r="TYB97" s="769"/>
      <c r="TYC97" s="769"/>
      <c r="TYD97" s="769"/>
      <c r="TYE97" s="769"/>
      <c r="TYF97" s="769"/>
      <c r="TYG97" s="769"/>
      <c r="TYH97" s="769"/>
      <c r="TYI97" s="769"/>
      <c r="TYJ97" s="769"/>
      <c r="TYK97" s="769"/>
      <c r="TYL97" s="769"/>
      <c r="TYM97" s="769"/>
      <c r="TYN97" s="769"/>
      <c r="TYO97" s="769"/>
      <c r="TYP97" s="769"/>
      <c r="TYQ97" s="769"/>
      <c r="TYR97" s="769"/>
      <c r="TYS97" s="769"/>
      <c r="TYT97" s="769"/>
      <c r="TYU97" s="769"/>
      <c r="TYV97" s="769"/>
      <c r="TYW97" s="769"/>
      <c r="TYX97" s="769"/>
      <c r="TYY97" s="769"/>
      <c r="TYZ97" s="769"/>
      <c r="TZA97" s="769"/>
      <c r="TZB97" s="769"/>
      <c r="TZC97" s="769"/>
      <c r="TZD97" s="769"/>
      <c r="TZE97" s="769"/>
      <c r="TZF97" s="769"/>
      <c r="TZG97" s="769"/>
      <c r="TZH97" s="769"/>
      <c r="TZI97" s="769"/>
      <c r="TZJ97" s="769"/>
      <c r="TZK97" s="769"/>
      <c r="TZL97" s="769"/>
      <c r="TZM97" s="769"/>
      <c r="TZN97" s="769"/>
      <c r="TZO97" s="769"/>
      <c r="TZP97" s="769"/>
      <c r="TZQ97" s="769"/>
      <c r="TZR97" s="769"/>
      <c r="TZS97" s="769"/>
      <c r="TZT97" s="769"/>
      <c r="TZU97" s="769"/>
      <c r="TZV97" s="769"/>
      <c r="TZW97" s="769"/>
      <c r="TZX97" s="769"/>
      <c r="TZY97" s="769"/>
      <c r="TZZ97" s="769"/>
      <c r="UAA97" s="769"/>
      <c r="UAB97" s="769"/>
      <c r="UAC97" s="769"/>
      <c r="UAD97" s="769"/>
      <c r="UAE97" s="769"/>
      <c r="UAF97" s="769"/>
      <c r="UAG97" s="769"/>
      <c r="UAH97" s="769"/>
      <c r="UAI97" s="769"/>
      <c r="UAJ97" s="769"/>
      <c r="UAK97" s="769"/>
      <c r="UAL97" s="769"/>
      <c r="UAM97" s="769"/>
      <c r="UAN97" s="769"/>
      <c r="UAO97" s="769"/>
      <c r="UAP97" s="769"/>
      <c r="UAQ97" s="769"/>
      <c r="UAR97" s="769"/>
      <c r="UAS97" s="769"/>
      <c r="UAT97" s="769"/>
      <c r="UAU97" s="769"/>
      <c r="UAV97" s="769"/>
      <c r="UAW97" s="769"/>
      <c r="UAX97" s="769"/>
      <c r="UAY97" s="769"/>
      <c r="UAZ97" s="769"/>
      <c r="UBA97" s="769"/>
      <c r="UBB97" s="769"/>
      <c r="UBC97" s="769"/>
      <c r="UBD97" s="769"/>
      <c r="UBE97" s="769"/>
      <c r="UBF97" s="769"/>
      <c r="UBG97" s="769"/>
      <c r="UBH97" s="769"/>
      <c r="UBI97" s="769"/>
      <c r="UBJ97" s="769"/>
      <c r="UBK97" s="769"/>
      <c r="UBL97" s="769"/>
      <c r="UBM97" s="769"/>
      <c r="UBN97" s="769"/>
      <c r="UBO97" s="769"/>
      <c r="UBP97" s="769"/>
      <c r="UBQ97" s="769"/>
      <c r="UBR97" s="769"/>
      <c r="UBS97" s="769"/>
      <c r="UBT97" s="769"/>
      <c r="UBU97" s="769"/>
      <c r="UBV97" s="769"/>
      <c r="UBW97" s="769"/>
      <c r="UBX97" s="769"/>
      <c r="UBY97" s="769"/>
      <c r="UBZ97" s="769"/>
      <c r="UCA97" s="769"/>
      <c r="UCB97" s="769"/>
      <c r="UCC97" s="769"/>
      <c r="UCD97" s="769"/>
      <c r="UCE97" s="769"/>
      <c r="UCF97" s="769"/>
      <c r="UCG97" s="769"/>
      <c r="UCH97" s="769"/>
      <c r="UCI97" s="769"/>
      <c r="UCJ97" s="769"/>
      <c r="UCK97" s="769"/>
      <c r="UCL97" s="769"/>
      <c r="UCM97" s="769"/>
      <c r="UCN97" s="769"/>
      <c r="UCO97" s="769"/>
      <c r="UCP97" s="769"/>
      <c r="UCQ97" s="769"/>
      <c r="UCR97" s="769"/>
      <c r="UCS97" s="769"/>
      <c r="UCT97" s="769"/>
      <c r="UCU97" s="769"/>
      <c r="UCV97" s="769"/>
      <c r="UCW97" s="769"/>
      <c r="UCX97" s="769"/>
      <c r="UCY97" s="769"/>
      <c r="UCZ97" s="769"/>
      <c r="UDA97" s="769"/>
      <c r="UDB97" s="769"/>
      <c r="UDC97" s="769"/>
      <c r="UDD97" s="769"/>
      <c r="UDE97" s="769"/>
      <c r="UDF97" s="769"/>
      <c r="UDG97" s="769"/>
      <c r="UDH97" s="769"/>
      <c r="UDI97" s="769"/>
      <c r="UDJ97" s="769"/>
      <c r="UDK97" s="769"/>
      <c r="UDL97" s="769"/>
      <c r="UDM97" s="769"/>
      <c r="UDN97" s="769"/>
      <c r="UDO97" s="769"/>
      <c r="UDP97" s="769"/>
      <c r="UDQ97" s="769"/>
      <c r="UDR97" s="769"/>
      <c r="UDS97" s="769"/>
      <c r="UDT97" s="769"/>
      <c r="UDU97" s="769"/>
      <c r="UDV97" s="769"/>
      <c r="UDW97" s="769"/>
      <c r="UDX97" s="769"/>
      <c r="UDY97" s="769"/>
      <c r="UDZ97" s="769"/>
      <c r="UEA97" s="769"/>
      <c r="UEB97" s="769"/>
      <c r="UEC97" s="769"/>
      <c r="UED97" s="769"/>
      <c r="UEE97" s="769"/>
      <c r="UEF97" s="769"/>
      <c r="UEG97" s="769"/>
      <c r="UEH97" s="769"/>
      <c r="UEI97" s="769"/>
      <c r="UEJ97" s="769"/>
      <c r="UEK97" s="769"/>
      <c r="UEL97" s="769"/>
      <c r="UEM97" s="769"/>
      <c r="UEN97" s="769"/>
      <c r="UEO97" s="769"/>
      <c r="UEP97" s="769"/>
      <c r="UEQ97" s="769"/>
      <c r="UER97" s="769"/>
      <c r="UES97" s="769"/>
      <c r="UET97" s="769"/>
      <c r="UEU97" s="769"/>
      <c r="UEV97" s="769"/>
      <c r="UEW97" s="769"/>
      <c r="UEX97" s="769"/>
      <c r="UEY97" s="769"/>
      <c r="UEZ97" s="769"/>
      <c r="UFA97" s="769"/>
      <c r="UFB97" s="769"/>
      <c r="UFC97" s="769"/>
      <c r="UFD97" s="769"/>
      <c r="UFE97" s="769"/>
      <c r="UFF97" s="769"/>
      <c r="UFG97" s="769"/>
      <c r="UFH97" s="769"/>
      <c r="UFI97" s="769"/>
      <c r="UFJ97" s="769"/>
      <c r="UFK97" s="769"/>
      <c r="UFL97" s="769"/>
      <c r="UFM97" s="769"/>
      <c r="UFN97" s="769"/>
      <c r="UFO97" s="769"/>
      <c r="UFP97" s="769"/>
      <c r="UFQ97" s="769"/>
      <c r="UFR97" s="769"/>
      <c r="UFS97" s="769"/>
      <c r="UFT97" s="769"/>
      <c r="UFU97" s="769"/>
      <c r="UFV97" s="769"/>
      <c r="UFW97" s="769"/>
      <c r="UFX97" s="769"/>
      <c r="UFY97" s="769"/>
      <c r="UFZ97" s="769"/>
      <c r="UGA97" s="769"/>
      <c r="UGB97" s="769"/>
      <c r="UGC97" s="769"/>
      <c r="UGD97" s="769"/>
      <c r="UGE97" s="769"/>
      <c r="UGF97" s="769"/>
      <c r="UGG97" s="769"/>
      <c r="UGH97" s="769"/>
      <c r="UGI97" s="769"/>
      <c r="UGJ97" s="769"/>
      <c r="UGK97" s="769"/>
      <c r="UGL97" s="769"/>
      <c r="UGM97" s="769"/>
      <c r="UGN97" s="769"/>
      <c r="UGO97" s="769"/>
      <c r="UGP97" s="769"/>
      <c r="UGQ97" s="769"/>
      <c r="UGR97" s="769"/>
      <c r="UGS97" s="769"/>
      <c r="UGT97" s="769"/>
      <c r="UGU97" s="769"/>
      <c r="UGV97" s="769"/>
      <c r="UGW97" s="769"/>
      <c r="UGX97" s="769"/>
      <c r="UGY97" s="769"/>
      <c r="UGZ97" s="769"/>
      <c r="UHA97" s="769"/>
      <c r="UHB97" s="769"/>
      <c r="UHC97" s="769"/>
      <c r="UHD97" s="769"/>
      <c r="UHE97" s="769"/>
      <c r="UHF97" s="769"/>
      <c r="UHG97" s="769"/>
      <c r="UHH97" s="769"/>
      <c r="UHI97" s="769"/>
      <c r="UHJ97" s="769"/>
      <c r="UHK97" s="769"/>
      <c r="UHL97" s="769"/>
      <c r="UHM97" s="769"/>
      <c r="UHN97" s="769"/>
      <c r="UHO97" s="769"/>
      <c r="UHP97" s="769"/>
      <c r="UHQ97" s="769"/>
      <c r="UHR97" s="769"/>
      <c r="UHS97" s="769"/>
      <c r="UHT97" s="769"/>
      <c r="UHU97" s="769"/>
      <c r="UHV97" s="769"/>
      <c r="UHW97" s="769"/>
      <c r="UHX97" s="769"/>
      <c r="UHY97" s="769"/>
      <c r="UHZ97" s="769"/>
      <c r="UIA97" s="769"/>
      <c r="UIB97" s="769"/>
      <c r="UIC97" s="769"/>
      <c r="UID97" s="769"/>
      <c r="UIE97" s="769"/>
      <c r="UIF97" s="769"/>
      <c r="UIG97" s="769"/>
      <c r="UIH97" s="769"/>
      <c r="UII97" s="769"/>
      <c r="UIJ97" s="769"/>
      <c r="UIK97" s="769"/>
      <c r="UIL97" s="769"/>
      <c r="UIM97" s="769"/>
      <c r="UIN97" s="769"/>
      <c r="UIO97" s="769"/>
      <c r="UIP97" s="769"/>
      <c r="UIQ97" s="769"/>
      <c r="UIR97" s="769"/>
      <c r="UIS97" s="769"/>
      <c r="UIT97" s="769"/>
      <c r="UIU97" s="769"/>
      <c r="UIV97" s="769"/>
      <c r="UIW97" s="769"/>
      <c r="UIX97" s="769"/>
      <c r="UIY97" s="769"/>
      <c r="UIZ97" s="769"/>
      <c r="UJA97" s="769"/>
      <c r="UJB97" s="769"/>
      <c r="UJC97" s="769"/>
      <c r="UJD97" s="769"/>
      <c r="UJE97" s="769"/>
      <c r="UJF97" s="769"/>
      <c r="UJG97" s="769"/>
      <c r="UJH97" s="769"/>
      <c r="UJI97" s="769"/>
      <c r="UJJ97" s="769"/>
      <c r="UJK97" s="769"/>
      <c r="UJL97" s="769"/>
      <c r="UJM97" s="769"/>
      <c r="UJN97" s="769"/>
      <c r="UJO97" s="769"/>
      <c r="UJP97" s="769"/>
      <c r="UJQ97" s="769"/>
      <c r="UJR97" s="769"/>
      <c r="UJS97" s="769"/>
      <c r="UJT97" s="769"/>
      <c r="UJU97" s="769"/>
      <c r="UJV97" s="769"/>
      <c r="UJW97" s="769"/>
      <c r="UJX97" s="769"/>
      <c r="UJY97" s="769"/>
      <c r="UJZ97" s="769"/>
      <c r="UKA97" s="769"/>
      <c r="UKB97" s="769"/>
      <c r="UKC97" s="769"/>
      <c r="UKD97" s="769"/>
      <c r="UKE97" s="769"/>
      <c r="UKF97" s="769"/>
      <c r="UKG97" s="769"/>
      <c r="UKH97" s="769"/>
      <c r="UKI97" s="769"/>
      <c r="UKJ97" s="769"/>
      <c r="UKK97" s="769"/>
      <c r="UKL97" s="769"/>
      <c r="UKM97" s="769"/>
      <c r="UKN97" s="769"/>
      <c r="UKO97" s="769"/>
      <c r="UKP97" s="769"/>
      <c r="UKQ97" s="769"/>
      <c r="UKR97" s="769"/>
      <c r="UKS97" s="769"/>
      <c r="UKT97" s="769"/>
      <c r="UKU97" s="769"/>
      <c r="UKV97" s="769"/>
      <c r="UKW97" s="769"/>
      <c r="UKX97" s="769"/>
      <c r="UKY97" s="769"/>
      <c r="UKZ97" s="769"/>
      <c r="ULA97" s="769"/>
      <c r="ULB97" s="769"/>
      <c r="ULC97" s="769"/>
      <c r="ULD97" s="769"/>
      <c r="ULE97" s="769"/>
      <c r="ULF97" s="769"/>
      <c r="ULG97" s="769"/>
      <c r="ULH97" s="769"/>
      <c r="ULI97" s="769"/>
      <c r="ULJ97" s="769"/>
      <c r="ULK97" s="769"/>
      <c r="ULL97" s="769"/>
      <c r="ULM97" s="769"/>
      <c r="ULN97" s="769"/>
      <c r="ULO97" s="769"/>
      <c r="ULP97" s="769"/>
      <c r="ULQ97" s="769"/>
      <c r="ULR97" s="769"/>
      <c r="ULS97" s="769"/>
      <c r="ULT97" s="769"/>
      <c r="ULU97" s="769"/>
      <c r="ULV97" s="769"/>
      <c r="ULW97" s="769"/>
      <c r="ULX97" s="769"/>
      <c r="ULY97" s="769"/>
      <c r="ULZ97" s="769"/>
      <c r="UMA97" s="769"/>
      <c r="UMB97" s="769"/>
      <c r="UMC97" s="769"/>
      <c r="UMD97" s="769"/>
      <c r="UME97" s="769"/>
      <c r="UMF97" s="769"/>
      <c r="UMG97" s="769"/>
      <c r="UMH97" s="769"/>
      <c r="UMI97" s="769"/>
      <c r="UMJ97" s="769"/>
      <c r="UMK97" s="769"/>
      <c r="UML97" s="769"/>
      <c r="UMM97" s="769"/>
      <c r="UMN97" s="769"/>
      <c r="UMO97" s="769"/>
      <c r="UMP97" s="769"/>
      <c r="UMQ97" s="769"/>
      <c r="UMR97" s="769"/>
      <c r="UMS97" s="769"/>
      <c r="UMT97" s="769"/>
      <c r="UMU97" s="769"/>
      <c r="UMV97" s="769"/>
      <c r="UMW97" s="769"/>
      <c r="UMX97" s="769"/>
      <c r="UMY97" s="769"/>
      <c r="UMZ97" s="769"/>
      <c r="UNA97" s="769"/>
      <c r="UNB97" s="769"/>
      <c r="UNC97" s="769"/>
      <c r="UND97" s="769"/>
      <c r="UNE97" s="769"/>
      <c r="UNF97" s="769"/>
      <c r="UNG97" s="769"/>
      <c r="UNH97" s="769"/>
      <c r="UNI97" s="769"/>
      <c r="UNJ97" s="769"/>
      <c r="UNK97" s="769"/>
      <c r="UNL97" s="769"/>
      <c r="UNM97" s="769"/>
      <c r="UNN97" s="769"/>
      <c r="UNO97" s="769"/>
      <c r="UNP97" s="769"/>
      <c r="UNQ97" s="769"/>
      <c r="UNR97" s="769"/>
      <c r="UNS97" s="769"/>
      <c r="UNT97" s="769"/>
      <c r="UNU97" s="769"/>
      <c r="UNV97" s="769"/>
      <c r="UNW97" s="769"/>
      <c r="UNX97" s="769"/>
      <c r="UNY97" s="769"/>
      <c r="UNZ97" s="769"/>
      <c r="UOA97" s="769"/>
      <c r="UOB97" s="769"/>
      <c r="UOC97" s="769"/>
      <c r="UOD97" s="769"/>
      <c r="UOE97" s="769"/>
      <c r="UOF97" s="769"/>
      <c r="UOG97" s="769"/>
      <c r="UOH97" s="769"/>
      <c r="UOI97" s="769"/>
      <c r="UOJ97" s="769"/>
      <c r="UOK97" s="769"/>
      <c r="UOL97" s="769"/>
      <c r="UOM97" s="769"/>
      <c r="UON97" s="769"/>
      <c r="UOO97" s="769"/>
      <c r="UOP97" s="769"/>
      <c r="UOQ97" s="769"/>
      <c r="UOR97" s="769"/>
      <c r="UOS97" s="769"/>
      <c r="UOT97" s="769"/>
      <c r="UOU97" s="769"/>
      <c r="UOV97" s="769"/>
      <c r="UOW97" s="769"/>
      <c r="UOX97" s="769"/>
      <c r="UOY97" s="769"/>
      <c r="UOZ97" s="769"/>
      <c r="UPA97" s="769"/>
      <c r="UPB97" s="769"/>
      <c r="UPC97" s="769"/>
      <c r="UPD97" s="769"/>
      <c r="UPE97" s="769"/>
      <c r="UPF97" s="769"/>
      <c r="UPG97" s="769"/>
      <c r="UPH97" s="769"/>
      <c r="UPI97" s="769"/>
      <c r="UPJ97" s="769"/>
      <c r="UPK97" s="769"/>
      <c r="UPL97" s="769"/>
      <c r="UPM97" s="769"/>
      <c r="UPN97" s="769"/>
      <c r="UPO97" s="769"/>
      <c r="UPP97" s="769"/>
      <c r="UPQ97" s="769"/>
      <c r="UPR97" s="769"/>
      <c r="UPS97" s="769"/>
      <c r="UPT97" s="769"/>
      <c r="UPU97" s="769"/>
      <c r="UPV97" s="769"/>
      <c r="UPW97" s="769"/>
      <c r="UPX97" s="769"/>
      <c r="UPY97" s="769"/>
      <c r="UPZ97" s="769"/>
      <c r="UQA97" s="769"/>
      <c r="UQB97" s="769"/>
      <c r="UQC97" s="769"/>
      <c r="UQD97" s="769"/>
      <c r="UQE97" s="769"/>
      <c r="UQF97" s="769"/>
      <c r="UQG97" s="769"/>
      <c r="UQH97" s="769"/>
      <c r="UQI97" s="769"/>
      <c r="UQJ97" s="769"/>
      <c r="UQK97" s="769"/>
      <c r="UQL97" s="769"/>
      <c r="UQM97" s="769"/>
      <c r="UQN97" s="769"/>
      <c r="UQO97" s="769"/>
      <c r="UQP97" s="769"/>
      <c r="UQQ97" s="769"/>
      <c r="UQR97" s="769"/>
      <c r="UQS97" s="769"/>
      <c r="UQT97" s="769"/>
      <c r="UQU97" s="769"/>
      <c r="UQV97" s="769"/>
      <c r="UQW97" s="769"/>
      <c r="UQX97" s="769"/>
      <c r="UQY97" s="769"/>
      <c r="UQZ97" s="769"/>
      <c r="URA97" s="769"/>
      <c r="URB97" s="769"/>
      <c r="URC97" s="769"/>
      <c r="URD97" s="769"/>
      <c r="URE97" s="769"/>
      <c r="URF97" s="769"/>
      <c r="URG97" s="769"/>
      <c r="URH97" s="769"/>
      <c r="URI97" s="769"/>
      <c r="URJ97" s="769"/>
      <c r="URK97" s="769"/>
      <c r="URL97" s="769"/>
      <c r="URM97" s="769"/>
      <c r="URN97" s="769"/>
      <c r="URO97" s="769"/>
      <c r="URP97" s="769"/>
      <c r="URQ97" s="769"/>
      <c r="URR97" s="769"/>
      <c r="URS97" s="769"/>
      <c r="URT97" s="769"/>
      <c r="URU97" s="769"/>
      <c r="URV97" s="769"/>
      <c r="URW97" s="769"/>
      <c r="URX97" s="769"/>
      <c r="URY97" s="769"/>
      <c r="URZ97" s="769"/>
      <c r="USA97" s="769"/>
      <c r="USB97" s="769"/>
      <c r="USC97" s="769"/>
      <c r="USD97" s="769"/>
      <c r="USE97" s="769"/>
      <c r="USF97" s="769"/>
      <c r="USG97" s="769"/>
      <c r="USH97" s="769"/>
      <c r="USI97" s="769"/>
      <c r="USJ97" s="769"/>
      <c r="USK97" s="769"/>
      <c r="USL97" s="769"/>
      <c r="USM97" s="769"/>
      <c r="USN97" s="769"/>
      <c r="USO97" s="769"/>
      <c r="USP97" s="769"/>
      <c r="USQ97" s="769"/>
      <c r="USR97" s="769"/>
      <c r="USS97" s="769"/>
      <c r="UST97" s="769"/>
      <c r="USU97" s="769"/>
      <c r="USV97" s="769"/>
      <c r="USW97" s="769"/>
      <c r="USX97" s="769"/>
      <c r="USY97" s="769"/>
      <c r="USZ97" s="769"/>
      <c r="UTA97" s="769"/>
      <c r="UTB97" s="769"/>
      <c r="UTC97" s="769"/>
      <c r="UTD97" s="769"/>
      <c r="UTE97" s="769"/>
      <c r="UTF97" s="769"/>
      <c r="UTG97" s="769"/>
      <c r="UTH97" s="769"/>
      <c r="UTI97" s="769"/>
      <c r="UTJ97" s="769"/>
      <c r="UTK97" s="769"/>
      <c r="UTL97" s="769"/>
      <c r="UTM97" s="769"/>
      <c r="UTN97" s="769"/>
      <c r="UTO97" s="769"/>
      <c r="UTP97" s="769"/>
      <c r="UTQ97" s="769"/>
      <c r="UTR97" s="769"/>
      <c r="UTS97" s="769"/>
      <c r="UTT97" s="769"/>
      <c r="UTU97" s="769"/>
      <c r="UTV97" s="769"/>
      <c r="UTW97" s="769"/>
      <c r="UTX97" s="769"/>
      <c r="UTY97" s="769"/>
      <c r="UTZ97" s="769"/>
      <c r="UUA97" s="769"/>
      <c r="UUB97" s="769"/>
      <c r="UUC97" s="769"/>
      <c r="UUD97" s="769"/>
      <c r="UUE97" s="769"/>
      <c r="UUF97" s="769"/>
      <c r="UUG97" s="769"/>
      <c r="UUH97" s="769"/>
      <c r="UUI97" s="769"/>
      <c r="UUJ97" s="769"/>
      <c r="UUK97" s="769"/>
      <c r="UUL97" s="769"/>
      <c r="UUM97" s="769"/>
      <c r="UUN97" s="769"/>
      <c r="UUO97" s="769"/>
      <c r="UUP97" s="769"/>
      <c r="UUQ97" s="769"/>
      <c r="UUR97" s="769"/>
      <c r="UUS97" s="769"/>
      <c r="UUT97" s="769"/>
      <c r="UUU97" s="769"/>
      <c r="UUV97" s="769"/>
      <c r="UUW97" s="769"/>
      <c r="UUX97" s="769"/>
      <c r="UUY97" s="769"/>
      <c r="UUZ97" s="769"/>
      <c r="UVA97" s="769"/>
      <c r="UVB97" s="769"/>
      <c r="UVC97" s="769"/>
      <c r="UVD97" s="769"/>
      <c r="UVE97" s="769"/>
      <c r="UVF97" s="769"/>
      <c r="UVG97" s="769"/>
      <c r="UVH97" s="769"/>
      <c r="UVI97" s="769"/>
      <c r="UVJ97" s="769"/>
      <c r="UVK97" s="769"/>
      <c r="UVL97" s="769"/>
      <c r="UVM97" s="769"/>
      <c r="UVN97" s="769"/>
      <c r="UVO97" s="769"/>
      <c r="UVP97" s="769"/>
      <c r="UVQ97" s="769"/>
      <c r="UVR97" s="769"/>
      <c r="UVS97" s="769"/>
      <c r="UVT97" s="769"/>
      <c r="UVU97" s="769"/>
      <c r="UVV97" s="769"/>
      <c r="UVW97" s="769"/>
      <c r="UVX97" s="769"/>
      <c r="UVY97" s="769"/>
      <c r="UVZ97" s="769"/>
      <c r="UWA97" s="769"/>
      <c r="UWB97" s="769"/>
      <c r="UWC97" s="769"/>
      <c r="UWD97" s="769"/>
      <c r="UWE97" s="769"/>
      <c r="UWF97" s="769"/>
      <c r="UWG97" s="769"/>
      <c r="UWH97" s="769"/>
      <c r="UWI97" s="769"/>
      <c r="UWJ97" s="769"/>
      <c r="UWK97" s="769"/>
      <c r="UWL97" s="769"/>
      <c r="UWM97" s="769"/>
      <c r="UWN97" s="769"/>
      <c r="UWO97" s="769"/>
      <c r="UWP97" s="769"/>
      <c r="UWQ97" s="769"/>
      <c r="UWR97" s="769"/>
      <c r="UWS97" s="769"/>
      <c r="UWT97" s="769"/>
      <c r="UWU97" s="769"/>
      <c r="UWV97" s="769"/>
      <c r="UWW97" s="769"/>
      <c r="UWX97" s="769"/>
      <c r="UWY97" s="769"/>
      <c r="UWZ97" s="769"/>
      <c r="UXA97" s="769"/>
      <c r="UXB97" s="769"/>
      <c r="UXC97" s="769"/>
      <c r="UXD97" s="769"/>
      <c r="UXE97" s="769"/>
      <c r="UXF97" s="769"/>
      <c r="UXG97" s="769"/>
      <c r="UXH97" s="769"/>
      <c r="UXI97" s="769"/>
      <c r="UXJ97" s="769"/>
      <c r="UXK97" s="769"/>
      <c r="UXL97" s="769"/>
      <c r="UXM97" s="769"/>
      <c r="UXN97" s="769"/>
      <c r="UXO97" s="769"/>
      <c r="UXP97" s="769"/>
      <c r="UXQ97" s="769"/>
      <c r="UXR97" s="769"/>
      <c r="UXS97" s="769"/>
      <c r="UXT97" s="769"/>
      <c r="UXU97" s="769"/>
      <c r="UXV97" s="769"/>
      <c r="UXW97" s="769"/>
      <c r="UXX97" s="769"/>
      <c r="UXY97" s="769"/>
      <c r="UXZ97" s="769"/>
      <c r="UYA97" s="769"/>
      <c r="UYB97" s="769"/>
      <c r="UYC97" s="769"/>
      <c r="UYD97" s="769"/>
      <c r="UYE97" s="769"/>
      <c r="UYF97" s="769"/>
      <c r="UYG97" s="769"/>
      <c r="UYH97" s="769"/>
      <c r="UYI97" s="769"/>
      <c r="UYJ97" s="769"/>
      <c r="UYK97" s="769"/>
      <c r="UYL97" s="769"/>
      <c r="UYM97" s="769"/>
      <c r="UYN97" s="769"/>
      <c r="UYO97" s="769"/>
      <c r="UYP97" s="769"/>
      <c r="UYQ97" s="769"/>
      <c r="UYR97" s="769"/>
      <c r="UYS97" s="769"/>
      <c r="UYT97" s="769"/>
      <c r="UYU97" s="769"/>
      <c r="UYV97" s="769"/>
      <c r="UYW97" s="769"/>
      <c r="UYX97" s="769"/>
      <c r="UYY97" s="769"/>
      <c r="UYZ97" s="769"/>
      <c r="UZA97" s="769"/>
      <c r="UZB97" s="769"/>
      <c r="UZC97" s="769"/>
      <c r="UZD97" s="769"/>
      <c r="UZE97" s="769"/>
      <c r="UZF97" s="769"/>
      <c r="UZG97" s="769"/>
      <c r="UZH97" s="769"/>
      <c r="UZI97" s="769"/>
      <c r="UZJ97" s="769"/>
      <c r="UZK97" s="769"/>
      <c r="UZL97" s="769"/>
      <c r="UZM97" s="769"/>
      <c r="UZN97" s="769"/>
      <c r="UZO97" s="769"/>
      <c r="UZP97" s="769"/>
      <c r="UZQ97" s="769"/>
      <c r="UZR97" s="769"/>
      <c r="UZS97" s="769"/>
      <c r="UZT97" s="769"/>
      <c r="UZU97" s="769"/>
      <c r="UZV97" s="769"/>
      <c r="UZW97" s="769"/>
      <c r="UZX97" s="769"/>
      <c r="UZY97" s="769"/>
      <c r="UZZ97" s="769"/>
      <c r="VAA97" s="769"/>
      <c r="VAB97" s="769"/>
      <c r="VAC97" s="769"/>
      <c r="VAD97" s="769"/>
      <c r="VAE97" s="769"/>
      <c r="VAF97" s="769"/>
      <c r="VAG97" s="769"/>
      <c r="VAH97" s="769"/>
      <c r="VAI97" s="769"/>
      <c r="VAJ97" s="769"/>
      <c r="VAK97" s="769"/>
      <c r="VAL97" s="769"/>
      <c r="VAM97" s="769"/>
      <c r="VAN97" s="769"/>
      <c r="VAO97" s="769"/>
      <c r="VAP97" s="769"/>
      <c r="VAQ97" s="769"/>
      <c r="VAR97" s="769"/>
      <c r="VAS97" s="769"/>
      <c r="VAT97" s="769"/>
      <c r="VAU97" s="769"/>
      <c r="VAV97" s="769"/>
      <c r="VAW97" s="769"/>
      <c r="VAX97" s="769"/>
      <c r="VAY97" s="769"/>
      <c r="VAZ97" s="769"/>
      <c r="VBA97" s="769"/>
      <c r="VBB97" s="769"/>
      <c r="VBC97" s="769"/>
      <c r="VBD97" s="769"/>
      <c r="VBE97" s="769"/>
      <c r="VBF97" s="769"/>
      <c r="VBG97" s="769"/>
      <c r="VBH97" s="769"/>
      <c r="VBI97" s="769"/>
      <c r="VBJ97" s="769"/>
      <c r="VBK97" s="769"/>
      <c r="VBL97" s="769"/>
      <c r="VBM97" s="769"/>
      <c r="VBN97" s="769"/>
      <c r="VBO97" s="769"/>
      <c r="VBP97" s="769"/>
      <c r="VBQ97" s="769"/>
      <c r="VBR97" s="769"/>
      <c r="VBS97" s="769"/>
      <c r="VBT97" s="769"/>
      <c r="VBU97" s="769"/>
      <c r="VBV97" s="769"/>
      <c r="VBW97" s="769"/>
      <c r="VBX97" s="769"/>
      <c r="VBY97" s="769"/>
      <c r="VBZ97" s="769"/>
      <c r="VCA97" s="769"/>
      <c r="VCB97" s="769"/>
      <c r="VCC97" s="769"/>
      <c r="VCD97" s="769"/>
      <c r="VCE97" s="769"/>
      <c r="VCF97" s="769"/>
      <c r="VCG97" s="769"/>
      <c r="VCH97" s="769"/>
      <c r="VCI97" s="769"/>
      <c r="VCJ97" s="769"/>
      <c r="VCK97" s="769"/>
      <c r="VCL97" s="769"/>
      <c r="VCM97" s="769"/>
      <c r="VCN97" s="769"/>
      <c r="VCO97" s="769"/>
      <c r="VCP97" s="769"/>
      <c r="VCQ97" s="769"/>
      <c r="VCR97" s="769"/>
      <c r="VCS97" s="769"/>
      <c r="VCT97" s="769"/>
      <c r="VCU97" s="769"/>
      <c r="VCV97" s="769"/>
      <c r="VCW97" s="769"/>
      <c r="VCX97" s="769"/>
      <c r="VCY97" s="769"/>
      <c r="VCZ97" s="769"/>
      <c r="VDA97" s="769"/>
      <c r="VDB97" s="769"/>
      <c r="VDC97" s="769"/>
      <c r="VDD97" s="769"/>
      <c r="VDE97" s="769"/>
      <c r="VDF97" s="769"/>
      <c r="VDG97" s="769"/>
      <c r="VDH97" s="769"/>
      <c r="VDI97" s="769"/>
      <c r="VDJ97" s="769"/>
      <c r="VDK97" s="769"/>
      <c r="VDL97" s="769"/>
      <c r="VDM97" s="769"/>
      <c r="VDN97" s="769"/>
      <c r="VDO97" s="769"/>
      <c r="VDP97" s="769"/>
      <c r="VDQ97" s="769"/>
      <c r="VDR97" s="769"/>
      <c r="VDS97" s="769"/>
      <c r="VDT97" s="769"/>
      <c r="VDU97" s="769"/>
      <c r="VDV97" s="769"/>
      <c r="VDW97" s="769"/>
      <c r="VDX97" s="769"/>
      <c r="VDY97" s="769"/>
      <c r="VDZ97" s="769"/>
      <c r="VEA97" s="769"/>
      <c r="VEB97" s="769"/>
      <c r="VEC97" s="769"/>
      <c r="VED97" s="769"/>
      <c r="VEE97" s="769"/>
      <c r="VEF97" s="769"/>
      <c r="VEG97" s="769"/>
      <c r="VEH97" s="769"/>
      <c r="VEI97" s="769"/>
      <c r="VEJ97" s="769"/>
      <c r="VEK97" s="769"/>
      <c r="VEL97" s="769"/>
      <c r="VEM97" s="769"/>
      <c r="VEN97" s="769"/>
      <c r="VEO97" s="769"/>
      <c r="VEP97" s="769"/>
      <c r="VEQ97" s="769"/>
      <c r="VER97" s="769"/>
      <c r="VES97" s="769"/>
      <c r="VET97" s="769"/>
      <c r="VEU97" s="769"/>
      <c r="VEV97" s="769"/>
      <c r="VEW97" s="769"/>
      <c r="VEX97" s="769"/>
      <c r="VEY97" s="769"/>
      <c r="VEZ97" s="769"/>
      <c r="VFA97" s="769"/>
      <c r="VFB97" s="769"/>
      <c r="VFC97" s="769"/>
      <c r="VFD97" s="769"/>
      <c r="VFE97" s="769"/>
      <c r="VFF97" s="769"/>
      <c r="VFG97" s="769"/>
      <c r="VFH97" s="769"/>
      <c r="VFI97" s="769"/>
      <c r="VFJ97" s="769"/>
      <c r="VFK97" s="769"/>
      <c r="VFL97" s="769"/>
      <c r="VFM97" s="769"/>
      <c r="VFN97" s="769"/>
      <c r="VFO97" s="769"/>
      <c r="VFP97" s="769"/>
      <c r="VFQ97" s="769"/>
      <c r="VFR97" s="769"/>
      <c r="VFS97" s="769"/>
      <c r="VFT97" s="769"/>
      <c r="VFU97" s="769"/>
      <c r="VFV97" s="769"/>
      <c r="VFW97" s="769"/>
      <c r="VFX97" s="769"/>
      <c r="VFY97" s="769"/>
      <c r="VFZ97" s="769"/>
      <c r="VGA97" s="769"/>
      <c r="VGB97" s="769"/>
      <c r="VGC97" s="769"/>
      <c r="VGD97" s="769"/>
      <c r="VGE97" s="769"/>
      <c r="VGF97" s="769"/>
      <c r="VGG97" s="769"/>
      <c r="VGH97" s="769"/>
      <c r="VGI97" s="769"/>
      <c r="VGJ97" s="769"/>
      <c r="VGK97" s="769"/>
      <c r="VGL97" s="769"/>
      <c r="VGM97" s="769"/>
      <c r="VGN97" s="769"/>
      <c r="VGO97" s="769"/>
      <c r="VGP97" s="769"/>
      <c r="VGQ97" s="769"/>
      <c r="VGR97" s="769"/>
      <c r="VGS97" s="769"/>
      <c r="VGT97" s="769"/>
      <c r="VGU97" s="769"/>
      <c r="VGV97" s="769"/>
      <c r="VGW97" s="769"/>
      <c r="VGX97" s="769"/>
      <c r="VGY97" s="769"/>
      <c r="VGZ97" s="769"/>
      <c r="VHA97" s="769"/>
      <c r="VHB97" s="769"/>
      <c r="VHC97" s="769"/>
      <c r="VHD97" s="769"/>
      <c r="VHE97" s="769"/>
      <c r="VHF97" s="769"/>
      <c r="VHG97" s="769"/>
      <c r="VHH97" s="769"/>
      <c r="VHI97" s="769"/>
      <c r="VHJ97" s="769"/>
      <c r="VHK97" s="769"/>
      <c r="VHL97" s="769"/>
      <c r="VHM97" s="769"/>
      <c r="VHN97" s="769"/>
      <c r="VHO97" s="769"/>
      <c r="VHP97" s="769"/>
      <c r="VHQ97" s="769"/>
      <c r="VHR97" s="769"/>
      <c r="VHS97" s="769"/>
      <c r="VHT97" s="769"/>
      <c r="VHU97" s="769"/>
      <c r="VHV97" s="769"/>
      <c r="VHW97" s="769"/>
      <c r="VHX97" s="769"/>
      <c r="VHY97" s="769"/>
      <c r="VHZ97" s="769"/>
      <c r="VIA97" s="769"/>
      <c r="VIB97" s="769"/>
      <c r="VIC97" s="769"/>
      <c r="VID97" s="769"/>
      <c r="VIE97" s="769"/>
      <c r="VIF97" s="769"/>
      <c r="VIG97" s="769"/>
      <c r="VIH97" s="769"/>
      <c r="VII97" s="769"/>
      <c r="VIJ97" s="769"/>
      <c r="VIK97" s="769"/>
      <c r="VIL97" s="769"/>
      <c r="VIM97" s="769"/>
      <c r="VIN97" s="769"/>
      <c r="VIO97" s="769"/>
      <c r="VIP97" s="769"/>
      <c r="VIQ97" s="769"/>
      <c r="VIR97" s="769"/>
      <c r="VIS97" s="769"/>
      <c r="VIT97" s="769"/>
      <c r="VIU97" s="769"/>
      <c r="VIV97" s="769"/>
      <c r="VIW97" s="769"/>
      <c r="VIX97" s="769"/>
      <c r="VIY97" s="769"/>
      <c r="VIZ97" s="769"/>
      <c r="VJA97" s="769"/>
      <c r="VJB97" s="769"/>
      <c r="VJC97" s="769"/>
      <c r="VJD97" s="769"/>
      <c r="VJE97" s="769"/>
      <c r="VJF97" s="769"/>
      <c r="VJG97" s="769"/>
      <c r="VJH97" s="769"/>
      <c r="VJI97" s="769"/>
      <c r="VJJ97" s="769"/>
      <c r="VJK97" s="769"/>
      <c r="VJL97" s="769"/>
      <c r="VJM97" s="769"/>
      <c r="VJN97" s="769"/>
      <c r="VJO97" s="769"/>
      <c r="VJP97" s="769"/>
      <c r="VJQ97" s="769"/>
      <c r="VJR97" s="769"/>
      <c r="VJS97" s="769"/>
      <c r="VJT97" s="769"/>
      <c r="VJU97" s="769"/>
      <c r="VJV97" s="769"/>
      <c r="VJW97" s="769"/>
      <c r="VJX97" s="769"/>
      <c r="VJY97" s="769"/>
      <c r="VJZ97" s="769"/>
      <c r="VKA97" s="769"/>
      <c r="VKB97" s="769"/>
      <c r="VKC97" s="769"/>
      <c r="VKD97" s="769"/>
      <c r="VKE97" s="769"/>
      <c r="VKF97" s="769"/>
      <c r="VKG97" s="769"/>
      <c r="VKH97" s="769"/>
      <c r="VKI97" s="769"/>
      <c r="VKJ97" s="769"/>
      <c r="VKK97" s="769"/>
      <c r="VKL97" s="769"/>
      <c r="VKM97" s="769"/>
      <c r="VKN97" s="769"/>
      <c r="VKO97" s="769"/>
      <c r="VKP97" s="769"/>
      <c r="VKQ97" s="769"/>
      <c r="VKR97" s="769"/>
      <c r="VKS97" s="769"/>
      <c r="VKT97" s="769"/>
      <c r="VKU97" s="769"/>
      <c r="VKV97" s="769"/>
      <c r="VKW97" s="769"/>
      <c r="VKX97" s="769"/>
      <c r="VKY97" s="769"/>
      <c r="VKZ97" s="769"/>
      <c r="VLA97" s="769"/>
      <c r="VLB97" s="769"/>
      <c r="VLC97" s="769"/>
      <c r="VLD97" s="769"/>
      <c r="VLE97" s="769"/>
      <c r="VLF97" s="769"/>
      <c r="VLG97" s="769"/>
      <c r="VLH97" s="769"/>
      <c r="VLI97" s="769"/>
      <c r="VLJ97" s="769"/>
      <c r="VLK97" s="769"/>
      <c r="VLL97" s="769"/>
      <c r="VLM97" s="769"/>
      <c r="VLN97" s="769"/>
      <c r="VLO97" s="769"/>
      <c r="VLP97" s="769"/>
      <c r="VLQ97" s="769"/>
      <c r="VLR97" s="769"/>
      <c r="VLS97" s="769"/>
      <c r="VLT97" s="769"/>
      <c r="VLU97" s="769"/>
      <c r="VLV97" s="769"/>
      <c r="VLW97" s="769"/>
      <c r="VLX97" s="769"/>
      <c r="VLY97" s="769"/>
      <c r="VLZ97" s="769"/>
      <c r="VMA97" s="769"/>
      <c r="VMB97" s="769"/>
      <c r="VMC97" s="769"/>
      <c r="VMD97" s="769"/>
      <c r="VME97" s="769"/>
      <c r="VMF97" s="769"/>
      <c r="VMG97" s="769"/>
      <c r="VMH97" s="769"/>
      <c r="VMI97" s="769"/>
      <c r="VMJ97" s="769"/>
      <c r="VMK97" s="769"/>
      <c r="VML97" s="769"/>
      <c r="VMM97" s="769"/>
      <c r="VMN97" s="769"/>
      <c r="VMO97" s="769"/>
      <c r="VMP97" s="769"/>
      <c r="VMQ97" s="769"/>
      <c r="VMR97" s="769"/>
      <c r="VMS97" s="769"/>
      <c r="VMT97" s="769"/>
      <c r="VMU97" s="769"/>
      <c r="VMV97" s="769"/>
      <c r="VMW97" s="769"/>
      <c r="VMX97" s="769"/>
      <c r="VMY97" s="769"/>
      <c r="VMZ97" s="769"/>
      <c r="VNA97" s="769"/>
      <c r="VNB97" s="769"/>
      <c r="VNC97" s="769"/>
      <c r="VND97" s="769"/>
      <c r="VNE97" s="769"/>
      <c r="VNF97" s="769"/>
      <c r="VNG97" s="769"/>
      <c r="VNH97" s="769"/>
      <c r="VNI97" s="769"/>
      <c r="VNJ97" s="769"/>
      <c r="VNK97" s="769"/>
      <c r="VNL97" s="769"/>
      <c r="VNM97" s="769"/>
      <c r="VNN97" s="769"/>
      <c r="VNO97" s="769"/>
      <c r="VNP97" s="769"/>
      <c r="VNQ97" s="769"/>
      <c r="VNR97" s="769"/>
      <c r="VNS97" s="769"/>
      <c r="VNT97" s="769"/>
      <c r="VNU97" s="769"/>
      <c r="VNV97" s="769"/>
      <c r="VNW97" s="769"/>
      <c r="VNX97" s="769"/>
      <c r="VNY97" s="769"/>
      <c r="VNZ97" s="769"/>
      <c r="VOA97" s="769"/>
      <c r="VOB97" s="769"/>
      <c r="VOC97" s="769"/>
      <c r="VOD97" s="769"/>
      <c r="VOE97" s="769"/>
      <c r="VOF97" s="769"/>
      <c r="VOG97" s="769"/>
      <c r="VOH97" s="769"/>
      <c r="VOI97" s="769"/>
      <c r="VOJ97" s="769"/>
      <c r="VOK97" s="769"/>
      <c r="VOL97" s="769"/>
      <c r="VOM97" s="769"/>
      <c r="VON97" s="769"/>
      <c r="VOO97" s="769"/>
      <c r="VOP97" s="769"/>
      <c r="VOQ97" s="769"/>
      <c r="VOR97" s="769"/>
      <c r="VOS97" s="769"/>
      <c r="VOT97" s="769"/>
      <c r="VOU97" s="769"/>
      <c r="VOV97" s="769"/>
      <c r="VOW97" s="769"/>
      <c r="VOX97" s="769"/>
      <c r="VOY97" s="769"/>
      <c r="VOZ97" s="769"/>
      <c r="VPA97" s="769"/>
      <c r="VPB97" s="769"/>
      <c r="VPC97" s="769"/>
      <c r="VPD97" s="769"/>
      <c r="VPE97" s="769"/>
      <c r="VPF97" s="769"/>
      <c r="VPG97" s="769"/>
      <c r="VPH97" s="769"/>
      <c r="VPI97" s="769"/>
      <c r="VPJ97" s="769"/>
      <c r="VPK97" s="769"/>
      <c r="VPL97" s="769"/>
      <c r="VPM97" s="769"/>
      <c r="VPN97" s="769"/>
      <c r="VPO97" s="769"/>
      <c r="VPP97" s="769"/>
      <c r="VPQ97" s="769"/>
      <c r="VPR97" s="769"/>
      <c r="VPS97" s="769"/>
      <c r="VPT97" s="769"/>
      <c r="VPU97" s="769"/>
      <c r="VPV97" s="769"/>
      <c r="VPW97" s="769"/>
      <c r="VPX97" s="769"/>
      <c r="VPY97" s="769"/>
      <c r="VPZ97" s="769"/>
      <c r="VQA97" s="769"/>
      <c r="VQB97" s="769"/>
      <c r="VQC97" s="769"/>
      <c r="VQD97" s="769"/>
      <c r="VQE97" s="769"/>
      <c r="VQF97" s="769"/>
      <c r="VQG97" s="769"/>
      <c r="VQH97" s="769"/>
      <c r="VQI97" s="769"/>
      <c r="VQJ97" s="769"/>
      <c r="VQK97" s="769"/>
      <c r="VQL97" s="769"/>
      <c r="VQM97" s="769"/>
      <c r="VQN97" s="769"/>
      <c r="VQO97" s="769"/>
      <c r="VQP97" s="769"/>
      <c r="VQQ97" s="769"/>
      <c r="VQR97" s="769"/>
      <c r="VQS97" s="769"/>
      <c r="VQT97" s="769"/>
      <c r="VQU97" s="769"/>
      <c r="VQV97" s="769"/>
      <c r="VQW97" s="769"/>
      <c r="VQX97" s="769"/>
      <c r="VQY97" s="769"/>
      <c r="VQZ97" s="769"/>
      <c r="VRA97" s="769"/>
      <c r="VRB97" s="769"/>
      <c r="VRC97" s="769"/>
      <c r="VRD97" s="769"/>
      <c r="VRE97" s="769"/>
      <c r="VRF97" s="769"/>
      <c r="VRG97" s="769"/>
      <c r="VRH97" s="769"/>
      <c r="VRI97" s="769"/>
      <c r="VRJ97" s="769"/>
      <c r="VRK97" s="769"/>
      <c r="VRL97" s="769"/>
      <c r="VRM97" s="769"/>
      <c r="VRN97" s="769"/>
      <c r="VRO97" s="769"/>
      <c r="VRP97" s="769"/>
      <c r="VRQ97" s="769"/>
      <c r="VRR97" s="769"/>
      <c r="VRS97" s="769"/>
      <c r="VRT97" s="769"/>
      <c r="VRU97" s="769"/>
      <c r="VRV97" s="769"/>
      <c r="VRW97" s="769"/>
      <c r="VRX97" s="769"/>
      <c r="VRY97" s="769"/>
      <c r="VRZ97" s="769"/>
      <c r="VSA97" s="769"/>
      <c r="VSB97" s="769"/>
      <c r="VSC97" s="769"/>
      <c r="VSD97" s="769"/>
      <c r="VSE97" s="769"/>
      <c r="VSF97" s="769"/>
      <c r="VSG97" s="769"/>
      <c r="VSH97" s="769"/>
      <c r="VSI97" s="769"/>
      <c r="VSJ97" s="769"/>
      <c r="VSK97" s="769"/>
      <c r="VSL97" s="769"/>
      <c r="VSM97" s="769"/>
      <c r="VSN97" s="769"/>
      <c r="VSO97" s="769"/>
      <c r="VSP97" s="769"/>
      <c r="VSQ97" s="769"/>
      <c r="VSR97" s="769"/>
      <c r="VSS97" s="769"/>
      <c r="VST97" s="769"/>
      <c r="VSU97" s="769"/>
      <c r="VSV97" s="769"/>
      <c r="VSW97" s="769"/>
      <c r="VSX97" s="769"/>
      <c r="VSY97" s="769"/>
      <c r="VSZ97" s="769"/>
      <c r="VTA97" s="769"/>
      <c r="VTB97" s="769"/>
      <c r="VTC97" s="769"/>
      <c r="VTD97" s="769"/>
      <c r="VTE97" s="769"/>
      <c r="VTF97" s="769"/>
      <c r="VTG97" s="769"/>
      <c r="VTH97" s="769"/>
      <c r="VTI97" s="769"/>
      <c r="VTJ97" s="769"/>
      <c r="VTK97" s="769"/>
      <c r="VTL97" s="769"/>
      <c r="VTM97" s="769"/>
      <c r="VTN97" s="769"/>
      <c r="VTO97" s="769"/>
      <c r="VTP97" s="769"/>
      <c r="VTQ97" s="769"/>
      <c r="VTR97" s="769"/>
      <c r="VTS97" s="769"/>
      <c r="VTT97" s="769"/>
      <c r="VTU97" s="769"/>
      <c r="VTV97" s="769"/>
      <c r="VTW97" s="769"/>
      <c r="VTX97" s="769"/>
      <c r="VTY97" s="769"/>
      <c r="VTZ97" s="769"/>
      <c r="VUA97" s="769"/>
      <c r="VUB97" s="769"/>
      <c r="VUC97" s="769"/>
      <c r="VUD97" s="769"/>
      <c r="VUE97" s="769"/>
      <c r="VUF97" s="769"/>
      <c r="VUG97" s="769"/>
      <c r="VUH97" s="769"/>
      <c r="VUI97" s="769"/>
      <c r="VUJ97" s="769"/>
      <c r="VUK97" s="769"/>
      <c r="VUL97" s="769"/>
      <c r="VUM97" s="769"/>
      <c r="VUN97" s="769"/>
      <c r="VUO97" s="769"/>
      <c r="VUP97" s="769"/>
      <c r="VUQ97" s="769"/>
      <c r="VUR97" s="769"/>
      <c r="VUS97" s="769"/>
      <c r="VUT97" s="769"/>
      <c r="VUU97" s="769"/>
      <c r="VUV97" s="769"/>
      <c r="VUW97" s="769"/>
      <c r="VUX97" s="769"/>
      <c r="VUY97" s="769"/>
      <c r="VUZ97" s="769"/>
      <c r="VVA97" s="769"/>
      <c r="VVB97" s="769"/>
      <c r="VVC97" s="769"/>
      <c r="VVD97" s="769"/>
      <c r="VVE97" s="769"/>
      <c r="VVF97" s="769"/>
      <c r="VVG97" s="769"/>
      <c r="VVH97" s="769"/>
      <c r="VVI97" s="769"/>
      <c r="VVJ97" s="769"/>
      <c r="VVK97" s="769"/>
      <c r="VVL97" s="769"/>
      <c r="VVM97" s="769"/>
      <c r="VVN97" s="769"/>
      <c r="VVO97" s="769"/>
      <c r="VVP97" s="769"/>
      <c r="VVQ97" s="769"/>
      <c r="VVR97" s="769"/>
      <c r="VVS97" s="769"/>
      <c r="VVT97" s="769"/>
      <c r="VVU97" s="769"/>
      <c r="VVV97" s="769"/>
      <c r="VVW97" s="769"/>
      <c r="VVX97" s="769"/>
      <c r="VVY97" s="769"/>
      <c r="VVZ97" s="769"/>
      <c r="VWA97" s="769"/>
      <c r="VWB97" s="769"/>
      <c r="VWC97" s="769"/>
      <c r="VWD97" s="769"/>
      <c r="VWE97" s="769"/>
      <c r="VWF97" s="769"/>
      <c r="VWG97" s="769"/>
      <c r="VWH97" s="769"/>
      <c r="VWI97" s="769"/>
      <c r="VWJ97" s="769"/>
      <c r="VWK97" s="769"/>
      <c r="VWL97" s="769"/>
      <c r="VWM97" s="769"/>
      <c r="VWN97" s="769"/>
      <c r="VWO97" s="769"/>
      <c r="VWP97" s="769"/>
      <c r="VWQ97" s="769"/>
      <c r="VWR97" s="769"/>
      <c r="VWS97" s="769"/>
      <c r="VWT97" s="769"/>
      <c r="VWU97" s="769"/>
      <c r="VWV97" s="769"/>
      <c r="VWW97" s="769"/>
      <c r="VWX97" s="769"/>
      <c r="VWY97" s="769"/>
      <c r="VWZ97" s="769"/>
      <c r="VXA97" s="769"/>
      <c r="VXB97" s="769"/>
      <c r="VXC97" s="769"/>
      <c r="VXD97" s="769"/>
      <c r="VXE97" s="769"/>
      <c r="VXF97" s="769"/>
      <c r="VXG97" s="769"/>
      <c r="VXH97" s="769"/>
      <c r="VXI97" s="769"/>
      <c r="VXJ97" s="769"/>
      <c r="VXK97" s="769"/>
      <c r="VXL97" s="769"/>
      <c r="VXM97" s="769"/>
      <c r="VXN97" s="769"/>
      <c r="VXO97" s="769"/>
      <c r="VXP97" s="769"/>
      <c r="VXQ97" s="769"/>
      <c r="VXR97" s="769"/>
      <c r="VXS97" s="769"/>
      <c r="VXT97" s="769"/>
      <c r="VXU97" s="769"/>
      <c r="VXV97" s="769"/>
      <c r="VXW97" s="769"/>
      <c r="VXX97" s="769"/>
      <c r="VXY97" s="769"/>
      <c r="VXZ97" s="769"/>
      <c r="VYA97" s="769"/>
      <c r="VYB97" s="769"/>
      <c r="VYC97" s="769"/>
      <c r="VYD97" s="769"/>
      <c r="VYE97" s="769"/>
      <c r="VYF97" s="769"/>
      <c r="VYG97" s="769"/>
      <c r="VYH97" s="769"/>
      <c r="VYI97" s="769"/>
      <c r="VYJ97" s="769"/>
      <c r="VYK97" s="769"/>
      <c r="VYL97" s="769"/>
      <c r="VYM97" s="769"/>
      <c r="VYN97" s="769"/>
      <c r="VYO97" s="769"/>
      <c r="VYP97" s="769"/>
      <c r="VYQ97" s="769"/>
      <c r="VYR97" s="769"/>
      <c r="VYS97" s="769"/>
      <c r="VYT97" s="769"/>
      <c r="VYU97" s="769"/>
      <c r="VYV97" s="769"/>
      <c r="VYW97" s="769"/>
      <c r="VYX97" s="769"/>
      <c r="VYY97" s="769"/>
      <c r="VYZ97" s="769"/>
      <c r="VZA97" s="769"/>
      <c r="VZB97" s="769"/>
      <c r="VZC97" s="769"/>
      <c r="VZD97" s="769"/>
      <c r="VZE97" s="769"/>
      <c r="VZF97" s="769"/>
      <c r="VZG97" s="769"/>
      <c r="VZH97" s="769"/>
      <c r="VZI97" s="769"/>
      <c r="VZJ97" s="769"/>
      <c r="VZK97" s="769"/>
      <c r="VZL97" s="769"/>
      <c r="VZM97" s="769"/>
      <c r="VZN97" s="769"/>
      <c r="VZO97" s="769"/>
      <c r="VZP97" s="769"/>
      <c r="VZQ97" s="769"/>
      <c r="VZR97" s="769"/>
      <c r="VZS97" s="769"/>
      <c r="VZT97" s="769"/>
      <c r="VZU97" s="769"/>
      <c r="VZV97" s="769"/>
      <c r="VZW97" s="769"/>
      <c r="VZX97" s="769"/>
      <c r="VZY97" s="769"/>
      <c r="VZZ97" s="769"/>
      <c r="WAA97" s="769"/>
      <c r="WAB97" s="769"/>
      <c r="WAC97" s="769"/>
      <c r="WAD97" s="769"/>
      <c r="WAE97" s="769"/>
      <c r="WAF97" s="769"/>
      <c r="WAG97" s="769"/>
      <c r="WAH97" s="769"/>
      <c r="WAI97" s="769"/>
      <c r="WAJ97" s="769"/>
      <c r="WAK97" s="769"/>
      <c r="WAL97" s="769"/>
      <c r="WAM97" s="769"/>
      <c r="WAN97" s="769"/>
      <c r="WAO97" s="769"/>
      <c r="WAP97" s="769"/>
      <c r="WAQ97" s="769"/>
      <c r="WAR97" s="769"/>
      <c r="WAS97" s="769"/>
      <c r="WAT97" s="769"/>
      <c r="WAU97" s="769"/>
      <c r="WAV97" s="769"/>
      <c r="WAW97" s="769"/>
      <c r="WAX97" s="769"/>
      <c r="WAY97" s="769"/>
      <c r="WAZ97" s="769"/>
      <c r="WBA97" s="769"/>
      <c r="WBB97" s="769"/>
      <c r="WBC97" s="769"/>
      <c r="WBD97" s="769"/>
      <c r="WBE97" s="769"/>
      <c r="WBF97" s="769"/>
      <c r="WBG97" s="769"/>
      <c r="WBH97" s="769"/>
      <c r="WBI97" s="769"/>
      <c r="WBJ97" s="769"/>
      <c r="WBK97" s="769"/>
      <c r="WBL97" s="769"/>
      <c r="WBM97" s="769"/>
      <c r="WBN97" s="769"/>
      <c r="WBO97" s="769"/>
      <c r="WBP97" s="769"/>
      <c r="WBQ97" s="769"/>
      <c r="WBR97" s="769"/>
      <c r="WBS97" s="769"/>
      <c r="WBT97" s="769"/>
      <c r="WBU97" s="769"/>
      <c r="WBV97" s="769"/>
      <c r="WBW97" s="769"/>
      <c r="WBX97" s="769"/>
      <c r="WBY97" s="769"/>
      <c r="WBZ97" s="769"/>
      <c r="WCA97" s="769"/>
      <c r="WCB97" s="769"/>
      <c r="WCC97" s="769"/>
      <c r="WCD97" s="769"/>
      <c r="WCE97" s="769"/>
      <c r="WCF97" s="769"/>
      <c r="WCG97" s="769"/>
      <c r="WCH97" s="769"/>
      <c r="WCI97" s="769"/>
      <c r="WCJ97" s="769"/>
      <c r="WCK97" s="769"/>
      <c r="WCL97" s="769"/>
      <c r="WCM97" s="769"/>
      <c r="WCN97" s="769"/>
      <c r="WCO97" s="769"/>
      <c r="WCP97" s="769"/>
      <c r="WCQ97" s="769"/>
      <c r="WCR97" s="769"/>
      <c r="WCS97" s="769"/>
      <c r="WCT97" s="769"/>
      <c r="WCU97" s="769"/>
      <c r="WCV97" s="769"/>
      <c r="WCW97" s="769"/>
      <c r="WCX97" s="769"/>
      <c r="WCY97" s="769"/>
      <c r="WCZ97" s="769"/>
      <c r="WDA97" s="769"/>
      <c r="WDB97" s="769"/>
      <c r="WDC97" s="769"/>
      <c r="WDD97" s="769"/>
      <c r="WDE97" s="769"/>
      <c r="WDF97" s="769"/>
      <c r="WDG97" s="769"/>
      <c r="WDH97" s="769"/>
      <c r="WDI97" s="769"/>
      <c r="WDJ97" s="769"/>
      <c r="WDK97" s="769"/>
      <c r="WDL97" s="769"/>
      <c r="WDM97" s="769"/>
      <c r="WDN97" s="769"/>
      <c r="WDO97" s="769"/>
      <c r="WDP97" s="769"/>
      <c r="WDQ97" s="769"/>
      <c r="WDR97" s="769"/>
      <c r="WDS97" s="769"/>
      <c r="WDT97" s="769"/>
      <c r="WDU97" s="769"/>
      <c r="WDV97" s="769"/>
      <c r="WDW97" s="769"/>
      <c r="WDX97" s="769"/>
      <c r="WDY97" s="769"/>
      <c r="WDZ97" s="769"/>
      <c r="WEA97" s="769"/>
      <c r="WEB97" s="769"/>
      <c r="WEC97" s="769"/>
      <c r="WED97" s="769"/>
      <c r="WEE97" s="769"/>
      <c r="WEF97" s="769"/>
      <c r="WEG97" s="769"/>
      <c r="WEH97" s="769"/>
      <c r="WEI97" s="769"/>
      <c r="WEJ97" s="769"/>
      <c r="WEK97" s="769"/>
      <c r="WEL97" s="769"/>
      <c r="WEM97" s="769"/>
      <c r="WEN97" s="769"/>
      <c r="WEO97" s="769"/>
      <c r="WEP97" s="769"/>
      <c r="WEQ97" s="769"/>
      <c r="WER97" s="769"/>
      <c r="WES97" s="769"/>
      <c r="WET97" s="769"/>
      <c r="WEU97" s="769"/>
      <c r="WEV97" s="769"/>
      <c r="WEW97" s="769"/>
      <c r="WEX97" s="769"/>
      <c r="WEY97" s="769"/>
      <c r="WEZ97" s="769"/>
      <c r="WFA97" s="769"/>
      <c r="WFB97" s="769"/>
      <c r="WFC97" s="769"/>
      <c r="WFD97" s="769"/>
      <c r="WFE97" s="769"/>
      <c r="WFF97" s="769"/>
      <c r="WFG97" s="769"/>
      <c r="WFH97" s="769"/>
      <c r="WFI97" s="769"/>
      <c r="WFJ97" s="769"/>
      <c r="WFK97" s="769"/>
      <c r="WFL97" s="769"/>
      <c r="WFM97" s="769"/>
      <c r="WFN97" s="769"/>
      <c r="WFO97" s="769"/>
      <c r="WFP97" s="769"/>
      <c r="WFQ97" s="769"/>
      <c r="WFR97" s="769"/>
      <c r="WFS97" s="769"/>
      <c r="WFT97" s="769"/>
      <c r="WFU97" s="769"/>
      <c r="WFV97" s="769"/>
      <c r="WFW97" s="769"/>
      <c r="WFX97" s="769"/>
      <c r="WFY97" s="769"/>
      <c r="WFZ97" s="769"/>
      <c r="WGA97" s="769"/>
      <c r="WGB97" s="769"/>
      <c r="WGC97" s="769"/>
      <c r="WGD97" s="769"/>
      <c r="WGE97" s="769"/>
      <c r="WGF97" s="769"/>
      <c r="WGG97" s="769"/>
      <c r="WGH97" s="769"/>
      <c r="WGI97" s="769"/>
      <c r="WGJ97" s="769"/>
      <c r="WGK97" s="769"/>
      <c r="WGL97" s="769"/>
      <c r="WGM97" s="769"/>
      <c r="WGN97" s="769"/>
      <c r="WGO97" s="769"/>
      <c r="WGP97" s="769"/>
      <c r="WGQ97" s="769"/>
      <c r="WGR97" s="769"/>
      <c r="WGS97" s="769"/>
      <c r="WGT97" s="769"/>
      <c r="WGU97" s="769"/>
      <c r="WGV97" s="769"/>
      <c r="WGW97" s="769"/>
      <c r="WGX97" s="769"/>
      <c r="WGY97" s="769"/>
      <c r="WGZ97" s="769"/>
      <c r="WHA97" s="769"/>
      <c r="WHB97" s="769"/>
      <c r="WHC97" s="769"/>
      <c r="WHD97" s="769"/>
      <c r="WHE97" s="769"/>
      <c r="WHF97" s="769"/>
      <c r="WHG97" s="769"/>
      <c r="WHH97" s="769"/>
      <c r="WHI97" s="769"/>
      <c r="WHJ97" s="769"/>
      <c r="WHK97" s="769"/>
      <c r="WHL97" s="769"/>
      <c r="WHM97" s="769"/>
      <c r="WHN97" s="769"/>
      <c r="WHO97" s="769"/>
      <c r="WHP97" s="769"/>
      <c r="WHQ97" s="769"/>
      <c r="WHR97" s="769"/>
      <c r="WHS97" s="769"/>
      <c r="WHT97" s="769"/>
      <c r="WHU97" s="769"/>
      <c r="WHV97" s="769"/>
      <c r="WHW97" s="769"/>
      <c r="WHX97" s="769"/>
      <c r="WHY97" s="769"/>
      <c r="WHZ97" s="769"/>
      <c r="WIA97" s="769"/>
      <c r="WIB97" s="769"/>
      <c r="WIC97" s="769"/>
      <c r="WID97" s="769"/>
      <c r="WIE97" s="769"/>
      <c r="WIF97" s="769"/>
      <c r="WIG97" s="769"/>
      <c r="WIH97" s="769"/>
      <c r="WII97" s="769"/>
      <c r="WIJ97" s="769"/>
      <c r="WIK97" s="769"/>
      <c r="WIL97" s="769"/>
      <c r="WIM97" s="769"/>
      <c r="WIN97" s="769"/>
      <c r="WIO97" s="769"/>
      <c r="WIP97" s="769"/>
      <c r="WIQ97" s="769"/>
      <c r="WIR97" s="769"/>
      <c r="WIS97" s="769"/>
      <c r="WIT97" s="769"/>
      <c r="WIU97" s="769"/>
      <c r="WIV97" s="769"/>
      <c r="WIW97" s="769"/>
      <c r="WIX97" s="769"/>
      <c r="WIY97" s="769"/>
      <c r="WIZ97" s="769"/>
      <c r="WJA97" s="769"/>
      <c r="WJB97" s="769"/>
      <c r="WJC97" s="769"/>
      <c r="WJD97" s="769"/>
      <c r="WJE97" s="769"/>
      <c r="WJF97" s="769"/>
      <c r="WJG97" s="769"/>
      <c r="WJH97" s="769"/>
      <c r="WJI97" s="769"/>
      <c r="WJJ97" s="769"/>
      <c r="WJK97" s="769"/>
      <c r="WJL97" s="769"/>
      <c r="WJM97" s="769"/>
      <c r="WJN97" s="769"/>
      <c r="WJO97" s="769"/>
      <c r="WJP97" s="769"/>
      <c r="WJQ97" s="769"/>
      <c r="WJR97" s="769"/>
      <c r="WJS97" s="769"/>
      <c r="WJT97" s="769"/>
      <c r="WJU97" s="769"/>
      <c r="WJV97" s="769"/>
      <c r="WJW97" s="769"/>
      <c r="WJX97" s="769"/>
      <c r="WJY97" s="769"/>
      <c r="WJZ97" s="769"/>
      <c r="WKA97" s="769"/>
      <c r="WKB97" s="769"/>
      <c r="WKC97" s="769"/>
      <c r="WKD97" s="769"/>
      <c r="WKE97" s="769"/>
      <c r="WKF97" s="769"/>
      <c r="WKG97" s="769"/>
      <c r="WKH97" s="769"/>
      <c r="WKI97" s="769"/>
      <c r="WKJ97" s="769"/>
      <c r="WKK97" s="769"/>
      <c r="WKL97" s="769"/>
      <c r="WKM97" s="769"/>
      <c r="WKN97" s="769"/>
      <c r="WKO97" s="769"/>
      <c r="WKP97" s="769"/>
      <c r="WKQ97" s="769"/>
      <c r="WKR97" s="769"/>
      <c r="WKS97" s="769"/>
      <c r="WKT97" s="769"/>
      <c r="WKU97" s="769"/>
      <c r="WKV97" s="769"/>
      <c r="WKW97" s="769"/>
      <c r="WKX97" s="769"/>
      <c r="WKY97" s="769"/>
      <c r="WKZ97" s="769"/>
      <c r="WLA97" s="769"/>
      <c r="WLB97" s="769"/>
      <c r="WLC97" s="769"/>
      <c r="WLD97" s="769"/>
      <c r="WLE97" s="769"/>
      <c r="WLF97" s="769"/>
      <c r="WLG97" s="769"/>
      <c r="WLH97" s="769"/>
      <c r="WLI97" s="769"/>
      <c r="WLJ97" s="769"/>
      <c r="WLK97" s="769"/>
      <c r="WLL97" s="769"/>
      <c r="WLM97" s="769"/>
      <c r="WLN97" s="769"/>
      <c r="WLO97" s="769"/>
      <c r="WLP97" s="769"/>
      <c r="WLQ97" s="769"/>
      <c r="WLR97" s="769"/>
      <c r="WLS97" s="769"/>
      <c r="WLT97" s="769"/>
      <c r="WLU97" s="769"/>
      <c r="WLV97" s="769"/>
      <c r="WLW97" s="769"/>
      <c r="WLX97" s="769"/>
      <c r="WLY97" s="769"/>
      <c r="WLZ97" s="769"/>
      <c r="WMA97" s="769"/>
      <c r="WMB97" s="769"/>
      <c r="WMC97" s="769"/>
      <c r="WMD97" s="769"/>
      <c r="WME97" s="769"/>
      <c r="WMF97" s="769"/>
      <c r="WMG97" s="769"/>
      <c r="WMH97" s="769"/>
      <c r="WMI97" s="769"/>
      <c r="WMJ97" s="769"/>
      <c r="WMK97" s="769"/>
      <c r="WML97" s="769"/>
      <c r="WMM97" s="769"/>
      <c r="WMN97" s="769"/>
      <c r="WMO97" s="769"/>
      <c r="WMP97" s="769"/>
      <c r="WMQ97" s="769"/>
      <c r="WMR97" s="769"/>
      <c r="WMS97" s="769"/>
      <c r="WMT97" s="769"/>
      <c r="WMU97" s="769"/>
      <c r="WMV97" s="769"/>
      <c r="WMW97" s="769"/>
      <c r="WMX97" s="769"/>
      <c r="WMY97" s="769"/>
      <c r="WMZ97" s="769"/>
      <c r="WNA97" s="769"/>
      <c r="WNB97" s="769"/>
      <c r="WNC97" s="769"/>
      <c r="WND97" s="769"/>
      <c r="WNE97" s="769"/>
      <c r="WNF97" s="769"/>
      <c r="WNG97" s="769"/>
      <c r="WNH97" s="769"/>
      <c r="WNI97" s="769"/>
      <c r="WNJ97" s="769"/>
      <c r="WNK97" s="769"/>
      <c r="WNL97" s="769"/>
      <c r="WNM97" s="769"/>
      <c r="WNN97" s="769"/>
      <c r="WNO97" s="769"/>
      <c r="WNP97" s="769"/>
      <c r="WNQ97" s="769"/>
      <c r="WNR97" s="769"/>
      <c r="WNS97" s="769"/>
      <c r="WNT97" s="769"/>
      <c r="WNU97" s="769"/>
      <c r="WNV97" s="769"/>
      <c r="WNW97" s="769"/>
      <c r="WNX97" s="769"/>
      <c r="WNY97" s="769"/>
      <c r="WNZ97" s="769"/>
      <c r="WOA97" s="769"/>
      <c r="WOB97" s="769"/>
      <c r="WOC97" s="769"/>
      <c r="WOD97" s="769"/>
      <c r="WOE97" s="769"/>
      <c r="WOF97" s="769"/>
      <c r="WOG97" s="769"/>
      <c r="WOH97" s="769"/>
      <c r="WOI97" s="769"/>
      <c r="WOJ97" s="769"/>
      <c r="WOK97" s="769"/>
      <c r="WOL97" s="769"/>
      <c r="WOM97" s="769"/>
      <c r="WON97" s="769"/>
      <c r="WOO97" s="769"/>
      <c r="WOP97" s="769"/>
      <c r="WOQ97" s="769"/>
      <c r="WOR97" s="769"/>
      <c r="WOS97" s="769"/>
      <c r="WOT97" s="769"/>
      <c r="WOU97" s="769"/>
      <c r="WOV97" s="769"/>
      <c r="WOW97" s="769"/>
      <c r="WOX97" s="769"/>
      <c r="WOY97" s="769"/>
      <c r="WOZ97" s="769"/>
      <c r="WPA97" s="769"/>
      <c r="WPB97" s="769"/>
      <c r="WPC97" s="769"/>
      <c r="WPD97" s="769"/>
      <c r="WPE97" s="769"/>
      <c r="WPF97" s="769"/>
      <c r="WPG97" s="769"/>
      <c r="WPH97" s="769"/>
      <c r="WPI97" s="769"/>
      <c r="WPJ97" s="769"/>
      <c r="WPK97" s="769"/>
      <c r="WPL97" s="769"/>
      <c r="WPM97" s="769"/>
      <c r="WPN97" s="769"/>
      <c r="WPO97" s="769"/>
      <c r="WPP97" s="769"/>
      <c r="WPQ97" s="769"/>
      <c r="WPR97" s="769"/>
      <c r="WPS97" s="769"/>
      <c r="WPT97" s="769"/>
      <c r="WPU97" s="769"/>
      <c r="WPV97" s="769"/>
      <c r="WPW97" s="769"/>
      <c r="WPX97" s="769"/>
      <c r="WPY97" s="769"/>
      <c r="WPZ97" s="769"/>
      <c r="WQA97" s="769"/>
      <c r="WQB97" s="769"/>
      <c r="WQC97" s="769"/>
      <c r="WQD97" s="769"/>
      <c r="WQE97" s="769"/>
      <c r="WQF97" s="769"/>
      <c r="WQG97" s="769"/>
      <c r="WQH97" s="769"/>
      <c r="WQI97" s="769"/>
      <c r="WQJ97" s="769"/>
      <c r="WQK97" s="769"/>
      <c r="WQL97" s="769"/>
      <c r="WQM97" s="769"/>
      <c r="WQN97" s="769"/>
      <c r="WQO97" s="769"/>
      <c r="WQP97" s="769"/>
      <c r="WQQ97" s="769"/>
      <c r="WQR97" s="769"/>
      <c r="WQS97" s="769"/>
      <c r="WQT97" s="769"/>
      <c r="WQU97" s="769"/>
      <c r="WQV97" s="769"/>
      <c r="WQW97" s="769"/>
      <c r="WQX97" s="769"/>
      <c r="WQY97" s="769"/>
      <c r="WQZ97" s="769"/>
      <c r="WRA97" s="769"/>
      <c r="WRB97" s="769"/>
      <c r="WRC97" s="769"/>
      <c r="WRD97" s="769"/>
      <c r="WRE97" s="769"/>
      <c r="WRF97" s="769"/>
      <c r="WRG97" s="769"/>
      <c r="WRH97" s="769"/>
      <c r="WRI97" s="769"/>
      <c r="WRJ97" s="769"/>
      <c r="WRK97" s="769"/>
      <c r="WRL97" s="769"/>
      <c r="WRM97" s="769"/>
      <c r="WRN97" s="769"/>
      <c r="WRO97" s="769"/>
      <c r="WRP97" s="769"/>
      <c r="WRQ97" s="769"/>
      <c r="WRR97" s="769"/>
      <c r="WRS97" s="769"/>
      <c r="WRT97" s="769"/>
      <c r="WRU97" s="769"/>
      <c r="WRV97" s="769"/>
      <c r="WRW97" s="769"/>
      <c r="WRX97" s="769"/>
      <c r="WRY97" s="769"/>
      <c r="WRZ97" s="769"/>
      <c r="WSA97" s="769"/>
      <c r="WSB97" s="769"/>
      <c r="WSC97" s="769"/>
      <c r="WSD97" s="769"/>
      <c r="WSE97" s="769"/>
      <c r="WSF97" s="769"/>
      <c r="WSG97" s="769"/>
      <c r="WSH97" s="769"/>
      <c r="WSI97" s="769"/>
      <c r="WSJ97" s="769"/>
      <c r="WSK97" s="769"/>
      <c r="WSL97" s="769"/>
      <c r="WSM97" s="769"/>
      <c r="WSN97" s="769"/>
      <c r="WSO97" s="769"/>
      <c r="WSP97" s="769"/>
      <c r="WSQ97" s="769"/>
      <c r="WSR97" s="769"/>
      <c r="WSS97" s="769"/>
      <c r="WST97" s="769"/>
      <c r="WSU97" s="769"/>
      <c r="WSV97" s="769"/>
      <c r="WSW97" s="769"/>
      <c r="WSX97" s="769"/>
      <c r="WSY97" s="769"/>
      <c r="WSZ97" s="769"/>
      <c r="WTA97" s="769"/>
      <c r="WTB97" s="769"/>
      <c r="WTC97" s="769"/>
      <c r="WTD97" s="769"/>
      <c r="WTE97" s="769"/>
      <c r="WTF97" s="769"/>
      <c r="WTG97" s="769"/>
      <c r="WTH97" s="769"/>
      <c r="WTI97" s="769"/>
      <c r="WTJ97" s="769"/>
      <c r="WTK97" s="769"/>
      <c r="WTL97" s="769"/>
      <c r="WTM97" s="769"/>
      <c r="WTN97" s="769"/>
      <c r="WTO97" s="769"/>
      <c r="WTP97" s="769"/>
      <c r="WTQ97" s="769"/>
      <c r="WTR97" s="769"/>
      <c r="WTS97" s="769"/>
      <c r="WTT97" s="769"/>
      <c r="WTU97" s="769"/>
      <c r="WTV97" s="769"/>
      <c r="WTW97" s="769"/>
      <c r="WTX97" s="769"/>
      <c r="WTY97" s="769"/>
      <c r="WTZ97" s="769"/>
      <c r="WUA97" s="769"/>
      <c r="WUB97" s="769"/>
      <c r="WUC97" s="769"/>
      <c r="WUD97" s="769"/>
      <c r="WUE97" s="769"/>
      <c r="WUF97" s="769"/>
      <c r="WUG97" s="769"/>
      <c r="WUH97" s="769"/>
      <c r="WUI97" s="769"/>
      <c r="WUJ97" s="769"/>
      <c r="WUK97" s="769"/>
      <c r="WUL97" s="769"/>
      <c r="WUM97" s="769"/>
      <c r="WUN97" s="769"/>
      <c r="WUO97" s="769"/>
      <c r="WUP97" s="769"/>
      <c r="WUQ97" s="769"/>
      <c r="WUR97" s="769"/>
      <c r="WUS97" s="769"/>
      <c r="WUT97" s="769"/>
      <c r="WUU97" s="769"/>
      <c r="WUV97" s="769"/>
      <c r="WUW97" s="769"/>
      <c r="WUX97" s="769"/>
      <c r="WUY97" s="769"/>
      <c r="WUZ97" s="769"/>
      <c r="WVA97" s="769"/>
      <c r="WVB97" s="769"/>
      <c r="WVC97" s="769"/>
      <c r="WVD97" s="769"/>
      <c r="WVE97" s="769"/>
      <c r="WVF97" s="769"/>
      <c r="WVG97" s="769"/>
      <c r="WVH97" s="769"/>
      <c r="WVI97" s="769"/>
      <c r="WVJ97" s="769"/>
      <c r="WVK97" s="769"/>
      <c r="WVL97" s="769"/>
      <c r="WVM97" s="769"/>
      <c r="WVN97" s="769"/>
      <c r="WVO97" s="769"/>
      <c r="WVP97" s="769"/>
      <c r="WVQ97" s="769"/>
      <c r="WVR97" s="769"/>
      <c r="WVS97" s="769"/>
      <c r="WVT97" s="769"/>
      <c r="WVU97" s="769"/>
      <c r="WVV97" s="769"/>
      <c r="WVW97" s="769"/>
      <c r="WVX97" s="769"/>
      <c r="WVY97" s="769"/>
      <c r="WVZ97" s="769"/>
      <c r="WWA97" s="769"/>
      <c r="WWB97" s="769"/>
      <c r="WWC97" s="769"/>
      <c r="WWD97" s="769"/>
      <c r="WWE97" s="769"/>
      <c r="WWF97" s="769"/>
      <c r="WWG97" s="769"/>
      <c r="WWH97" s="769"/>
      <c r="WWI97" s="769"/>
      <c r="WWJ97" s="769"/>
      <c r="WWK97" s="769"/>
      <c r="WWL97" s="769"/>
      <c r="WWM97" s="769"/>
      <c r="WWN97" s="769"/>
      <c r="WWO97" s="769"/>
      <c r="WWP97" s="769"/>
      <c r="WWQ97" s="769"/>
      <c r="WWR97" s="769"/>
      <c r="WWS97" s="769"/>
      <c r="WWT97" s="769"/>
      <c r="WWU97" s="769"/>
      <c r="WWV97" s="769"/>
      <c r="WWW97" s="769"/>
      <c r="WWX97" s="769"/>
      <c r="WWY97" s="769"/>
      <c r="WWZ97" s="769"/>
      <c r="WXA97" s="769"/>
      <c r="WXB97" s="769"/>
      <c r="WXC97" s="769"/>
      <c r="WXD97" s="769"/>
      <c r="WXE97" s="769"/>
      <c r="WXF97" s="769"/>
      <c r="WXG97" s="769"/>
      <c r="WXH97" s="769"/>
      <c r="WXI97" s="769"/>
      <c r="WXJ97" s="769"/>
      <c r="WXK97" s="769"/>
      <c r="WXL97" s="769"/>
      <c r="WXM97" s="769"/>
      <c r="WXN97" s="769"/>
      <c r="WXO97" s="769"/>
      <c r="WXP97" s="769"/>
      <c r="WXQ97" s="769"/>
      <c r="WXR97" s="769"/>
      <c r="WXS97" s="769"/>
      <c r="WXT97" s="769"/>
      <c r="WXU97" s="769"/>
      <c r="WXV97" s="769"/>
      <c r="WXW97" s="769"/>
      <c r="WXX97" s="769"/>
      <c r="WXY97" s="769"/>
      <c r="WXZ97" s="769"/>
      <c r="WYA97" s="769"/>
      <c r="WYB97" s="769"/>
      <c r="WYC97" s="769"/>
      <c r="WYD97" s="769"/>
      <c r="WYE97" s="769"/>
      <c r="WYF97" s="769"/>
      <c r="WYG97" s="769"/>
      <c r="WYH97" s="769"/>
      <c r="WYI97" s="769"/>
      <c r="WYJ97" s="769"/>
      <c r="WYK97" s="769"/>
      <c r="WYL97" s="769"/>
      <c r="WYM97" s="769"/>
      <c r="WYN97" s="769"/>
      <c r="WYO97" s="769"/>
      <c r="WYP97" s="769"/>
      <c r="WYQ97" s="769"/>
      <c r="WYR97" s="769"/>
      <c r="WYS97" s="769"/>
      <c r="WYT97" s="769"/>
      <c r="WYU97" s="769"/>
      <c r="WYV97" s="769"/>
      <c r="WYW97" s="769"/>
      <c r="WYX97" s="769"/>
      <c r="WYY97" s="769"/>
      <c r="WYZ97" s="769"/>
      <c r="WZA97" s="769"/>
      <c r="WZB97" s="769"/>
      <c r="WZC97" s="769"/>
      <c r="WZD97" s="769"/>
      <c r="WZE97" s="769"/>
      <c r="WZF97" s="769"/>
      <c r="WZG97" s="769"/>
      <c r="WZH97" s="769"/>
      <c r="WZI97" s="769"/>
      <c r="WZJ97" s="769"/>
      <c r="WZK97" s="769"/>
      <c r="WZL97" s="769"/>
      <c r="WZM97" s="769"/>
      <c r="WZN97" s="769"/>
      <c r="WZO97" s="769"/>
      <c r="WZP97" s="769"/>
      <c r="WZQ97" s="769"/>
      <c r="WZR97" s="769"/>
      <c r="WZS97" s="769"/>
      <c r="WZT97" s="769"/>
      <c r="WZU97" s="769"/>
      <c r="WZV97" s="769"/>
      <c r="WZW97" s="769"/>
      <c r="WZX97" s="769"/>
      <c r="WZY97" s="769"/>
      <c r="WZZ97" s="769"/>
      <c r="XAA97" s="769"/>
      <c r="XAB97" s="769"/>
      <c r="XAC97" s="769"/>
      <c r="XAD97" s="769"/>
      <c r="XAE97" s="769"/>
      <c r="XAF97" s="769"/>
      <c r="XAG97" s="769"/>
      <c r="XAH97" s="769"/>
      <c r="XAI97" s="769"/>
      <c r="XAJ97" s="769"/>
      <c r="XAK97" s="769"/>
      <c r="XAL97" s="769"/>
      <c r="XAM97" s="769"/>
      <c r="XAN97" s="769"/>
      <c r="XAO97" s="769"/>
      <c r="XAP97" s="769"/>
      <c r="XAQ97" s="769"/>
      <c r="XAR97" s="769"/>
      <c r="XAS97" s="769"/>
      <c r="XAT97" s="769"/>
      <c r="XAU97" s="769"/>
      <c r="XAV97" s="769"/>
      <c r="XAW97" s="769"/>
      <c r="XAX97" s="769"/>
      <c r="XAY97" s="769"/>
      <c r="XAZ97" s="769"/>
      <c r="XBA97" s="769"/>
      <c r="XBB97" s="769"/>
      <c r="XBC97" s="769"/>
      <c r="XBD97" s="769"/>
      <c r="XBE97" s="769"/>
      <c r="XBF97" s="769"/>
      <c r="XBG97" s="769"/>
      <c r="XBH97" s="769"/>
      <c r="XBI97" s="769"/>
      <c r="XBJ97" s="769"/>
      <c r="XBK97" s="769"/>
      <c r="XBL97" s="769"/>
      <c r="XBM97" s="769"/>
      <c r="XBN97" s="769"/>
      <c r="XBO97" s="769"/>
      <c r="XBP97" s="769"/>
      <c r="XBQ97" s="769"/>
      <c r="XBR97" s="769"/>
      <c r="XBS97" s="769"/>
      <c r="XBT97" s="769"/>
      <c r="XBU97" s="769"/>
      <c r="XBV97" s="769"/>
      <c r="XBW97" s="769"/>
      <c r="XBX97" s="769"/>
      <c r="XBY97" s="769"/>
      <c r="XBZ97" s="769"/>
      <c r="XCA97" s="769"/>
      <c r="XCB97" s="769"/>
      <c r="XCC97" s="769"/>
      <c r="XCD97" s="769"/>
      <c r="XCE97" s="769"/>
      <c r="XCF97" s="769"/>
      <c r="XCG97" s="769"/>
      <c r="XCH97" s="769"/>
      <c r="XCI97" s="769"/>
      <c r="XCJ97" s="769"/>
      <c r="XCK97" s="769"/>
      <c r="XCL97" s="769"/>
      <c r="XCM97" s="769"/>
      <c r="XCN97" s="769"/>
      <c r="XCO97" s="769"/>
      <c r="XCP97" s="769"/>
      <c r="XCQ97" s="769"/>
      <c r="XCR97" s="769"/>
      <c r="XCS97" s="769"/>
      <c r="XCT97" s="769"/>
      <c r="XCU97" s="769"/>
      <c r="XCV97" s="769"/>
      <c r="XCW97" s="769"/>
      <c r="XCX97" s="769"/>
      <c r="XCY97" s="769"/>
      <c r="XCZ97" s="769"/>
      <c r="XDA97" s="769"/>
      <c r="XDB97" s="769"/>
      <c r="XDC97" s="769"/>
      <c r="XDD97" s="769"/>
      <c r="XDE97" s="769"/>
      <c r="XDF97" s="769"/>
      <c r="XDG97" s="769"/>
      <c r="XDH97" s="769"/>
      <c r="XDI97" s="769"/>
      <c r="XDJ97" s="769"/>
      <c r="XDK97" s="769"/>
      <c r="XDL97" s="769"/>
      <c r="XDM97" s="769"/>
      <c r="XDN97" s="769"/>
      <c r="XDO97" s="769"/>
      <c r="XDP97" s="769"/>
      <c r="XDQ97" s="769"/>
      <c r="XDR97" s="769"/>
      <c r="XDS97" s="769"/>
      <c r="XDT97" s="769"/>
      <c r="XDU97" s="769"/>
      <c r="XDV97" s="769"/>
      <c r="XDW97" s="769"/>
      <c r="XDX97" s="769"/>
      <c r="XDY97" s="769"/>
      <c r="XDZ97" s="769"/>
      <c r="XEA97" s="769"/>
      <c r="XEB97" s="769"/>
      <c r="XEC97" s="769"/>
      <c r="XED97" s="769"/>
      <c r="XEE97" s="769"/>
      <c r="XEF97" s="769"/>
      <c r="XEG97" s="769"/>
      <c r="XEH97" s="769"/>
      <c r="XEI97" s="769"/>
      <c r="XEJ97" s="769"/>
      <c r="XEK97" s="769"/>
      <c r="XEL97" s="769"/>
      <c r="XEM97" s="769"/>
      <c r="XEN97" s="769"/>
      <c r="XEO97" s="769"/>
      <c r="XEP97" s="769"/>
      <c r="XEQ97" s="769"/>
      <c r="XER97" s="769"/>
      <c r="XES97" s="769"/>
      <c r="XET97" s="769"/>
      <c r="XEU97" s="769"/>
      <c r="XEV97" s="769"/>
      <c r="XEW97" s="769"/>
      <c r="XEX97" s="769"/>
      <c r="XEY97" s="769"/>
      <c r="XEZ97" s="769"/>
      <c r="XFA97" s="769"/>
      <c r="XFB97" s="769"/>
    </row>
    <row r="98" spans="1:16382" hidden="1" x14ac:dyDescent="0.25">
      <c r="A98" s="769"/>
      <c r="B98" s="2186"/>
      <c r="C98" s="2206"/>
      <c r="D98" s="2236"/>
      <c r="E98" s="2236"/>
      <c r="F98" s="2236"/>
      <c r="G98" s="2236"/>
      <c r="H98" s="2236"/>
      <c r="I98" s="2236"/>
      <c r="J98" s="2236"/>
      <c r="K98" s="2236"/>
      <c r="L98" s="2237"/>
      <c r="M98" s="2237"/>
      <c r="N98" s="2237"/>
      <c r="O98" s="2237"/>
      <c r="P98" s="2238"/>
      <c r="Q98" s="2239"/>
      <c r="R98" s="769"/>
      <c r="S98" s="769"/>
      <c r="T98" s="769"/>
      <c r="U98" s="769"/>
      <c r="V98" s="769"/>
      <c r="W98" s="769"/>
      <c r="X98" s="769"/>
      <c r="Y98" s="769"/>
      <c r="Z98" s="769"/>
      <c r="AA98" s="769"/>
      <c r="AB98" s="769"/>
      <c r="AC98" s="769"/>
      <c r="AD98" s="769"/>
      <c r="AE98" s="769"/>
      <c r="AF98" s="769"/>
      <c r="AG98" s="769"/>
      <c r="AH98" s="769"/>
      <c r="AI98" s="769"/>
      <c r="AJ98" s="769"/>
      <c r="AK98" s="769"/>
      <c r="AL98" s="769"/>
      <c r="AM98" s="769"/>
      <c r="AN98" s="769"/>
      <c r="AO98" s="769"/>
      <c r="AP98" s="769"/>
      <c r="AQ98" s="769"/>
      <c r="AR98" s="769"/>
      <c r="AS98" s="769"/>
      <c r="AT98" s="769"/>
      <c r="AU98" s="769"/>
      <c r="AV98" s="769"/>
      <c r="AW98" s="769"/>
      <c r="AX98" s="769"/>
      <c r="AY98" s="769"/>
      <c r="AZ98" s="769"/>
      <c r="BA98" s="769"/>
      <c r="BB98" s="769"/>
      <c r="BC98" s="769"/>
      <c r="BD98" s="769"/>
      <c r="BE98" s="769"/>
      <c r="BF98" s="769"/>
      <c r="BG98" s="769"/>
      <c r="BH98" s="769"/>
      <c r="BI98" s="769"/>
      <c r="BJ98" s="769"/>
      <c r="BK98" s="769"/>
      <c r="BL98" s="769"/>
      <c r="BM98" s="769"/>
      <c r="BN98" s="769"/>
      <c r="BO98" s="769"/>
      <c r="BP98" s="769"/>
      <c r="BQ98" s="769"/>
      <c r="BR98" s="769"/>
      <c r="BS98" s="769"/>
      <c r="BT98" s="769"/>
      <c r="BU98" s="769"/>
      <c r="BV98" s="769"/>
      <c r="BW98" s="769"/>
      <c r="BX98" s="769"/>
      <c r="BY98" s="769"/>
      <c r="BZ98" s="769"/>
      <c r="CA98" s="769"/>
      <c r="CB98" s="769"/>
      <c r="CC98" s="769"/>
      <c r="CD98" s="769"/>
      <c r="CE98" s="769"/>
      <c r="CF98" s="769"/>
      <c r="CG98" s="769"/>
      <c r="CH98" s="769"/>
      <c r="CI98" s="769"/>
      <c r="CJ98" s="769"/>
      <c r="CK98" s="769"/>
      <c r="CL98" s="769"/>
      <c r="CM98" s="769"/>
      <c r="CN98" s="769"/>
      <c r="CO98" s="769"/>
      <c r="CP98" s="769"/>
      <c r="CQ98" s="769"/>
      <c r="CR98" s="769"/>
      <c r="CS98" s="769"/>
      <c r="CT98" s="769"/>
      <c r="CU98" s="769"/>
      <c r="CV98" s="769"/>
      <c r="CW98" s="769"/>
      <c r="CX98" s="769"/>
      <c r="CY98" s="769"/>
      <c r="CZ98" s="769"/>
      <c r="DA98" s="769"/>
      <c r="DB98" s="769"/>
      <c r="DC98" s="769"/>
      <c r="DD98" s="769"/>
      <c r="DE98" s="769"/>
      <c r="DF98" s="769"/>
      <c r="DG98" s="769"/>
      <c r="DH98" s="769"/>
      <c r="DI98" s="769"/>
      <c r="DJ98" s="769"/>
      <c r="DK98" s="769"/>
      <c r="DL98" s="769"/>
      <c r="DM98" s="769"/>
      <c r="DN98" s="769"/>
      <c r="DO98" s="769"/>
      <c r="DP98" s="769"/>
      <c r="DQ98" s="769"/>
      <c r="DR98" s="769"/>
      <c r="DS98" s="769"/>
      <c r="DT98" s="769"/>
      <c r="DU98" s="769"/>
      <c r="DV98" s="769"/>
      <c r="DW98" s="769"/>
      <c r="DX98" s="769"/>
      <c r="DY98" s="769"/>
      <c r="DZ98" s="769"/>
      <c r="EA98" s="769"/>
      <c r="EB98" s="769"/>
      <c r="EC98" s="769"/>
      <c r="ED98" s="769"/>
      <c r="EE98" s="769"/>
      <c r="EF98" s="769"/>
      <c r="EG98" s="769"/>
      <c r="EH98" s="769"/>
      <c r="EI98" s="769"/>
      <c r="EJ98" s="769"/>
      <c r="EK98" s="769"/>
      <c r="EL98" s="769"/>
      <c r="EM98" s="769"/>
      <c r="EN98" s="769"/>
      <c r="EO98" s="769"/>
      <c r="EP98" s="769"/>
      <c r="EQ98" s="769"/>
      <c r="ER98" s="769"/>
      <c r="ES98" s="769"/>
      <c r="ET98" s="769"/>
      <c r="EU98" s="769"/>
      <c r="EV98" s="769"/>
      <c r="EW98" s="769"/>
      <c r="EX98" s="769"/>
      <c r="EY98" s="769"/>
      <c r="EZ98" s="769"/>
      <c r="FA98" s="769"/>
      <c r="FB98" s="769"/>
      <c r="FC98" s="769"/>
      <c r="FD98" s="769"/>
      <c r="FE98" s="769"/>
      <c r="FF98" s="769"/>
      <c r="FG98" s="769"/>
      <c r="FH98" s="769"/>
      <c r="FI98" s="769"/>
      <c r="FJ98" s="769"/>
      <c r="FK98" s="769"/>
      <c r="FL98" s="769"/>
      <c r="FM98" s="769"/>
      <c r="FN98" s="769"/>
      <c r="FO98" s="769"/>
      <c r="FP98" s="769"/>
      <c r="FQ98" s="769"/>
      <c r="FR98" s="769"/>
      <c r="FS98" s="769"/>
      <c r="FT98" s="769"/>
      <c r="FU98" s="769"/>
      <c r="FV98" s="769"/>
      <c r="FW98" s="769"/>
      <c r="FX98" s="769"/>
      <c r="FY98" s="769"/>
      <c r="FZ98" s="769"/>
      <c r="GA98" s="769"/>
      <c r="GB98" s="769"/>
      <c r="GC98" s="769"/>
      <c r="GD98" s="769"/>
      <c r="GE98" s="769"/>
      <c r="GF98" s="769"/>
      <c r="GG98" s="769"/>
      <c r="GH98" s="769"/>
      <c r="GI98" s="769"/>
      <c r="GJ98" s="769"/>
      <c r="GK98" s="769"/>
      <c r="GL98" s="769"/>
      <c r="GM98" s="769"/>
      <c r="GN98" s="769"/>
      <c r="GO98" s="769"/>
      <c r="GP98" s="769"/>
      <c r="GQ98" s="769"/>
      <c r="GR98" s="769"/>
      <c r="GS98" s="769"/>
      <c r="GT98" s="769"/>
      <c r="GU98" s="769"/>
      <c r="GV98" s="769"/>
      <c r="GW98" s="769"/>
      <c r="GX98" s="769"/>
      <c r="GY98" s="769"/>
      <c r="GZ98" s="769"/>
      <c r="HA98" s="769"/>
      <c r="HB98" s="769"/>
      <c r="HC98" s="769"/>
      <c r="HD98" s="769"/>
      <c r="HE98" s="769"/>
      <c r="HF98" s="769"/>
      <c r="HG98" s="769"/>
      <c r="HH98" s="769"/>
      <c r="HI98" s="769"/>
      <c r="HJ98" s="769"/>
      <c r="HK98" s="769"/>
      <c r="HL98" s="769"/>
      <c r="HM98" s="769"/>
      <c r="HN98" s="769"/>
      <c r="HO98" s="769"/>
      <c r="HP98" s="769"/>
      <c r="HQ98" s="769"/>
      <c r="HR98" s="769"/>
      <c r="HS98" s="769"/>
      <c r="HT98" s="769"/>
      <c r="HU98" s="769"/>
      <c r="HV98" s="769"/>
      <c r="HW98" s="769"/>
      <c r="HX98" s="769"/>
      <c r="HY98" s="769"/>
      <c r="HZ98" s="769"/>
      <c r="IA98" s="769"/>
      <c r="IB98" s="769"/>
      <c r="IC98" s="769"/>
      <c r="ID98" s="769"/>
      <c r="IE98" s="769"/>
      <c r="IF98" s="769"/>
      <c r="IG98" s="769"/>
      <c r="IH98" s="769"/>
      <c r="II98" s="769"/>
      <c r="IJ98" s="769"/>
      <c r="IK98" s="769"/>
      <c r="IL98" s="769"/>
      <c r="IM98" s="769"/>
      <c r="IN98" s="769"/>
      <c r="IO98" s="769"/>
      <c r="IP98" s="769"/>
      <c r="IQ98" s="769"/>
      <c r="IR98" s="769"/>
      <c r="IS98" s="769"/>
      <c r="IT98" s="769"/>
      <c r="IU98" s="769"/>
      <c r="IV98" s="769"/>
      <c r="IW98" s="769"/>
      <c r="IX98" s="769"/>
      <c r="IY98" s="769"/>
      <c r="IZ98" s="769"/>
      <c r="JA98" s="769"/>
      <c r="JB98" s="769"/>
      <c r="JC98" s="769"/>
      <c r="JD98" s="769"/>
      <c r="JE98" s="769"/>
      <c r="JF98" s="769"/>
      <c r="JG98" s="769"/>
      <c r="JH98" s="769"/>
      <c r="JI98" s="769"/>
      <c r="JJ98" s="769"/>
      <c r="JK98" s="769"/>
      <c r="JL98" s="769"/>
      <c r="JM98" s="769"/>
      <c r="JN98" s="769"/>
      <c r="JO98" s="769"/>
      <c r="JP98" s="769"/>
      <c r="JQ98" s="769"/>
      <c r="JR98" s="769"/>
      <c r="JS98" s="769"/>
      <c r="JT98" s="769"/>
      <c r="JU98" s="769"/>
      <c r="JV98" s="769"/>
      <c r="JW98" s="769"/>
      <c r="JX98" s="769"/>
      <c r="JY98" s="769"/>
      <c r="JZ98" s="769"/>
      <c r="KA98" s="769"/>
      <c r="KB98" s="769"/>
      <c r="KC98" s="769"/>
      <c r="KD98" s="769"/>
      <c r="KE98" s="769"/>
      <c r="KF98" s="769"/>
      <c r="KG98" s="769"/>
      <c r="KH98" s="769"/>
      <c r="KI98" s="769"/>
      <c r="KJ98" s="769"/>
      <c r="KK98" s="769"/>
      <c r="KL98" s="769"/>
      <c r="KM98" s="769"/>
      <c r="KN98" s="769"/>
      <c r="KO98" s="769"/>
      <c r="KP98" s="769"/>
      <c r="KQ98" s="769"/>
      <c r="KR98" s="769"/>
      <c r="KS98" s="769"/>
      <c r="KT98" s="769"/>
      <c r="KU98" s="769"/>
      <c r="KV98" s="769"/>
      <c r="KW98" s="769"/>
      <c r="KX98" s="769"/>
      <c r="KY98" s="769"/>
      <c r="KZ98" s="769"/>
      <c r="LA98" s="769"/>
      <c r="LB98" s="769"/>
      <c r="LC98" s="769"/>
      <c r="LD98" s="769"/>
      <c r="LE98" s="769"/>
      <c r="LF98" s="769"/>
      <c r="LG98" s="769"/>
      <c r="LH98" s="769"/>
      <c r="LI98" s="769"/>
      <c r="LJ98" s="769"/>
      <c r="LK98" s="769"/>
      <c r="LL98" s="769"/>
      <c r="LM98" s="769"/>
      <c r="LN98" s="769"/>
      <c r="LO98" s="769"/>
      <c r="LP98" s="769"/>
      <c r="LQ98" s="769"/>
      <c r="LR98" s="769"/>
      <c r="LS98" s="769"/>
      <c r="LT98" s="769"/>
      <c r="LU98" s="769"/>
      <c r="LV98" s="769"/>
      <c r="LW98" s="769"/>
      <c r="LX98" s="769"/>
      <c r="LY98" s="769"/>
      <c r="LZ98" s="769"/>
      <c r="MA98" s="769"/>
      <c r="MB98" s="769"/>
      <c r="MC98" s="769"/>
      <c r="MD98" s="769"/>
      <c r="ME98" s="769"/>
      <c r="MF98" s="769"/>
      <c r="MG98" s="769"/>
      <c r="MH98" s="769"/>
      <c r="MI98" s="769"/>
      <c r="MJ98" s="769"/>
      <c r="MK98" s="769"/>
      <c r="ML98" s="769"/>
      <c r="MM98" s="769"/>
      <c r="MN98" s="769"/>
      <c r="MO98" s="769"/>
      <c r="MP98" s="769"/>
      <c r="MQ98" s="769"/>
      <c r="MR98" s="769"/>
      <c r="MS98" s="769"/>
      <c r="MT98" s="769"/>
      <c r="MU98" s="769"/>
      <c r="MV98" s="769"/>
      <c r="MW98" s="769"/>
      <c r="MX98" s="769"/>
      <c r="MY98" s="769"/>
      <c r="MZ98" s="769"/>
      <c r="NA98" s="769"/>
      <c r="NB98" s="769"/>
      <c r="NC98" s="769"/>
      <c r="ND98" s="769"/>
      <c r="NE98" s="769"/>
      <c r="NF98" s="769"/>
      <c r="NG98" s="769"/>
      <c r="NH98" s="769"/>
      <c r="NI98" s="769"/>
      <c r="NJ98" s="769"/>
      <c r="NK98" s="769"/>
      <c r="NL98" s="769"/>
      <c r="NM98" s="769"/>
      <c r="NN98" s="769"/>
      <c r="NO98" s="769"/>
      <c r="NP98" s="769"/>
      <c r="NQ98" s="769"/>
      <c r="NR98" s="769"/>
      <c r="NS98" s="769"/>
      <c r="NT98" s="769"/>
      <c r="NU98" s="769"/>
      <c r="NV98" s="769"/>
      <c r="NW98" s="769"/>
      <c r="NX98" s="769"/>
      <c r="NY98" s="769"/>
      <c r="NZ98" s="769"/>
      <c r="OA98" s="769"/>
      <c r="OB98" s="769"/>
      <c r="OC98" s="769"/>
      <c r="OD98" s="769"/>
      <c r="OE98" s="769"/>
      <c r="OF98" s="769"/>
      <c r="OG98" s="769"/>
      <c r="OH98" s="769"/>
      <c r="OI98" s="769"/>
      <c r="OJ98" s="769"/>
      <c r="OK98" s="769"/>
      <c r="OL98" s="769"/>
      <c r="OM98" s="769"/>
      <c r="ON98" s="769"/>
      <c r="OO98" s="769"/>
      <c r="OP98" s="769"/>
      <c r="OQ98" s="769"/>
      <c r="OR98" s="769"/>
      <c r="OS98" s="769"/>
      <c r="OT98" s="769"/>
      <c r="OU98" s="769"/>
      <c r="OV98" s="769"/>
      <c r="OW98" s="769"/>
      <c r="OX98" s="769"/>
      <c r="OY98" s="769"/>
      <c r="OZ98" s="769"/>
      <c r="PA98" s="769"/>
      <c r="PB98" s="769"/>
      <c r="PC98" s="769"/>
      <c r="PD98" s="769"/>
      <c r="PE98" s="769"/>
      <c r="PF98" s="769"/>
      <c r="PG98" s="769"/>
      <c r="PH98" s="769"/>
      <c r="PI98" s="769"/>
      <c r="PJ98" s="769"/>
      <c r="PK98" s="769"/>
      <c r="PL98" s="769"/>
      <c r="PM98" s="769"/>
      <c r="PN98" s="769"/>
      <c r="PO98" s="769"/>
      <c r="PP98" s="769"/>
      <c r="PQ98" s="769"/>
      <c r="PR98" s="769"/>
      <c r="PS98" s="769"/>
      <c r="PT98" s="769"/>
      <c r="PU98" s="769"/>
      <c r="PV98" s="769"/>
      <c r="PW98" s="769"/>
      <c r="PX98" s="769"/>
      <c r="PY98" s="769"/>
      <c r="PZ98" s="769"/>
      <c r="QA98" s="769"/>
      <c r="QB98" s="769"/>
      <c r="QC98" s="769"/>
      <c r="QD98" s="769"/>
      <c r="QE98" s="769"/>
      <c r="QF98" s="769"/>
      <c r="QG98" s="769"/>
      <c r="QH98" s="769"/>
      <c r="QI98" s="769"/>
      <c r="QJ98" s="769"/>
      <c r="QK98" s="769"/>
      <c r="QL98" s="769"/>
      <c r="QM98" s="769"/>
      <c r="QN98" s="769"/>
      <c r="QO98" s="769"/>
      <c r="QP98" s="769"/>
      <c r="QQ98" s="769"/>
      <c r="QR98" s="769"/>
      <c r="QS98" s="769"/>
      <c r="QT98" s="769"/>
      <c r="QU98" s="769"/>
      <c r="QV98" s="769"/>
      <c r="QW98" s="769"/>
      <c r="QX98" s="769"/>
      <c r="QY98" s="769"/>
      <c r="QZ98" s="769"/>
      <c r="RA98" s="769"/>
      <c r="RB98" s="769"/>
      <c r="RC98" s="769"/>
      <c r="RD98" s="769"/>
      <c r="RE98" s="769"/>
      <c r="RF98" s="769"/>
      <c r="RG98" s="769"/>
      <c r="RH98" s="769"/>
      <c r="RI98" s="769"/>
      <c r="RJ98" s="769"/>
      <c r="RK98" s="769"/>
      <c r="RL98" s="769"/>
      <c r="RM98" s="769"/>
      <c r="RN98" s="769"/>
      <c r="RO98" s="769"/>
      <c r="RP98" s="769"/>
      <c r="RQ98" s="769"/>
      <c r="RR98" s="769"/>
      <c r="RS98" s="769"/>
      <c r="RT98" s="769"/>
      <c r="RU98" s="769"/>
      <c r="RV98" s="769"/>
      <c r="RW98" s="769"/>
      <c r="RX98" s="769"/>
      <c r="RY98" s="769"/>
      <c r="RZ98" s="769"/>
      <c r="SA98" s="769"/>
      <c r="SB98" s="769"/>
      <c r="SC98" s="769"/>
      <c r="SD98" s="769"/>
      <c r="SE98" s="769"/>
      <c r="SF98" s="769"/>
      <c r="SG98" s="769"/>
      <c r="SH98" s="769"/>
      <c r="SI98" s="769"/>
      <c r="SJ98" s="769"/>
      <c r="SK98" s="769"/>
      <c r="SL98" s="769"/>
      <c r="SM98" s="769"/>
      <c r="SN98" s="769"/>
      <c r="SO98" s="769"/>
      <c r="SP98" s="769"/>
      <c r="SQ98" s="769"/>
      <c r="SR98" s="769"/>
      <c r="SS98" s="769"/>
      <c r="ST98" s="769"/>
      <c r="SU98" s="769"/>
      <c r="SV98" s="769"/>
      <c r="SW98" s="769"/>
      <c r="SX98" s="769"/>
      <c r="SY98" s="769"/>
      <c r="SZ98" s="769"/>
      <c r="TA98" s="769"/>
      <c r="TB98" s="769"/>
      <c r="TC98" s="769"/>
      <c r="TD98" s="769"/>
      <c r="TE98" s="769"/>
      <c r="TF98" s="769"/>
      <c r="TG98" s="769"/>
      <c r="TH98" s="769"/>
      <c r="TI98" s="769"/>
      <c r="TJ98" s="769"/>
      <c r="TK98" s="769"/>
      <c r="TL98" s="769"/>
      <c r="TM98" s="769"/>
      <c r="TN98" s="769"/>
      <c r="TO98" s="769"/>
      <c r="TP98" s="769"/>
      <c r="TQ98" s="769"/>
      <c r="TR98" s="769"/>
      <c r="TS98" s="769"/>
      <c r="TT98" s="769"/>
      <c r="TU98" s="769"/>
      <c r="TV98" s="769"/>
      <c r="TW98" s="769"/>
      <c r="TX98" s="769"/>
      <c r="TY98" s="769"/>
      <c r="TZ98" s="769"/>
      <c r="UA98" s="769"/>
      <c r="UB98" s="769"/>
      <c r="UC98" s="769"/>
      <c r="UD98" s="769"/>
      <c r="UE98" s="769"/>
      <c r="UF98" s="769"/>
      <c r="UG98" s="769"/>
      <c r="UH98" s="769"/>
      <c r="UI98" s="769"/>
      <c r="UJ98" s="769"/>
      <c r="UK98" s="769"/>
      <c r="UL98" s="769"/>
      <c r="UM98" s="769"/>
      <c r="UN98" s="769"/>
      <c r="UO98" s="769"/>
      <c r="UP98" s="769"/>
      <c r="UQ98" s="769"/>
      <c r="UR98" s="769"/>
      <c r="US98" s="769"/>
      <c r="UT98" s="769"/>
      <c r="UU98" s="769"/>
      <c r="UV98" s="769"/>
      <c r="UW98" s="769"/>
      <c r="UX98" s="769"/>
      <c r="UY98" s="769"/>
      <c r="UZ98" s="769"/>
      <c r="VA98" s="769"/>
      <c r="VB98" s="769"/>
      <c r="VC98" s="769"/>
      <c r="VD98" s="769"/>
      <c r="VE98" s="769"/>
      <c r="VF98" s="769"/>
      <c r="VG98" s="769"/>
      <c r="VH98" s="769"/>
      <c r="VI98" s="769"/>
      <c r="VJ98" s="769"/>
      <c r="VK98" s="769"/>
      <c r="VL98" s="769"/>
      <c r="VM98" s="769"/>
      <c r="VN98" s="769"/>
      <c r="VO98" s="769"/>
      <c r="VP98" s="769"/>
      <c r="VQ98" s="769"/>
      <c r="VR98" s="769"/>
      <c r="VS98" s="769"/>
      <c r="VT98" s="769"/>
      <c r="VU98" s="769"/>
      <c r="VV98" s="769"/>
      <c r="VW98" s="769"/>
      <c r="VX98" s="769"/>
      <c r="VY98" s="769"/>
      <c r="VZ98" s="769"/>
      <c r="WA98" s="769"/>
      <c r="WB98" s="769"/>
      <c r="WC98" s="769"/>
      <c r="WD98" s="769"/>
      <c r="WE98" s="769"/>
      <c r="WF98" s="769"/>
      <c r="WG98" s="769"/>
      <c r="WH98" s="769"/>
      <c r="WI98" s="769"/>
      <c r="WJ98" s="769"/>
      <c r="WK98" s="769"/>
      <c r="WL98" s="769"/>
      <c r="WM98" s="769"/>
      <c r="WN98" s="769"/>
      <c r="WO98" s="769"/>
      <c r="WP98" s="769"/>
      <c r="WQ98" s="769"/>
      <c r="WR98" s="769"/>
      <c r="WS98" s="769"/>
      <c r="WT98" s="769"/>
      <c r="WU98" s="769"/>
      <c r="WV98" s="769"/>
      <c r="WW98" s="769"/>
      <c r="WX98" s="769"/>
      <c r="WY98" s="769"/>
      <c r="WZ98" s="769"/>
      <c r="XA98" s="769"/>
      <c r="XB98" s="769"/>
      <c r="XC98" s="769"/>
      <c r="XD98" s="769"/>
      <c r="XE98" s="769"/>
      <c r="XF98" s="769"/>
      <c r="XG98" s="769"/>
      <c r="XH98" s="769"/>
      <c r="XI98" s="769"/>
      <c r="XJ98" s="769"/>
      <c r="XK98" s="769"/>
      <c r="XL98" s="769"/>
      <c r="XM98" s="769"/>
      <c r="XN98" s="769"/>
      <c r="XO98" s="769"/>
      <c r="XP98" s="769"/>
      <c r="XQ98" s="769"/>
      <c r="XR98" s="769"/>
      <c r="XS98" s="769"/>
      <c r="XT98" s="769"/>
      <c r="XU98" s="769"/>
      <c r="XV98" s="769"/>
      <c r="XW98" s="769"/>
      <c r="XX98" s="769"/>
      <c r="XY98" s="769"/>
      <c r="XZ98" s="769"/>
      <c r="YA98" s="769"/>
      <c r="YB98" s="769"/>
      <c r="YC98" s="769"/>
      <c r="YD98" s="769"/>
      <c r="YE98" s="769"/>
      <c r="YF98" s="769"/>
      <c r="YG98" s="769"/>
      <c r="YH98" s="769"/>
      <c r="YI98" s="769"/>
      <c r="YJ98" s="769"/>
      <c r="YK98" s="769"/>
      <c r="YL98" s="769"/>
      <c r="YM98" s="769"/>
      <c r="YN98" s="769"/>
      <c r="YO98" s="769"/>
      <c r="YP98" s="769"/>
      <c r="YQ98" s="769"/>
      <c r="YR98" s="769"/>
      <c r="YS98" s="769"/>
      <c r="YT98" s="769"/>
      <c r="YU98" s="769"/>
      <c r="YV98" s="769"/>
      <c r="YW98" s="769"/>
      <c r="YX98" s="769"/>
      <c r="YY98" s="769"/>
      <c r="YZ98" s="769"/>
      <c r="ZA98" s="769"/>
      <c r="ZB98" s="769"/>
      <c r="ZC98" s="769"/>
      <c r="ZD98" s="769"/>
      <c r="ZE98" s="769"/>
      <c r="ZF98" s="769"/>
      <c r="ZG98" s="769"/>
      <c r="ZH98" s="769"/>
      <c r="ZI98" s="769"/>
      <c r="ZJ98" s="769"/>
      <c r="ZK98" s="769"/>
      <c r="ZL98" s="769"/>
      <c r="ZM98" s="769"/>
      <c r="ZN98" s="769"/>
      <c r="ZO98" s="769"/>
      <c r="ZP98" s="769"/>
      <c r="ZQ98" s="769"/>
      <c r="ZR98" s="769"/>
      <c r="ZS98" s="769"/>
      <c r="ZT98" s="769"/>
      <c r="ZU98" s="769"/>
      <c r="ZV98" s="769"/>
      <c r="ZW98" s="769"/>
      <c r="ZX98" s="769"/>
      <c r="ZY98" s="769"/>
      <c r="ZZ98" s="769"/>
      <c r="AAA98" s="769"/>
      <c r="AAB98" s="769"/>
      <c r="AAC98" s="769"/>
      <c r="AAD98" s="769"/>
      <c r="AAE98" s="769"/>
      <c r="AAF98" s="769"/>
      <c r="AAG98" s="769"/>
      <c r="AAH98" s="769"/>
      <c r="AAI98" s="769"/>
      <c r="AAJ98" s="769"/>
      <c r="AAK98" s="769"/>
      <c r="AAL98" s="769"/>
      <c r="AAM98" s="769"/>
      <c r="AAN98" s="769"/>
      <c r="AAO98" s="769"/>
      <c r="AAP98" s="769"/>
      <c r="AAQ98" s="769"/>
      <c r="AAR98" s="769"/>
      <c r="AAS98" s="769"/>
      <c r="AAT98" s="769"/>
      <c r="AAU98" s="769"/>
      <c r="AAV98" s="769"/>
      <c r="AAW98" s="769"/>
      <c r="AAX98" s="769"/>
      <c r="AAY98" s="769"/>
      <c r="AAZ98" s="769"/>
      <c r="ABA98" s="769"/>
      <c r="ABB98" s="769"/>
      <c r="ABC98" s="769"/>
      <c r="ABD98" s="769"/>
      <c r="ABE98" s="769"/>
      <c r="ABF98" s="769"/>
      <c r="ABG98" s="769"/>
      <c r="ABH98" s="769"/>
      <c r="ABI98" s="769"/>
      <c r="ABJ98" s="769"/>
      <c r="ABK98" s="769"/>
      <c r="ABL98" s="769"/>
      <c r="ABM98" s="769"/>
      <c r="ABN98" s="769"/>
      <c r="ABO98" s="769"/>
      <c r="ABP98" s="769"/>
      <c r="ABQ98" s="769"/>
      <c r="ABR98" s="769"/>
      <c r="ABS98" s="769"/>
      <c r="ABT98" s="769"/>
      <c r="ABU98" s="769"/>
      <c r="ABV98" s="769"/>
      <c r="ABW98" s="769"/>
      <c r="ABX98" s="769"/>
      <c r="ABY98" s="769"/>
      <c r="ABZ98" s="769"/>
      <c r="ACA98" s="769"/>
      <c r="ACB98" s="769"/>
      <c r="ACC98" s="769"/>
      <c r="ACD98" s="769"/>
      <c r="ACE98" s="769"/>
      <c r="ACF98" s="769"/>
      <c r="ACG98" s="769"/>
      <c r="ACH98" s="769"/>
      <c r="ACI98" s="769"/>
      <c r="ACJ98" s="769"/>
      <c r="ACK98" s="769"/>
      <c r="ACL98" s="769"/>
      <c r="ACM98" s="769"/>
      <c r="ACN98" s="769"/>
      <c r="ACO98" s="769"/>
      <c r="ACP98" s="769"/>
      <c r="ACQ98" s="769"/>
      <c r="ACR98" s="769"/>
      <c r="ACS98" s="769"/>
      <c r="ACT98" s="769"/>
      <c r="ACU98" s="769"/>
      <c r="ACV98" s="769"/>
      <c r="ACW98" s="769"/>
      <c r="ACX98" s="769"/>
      <c r="ACY98" s="769"/>
      <c r="ACZ98" s="769"/>
      <c r="ADA98" s="769"/>
      <c r="ADB98" s="769"/>
      <c r="ADC98" s="769"/>
      <c r="ADD98" s="769"/>
      <c r="ADE98" s="769"/>
      <c r="ADF98" s="769"/>
      <c r="ADG98" s="769"/>
      <c r="ADH98" s="769"/>
      <c r="ADI98" s="769"/>
      <c r="ADJ98" s="769"/>
      <c r="ADK98" s="769"/>
      <c r="ADL98" s="769"/>
      <c r="ADM98" s="769"/>
      <c r="ADN98" s="769"/>
      <c r="ADO98" s="769"/>
      <c r="ADP98" s="769"/>
      <c r="ADQ98" s="769"/>
      <c r="ADR98" s="769"/>
      <c r="ADS98" s="769"/>
      <c r="ADT98" s="769"/>
      <c r="ADU98" s="769"/>
      <c r="ADV98" s="769"/>
      <c r="ADW98" s="769"/>
      <c r="ADX98" s="769"/>
      <c r="ADY98" s="769"/>
      <c r="ADZ98" s="769"/>
      <c r="AEA98" s="769"/>
      <c r="AEB98" s="769"/>
      <c r="AEC98" s="769"/>
      <c r="AED98" s="769"/>
      <c r="AEE98" s="769"/>
      <c r="AEF98" s="769"/>
      <c r="AEG98" s="769"/>
      <c r="AEH98" s="769"/>
      <c r="AEI98" s="769"/>
      <c r="AEJ98" s="769"/>
      <c r="AEK98" s="769"/>
      <c r="AEL98" s="769"/>
      <c r="AEM98" s="769"/>
      <c r="AEN98" s="769"/>
      <c r="AEO98" s="769"/>
      <c r="AEP98" s="769"/>
      <c r="AEQ98" s="769"/>
      <c r="AER98" s="769"/>
      <c r="AES98" s="769"/>
      <c r="AET98" s="769"/>
      <c r="AEU98" s="769"/>
      <c r="AEV98" s="769"/>
      <c r="AEW98" s="769"/>
      <c r="AEX98" s="769"/>
      <c r="AEY98" s="769"/>
      <c r="AEZ98" s="769"/>
      <c r="AFA98" s="769"/>
      <c r="AFB98" s="769"/>
      <c r="AFC98" s="769"/>
      <c r="AFD98" s="769"/>
      <c r="AFE98" s="769"/>
      <c r="AFF98" s="769"/>
      <c r="AFG98" s="769"/>
      <c r="AFH98" s="769"/>
      <c r="AFI98" s="769"/>
      <c r="AFJ98" s="769"/>
      <c r="AFK98" s="769"/>
      <c r="AFL98" s="769"/>
      <c r="AFM98" s="769"/>
      <c r="AFN98" s="769"/>
      <c r="AFO98" s="769"/>
      <c r="AFP98" s="769"/>
      <c r="AFQ98" s="769"/>
      <c r="AFR98" s="769"/>
      <c r="AFS98" s="769"/>
      <c r="AFT98" s="769"/>
      <c r="AFU98" s="769"/>
      <c r="AFV98" s="769"/>
      <c r="AFW98" s="769"/>
      <c r="AFX98" s="769"/>
      <c r="AFY98" s="769"/>
      <c r="AFZ98" s="769"/>
      <c r="AGA98" s="769"/>
      <c r="AGB98" s="769"/>
      <c r="AGC98" s="769"/>
      <c r="AGD98" s="769"/>
      <c r="AGE98" s="769"/>
      <c r="AGF98" s="769"/>
      <c r="AGG98" s="769"/>
      <c r="AGH98" s="769"/>
      <c r="AGI98" s="769"/>
      <c r="AGJ98" s="769"/>
      <c r="AGK98" s="769"/>
      <c r="AGL98" s="769"/>
      <c r="AGM98" s="769"/>
      <c r="AGN98" s="769"/>
      <c r="AGO98" s="769"/>
      <c r="AGP98" s="769"/>
      <c r="AGQ98" s="769"/>
      <c r="AGR98" s="769"/>
      <c r="AGS98" s="769"/>
      <c r="AGT98" s="769"/>
      <c r="AGU98" s="769"/>
      <c r="AGV98" s="769"/>
      <c r="AGW98" s="769"/>
      <c r="AGX98" s="769"/>
      <c r="AGY98" s="769"/>
      <c r="AGZ98" s="769"/>
      <c r="AHA98" s="769"/>
      <c r="AHB98" s="769"/>
      <c r="AHC98" s="769"/>
      <c r="AHD98" s="769"/>
      <c r="AHE98" s="769"/>
      <c r="AHF98" s="769"/>
      <c r="AHG98" s="769"/>
      <c r="AHH98" s="769"/>
      <c r="AHI98" s="769"/>
      <c r="AHJ98" s="769"/>
      <c r="AHK98" s="769"/>
      <c r="AHL98" s="769"/>
      <c r="AHM98" s="769"/>
      <c r="AHN98" s="769"/>
      <c r="AHO98" s="769"/>
      <c r="AHP98" s="769"/>
      <c r="AHQ98" s="769"/>
      <c r="AHR98" s="769"/>
      <c r="AHS98" s="769"/>
      <c r="AHT98" s="769"/>
      <c r="AHU98" s="769"/>
      <c r="AHV98" s="769"/>
      <c r="AHW98" s="769"/>
      <c r="AHX98" s="769"/>
      <c r="AHY98" s="769"/>
      <c r="AHZ98" s="769"/>
      <c r="AIA98" s="769"/>
      <c r="AIB98" s="769"/>
      <c r="AIC98" s="769"/>
      <c r="AID98" s="769"/>
      <c r="AIE98" s="769"/>
      <c r="AIF98" s="769"/>
      <c r="AIG98" s="769"/>
      <c r="AIH98" s="769"/>
      <c r="AII98" s="769"/>
      <c r="AIJ98" s="769"/>
      <c r="AIK98" s="769"/>
      <c r="AIL98" s="769"/>
      <c r="AIM98" s="769"/>
      <c r="AIN98" s="769"/>
      <c r="AIO98" s="769"/>
      <c r="AIP98" s="769"/>
      <c r="AIQ98" s="769"/>
      <c r="AIR98" s="769"/>
      <c r="AIS98" s="769"/>
      <c r="AIT98" s="769"/>
      <c r="AIU98" s="769"/>
      <c r="AIV98" s="769"/>
      <c r="AIW98" s="769"/>
      <c r="AIX98" s="769"/>
      <c r="AIY98" s="769"/>
      <c r="AIZ98" s="769"/>
      <c r="AJA98" s="769"/>
      <c r="AJB98" s="769"/>
      <c r="AJC98" s="769"/>
      <c r="AJD98" s="769"/>
      <c r="AJE98" s="769"/>
      <c r="AJF98" s="769"/>
      <c r="AJG98" s="769"/>
      <c r="AJH98" s="769"/>
      <c r="AJI98" s="769"/>
      <c r="AJJ98" s="769"/>
      <c r="AJK98" s="769"/>
      <c r="AJL98" s="769"/>
      <c r="AJM98" s="769"/>
      <c r="AJN98" s="769"/>
      <c r="AJO98" s="769"/>
      <c r="AJP98" s="769"/>
      <c r="AJQ98" s="769"/>
      <c r="AJR98" s="769"/>
      <c r="AJS98" s="769"/>
      <c r="AJT98" s="769"/>
      <c r="AJU98" s="769"/>
      <c r="AJV98" s="769"/>
      <c r="AJW98" s="769"/>
      <c r="AJX98" s="769"/>
      <c r="AJY98" s="769"/>
      <c r="AJZ98" s="769"/>
      <c r="AKA98" s="769"/>
      <c r="AKB98" s="769"/>
      <c r="AKC98" s="769"/>
      <c r="AKD98" s="769"/>
      <c r="AKE98" s="769"/>
      <c r="AKF98" s="769"/>
      <c r="AKG98" s="769"/>
      <c r="AKH98" s="769"/>
      <c r="AKI98" s="769"/>
      <c r="AKJ98" s="769"/>
      <c r="AKK98" s="769"/>
      <c r="AKL98" s="769"/>
      <c r="AKM98" s="769"/>
      <c r="AKN98" s="769"/>
      <c r="AKO98" s="769"/>
      <c r="AKP98" s="769"/>
      <c r="AKQ98" s="769"/>
      <c r="AKR98" s="769"/>
      <c r="AKS98" s="769"/>
      <c r="AKT98" s="769"/>
      <c r="AKU98" s="769"/>
      <c r="AKV98" s="769"/>
      <c r="AKW98" s="769"/>
      <c r="AKX98" s="769"/>
      <c r="AKY98" s="769"/>
      <c r="AKZ98" s="769"/>
      <c r="ALA98" s="769"/>
      <c r="ALB98" s="769"/>
      <c r="ALC98" s="769"/>
      <c r="ALD98" s="769"/>
      <c r="ALE98" s="769"/>
      <c r="ALF98" s="769"/>
      <c r="ALG98" s="769"/>
      <c r="ALH98" s="769"/>
      <c r="ALI98" s="769"/>
      <c r="ALJ98" s="769"/>
      <c r="ALK98" s="769"/>
      <c r="ALL98" s="769"/>
      <c r="ALM98" s="769"/>
      <c r="ALN98" s="769"/>
      <c r="ALO98" s="769"/>
      <c r="ALP98" s="769"/>
      <c r="ALQ98" s="769"/>
      <c r="ALR98" s="769"/>
      <c r="ALS98" s="769"/>
      <c r="ALT98" s="769"/>
      <c r="ALU98" s="769"/>
      <c r="ALV98" s="769"/>
      <c r="ALW98" s="769"/>
      <c r="ALX98" s="769"/>
      <c r="ALY98" s="769"/>
      <c r="ALZ98" s="769"/>
      <c r="AMA98" s="769"/>
      <c r="AMB98" s="769"/>
      <c r="AMC98" s="769"/>
      <c r="AMD98" s="769"/>
      <c r="AME98" s="769"/>
      <c r="AMF98" s="769"/>
      <c r="AMG98" s="769"/>
      <c r="AMH98" s="769"/>
      <c r="AMI98" s="769"/>
      <c r="AMJ98" s="769"/>
      <c r="AMK98" s="769"/>
      <c r="AML98" s="769"/>
      <c r="AMM98" s="769"/>
      <c r="AMN98" s="769"/>
      <c r="AMO98" s="769"/>
      <c r="AMP98" s="769"/>
      <c r="AMQ98" s="769"/>
      <c r="AMR98" s="769"/>
      <c r="AMS98" s="769"/>
      <c r="AMT98" s="769"/>
      <c r="AMU98" s="769"/>
      <c r="AMV98" s="769"/>
      <c r="AMW98" s="769"/>
      <c r="AMX98" s="769"/>
      <c r="AMY98" s="769"/>
      <c r="AMZ98" s="769"/>
      <c r="ANA98" s="769"/>
      <c r="ANB98" s="769"/>
      <c r="ANC98" s="769"/>
      <c r="AND98" s="769"/>
      <c r="ANE98" s="769"/>
      <c r="ANF98" s="769"/>
      <c r="ANG98" s="769"/>
      <c r="ANH98" s="769"/>
      <c r="ANI98" s="769"/>
      <c r="ANJ98" s="769"/>
      <c r="ANK98" s="769"/>
      <c r="ANL98" s="769"/>
      <c r="ANM98" s="769"/>
      <c r="ANN98" s="769"/>
      <c r="ANO98" s="769"/>
      <c r="ANP98" s="769"/>
      <c r="ANQ98" s="769"/>
      <c r="ANR98" s="769"/>
      <c r="ANS98" s="769"/>
      <c r="ANT98" s="769"/>
      <c r="ANU98" s="769"/>
      <c r="ANV98" s="769"/>
      <c r="ANW98" s="769"/>
      <c r="ANX98" s="769"/>
      <c r="ANY98" s="769"/>
      <c r="ANZ98" s="769"/>
      <c r="AOA98" s="769"/>
      <c r="AOB98" s="769"/>
      <c r="AOC98" s="769"/>
      <c r="AOD98" s="769"/>
      <c r="AOE98" s="769"/>
      <c r="AOF98" s="769"/>
      <c r="AOG98" s="769"/>
      <c r="AOH98" s="769"/>
      <c r="AOI98" s="769"/>
      <c r="AOJ98" s="769"/>
      <c r="AOK98" s="769"/>
      <c r="AOL98" s="769"/>
      <c r="AOM98" s="769"/>
      <c r="AON98" s="769"/>
      <c r="AOO98" s="769"/>
      <c r="AOP98" s="769"/>
      <c r="AOQ98" s="769"/>
      <c r="AOR98" s="769"/>
      <c r="AOS98" s="769"/>
      <c r="AOT98" s="769"/>
      <c r="AOU98" s="769"/>
      <c r="AOV98" s="769"/>
      <c r="AOW98" s="769"/>
      <c r="AOX98" s="769"/>
      <c r="AOY98" s="769"/>
      <c r="AOZ98" s="769"/>
      <c r="APA98" s="769"/>
      <c r="APB98" s="769"/>
      <c r="APC98" s="769"/>
      <c r="APD98" s="769"/>
      <c r="APE98" s="769"/>
      <c r="APF98" s="769"/>
      <c r="APG98" s="769"/>
      <c r="APH98" s="769"/>
      <c r="API98" s="769"/>
      <c r="APJ98" s="769"/>
      <c r="APK98" s="769"/>
      <c r="APL98" s="769"/>
      <c r="APM98" s="769"/>
      <c r="APN98" s="769"/>
      <c r="APO98" s="769"/>
      <c r="APP98" s="769"/>
      <c r="APQ98" s="769"/>
      <c r="APR98" s="769"/>
      <c r="APS98" s="769"/>
      <c r="APT98" s="769"/>
      <c r="APU98" s="769"/>
      <c r="APV98" s="769"/>
      <c r="APW98" s="769"/>
      <c r="APX98" s="769"/>
      <c r="APY98" s="769"/>
      <c r="APZ98" s="769"/>
      <c r="AQA98" s="769"/>
      <c r="AQB98" s="769"/>
      <c r="AQC98" s="769"/>
      <c r="AQD98" s="769"/>
      <c r="AQE98" s="769"/>
      <c r="AQF98" s="769"/>
      <c r="AQG98" s="769"/>
      <c r="AQH98" s="769"/>
      <c r="AQI98" s="769"/>
      <c r="AQJ98" s="769"/>
      <c r="AQK98" s="769"/>
      <c r="AQL98" s="769"/>
      <c r="AQM98" s="769"/>
      <c r="AQN98" s="769"/>
      <c r="AQO98" s="769"/>
      <c r="AQP98" s="769"/>
      <c r="AQQ98" s="769"/>
      <c r="AQR98" s="769"/>
      <c r="AQS98" s="769"/>
      <c r="AQT98" s="769"/>
      <c r="AQU98" s="769"/>
      <c r="AQV98" s="769"/>
      <c r="AQW98" s="769"/>
      <c r="AQX98" s="769"/>
      <c r="AQY98" s="769"/>
      <c r="AQZ98" s="769"/>
      <c r="ARA98" s="769"/>
      <c r="ARB98" s="769"/>
      <c r="ARC98" s="769"/>
      <c r="ARD98" s="769"/>
      <c r="ARE98" s="769"/>
      <c r="ARF98" s="769"/>
      <c r="ARG98" s="769"/>
      <c r="ARH98" s="769"/>
      <c r="ARI98" s="769"/>
      <c r="ARJ98" s="769"/>
      <c r="ARK98" s="769"/>
      <c r="ARL98" s="769"/>
      <c r="ARM98" s="769"/>
      <c r="ARN98" s="769"/>
      <c r="ARO98" s="769"/>
      <c r="ARP98" s="769"/>
      <c r="ARQ98" s="769"/>
      <c r="ARR98" s="769"/>
      <c r="ARS98" s="769"/>
      <c r="ART98" s="769"/>
      <c r="ARU98" s="769"/>
      <c r="ARV98" s="769"/>
      <c r="ARW98" s="769"/>
      <c r="ARX98" s="769"/>
      <c r="ARY98" s="769"/>
      <c r="ARZ98" s="769"/>
      <c r="ASA98" s="769"/>
      <c r="ASB98" s="769"/>
      <c r="ASC98" s="769"/>
      <c r="ASD98" s="769"/>
      <c r="ASE98" s="769"/>
      <c r="ASF98" s="769"/>
      <c r="ASG98" s="769"/>
      <c r="ASH98" s="769"/>
      <c r="ASI98" s="769"/>
      <c r="ASJ98" s="769"/>
      <c r="ASK98" s="769"/>
      <c r="ASL98" s="769"/>
      <c r="ASM98" s="769"/>
      <c r="ASN98" s="769"/>
      <c r="ASO98" s="769"/>
      <c r="ASP98" s="769"/>
      <c r="ASQ98" s="769"/>
      <c r="ASR98" s="769"/>
      <c r="ASS98" s="769"/>
      <c r="AST98" s="769"/>
      <c r="ASU98" s="769"/>
      <c r="ASV98" s="769"/>
      <c r="ASW98" s="769"/>
      <c r="ASX98" s="769"/>
      <c r="ASY98" s="769"/>
      <c r="ASZ98" s="769"/>
      <c r="ATA98" s="769"/>
      <c r="ATB98" s="769"/>
      <c r="ATC98" s="769"/>
      <c r="ATD98" s="769"/>
      <c r="ATE98" s="769"/>
      <c r="ATF98" s="769"/>
      <c r="ATG98" s="769"/>
      <c r="ATH98" s="769"/>
      <c r="ATI98" s="769"/>
      <c r="ATJ98" s="769"/>
      <c r="ATK98" s="769"/>
      <c r="ATL98" s="769"/>
      <c r="ATM98" s="769"/>
      <c r="ATN98" s="769"/>
      <c r="ATO98" s="769"/>
      <c r="ATP98" s="769"/>
      <c r="ATQ98" s="769"/>
      <c r="ATR98" s="769"/>
      <c r="ATS98" s="769"/>
      <c r="ATT98" s="769"/>
      <c r="ATU98" s="769"/>
      <c r="ATV98" s="769"/>
      <c r="ATW98" s="769"/>
      <c r="ATX98" s="769"/>
      <c r="ATY98" s="769"/>
      <c r="ATZ98" s="769"/>
      <c r="AUA98" s="769"/>
      <c r="AUB98" s="769"/>
      <c r="AUC98" s="769"/>
      <c r="AUD98" s="769"/>
      <c r="AUE98" s="769"/>
      <c r="AUF98" s="769"/>
      <c r="AUG98" s="769"/>
      <c r="AUH98" s="769"/>
      <c r="AUI98" s="769"/>
      <c r="AUJ98" s="769"/>
      <c r="AUK98" s="769"/>
      <c r="AUL98" s="769"/>
      <c r="AUM98" s="769"/>
      <c r="AUN98" s="769"/>
      <c r="AUO98" s="769"/>
      <c r="AUP98" s="769"/>
      <c r="AUQ98" s="769"/>
      <c r="AUR98" s="769"/>
      <c r="AUS98" s="769"/>
      <c r="AUT98" s="769"/>
      <c r="AUU98" s="769"/>
      <c r="AUV98" s="769"/>
      <c r="AUW98" s="769"/>
      <c r="AUX98" s="769"/>
      <c r="AUY98" s="769"/>
      <c r="AUZ98" s="769"/>
      <c r="AVA98" s="769"/>
      <c r="AVB98" s="769"/>
      <c r="AVC98" s="769"/>
      <c r="AVD98" s="769"/>
      <c r="AVE98" s="769"/>
      <c r="AVF98" s="769"/>
      <c r="AVG98" s="769"/>
      <c r="AVH98" s="769"/>
      <c r="AVI98" s="769"/>
      <c r="AVJ98" s="769"/>
      <c r="AVK98" s="769"/>
      <c r="AVL98" s="769"/>
      <c r="AVM98" s="769"/>
      <c r="AVN98" s="769"/>
      <c r="AVO98" s="769"/>
      <c r="AVP98" s="769"/>
      <c r="AVQ98" s="769"/>
      <c r="AVR98" s="769"/>
      <c r="AVS98" s="769"/>
      <c r="AVT98" s="769"/>
      <c r="AVU98" s="769"/>
      <c r="AVV98" s="769"/>
      <c r="AVW98" s="769"/>
      <c r="AVX98" s="769"/>
      <c r="AVY98" s="769"/>
      <c r="AVZ98" s="769"/>
      <c r="AWA98" s="769"/>
      <c r="AWB98" s="769"/>
      <c r="AWC98" s="769"/>
      <c r="AWD98" s="769"/>
      <c r="AWE98" s="769"/>
      <c r="AWF98" s="769"/>
      <c r="AWG98" s="769"/>
      <c r="AWH98" s="769"/>
      <c r="AWI98" s="769"/>
      <c r="AWJ98" s="769"/>
      <c r="AWK98" s="769"/>
      <c r="AWL98" s="769"/>
      <c r="AWM98" s="769"/>
      <c r="AWN98" s="769"/>
      <c r="AWO98" s="769"/>
      <c r="AWP98" s="769"/>
      <c r="AWQ98" s="769"/>
      <c r="AWR98" s="769"/>
      <c r="AWS98" s="769"/>
      <c r="AWT98" s="769"/>
      <c r="AWU98" s="769"/>
      <c r="AWV98" s="769"/>
      <c r="AWW98" s="769"/>
      <c r="AWX98" s="769"/>
      <c r="AWY98" s="769"/>
      <c r="AWZ98" s="769"/>
      <c r="AXA98" s="769"/>
      <c r="AXB98" s="769"/>
      <c r="AXC98" s="769"/>
      <c r="AXD98" s="769"/>
      <c r="AXE98" s="769"/>
      <c r="AXF98" s="769"/>
      <c r="AXG98" s="769"/>
      <c r="AXH98" s="769"/>
      <c r="AXI98" s="769"/>
      <c r="AXJ98" s="769"/>
      <c r="AXK98" s="769"/>
      <c r="AXL98" s="769"/>
      <c r="AXM98" s="769"/>
      <c r="AXN98" s="769"/>
      <c r="AXO98" s="769"/>
      <c r="AXP98" s="769"/>
      <c r="AXQ98" s="769"/>
      <c r="AXR98" s="769"/>
      <c r="AXS98" s="769"/>
      <c r="AXT98" s="769"/>
      <c r="AXU98" s="769"/>
      <c r="AXV98" s="769"/>
      <c r="AXW98" s="769"/>
      <c r="AXX98" s="769"/>
      <c r="AXY98" s="769"/>
      <c r="AXZ98" s="769"/>
      <c r="AYA98" s="769"/>
      <c r="AYB98" s="769"/>
      <c r="AYC98" s="769"/>
      <c r="AYD98" s="769"/>
      <c r="AYE98" s="769"/>
      <c r="AYF98" s="769"/>
      <c r="AYG98" s="769"/>
      <c r="AYH98" s="769"/>
      <c r="AYI98" s="769"/>
      <c r="AYJ98" s="769"/>
      <c r="AYK98" s="769"/>
      <c r="AYL98" s="769"/>
      <c r="AYM98" s="769"/>
      <c r="AYN98" s="769"/>
      <c r="AYO98" s="769"/>
      <c r="AYP98" s="769"/>
      <c r="AYQ98" s="769"/>
      <c r="AYR98" s="769"/>
      <c r="AYS98" s="769"/>
      <c r="AYT98" s="769"/>
      <c r="AYU98" s="769"/>
      <c r="AYV98" s="769"/>
      <c r="AYW98" s="769"/>
      <c r="AYX98" s="769"/>
      <c r="AYY98" s="769"/>
      <c r="AYZ98" s="769"/>
      <c r="AZA98" s="769"/>
      <c r="AZB98" s="769"/>
      <c r="AZC98" s="769"/>
      <c r="AZD98" s="769"/>
      <c r="AZE98" s="769"/>
      <c r="AZF98" s="769"/>
      <c r="AZG98" s="769"/>
      <c r="AZH98" s="769"/>
      <c r="AZI98" s="769"/>
      <c r="AZJ98" s="769"/>
      <c r="AZK98" s="769"/>
      <c r="AZL98" s="769"/>
      <c r="AZM98" s="769"/>
      <c r="AZN98" s="769"/>
      <c r="AZO98" s="769"/>
      <c r="AZP98" s="769"/>
      <c r="AZQ98" s="769"/>
      <c r="AZR98" s="769"/>
      <c r="AZS98" s="769"/>
      <c r="AZT98" s="769"/>
      <c r="AZU98" s="769"/>
      <c r="AZV98" s="769"/>
      <c r="AZW98" s="769"/>
      <c r="AZX98" s="769"/>
      <c r="AZY98" s="769"/>
      <c r="AZZ98" s="769"/>
      <c r="BAA98" s="769"/>
      <c r="BAB98" s="769"/>
      <c r="BAC98" s="769"/>
      <c r="BAD98" s="769"/>
      <c r="BAE98" s="769"/>
      <c r="BAF98" s="769"/>
      <c r="BAG98" s="769"/>
      <c r="BAH98" s="769"/>
      <c r="BAI98" s="769"/>
      <c r="BAJ98" s="769"/>
      <c r="BAK98" s="769"/>
      <c r="BAL98" s="769"/>
      <c r="BAM98" s="769"/>
      <c r="BAN98" s="769"/>
      <c r="BAO98" s="769"/>
      <c r="BAP98" s="769"/>
      <c r="BAQ98" s="769"/>
      <c r="BAR98" s="769"/>
      <c r="BAS98" s="769"/>
      <c r="BAT98" s="769"/>
      <c r="BAU98" s="769"/>
      <c r="BAV98" s="769"/>
      <c r="BAW98" s="769"/>
      <c r="BAX98" s="769"/>
      <c r="BAY98" s="769"/>
      <c r="BAZ98" s="769"/>
      <c r="BBA98" s="769"/>
      <c r="BBB98" s="769"/>
      <c r="BBC98" s="769"/>
      <c r="BBD98" s="769"/>
      <c r="BBE98" s="769"/>
      <c r="BBF98" s="769"/>
      <c r="BBG98" s="769"/>
      <c r="BBH98" s="769"/>
      <c r="BBI98" s="769"/>
      <c r="BBJ98" s="769"/>
      <c r="BBK98" s="769"/>
      <c r="BBL98" s="769"/>
      <c r="BBM98" s="769"/>
      <c r="BBN98" s="769"/>
      <c r="BBO98" s="769"/>
      <c r="BBP98" s="769"/>
      <c r="BBQ98" s="769"/>
      <c r="BBR98" s="769"/>
      <c r="BBS98" s="769"/>
      <c r="BBT98" s="769"/>
      <c r="BBU98" s="769"/>
      <c r="BBV98" s="769"/>
      <c r="BBW98" s="769"/>
      <c r="BBX98" s="769"/>
      <c r="BBY98" s="769"/>
      <c r="BBZ98" s="769"/>
      <c r="BCA98" s="769"/>
      <c r="BCB98" s="769"/>
      <c r="BCC98" s="769"/>
      <c r="BCD98" s="769"/>
      <c r="BCE98" s="769"/>
      <c r="BCF98" s="769"/>
      <c r="BCG98" s="769"/>
      <c r="BCH98" s="769"/>
      <c r="BCI98" s="769"/>
      <c r="BCJ98" s="769"/>
      <c r="BCK98" s="769"/>
      <c r="BCL98" s="769"/>
      <c r="BCM98" s="769"/>
      <c r="BCN98" s="769"/>
      <c r="BCO98" s="769"/>
      <c r="BCP98" s="769"/>
      <c r="BCQ98" s="769"/>
      <c r="BCR98" s="769"/>
      <c r="BCS98" s="769"/>
      <c r="BCT98" s="769"/>
      <c r="BCU98" s="769"/>
      <c r="BCV98" s="769"/>
      <c r="BCW98" s="769"/>
      <c r="BCX98" s="769"/>
      <c r="BCY98" s="769"/>
      <c r="BCZ98" s="769"/>
      <c r="BDA98" s="769"/>
      <c r="BDB98" s="769"/>
      <c r="BDC98" s="769"/>
      <c r="BDD98" s="769"/>
      <c r="BDE98" s="769"/>
      <c r="BDF98" s="769"/>
      <c r="BDG98" s="769"/>
      <c r="BDH98" s="769"/>
      <c r="BDI98" s="769"/>
      <c r="BDJ98" s="769"/>
      <c r="BDK98" s="769"/>
      <c r="BDL98" s="769"/>
      <c r="BDM98" s="769"/>
      <c r="BDN98" s="769"/>
      <c r="BDO98" s="769"/>
      <c r="BDP98" s="769"/>
      <c r="BDQ98" s="769"/>
      <c r="BDR98" s="769"/>
      <c r="BDS98" s="769"/>
      <c r="BDT98" s="769"/>
      <c r="BDU98" s="769"/>
      <c r="BDV98" s="769"/>
      <c r="BDW98" s="769"/>
      <c r="BDX98" s="769"/>
      <c r="BDY98" s="769"/>
      <c r="BDZ98" s="769"/>
      <c r="BEA98" s="769"/>
      <c r="BEB98" s="769"/>
      <c r="BEC98" s="769"/>
      <c r="BED98" s="769"/>
      <c r="BEE98" s="769"/>
      <c r="BEF98" s="769"/>
      <c r="BEG98" s="769"/>
      <c r="BEH98" s="769"/>
      <c r="BEI98" s="769"/>
      <c r="BEJ98" s="769"/>
      <c r="BEK98" s="769"/>
      <c r="BEL98" s="769"/>
      <c r="BEM98" s="769"/>
      <c r="BEN98" s="769"/>
      <c r="BEO98" s="769"/>
      <c r="BEP98" s="769"/>
      <c r="BEQ98" s="769"/>
      <c r="BER98" s="769"/>
      <c r="BES98" s="769"/>
      <c r="BET98" s="769"/>
      <c r="BEU98" s="769"/>
      <c r="BEV98" s="769"/>
      <c r="BEW98" s="769"/>
      <c r="BEX98" s="769"/>
      <c r="BEY98" s="769"/>
      <c r="BEZ98" s="769"/>
      <c r="BFA98" s="769"/>
      <c r="BFB98" s="769"/>
      <c r="BFC98" s="769"/>
      <c r="BFD98" s="769"/>
      <c r="BFE98" s="769"/>
      <c r="BFF98" s="769"/>
      <c r="BFG98" s="769"/>
      <c r="BFH98" s="769"/>
      <c r="BFI98" s="769"/>
      <c r="BFJ98" s="769"/>
      <c r="BFK98" s="769"/>
      <c r="BFL98" s="769"/>
      <c r="BFM98" s="769"/>
      <c r="BFN98" s="769"/>
      <c r="BFO98" s="769"/>
      <c r="BFP98" s="769"/>
      <c r="BFQ98" s="769"/>
      <c r="BFR98" s="769"/>
      <c r="BFS98" s="769"/>
      <c r="BFT98" s="769"/>
      <c r="BFU98" s="769"/>
      <c r="BFV98" s="769"/>
      <c r="BFW98" s="769"/>
      <c r="BFX98" s="769"/>
      <c r="BFY98" s="769"/>
      <c r="BFZ98" s="769"/>
      <c r="BGA98" s="769"/>
      <c r="BGB98" s="769"/>
      <c r="BGC98" s="769"/>
      <c r="BGD98" s="769"/>
      <c r="BGE98" s="769"/>
      <c r="BGF98" s="769"/>
      <c r="BGG98" s="769"/>
      <c r="BGH98" s="769"/>
      <c r="BGI98" s="769"/>
      <c r="BGJ98" s="769"/>
      <c r="BGK98" s="769"/>
      <c r="BGL98" s="769"/>
      <c r="BGM98" s="769"/>
      <c r="BGN98" s="769"/>
      <c r="BGO98" s="769"/>
      <c r="BGP98" s="769"/>
      <c r="BGQ98" s="769"/>
      <c r="BGR98" s="769"/>
      <c r="BGS98" s="769"/>
      <c r="BGT98" s="769"/>
      <c r="BGU98" s="769"/>
      <c r="BGV98" s="769"/>
      <c r="BGW98" s="769"/>
      <c r="BGX98" s="769"/>
      <c r="BGY98" s="769"/>
      <c r="BGZ98" s="769"/>
      <c r="BHA98" s="769"/>
      <c r="BHB98" s="769"/>
      <c r="BHC98" s="769"/>
      <c r="BHD98" s="769"/>
      <c r="BHE98" s="769"/>
      <c r="BHF98" s="769"/>
      <c r="BHG98" s="769"/>
      <c r="BHH98" s="769"/>
      <c r="BHI98" s="769"/>
      <c r="BHJ98" s="769"/>
      <c r="BHK98" s="769"/>
      <c r="BHL98" s="769"/>
      <c r="BHM98" s="769"/>
      <c r="BHN98" s="769"/>
      <c r="BHO98" s="769"/>
      <c r="BHP98" s="769"/>
      <c r="BHQ98" s="769"/>
      <c r="BHR98" s="769"/>
      <c r="BHS98" s="769"/>
      <c r="BHT98" s="769"/>
      <c r="BHU98" s="769"/>
      <c r="BHV98" s="769"/>
      <c r="BHW98" s="769"/>
      <c r="BHX98" s="769"/>
      <c r="BHY98" s="769"/>
      <c r="BHZ98" s="769"/>
      <c r="BIA98" s="769"/>
      <c r="BIB98" s="769"/>
      <c r="BIC98" s="769"/>
      <c r="BID98" s="769"/>
      <c r="BIE98" s="769"/>
      <c r="BIF98" s="769"/>
      <c r="BIG98" s="769"/>
      <c r="BIH98" s="769"/>
      <c r="BII98" s="769"/>
      <c r="BIJ98" s="769"/>
      <c r="BIK98" s="769"/>
      <c r="BIL98" s="769"/>
      <c r="BIM98" s="769"/>
      <c r="BIN98" s="769"/>
      <c r="BIO98" s="769"/>
      <c r="BIP98" s="769"/>
      <c r="BIQ98" s="769"/>
      <c r="BIR98" s="769"/>
      <c r="BIS98" s="769"/>
      <c r="BIT98" s="769"/>
      <c r="BIU98" s="769"/>
      <c r="BIV98" s="769"/>
      <c r="BIW98" s="769"/>
      <c r="BIX98" s="769"/>
      <c r="BIY98" s="769"/>
      <c r="BIZ98" s="769"/>
      <c r="BJA98" s="769"/>
      <c r="BJB98" s="769"/>
      <c r="BJC98" s="769"/>
      <c r="BJD98" s="769"/>
      <c r="BJE98" s="769"/>
      <c r="BJF98" s="769"/>
      <c r="BJG98" s="769"/>
      <c r="BJH98" s="769"/>
      <c r="BJI98" s="769"/>
      <c r="BJJ98" s="769"/>
      <c r="BJK98" s="769"/>
      <c r="BJL98" s="769"/>
      <c r="BJM98" s="769"/>
      <c r="BJN98" s="769"/>
      <c r="BJO98" s="769"/>
      <c r="BJP98" s="769"/>
      <c r="BJQ98" s="769"/>
      <c r="BJR98" s="769"/>
      <c r="BJS98" s="769"/>
      <c r="BJT98" s="769"/>
      <c r="BJU98" s="769"/>
      <c r="BJV98" s="769"/>
      <c r="BJW98" s="769"/>
      <c r="BJX98" s="769"/>
      <c r="BJY98" s="769"/>
      <c r="BJZ98" s="769"/>
      <c r="BKA98" s="769"/>
      <c r="BKB98" s="769"/>
      <c r="BKC98" s="769"/>
      <c r="BKD98" s="769"/>
      <c r="BKE98" s="769"/>
      <c r="BKF98" s="769"/>
      <c r="BKG98" s="769"/>
      <c r="BKH98" s="769"/>
      <c r="BKI98" s="769"/>
      <c r="BKJ98" s="769"/>
      <c r="BKK98" s="769"/>
      <c r="BKL98" s="769"/>
      <c r="BKM98" s="769"/>
      <c r="BKN98" s="769"/>
      <c r="BKO98" s="769"/>
      <c r="BKP98" s="769"/>
      <c r="BKQ98" s="769"/>
      <c r="BKR98" s="769"/>
      <c r="BKS98" s="769"/>
      <c r="BKT98" s="769"/>
      <c r="BKU98" s="769"/>
      <c r="BKV98" s="769"/>
      <c r="BKW98" s="769"/>
      <c r="BKX98" s="769"/>
      <c r="BKY98" s="769"/>
      <c r="BKZ98" s="769"/>
      <c r="BLA98" s="769"/>
      <c r="BLB98" s="769"/>
      <c r="BLC98" s="769"/>
      <c r="BLD98" s="769"/>
      <c r="BLE98" s="769"/>
      <c r="BLF98" s="769"/>
      <c r="BLG98" s="769"/>
      <c r="BLH98" s="769"/>
      <c r="BLI98" s="769"/>
      <c r="BLJ98" s="769"/>
      <c r="BLK98" s="769"/>
      <c r="BLL98" s="769"/>
      <c r="BLM98" s="769"/>
      <c r="BLN98" s="769"/>
      <c r="BLO98" s="769"/>
      <c r="BLP98" s="769"/>
      <c r="BLQ98" s="769"/>
      <c r="BLR98" s="769"/>
      <c r="BLS98" s="769"/>
      <c r="BLT98" s="769"/>
      <c r="BLU98" s="769"/>
      <c r="BLV98" s="769"/>
      <c r="BLW98" s="769"/>
      <c r="BLX98" s="769"/>
      <c r="BLY98" s="769"/>
      <c r="BLZ98" s="769"/>
      <c r="BMA98" s="769"/>
      <c r="BMB98" s="769"/>
      <c r="BMC98" s="769"/>
      <c r="BMD98" s="769"/>
      <c r="BME98" s="769"/>
      <c r="BMF98" s="769"/>
      <c r="BMG98" s="769"/>
      <c r="BMH98" s="769"/>
      <c r="BMI98" s="769"/>
      <c r="BMJ98" s="769"/>
      <c r="BMK98" s="769"/>
      <c r="BML98" s="769"/>
      <c r="BMM98" s="769"/>
      <c r="BMN98" s="769"/>
      <c r="BMO98" s="769"/>
      <c r="BMP98" s="769"/>
      <c r="BMQ98" s="769"/>
      <c r="BMR98" s="769"/>
      <c r="BMS98" s="769"/>
      <c r="BMT98" s="769"/>
      <c r="BMU98" s="769"/>
      <c r="BMV98" s="769"/>
      <c r="BMW98" s="769"/>
      <c r="BMX98" s="769"/>
      <c r="BMY98" s="769"/>
      <c r="BMZ98" s="769"/>
      <c r="BNA98" s="769"/>
      <c r="BNB98" s="769"/>
      <c r="BNC98" s="769"/>
      <c r="BND98" s="769"/>
      <c r="BNE98" s="769"/>
      <c r="BNF98" s="769"/>
      <c r="BNG98" s="769"/>
      <c r="BNH98" s="769"/>
      <c r="BNI98" s="769"/>
      <c r="BNJ98" s="769"/>
      <c r="BNK98" s="769"/>
      <c r="BNL98" s="769"/>
      <c r="BNM98" s="769"/>
      <c r="BNN98" s="769"/>
      <c r="BNO98" s="769"/>
      <c r="BNP98" s="769"/>
      <c r="BNQ98" s="769"/>
      <c r="BNR98" s="769"/>
      <c r="BNS98" s="769"/>
      <c r="BNT98" s="769"/>
      <c r="BNU98" s="769"/>
      <c r="BNV98" s="769"/>
      <c r="BNW98" s="769"/>
      <c r="BNX98" s="769"/>
      <c r="BNY98" s="769"/>
      <c r="BNZ98" s="769"/>
      <c r="BOA98" s="769"/>
      <c r="BOB98" s="769"/>
      <c r="BOC98" s="769"/>
      <c r="BOD98" s="769"/>
      <c r="BOE98" s="769"/>
      <c r="BOF98" s="769"/>
      <c r="BOG98" s="769"/>
      <c r="BOH98" s="769"/>
      <c r="BOI98" s="769"/>
      <c r="BOJ98" s="769"/>
      <c r="BOK98" s="769"/>
      <c r="BOL98" s="769"/>
      <c r="BOM98" s="769"/>
      <c r="BON98" s="769"/>
      <c r="BOO98" s="769"/>
      <c r="BOP98" s="769"/>
      <c r="BOQ98" s="769"/>
      <c r="BOR98" s="769"/>
      <c r="BOS98" s="769"/>
      <c r="BOT98" s="769"/>
      <c r="BOU98" s="769"/>
      <c r="BOV98" s="769"/>
      <c r="BOW98" s="769"/>
      <c r="BOX98" s="769"/>
      <c r="BOY98" s="769"/>
      <c r="BOZ98" s="769"/>
      <c r="BPA98" s="769"/>
      <c r="BPB98" s="769"/>
      <c r="BPC98" s="769"/>
      <c r="BPD98" s="769"/>
      <c r="BPE98" s="769"/>
      <c r="BPF98" s="769"/>
      <c r="BPG98" s="769"/>
      <c r="BPH98" s="769"/>
      <c r="BPI98" s="769"/>
      <c r="BPJ98" s="769"/>
      <c r="BPK98" s="769"/>
      <c r="BPL98" s="769"/>
      <c r="BPM98" s="769"/>
      <c r="BPN98" s="769"/>
      <c r="BPO98" s="769"/>
      <c r="BPP98" s="769"/>
      <c r="BPQ98" s="769"/>
      <c r="BPR98" s="769"/>
      <c r="BPS98" s="769"/>
      <c r="BPT98" s="769"/>
      <c r="BPU98" s="769"/>
      <c r="BPV98" s="769"/>
      <c r="BPW98" s="769"/>
      <c r="BPX98" s="769"/>
      <c r="BPY98" s="769"/>
      <c r="BPZ98" s="769"/>
      <c r="BQA98" s="769"/>
      <c r="BQB98" s="769"/>
      <c r="BQC98" s="769"/>
      <c r="BQD98" s="769"/>
      <c r="BQE98" s="769"/>
      <c r="BQF98" s="769"/>
      <c r="BQG98" s="769"/>
      <c r="BQH98" s="769"/>
      <c r="BQI98" s="769"/>
      <c r="BQJ98" s="769"/>
      <c r="BQK98" s="769"/>
      <c r="BQL98" s="769"/>
      <c r="BQM98" s="769"/>
      <c r="BQN98" s="769"/>
      <c r="BQO98" s="769"/>
      <c r="BQP98" s="769"/>
      <c r="BQQ98" s="769"/>
      <c r="BQR98" s="769"/>
      <c r="BQS98" s="769"/>
      <c r="BQT98" s="769"/>
      <c r="BQU98" s="769"/>
      <c r="BQV98" s="769"/>
      <c r="BQW98" s="769"/>
      <c r="BQX98" s="769"/>
      <c r="BQY98" s="769"/>
      <c r="BQZ98" s="769"/>
      <c r="BRA98" s="769"/>
      <c r="BRB98" s="769"/>
      <c r="BRC98" s="769"/>
      <c r="BRD98" s="769"/>
      <c r="BRE98" s="769"/>
      <c r="BRF98" s="769"/>
      <c r="BRG98" s="769"/>
      <c r="BRH98" s="769"/>
      <c r="BRI98" s="769"/>
      <c r="BRJ98" s="769"/>
      <c r="BRK98" s="769"/>
      <c r="BRL98" s="769"/>
      <c r="BRM98" s="769"/>
      <c r="BRN98" s="769"/>
      <c r="BRO98" s="769"/>
      <c r="BRP98" s="769"/>
      <c r="BRQ98" s="769"/>
      <c r="BRR98" s="769"/>
      <c r="BRS98" s="769"/>
      <c r="BRT98" s="769"/>
      <c r="BRU98" s="769"/>
      <c r="BRV98" s="769"/>
      <c r="BRW98" s="769"/>
      <c r="BRX98" s="769"/>
      <c r="BRY98" s="769"/>
      <c r="BRZ98" s="769"/>
      <c r="BSA98" s="769"/>
      <c r="BSB98" s="769"/>
      <c r="BSC98" s="769"/>
      <c r="BSD98" s="769"/>
      <c r="BSE98" s="769"/>
      <c r="BSF98" s="769"/>
      <c r="BSG98" s="769"/>
      <c r="BSH98" s="769"/>
      <c r="BSI98" s="769"/>
      <c r="BSJ98" s="769"/>
      <c r="BSK98" s="769"/>
      <c r="BSL98" s="769"/>
      <c r="BSM98" s="769"/>
      <c r="BSN98" s="769"/>
      <c r="BSO98" s="769"/>
      <c r="BSP98" s="769"/>
      <c r="BSQ98" s="769"/>
      <c r="BSR98" s="769"/>
      <c r="BSS98" s="769"/>
      <c r="BST98" s="769"/>
      <c r="BSU98" s="769"/>
      <c r="BSV98" s="769"/>
      <c r="BSW98" s="769"/>
      <c r="BSX98" s="769"/>
      <c r="BSY98" s="769"/>
      <c r="BSZ98" s="769"/>
      <c r="BTA98" s="769"/>
      <c r="BTB98" s="769"/>
      <c r="BTC98" s="769"/>
      <c r="BTD98" s="769"/>
      <c r="BTE98" s="769"/>
      <c r="BTF98" s="769"/>
      <c r="BTG98" s="769"/>
      <c r="BTH98" s="769"/>
      <c r="BTI98" s="769"/>
      <c r="BTJ98" s="769"/>
      <c r="BTK98" s="769"/>
      <c r="BTL98" s="769"/>
      <c r="BTM98" s="769"/>
      <c r="BTN98" s="769"/>
      <c r="BTO98" s="769"/>
      <c r="BTP98" s="769"/>
      <c r="BTQ98" s="769"/>
      <c r="BTR98" s="769"/>
      <c r="BTS98" s="769"/>
      <c r="BTT98" s="769"/>
      <c r="BTU98" s="769"/>
      <c r="BTV98" s="769"/>
      <c r="BTW98" s="769"/>
      <c r="BTX98" s="769"/>
      <c r="BTY98" s="769"/>
      <c r="BTZ98" s="769"/>
      <c r="BUA98" s="769"/>
      <c r="BUB98" s="769"/>
      <c r="BUC98" s="769"/>
      <c r="BUD98" s="769"/>
      <c r="BUE98" s="769"/>
      <c r="BUF98" s="769"/>
      <c r="BUG98" s="769"/>
      <c r="BUH98" s="769"/>
      <c r="BUI98" s="769"/>
      <c r="BUJ98" s="769"/>
      <c r="BUK98" s="769"/>
      <c r="BUL98" s="769"/>
      <c r="BUM98" s="769"/>
      <c r="BUN98" s="769"/>
      <c r="BUO98" s="769"/>
      <c r="BUP98" s="769"/>
      <c r="BUQ98" s="769"/>
      <c r="BUR98" s="769"/>
      <c r="BUS98" s="769"/>
      <c r="BUT98" s="769"/>
      <c r="BUU98" s="769"/>
      <c r="BUV98" s="769"/>
      <c r="BUW98" s="769"/>
      <c r="BUX98" s="769"/>
      <c r="BUY98" s="769"/>
      <c r="BUZ98" s="769"/>
      <c r="BVA98" s="769"/>
      <c r="BVB98" s="769"/>
      <c r="BVC98" s="769"/>
      <c r="BVD98" s="769"/>
      <c r="BVE98" s="769"/>
      <c r="BVF98" s="769"/>
      <c r="BVG98" s="769"/>
      <c r="BVH98" s="769"/>
      <c r="BVI98" s="769"/>
      <c r="BVJ98" s="769"/>
      <c r="BVK98" s="769"/>
      <c r="BVL98" s="769"/>
      <c r="BVM98" s="769"/>
      <c r="BVN98" s="769"/>
      <c r="BVO98" s="769"/>
      <c r="BVP98" s="769"/>
      <c r="BVQ98" s="769"/>
      <c r="BVR98" s="769"/>
      <c r="BVS98" s="769"/>
      <c r="BVT98" s="769"/>
      <c r="BVU98" s="769"/>
      <c r="BVV98" s="769"/>
      <c r="BVW98" s="769"/>
      <c r="BVX98" s="769"/>
      <c r="BVY98" s="769"/>
      <c r="BVZ98" s="769"/>
      <c r="BWA98" s="769"/>
      <c r="BWB98" s="769"/>
      <c r="BWC98" s="769"/>
      <c r="BWD98" s="769"/>
      <c r="BWE98" s="769"/>
      <c r="BWF98" s="769"/>
      <c r="BWG98" s="769"/>
      <c r="BWH98" s="769"/>
      <c r="BWI98" s="769"/>
      <c r="BWJ98" s="769"/>
      <c r="BWK98" s="769"/>
      <c r="BWL98" s="769"/>
      <c r="BWM98" s="769"/>
      <c r="BWN98" s="769"/>
      <c r="BWO98" s="769"/>
      <c r="BWP98" s="769"/>
      <c r="BWQ98" s="769"/>
      <c r="BWR98" s="769"/>
      <c r="BWS98" s="769"/>
      <c r="BWT98" s="769"/>
      <c r="BWU98" s="769"/>
      <c r="BWV98" s="769"/>
      <c r="BWW98" s="769"/>
      <c r="BWX98" s="769"/>
      <c r="BWY98" s="769"/>
      <c r="BWZ98" s="769"/>
      <c r="BXA98" s="769"/>
      <c r="BXB98" s="769"/>
      <c r="BXC98" s="769"/>
      <c r="BXD98" s="769"/>
      <c r="BXE98" s="769"/>
      <c r="BXF98" s="769"/>
      <c r="BXG98" s="769"/>
      <c r="BXH98" s="769"/>
      <c r="BXI98" s="769"/>
      <c r="BXJ98" s="769"/>
      <c r="BXK98" s="769"/>
      <c r="BXL98" s="769"/>
      <c r="BXM98" s="769"/>
      <c r="BXN98" s="769"/>
      <c r="BXO98" s="769"/>
      <c r="BXP98" s="769"/>
      <c r="BXQ98" s="769"/>
      <c r="BXR98" s="769"/>
      <c r="BXS98" s="769"/>
      <c r="BXT98" s="769"/>
      <c r="BXU98" s="769"/>
      <c r="BXV98" s="769"/>
      <c r="BXW98" s="769"/>
      <c r="BXX98" s="769"/>
      <c r="BXY98" s="769"/>
      <c r="BXZ98" s="769"/>
      <c r="BYA98" s="769"/>
      <c r="BYB98" s="769"/>
      <c r="BYC98" s="769"/>
      <c r="BYD98" s="769"/>
      <c r="BYE98" s="769"/>
      <c r="BYF98" s="769"/>
      <c r="BYG98" s="769"/>
      <c r="BYH98" s="769"/>
      <c r="BYI98" s="769"/>
      <c r="BYJ98" s="769"/>
      <c r="BYK98" s="769"/>
      <c r="BYL98" s="769"/>
      <c r="BYM98" s="769"/>
      <c r="BYN98" s="769"/>
      <c r="BYO98" s="769"/>
      <c r="BYP98" s="769"/>
      <c r="BYQ98" s="769"/>
      <c r="BYR98" s="769"/>
      <c r="BYS98" s="769"/>
      <c r="BYT98" s="769"/>
      <c r="BYU98" s="769"/>
      <c r="BYV98" s="769"/>
      <c r="BYW98" s="769"/>
      <c r="BYX98" s="769"/>
      <c r="BYY98" s="769"/>
      <c r="BYZ98" s="769"/>
      <c r="BZA98" s="769"/>
      <c r="BZB98" s="769"/>
      <c r="BZC98" s="769"/>
      <c r="BZD98" s="769"/>
      <c r="BZE98" s="769"/>
      <c r="BZF98" s="769"/>
      <c r="BZG98" s="769"/>
      <c r="BZH98" s="769"/>
      <c r="BZI98" s="769"/>
      <c r="BZJ98" s="769"/>
      <c r="BZK98" s="769"/>
      <c r="BZL98" s="769"/>
      <c r="BZM98" s="769"/>
      <c r="BZN98" s="769"/>
      <c r="BZO98" s="769"/>
      <c r="BZP98" s="769"/>
      <c r="BZQ98" s="769"/>
      <c r="BZR98" s="769"/>
      <c r="BZS98" s="769"/>
      <c r="BZT98" s="769"/>
      <c r="BZU98" s="769"/>
      <c r="BZV98" s="769"/>
      <c r="BZW98" s="769"/>
      <c r="BZX98" s="769"/>
      <c r="BZY98" s="769"/>
      <c r="BZZ98" s="769"/>
      <c r="CAA98" s="769"/>
      <c r="CAB98" s="769"/>
      <c r="CAC98" s="769"/>
      <c r="CAD98" s="769"/>
      <c r="CAE98" s="769"/>
      <c r="CAF98" s="769"/>
      <c r="CAG98" s="769"/>
      <c r="CAH98" s="769"/>
      <c r="CAI98" s="769"/>
      <c r="CAJ98" s="769"/>
      <c r="CAK98" s="769"/>
      <c r="CAL98" s="769"/>
      <c r="CAM98" s="769"/>
      <c r="CAN98" s="769"/>
      <c r="CAO98" s="769"/>
      <c r="CAP98" s="769"/>
      <c r="CAQ98" s="769"/>
      <c r="CAR98" s="769"/>
      <c r="CAS98" s="769"/>
      <c r="CAT98" s="769"/>
      <c r="CAU98" s="769"/>
      <c r="CAV98" s="769"/>
      <c r="CAW98" s="769"/>
      <c r="CAX98" s="769"/>
      <c r="CAY98" s="769"/>
      <c r="CAZ98" s="769"/>
      <c r="CBA98" s="769"/>
      <c r="CBB98" s="769"/>
      <c r="CBC98" s="769"/>
      <c r="CBD98" s="769"/>
      <c r="CBE98" s="769"/>
      <c r="CBF98" s="769"/>
      <c r="CBG98" s="769"/>
      <c r="CBH98" s="769"/>
      <c r="CBI98" s="769"/>
      <c r="CBJ98" s="769"/>
      <c r="CBK98" s="769"/>
      <c r="CBL98" s="769"/>
      <c r="CBM98" s="769"/>
      <c r="CBN98" s="769"/>
      <c r="CBO98" s="769"/>
      <c r="CBP98" s="769"/>
      <c r="CBQ98" s="769"/>
      <c r="CBR98" s="769"/>
      <c r="CBS98" s="769"/>
      <c r="CBT98" s="769"/>
      <c r="CBU98" s="769"/>
      <c r="CBV98" s="769"/>
      <c r="CBW98" s="769"/>
      <c r="CBX98" s="769"/>
      <c r="CBY98" s="769"/>
      <c r="CBZ98" s="769"/>
      <c r="CCA98" s="769"/>
      <c r="CCB98" s="769"/>
      <c r="CCC98" s="769"/>
      <c r="CCD98" s="769"/>
      <c r="CCE98" s="769"/>
      <c r="CCF98" s="769"/>
      <c r="CCG98" s="769"/>
      <c r="CCH98" s="769"/>
      <c r="CCI98" s="769"/>
      <c r="CCJ98" s="769"/>
      <c r="CCK98" s="769"/>
      <c r="CCL98" s="769"/>
      <c r="CCM98" s="769"/>
      <c r="CCN98" s="769"/>
      <c r="CCO98" s="769"/>
      <c r="CCP98" s="769"/>
      <c r="CCQ98" s="769"/>
      <c r="CCR98" s="769"/>
      <c r="CCS98" s="769"/>
      <c r="CCT98" s="769"/>
      <c r="CCU98" s="769"/>
      <c r="CCV98" s="769"/>
      <c r="CCW98" s="769"/>
      <c r="CCX98" s="769"/>
      <c r="CCY98" s="769"/>
      <c r="CCZ98" s="769"/>
      <c r="CDA98" s="769"/>
      <c r="CDB98" s="769"/>
      <c r="CDC98" s="769"/>
      <c r="CDD98" s="769"/>
      <c r="CDE98" s="769"/>
      <c r="CDF98" s="769"/>
      <c r="CDG98" s="769"/>
      <c r="CDH98" s="769"/>
      <c r="CDI98" s="769"/>
      <c r="CDJ98" s="769"/>
      <c r="CDK98" s="769"/>
      <c r="CDL98" s="769"/>
      <c r="CDM98" s="769"/>
      <c r="CDN98" s="769"/>
      <c r="CDO98" s="769"/>
      <c r="CDP98" s="769"/>
      <c r="CDQ98" s="769"/>
      <c r="CDR98" s="769"/>
      <c r="CDS98" s="769"/>
      <c r="CDT98" s="769"/>
      <c r="CDU98" s="769"/>
      <c r="CDV98" s="769"/>
      <c r="CDW98" s="769"/>
      <c r="CDX98" s="769"/>
      <c r="CDY98" s="769"/>
      <c r="CDZ98" s="769"/>
      <c r="CEA98" s="769"/>
      <c r="CEB98" s="769"/>
      <c r="CEC98" s="769"/>
      <c r="CED98" s="769"/>
      <c r="CEE98" s="769"/>
      <c r="CEF98" s="769"/>
      <c r="CEG98" s="769"/>
      <c r="CEH98" s="769"/>
      <c r="CEI98" s="769"/>
      <c r="CEJ98" s="769"/>
      <c r="CEK98" s="769"/>
      <c r="CEL98" s="769"/>
      <c r="CEM98" s="769"/>
      <c r="CEN98" s="769"/>
      <c r="CEO98" s="769"/>
      <c r="CEP98" s="769"/>
      <c r="CEQ98" s="769"/>
      <c r="CER98" s="769"/>
      <c r="CES98" s="769"/>
      <c r="CET98" s="769"/>
      <c r="CEU98" s="769"/>
      <c r="CEV98" s="769"/>
      <c r="CEW98" s="769"/>
      <c r="CEX98" s="769"/>
      <c r="CEY98" s="769"/>
      <c r="CEZ98" s="769"/>
      <c r="CFA98" s="769"/>
      <c r="CFB98" s="769"/>
      <c r="CFC98" s="769"/>
      <c r="CFD98" s="769"/>
      <c r="CFE98" s="769"/>
      <c r="CFF98" s="769"/>
      <c r="CFG98" s="769"/>
      <c r="CFH98" s="769"/>
      <c r="CFI98" s="769"/>
      <c r="CFJ98" s="769"/>
      <c r="CFK98" s="769"/>
      <c r="CFL98" s="769"/>
      <c r="CFM98" s="769"/>
      <c r="CFN98" s="769"/>
      <c r="CFO98" s="769"/>
      <c r="CFP98" s="769"/>
      <c r="CFQ98" s="769"/>
      <c r="CFR98" s="769"/>
      <c r="CFS98" s="769"/>
      <c r="CFT98" s="769"/>
      <c r="CFU98" s="769"/>
      <c r="CFV98" s="769"/>
      <c r="CFW98" s="769"/>
      <c r="CFX98" s="769"/>
      <c r="CFY98" s="769"/>
      <c r="CFZ98" s="769"/>
      <c r="CGA98" s="769"/>
      <c r="CGB98" s="769"/>
      <c r="CGC98" s="769"/>
      <c r="CGD98" s="769"/>
      <c r="CGE98" s="769"/>
      <c r="CGF98" s="769"/>
      <c r="CGG98" s="769"/>
      <c r="CGH98" s="769"/>
      <c r="CGI98" s="769"/>
      <c r="CGJ98" s="769"/>
      <c r="CGK98" s="769"/>
      <c r="CGL98" s="769"/>
      <c r="CGM98" s="769"/>
      <c r="CGN98" s="769"/>
      <c r="CGO98" s="769"/>
      <c r="CGP98" s="769"/>
      <c r="CGQ98" s="769"/>
      <c r="CGR98" s="769"/>
      <c r="CGS98" s="769"/>
      <c r="CGT98" s="769"/>
      <c r="CGU98" s="769"/>
      <c r="CGV98" s="769"/>
      <c r="CGW98" s="769"/>
      <c r="CGX98" s="769"/>
      <c r="CGY98" s="769"/>
      <c r="CGZ98" s="769"/>
      <c r="CHA98" s="769"/>
      <c r="CHB98" s="769"/>
      <c r="CHC98" s="769"/>
      <c r="CHD98" s="769"/>
      <c r="CHE98" s="769"/>
      <c r="CHF98" s="769"/>
      <c r="CHG98" s="769"/>
      <c r="CHH98" s="769"/>
      <c r="CHI98" s="769"/>
      <c r="CHJ98" s="769"/>
      <c r="CHK98" s="769"/>
      <c r="CHL98" s="769"/>
      <c r="CHM98" s="769"/>
      <c r="CHN98" s="769"/>
      <c r="CHO98" s="769"/>
      <c r="CHP98" s="769"/>
      <c r="CHQ98" s="769"/>
      <c r="CHR98" s="769"/>
      <c r="CHS98" s="769"/>
      <c r="CHT98" s="769"/>
      <c r="CHU98" s="769"/>
      <c r="CHV98" s="769"/>
      <c r="CHW98" s="769"/>
      <c r="CHX98" s="769"/>
      <c r="CHY98" s="769"/>
      <c r="CHZ98" s="769"/>
      <c r="CIA98" s="769"/>
      <c r="CIB98" s="769"/>
      <c r="CIC98" s="769"/>
      <c r="CID98" s="769"/>
      <c r="CIE98" s="769"/>
      <c r="CIF98" s="769"/>
      <c r="CIG98" s="769"/>
      <c r="CIH98" s="769"/>
      <c r="CII98" s="769"/>
      <c r="CIJ98" s="769"/>
      <c r="CIK98" s="769"/>
      <c r="CIL98" s="769"/>
      <c r="CIM98" s="769"/>
      <c r="CIN98" s="769"/>
      <c r="CIO98" s="769"/>
      <c r="CIP98" s="769"/>
      <c r="CIQ98" s="769"/>
      <c r="CIR98" s="769"/>
      <c r="CIS98" s="769"/>
      <c r="CIT98" s="769"/>
      <c r="CIU98" s="769"/>
      <c r="CIV98" s="769"/>
      <c r="CIW98" s="769"/>
      <c r="CIX98" s="769"/>
      <c r="CIY98" s="769"/>
      <c r="CIZ98" s="769"/>
      <c r="CJA98" s="769"/>
      <c r="CJB98" s="769"/>
      <c r="CJC98" s="769"/>
      <c r="CJD98" s="769"/>
      <c r="CJE98" s="769"/>
      <c r="CJF98" s="769"/>
      <c r="CJG98" s="769"/>
      <c r="CJH98" s="769"/>
      <c r="CJI98" s="769"/>
      <c r="CJJ98" s="769"/>
      <c r="CJK98" s="769"/>
      <c r="CJL98" s="769"/>
      <c r="CJM98" s="769"/>
      <c r="CJN98" s="769"/>
      <c r="CJO98" s="769"/>
      <c r="CJP98" s="769"/>
      <c r="CJQ98" s="769"/>
      <c r="CJR98" s="769"/>
      <c r="CJS98" s="769"/>
      <c r="CJT98" s="769"/>
      <c r="CJU98" s="769"/>
      <c r="CJV98" s="769"/>
      <c r="CJW98" s="769"/>
      <c r="CJX98" s="769"/>
      <c r="CJY98" s="769"/>
      <c r="CJZ98" s="769"/>
      <c r="CKA98" s="769"/>
      <c r="CKB98" s="769"/>
      <c r="CKC98" s="769"/>
      <c r="CKD98" s="769"/>
      <c r="CKE98" s="769"/>
      <c r="CKF98" s="769"/>
      <c r="CKG98" s="769"/>
      <c r="CKH98" s="769"/>
      <c r="CKI98" s="769"/>
      <c r="CKJ98" s="769"/>
      <c r="CKK98" s="769"/>
      <c r="CKL98" s="769"/>
      <c r="CKM98" s="769"/>
      <c r="CKN98" s="769"/>
      <c r="CKO98" s="769"/>
      <c r="CKP98" s="769"/>
      <c r="CKQ98" s="769"/>
      <c r="CKR98" s="769"/>
      <c r="CKS98" s="769"/>
      <c r="CKT98" s="769"/>
      <c r="CKU98" s="769"/>
      <c r="CKV98" s="769"/>
      <c r="CKW98" s="769"/>
      <c r="CKX98" s="769"/>
      <c r="CKY98" s="769"/>
      <c r="CKZ98" s="769"/>
      <c r="CLA98" s="769"/>
      <c r="CLB98" s="769"/>
      <c r="CLC98" s="769"/>
      <c r="CLD98" s="769"/>
      <c r="CLE98" s="769"/>
      <c r="CLF98" s="769"/>
      <c r="CLG98" s="769"/>
      <c r="CLH98" s="769"/>
      <c r="CLI98" s="769"/>
      <c r="CLJ98" s="769"/>
      <c r="CLK98" s="769"/>
      <c r="CLL98" s="769"/>
      <c r="CLM98" s="769"/>
      <c r="CLN98" s="769"/>
      <c r="CLO98" s="769"/>
      <c r="CLP98" s="769"/>
      <c r="CLQ98" s="769"/>
      <c r="CLR98" s="769"/>
      <c r="CLS98" s="769"/>
      <c r="CLT98" s="769"/>
      <c r="CLU98" s="769"/>
      <c r="CLV98" s="769"/>
      <c r="CLW98" s="769"/>
      <c r="CLX98" s="769"/>
      <c r="CLY98" s="769"/>
      <c r="CLZ98" s="769"/>
      <c r="CMA98" s="769"/>
      <c r="CMB98" s="769"/>
      <c r="CMC98" s="769"/>
      <c r="CMD98" s="769"/>
      <c r="CME98" s="769"/>
      <c r="CMF98" s="769"/>
      <c r="CMG98" s="769"/>
      <c r="CMH98" s="769"/>
      <c r="CMI98" s="769"/>
      <c r="CMJ98" s="769"/>
      <c r="CMK98" s="769"/>
      <c r="CML98" s="769"/>
      <c r="CMM98" s="769"/>
      <c r="CMN98" s="769"/>
      <c r="CMO98" s="769"/>
      <c r="CMP98" s="769"/>
      <c r="CMQ98" s="769"/>
      <c r="CMR98" s="769"/>
      <c r="CMS98" s="769"/>
      <c r="CMT98" s="769"/>
      <c r="CMU98" s="769"/>
      <c r="CMV98" s="769"/>
      <c r="CMW98" s="769"/>
      <c r="CMX98" s="769"/>
      <c r="CMY98" s="769"/>
      <c r="CMZ98" s="769"/>
      <c r="CNA98" s="769"/>
      <c r="CNB98" s="769"/>
      <c r="CNC98" s="769"/>
      <c r="CND98" s="769"/>
      <c r="CNE98" s="769"/>
      <c r="CNF98" s="769"/>
      <c r="CNG98" s="769"/>
      <c r="CNH98" s="769"/>
      <c r="CNI98" s="769"/>
      <c r="CNJ98" s="769"/>
      <c r="CNK98" s="769"/>
      <c r="CNL98" s="769"/>
      <c r="CNM98" s="769"/>
      <c r="CNN98" s="769"/>
      <c r="CNO98" s="769"/>
      <c r="CNP98" s="769"/>
      <c r="CNQ98" s="769"/>
      <c r="CNR98" s="769"/>
      <c r="CNS98" s="769"/>
      <c r="CNT98" s="769"/>
      <c r="CNU98" s="769"/>
      <c r="CNV98" s="769"/>
      <c r="CNW98" s="769"/>
      <c r="CNX98" s="769"/>
      <c r="CNY98" s="769"/>
      <c r="CNZ98" s="769"/>
      <c r="COA98" s="769"/>
      <c r="COB98" s="769"/>
      <c r="COC98" s="769"/>
      <c r="COD98" s="769"/>
      <c r="COE98" s="769"/>
      <c r="COF98" s="769"/>
      <c r="COG98" s="769"/>
      <c r="COH98" s="769"/>
      <c r="COI98" s="769"/>
      <c r="COJ98" s="769"/>
      <c r="COK98" s="769"/>
      <c r="COL98" s="769"/>
      <c r="COM98" s="769"/>
      <c r="CON98" s="769"/>
      <c r="COO98" s="769"/>
      <c r="COP98" s="769"/>
      <c r="COQ98" s="769"/>
      <c r="COR98" s="769"/>
      <c r="COS98" s="769"/>
      <c r="COT98" s="769"/>
      <c r="COU98" s="769"/>
      <c r="COV98" s="769"/>
      <c r="COW98" s="769"/>
      <c r="COX98" s="769"/>
      <c r="COY98" s="769"/>
      <c r="COZ98" s="769"/>
      <c r="CPA98" s="769"/>
      <c r="CPB98" s="769"/>
      <c r="CPC98" s="769"/>
      <c r="CPD98" s="769"/>
      <c r="CPE98" s="769"/>
      <c r="CPF98" s="769"/>
      <c r="CPG98" s="769"/>
      <c r="CPH98" s="769"/>
      <c r="CPI98" s="769"/>
      <c r="CPJ98" s="769"/>
      <c r="CPK98" s="769"/>
      <c r="CPL98" s="769"/>
      <c r="CPM98" s="769"/>
      <c r="CPN98" s="769"/>
      <c r="CPO98" s="769"/>
      <c r="CPP98" s="769"/>
      <c r="CPQ98" s="769"/>
      <c r="CPR98" s="769"/>
      <c r="CPS98" s="769"/>
      <c r="CPT98" s="769"/>
      <c r="CPU98" s="769"/>
      <c r="CPV98" s="769"/>
      <c r="CPW98" s="769"/>
      <c r="CPX98" s="769"/>
      <c r="CPY98" s="769"/>
      <c r="CPZ98" s="769"/>
      <c r="CQA98" s="769"/>
      <c r="CQB98" s="769"/>
      <c r="CQC98" s="769"/>
      <c r="CQD98" s="769"/>
      <c r="CQE98" s="769"/>
      <c r="CQF98" s="769"/>
      <c r="CQG98" s="769"/>
      <c r="CQH98" s="769"/>
      <c r="CQI98" s="769"/>
      <c r="CQJ98" s="769"/>
      <c r="CQK98" s="769"/>
      <c r="CQL98" s="769"/>
      <c r="CQM98" s="769"/>
      <c r="CQN98" s="769"/>
      <c r="CQO98" s="769"/>
      <c r="CQP98" s="769"/>
      <c r="CQQ98" s="769"/>
      <c r="CQR98" s="769"/>
      <c r="CQS98" s="769"/>
      <c r="CQT98" s="769"/>
      <c r="CQU98" s="769"/>
      <c r="CQV98" s="769"/>
      <c r="CQW98" s="769"/>
      <c r="CQX98" s="769"/>
      <c r="CQY98" s="769"/>
      <c r="CQZ98" s="769"/>
      <c r="CRA98" s="769"/>
      <c r="CRB98" s="769"/>
      <c r="CRC98" s="769"/>
      <c r="CRD98" s="769"/>
      <c r="CRE98" s="769"/>
      <c r="CRF98" s="769"/>
      <c r="CRG98" s="769"/>
      <c r="CRH98" s="769"/>
      <c r="CRI98" s="769"/>
      <c r="CRJ98" s="769"/>
      <c r="CRK98" s="769"/>
      <c r="CRL98" s="769"/>
      <c r="CRM98" s="769"/>
      <c r="CRN98" s="769"/>
      <c r="CRO98" s="769"/>
      <c r="CRP98" s="769"/>
      <c r="CRQ98" s="769"/>
      <c r="CRR98" s="769"/>
      <c r="CRS98" s="769"/>
      <c r="CRT98" s="769"/>
      <c r="CRU98" s="769"/>
      <c r="CRV98" s="769"/>
      <c r="CRW98" s="769"/>
      <c r="CRX98" s="769"/>
      <c r="CRY98" s="769"/>
      <c r="CRZ98" s="769"/>
      <c r="CSA98" s="769"/>
      <c r="CSB98" s="769"/>
      <c r="CSC98" s="769"/>
      <c r="CSD98" s="769"/>
      <c r="CSE98" s="769"/>
      <c r="CSF98" s="769"/>
      <c r="CSG98" s="769"/>
      <c r="CSH98" s="769"/>
      <c r="CSI98" s="769"/>
      <c r="CSJ98" s="769"/>
      <c r="CSK98" s="769"/>
      <c r="CSL98" s="769"/>
      <c r="CSM98" s="769"/>
      <c r="CSN98" s="769"/>
      <c r="CSO98" s="769"/>
      <c r="CSP98" s="769"/>
      <c r="CSQ98" s="769"/>
      <c r="CSR98" s="769"/>
      <c r="CSS98" s="769"/>
      <c r="CST98" s="769"/>
      <c r="CSU98" s="769"/>
      <c r="CSV98" s="769"/>
      <c r="CSW98" s="769"/>
      <c r="CSX98" s="769"/>
      <c r="CSY98" s="769"/>
      <c r="CSZ98" s="769"/>
      <c r="CTA98" s="769"/>
      <c r="CTB98" s="769"/>
      <c r="CTC98" s="769"/>
      <c r="CTD98" s="769"/>
      <c r="CTE98" s="769"/>
      <c r="CTF98" s="769"/>
      <c r="CTG98" s="769"/>
      <c r="CTH98" s="769"/>
      <c r="CTI98" s="769"/>
      <c r="CTJ98" s="769"/>
      <c r="CTK98" s="769"/>
      <c r="CTL98" s="769"/>
      <c r="CTM98" s="769"/>
      <c r="CTN98" s="769"/>
      <c r="CTO98" s="769"/>
      <c r="CTP98" s="769"/>
      <c r="CTQ98" s="769"/>
      <c r="CTR98" s="769"/>
      <c r="CTS98" s="769"/>
      <c r="CTT98" s="769"/>
      <c r="CTU98" s="769"/>
      <c r="CTV98" s="769"/>
      <c r="CTW98" s="769"/>
      <c r="CTX98" s="769"/>
      <c r="CTY98" s="769"/>
      <c r="CTZ98" s="769"/>
      <c r="CUA98" s="769"/>
      <c r="CUB98" s="769"/>
      <c r="CUC98" s="769"/>
      <c r="CUD98" s="769"/>
      <c r="CUE98" s="769"/>
      <c r="CUF98" s="769"/>
      <c r="CUG98" s="769"/>
      <c r="CUH98" s="769"/>
      <c r="CUI98" s="769"/>
      <c r="CUJ98" s="769"/>
      <c r="CUK98" s="769"/>
      <c r="CUL98" s="769"/>
      <c r="CUM98" s="769"/>
      <c r="CUN98" s="769"/>
      <c r="CUO98" s="769"/>
      <c r="CUP98" s="769"/>
      <c r="CUQ98" s="769"/>
      <c r="CUR98" s="769"/>
      <c r="CUS98" s="769"/>
      <c r="CUT98" s="769"/>
      <c r="CUU98" s="769"/>
      <c r="CUV98" s="769"/>
      <c r="CUW98" s="769"/>
      <c r="CUX98" s="769"/>
      <c r="CUY98" s="769"/>
      <c r="CUZ98" s="769"/>
      <c r="CVA98" s="769"/>
      <c r="CVB98" s="769"/>
      <c r="CVC98" s="769"/>
      <c r="CVD98" s="769"/>
      <c r="CVE98" s="769"/>
      <c r="CVF98" s="769"/>
      <c r="CVG98" s="769"/>
      <c r="CVH98" s="769"/>
      <c r="CVI98" s="769"/>
      <c r="CVJ98" s="769"/>
      <c r="CVK98" s="769"/>
      <c r="CVL98" s="769"/>
      <c r="CVM98" s="769"/>
      <c r="CVN98" s="769"/>
      <c r="CVO98" s="769"/>
      <c r="CVP98" s="769"/>
      <c r="CVQ98" s="769"/>
      <c r="CVR98" s="769"/>
      <c r="CVS98" s="769"/>
      <c r="CVT98" s="769"/>
      <c r="CVU98" s="769"/>
      <c r="CVV98" s="769"/>
      <c r="CVW98" s="769"/>
      <c r="CVX98" s="769"/>
      <c r="CVY98" s="769"/>
      <c r="CVZ98" s="769"/>
      <c r="CWA98" s="769"/>
      <c r="CWB98" s="769"/>
      <c r="CWC98" s="769"/>
      <c r="CWD98" s="769"/>
      <c r="CWE98" s="769"/>
      <c r="CWF98" s="769"/>
      <c r="CWG98" s="769"/>
      <c r="CWH98" s="769"/>
      <c r="CWI98" s="769"/>
      <c r="CWJ98" s="769"/>
      <c r="CWK98" s="769"/>
      <c r="CWL98" s="769"/>
      <c r="CWM98" s="769"/>
      <c r="CWN98" s="769"/>
      <c r="CWO98" s="769"/>
      <c r="CWP98" s="769"/>
      <c r="CWQ98" s="769"/>
      <c r="CWR98" s="769"/>
      <c r="CWS98" s="769"/>
      <c r="CWT98" s="769"/>
      <c r="CWU98" s="769"/>
      <c r="CWV98" s="769"/>
      <c r="CWW98" s="769"/>
      <c r="CWX98" s="769"/>
      <c r="CWY98" s="769"/>
      <c r="CWZ98" s="769"/>
      <c r="CXA98" s="769"/>
      <c r="CXB98" s="769"/>
      <c r="CXC98" s="769"/>
      <c r="CXD98" s="769"/>
      <c r="CXE98" s="769"/>
      <c r="CXF98" s="769"/>
      <c r="CXG98" s="769"/>
      <c r="CXH98" s="769"/>
      <c r="CXI98" s="769"/>
      <c r="CXJ98" s="769"/>
      <c r="CXK98" s="769"/>
      <c r="CXL98" s="769"/>
      <c r="CXM98" s="769"/>
      <c r="CXN98" s="769"/>
      <c r="CXO98" s="769"/>
      <c r="CXP98" s="769"/>
      <c r="CXQ98" s="769"/>
      <c r="CXR98" s="769"/>
      <c r="CXS98" s="769"/>
      <c r="CXT98" s="769"/>
      <c r="CXU98" s="769"/>
      <c r="CXV98" s="769"/>
      <c r="CXW98" s="769"/>
      <c r="CXX98" s="769"/>
      <c r="CXY98" s="769"/>
      <c r="CXZ98" s="769"/>
      <c r="CYA98" s="769"/>
      <c r="CYB98" s="769"/>
      <c r="CYC98" s="769"/>
      <c r="CYD98" s="769"/>
      <c r="CYE98" s="769"/>
      <c r="CYF98" s="769"/>
      <c r="CYG98" s="769"/>
      <c r="CYH98" s="769"/>
      <c r="CYI98" s="769"/>
      <c r="CYJ98" s="769"/>
      <c r="CYK98" s="769"/>
      <c r="CYL98" s="769"/>
      <c r="CYM98" s="769"/>
      <c r="CYN98" s="769"/>
      <c r="CYO98" s="769"/>
      <c r="CYP98" s="769"/>
      <c r="CYQ98" s="769"/>
      <c r="CYR98" s="769"/>
      <c r="CYS98" s="769"/>
      <c r="CYT98" s="769"/>
      <c r="CYU98" s="769"/>
      <c r="CYV98" s="769"/>
      <c r="CYW98" s="769"/>
      <c r="CYX98" s="769"/>
      <c r="CYY98" s="769"/>
      <c r="CYZ98" s="769"/>
      <c r="CZA98" s="769"/>
      <c r="CZB98" s="769"/>
      <c r="CZC98" s="769"/>
      <c r="CZD98" s="769"/>
      <c r="CZE98" s="769"/>
      <c r="CZF98" s="769"/>
      <c r="CZG98" s="769"/>
      <c r="CZH98" s="769"/>
      <c r="CZI98" s="769"/>
      <c r="CZJ98" s="769"/>
      <c r="CZK98" s="769"/>
      <c r="CZL98" s="769"/>
      <c r="CZM98" s="769"/>
      <c r="CZN98" s="769"/>
      <c r="CZO98" s="769"/>
      <c r="CZP98" s="769"/>
      <c r="CZQ98" s="769"/>
      <c r="CZR98" s="769"/>
      <c r="CZS98" s="769"/>
      <c r="CZT98" s="769"/>
      <c r="CZU98" s="769"/>
      <c r="CZV98" s="769"/>
      <c r="CZW98" s="769"/>
      <c r="CZX98" s="769"/>
      <c r="CZY98" s="769"/>
      <c r="CZZ98" s="769"/>
      <c r="DAA98" s="769"/>
      <c r="DAB98" s="769"/>
      <c r="DAC98" s="769"/>
      <c r="DAD98" s="769"/>
      <c r="DAE98" s="769"/>
      <c r="DAF98" s="769"/>
      <c r="DAG98" s="769"/>
      <c r="DAH98" s="769"/>
      <c r="DAI98" s="769"/>
      <c r="DAJ98" s="769"/>
      <c r="DAK98" s="769"/>
      <c r="DAL98" s="769"/>
      <c r="DAM98" s="769"/>
      <c r="DAN98" s="769"/>
      <c r="DAO98" s="769"/>
      <c r="DAP98" s="769"/>
      <c r="DAQ98" s="769"/>
      <c r="DAR98" s="769"/>
      <c r="DAS98" s="769"/>
      <c r="DAT98" s="769"/>
      <c r="DAU98" s="769"/>
      <c r="DAV98" s="769"/>
      <c r="DAW98" s="769"/>
      <c r="DAX98" s="769"/>
      <c r="DAY98" s="769"/>
      <c r="DAZ98" s="769"/>
      <c r="DBA98" s="769"/>
      <c r="DBB98" s="769"/>
      <c r="DBC98" s="769"/>
      <c r="DBD98" s="769"/>
      <c r="DBE98" s="769"/>
      <c r="DBF98" s="769"/>
      <c r="DBG98" s="769"/>
      <c r="DBH98" s="769"/>
      <c r="DBI98" s="769"/>
      <c r="DBJ98" s="769"/>
      <c r="DBK98" s="769"/>
      <c r="DBL98" s="769"/>
      <c r="DBM98" s="769"/>
      <c r="DBN98" s="769"/>
      <c r="DBO98" s="769"/>
      <c r="DBP98" s="769"/>
      <c r="DBQ98" s="769"/>
      <c r="DBR98" s="769"/>
      <c r="DBS98" s="769"/>
      <c r="DBT98" s="769"/>
      <c r="DBU98" s="769"/>
      <c r="DBV98" s="769"/>
      <c r="DBW98" s="769"/>
      <c r="DBX98" s="769"/>
      <c r="DBY98" s="769"/>
      <c r="DBZ98" s="769"/>
      <c r="DCA98" s="769"/>
      <c r="DCB98" s="769"/>
      <c r="DCC98" s="769"/>
      <c r="DCD98" s="769"/>
      <c r="DCE98" s="769"/>
      <c r="DCF98" s="769"/>
      <c r="DCG98" s="769"/>
      <c r="DCH98" s="769"/>
      <c r="DCI98" s="769"/>
      <c r="DCJ98" s="769"/>
      <c r="DCK98" s="769"/>
      <c r="DCL98" s="769"/>
      <c r="DCM98" s="769"/>
      <c r="DCN98" s="769"/>
      <c r="DCO98" s="769"/>
      <c r="DCP98" s="769"/>
      <c r="DCQ98" s="769"/>
      <c r="DCR98" s="769"/>
      <c r="DCS98" s="769"/>
      <c r="DCT98" s="769"/>
      <c r="DCU98" s="769"/>
      <c r="DCV98" s="769"/>
      <c r="DCW98" s="769"/>
      <c r="DCX98" s="769"/>
      <c r="DCY98" s="769"/>
      <c r="DCZ98" s="769"/>
      <c r="DDA98" s="769"/>
      <c r="DDB98" s="769"/>
      <c r="DDC98" s="769"/>
      <c r="DDD98" s="769"/>
      <c r="DDE98" s="769"/>
      <c r="DDF98" s="769"/>
      <c r="DDG98" s="769"/>
      <c r="DDH98" s="769"/>
      <c r="DDI98" s="769"/>
      <c r="DDJ98" s="769"/>
      <c r="DDK98" s="769"/>
      <c r="DDL98" s="769"/>
      <c r="DDM98" s="769"/>
      <c r="DDN98" s="769"/>
      <c r="DDO98" s="769"/>
      <c r="DDP98" s="769"/>
      <c r="DDQ98" s="769"/>
      <c r="DDR98" s="769"/>
      <c r="DDS98" s="769"/>
      <c r="DDT98" s="769"/>
      <c r="DDU98" s="769"/>
      <c r="DDV98" s="769"/>
      <c r="DDW98" s="769"/>
      <c r="DDX98" s="769"/>
      <c r="DDY98" s="769"/>
      <c r="DDZ98" s="769"/>
      <c r="DEA98" s="769"/>
      <c r="DEB98" s="769"/>
      <c r="DEC98" s="769"/>
      <c r="DED98" s="769"/>
      <c r="DEE98" s="769"/>
      <c r="DEF98" s="769"/>
      <c r="DEG98" s="769"/>
      <c r="DEH98" s="769"/>
      <c r="DEI98" s="769"/>
      <c r="DEJ98" s="769"/>
      <c r="DEK98" s="769"/>
      <c r="DEL98" s="769"/>
      <c r="DEM98" s="769"/>
      <c r="DEN98" s="769"/>
      <c r="DEO98" s="769"/>
      <c r="DEP98" s="769"/>
      <c r="DEQ98" s="769"/>
      <c r="DER98" s="769"/>
      <c r="DES98" s="769"/>
      <c r="DET98" s="769"/>
      <c r="DEU98" s="769"/>
      <c r="DEV98" s="769"/>
      <c r="DEW98" s="769"/>
      <c r="DEX98" s="769"/>
      <c r="DEY98" s="769"/>
      <c r="DEZ98" s="769"/>
      <c r="DFA98" s="769"/>
      <c r="DFB98" s="769"/>
      <c r="DFC98" s="769"/>
      <c r="DFD98" s="769"/>
      <c r="DFE98" s="769"/>
      <c r="DFF98" s="769"/>
      <c r="DFG98" s="769"/>
      <c r="DFH98" s="769"/>
      <c r="DFI98" s="769"/>
      <c r="DFJ98" s="769"/>
      <c r="DFK98" s="769"/>
      <c r="DFL98" s="769"/>
      <c r="DFM98" s="769"/>
      <c r="DFN98" s="769"/>
      <c r="DFO98" s="769"/>
      <c r="DFP98" s="769"/>
      <c r="DFQ98" s="769"/>
      <c r="DFR98" s="769"/>
      <c r="DFS98" s="769"/>
      <c r="DFT98" s="769"/>
      <c r="DFU98" s="769"/>
      <c r="DFV98" s="769"/>
      <c r="DFW98" s="769"/>
      <c r="DFX98" s="769"/>
      <c r="DFY98" s="769"/>
      <c r="DFZ98" s="769"/>
      <c r="DGA98" s="769"/>
      <c r="DGB98" s="769"/>
      <c r="DGC98" s="769"/>
      <c r="DGD98" s="769"/>
      <c r="DGE98" s="769"/>
      <c r="DGF98" s="769"/>
      <c r="DGG98" s="769"/>
      <c r="DGH98" s="769"/>
      <c r="DGI98" s="769"/>
      <c r="DGJ98" s="769"/>
      <c r="DGK98" s="769"/>
      <c r="DGL98" s="769"/>
      <c r="DGM98" s="769"/>
      <c r="DGN98" s="769"/>
      <c r="DGO98" s="769"/>
      <c r="DGP98" s="769"/>
      <c r="DGQ98" s="769"/>
      <c r="DGR98" s="769"/>
      <c r="DGS98" s="769"/>
      <c r="DGT98" s="769"/>
      <c r="DGU98" s="769"/>
      <c r="DGV98" s="769"/>
      <c r="DGW98" s="769"/>
      <c r="DGX98" s="769"/>
      <c r="DGY98" s="769"/>
      <c r="DGZ98" s="769"/>
      <c r="DHA98" s="769"/>
      <c r="DHB98" s="769"/>
      <c r="DHC98" s="769"/>
      <c r="DHD98" s="769"/>
      <c r="DHE98" s="769"/>
      <c r="DHF98" s="769"/>
      <c r="DHG98" s="769"/>
      <c r="DHH98" s="769"/>
      <c r="DHI98" s="769"/>
      <c r="DHJ98" s="769"/>
      <c r="DHK98" s="769"/>
      <c r="DHL98" s="769"/>
      <c r="DHM98" s="769"/>
      <c r="DHN98" s="769"/>
      <c r="DHO98" s="769"/>
      <c r="DHP98" s="769"/>
      <c r="DHQ98" s="769"/>
      <c r="DHR98" s="769"/>
      <c r="DHS98" s="769"/>
      <c r="DHT98" s="769"/>
      <c r="DHU98" s="769"/>
      <c r="DHV98" s="769"/>
      <c r="DHW98" s="769"/>
      <c r="DHX98" s="769"/>
      <c r="DHY98" s="769"/>
      <c r="DHZ98" s="769"/>
      <c r="DIA98" s="769"/>
      <c r="DIB98" s="769"/>
      <c r="DIC98" s="769"/>
      <c r="DID98" s="769"/>
      <c r="DIE98" s="769"/>
      <c r="DIF98" s="769"/>
      <c r="DIG98" s="769"/>
      <c r="DIH98" s="769"/>
      <c r="DII98" s="769"/>
      <c r="DIJ98" s="769"/>
      <c r="DIK98" s="769"/>
      <c r="DIL98" s="769"/>
      <c r="DIM98" s="769"/>
      <c r="DIN98" s="769"/>
      <c r="DIO98" s="769"/>
      <c r="DIP98" s="769"/>
      <c r="DIQ98" s="769"/>
      <c r="DIR98" s="769"/>
      <c r="DIS98" s="769"/>
      <c r="DIT98" s="769"/>
      <c r="DIU98" s="769"/>
      <c r="DIV98" s="769"/>
      <c r="DIW98" s="769"/>
      <c r="DIX98" s="769"/>
      <c r="DIY98" s="769"/>
      <c r="DIZ98" s="769"/>
      <c r="DJA98" s="769"/>
      <c r="DJB98" s="769"/>
      <c r="DJC98" s="769"/>
      <c r="DJD98" s="769"/>
      <c r="DJE98" s="769"/>
      <c r="DJF98" s="769"/>
      <c r="DJG98" s="769"/>
      <c r="DJH98" s="769"/>
      <c r="DJI98" s="769"/>
      <c r="DJJ98" s="769"/>
      <c r="DJK98" s="769"/>
      <c r="DJL98" s="769"/>
      <c r="DJM98" s="769"/>
      <c r="DJN98" s="769"/>
      <c r="DJO98" s="769"/>
      <c r="DJP98" s="769"/>
      <c r="DJQ98" s="769"/>
      <c r="DJR98" s="769"/>
      <c r="DJS98" s="769"/>
      <c r="DJT98" s="769"/>
      <c r="DJU98" s="769"/>
      <c r="DJV98" s="769"/>
      <c r="DJW98" s="769"/>
      <c r="DJX98" s="769"/>
      <c r="DJY98" s="769"/>
      <c r="DJZ98" s="769"/>
      <c r="DKA98" s="769"/>
      <c r="DKB98" s="769"/>
      <c r="DKC98" s="769"/>
      <c r="DKD98" s="769"/>
      <c r="DKE98" s="769"/>
      <c r="DKF98" s="769"/>
      <c r="DKG98" s="769"/>
      <c r="DKH98" s="769"/>
      <c r="DKI98" s="769"/>
      <c r="DKJ98" s="769"/>
      <c r="DKK98" s="769"/>
      <c r="DKL98" s="769"/>
      <c r="DKM98" s="769"/>
      <c r="DKN98" s="769"/>
      <c r="DKO98" s="769"/>
      <c r="DKP98" s="769"/>
      <c r="DKQ98" s="769"/>
      <c r="DKR98" s="769"/>
      <c r="DKS98" s="769"/>
      <c r="DKT98" s="769"/>
      <c r="DKU98" s="769"/>
      <c r="DKV98" s="769"/>
      <c r="DKW98" s="769"/>
      <c r="DKX98" s="769"/>
      <c r="DKY98" s="769"/>
      <c r="DKZ98" s="769"/>
      <c r="DLA98" s="769"/>
      <c r="DLB98" s="769"/>
      <c r="DLC98" s="769"/>
      <c r="DLD98" s="769"/>
      <c r="DLE98" s="769"/>
      <c r="DLF98" s="769"/>
      <c r="DLG98" s="769"/>
      <c r="DLH98" s="769"/>
      <c r="DLI98" s="769"/>
      <c r="DLJ98" s="769"/>
      <c r="DLK98" s="769"/>
      <c r="DLL98" s="769"/>
      <c r="DLM98" s="769"/>
      <c r="DLN98" s="769"/>
      <c r="DLO98" s="769"/>
      <c r="DLP98" s="769"/>
      <c r="DLQ98" s="769"/>
      <c r="DLR98" s="769"/>
      <c r="DLS98" s="769"/>
      <c r="DLT98" s="769"/>
      <c r="DLU98" s="769"/>
      <c r="DLV98" s="769"/>
      <c r="DLW98" s="769"/>
      <c r="DLX98" s="769"/>
      <c r="DLY98" s="769"/>
      <c r="DLZ98" s="769"/>
      <c r="DMA98" s="769"/>
      <c r="DMB98" s="769"/>
      <c r="DMC98" s="769"/>
      <c r="DMD98" s="769"/>
      <c r="DME98" s="769"/>
      <c r="DMF98" s="769"/>
      <c r="DMG98" s="769"/>
      <c r="DMH98" s="769"/>
      <c r="DMI98" s="769"/>
      <c r="DMJ98" s="769"/>
      <c r="DMK98" s="769"/>
      <c r="DML98" s="769"/>
      <c r="DMM98" s="769"/>
      <c r="DMN98" s="769"/>
      <c r="DMO98" s="769"/>
      <c r="DMP98" s="769"/>
      <c r="DMQ98" s="769"/>
      <c r="DMR98" s="769"/>
      <c r="DMS98" s="769"/>
      <c r="DMT98" s="769"/>
      <c r="DMU98" s="769"/>
      <c r="DMV98" s="769"/>
      <c r="DMW98" s="769"/>
      <c r="DMX98" s="769"/>
      <c r="DMY98" s="769"/>
      <c r="DMZ98" s="769"/>
      <c r="DNA98" s="769"/>
      <c r="DNB98" s="769"/>
      <c r="DNC98" s="769"/>
      <c r="DND98" s="769"/>
      <c r="DNE98" s="769"/>
      <c r="DNF98" s="769"/>
      <c r="DNG98" s="769"/>
      <c r="DNH98" s="769"/>
      <c r="DNI98" s="769"/>
      <c r="DNJ98" s="769"/>
      <c r="DNK98" s="769"/>
      <c r="DNL98" s="769"/>
      <c r="DNM98" s="769"/>
      <c r="DNN98" s="769"/>
      <c r="DNO98" s="769"/>
      <c r="DNP98" s="769"/>
      <c r="DNQ98" s="769"/>
      <c r="DNR98" s="769"/>
      <c r="DNS98" s="769"/>
      <c r="DNT98" s="769"/>
      <c r="DNU98" s="769"/>
      <c r="DNV98" s="769"/>
      <c r="DNW98" s="769"/>
      <c r="DNX98" s="769"/>
      <c r="DNY98" s="769"/>
      <c r="DNZ98" s="769"/>
      <c r="DOA98" s="769"/>
      <c r="DOB98" s="769"/>
      <c r="DOC98" s="769"/>
      <c r="DOD98" s="769"/>
      <c r="DOE98" s="769"/>
      <c r="DOF98" s="769"/>
      <c r="DOG98" s="769"/>
      <c r="DOH98" s="769"/>
      <c r="DOI98" s="769"/>
      <c r="DOJ98" s="769"/>
      <c r="DOK98" s="769"/>
      <c r="DOL98" s="769"/>
      <c r="DOM98" s="769"/>
      <c r="DON98" s="769"/>
      <c r="DOO98" s="769"/>
      <c r="DOP98" s="769"/>
      <c r="DOQ98" s="769"/>
      <c r="DOR98" s="769"/>
      <c r="DOS98" s="769"/>
      <c r="DOT98" s="769"/>
      <c r="DOU98" s="769"/>
      <c r="DOV98" s="769"/>
      <c r="DOW98" s="769"/>
      <c r="DOX98" s="769"/>
      <c r="DOY98" s="769"/>
      <c r="DOZ98" s="769"/>
      <c r="DPA98" s="769"/>
      <c r="DPB98" s="769"/>
      <c r="DPC98" s="769"/>
      <c r="DPD98" s="769"/>
      <c r="DPE98" s="769"/>
      <c r="DPF98" s="769"/>
      <c r="DPG98" s="769"/>
      <c r="DPH98" s="769"/>
      <c r="DPI98" s="769"/>
      <c r="DPJ98" s="769"/>
      <c r="DPK98" s="769"/>
      <c r="DPL98" s="769"/>
      <c r="DPM98" s="769"/>
      <c r="DPN98" s="769"/>
      <c r="DPO98" s="769"/>
      <c r="DPP98" s="769"/>
      <c r="DPQ98" s="769"/>
      <c r="DPR98" s="769"/>
      <c r="DPS98" s="769"/>
      <c r="DPT98" s="769"/>
      <c r="DPU98" s="769"/>
      <c r="DPV98" s="769"/>
      <c r="DPW98" s="769"/>
      <c r="DPX98" s="769"/>
      <c r="DPY98" s="769"/>
      <c r="DPZ98" s="769"/>
      <c r="DQA98" s="769"/>
      <c r="DQB98" s="769"/>
      <c r="DQC98" s="769"/>
      <c r="DQD98" s="769"/>
      <c r="DQE98" s="769"/>
      <c r="DQF98" s="769"/>
      <c r="DQG98" s="769"/>
      <c r="DQH98" s="769"/>
      <c r="DQI98" s="769"/>
      <c r="DQJ98" s="769"/>
      <c r="DQK98" s="769"/>
      <c r="DQL98" s="769"/>
      <c r="DQM98" s="769"/>
      <c r="DQN98" s="769"/>
      <c r="DQO98" s="769"/>
      <c r="DQP98" s="769"/>
      <c r="DQQ98" s="769"/>
      <c r="DQR98" s="769"/>
      <c r="DQS98" s="769"/>
      <c r="DQT98" s="769"/>
      <c r="DQU98" s="769"/>
      <c r="DQV98" s="769"/>
      <c r="DQW98" s="769"/>
      <c r="DQX98" s="769"/>
      <c r="DQY98" s="769"/>
      <c r="DQZ98" s="769"/>
      <c r="DRA98" s="769"/>
      <c r="DRB98" s="769"/>
      <c r="DRC98" s="769"/>
      <c r="DRD98" s="769"/>
      <c r="DRE98" s="769"/>
      <c r="DRF98" s="769"/>
      <c r="DRG98" s="769"/>
      <c r="DRH98" s="769"/>
      <c r="DRI98" s="769"/>
      <c r="DRJ98" s="769"/>
      <c r="DRK98" s="769"/>
      <c r="DRL98" s="769"/>
      <c r="DRM98" s="769"/>
      <c r="DRN98" s="769"/>
      <c r="DRO98" s="769"/>
      <c r="DRP98" s="769"/>
      <c r="DRQ98" s="769"/>
      <c r="DRR98" s="769"/>
      <c r="DRS98" s="769"/>
      <c r="DRT98" s="769"/>
      <c r="DRU98" s="769"/>
      <c r="DRV98" s="769"/>
      <c r="DRW98" s="769"/>
      <c r="DRX98" s="769"/>
      <c r="DRY98" s="769"/>
      <c r="DRZ98" s="769"/>
      <c r="DSA98" s="769"/>
      <c r="DSB98" s="769"/>
      <c r="DSC98" s="769"/>
      <c r="DSD98" s="769"/>
      <c r="DSE98" s="769"/>
      <c r="DSF98" s="769"/>
      <c r="DSG98" s="769"/>
      <c r="DSH98" s="769"/>
      <c r="DSI98" s="769"/>
      <c r="DSJ98" s="769"/>
      <c r="DSK98" s="769"/>
      <c r="DSL98" s="769"/>
      <c r="DSM98" s="769"/>
      <c r="DSN98" s="769"/>
      <c r="DSO98" s="769"/>
      <c r="DSP98" s="769"/>
      <c r="DSQ98" s="769"/>
      <c r="DSR98" s="769"/>
      <c r="DSS98" s="769"/>
      <c r="DST98" s="769"/>
      <c r="DSU98" s="769"/>
      <c r="DSV98" s="769"/>
      <c r="DSW98" s="769"/>
      <c r="DSX98" s="769"/>
      <c r="DSY98" s="769"/>
      <c r="DSZ98" s="769"/>
      <c r="DTA98" s="769"/>
      <c r="DTB98" s="769"/>
      <c r="DTC98" s="769"/>
      <c r="DTD98" s="769"/>
      <c r="DTE98" s="769"/>
      <c r="DTF98" s="769"/>
      <c r="DTG98" s="769"/>
      <c r="DTH98" s="769"/>
      <c r="DTI98" s="769"/>
      <c r="DTJ98" s="769"/>
      <c r="DTK98" s="769"/>
      <c r="DTL98" s="769"/>
      <c r="DTM98" s="769"/>
      <c r="DTN98" s="769"/>
      <c r="DTO98" s="769"/>
      <c r="DTP98" s="769"/>
      <c r="DTQ98" s="769"/>
      <c r="DTR98" s="769"/>
      <c r="DTS98" s="769"/>
      <c r="DTT98" s="769"/>
      <c r="DTU98" s="769"/>
      <c r="DTV98" s="769"/>
      <c r="DTW98" s="769"/>
      <c r="DTX98" s="769"/>
      <c r="DTY98" s="769"/>
      <c r="DTZ98" s="769"/>
      <c r="DUA98" s="769"/>
      <c r="DUB98" s="769"/>
      <c r="DUC98" s="769"/>
      <c r="DUD98" s="769"/>
      <c r="DUE98" s="769"/>
      <c r="DUF98" s="769"/>
      <c r="DUG98" s="769"/>
      <c r="DUH98" s="769"/>
      <c r="DUI98" s="769"/>
      <c r="DUJ98" s="769"/>
      <c r="DUK98" s="769"/>
      <c r="DUL98" s="769"/>
      <c r="DUM98" s="769"/>
      <c r="DUN98" s="769"/>
      <c r="DUO98" s="769"/>
      <c r="DUP98" s="769"/>
      <c r="DUQ98" s="769"/>
      <c r="DUR98" s="769"/>
      <c r="DUS98" s="769"/>
      <c r="DUT98" s="769"/>
      <c r="DUU98" s="769"/>
      <c r="DUV98" s="769"/>
      <c r="DUW98" s="769"/>
      <c r="DUX98" s="769"/>
      <c r="DUY98" s="769"/>
      <c r="DUZ98" s="769"/>
      <c r="DVA98" s="769"/>
      <c r="DVB98" s="769"/>
      <c r="DVC98" s="769"/>
      <c r="DVD98" s="769"/>
      <c r="DVE98" s="769"/>
      <c r="DVF98" s="769"/>
      <c r="DVG98" s="769"/>
      <c r="DVH98" s="769"/>
      <c r="DVI98" s="769"/>
      <c r="DVJ98" s="769"/>
      <c r="DVK98" s="769"/>
      <c r="DVL98" s="769"/>
      <c r="DVM98" s="769"/>
      <c r="DVN98" s="769"/>
      <c r="DVO98" s="769"/>
      <c r="DVP98" s="769"/>
      <c r="DVQ98" s="769"/>
      <c r="DVR98" s="769"/>
      <c r="DVS98" s="769"/>
      <c r="DVT98" s="769"/>
      <c r="DVU98" s="769"/>
      <c r="DVV98" s="769"/>
      <c r="DVW98" s="769"/>
      <c r="DVX98" s="769"/>
      <c r="DVY98" s="769"/>
      <c r="DVZ98" s="769"/>
      <c r="DWA98" s="769"/>
      <c r="DWB98" s="769"/>
      <c r="DWC98" s="769"/>
      <c r="DWD98" s="769"/>
      <c r="DWE98" s="769"/>
      <c r="DWF98" s="769"/>
      <c r="DWG98" s="769"/>
      <c r="DWH98" s="769"/>
      <c r="DWI98" s="769"/>
      <c r="DWJ98" s="769"/>
      <c r="DWK98" s="769"/>
      <c r="DWL98" s="769"/>
      <c r="DWM98" s="769"/>
      <c r="DWN98" s="769"/>
      <c r="DWO98" s="769"/>
      <c r="DWP98" s="769"/>
      <c r="DWQ98" s="769"/>
      <c r="DWR98" s="769"/>
      <c r="DWS98" s="769"/>
      <c r="DWT98" s="769"/>
      <c r="DWU98" s="769"/>
      <c r="DWV98" s="769"/>
      <c r="DWW98" s="769"/>
      <c r="DWX98" s="769"/>
      <c r="DWY98" s="769"/>
      <c r="DWZ98" s="769"/>
      <c r="DXA98" s="769"/>
      <c r="DXB98" s="769"/>
      <c r="DXC98" s="769"/>
      <c r="DXD98" s="769"/>
      <c r="DXE98" s="769"/>
      <c r="DXF98" s="769"/>
      <c r="DXG98" s="769"/>
      <c r="DXH98" s="769"/>
      <c r="DXI98" s="769"/>
      <c r="DXJ98" s="769"/>
      <c r="DXK98" s="769"/>
      <c r="DXL98" s="769"/>
      <c r="DXM98" s="769"/>
      <c r="DXN98" s="769"/>
      <c r="DXO98" s="769"/>
      <c r="DXP98" s="769"/>
      <c r="DXQ98" s="769"/>
      <c r="DXR98" s="769"/>
      <c r="DXS98" s="769"/>
      <c r="DXT98" s="769"/>
      <c r="DXU98" s="769"/>
      <c r="DXV98" s="769"/>
      <c r="DXW98" s="769"/>
      <c r="DXX98" s="769"/>
      <c r="DXY98" s="769"/>
      <c r="DXZ98" s="769"/>
      <c r="DYA98" s="769"/>
      <c r="DYB98" s="769"/>
      <c r="DYC98" s="769"/>
      <c r="DYD98" s="769"/>
      <c r="DYE98" s="769"/>
      <c r="DYF98" s="769"/>
      <c r="DYG98" s="769"/>
      <c r="DYH98" s="769"/>
      <c r="DYI98" s="769"/>
      <c r="DYJ98" s="769"/>
      <c r="DYK98" s="769"/>
      <c r="DYL98" s="769"/>
      <c r="DYM98" s="769"/>
      <c r="DYN98" s="769"/>
      <c r="DYO98" s="769"/>
      <c r="DYP98" s="769"/>
      <c r="DYQ98" s="769"/>
      <c r="DYR98" s="769"/>
      <c r="DYS98" s="769"/>
      <c r="DYT98" s="769"/>
      <c r="DYU98" s="769"/>
      <c r="DYV98" s="769"/>
      <c r="DYW98" s="769"/>
      <c r="DYX98" s="769"/>
      <c r="DYY98" s="769"/>
      <c r="DYZ98" s="769"/>
      <c r="DZA98" s="769"/>
      <c r="DZB98" s="769"/>
      <c r="DZC98" s="769"/>
      <c r="DZD98" s="769"/>
      <c r="DZE98" s="769"/>
      <c r="DZF98" s="769"/>
      <c r="DZG98" s="769"/>
      <c r="DZH98" s="769"/>
      <c r="DZI98" s="769"/>
      <c r="DZJ98" s="769"/>
      <c r="DZK98" s="769"/>
      <c r="DZL98" s="769"/>
      <c r="DZM98" s="769"/>
      <c r="DZN98" s="769"/>
      <c r="DZO98" s="769"/>
      <c r="DZP98" s="769"/>
      <c r="DZQ98" s="769"/>
      <c r="DZR98" s="769"/>
      <c r="DZS98" s="769"/>
      <c r="DZT98" s="769"/>
      <c r="DZU98" s="769"/>
      <c r="DZV98" s="769"/>
      <c r="DZW98" s="769"/>
      <c r="DZX98" s="769"/>
      <c r="DZY98" s="769"/>
      <c r="DZZ98" s="769"/>
      <c r="EAA98" s="769"/>
      <c r="EAB98" s="769"/>
      <c r="EAC98" s="769"/>
      <c r="EAD98" s="769"/>
      <c r="EAE98" s="769"/>
      <c r="EAF98" s="769"/>
      <c r="EAG98" s="769"/>
      <c r="EAH98" s="769"/>
      <c r="EAI98" s="769"/>
      <c r="EAJ98" s="769"/>
      <c r="EAK98" s="769"/>
      <c r="EAL98" s="769"/>
      <c r="EAM98" s="769"/>
      <c r="EAN98" s="769"/>
      <c r="EAO98" s="769"/>
      <c r="EAP98" s="769"/>
      <c r="EAQ98" s="769"/>
      <c r="EAR98" s="769"/>
      <c r="EAS98" s="769"/>
      <c r="EAT98" s="769"/>
      <c r="EAU98" s="769"/>
      <c r="EAV98" s="769"/>
      <c r="EAW98" s="769"/>
      <c r="EAX98" s="769"/>
      <c r="EAY98" s="769"/>
      <c r="EAZ98" s="769"/>
      <c r="EBA98" s="769"/>
      <c r="EBB98" s="769"/>
      <c r="EBC98" s="769"/>
      <c r="EBD98" s="769"/>
      <c r="EBE98" s="769"/>
      <c r="EBF98" s="769"/>
      <c r="EBG98" s="769"/>
      <c r="EBH98" s="769"/>
      <c r="EBI98" s="769"/>
      <c r="EBJ98" s="769"/>
      <c r="EBK98" s="769"/>
      <c r="EBL98" s="769"/>
      <c r="EBM98" s="769"/>
      <c r="EBN98" s="769"/>
      <c r="EBO98" s="769"/>
      <c r="EBP98" s="769"/>
      <c r="EBQ98" s="769"/>
      <c r="EBR98" s="769"/>
      <c r="EBS98" s="769"/>
      <c r="EBT98" s="769"/>
      <c r="EBU98" s="769"/>
      <c r="EBV98" s="769"/>
      <c r="EBW98" s="769"/>
      <c r="EBX98" s="769"/>
      <c r="EBY98" s="769"/>
      <c r="EBZ98" s="769"/>
      <c r="ECA98" s="769"/>
      <c r="ECB98" s="769"/>
      <c r="ECC98" s="769"/>
      <c r="ECD98" s="769"/>
      <c r="ECE98" s="769"/>
      <c r="ECF98" s="769"/>
      <c r="ECG98" s="769"/>
      <c r="ECH98" s="769"/>
      <c r="ECI98" s="769"/>
      <c r="ECJ98" s="769"/>
      <c r="ECK98" s="769"/>
      <c r="ECL98" s="769"/>
      <c r="ECM98" s="769"/>
      <c r="ECN98" s="769"/>
      <c r="ECO98" s="769"/>
      <c r="ECP98" s="769"/>
      <c r="ECQ98" s="769"/>
      <c r="ECR98" s="769"/>
      <c r="ECS98" s="769"/>
      <c r="ECT98" s="769"/>
      <c r="ECU98" s="769"/>
      <c r="ECV98" s="769"/>
      <c r="ECW98" s="769"/>
      <c r="ECX98" s="769"/>
      <c r="ECY98" s="769"/>
      <c r="ECZ98" s="769"/>
      <c r="EDA98" s="769"/>
      <c r="EDB98" s="769"/>
      <c r="EDC98" s="769"/>
      <c r="EDD98" s="769"/>
      <c r="EDE98" s="769"/>
      <c r="EDF98" s="769"/>
      <c r="EDG98" s="769"/>
      <c r="EDH98" s="769"/>
      <c r="EDI98" s="769"/>
      <c r="EDJ98" s="769"/>
      <c r="EDK98" s="769"/>
      <c r="EDL98" s="769"/>
      <c r="EDM98" s="769"/>
      <c r="EDN98" s="769"/>
      <c r="EDO98" s="769"/>
      <c r="EDP98" s="769"/>
      <c r="EDQ98" s="769"/>
      <c r="EDR98" s="769"/>
      <c r="EDS98" s="769"/>
      <c r="EDT98" s="769"/>
      <c r="EDU98" s="769"/>
      <c r="EDV98" s="769"/>
      <c r="EDW98" s="769"/>
      <c r="EDX98" s="769"/>
      <c r="EDY98" s="769"/>
      <c r="EDZ98" s="769"/>
      <c r="EEA98" s="769"/>
      <c r="EEB98" s="769"/>
      <c r="EEC98" s="769"/>
      <c r="EED98" s="769"/>
      <c r="EEE98" s="769"/>
      <c r="EEF98" s="769"/>
      <c r="EEG98" s="769"/>
      <c r="EEH98" s="769"/>
      <c r="EEI98" s="769"/>
      <c r="EEJ98" s="769"/>
      <c r="EEK98" s="769"/>
      <c r="EEL98" s="769"/>
      <c r="EEM98" s="769"/>
      <c r="EEN98" s="769"/>
      <c r="EEO98" s="769"/>
      <c r="EEP98" s="769"/>
      <c r="EEQ98" s="769"/>
      <c r="EER98" s="769"/>
      <c r="EES98" s="769"/>
      <c r="EET98" s="769"/>
      <c r="EEU98" s="769"/>
      <c r="EEV98" s="769"/>
      <c r="EEW98" s="769"/>
      <c r="EEX98" s="769"/>
      <c r="EEY98" s="769"/>
      <c r="EEZ98" s="769"/>
      <c r="EFA98" s="769"/>
      <c r="EFB98" s="769"/>
      <c r="EFC98" s="769"/>
      <c r="EFD98" s="769"/>
      <c r="EFE98" s="769"/>
      <c r="EFF98" s="769"/>
      <c r="EFG98" s="769"/>
      <c r="EFH98" s="769"/>
      <c r="EFI98" s="769"/>
      <c r="EFJ98" s="769"/>
      <c r="EFK98" s="769"/>
      <c r="EFL98" s="769"/>
      <c r="EFM98" s="769"/>
      <c r="EFN98" s="769"/>
      <c r="EFO98" s="769"/>
      <c r="EFP98" s="769"/>
      <c r="EFQ98" s="769"/>
      <c r="EFR98" s="769"/>
      <c r="EFS98" s="769"/>
      <c r="EFT98" s="769"/>
      <c r="EFU98" s="769"/>
      <c r="EFV98" s="769"/>
      <c r="EFW98" s="769"/>
      <c r="EFX98" s="769"/>
      <c r="EFY98" s="769"/>
      <c r="EFZ98" s="769"/>
      <c r="EGA98" s="769"/>
      <c r="EGB98" s="769"/>
      <c r="EGC98" s="769"/>
      <c r="EGD98" s="769"/>
      <c r="EGE98" s="769"/>
      <c r="EGF98" s="769"/>
      <c r="EGG98" s="769"/>
      <c r="EGH98" s="769"/>
      <c r="EGI98" s="769"/>
      <c r="EGJ98" s="769"/>
      <c r="EGK98" s="769"/>
      <c r="EGL98" s="769"/>
      <c r="EGM98" s="769"/>
      <c r="EGN98" s="769"/>
      <c r="EGO98" s="769"/>
      <c r="EGP98" s="769"/>
      <c r="EGQ98" s="769"/>
      <c r="EGR98" s="769"/>
      <c r="EGS98" s="769"/>
      <c r="EGT98" s="769"/>
      <c r="EGU98" s="769"/>
      <c r="EGV98" s="769"/>
      <c r="EGW98" s="769"/>
      <c r="EGX98" s="769"/>
      <c r="EGY98" s="769"/>
      <c r="EGZ98" s="769"/>
      <c r="EHA98" s="769"/>
      <c r="EHB98" s="769"/>
      <c r="EHC98" s="769"/>
      <c r="EHD98" s="769"/>
      <c r="EHE98" s="769"/>
      <c r="EHF98" s="769"/>
      <c r="EHG98" s="769"/>
      <c r="EHH98" s="769"/>
      <c r="EHI98" s="769"/>
      <c r="EHJ98" s="769"/>
      <c r="EHK98" s="769"/>
      <c r="EHL98" s="769"/>
      <c r="EHM98" s="769"/>
      <c r="EHN98" s="769"/>
      <c r="EHO98" s="769"/>
      <c r="EHP98" s="769"/>
      <c r="EHQ98" s="769"/>
      <c r="EHR98" s="769"/>
      <c r="EHS98" s="769"/>
      <c r="EHT98" s="769"/>
      <c r="EHU98" s="769"/>
      <c r="EHV98" s="769"/>
      <c r="EHW98" s="769"/>
      <c r="EHX98" s="769"/>
      <c r="EHY98" s="769"/>
      <c r="EHZ98" s="769"/>
      <c r="EIA98" s="769"/>
      <c r="EIB98" s="769"/>
      <c r="EIC98" s="769"/>
      <c r="EID98" s="769"/>
      <c r="EIE98" s="769"/>
      <c r="EIF98" s="769"/>
      <c r="EIG98" s="769"/>
      <c r="EIH98" s="769"/>
      <c r="EII98" s="769"/>
      <c r="EIJ98" s="769"/>
      <c r="EIK98" s="769"/>
      <c r="EIL98" s="769"/>
      <c r="EIM98" s="769"/>
      <c r="EIN98" s="769"/>
      <c r="EIO98" s="769"/>
      <c r="EIP98" s="769"/>
      <c r="EIQ98" s="769"/>
      <c r="EIR98" s="769"/>
      <c r="EIS98" s="769"/>
      <c r="EIT98" s="769"/>
      <c r="EIU98" s="769"/>
      <c r="EIV98" s="769"/>
      <c r="EIW98" s="769"/>
      <c r="EIX98" s="769"/>
      <c r="EIY98" s="769"/>
      <c r="EIZ98" s="769"/>
      <c r="EJA98" s="769"/>
      <c r="EJB98" s="769"/>
      <c r="EJC98" s="769"/>
      <c r="EJD98" s="769"/>
      <c r="EJE98" s="769"/>
      <c r="EJF98" s="769"/>
      <c r="EJG98" s="769"/>
      <c r="EJH98" s="769"/>
      <c r="EJI98" s="769"/>
      <c r="EJJ98" s="769"/>
      <c r="EJK98" s="769"/>
      <c r="EJL98" s="769"/>
      <c r="EJM98" s="769"/>
      <c r="EJN98" s="769"/>
      <c r="EJO98" s="769"/>
      <c r="EJP98" s="769"/>
      <c r="EJQ98" s="769"/>
      <c r="EJR98" s="769"/>
      <c r="EJS98" s="769"/>
      <c r="EJT98" s="769"/>
      <c r="EJU98" s="769"/>
      <c r="EJV98" s="769"/>
      <c r="EJW98" s="769"/>
      <c r="EJX98" s="769"/>
      <c r="EJY98" s="769"/>
      <c r="EJZ98" s="769"/>
      <c r="EKA98" s="769"/>
      <c r="EKB98" s="769"/>
      <c r="EKC98" s="769"/>
      <c r="EKD98" s="769"/>
      <c r="EKE98" s="769"/>
      <c r="EKF98" s="769"/>
      <c r="EKG98" s="769"/>
      <c r="EKH98" s="769"/>
      <c r="EKI98" s="769"/>
      <c r="EKJ98" s="769"/>
      <c r="EKK98" s="769"/>
      <c r="EKL98" s="769"/>
      <c r="EKM98" s="769"/>
      <c r="EKN98" s="769"/>
      <c r="EKO98" s="769"/>
      <c r="EKP98" s="769"/>
      <c r="EKQ98" s="769"/>
      <c r="EKR98" s="769"/>
      <c r="EKS98" s="769"/>
      <c r="EKT98" s="769"/>
      <c r="EKU98" s="769"/>
      <c r="EKV98" s="769"/>
      <c r="EKW98" s="769"/>
      <c r="EKX98" s="769"/>
      <c r="EKY98" s="769"/>
      <c r="EKZ98" s="769"/>
      <c r="ELA98" s="769"/>
      <c r="ELB98" s="769"/>
      <c r="ELC98" s="769"/>
      <c r="ELD98" s="769"/>
      <c r="ELE98" s="769"/>
      <c r="ELF98" s="769"/>
      <c r="ELG98" s="769"/>
      <c r="ELH98" s="769"/>
      <c r="ELI98" s="769"/>
      <c r="ELJ98" s="769"/>
      <c r="ELK98" s="769"/>
      <c r="ELL98" s="769"/>
      <c r="ELM98" s="769"/>
      <c r="ELN98" s="769"/>
      <c r="ELO98" s="769"/>
      <c r="ELP98" s="769"/>
      <c r="ELQ98" s="769"/>
      <c r="ELR98" s="769"/>
      <c r="ELS98" s="769"/>
      <c r="ELT98" s="769"/>
      <c r="ELU98" s="769"/>
      <c r="ELV98" s="769"/>
      <c r="ELW98" s="769"/>
      <c r="ELX98" s="769"/>
      <c r="ELY98" s="769"/>
      <c r="ELZ98" s="769"/>
      <c r="EMA98" s="769"/>
      <c r="EMB98" s="769"/>
      <c r="EMC98" s="769"/>
      <c r="EMD98" s="769"/>
      <c r="EME98" s="769"/>
      <c r="EMF98" s="769"/>
      <c r="EMG98" s="769"/>
      <c r="EMH98" s="769"/>
      <c r="EMI98" s="769"/>
      <c r="EMJ98" s="769"/>
      <c r="EMK98" s="769"/>
      <c r="EML98" s="769"/>
      <c r="EMM98" s="769"/>
      <c r="EMN98" s="769"/>
      <c r="EMO98" s="769"/>
      <c r="EMP98" s="769"/>
      <c r="EMQ98" s="769"/>
      <c r="EMR98" s="769"/>
      <c r="EMS98" s="769"/>
      <c r="EMT98" s="769"/>
      <c r="EMU98" s="769"/>
      <c r="EMV98" s="769"/>
      <c r="EMW98" s="769"/>
      <c r="EMX98" s="769"/>
      <c r="EMY98" s="769"/>
      <c r="EMZ98" s="769"/>
      <c r="ENA98" s="769"/>
      <c r="ENB98" s="769"/>
      <c r="ENC98" s="769"/>
      <c r="END98" s="769"/>
      <c r="ENE98" s="769"/>
      <c r="ENF98" s="769"/>
      <c r="ENG98" s="769"/>
      <c r="ENH98" s="769"/>
      <c r="ENI98" s="769"/>
      <c r="ENJ98" s="769"/>
      <c r="ENK98" s="769"/>
      <c r="ENL98" s="769"/>
      <c r="ENM98" s="769"/>
      <c r="ENN98" s="769"/>
      <c r="ENO98" s="769"/>
      <c r="ENP98" s="769"/>
      <c r="ENQ98" s="769"/>
      <c r="ENR98" s="769"/>
      <c r="ENS98" s="769"/>
      <c r="ENT98" s="769"/>
      <c r="ENU98" s="769"/>
      <c r="ENV98" s="769"/>
      <c r="ENW98" s="769"/>
      <c r="ENX98" s="769"/>
      <c r="ENY98" s="769"/>
      <c r="ENZ98" s="769"/>
      <c r="EOA98" s="769"/>
      <c r="EOB98" s="769"/>
      <c r="EOC98" s="769"/>
      <c r="EOD98" s="769"/>
      <c r="EOE98" s="769"/>
      <c r="EOF98" s="769"/>
      <c r="EOG98" s="769"/>
      <c r="EOH98" s="769"/>
      <c r="EOI98" s="769"/>
      <c r="EOJ98" s="769"/>
      <c r="EOK98" s="769"/>
      <c r="EOL98" s="769"/>
      <c r="EOM98" s="769"/>
      <c r="EON98" s="769"/>
      <c r="EOO98" s="769"/>
      <c r="EOP98" s="769"/>
      <c r="EOQ98" s="769"/>
      <c r="EOR98" s="769"/>
      <c r="EOS98" s="769"/>
      <c r="EOT98" s="769"/>
      <c r="EOU98" s="769"/>
      <c r="EOV98" s="769"/>
      <c r="EOW98" s="769"/>
      <c r="EOX98" s="769"/>
      <c r="EOY98" s="769"/>
      <c r="EOZ98" s="769"/>
      <c r="EPA98" s="769"/>
      <c r="EPB98" s="769"/>
      <c r="EPC98" s="769"/>
      <c r="EPD98" s="769"/>
      <c r="EPE98" s="769"/>
      <c r="EPF98" s="769"/>
      <c r="EPG98" s="769"/>
      <c r="EPH98" s="769"/>
      <c r="EPI98" s="769"/>
      <c r="EPJ98" s="769"/>
      <c r="EPK98" s="769"/>
      <c r="EPL98" s="769"/>
      <c r="EPM98" s="769"/>
      <c r="EPN98" s="769"/>
      <c r="EPO98" s="769"/>
      <c r="EPP98" s="769"/>
      <c r="EPQ98" s="769"/>
      <c r="EPR98" s="769"/>
      <c r="EPS98" s="769"/>
      <c r="EPT98" s="769"/>
      <c r="EPU98" s="769"/>
      <c r="EPV98" s="769"/>
      <c r="EPW98" s="769"/>
      <c r="EPX98" s="769"/>
      <c r="EPY98" s="769"/>
      <c r="EPZ98" s="769"/>
      <c r="EQA98" s="769"/>
      <c r="EQB98" s="769"/>
      <c r="EQC98" s="769"/>
      <c r="EQD98" s="769"/>
      <c r="EQE98" s="769"/>
      <c r="EQF98" s="769"/>
      <c r="EQG98" s="769"/>
      <c r="EQH98" s="769"/>
      <c r="EQI98" s="769"/>
      <c r="EQJ98" s="769"/>
      <c r="EQK98" s="769"/>
      <c r="EQL98" s="769"/>
      <c r="EQM98" s="769"/>
      <c r="EQN98" s="769"/>
      <c r="EQO98" s="769"/>
      <c r="EQP98" s="769"/>
      <c r="EQQ98" s="769"/>
      <c r="EQR98" s="769"/>
      <c r="EQS98" s="769"/>
      <c r="EQT98" s="769"/>
      <c r="EQU98" s="769"/>
      <c r="EQV98" s="769"/>
      <c r="EQW98" s="769"/>
      <c r="EQX98" s="769"/>
      <c r="EQY98" s="769"/>
      <c r="EQZ98" s="769"/>
      <c r="ERA98" s="769"/>
      <c r="ERB98" s="769"/>
      <c r="ERC98" s="769"/>
      <c r="ERD98" s="769"/>
      <c r="ERE98" s="769"/>
      <c r="ERF98" s="769"/>
      <c r="ERG98" s="769"/>
      <c r="ERH98" s="769"/>
      <c r="ERI98" s="769"/>
      <c r="ERJ98" s="769"/>
      <c r="ERK98" s="769"/>
      <c r="ERL98" s="769"/>
      <c r="ERM98" s="769"/>
      <c r="ERN98" s="769"/>
      <c r="ERO98" s="769"/>
      <c r="ERP98" s="769"/>
      <c r="ERQ98" s="769"/>
      <c r="ERR98" s="769"/>
      <c r="ERS98" s="769"/>
      <c r="ERT98" s="769"/>
      <c r="ERU98" s="769"/>
      <c r="ERV98" s="769"/>
      <c r="ERW98" s="769"/>
      <c r="ERX98" s="769"/>
      <c r="ERY98" s="769"/>
      <c r="ERZ98" s="769"/>
      <c r="ESA98" s="769"/>
      <c r="ESB98" s="769"/>
      <c r="ESC98" s="769"/>
      <c r="ESD98" s="769"/>
      <c r="ESE98" s="769"/>
      <c r="ESF98" s="769"/>
      <c r="ESG98" s="769"/>
      <c r="ESH98" s="769"/>
      <c r="ESI98" s="769"/>
      <c r="ESJ98" s="769"/>
      <c r="ESK98" s="769"/>
      <c r="ESL98" s="769"/>
      <c r="ESM98" s="769"/>
      <c r="ESN98" s="769"/>
      <c r="ESO98" s="769"/>
      <c r="ESP98" s="769"/>
      <c r="ESQ98" s="769"/>
      <c r="ESR98" s="769"/>
      <c r="ESS98" s="769"/>
      <c r="EST98" s="769"/>
      <c r="ESU98" s="769"/>
      <c r="ESV98" s="769"/>
      <c r="ESW98" s="769"/>
      <c r="ESX98" s="769"/>
      <c r="ESY98" s="769"/>
      <c r="ESZ98" s="769"/>
      <c r="ETA98" s="769"/>
      <c r="ETB98" s="769"/>
      <c r="ETC98" s="769"/>
      <c r="ETD98" s="769"/>
      <c r="ETE98" s="769"/>
      <c r="ETF98" s="769"/>
      <c r="ETG98" s="769"/>
      <c r="ETH98" s="769"/>
      <c r="ETI98" s="769"/>
      <c r="ETJ98" s="769"/>
      <c r="ETK98" s="769"/>
      <c r="ETL98" s="769"/>
      <c r="ETM98" s="769"/>
      <c r="ETN98" s="769"/>
      <c r="ETO98" s="769"/>
      <c r="ETP98" s="769"/>
      <c r="ETQ98" s="769"/>
      <c r="ETR98" s="769"/>
      <c r="ETS98" s="769"/>
      <c r="ETT98" s="769"/>
      <c r="ETU98" s="769"/>
      <c r="ETV98" s="769"/>
      <c r="ETW98" s="769"/>
      <c r="ETX98" s="769"/>
      <c r="ETY98" s="769"/>
      <c r="ETZ98" s="769"/>
      <c r="EUA98" s="769"/>
      <c r="EUB98" s="769"/>
      <c r="EUC98" s="769"/>
      <c r="EUD98" s="769"/>
      <c r="EUE98" s="769"/>
      <c r="EUF98" s="769"/>
      <c r="EUG98" s="769"/>
      <c r="EUH98" s="769"/>
      <c r="EUI98" s="769"/>
      <c r="EUJ98" s="769"/>
      <c r="EUK98" s="769"/>
      <c r="EUL98" s="769"/>
      <c r="EUM98" s="769"/>
      <c r="EUN98" s="769"/>
      <c r="EUO98" s="769"/>
      <c r="EUP98" s="769"/>
      <c r="EUQ98" s="769"/>
      <c r="EUR98" s="769"/>
      <c r="EUS98" s="769"/>
      <c r="EUT98" s="769"/>
      <c r="EUU98" s="769"/>
      <c r="EUV98" s="769"/>
      <c r="EUW98" s="769"/>
      <c r="EUX98" s="769"/>
      <c r="EUY98" s="769"/>
      <c r="EUZ98" s="769"/>
      <c r="EVA98" s="769"/>
      <c r="EVB98" s="769"/>
      <c r="EVC98" s="769"/>
      <c r="EVD98" s="769"/>
      <c r="EVE98" s="769"/>
      <c r="EVF98" s="769"/>
      <c r="EVG98" s="769"/>
      <c r="EVH98" s="769"/>
      <c r="EVI98" s="769"/>
      <c r="EVJ98" s="769"/>
      <c r="EVK98" s="769"/>
      <c r="EVL98" s="769"/>
      <c r="EVM98" s="769"/>
      <c r="EVN98" s="769"/>
      <c r="EVO98" s="769"/>
      <c r="EVP98" s="769"/>
      <c r="EVQ98" s="769"/>
      <c r="EVR98" s="769"/>
      <c r="EVS98" s="769"/>
      <c r="EVT98" s="769"/>
      <c r="EVU98" s="769"/>
      <c r="EVV98" s="769"/>
      <c r="EVW98" s="769"/>
      <c r="EVX98" s="769"/>
      <c r="EVY98" s="769"/>
      <c r="EVZ98" s="769"/>
      <c r="EWA98" s="769"/>
      <c r="EWB98" s="769"/>
      <c r="EWC98" s="769"/>
      <c r="EWD98" s="769"/>
      <c r="EWE98" s="769"/>
      <c r="EWF98" s="769"/>
      <c r="EWG98" s="769"/>
      <c r="EWH98" s="769"/>
      <c r="EWI98" s="769"/>
      <c r="EWJ98" s="769"/>
      <c r="EWK98" s="769"/>
      <c r="EWL98" s="769"/>
      <c r="EWM98" s="769"/>
      <c r="EWN98" s="769"/>
      <c r="EWO98" s="769"/>
      <c r="EWP98" s="769"/>
      <c r="EWQ98" s="769"/>
      <c r="EWR98" s="769"/>
      <c r="EWS98" s="769"/>
      <c r="EWT98" s="769"/>
      <c r="EWU98" s="769"/>
      <c r="EWV98" s="769"/>
      <c r="EWW98" s="769"/>
      <c r="EWX98" s="769"/>
      <c r="EWY98" s="769"/>
      <c r="EWZ98" s="769"/>
      <c r="EXA98" s="769"/>
      <c r="EXB98" s="769"/>
      <c r="EXC98" s="769"/>
      <c r="EXD98" s="769"/>
      <c r="EXE98" s="769"/>
      <c r="EXF98" s="769"/>
      <c r="EXG98" s="769"/>
      <c r="EXH98" s="769"/>
      <c r="EXI98" s="769"/>
      <c r="EXJ98" s="769"/>
      <c r="EXK98" s="769"/>
      <c r="EXL98" s="769"/>
      <c r="EXM98" s="769"/>
      <c r="EXN98" s="769"/>
      <c r="EXO98" s="769"/>
      <c r="EXP98" s="769"/>
      <c r="EXQ98" s="769"/>
      <c r="EXR98" s="769"/>
      <c r="EXS98" s="769"/>
      <c r="EXT98" s="769"/>
      <c r="EXU98" s="769"/>
      <c r="EXV98" s="769"/>
      <c r="EXW98" s="769"/>
      <c r="EXX98" s="769"/>
      <c r="EXY98" s="769"/>
      <c r="EXZ98" s="769"/>
      <c r="EYA98" s="769"/>
      <c r="EYB98" s="769"/>
      <c r="EYC98" s="769"/>
      <c r="EYD98" s="769"/>
      <c r="EYE98" s="769"/>
      <c r="EYF98" s="769"/>
      <c r="EYG98" s="769"/>
      <c r="EYH98" s="769"/>
      <c r="EYI98" s="769"/>
      <c r="EYJ98" s="769"/>
      <c r="EYK98" s="769"/>
      <c r="EYL98" s="769"/>
      <c r="EYM98" s="769"/>
      <c r="EYN98" s="769"/>
      <c r="EYO98" s="769"/>
      <c r="EYP98" s="769"/>
      <c r="EYQ98" s="769"/>
      <c r="EYR98" s="769"/>
      <c r="EYS98" s="769"/>
      <c r="EYT98" s="769"/>
      <c r="EYU98" s="769"/>
      <c r="EYV98" s="769"/>
      <c r="EYW98" s="769"/>
      <c r="EYX98" s="769"/>
      <c r="EYY98" s="769"/>
      <c r="EYZ98" s="769"/>
      <c r="EZA98" s="769"/>
      <c r="EZB98" s="769"/>
      <c r="EZC98" s="769"/>
      <c r="EZD98" s="769"/>
      <c r="EZE98" s="769"/>
      <c r="EZF98" s="769"/>
      <c r="EZG98" s="769"/>
      <c r="EZH98" s="769"/>
      <c r="EZI98" s="769"/>
      <c r="EZJ98" s="769"/>
      <c r="EZK98" s="769"/>
      <c r="EZL98" s="769"/>
      <c r="EZM98" s="769"/>
      <c r="EZN98" s="769"/>
      <c r="EZO98" s="769"/>
      <c r="EZP98" s="769"/>
      <c r="EZQ98" s="769"/>
      <c r="EZR98" s="769"/>
      <c r="EZS98" s="769"/>
      <c r="EZT98" s="769"/>
      <c r="EZU98" s="769"/>
      <c r="EZV98" s="769"/>
      <c r="EZW98" s="769"/>
      <c r="EZX98" s="769"/>
      <c r="EZY98" s="769"/>
      <c r="EZZ98" s="769"/>
      <c r="FAA98" s="769"/>
      <c r="FAB98" s="769"/>
      <c r="FAC98" s="769"/>
      <c r="FAD98" s="769"/>
      <c r="FAE98" s="769"/>
      <c r="FAF98" s="769"/>
      <c r="FAG98" s="769"/>
      <c r="FAH98" s="769"/>
      <c r="FAI98" s="769"/>
      <c r="FAJ98" s="769"/>
      <c r="FAK98" s="769"/>
      <c r="FAL98" s="769"/>
      <c r="FAM98" s="769"/>
      <c r="FAN98" s="769"/>
      <c r="FAO98" s="769"/>
      <c r="FAP98" s="769"/>
      <c r="FAQ98" s="769"/>
      <c r="FAR98" s="769"/>
      <c r="FAS98" s="769"/>
      <c r="FAT98" s="769"/>
      <c r="FAU98" s="769"/>
      <c r="FAV98" s="769"/>
      <c r="FAW98" s="769"/>
      <c r="FAX98" s="769"/>
      <c r="FAY98" s="769"/>
      <c r="FAZ98" s="769"/>
      <c r="FBA98" s="769"/>
      <c r="FBB98" s="769"/>
      <c r="FBC98" s="769"/>
      <c r="FBD98" s="769"/>
      <c r="FBE98" s="769"/>
      <c r="FBF98" s="769"/>
      <c r="FBG98" s="769"/>
      <c r="FBH98" s="769"/>
      <c r="FBI98" s="769"/>
      <c r="FBJ98" s="769"/>
      <c r="FBK98" s="769"/>
      <c r="FBL98" s="769"/>
      <c r="FBM98" s="769"/>
      <c r="FBN98" s="769"/>
      <c r="FBO98" s="769"/>
      <c r="FBP98" s="769"/>
      <c r="FBQ98" s="769"/>
      <c r="FBR98" s="769"/>
      <c r="FBS98" s="769"/>
      <c r="FBT98" s="769"/>
      <c r="FBU98" s="769"/>
      <c r="FBV98" s="769"/>
      <c r="FBW98" s="769"/>
      <c r="FBX98" s="769"/>
      <c r="FBY98" s="769"/>
      <c r="FBZ98" s="769"/>
      <c r="FCA98" s="769"/>
      <c r="FCB98" s="769"/>
      <c r="FCC98" s="769"/>
      <c r="FCD98" s="769"/>
      <c r="FCE98" s="769"/>
      <c r="FCF98" s="769"/>
      <c r="FCG98" s="769"/>
      <c r="FCH98" s="769"/>
      <c r="FCI98" s="769"/>
      <c r="FCJ98" s="769"/>
      <c r="FCK98" s="769"/>
      <c r="FCL98" s="769"/>
      <c r="FCM98" s="769"/>
      <c r="FCN98" s="769"/>
      <c r="FCO98" s="769"/>
      <c r="FCP98" s="769"/>
      <c r="FCQ98" s="769"/>
      <c r="FCR98" s="769"/>
      <c r="FCS98" s="769"/>
      <c r="FCT98" s="769"/>
      <c r="FCU98" s="769"/>
      <c r="FCV98" s="769"/>
      <c r="FCW98" s="769"/>
      <c r="FCX98" s="769"/>
      <c r="FCY98" s="769"/>
      <c r="FCZ98" s="769"/>
      <c r="FDA98" s="769"/>
      <c r="FDB98" s="769"/>
      <c r="FDC98" s="769"/>
      <c r="FDD98" s="769"/>
      <c r="FDE98" s="769"/>
      <c r="FDF98" s="769"/>
      <c r="FDG98" s="769"/>
      <c r="FDH98" s="769"/>
      <c r="FDI98" s="769"/>
      <c r="FDJ98" s="769"/>
      <c r="FDK98" s="769"/>
      <c r="FDL98" s="769"/>
      <c r="FDM98" s="769"/>
      <c r="FDN98" s="769"/>
      <c r="FDO98" s="769"/>
      <c r="FDP98" s="769"/>
      <c r="FDQ98" s="769"/>
      <c r="FDR98" s="769"/>
      <c r="FDS98" s="769"/>
      <c r="FDT98" s="769"/>
      <c r="FDU98" s="769"/>
      <c r="FDV98" s="769"/>
      <c r="FDW98" s="769"/>
      <c r="FDX98" s="769"/>
      <c r="FDY98" s="769"/>
      <c r="FDZ98" s="769"/>
      <c r="FEA98" s="769"/>
      <c r="FEB98" s="769"/>
      <c r="FEC98" s="769"/>
      <c r="FED98" s="769"/>
      <c r="FEE98" s="769"/>
      <c r="FEF98" s="769"/>
      <c r="FEG98" s="769"/>
      <c r="FEH98" s="769"/>
      <c r="FEI98" s="769"/>
      <c r="FEJ98" s="769"/>
      <c r="FEK98" s="769"/>
      <c r="FEL98" s="769"/>
      <c r="FEM98" s="769"/>
      <c r="FEN98" s="769"/>
      <c r="FEO98" s="769"/>
      <c r="FEP98" s="769"/>
      <c r="FEQ98" s="769"/>
      <c r="FER98" s="769"/>
      <c r="FES98" s="769"/>
      <c r="FET98" s="769"/>
      <c r="FEU98" s="769"/>
      <c r="FEV98" s="769"/>
      <c r="FEW98" s="769"/>
      <c r="FEX98" s="769"/>
      <c r="FEY98" s="769"/>
      <c r="FEZ98" s="769"/>
      <c r="FFA98" s="769"/>
      <c r="FFB98" s="769"/>
      <c r="FFC98" s="769"/>
      <c r="FFD98" s="769"/>
      <c r="FFE98" s="769"/>
      <c r="FFF98" s="769"/>
      <c r="FFG98" s="769"/>
      <c r="FFH98" s="769"/>
      <c r="FFI98" s="769"/>
      <c r="FFJ98" s="769"/>
      <c r="FFK98" s="769"/>
      <c r="FFL98" s="769"/>
      <c r="FFM98" s="769"/>
      <c r="FFN98" s="769"/>
      <c r="FFO98" s="769"/>
      <c r="FFP98" s="769"/>
      <c r="FFQ98" s="769"/>
      <c r="FFR98" s="769"/>
      <c r="FFS98" s="769"/>
      <c r="FFT98" s="769"/>
      <c r="FFU98" s="769"/>
      <c r="FFV98" s="769"/>
      <c r="FFW98" s="769"/>
      <c r="FFX98" s="769"/>
      <c r="FFY98" s="769"/>
      <c r="FFZ98" s="769"/>
      <c r="FGA98" s="769"/>
      <c r="FGB98" s="769"/>
      <c r="FGC98" s="769"/>
      <c r="FGD98" s="769"/>
      <c r="FGE98" s="769"/>
      <c r="FGF98" s="769"/>
      <c r="FGG98" s="769"/>
      <c r="FGH98" s="769"/>
      <c r="FGI98" s="769"/>
      <c r="FGJ98" s="769"/>
      <c r="FGK98" s="769"/>
      <c r="FGL98" s="769"/>
      <c r="FGM98" s="769"/>
      <c r="FGN98" s="769"/>
      <c r="FGO98" s="769"/>
      <c r="FGP98" s="769"/>
      <c r="FGQ98" s="769"/>
      <c r="FGR98" s="769"/>
      <c r="FGS98" s="769"/>
      <c r="FGT98" s="769"/>
      <c r="FGU98" s="769"/>
      <c r="FGV98" s="769"/>
      <c r="FGW98" s="769"/>
      <c r="FGX98" s="769"/>
      <c r="FGY98" s="769"/>
      <c r="FGZ98" s="769"/>
      <c r="FHA98" s="769"/>
      <c r="FHB98" s="769"/>
      <c r="FHC98" s="769"/>
      <c r="FHD98" s="769"/>
      <c r="FHE98" s="769"/>
      <c r="FHF98" s="769"/>
      <c r="FHG98" s="769"/>
      <c r="FHH98" s="769"/>
      <c r="FHI98" s="769"/>
      <c r="FHJ98" s="769"/>
      <c r="FHK98" s="769"/>
      <c r="FHL98" s="769"/>
      <c r="FHM98" s="769"/>
      <c r="FHN98" s="769"/>
      <c r="FHO98" s="769"/>
      <c r="FHP98" s="769"/>
      <c r="FHQ98" s="769"/>
      <c r="FHR98" s="769"/>
      <c r="FHS98" s="769"/>
      <c r="FHT98" s="769"/>
      <c r="FHU98" s="769"/>
      <c r="FHV98" s="769"/>
      <c r="FHW98" s="769"/>
      <c r="FHX98" s="769"/>
      <c r="FHY98" s="769"/>
      <c r="FHZ98" s="769"/>
      <c r="FIA98" s="769"/>
      <c r="FIB98" s="769"/>
      <c r="FIC98" s="769"/>
      <c r="FID98" s="769"/>
      <c r="FIE98" s="769"/>
      <c r="FIF98" s="769"/>
      <c r="FIG98" s="769"/>
      <c r="FIH98" s="769"/>
      <c r="FII98" s="769"/>
      <c r="FIJ98" s="769"/>
      <c r="FIK98" s="769"/>
      <c r="FIL98" s="769"/>
      <c r="FIM98" s="769"/>
      <c r="FIN98" s="769"/>
      <c r="FIO98" s="769"/>
      <c r="FIP98" s="769"/>
      <c r="FIQ98" s="769"/>
      <c r="FIR98" s="769"/>
      <c r="FIS98" s="769"/>
      <c r="FIT98" s="769"/>
      <c r="FIU98" s="769"/>
      <c r="FIV98" s="769"/>
      <c r="FIW98" s="769"/>
      <c r="FIX98" s="769"/>
      <c r="FIY98" s="769"/>
      <c r="FIZ98" s="769"/>
      <c r="FJA98" s="769"/>
      <c r="FJB98" s="769"/>
      <c r="FJC98" s="769"/>
      <c r="FJD98" s="769"/>
      <c r="FJE98" s="769"/>
      <c r="FJF98" s="769"/>
      <c r="FJG98" s="769"/>
      <c r="FJH98" s="769"/>
      <c r="FJI98" s="769"/>
      <c r="FJJ98" s="769"/>
      <c r="FJK98" s="769"/>
      <c r="FJL98" s="769"/>
      <c r="FJM98" s="769"/>
      <c r="FJN98" s="769"/>
      <c r="FJO98" s="769"/>
      <c r="FJP98" s="769"/>
      <c r="FJQ98" s="769"/>
      <c r="FJR98" s="769"/>
      <c r="FJS98" s="769"/>
      <c r="FJT98" s="769"/>
      <c r="FJU98" s="769"/>
      <c r="FJV98" s="769"/>
      <c r="FJW98" s="769"/>
      <c r="FJX98" s="769"/>
      <c r="FJY98" s="769"/>
      <c r="FJZ98" s="769"/>
      <c r="FKA98" s="769"/>
      <c r="FKB98" s="769"/>
      <c r="FKC98" s="769"/>
      <c r="FKD98" s="769"/>
      <c r="FKE98" s="769"/>
      <c r="FKF98" s="769"/>
      <c r="FKG98" s="769"/>
      <c r="FKH98" s="769"/>
      <c r="FKI98" s="769"/>
      <c r="FKJ98" s="769"/>
      <c r="FKK98" s="769"/>
      <c r="FKL98" s="769"/>
      <c r="FKM98" s="769"/>
      <c r="FKN98" s="769"/>
      <c r="FKO98" s="769"/>
      <c r="FKP98" s="769"/>
      <c r="FKQ98" s="769"/>
      <c r="FKR98" s="769"/>
      <c r="FKS98" s="769"/>
      <c r="FKT98" s="769"/>
      <c r="FKU98" s="769"/>
      <c r="FKV98" s="769"/>
      <c r="FKW98" s="769"/>
      <c r="FKX98" s="769"/>
      <c r="FKY98" s="769"/>
      <c r="FKZ98" s="769"/>
      <c r="FLA98" s="769"/>
      <c r="FLB98" s="769"/>
      <c r="FLC98" s="769"/>
      <c r="FLD98" s="769"/>
      <c r="FLE98" s="769"/>
      <c r="FLF98" s="769"/>
      <c r="FLG98" s="769"/>
      <c r="FLH98" s="769"/>
      <c r="FLI98" s="769"/>
      <c r="FLJ98" s="769"/>
      <c r="FLK98" s="769"/>
      <c r="FLL98" s="769"/>
      <c r="FLM98" s="769"/>
      <c r="FLN98" s="769"/>
      <c r="FLO98" s="769"/>
      <c r="FLP98" s="769"/>
      <c r="FLQ98" s="769"/>
      <c r="FLR98" s="769"/>
      <c r="FLS98" s="769"/>
      <c r="FLT98" s="769"/>
      <c r="FLU98" s="769"/>
      <c r="FLV98" s="769"/>
      <c r="FLW98" s="769"/>
      <c r="FLX98" s="769"/>
      <c r="FLY98" s="769"/>
      <c r="FLZ98" s="769"/>
      <c r="FMA98" s="769"/>
      <c r="FMB98" s="769"/>
      <c r="FMC98" s="769"/>
      <c r="FMD98" s="769"/>
      <c r="FME98" s="769"/>
      <c r="FMF98" s="769"/>
      <c r="FMG98" s="769"/>
      <c r="FMH98" s="769"/>
      <c r="FMI98" s="769"/>
      <c r="FMJ98" s="769"/>
      <c r="FMK98" s="769"/>
      <c r="FML98" s="769"/>
      <c r="FMM98" s="769"/>
      <c r="FMN98" s="769"/>
      <c r="FMO98" s="769"/>
      <c r="FMP98" s="769"/>
      <c r="FMQ98" s="769"/>
      <c r="FMR98" s="769"/>
      <c r="FMS98" s="769"/>
      <c r="FMT98" s="769"/>
      <c r="FMU98" s="769"/>
      <c r="FMV98" s="769"/>
      <c r="FMW98" s="769"/>
      <c r="FMX98" s="769"/>
      <c r="FMY98" s="769"/>
      <c r="FMZ98" s="769"/>
      <c r="FNA98" s="769"/>
      <c r="FNB98" s="769"/>
      <c r="FNC98" s="769"/>
      <c r="FND98" s="769"/>
      <c r="FNE98" s="769"/>
      <c r="FNF98" s="769"/>
      <c r="FNG98" s="769"/>
      <c r="FNH98" s="769"/>
      <c r="FNI98" s="769"/>
      <c r="FNJ98" s="769"/>
      <c r="FNK98" s="769"/>
      <c r="FNL98" s="769"/>
      <c r="FNM98" s="769"/>
      <c r="FNN98" s="769"/>
      <c r="FNO98" s="769"/>
      <c r="FNP98" s="769"/>
      <c r="FNQ98" s="769"/>
      <c r="FNR98" s="769"/>
      <c r="FNS98" s="769"/>
      <c r="FNT98" s="769"/>
      <c r="FNU98" s="769"/>
      <c r="FNV98" s="769"/>
      <c r="FNW98" s="769"/>
      <c r="FNX98" s="769"/>
      <c r="FNY98" s="769"/>
      <c r="FNZ98" s="769"/>
      <c r="FOA98" s="769"/>
      <c r="FOB98" s="769"/>
      <c r="FOC98" s="769"/>
      <c r="FOD98" s="769"/>
      <c r="FOE98" s="769"/>
      <c r="FOF98" s="769"/>
      <c r="FOG98" s="769"/>
      <c r="FOH98" s="769"/>
      <c r="FOI98" s="769"/>
      <c r="FOJ98" s="769"/>
      <c r="FOK98" s="769"/>
      <c r="FOL98" s="769"/>
      <c r="FOM98" s="769"/>
      <c r="FON98" s="769"/>
      <c r="FOO98" s="769"/>
      <c r="FOP98" s="769"/>
      <c r="FOQ98" s="769"/>
      <c r="FOR98" s="769"/>
      <c r="FOS98" s="769"/>
      <c r="FOT98" s="769"/>
      <c r="FOU98" s="769"/>
      <c r="FOV98" s="769"/>
      <c r="FOW98" s="769"/>
      <c r="FOX98" s="769"/>
      <c r="FOY98" s="769"/>
      <c r="FOZ98" s="769"/>
      <c r="FPA98" s="769"/>
      <c r="FPB98" s="769"/>
      <c r="FPC98" s="769"/>
      <c r="FPD98" s="769"/>
      <c r="FPE98" s="769"/>
      <c r="FPF98" s="769"/>
      <c r="FPG98" s="769"/>
      <c r="FPH98" s="769"/>
      <c r="FPI98" s="769"/>
      <c r="FPJ98" s="769"/>
      <c r="FPK98" s="769"/>
      <c r="FPL98" s="769"/>
      <c r="FPM98" s="769"/>
      <c r="FPN98" s="769"/>
      <c r="FPO98" s="769"/>
      <c r="FPP98" s="769"/>
      <c r="FPQ98" s="769"/>
      <c r="FPR98" s="769"/>
      <c r="FPS98" s="769"/>
      <c r="FPT98" s="769"/>
      <c r="FPU98" s="769"/>
      <c r="FPV98" s="769"/>
      <c r="FPW98" s="769"/>
      <c r="FPX98" s="769"/>
      <c r="FPY98" s="769"/>
      <c r="FPZ98" s="769"/>
      <c r="FQA98" s="769"/>
      <c r="FQB98" s="769"/>
      <c r="FQC98" s="769"/>
      <c r="FQD98" s="769"/>
      <c r="FQE98" s="769"/>
      <c r="FQF98" s="769"/>
      <c r="FQG98" s="769"/>
      <c r="FQH98" s="769"/>
      <c r="FQI98" s="769"/>
      <c r="FQJ98" s="769"/>
      <c r="FQK98" s="769"/>
      <c r="FQL98" s="769"/>
      <c r="FQM98" s="769"/>
      <c r="FQN98" s="769"/>
      <c r="FQO98" s="769"/>
      <c r="FQP98" s="769"/>
      <c r="FQQ98" s="769"/>
      <c r="FQR98" s="769"/>
      <c r="FQS98" s="769"/>
      <c r="FQT98" s="769"/>
      <c r="FQU98" s="769"/>
      <c r="FQV98" s="769"/>
      <c r="FQW98" s="769"/>
      <c r="FQX98" s="769"/>
      <c r="FQY98" s="769"/>
      <c r="FQZ98" s="769"/>
      <c r="FRA98" s="769"/>
      <c r="FRB98" s="769"/>
      <c r="FRC98" s="769"/>
      <c r="FRD98" s="769"/>
      <c r="FRE98" s="769"/>
      <c r="FRF98" s="769"/>
      <c r="FRG98" s="769"/>
      <c r="FRH98" s="769"/>
      <c r="FRI98" s="769"/>
      <c r="FRJ98" s="769"/>
      <c r="FRK98" s="769"/>
      <c r="FRL98" s="769"/>
      <c r="FRM98" s="769"/>
      <c r="FRN98" s="769"/>
      <c r="FRO98" s="769"/>
      <c r="FRP98" s="769"/>
      <c r="FRQ98" s="769"/>
      <c r="FRR98" s="769"/>
      <c r="FRS98" s="769"/>
      <c r="FRT98" s="769"/>
      <c r="FRU98" s="769"/>
      <c r="FRV98" s="769"/>
      <c r="FRW98" s="769"/>
      <c r="FRX98" s="769"/>
      <c r="FRY98" s="769"/>
      <c r="FRZ98" s="769"/>
      <c r="FSA98" s="769"/>
      <c r="FSB98" s="769"/>
      <c r="FSC98" s="769"/>
      <c r="FSD98" s="769"/>
      <c r="FSE98" s="769"/>
      <c r="FSF98" s="769"/>
      <c r="FSG98" s="769"/>
      <c r="FSH98" s="769"/>
      <c r="FSI98" s="769"/>
      <c r="FSJ98" s="769"/>
      <c r="FSK98" s="769"/>
      <c r="FSL98" s="769"/>
      <c r="FSM98" s="769"/>
      <c r="FSN98" s="769"/>
      <c r="FSO98" s="769"/>
      <c r="FSP98" s="769"/>
      <c r="FSQ98" s="769"/>
      <c r="FSR98" s="769"/>
      <c r="FSS98" s="769"/>
      <c r="FST98" s="769"/>
      <c r="FSU98" s="769"/>
      <c r="FSV98" s="769"/>
      <c r="FSW98" s="769"/>
      <c r="FSX98" s="769"/>
      <c r="FSY98" s="769"/>
      <c r="FSZ98" s="769"/>
      <c r="FTA98" s="769"/>
      <c r="FTB98" s="769"/>
      <c r="FTC98" s="769"/>
      <c r="FTD98" s="769"/>
      <c r="FTE98" s="769"/>
      <c r="FTF98" s="769"/>
      <c r="FTG98" s="769"/>
      <c r="FTH98" s="769"/>
      <c r="FTI98" s="769"/>
      <c r="FTJ98" s="769"/>
      <c r="FTK98" s="769"/>
      <c r="FTL98" s="769"/>
      <c r="FTM98" s="769"/>
      <c r="FTN98" s="769"/>
      <c r="FTO98" s="769"/>
      <c r="FTP98" s="769"/>
      <c r="FTQ98" s="769"/>
      <c r="FTR98" s="769"/>
      <c r="FTS98" s="769"/>
      <c r="FTT98" s="769"/>
      <c r="FTU98" s="769"/>
      <c r="FTV98" s="769"/>
      <c r="FTW98" s="769"/>
      <c r="FTX98" s="769"/>
      <c r="FTY98" s="769"/>
      <c r="FTZ98" s="769"/>
      <c r="FUA98" s="769"/>
      <c r="FUB98" s="769"/>
      <c r="FUC98" s="769"/>
      <c r="FUD98" s="769"/>
      <c r="FUE98" s="769"/>
      <c r="FUF98" s="769"/>
      <c r="FUG98" s="769"/>
      <c r="FUH98" s="769"/>
      <c r="FUI98" s="769"/>
      <c r="FUJ98" s="769"/>
      <c r="FUK98" s="769"/>
      <c r="FUL98" s="769"/>
      <c r="FUM98" s="769"/>
      <c r="FUN98" s="769"/>
      <c r="FUO98" s="769"/>
      <c r="FUP98" s="769"/>
      <c r="FUQ98" s="769"/>
      <c r="FUR98" s="769"/>
      <c r="FUS98" s="769"/>
      <c r="FUT98" s="769"/>
      <c r="FUU98" s="769"/>
      <c r="FUV98" s="769"/>
      <c r="FUW98" s="769"/>
      <c r="FUX98" s="769"/>
      <c r="FUY98" s="769"/>
      <c r="FUZ98" s="769"/>
      <c r="FVA98" s="769"/>
      <c r="FVB98" s="769"/>
      <c r="FVC98" s="769"/>
      <c r="FVD98" s="769"/>
      <c r="FVE98" s="769"/>
      <c r="FVF98" s="769"/>
      <c r="FVG98" s="769"/>
      <c r="FVH98" s="769"/>
      <c r="FVI98" s="769"/>
      <c r="FVJ98" s="769"/>
      <c r="FVK98" s="769"/>
      <c r="FVL98" s="769"/>
      <c r="FVM98" s="769"/>
      <c r="FVN98" s="769"/>
      <c r="FVO98" s="769"/>
      <c r="FVP98" s="769"/>
      <c r="FVQ98" s="769"/>
      <c r="FVR98" s="769"/>
      <c r="FVS98" s="769"/>
      <c r="FVT98" s="769"/>
      <c r="FVU98" s="769"/>
      <c r="FVV98" s="769"/>
      <c r="FVW98" s="769"/>
      <c r="FVX98" s="769"/>
      <c r="FVY98" s="769"/>
      <c r="FVZ98" s="769"/>
      <c r="FWA98" s="769"/>
      <c r="FWB98" s="769"/>
      <c r="FWC98" s="769"/>
      <c r="FWD98" s="769"/>
      <c r="FWE98" s="769"/>
      <c r="FWF98" s="769"/>
      <c r="FWG98" s="769"/>
      <c r="FWH98" s="769"/>
      <c r="FWI98" s="769"/>
      <c r="FWJ98" s="769"/>
      <c r="FWK98" s="769"/>
      <c r="FWL98" s="769"/>
      <c r="FWM98" s="769"/>
      <c r="FWN98" s="769"/>
      <c r="FWO98" s="769"/>
      <c r="FWP98" s="769"/>
      <c r="FWQ98" s="769"/>
      <c r="FWR98" s="769"/>
      <c r="FWS98" s="769"/>
      <c r="FWT98" s="769"/>
      <c r="FWU98" s="769"/>
      <c r="FWV98" s="769"/>
      <c r="FWW98" s="769"/>
      <c r="FWX98" s="769"/>
      <c r="FWY98" s="769"/>
      <c r="FWZ98" s="769"/>
      <c r="FXA98" s="769"/>
      <c r="FXB98" s="769"/>
      <c r="FXC98" s="769"/>
      <c r="FXD98" s="769"/>
      <c r="FXE98" s="769"/>
      <c r="FXF98" s="769"/>
      <c r="FXG98" s="769"/>
      <c r="FXH98" s="769"/>
      <c r="FXI98" s="769"/>
      <c r="FXJ98" s="769"/>
      <c r="FXK98" s="769"/>
      <c r="FXL98" s="769"/>
      <c r="FXM98" s="769"/>
      <c r="FXN98" s="769"/>
      <c r="FXO98" s="769"/>
      <c r="FXP98" s="769"/>
      <c r="FXQ98" s="769"/>
      <c r="FXR98" s="769"/>
      <c r="FXS98" s="769"/>
      <c r="FXT98" s="769"/>
      <c r="FXU98" s="769"/>
      <c r="FXV98" s="769"/>
      <c r="FXW98" s="769"/>
      <c r="FXX98" s="769"/>
      <c r="FXY98" s="769"/>
      <c r="FXZ98" s="769"/>
      <c r="FYA98" s="769"/>
      <c r="FYB98" s="769"/>
      <c r="FYC98" s="769"/>
      <c r="FYD98" s="769"/>
      <c r="FYE98" s="769"/>
      <c r="FYF98" s="769"/>
      <c r="FYG98" s="769"/>
      <c r="FYH98" s="769"/>
      <c r="FYI98" s="769"/>
      <c r="FYJ98" s="769"/>
      <c r="FYK98" s="769"/>
      <c r="FYL98" s="769"/>
      <c r="FYM98" s="769"/>
      <c r="FYN98" s="769"/>
      <c r="FYO98" s="769"/>
      <c r="FYP98" s="769"/>
      <c r="FYQ98" s="769"/>
      <c r="FYR98" s="769"/>
      <c r="FYS98" s="769"/>
      <c r="FYT98" s="769"/>
      <c r="FYU98" s="769"/>
      <c r="FYV98" s="769"/>
      <c r="FYW98" s="769"/>
      <c r="FYX98" s="769"/>
      <c r="FYY98" s="769"/>
      <c r="FYZ98" s="769"/>
      <c r="FZA98" s="769"/>
      <c r="FZB98" s="769"/>
      <c r="FZC98" s="769"/>
      <c r="FZD98" s="769"/>
      <c r="FZE98" s="769"/>
      <c r="FZF98" s="769"/>
      <c r="FZG98" s="769"/>
      <c r="FZH98" s="769"/>
      <c r="FZI98" s="769"/>
      <c r="FZJ98" s="769"/>
      <c r="FZK98" s="769"/>
      <c r="FZL98" s="769"/>
      <c r="FZM98" s="769"/>
      <c r="FZN98" s="769"/>
      <c r="FZO98" s="769"/>
      <c r="FZP98" s="769"/>
      <c r="FZQ98" s="769"/>
      <c r="FZR98" s="769"/>
      <c r="FZS98" s="769"/>
      <c r="FZT98" s="769"/>
      <c r="FZU98" s="769"/>
      <c r="FZV98" s="769"/>
      <c r="FZW98" s="769"/>
      <c r="FZX98" s="769"/>
      <c r="FZY98" s="769"/>
      <c r="FZZ98" s="769"/>
      <c r="GAA98" s="769"/>
      <c r="GAB98" s="769"/>
      <c r="GAC98" s="769"/>
      <c r="GAD98" s="769"/>
      <c r="GAE98" s="769"/>
      <c r="GAF98" s="769"/>
      <c r="GAG98" s="769"/>
      <c r="GAH98" s="769"/>
      <c r="GAI98" s="769"/>
      <c r="GAJ98" s="769"/>
      <c r="GAK98" s="769"/>
      <c r="GAL98" s="769"/>
      <c r="GAM98" s="769"/>
      <c r="GAN98" s="769"/>
      <c r="GAO98" s="769"/>
      <c r="GAP98" s="769"/>
      <c r="GAQ98" s="769"/>
      <c r="GAR98" s="769"/>
      <c r="GAS98" s="769"/>
      <c r="GAT98" s="769"/>
      <c r="GAU98" s="769"/>
      <c r="GAV98" s="769"/>
      <c r="GAW98" s="769"/>
      <c r="GAX98" s="769"/>
      <c r="GAY98" s="769"/>
      <c r="GAZ98" s="769"/>
      <c r="GBA98" s="769"/>
      <c r="GBB98" s="769"/>
      <c r="GBC98" s="769"/>
      <c r="GBD98" s="769"/>
      <c r="GBE98" s="769"/>
      <c r="GBF98" s="769"/>
      <c r="GBG98" s="769"/>
      <c r="GBH98" s="769"/>
      <c r="GBI98" s="769"/>
      <c r="GBJ98" s="769"/>
      <c r="GBK98" s="769"/>
      <c r="GBL98" s="769"/>
      <c r="GBM98" s="769"/>
      <c r="GBN98" s="769"/>
      <c r="GBO98" s="769"/>
      <c r="GBP98" s="769"/>
      <c r="GBQ98" s="769"/>
      <c r="GBR98" s="769"/>
      <c r="GBS98" s="769"/>
      <c r="GBT98" s="769"/>
      <c r="GBU98" s="769"/>
      <c r="GBV98" s="769"/>
      <c r="GBW98" s="769"/>
      <c r="GBX98" s="769"/>
      <c r="GBY98" s="769"/>
      <c r="GBZ98" s="769"/>
      <c r="GCA98" s="769"/>
      <c r="GCB98" s="769"/>
      <c r="GCC98" s="769"/>
      <c r="GCD98" s="769"/>
      <c r="GCE98" s="769"/>
      <c r="GCF98" s="769"/>
      <c r="GCG98" s="769"/>
      <c r="GCH98" s="769"/>
      <c r="GCI98" s="769"/>
      <c r="GCJ98" s="769"/>
      <c r="GCK98" s="769"/>
      <c r="GCL98" s="769"/>
      <c r="GCM98" s="769"/>
      <c r="GCN98" s="769"/>
      <c r="GCO98" s="769"/>
      <c r="GCP98" s="769"/>
      <c r="GCQ98" s="769"/>
      <c r="GCR98" s="769"/>
      <c r="GCS98" s="769"/>
      <c r="GCT98" s="769"/>
      <c r="GCU98" s="769"/>
      <c r="GCV98" s="769"/>
      <c r="GCW98" s="769"/>
      <c r="GCX98" s="769"/>
      <c r="GCY98" s="769"/>
      <c r="GCZ98" s="769"/>
      <c r="GDA98" s="769"/>
      <c r="GDB98" s="769"/>
      <c r="GDC98" s="769"/>
      <c r="GDD98" s="769"/>
      <c r="GDE98" s="769"/>
      <c r="GDF98" s="769"/>
      <c r="GDG98" s="769"/>
      <c r="GDH98" s="769"/>
      <c r="GDI98" s="769"/>
      <c r="GDJ98" s="769"/>
      <c r="GDK98" s="769"/>
      <c r="GDL98" s="769"/>
      <c r="GDM98" s="769"/>
      <c r="GDN98" s="769"/>
      <c r="GDO98" s="769"/>
      <c r="GDP98" s="769"/>
      <c r="GDQ98" s="769"/>
      <c r="GDR98" s="769"/>
      <c r="GDS98" s="769"/>
      <c r="GDT98" s="769"/>
      <c r="GDU98" s="769"/>
      <c r="GDV98" s="769"/>
      <c r="GDW98" s="769"/>
      <c r="GDX98" s="769"/>
      <c r="GDY98" s="769"/>
      <c r="GDZ98" s="769"/>
      <c r="GEA98" s="769"/>
      <c r="GEB98" s="769"/>
      <c r="GEC98" s="769"/>
      <c r="GED98" s="769"/>
      <c r="GEE98" s="769"/>
      <c r="GEF98" s="769"/>
      <c r="GEG98" s="769"/>
      <c r="GEH98" s="769"/>
      <c r="GEI98" s="769"/>
      <c r="GEJ98" s="769"/>
      <c r="GEK98" s="769"/>
      <c r="GEL98" s="769"/>
      <c r="GEM98" s="769"/>
      <c r="GEN98" s="769"/>
      <c r="GEO98" s="769"/>
      <c r="GEP98" s="769"/>
      <c r="GEQ98" s="769"/>
      <c r="GER98" s="769"/>
      <c r="GES98" s="769"/>
      <c r="GET98" s="769"/>
      <c r="GEU98" s="769"/>
      <c r="GEV98" s="769"/>
      <c r="GEW98" s="769"/>
      <c r="GEX98" s="769"/>
      <c r="GEY98" s="769"/>
      <c r="GEZ98" s="769"/>
      <c r="GFA98" s="769"/>
      <c r="GFB98" s="769"/>
      <c r="GFC98" s="769"/>
      <c r="GFD98" s="769"/>
      <c r="GFE98" s="769"/>
      <c r="GFF98" s="769"/>
      <c r="GFG98" s="769"/>
      <c r="GFH98" s="769"/>
      <c r="GFI98" s="769"/>
      <c r="GFJ98" s="769"/>
      <c r="GFK98" s="769"/>
      <c r="GFL98" s="769"/>
      <c r="GFM98" s="769"/>
      <c r="GFN98" s="769"/>
      <c r="GFO98" s="769"/>
      <c r="GFP98" s="769"/>
      <c r="GFQ98" s="769"/>
      <c r="GFR98" s="769"/>
      <c r="GFS98" s="769"/>
      <c r="GFT98" s="769"/>
      <c r="GFU98" s="769"/>
      <c r="GFV98" s="769"/>
      <c r="GFW98" s="769"/>
      <c r="GFX98" s="769"/>
      <c r="GFY98" s="769"/>
      <c r="GFZ98" s="769"/>
      <c r="GGA98" s="769"/>
      <c r="GGB98" s="769"/>
      <c r="GGC98" s="769"/>
      <c r="GGD98" s="769"/>
      <c r="GGE98" s="769"/>
      <c r="GGF98" s="769"/>
      <c r="GGG98" s="769"/>
      <c r="GGH98" s="769"/>
      <c r="GGI98" s="769"/>
      <c r="GGJ98" s="769"/>
      <c r="GGK98" s="769"/>
      <c r="GGL98" s="769"/>
      <c r="GGM98" s="769"/>
      <c r="GGN98" s="769"/>
      <c r="GGO98" s="769"/>
      <c r="GGP98" s="769"/>
      <c r="GGQ98" s="769"/>
      <c r="GGR98" s="769"/>
      <c r="GGS98" s="769"/>
      <c r="GGT98" s="769"/>
      <c r="GGU98" s="769"/>
      <c r="GGV98" s="769"/>
      <c r="GGW98" s="769"/>
      <c r="GGX98" s="769"/>
      <c r="GGY98" s="769"/>
      <c r="GGZ98" s="769"/>
      <c r="GHA98" s="769"/>
      <c r="GHB98" s="769"/>
      <c r="GHC98" s="769"/>
      <c r="GHD98" s="769"/>
      <c r="GHE98" s="769"/>
      <c r="GHF98" s="769"/>
      <c r="GHG98" s="769"/>
      <c r="GHH98" s="769"/>
      <c r="GHI98" s="769"/>
      <c r="GHJ98" s="769"/>
      <c r="GHK98" s="769"/>
      <c r="GHL98" s="769"/>
      <c r="GHM98" s="769"/>
      <c r="GHN98" s="769"/>
      <c r="GHO98" s="769"/>
      <c r="GHP98" s="769"/>
      <c r="GHQ98" s="769"/>
      <c r="GHR98" s="769"/>
      <c r="GHS98" s="769"/>
      <c r="GHT98" s="769"/>
      <c r="GHU98" s="769"/>
      <c r="GHV98" s="769"/>
      <c r="GHW98" s="769"/>
      <c r="GHX98" s="769"/>
      <c r="GHY98" s="769"/>
      <c r="GHZ98" s="769"/>
      <c r="GIA98" s="769"/>
      <c r="GIB98" s="769"/>
      <c r="GIC98" s="769"/>
      <c r="GID98" s="769"/>
      <c r="GIE98" s="769"/>
      <c r="GIF98" s="769"/>
      <c r="GIG98" s="769"/>
      <c r="GIH98" s="769"/>
      <c r="GII98" s="769"/>
      <c r="GIJ98" s="769"/>
      <c r="GIK98" s="769"/>
      <c r="GIL98" s="769"/>
      <c r="GIM98" s="769"/>
      <c r="GIN98" s="769"/>
      <c r="GIO98" s="769"/>
      <c r="GIP98" s="769"/>
      <c r="GIQ98" s="769"/>
      <c r="GIR98" s="769"/>
      <c r="GIS98" s="769"/>
      <c r="GIT98" s="769"/>
      <c r="GIU98" s="769"/>
      <c r="GIV98" s="769"/>
      <c r="GIW98" s="769"/>
      <c r="GIX98" s="769"/>
      <c r="GIY98" s="769"/>
      <c r="GIZ98" s="769"/>
      <c r="GJA98" s="769"/>
      <c r="GJB98" s="769"/>
      <c r="GJC98" s="769"/>
      <c r="GJD98" s="769"/>
      <c r="GJE98" s="769"/>
      <c r="GJF98" s="769"/>
      <c r="GJG98" s="769"/>
      <c r="GJH98" s="769"/>
      <c r="GJI98" s="769"/>
      <c r="GJJ98" s="769"/>
      <c r="GJK98" s="769"/>
      <c r="GJL98" s="769"/>
      <c r="GJM98" s="769"/>
      <c r="GJN98" s="769"/>
      <c r="GJO98" s="769"/>
      <c r="GJP98" s="769"/>
      <c r="GJQ98" s="769"/>
      <c r="GJR98" s="769"/>
      <c r="GJS98" s="769"/>
      <c r="GJT98" s="769"/>
      <c r="GJU98" s="769"/>
      <c r="GJV98" s="769"/>
      <c r="GJW98" s="769"/>
      <c r="GJX98" s="769"/>
      <c r="GJY98" s="769"/>
      <c r="GJZ98" s="769"/>
      <c r="GKA98" s="769"/>
      <c r="GKB98" s="769"/>
      <c r="GKC98" s="769"/>
      <c r="GKD98" s="769"/>
      <c r="GKE98" s="769"/>
      <c r="GKF98" s="769"/>
      <c r="GKG98" s="769"/>
      <c r="GKH98" s="769"/>
      <c r="GKI98" s="769"/>
      <c r="GKJ98" s="769"/>
      <c r="GKK98" s="769"/>
      <c r="GKL98" s="769"/>
      <c r="GKM98" s="769"/>
      <c r="GKN98" s="769"/>
      <c r="GKO98" s="769"/>
      <c r="GKP98" s="769"/>
      <c r="GKQ98" s="769"/>
      <c r="GKR98" s="769"/>
      <c r="GKS98" s="769"/>
      <c r="GKT98" s="769"/>
      <c r="GKU98" s="769"/>
      <c r="GKV98" s="769"/>
      <c r="GKW98" s="769"/>
      <c r="GKX98" s="769"/>
      <c r="GKY98" s="769"/>
      <c r="GKZ98" s="769"/>
      <c r="GLA98" s="769"/>
      <c r="GLB98" s="769"/>
      <c r="GLC98" s="769"/>
      <c r="GLD98" s="769"/>
      <c r="GLE98" s="769"/>
      <c r="GLF98" s="769"/>
      <c r="GLG98" s="769"/>
      <c r="GLH98" s="769"/>
      <c r="GLI98" s="769"/>
      <c r="GLJ98" s="769"/>
      <c r="GLK98" s="769"/>
      <c r="GLL98" s="769"/>
      <c r="GLM98" s="769"/>
      <c r="GLN98" s="769"/>
      <c r="GLO98" s="769"/>
      <c r="GLP98" s="769"/>
      <c r="GLQ98" s="769"/>
      <c r="GLR98" s="769"/>
      <c r="GLS98" s="769"/>
      <c r="GLT98" s="769"/>
      <c r="GLU98" s="769"/>
      <c r="GLV98" s="769"/>
      <c r="GLW98" s="769"/>
      <c r="GLX98" s="769"/>
      <c r="GLY98" s="769"/>
      <c r="GLZ98" s="769"/>
      <c r="GMA98" s="769"/>
      <c r="GMB98" s="769"/>
      <c r="GMC98" s="769"/>
      <c r="GMD98" s="769"/>
      <c r="GME98" s="769"/>
      <c r="GMF98" s="769"/>
      <c r="GMG98" s="769"/>
      <c r="GMH98" s="769"/>
      <c r="GMI98" s="769"/>
      <c r="GMJ98" s="769"/>
      <c r="GMK98" s="769"/>
      <c r="GML98" s="769"/>
      <c r="GMM98" s="769"/>
      <c r="GMN98" s="769"/>
      <c r="GMO98" s="769"/>
      <c r="GMP98" s="769"/>
      <c r="GMQ98" s="769"/>
      <c r="GMR98" s="769"/>
      <c r="GMS98" s="769"/>
      <c r="GMT98" s="769"/>
      <c r="GMU98" s="769"/>
      <c r="GMV98" s="769"/>
      <c r="GMW98" s="769"/>
      <c r="GMX98" s="769"/>
      <c r="GMY98" s="769"/>
      <c r="GMZ98" s="769"/>
      <c r="GNA98" s="769"/>
      <c r="GNB98" s="769"/>
      <c r="GNC98" s="769"/>
      <c r="GND98" s="769"/>
      <c r="GNE98" s="769"/>
      <c r="GNF98" s="769"/>
      <c r="GNG98" s="769"/>
      <c r="GNH98" s="769"/>
      <c r="GNI98" s="769"/>
      <c r="GNJ98" s="769"/>
      <c r="GNK98" s="769"/>
      <c r="GNL98" s="769"/>
      <c r="GNM98" s="769"/>
      <c r="GNN98" s="769"/>
      <c r="GNO98" s="769"/>
      <c r="GNP98" s="769"/>
      <c r="GNQ98" s="769"/>
      <c r="GNR98" s="769"/>
      <c r="GNS98" s="769"/>
      <c r="GNT98" s="769"/>
      <c r="GNU98" s="769"/>
      <c r="GNV98" s="769"/>
      <c r="GNW98" s="769"/>
      <c r="GNX98" s="769"/>
      <c r="GNY98" s="769"/>
      <c r="GNZ98" s="769"/>
      <c r="GOA98" s="769"/>
      <c r="GOB98" s="769"/>
      <c r="GOC98" s="769"/>
      <c r="GOD98" s="769"/>
      <c r="GOE98" s="769"/>
      <c r="GOF98" s="769"/>
      <c r="GOG98" s="769"/>
      <c r="GOH98" s="769"/>
      <c r="GOI98" s="769"/>
      <c r="GOJ98" s="769"/>
      <c r="GOK98" s="769"/>
      <c r="GOL98" s="769"/>
      <c r="GOM98" s="769"/>
      <c r="GON98" s="769"/>
      <c r="GOO98" s="769"/>
      <c r="GOP98" s="769"/>
      <c r="GOQ98" s="769"/>
      <c r="GOR98" s="769"/>
      <c r="GOS98" s="769"/>
      <c r="GOT98" s="769"/>
      <c r="GOU98" s="769"/>
      <c r="GOV98" s="769"/>
      <c r="GOW98" s="769"/>
      <c r="GOX98" s="769"/>
      <c r="GOY98" s="769"/>
      <c r="GOZ98" s="769"/>
      <c r="GPA98" s="769"/>
      <c r="GPB98" s="769"/>
      <c r="GPC98" s="769"/>
      <c r="GPD98" s="769"/>
      <c r="GPE98" s="769"/>
      <c r="GPF98" s="769"/>
      <c r="GPG98" s="769"/>
      <c r="GPH98" s="769"/>
      <c r="GPI98" s="769"/>
      <c r="GPJ98" s="769"/>
      <c r="GPK98" s="769"/>
      <c r="GPL98" s="769"/>
      <c r="GPM98" s="769"/>
      <c r="GPN98" s="769"/>
      <c r="GPO98" s="769"/>
      <c r="GPP98" s="769"/>
      <c r="GPQ98" s="769"/>
      <c r="GPR98" s="769"/>
      <c r="GPS98" s="769"/>
      <c r="GPT98" s="769"/>
      <c r="GPU98" s="769"/>
      <c r="GPV98" s="769"/>
      <c r="GPW98" s="769"/>
      <c r="GPX98" s="769"/>
      <c r="GPY98" s="769"/>
      <c r="GPZ98" s="769"/>
      <c r="GQA98" s="769"/>
      <c r="GQB98" s="769"/>
      <c r="GQC98" s="769"/>
      <c r="GQD98" s="769"/>
      <c r="GQE98" s="769"/>
      <c r="GQF98" s="769"/>
      <c r="GQG98" s="769"/>
      <c r="GQH98" s="769"/>
      <c r="GQI98" s="769"/>
      <c r="GQJ98" s="769"/>
      <c r="GQK98" s="769"/>
      <c r="GQL98" s="769"/>
      <c r="GQM98" s="769"/>
      <c r="GQN98" s="769"/>
      <c r="GQO98" s="769"/>
      <c r="GQP98" s="769"/>
      <c r="GQQ98" s="769"/>
      <c r="GQR98" s="769"/>
      <c r="GQS98" s="769"/>
      <c r="GQT98" s="769"/>
      <c r="GQU98" s="769"/>
      <c r="GQV98" s="769"/>
      <c r="GQW98" s="769"/>
      <c r="GQX98" s="769"/>
      <c r="GQY98" s="769"/>
      <c r="GQZ98" s="769"/>
      <c r="GRA98" s="769"/>
      <c r="GRB98" s="769"/>
      <c r="GRC98" s="769"/>
      <c r="GRD98" s="769"/>
      <c r="GRE98" s="769"/>
      <c r="GRF98" s="769"/>
      <c r="GRG98" s="769"/>
      <c r="GRH98" s="769"/>
      <c r="GRI98" s="769"/>
      <c r="GRJ98" s="769"/>
      <c r="GRK98" s="769"/>
      <c r="GRL98" s="769"/>
      <c r="GRM98" s="769"/>
      <c r="GRN98" s="769"/>
      <c r="GRO98" s="769"/>
      <c r="GRP98" s="769"/>
      <c r="GRQ98" s="769"/>
      <c r="GRR98" s="769"/>
      <c r="GRS98" s="769"/>
      <c r="GRT98" s="769"/>
      <c r="GRU98" s="769"/>
      <c r="GRV98" s="769"/>
      <c r="GRW98" s="769"/>
      <c r="GRX98" s="769"/>
      <c r="GRY98" s="769"/>
      <c r="GRZ98" s="769"/>
      <c r="GSA98" s="769"/>
      <c r="GSB98" s="769"/>
      <c r="GSC98" s="769"/>
      <c r="GSD98" s="769"/>
      <c r="GSE98" s="769"/>
      <c r="GSF98" s="769"/>
      <c r="GSG98" s="769"/>
      <c r="GSH98" s="769"/>
      <c r="GSI98" s="769"/>
      <c r="GSJ98" s="769"/>
      <c r="GSK98" s="769"/>
      <c r="GSL98" s="769"/>
      <c r="GSM98" s="769"/>
      <c r="GSN98" s="769"/>
      <c r="GSO98" s="769"/>
      <c r="GSP98" s="769"/>
      <c r="GSQ98" s="769"/>
      <c r="GSR98" s="769"/>
      <c r="GSS98" s="769"/>
      <c r="GST98" s="769"/>
      <c r="GSU98" s="769"/>
      <c r="GSV98" s="769"/>
      <c r="GSW98" s="769"/>
      <c r="GSX98" s="769"/>
      <c r="GSY98" s="769"/>
      <c r="GSZ98" s="769"/>
      <c r="GTA98" s="769"/>
      <c r="GTB98" s="769"/>
      <c r="GTC98" s="769"/>
      <c r="GTD98" s="769"/>
      <c r="GTE98" s="769"/>
      <c r="GTF98" s="769"/>
      <c r="GTG98" s="769"/>
      <c r="GTH98" s="769"/>
      <c r="GTI98" s="769"/>
      <c r="GTJ98" s="769"/>
      <c r="GTK98" s="769"/>
      <c r="GTL98" s="769"/>
      <c r="GTM98" s="769"/>
      <c r="GTN98" s="769"/>
      <c r="GTO98" s="769"/>
      <c r="GTP98" s="769"/>
      <c r="GTQ98" s="769"/>
      <c r="GTR98" s="769"/>
      <c r="GTS98" s="769"/>
      <c r="GTT98" s="769"/>
      <c r="GTU98" s="769"/>
      <c r="GTV98" s="769"/>
      <c r="GTW98" s="769"/>
      <c r="GTX98" s="769"/>
      <c r="GTY98" s="769"/>
      <c r="GTZ98" s="769"/>
      <c r="GUA98" s="769"/>
      <c r="GUB98" s="769"/>
      <c r="GUC98" s="769"/>
      <c r="GUD98" s="769"/>
      <c r="GUE98" s="769"/>
      <c r="GUF98" s="769"/>
      <c r="GUG98" s="769"/>
      <c r="GUH98" s="769"/>
      <c r="GUI98" s="769"/>
      <c r="GUJ98" s="769"/>
      <c r="GUK98" s="769"/>
      <c r="GUL98" s="769"/>
      <c r="GUM98" s="769"/>
      <c r="GUN98" s="769"/>
      <c r="GUO98" s="769"/>
      <c r="GUP98" s="769"/>
      <c r="GUQ98" s="769"/>
      <c r="GUR98" s="769"/>
      <c r="GUS98" s="769"/>
      <c r="GUT98" s="769"/>
      <c r="GUU98" s="769"/>
      <c r="GUV98" s="769"/>
      <c r="GUW98" s="769"/>
      <c r="GUX98" s="769"/>
      <c r="GUY98" s="769"/>
      <c r="GUZ98" s="769"/>
      <c r="GVA98" s="769"/>
      <c r="GVB98" s="769"/>
      <c r="GVC98" s="769"/>
      <c r="GVD98" s="769"/>
      <c r="GVE98" s="769"/>
      <c r="GVF98" s="769"/>
      <c r="GVG98" s="769"/>
      <c r="GVH98" s="769"/>
      <c r="GVI98" s="769"/>
      <c r="GVJ98" s="769"/>
      <c r="GVK98" s="769"/>
      <c r="GVL98" s="769"/>
      <c r="GVM98" s="769"/>
      <c r="GVN98" s="769"/>
      <c r="GVO98" s="769"/>
      <c r="GVP98" s="769"/>
      <c r="GVQ98" s="769"/>
      <c r="GVR98" s="769"/>
      <c r="GVS98" s="769"/>
      <c r="GVT98" s="769"/>
      <c r="GVU98" s="769"/>
      <c r="GVV98" s="769"/>
      <c r="GVW98" s="769"/>
      <c r="GVX98" s="769"/>
      <c r="GVY98" s="769"/>
      <c r="GVZ98" s="769"/>
      <c r="GWA98" s="769"/>
      <c r="GWB98" s="769"/>
      <c r="GWC98" s="769"/>
      <c r="GWD98" s="769"/>
      <c r="GWE98" s="769"/>
      <c r="GWF98" s="769"/>
      <c r="GWG98" s="769"/>
      <c r="GWH98" s="769"/>
      <c r="GWI98" s="769"/>
      <c r="GWJ98" s="769"/>
      <c r="GWK98" s="769"/>
      <c r="GWL98" s="769"/>
      <c r="GWM98" s="769"/>
      <c r="GWN98" s="769"/>
      <c r="GWO98" s="769"/>
      <c r="GWP98" s="769"/>
      <c r="GWQ98" s="769"/>
      <c r="GWR98" s="769"/>
      <c r="GWS98" s="769"/>
      <c r="GWT98" s="769"/>
      <c r="GWU98" s="769"/>
      <c r="GWV98" s="769"/>
      <c r="GWW98" s="769"/>
      <c r="GWX98" s="769"/>
      <c r="GWY98" s="769"/>
      <c r="GWZ98" s="769"/>
      <c r="GXA98" s="769"/>
      <c r="GXB98" s="769"/>
      <c r="GXC98" s="769"/>
      <c r="GXD98" s="769"/>
      <c r="GXE98" s="769"/>
      <c r="GXF98" s="769"/>
      <c r="GXG98" s="769"/>
      <c r="GXH98" s="769"/>
      <c r="GXI98" s="769"/>
      <c r="GXJ98" s="769"/>
      <c r="GXK98" s="769"/>
      <c r="GXL98" s="769"/>
      <c r="GXM98" s="769"/>
      <c r="GXN98" s="769"/>
      <c r="GXO98" s="769"/>
      <c r="GXP98" s="769"/>
      <c r="GXQ98" s="769"/>
      <c r="GXR98" s="769"/>
      <c r="GXS98" s="769"/>
      <c r="GXT98" s="769"/>
      <c r="GXU98" s="769"/>
      <c r="GXV98" s="769"/>
      <c r="GXW98" s="769"/>
      <c r="GXX98" s="769"/>
      <c r="GXY98" s="769"/>
      <c r="GXZ98" s="769"/>
      <c r="GYA98" s="769"/>
      <c r="GYB98" s="769"/>
      <c r="GYC98" s="769"/>
      <c r="GYD98" s="769"/>
      <c r="GYE98" s="769"/>
      <c r="GYF98" s="769"/>
      <c r="GYG98" s="769"/>
      <c r="GYH98" s="769"/>
      <c r="GYI98" s="769"/>
      <c r="GYJ98" s="769"/>
      <c r="GYK98" s="769"/>
      <c r="GYL98" s="769"/>
      <c r="GYM98" s="769"/>
      <c r="GYN98" s="769"/>
      <c r="GYO98" s="769"/>
      <c r="GYP98" s="769"/>
      <c r="GYQ98" s="769"/>
      <c r="GYR98" s="769"/>
      <c r="GYS98" s="769"/>
      <c r="GYT98" s="769"/>
      <c r="GYU98" s="769"/>
      <c r="GYV98" s="769"/>
      <c r="GYW98" s="769"/>
      <c r="GYX98" s="769"/>
      <c r="GYY98" s="769"/>
      <c r="GYZ98" s="769"/>
      <c r="GZA98" s="769"/>
      <c r="GZB98" s="769"/>
      <c r="GZC98" s="769"/>
      <c r="GZD98" s="769"/>
      <c r="GZE98" s="769"/>
      <c r="GZF98" s="769"/>
      <c r="GZG98" s="769"/>
      <c r="GZH98" s="769"/>
      <c r="GZI98" s="769"/>
      <c r="GZJ98" s="769"/>
      <c r="GZK98" s="769"/>
      <c r="GZL98" s="769"/>
      <c r="GZM98" s="769"/>
      <c r="GZN98" s="769"/>
      <c r="GZO98" s="769"/>
      <c r="GZP98" s="769"/>
      <c r="GZQ98" s="769"/>
      <c r="GZR98" s="769"/>
      <c r="GZS98" s="769"/>
      <c r="GZT98" s="769"/>
      <c r="GZU98" s="769"/>
      <c r="GZV98" s="769"/>
      <c r="GZW98" s="769"/>
      <c r="GZX98" s="769"/>
      <c r="GZY98" s="769"/>
      <c r="GZZ98" s="769"/>
      <c r="HAA98" s="769"/>
      <c r="HAB98" s="769"/>
      <c r="HAC98" s="769"/>
      <c r="HAD98" s="769"/>
      <c r="HAE98" s="769"/>
      <c r="HAF98" s="769"/>
      <c r="HAG98" s="769"/>
      <c r="HAH98" s="769"/>
      <c r="HAI98" s="769"/>
      <c r="HAJ98" s="769"/>
      <c r="HAK98" s="769"/>
      <c r="HAL98" s="769"/>
      <c r="HAM98" s="769"/>
      <c r="HAN98" s="769"/>
      <c r="HAO98" s="769"/>
      <c r="HAP98" s="769"/>
      <c r="HAQ98" s="769"/>
      <c r="HAR98" s="769"/>
      <c r="HAS98" s="769"/>
      <c r="HAT98" s="769"/>
      <c r="HAU98" s="769"/>
      <c r="HAV98" s="769"/>
      <c r="HAW98" s="769"/>
      <c r="HAX98" s="769"/>
      <c r="HAY98" s="769"/>
      <c r="HAZ98" s="769"/>
      <c r="HBA98" s="769"/>
      <c r="HBB98" s="769"/>
      <c r="HBC98" s="769"/>
      <c r="HBD98" s="769"/>
      <c r="HBE98" s="769"/>
      <c r="HBF98" s="769"/>
      <c r="HBG98" s="769"/>
      <c r="HBH98" s="769"/>
      <c r="HBI98" s="769"/>
      <c r="HBJ98" s="769"/>
      <c r="HBK98" s="769"/>
      <c r="HBL98" s="769"/>
      <c r="HBM98" s="769"/>
      <c r="HBN98" s="769"/>
      <c r="HBO98" s="769"/>
      <c r="HBP98" s="769"/>
      <c r="HBQ98" s="769"/>
      <c r="HBR98" s="769"/>
      <c r="HBS98" s="769"/>
      <c r="HBT98" s="769"/>
      <c r="HBU98" s="769"/>
      <c r="HBV98" s="769"/>
      <c r="HBW98" s="769"/>
      <c r="HBX98" s="769"/>
      <c r="HBY98" s="769"/>
      <c r="HBZ98" s="769"/>
      <c r="HCA98" s="769"/>
      <c r="HCB98" s="769"/>
      <c r="HCC98" s="769"/>
      <c r="HCD98" s="769"/>
      <c r="HCE98" s="769"/>
      <c r="HCF98" s="769"/>
      <c r="HCG98" s="769"/>
      <c r="HCH98" s="769"/>
      <c r="HCI98" s="769"/>
      <c r="HCJ98" s="769"/>
      <c r="HCK98" s="769"/>
      <c r="HCL98" s="769"/>
      <c r="HCM98" s="769"/>
      <c r="HCN98" s="769"/>
      <c r="HCO98" s="769"/>
      <c r="HCP98" s="769"/>
      <c r="HCQ98" s="769"/>
      <c r="HCR98" s="769"/>
      <c r="HCS98" s="769"/>
      <c r="HCT98" s="769"/>
      <c r="HCU98" s="769"/>
      <c r="HCV98" s="769"/>
      <c r="HCW98" s="769"/>
      <c r="HCX98" s="769"/>
      <c r="HCY98" s="769"/>
      <c r="HCZ98" s="769"/>
      <c r="HDA98" s="769"/>
      <c r="HDB98" s="769"/>
      <c r="HDC98" s="769"/>
      <c r="HDD98" s="769"/>
      <c r="HDE98" s="769"/>
      <c r="HDF98" s="769"/>
      <c r="HDG98" s="769"/>
      <c r="HDH98" s="769"/>
      <c r="HDI98" s="769"/>
      <c r="HDJ98" s="769"/>
      <c r="HDK98" s="769"/>
      <c r="HDL98" s="769"/>
      <c r="HDM98" s="769"/>
      <c r="HDN98" s="769"/>
      <c r="HDO98" s="769"/>
      <c r="HDP98" s="769"/>
      <c r="HDQ98" s="769"/>
      <c r="HDR98" s="769"/>
      <c r="HDS98" s="769"/>
      <c r="HDT98" s="769"/>
      <c r="HDU98" s="769"/>
      <c r="HDV98" s="769"/>
      <c r="HDW98" s="769"/>
      <c r="HDX98" s="769"/>
      <c r="HDY98" s="769"/>
      <c r="HDZ98" s="769"/>
      <c r="HEA98" s="769"/>
      <c r="HEB98" s="769"/>
      <c r="HEC98" s="769"/>
      <c r="HED98" s="769"/>
      <c r="HEE98" s="769"/>
      <c r="HEF98" s="769"/>
      <c r="HEG98" s="769"/>
      <c r="HEH98" s="769"/>
      <c r="HEI98" s="769"/>
      <c r="HEJ98" s="769"/>
      <c r="HEK98" s="769"/>
      <c r="HEL98" s="769"/>
      <c r="HEM98" s="769"/>
      <c r="HEN98" s="769"/>
      <c r="HEO98" s="769"/>
      <c r="HEP98" s="769"/>
      <c r="HEQ98" s="769"/>
      <c r="HER98" s="769"/>
      <c r="HES98" s="769"/>
      <c r="HET98" s="769"/>
      <c r="HEU98" s="769"/>
      <c r="HEV98" s="769"/>
      <c r="HEW98" s="769"/>
      <c r="HEX98" s="769"/>
      <c r="HEY98" s="769"/>
      <c r="HEZ98" s="769"/>
      <c r="HFA98" s="769"/>
      <c r="HFB98" s="769"/>
      <c r="HFC98" s="769"/>
      <c r="HFD98" s="769"/>
      <c r="HFE98" s="769"/>
      <c r="HFF98" s="769"/>
      <c r="HFG98" s="769"/>
      <c r="HFH98" s="769"/>
      <c r="HFI98" s="769"/>
      <c r="HFJ98" s="769"/>
      <c r="HFK98" s="769"/>
      <c r="HFL98" s="769"/>
      <c r="HFM98" s="769"/>
      <c r="HFN98" s="769"/>
      <c r="HFO98" s="769"/>
      <c r="HFP98" s="769"/>
      <c r="HFQ98" s="769"/>
      <c r="HFR98" s="769"/>
      <c r="HFS98" s="769"/>
      <c r="HFT98" s="769"/>
      <c r="HFU98" s="769"/>
      <c r="HFV98" s="769"/>
      <c r="HFW98" s="769"/>
      <c r="HFX98" s="769"/>
      <c r="HFY98" s="769"/>
      <c r="HFZ98" s="769"/>
      <c r="HGA98" s="769"/>
      <c r="HGB98" s="769"/>
      <c r="HGC98" s="769"/>
      <c r="HGD98" s="769"/>
      <c r="HGE98" s="769"/>
      <c r="HGF98" s="769"/>
      <c r="HGG98" s="769"/>
      <c r="HGH98" s="769"/>
      <c r="HGI98" s="769"/>
      <c r="HGJ98" s="769"/>
      <c r="HGK98" s="769"/>
      <c r="HGL98" s="769"/>
      <c r="HGM98" s="769"/>
      <c r="HGN98" s="769"/>
      <c r="HGO98" s="769"/>
      <c r="HGP98" s="769"/>
      <c r="HGQ98" s="769"/>
      <c r="HGR98" s="769"/>
      <c r="HGS98" s="769"/>
      <c r="HGT98" s="769"/>
      <c r="HGU98" s="769"/>
      <c r="HGV98" s="769"/>
      <c r="HGW98" s="769"/>
      <c r="HGX98" s="769"/>
      <c r="HGY98" s="769"/>
      <c r="HGZ98" s="769"/>
      <c r="HHA98" s="769"/>
      <c r="HHB98" s="769"/>
      <c r="HHC98" s="769"/>
      <c r="HHD98" s="769"/>
      <c r="HHE98" s="769"/>
      <c r="HHF98" s="769"/>
      <c r="HHG98" s="769"/>
      <c r="HHH98" s="769"/>
      <c r="HHI98" s="769"/>
      <c r="HHJ98" s="769"/>
      <c r="HHK98" s="769"/>
      <c r="HHL98" s="769"/>
      <c r="HHM98" s="769"/>
      <c r="HHN98" s="769"/>
      <c r="HHO98" s="769"/>
      <c r="HHP98" s="769"/>
      <c r="HHQ98" s="769"/>
      <c r="HHR98" s="769"/>
      <c r="HHS98" s="769"/>
      <c r="HHT98" s="769"/>
      <c r="HHU98" s="769"/>
      <c r="HHV98" s="769"/>
      <c r="HHW98" s="769"/>
      <c r="HHX98" s="769"/>
      <c r="HHY98" s="769"/>
      <c r="HHZ98" s="769"/>
      <c r="HIA98" s="769"/>
      <c r="HIB98" s="769"/>
      <c r="HIC98" s="769"/>
      <c r="HID98" s="769"/>
      <c r="HIE98" s="769"/>
      <c r="HIF98" s="769"/>
      <c r="HIG98" s="769"/>
      <c r="HIH98" s="769"/>
      <c r="HII98" s="769"/>
      <c r="HIJ98" s="769"/>
      <c r="HIK98" s="769"/>
      <c r="HIL98" s="769"/>
      <c r="HIM98" s="769"/>
      <c r="HIN98" s="769"/>
      <c r="HIO98" s="769"/>
      <c r="HIP98" s="769"/>
      <c r="HIQ98" s="769"/>
      <c r="HIR98" s="769"/>
      <c r="HIS98" s="769"/>
      <c r="HIT98" s="769"/>
      <c r="HIU98" s="769"/>
      <c r="HIV98" s="769"/>
      <c r="HIW98" s="769"/>
      <c r="HIX98" s="769"/>
      <c r="HIY98" s="769"/>
      <c r="HIZ98" s="769"/>
      <c r="HJA98" s="769"/>
      <c r="HJB98" s="769"/>
      <c r="HJC98" s="769"/>
      <c r="HJD98" s="769"/>
      <c r="HJE98" s="769"/>
      <c r="HJF98" s="769"/>
      <c r="HJG98" s="769"/>
      <c r="HJH98" s="769"/>
      <c r="HJI98" s="769"/>
      <c r="HJJ98" s="769"/>
      <c r="HJK98" s="769"/>
      <c r="HJL98" s="769"/>
      <c r="HJM98" s="769"/>
      <c r="HJN98" s="769"/>
      <c r="HJO98" s="769"/>
      <c r="HJP98" s="769"/>
      <c r="HJQ98" s="769"/>
      <c r="HJR98" s="769"/>
      <c r="HJS98" s="769"/>
      <c r="HJT98" s="769"/>
      <c r="HJU98" s="769"/>
      <c r="HJV98" s="769"/>
      <c r="HJW98" s="769"/>
      <c r="HJX98" s="769"/>
      <c r="HJY98" s="769"/>
      <c r="HJZ98" s="769"/>
      <c r="HKA98" s="769"/>
      <c r="HKB98" s="769"/>
      <c r="HKC98" s="769"/>
      <c r="HKD98" s="769"/>
      <c r="HKE98" s="769"/>
      <c r="HKF98" s="769"/>
      <c r="HKG98" s="769"/>
      <c r="HKH98" s="769"/>
      <c r="HKI98" s="769"/>
      <c r="HKJ98" s="769"/>
      <c r="HKK98" s="769"/>
      <c r="HKL98" s="769"/>
      <c r="HKM98" s="769"/>
      <c r="HKN98" s="769"/>
      <c r="HKO98" s="769"/>
      <c r="HKP98" s="769"/>
      <c r="HKQ98" s="769"/>
      <c r="HKR98" s="769"/>
      <c r="HKS98" s="769"/>
      <c r="HKT98" s="769"/>
      <c r="HKU98" s="769"/>
      <c r="HKV98" s="769"/>
      <c r="HKW98" s="769"/>
      <c r="HKX98" s="769"/>
      <c r="HKY98" s="769"/>
      <c r="HKZ98" s="769"/>
      <c r="HLA98" s="769"/>
      <c r="HLB98" s="769"/>
      <c r="HLC98" s="769"/>
      <c r="HLD98" s="769"/>
      <c r="HLE98" s="769"/>
      <c r="HLF98" s="769"/>
      <c r="HLG98" s="769"/>
      <c r="HLH98" s="769"/>
      <c r="HLI98" s="769"/>
      <c r="HLJ98" s="769"/>
      <c r="HLK98" s="769"/>
      <c r="HLL98" s="769"/>
      <c r="HLM98" s="769"/>
      <c r="HLN98" s="769"/>
      <c r="HLO98" s="769"/>
      <c r="HLP98" s="769"/>
      <c r="HLQ98" s="769"/>
      <c r="HLR98" s="769"/>
      <c r="HLS98" s="769"/>
      <c r="HLT98" s="769"/>
      <c r="HLU98" s="769"/>
      <c r="HLV98" s="769"/>
      <c r="HLW98" s="769"/>
      <c r="HLX98" s="769"/>
      <c r="HLY98" s="769"/>
      <c r="HLZ98" s="769"/>
      <c r="HMA98" s="769"/>
      <c r="HMB98" s="769"/>
      <c r="HMC98" s="769"/>
      <c r="HMD98" s="769"/>
      <c r="HME98" s="769"/>
      <c r="HMF98" s="769"/>
      <c r="HMG98" s="769"/>
      <c r="HMH98" s="769"/>
      <c r="HMI98" s="769"/>
      <c r="HMJ98" s="769"/>
      <c r="HMK98" s="769"/>
      <c r="HML98" s="769"/>
      <c r="HMM98" s="769"/>
      <c r="HMN98" s="769"/>
      <c r="HMO98" s="769"/>
      <c r="HMP98" s="769"/>
      <c r="HMQ98" s="769"/>
      <c r="HMR98" s="769"/>
      <c r="HMS98" s="769"/>
      <c r="HMT98" s="769"/>
      <c r="HMU98" s="769"/>
      <c r="HMV98" s="769"/>
      <c r="HMW98" s="769"/>
      <c r="HMX98" s="769"/>
      <c r="HMY98" s="769"/>
      <c r="HMZ98" s="769"/>
      <c r="HNA98" s="769"/>
      <c r="HNB98" s="769"/>
      <c r="HNC98" s="769"/>
      <c r="HND98" s="769"/>
      <c r="HNE98" s="769"/>
      <c r="HNF98" s="769"/>
      <c r="HNG98" s="769"/>
      <c r="HNH98" s="769"/>
      <c r="HNI98" s="769"/>
      <c r="HNJ98" s="769"/>
      <c r="HNK98" s="769"/>
      <c r="HNL98" s="769"/>
      <c r="HNM98" s="769"/>
      <c r="HNN98" s="769"/>
      <c r="HNO98" s="769"/>
      <c r="HNP98" s="769"/>
      <c r="HNQ98" s="769"/>
      <c r="HNR98" s="769"/>
      <c r="HNS98" s="769"/>
      <c r="HNT98" s="769"/>
      <c r="HNU98" s="769"/>
      <c r="HNV98" s="769"/>
      <c r="HNW98" s="769"/>
      <c r="HNX98" s="769"/>
      <c r="HNY98" s="769"/>
      <c r="HNZ98" s="769"/>
      <c r="HOA98" s="769"/>
      <c r="HOB98" s="769"/>
      <c r="HOC98" s="769"/>
      <c r="HOD98" s="769"/>
      <c r="HOE98" s="769"/>
      <c r="HOF98" s="769"/>
      <c r="HOG98" s="769"/>
      <c r="HOH98" s="769"/>
      <c r="HOI98" s="769"/>
      <c r="HOJ98" s="769"/>
      <c r="HOK98" s="769"/>
      <c r="HOL98" s="769"/>
      <c r="HOM98" s="769"/>
      <c r="HON98" s="769"/>
      <c r="HOO98" s="769"/>
      <c r="HOP98" s="769"/>
      <c r="HOQ98" s="769"/>
      <c r="HOR98" s="769"/>
      <c r="HOS98" s="769"/>
      <c r="HOT98" s="769"/>
      <c r="HOU98" s="769"/>
      <c r="HOV98" s="769"/>
      <c r="HOW98" s="769"/>
      <c r="HOX98" s="769"/>
      <c r="HOY98" s="769"/>
      <c r="HOZ98" s="769"/>
      <c r="HPA98" s="769"/>
      <c r="HPB98" s="769"/>
      <c r="HPC98" s="769"/>
      <c r="HPD98" s="769"/>
      <c r="HPE98" s="769"/>
      <c r="HPF98" s="769"/>
      <c r="HPG98" s="769"/>
      <c r="HPH98" s="769"/>
      <c r="HPI98" s="769"/>
      <c r="HPJ98" s="769"/>
      <c r="HPK98" s="769"/>
      <c r="HPL98" s="769"/>
      <c r="HPM98" s="769"/>
      <c r="HPN98" s="769"/>
      <c r="HPO98" s="769"/>
      <c r="HPP98" s="769"/>
      <c r="HPQ98" s="769"/>
      <c r="HPR98" s="769"/>
      <c r="HPS98" s="769"/>
      <c r="HPT98" s="769"/>
      <c r="HPU98" s="769"/>
      <c r="HPV98" s="769"/>
      <c r="HPW98" s="769"/>
      <c r="HPX98" s="769"/>
      <c r="HPY98" s="769"/>
      <c r="HPZ98" s="769"/>
      <c r="HQA98" s="769"/>
      <c r="HQB98" s="769"/>
      <c r="HQC98" s="769"/>
      <c r="HQD98" s="769"/>
      <c r="HQE98" s="769"/>
      <c r="HQF98" s="769"/>
      <c r="HQG98" s="769"/>
      <c r="HQH98" s="769"/>
      <c r="HQI98" s="769"/>
      <c r="HQJ98" s="769"/>
      <c r="HQK98" s="769"/>
      <c r="HQL98" s="769"/>
      <c r="HQM98" s="769"/>
      <c r="HQN98" s="769"/>
      <c r="HQO98" s="769"/>
      <c r="HQP98" s="769"/>
      <c r="HQQ98" s="769"/>
      <c r="HQR98" s="769"/>
      <c r="HQS98" s="769"/>
      <c r="HQT98" s="769"/>
      <c r="HQU98" s="769"/>
      <c r="HQV98" s="769"/>
      <c r="HQW98" s="769"/>
      <c r="HQX98" s="769"/>
      <c r="HQY98" s="769"/>
      <c r="HQZ98" s="769"/>
      <c r="HRA98" s="769"/>
      <c r="HRB98" s="769"/>
      <c r="HRC98" s="769"/>
      <c r="HRD98" s="769"/>
      <c r="HRE98" s="769"/>
      <c r="HRF98" s="769"/>
      <c r="HRG98" s="769"/>
      <c r="HRH98" s="769"/>
      <c r="HRI98" s="769"/>
      <c r="HRJ98" s="769"/>
      <c r="HRK98" s="769"/>
      <c r="HRL98" s="769"/>
      <c r="HRM98" s="769"/>
      <c r="HRN98" s="769"/>
      <c r="HRO98" s="769"/>
      <c r="HRP98" s="769"/>
      <c r="HRQ98" s="769"/>
      <c r="HRR98" s="769"/>
      <c r="HRS98" s="769"/>
      <c r="HRT98" s="769"/>
      <c r="HRU98" s="769"/>
      <c r="HRV98" s="769"/>
      <c r="HRW98" s="769"/>
      <c r="HRX98" s="769"/>
      <c r="HRY98" s="769"/>
      <c r="HRZ98" s="769"/>
      <c r="HSA98" s="769"/>
      <c r="HSB98" s="769"/>
      <c r="HSC98" s="769"/>
      <c r="HSD98" s="769"/>
      <c r="HSE98" s="769"/>
      <c r="HSF98" s="769"/>
      <c r="HSG98" s="769"/>
      <c r="HSH98" s="769"/>
      <c r="HSI98" s="769"/>
      <c r="HSJ98" s="769"/>
      <c r="HSK98" s="769"/>
      <c r="HSL98" s="769"/>
      <c r="HSM98" s="769"/>
      <c r="HSN98" s="769"/>
      <c r="HSO98" s="769"/>
      <c r="HSP98" s="769"/>
      <c r="HSQ98" s="769"/>
      <c r="HSR98" s="769"/>
      <c r="HSS98" s="769"/>
      <c r="HST98" s="769"/>
      <c r="HSU98" s="769"/>
      <c r="HSV98" s="769"/>
      <c r="HSW98" s="769"/>
      <c r="HSX98" s="769"/>
      <c r="HSY98" s="769"/>
      <c r="HSZ98" s="769"/>
      <c r="HTA98" s="769"/>
      <c r="HTB98" s="769"/>
      <c r="HTC98" s="769"/>
      <c r="HTD98" s="769"/>
      <c r="HTE98" s="769"/>
      <c r="HTF98" s="769"/>
      <c r="HTG98" s="769"/>
      <c r="HTH98" s="769"/>
      <c r="HTI98" s="769"/>
      <c r="HTJ98" s="769"/>
      <c r="HTK98" s="769"/>
      <c r="HTL98" s="769"/>
      <c r="HTM98" s="769"/>
      <c r="HTN98" s="769"/>
      <c r="HTO98" s="769"/>
      <c r="HTP98" s="769"/>
      <c r="HTQ98" s="769"/>
      <c r="HTR98" s="769"/>
      <c r="HTS98" s="769"/>
      <c r="HTT98" s="769"/>
      <c r="HTU98" s="769"/>
      <c r="HTV98" s="769"/>
      <c r="HTW98" s="769"/>
      <c r="HTX98" s="769"/>
      <c r="HTY98" s="769"/>
      <c r="HTZ98" s="769"/>
      <c r="HUA98" s="769"/>
      <c r="HUB98" s="769"/>
      <c r="HUC98" s="769"/>
      <c r="HUD98" s="769"/>
      <c r="HUE98" s="769"/>
      <c r="HUF98" s="769"/>
      <c r="HUG98" s="769"/>
      <c r="HUH98" s="769"/>
      <c r="HUI98" s="769"/>
      <c r="HUJ98" s="769"/>
      <c r="HUK98" s="769"/>
      <c r="HUL98" s="769"/>
      <c r="HUM98" s="769"/>
      <c r="HUN98" s="769"/>
      <c r="HUO98" s="769"/>
      <c r="HUP98" s="769"/>
      <c r="HUQ98" s="769"/>
      <c r="HUR98" s="769"/>
      <c r="HUS98" s="769"/>
      <c r="HUT98" s="769"/>
      <c r="HUU98" s="769"/>
      <c r="HUV98" s="769"/>
      <c r="HUW98" s="769"/>
      <c r="HUX98" s="769"/>
      <c r="HUY98" s="769"/>
      <c r="HUZ98" s="769"/>
      <c r="HVA98" s="769"/>
      <c r="HVB98" s="769"/>
      <c r="HVC98" s="769"/>
      <c r="HVD98" s="769"/>
      <c r="HVE98" s="769"/>
      <c r="HVF98" s="769"/>
      <c r="HVG98" s="769"/>
      <c r="HVH98" s="769"/>
      <c r="HVI98" s="769"/>
      <c r="HVJ98" s="769"/>
      <c r="HVK98" s="769"/>
      <c r="HVL98" s="769"/>
      <c r="HVM98" s="769"/>
      <c r="HVN98" s="769"/>
      <c r="HVO98" s="769"/>
      <c r="HVP98" s="769"/>
      <c r="HVQ98" s="769"/>
      <c r="HVR98" s="769"/>
      <c r="HVS98" s="769"/>
      <c r="HVT98" s="769"/>
      <c r="HVU98" s="769"/>
      <c r="HVV98" s="769"/>
      <c r="HVW98" s="769"/>
      <c r="HVX98" s="769"/>
      <c r="HVY98" s="769"/>
      <c r="HVZ98" s="769"/>
      <c r="HWA98" s="769"/>
      <c r="HWB98" s="769"/>
      <c r="HWC98" s="769"/>
      <c r="HWD98" s="769"/>
      <c r="HWE98" s="769"/>
      <c r="HWF98" s="769"/>
      <c r="HWG98" s="769"/>
      <c r="HWH98" s="769"/>
      <c r="HWI98" s="769"/>
      <c r="HWJ98" s="769"/>
      <c r="HWK98" s="769"/>
      <c r="HWL98" s="769"/>
      <c r="HWM98" s="769"/>
      <c r="HWN98" s="769"/>
      <c r="HWO98" s="769"/>
      <c r="HWP98" s="769"/>
      <c r="HWQ98" s="769"/>
      <c r="HWR98" s="769"/>
      <c r="HWS98" s="769"/>
      <c r="HWT98" s="769"/>
      <c r="HWU98" s="769"/>
      <c r="HWV98" s="769"/>
      <c r="HWW98" s="769"/>
      <c r="HWX98" s="769"/>
      <c r="HWY98" s="769"/>
      <c r="HWZ98" s="769"/>
      <c r="HXA98" s="769"/>
      <c r="HXB98" s="769"/>
      <c r="HXC98" s="769"/>
      <c r="HXD98" s="769"/>
      <c r="HXE98" s="769"/>
      <c r="HXF98" s="769"/>
      <c r="HXG98" s="769"/>
      <c r="HXH98" s="769"/>
      <c r="HXI98" s="769"/>
      <c r="HXJ98" s="769"/>
      <c r="HXK98" s="769"/>
      <c r="HXL98" s="769"/>
      <c r="HXM98" s="769"/>
      <c r="HXN98" s="769"/>
      <c r="HXO98" s="769"/>
      <c r="HXP98" s="769"/>
      <c r="HXQ98" s="769"/>
      <c r="HXR98" s="769"/>
      <c r="HXS98" s="769"/>
      <c r="HXT98" s="769"/>
      <c r="HXU98" s="769"/>
      <c r="HXV98" s="769"/>
      <c r="HXW98" s="769"/>
      <c r="HXX98" s="769"/>
      <c r="HXY98" s="769"/>
      <c r="HXZ98" s="769"/>
      <c r="HYA98" s="769"/>
      <c r="HYB98" s="769"/>
      <c r="HYC98" s="769"/>
      <c r="HYD98" s="769"/>
      <c r="HYE98" s="769"/>
      <c r="HYF98" s="769"/>
      <c r="HYG98" s="769"/>
      <c r="HYH98" s="769"/>
      <c r="HYI98" s="769"/>
      <c r="HYJ98" s="769"/>
      <c r="HYK98" s="769"/>
      <c r="HYL98" s="769"/>
      <c r="HYM98" s="769"/>
      <c r="HYN98" s="769"/>
      <c r="HYO98" s="769"/>
      <c r="HYP98" s="769"/>
      <c r="HYQ98" s="769"/>
      <c r="HYR98" s="769"/>
      <c r="HYS98" s="769"/>
      <c r="HYT98" s="769"/>
      <c r="HYU98" s="769"/>
      <c r="HYV98" s="769"/>
      <c r="HYW98" s="769"/>
      <c r="HYX98" s="769"/>
      <c r="HYY98" s="769"/>
      <c r="HYZ98" s="769"/>
      <c r="HZA98" s="769"/>
      <c r="HZB98" s="769"/>
      <c r="HZC98" s="769"/>
      <c r="HZD98" s="769"/>
      <c r="HZE98" s="769"/>
      <c r="HZF98" s="769"/>
      <c r="HZG98" s="769"/>
      <c r="HZH98" s="769"/>
      <c r="HZI98" s="769"/>
      <c r="HZJ98" s="769"/>
      <c r="HZK98" s="769"/>
      <c r="HZL98" s="769"/>
      <c r="HZM98" s="769"/>
      <c r="HZN98" s="769"/>
      <c r="HZO98" s="769"/>
      <c r="HZP98" s="769"/>
      <c r="HZQ98" s="769"/>
      <c r="HZR98" s="769"/>
      <c r="HZS98" s="769"/>
      <c r="HZT98" s="769"/>
      <c r="HZU98" s="769"/>
      <c r="HZV98" s="769"/>
      <c r="HZW98" s="769"/>
      <c r="HZX98" s="769"/>
      <c r="HZY98" s="769"/>
      <c r="HZZ98" s="769"/>
      <c r="IAA98" s="769"/>
      <c r="IAB98" s="769"/>
      <c r="IAC98" s="769"/>
      <c r="IAD98" s="769"/>
      <c r="IAE98" s="769"/>
      <c r="IAF98" s="769"/>
      <c r="IAG98" s="769"/>
      <c r="IAH98" s="769"/>
      <c r="IAI98" s="769"/>
      <c r="IAJ98" s="769"/>
      <c r="IAK98" s="769"/>
      <c r="IAL98" s="769"/>
      <c r="IAM98" s="769"/>
      <c r="IAN98" s="769"/>
      <c r="IAO98" s="769"/>
      <c r="IAP98" s="769"/>
      <c r="IAQ98" s="769"/>
      <c r="IAR98" s="769"/>
      <c r="IAS98" s="769"/>
      <c r="IAT98" s="769"/>
      <c r="IAU98" s="769"/>
      <c r="IAV98" s="769"/>
      <c r="IAW98" s="769"/>
      <c r="IAX98" s="769"/>
      <c r="IAY98" s="769"/>
      <c r="IAZ98" s="769"/>
      <c r="IBA98" s="769"/>
      <c r="IBB98" s="769"/>
      <c r="IBC98" s="769"/>
      <c r="IBD98" s="769"/>
      <c r="IBE98" s="769"/>
      <c r="IBF98" s="769"/>
      <c r="IBG98" s="769"/>
      <c r="IBH98" s="769"/>
      <c r="IBI98" s="769"/>
      <c r="IBJ98" s="769"/>
      <c r="IBK98" s="769"/>
      <c r="IBL98" s="769"/>
      <c r="IBM98" s="769"/>
      <c r="IBN98" s="769"/>
      <c r="IBO98" s="769"/>
      <c r="IBP98" s="769"/>
      <c r="IBQ98" s="769"/>
      <c r="IBR98" s="769"/>
      <c r="IBS98" s="769"/>
      <c r="IBT98" s="769"/>
      <c r="IBU98" s="769"/>
      <c r="IBV98" s="769"/>
      <c r="IBW98" s="769"/>
      <c r="IBX98" s="769"/>
      <c r="IBY98" s="769"/>
      <c r="IBZ98" s="769"/>
      <c r="ICA98" s="769"/>
      <c r="ICB98" s="769"/>
      <c r="ICC98" s="769"/>
      <c r="ICD98" s="769"/>
      <c r="ICE98" s="769"/>
      <c r="ICF98" s="769"/>
      <c r="ICG98" s="769"/>
      <c r="ICH98" s="769"/>
      <c r="ICI98" s="769"/>
      <c r="ICJ98" s="769"/>
      <c r="ICK98" s="769"/>
      <c r="ICL98" s="769"/>
      <c r="ICM98" s="769"/>
      <c r="ICN98" s="769"/>
      <c r="ICO98" s="769"/>
      <c r="ICP98" s="769"/>
      <c r="ICQ98" s="769"/>
      <c r="ICR98" s="769"/>
      <c r="ICS98" s="769"/>
      <c r="ICT98" s="769"/>
      <c r="ICU98" s="769"/>
      <c r="ICV98" s="769"/>
      <c r="ICW98" s="769"/>
      <c r="ICX98" s="769"/>
      <c r="ICY98" s="769"/>
      <c r="ICZ98" s="769"/>
      <c r="IDA98" s="769"/>
      <c r="IDB98" s="769"/>
      <c r="IDC98" s="769"/>
      <c r="IDD98" s="769"/>
      <c r="IDE98" s="769"/>
      <c r="IDF98" s="769"/>
      <c r="IDG98" s="769"/>
      <c r="IDH98" s="769"/>
      <c r="IDI98" s="769"/>
      <c r="IDJ98" s="769"/>
      <c r="IDK98" s="769"/>
      <c r="IDL98" s="769"/>
      <c r="IDM98" s="769"/>
      <c r="IDN98" s="769"/>
      <c r="IDO98" s="769"/>
      <c r="IDP98" s="769"/>
      <c r="IDQ98" s="769"/>
      <c r="IDR98" s="769"/>
      <c r="IDS98" s="769"/>
      <c r="IDT98" s="769"/>
      <c r="IDU98" s="769"/>
      <c r="IDV98" s="769"/>
      <c r="IDW98" s="769"/>
      <c r="IDX98" s="769"/>
      <c r="IDY98" s="769"/>
      <c r="IDZ98" s="769"/>
      <c r="IEA98" s="769"/>
      <c r="IEB98" s="769"/>
      <c r="IEC98" s="769"/>
      <c r="IED98" s="769"/>
      <c r="IEE98" s="769"/>
      <c r="IEF98" s="769"/>
      <c r="IEG98" s="769"/>
      <c r="IEH98" s="769"/>
      <c r="IEI98" s="769"/>
      <c r="IEJ98" s="769"/>
      <c r="IEK98" s="769"/>
      <c r="IEL98" s="769"/>
      <c r="IEM98" s="769"/>
      <c r="IEN98" s="769"/>
      <c r="IEO98" s="769"/>
      <c r="IEP98" s="769"/>
      <c r="IEQ98" s="769"/>
      <c r="IER98" s="769"/>
      <c r="IES98" s="769"/>
      <c r="IET98" s="769"/>
      <c r="IEU98" s="769"/>
      <c r="IEV98" s="769"/>
      <c r="IEW98" s="769"/>
      <c r="IEX98" s="769"/>
      <c r="IEY98" s="769"/>
      <c r="IEZ98" s="769"/>
      <c r="IFA98" s="769"/>
      <c r="IFB98" s="769"/>
      <c r="IFC98" s="769"/>
      <c r="IFD98" s="769"/>
      <c r="IFE98" s="769"/>
      <c r="IFF98" s="769"/>
      <c r="IFG98" s="769"/>
      <c r="IFH98" s="769"/>
      <c r="IFI98" s="769"/>
      <c r="IFJ98" s="769"/>
      <c r="IFK98" s="769"/>
      <c r="IFL98" s="769"/>
      <c r="IFM98" s="769"/>
      <c r="IFN98" s="769"/>
      <c r="IFO98" s="769"/>
      <c r="IFP98" s="769"/>
      <c r="IFQ98" s="769"/>
      <c r="IFR98" s="769"/>
      <c r="IFS98" s="769"/>
      <c r="IFT98" s="769"/>
      <c r="IFU98" s="769"/>
      <c r="IFV98" s="769"/>
      <c r="IFW98" s="769"/>
      <c r="IFX98" s="769"/>
      <c r="IFY98" s="769"/>
      <c r="IFZ98" s="769"/>
      <c r="IGA98" s="769"/>
      <c r="IGB98" s="769"/>
      <c r="IGC98" s="769"/>
      <c r="IGD98" s="769"/>
      <c r="IGE98" s="769"/>
      <c r="IGF98" s="769"/>
      <c r="IGG98" s="769"/>
      <c r="IGH98" s="769"/>
      <c r="IGI98" s="769"/>
      <c r="IGJ98" s="769"/>
      <c r="IGK98" s="769"/>
      <c r="IGL98" s="769"/>
      <c r="IGM98" s="769"/>
      <c r="IGN98" s="769"/>
      <c r="IGO98" s="769"/>
      <c r="IGP98" s="769"/>
      <c r="IGQ98" s="769"/>
      <c r="IGR98" s="769"/>
      <c r="IGS98" s="769"/>
      <c r="IGT98" s="769"/>
      <c r="IGU98" s="769"/>
      <c r="IGV98" s="769"/>
      <c r="IGW98" s="769"/>
      <c r="IGX98" s="769"/>
      <c r="IGY98" s="769"/>
      <c r="IGZ98" s="769"/>
      <c r="IHA98" s="769"/>
      <c r="IHB98" s="769"/>
      <c r="IHC98" s="769"/>
      <c r="IHD98" s="769"/>
      <c r="IHE98" s="769"/>
      <c r="IHF98" s="769"/>
      <c r="IHG98" s="769"/>
      <c r="IHH98" s="769"/>
      <c r="IHI98" s="769"/>
      <c r="IHJ98" s="769"/>
      <c r="IHK98" s="769"/>
      <c r="IHL98" s="769"/>
      <c r="IHM98" s="769"/>
      <c r="IHN98" s="769"/>
      <c r="IHO98" s="769"/>
      <c r="IHP98" s="769"/>
      <c r="IHQ98" s="769"/>
      <c r="IHR98" s="769"/>
      <c r="IHS98" s="769"/>
      <c r="IHT98" s="769"/>
      <c r="IHU98" s="769"/>
      <c r="IHV98" s="769"/>
      <c r="IHW98" s="769"/>
      <c r="IHX98" s="769"/>
      <c r="IHY98" s="769"/>
      <c r="IHZ98" s="769"/>
      <c r="IIA98" s="769"/>
      <c r="IIB98" s="769"/>
      <c r="IIC98" s="769"/>
      <c r="IID98" s="769"/>
      <c r="IIE98" s="769"/>
      <c r="IIF98" s="769"/>
      <c r="IIG98" s="769"/>
      <c r="IIH98" s="769"/>
      <c r="III98" s="769"/>
      <c r="IIJ98" s="769"/>
      <c r="IIK98" s="769"/>
      <c r="IIL98" s="769"/>
      <c r="IIM98" s="769"/>
      <c r="IIN98" s="769"/>
      <c r="IIO98" s="769"/>
      <c r="IIP98" s="769"/>
      <c r="IIQ98" s="769"/>
      <c r="IIR98" s="769"/>
      <c r="IIS98" s="769"/>
      <c r="IIT98" s="769"/>
      <c r="IIU98" s="769"/>
      <c r="IIV98" s="769"/>
      <c r="IIW98" s="769"/>
      <c r="IIX98" s="769"/>
      <c r="IIY98" s="769"/>
      <c r="IIZ98" s="769"/>
      <c r="IJA98" s="769"/>
      <c r="IJB98" s="769"/>
      <c r="IJC98" s="769"/>
      <c r="IJD98" s="769"/>
      <c r="IJE98" s="769"/>
      <c r="IJF98" s="769"/>
      <c r="IJG98" s="769"/>
      <c r="IJH98" s="769"/>
      <c r="IJI98" s="769"/>
      <c r="IJJ98" s="769"/>
      <c r="IJK98" s="769"/>
      <c r="IJL98" s="769"/>
      <c r="IJM98" s="769"/>
      <c r="IJN98" s="769"/>
      <c r="IJO98" s="769"/>
      <c r="IJP98" s="769"/>
      <c r="IJQ98" s="769"/>
      <c r="IJR98" s="769"/>
      <c r="IJS98" s="769"/>
      <c r="IJT98" s="769"/>
      <c r="IJU98" s="769"/>
      <c r="IJV98" s="769"/>
      <c r="IJW98" s="769"/>
      <c r="IJX98" s="769"/>
      <c r="IJY98" s="769"/>
      <c r="IJZ98" s="769"/>
      <c r="IKA98" s="769"/>
      <c r="IKB98" s="769"/>
      <c r="IKC98" s="769"/>
      <c r="IKD98" s="769"/>
      <c r="IKE98" s="769"/>
      <c r="IKF98" s="769"/>
      <c r="IKG98" s="769"/>
      <c r="IKH98" s="769"/>
      <c r="IKI98" s="769"/>
      <c r="IKJ98" s="769"/>
      <c r="IKK98" s="769"/>
      <c r="IKL98" s="769"/>
      <c r="IKM98" s="769"/>
      <c r="IKN98" s="769"/>
      <c r="IKO98" s="769"/>
      <c r="IKP98" s="769"/>
      <c r="IKQ98" s="769"/>
      <c r="IKR98" s="769"/>
      <c r="IKS98" s="769"/>
      <c r="IKT98" s="769"/>
      <c r="IKU98" s="769"/>
      <c r="IKV98" s="769"/>
      <c r="IKW98" s="769"/>
      <c r="IKX98" s="769"/>
      <c r="IKY98" s="769"/>
      <c r="IKZ98" s="769"/>
      <c r="ILA98" s="769"/>
      <c r="ILB98" s="769"/>
      <c r="ILC98" s="769"/>
      <c r="ILD98" s="769"/>
      <c r="ILE98" s="769"/>
      <c r="ILF98" s="769"/>
      <c r="ILG98" s="769"/>
      <c r="ILH98" s="769"/>
      <c r="ILI98" s="769"/>
      <c r="ILJ98" s="769"/>
      <c r="ILK98" s="769"/>
      <c r="ILL98" s="769"/>
      <c r="ILM98" s="769"/>
      <c r="ILN98" s="769"/>
      <c r="ILO98" s="769"/>
      <c r="ILP98" s="769"/>
      <c r="ILQ98" s="769"/>
      <c r="ILR98" s="769"/>
      <c r="ILS98" s="769"/>
      <c r="ILT98" s="769"/>
      <c r="ILU98" s="769"/>
      <c r="ILV98" s="769"/>
      <c r="ILW98" s="769"/>
      <c r="ILX98" s="769"/>
      <c r="ILY98" s="769"/>
      <c r="ILZ98" s="769"/>
      <c r="IMA98" s="769"/>
      <c r="IMB98" s="769"/>
      <c r="IMC98" s="769"/>
      <c r="IMD98" s="769"/>
      <c r="IME98" s="769"/>
      <c r="IMF98" s="769"/>
      <c r="IMG98" s="769"/>
      <c r="IMH98" s="769"/>
      <c r="IMI98" s="769"/>
      <c r="IMJ98" s="769"/>
      <c r="IMK98" s="769"/>
      <c r="IML98" s="769"/>
      <c r="IMM98" s="769"/>
      <c r="IMN98" s="769"/>
      <c r="IMO98" s="769"/>
      <c r="IMP98" s="769"/>
      <c r="IMQ98" s="769"/>
      <c r="IMR98" s="769"/>
      <c r="IMS98" s="769"/>
      <c r="IMT98" s="769"/>
      <c r="IMU98" s="769"/>
      <c r="IMV98" s="769"/>
      <c r="IMW98" s="769"/>
      <c r="IMX98" s="769"/>
      <c r="IMY98" s="769"/>
      <c r="IMZ98" s="769"/>
      <c r="INA98" s="769"/>
      <c r="INB98" s="769"/>
      <c r="INC98" s="769"/>
      <c r="IND98" s="769"/>
      <c r="INE98" s="769"/>
      <c r="INF98" s="769"/>
      <c r="ING98" s="769"/>
      <c r="INH98" s="769"/>
      <c r="INI98" s="769"/>
      <c r="INJ98" s="769"/>
      <c r="INK98" s="769"/>
      <c r="INL98" s="769"/>
      <c r="INM98" s="769"/>
      <c r="INN98" s="769"/>
      <c r="INO98" s="769"/>
      <c r="INP98" s="769"/>
      <c r="INQ98" s="769"/>
      <c r="INR98" s="769"/>
      <c r="INS98" s="769"/>
      <c r="INT98" s="769"/>
      <c r="INU98" s="769"/>
      <c r="INV98" s="769"/>
      <c r="INW98" s="769"/>
      <c r="INX98" s="769"/>
      <c r="INY98" s="769"/>
      <c r="INZ98" s="769"/>
      <c r="IOA98" s="769"/>
      <c r="IOB98" s="769"/>
      <c r="IOC98" s="769"/>
      <c r="IOD98" s="769"/>
      <c r="IOE98" s="769"/>
      <c r="IOF98" s="769"/>
      <c r="IOG98" s="769"/>
      <c r="IOH98" s="769"/>
      <c r="IOI98" s="769"/>
      <c r="IOJ98" s="769"/>
      <c r="IOK98" s="769"/>
      <c r="IOL98" s="769"/>
      <c r="IOM98" s="769"/>
      <c r="ION98" s="769"/>
      <c r="IOO98" s="769"/>
      <c r="IOP98" s="769"/>
      <c r="IOQ98" s="769"/>
      <c r="IOR98" s="769"/>
      <c r="IOS98" s="769"/>
      <c r="IOT98" s="769"/>
      <c r="IOU98" s="769"/>
      <c r="IOV98" s="769"/>
      <c r="IOW98" s="769"/>
      <c r="IOX98" s="769"/>
      <c r="IOY98" s="769"/>
      <c r="IOZ98" s="769"/>
      <c r="IPA98" s="769"/>
      <c r="IPB98" s="769"/>
      <c r="IPC98" s="769"/>
      <c r="IPD98" s="769"/>
      <c r="IPE98" s="769"/>
      <c r="IPF98" s="769"/>
      <c r="IPG98" s="769"/>
      <c r="IPH98" s="769"/>
      <c r="IPI98" s="769"/>
      <c r="IPJ98" s="769"/>
      <c r="IPK98" s="769"/>
      <c r="IPL98" s="769"/>
      <c r="IPM98" s="769"/>
      <c r="IPN98" s="769"/>
      <c r="IPO98" s="769"/>
      <c r="IPP98" s="769"/>
      <c r="IPQ98" s="769"/>
      <c r="IPR98" s="769"/>
      <c r="IPS98" s="769"/>
      <c r="IPT98" s="769"/>
      <c r="IPU98" s="769"/>
      <c r="IPV98" s="769"/>
      <c r="IPW98" s="769"/>
      <c r="IPX98" s="769"/>
      <c r="IPY98" s="769"/>
      <c r="IPZ98" s="769"/>
      <c r="IQA98" s="769"/>
      <c r="IQB98" s="769"/>
      <c r="IQC98" s="769"/>
      <c r="IQD98" s="769"/>
      <c r="IQE98" s="769"/>
      <c r="IQF98" s="769"/>
      <c r="IQG98" s="769"/>
      <c r="IQH98" s="769"/>
      <c r="IQI98" s="769"/>
      <c r="IQJ98" s="769"/>
      <c r="IQK98" s="769"/>
      <c r="IQL98" s="769"/>
      <c r="IQM98" s="769"/>
      <c r="IQN98" s="769"/>
      <c r="IQO98" s="769"/>
      <c r="IQP98" s="769"/>
      <c r="IQQ98" s="769"/>
      <c r="IQR98" s="769"/>
      <c r="IQS98" s="769"/>
      <c r="IQT98" s="769"/>
      <c r="IQU98" s="769"/>
      <c r="IQV98" s="769"/>
      <c r="IQW98" s="769"/>
      <c r="IQX98" s="769"/>
      <c r="IQY98" s="769"/>
      <c r="IQZ98" s="769"/>
      <c r="IRA98" s="769"/>
      <c r="IRB98" s="769"/>
      <c r="IRC98" s="769"/>
      <c r="IRD98" s="769"/>
      <c r="IRE98" s="769"/>
      <c r="IRF98" s="769"/>
      <c r="IRG98" s="769"/>
      <c r="IRH98" s="769"/>
      <c r="IRI98" s="769"/>
      <c r="IRJ98" s="769"/>
      <c r="IRK98" s="769"/>
      <c r="IRL98" s="769"/>
      <c r="IRM98" s="769"/>
      <c r="IRN98" s="769"/>
      <c r="IRO98" s="769"/>
      <c r="IRP98" s="769"/>
      <c r="IRQ98" s="769"/>
      <c r="IRR98" s="769"/>
      <c r="IRS98" s="769"/>
      <c r="IRT98" s="769"/>
      <c r="IRU98" s="769"/>
      <c r="IRV98" s="769"/>
      <c r="IRW98" s="769"/>
      <c r="IRX98" s="769"/>
      <c r="IRY98" s="769"/>
      <c r="IRZ98" s="769"/>
      <c r="ISA98" s="769"/>
      <c r="ISB98" s="769"/>
      <c r="ISC98" s="769"/>
      <c r="ISD98" s="769"/>
      <c r="ISE98" s="769"/>
      <c r="ISF98" s="769"/>
      <c r="ISG98" s="769"/>
      <c r="ISH98" s="769"/>
      <c r="ISI98" s="769"/>
      <c r="ISJ98" s="769"/>
      <c r="ISK98" s="769"/>
      <c r="ISL98" s="769"/>
      <c r="ISM98" s="769"/>
      <c r="ISN98" s="769"/>
      <c r="ISO98" s="769"/>
      <c r="ISP98" s="769"/>
      <c r="ISQ98" s="769"/>
      <c r="ISR98" s="769"/>
      <c r="ISS98" s="769"/>
      <c r="IST98" s="769"/>
      <c r="ISU98" s="769"/>
      <c r="ISV98" s="769"/>
      <c r="ISW98" s="769"/>
      <c r="ISX98" s="769"/>
      <c r="ISY98" s="769"/>
      <c r="ISZ98" s="769"/>
      <c r="ITA98" s="769"/>
      <c r="ITB98" s="769"/>
      <c r="ITC98" s="769"/>
      <c r="ITD98" s="769"/>
      <c r="ITE98" s="769"/>
      <c r="ITF98" s="769"/>
      <c r="ITG98" s="769"/>
      <c r="ITH98" s="769"/>
      <c r="ITI98" s="769"/>
      <c r="ITJ98" s="769"/>
      <c r="ITK98" s="769"/>
      <c r="ITL98" s="769"/>
      <c r="ITM98" s="769"/>
      <c r="ITN98" s="769"/>
      <c r="ITO98" s="769"/>
      <c r="ITP98" s="769"/>
      <c r="ITQ98" s="769"/>
      <c r="ITR98" s="769"/>
      <c r="ITS98" s="769"/>
      <c r="ITT98" s="769"/>
      <c r="ITU98" s="769"/>
      <c r="ITV98" s="769"/>
      <c r="ITW98" s="769"/>
      <c r="ITX98" s="769"/>
      <c r="ITY98" s="769"/>
      <c r="ITZ98" s="769"/>
      <c r="IUA98" s="769"/>
      <c r="IUB98" s="769"/>
      <c r="IUC98" s="769"/>
      <c r="IUD98" s="769"/>
      <c r="IUE98" s="769"/>
      <c r="IUF98" s="769"/>
      <c r="IUG98" s="769"/>
      <c r="IUH98" s="769"/>
      <c r="IUI98" s="769"/>
      <c r="IUJ98" s="769"/>
      <c r="IUK98" s="769"/>
      <c r="IUL98" s="769"/>
      <c r="IUM98" s="769"/>
      <c r="IUN98" s="769"/>
      <c r="IUO98" s="769"/>
      <c r="IUP98" s="769"/>
      <c r="IUQ98" s="769"/>
      <c r="IUR98" s="769"/>
      <c r="IUS98" s="769"/>
      <c r="IUT98" s="769"/>
      <c r="IUU98" s="769"/>
      <c r="IUV98" s="769"/>
      <c r="IUW98" s="769"/>
      <c r="IUX98" s="769"/>
      <c r="IUY98" s="769"/>
      <c r="IUZ98" s="769"/>
      <c r="IVA98" s="769"/>
      <c r="IVB98" s="769"/>
      <c r="IVC98" s="769"/>
      <c r="IVD98" s="769"/>
      <c r="IVE98" s="769"/>
      <c r="IVF98" s="769"/>
      <c r="IVG98" s="769"/>
      <c r="IVH98" s="769"/>
      <c r="IVI98" s="769"/>
      <c r="IVJ98" s="769"/>
      <c r="IVK98" s="769"/>
      <c r="IVL98" s="769"/>
      <c r="IVM98" s="769"/>
      <c r="IVN98" s="769"/>
      <c r="IVO98" s="769"/>
      <c r="IVP98" s="769"/>
      <c r="IVQ98" s="769"/>
      <c r="IVR98" s="769"/>
      <c r="IVS98" s="769"/>
      <c r="IVT98" s="769"/>
      <c r="IVU98" s="769"/>
      <c r="IVV98" s="769"/>
      <c r="IVW98" s="769"/>
      <c r="IVX98" s="769"/>
      <c r="IVY98" s="769"/>
      <c r="IVZ98" s="769"/>
      <c r="IWA98" s="769"/>
      <c r="IWB98" s="769"/>
      <c r="IWC98" s="769"/>
      <c r="IWD98" s="769"/>
      <c r="IWE98" s="769"/>
      <c r="IWF98" s="769"/>
      <c r="IWG98" s="769"/>
      <c r="IWH98" s="769"/>
      <c r="IWI98" s="769"/>
      <c r="IWJ98" s="769"/>
      <c r="IWK98" s="769"/>
      <c r="IWL98" s="769"/>
      <c r="IWM98" s="769"/>
      <c r="IWN98" s="769"/>
      <c r="IWO98" s="769"/>
      <c r="IWP98" s="769"/>
      <c r="IWQ98" s="769"/>
      <c r="IWR98" s="769"/>
      <c r="IWS98" s="769"/>
      <c r="IWT98" s="769"/>
      <c r="IWU98" s="769"/>
      <c r="IWV98" s="769"/>
      <c r="IWW98" s="769"/>
      <c r="IWX98" s="769"/>
      <c r="IWY98" s="769"/>
      <c r="IWZ98" s="769"/>
      <c r="IXA98" s="769"/>
      <c r="IXB98" s="769"/>
      <c r="IXC98" s="769"/>
      <c r="IXD98" s="769"/>
      <c r="IXE98" s="769"/>
      <c r="IXF98" s="769"/>
      <c r="IXG98" s="769"/>
      <c r="IXH98" s="769"/>
      <c r="IXI98" s="769"/>
      <c r="IXJ98" s="769"/>
      <c r="IXK98" s="769"/>
      <c r="IXL98" s="769"/>
      <c r="IXM98" s="769"/>
      <c r="IXN98" s="769"/>
      <c r="IXO98" s="769"/>
      <c r="IXP98" s="769"/>
      <c r="IXQ98" s="769"/>
      <c r="IXR98" s="769"/>
      <c r="IXS98" s="769"/>
      <c r="IXT98" s="769"/>
      <c r="IXU98" s="769"/>
      <c r="IXV98" s="769"/>
      <c r="IXW98" s="769"/>
      <c r="IXX98" s="769"/>
      <c r="IXY98" s="769"/>
      <c r="IXZ98" s="769"/>
      <c r="IYA98" s="769"/>
      <c r="IYB98" s="769"/>
      <c r="IYC98" s="769"/>
      <c r="IYD98" s="769"/>
      <c r="IYE98" s="769"/>
      <c r="IYF98" s="769"/>
      <c r="IYG98" s="769"/>
      <c r="IYH98" s="769"/>
      <c r="IYI98" s="769"/>
      <c r="IYJ98" s="769"/>
      <c r="IYK98" s="769"/>
      <c r="IYL98" s="769"/>
      <c r="IYM98" s="769"/>
      <c r="IYN98" s="769"/>
      <c r="IYO98" s="769"/>
      <c r="IYP98" s="769"/>
      <c r="IYQ98" s="769"/>
      <c r="IYR98" s="769"/>
      <c r="IYS98" s="769"/>
      <c r="IYT98" s="769"/>
      <c r="IYU98" s="769"/>
      <c r="IYV98" s="769"/>
      <c r="IYW98" s="769"/>
      <c r="IYX98" s="769"/>
      <c r="IYY98" s="769"/>
      <c r="IYZ98" s="769"/>
      <c r="IZA98" s="769"/>
      <c r="IZB98" s="769"/>
      <c r="IZC98" s="769"/>
      <c r="IZD98" s="769"/>
      <c r="IZE98" s="769"/>
      <c r="IZF98" s="769"/>
      <c r="IZG98" s="769"/>
      <c r="IZH98" s="769"/>
      <c r="IZI98" s="769"/>
      <c r="IZJ98" s="769"/>
      <c r="IZK98" s="769"/>
      <c r="IZL98" s="769"/>
      <c r="IZM98" s="769"/>
      <c r="IZN98" s="769"/>
      <c r="IZO98" s="769"/>
      <c r="IZP98" s="769"/>
      <c r="IZQ98" s="769"/>
      <c r="IZR98" s="769"/>
      <c r="IZS98" s="769"/>
      <c r="IZT98" s="769"/>
      <c r="IZU98" s="769"/>
      <c r="IZV98" s="769"/>
      <c r="IZW98" s="769"/>
      <c r="IZX98" s="769"/>
      <c r="IZY98" s="769"/>
      <c r="IZZ98" s="769"/>
      <c r="JAA98" s="769"/>
      <c r="JAB98" s="769"/>
      <c r="JAC98" s="769"/>
      <c r="JAD98" s="769"/>
      <c r="JAE98" s="769"/>
      <c r="JAF98" s="769"/>
      <c r="JAG98" s="769"/>
      <c r="JAH98" s="769"/>
      <c r="JAI98" s="769"/>
      <c r="JAJ98" s="769"/>
      <c r="JAK98" s="769"/>
      <c r="JAL98" s="769"/>
      <c r="JAM98" s="769"/>
      <c r="JAN98" s="769"/>
      <c r="JAO98" s="769"/>
      <c r="JAP98" s="769"/>
      <c r="JAQ98" s="769"/>
      <c r="JAR98" s="769"/>
      <c r="JAS98" s="769"/>
      <c r="JAT98" s="769"/>
      <c r="JAU98" s="769"/>
      <c r="JAV98" s="769"/>
      <c r="JAW98" s="769"/>
      <c r="JAX98" s="769"/>
      <c r="JAY98" s="769"/>
      <c r="JAZ98" s="769"/>
      <c r="JBA98" s="769"/>
      <c r="JBB98" s="769"/>
      <c r="JBC98" s="769"/>
      <c r="JBD98" s="769"/>
      <c r="JBE98" s="769"/>
      <c r="JBF98" s="769"/>
      <c r="JBG98" s="769"/>
      <c r="JBH98" s="769"/>
      <c r="JBI98" s="769"/>
      <c r="JBJ98" s="769"/>
      <c r="JBK98" s="769"/>
      <c r="JBL98" s="769"/>
      <c r="JBM98" s="769"/>
      <c r="JBN98" s="769"/>
      <c r="JBO98" s="769"/>
      <c r="JBP98" s="769"/>
      <c r="JBQ98" s="769"/>
      <c r="JBR98" s="769"/>
      <c r="JBS98" s="769"/>
      <c r="JBT98" s="769"/>
      <c r="JBU98" s="769"/>
      <c r="JBV98" s="769"/>
      <c r="JBW98" s="769"/>
      <c r="JBX98" s="769"/>
      <c r="JBY98" s="769"/>
      <c r="JBZ98" s="769"/>
      <c r="JCA98" s="769"/>
      <c r="JCB98" s="769"/>
      <c r="JCC98" s="769"/>
      <c r="JCD98" s="769"/>
      <c r="JCE98" s="769"/>
      <c r="JCF98" s="769"/>
      <c r="JCG98" s="769"/>
      <c r="JCH98" s="769"/>
      <c r="JCI98" s="769"/>
      <c r="JCJ98" s="769"/>
      <c r="JCK98" s="769"/>
      <c r="JCL98" s="769"/>
      <c r="JCM98" s="769"/>
      <c r="JCN98" s="769"/>
      <c r="JCO98" s="769"/>
      <c r="JCP98" s="769"/>
      <c r="JCQ98" s="769"/>
      <c r="JCR98" s="769"/>
      <c r="JCS98" s="769"/>
      <c r="JCT98" s="769"/>
      <c r="JCU98" s="769"/>
      <c r="JCV98" s="769"/>
      <c r="JCW98" s="769"/>
      <c r="JCX98" s="769"/>
      <c r="JCY98" s="769"/>
      <c r="JCZ98" s="769"/>
      <c r="JDA98" s="769"/>
      <c r="JDB98" s="769"/>
      <c r="JDC98" s="769"/>
      <c r="JDD98" s="769"/>
      <c r="JDE98" s="769"/>
      <c r="JDF98" s="769"/>
      <c r="JDG98" s="769"/>
      <c r="JDH98" s="769"/>
      <c r="JDI98" s="769"/>
      <c r="JDJ98" s="769"/>
      <c r="JDK98" s="769"/>
      <c r="JDL98" s="769"/>
      <c r="JDM98" s="769"/>
      <c r="JDN98" s="769"/>
      <c r="JDO98" s="769"/>
      <c r="JDP98" s="769"/>
      <c r="JDQ98" s="769"/>
      <c r="JDR98" s="769"/>
      <c r="JDS98" s="769"/>
      <c r="JDT98" s="769"/>
      <c r="JDU98" s="769"/>
      <c r="JDV98" s="769"/>
      <c r="JDW98" s="769"/>
      <c r="JDX98" s="769"/>
      <c r="JDY98" s="769"/>
      <c r="JDZ98" s="769"/>
      <c r="JEA98" s="769"/>
      <c r="JEB98" s="769"/>
      <c r="JEC98" s="769"/>
      <c r="JED98" s="769"/>
      <c r="JEE98" s="769"/>
      <c r="JEF98" s="769"/>
      <c r="JEG98" s="769"/>
      <c r="JEH98" s="769"/>
      <c r="JEI98" s="769"/>
      <c r="JEJ98" s="769"/>
      <c r="JEK98" s="769"/>
      <c r="JEL98" s="769"/>
      <c r="JEM98" s="769"/>
      <c r="JEN98" s="769"/>
      <c r="JEO98" s="769"/>
      <c r="JEP98" s="769"/>
      <c r="JEQ98" s="769"/>
      <c r="JER98" s="769"/>
      <c r="JES98" s="769"/>
      <c r="JET98" s="769"/>
      <c r="JEU98" s="769"/>
      <c r="JEV98" s="769"/>
      <c r="JEW98" s="769"/>
      <c r="JEX98" s="769"/>
      <c r="JEY98" s="769"/>
      <c r="JEZ98" s="769"/>
      <c r="JFA98" s="769"/>
      <c r="JFB98" s="769"/>
      <c r="JFC98" s="769"/>
      <c r="JFD98" s="769"/>
      <c r="JFE98" s="769"/>
      <c r="JFF98" s="769"/>
      <c r="JFG98" s="769"/>
      <c r="JFH98" s="769"/>
      <c r="JFI98" s="769"/>
      <c r="JFJ98" s="769"/>
      <c r="JFK98" s="769"/>
      <c r="JFL98" s="769"/>
      <c r="JFM98" s="769"/>
      <c r="JFN98" s="769"/>
      <c r="JFO98" s="769"/>
      <c r="JFP98" s="769"/>
      <c r="JFQ98" s="769"/>
      <c r="JFR98" s="769"/>
      <c r="JFS98" s="769"/>
      <c r="JFT98" s="769"/>
      <c r="JFU98" s="769"/>
      <c r="JFV98" s="769"/>
      <c r="JFW98" s="769"/>
      <c r="JFX98" s="769"/>
      <c r="JFY98" s="769"/>
      <c r="JFZ98" s="769"/>
      <c r="JGA98" s="769"/>
      <c r="JGB98" s="769"/>
      <c r="JGC98" s="769"/>
      <c r="JGD98" s="769"/>
      <c r="JGE98" s="769"/>
      <c r="JGF98" s="769"/>
      <c r="JGG98" s="769"/>
      <c r="JGH98" s="769"/>
      <c r="JGI98" s="769"/>
      <c r="JGJ98" s="769"/>
      <c r="JGK98" s="769"/>
      <c r="JGL98" s="769"/>
      <c r="JGM98" s="769"/>
      <c r="JGN98" s="769"/>
      <c r="JGO98" s="769"/>
      <c r="JGP98" s="769"/>
      <c r="JGQ98" s="769"/>
      <c r="JGR98" s="769"/>
      <c r="JGS98" s="769"/>
      <c r="JGT98" s="769"/>
      <c r="JGU98" s="769"/>
      <c r="JGV98" s="769"/>
      <c r="JGW98" s="769"/>
      <c r="JGX98" s="769"/>
      <c r="JGY98" s="769"/>
      <c r="JGZ98" s="769"/>
      <c r="JHA98" s="769"/>
      <c r="JHB98" s="769"/>
      <c r="JHC98" s="769"/>
      <c r="JHD98" s="769"/>
      <c r="JHE98" s="769"/>
      <c r="JHF98" s="769"/>
      <c r="JHG98" s="769"/>
      <c r="JHH98" s="769"/>
      <c r="JHI98" s="769"/>
      <c r="JHJ98" s="769"/>
      <c r="JHK98" s="769"/>
      <c r="JHL98" s="769"/>
      <c r="JHM98" s="769"/>
      <c r="JHN98" s="769"/>
      <c r="JHO98" s="769"/>
      <c r="JHP98" s="769"/>
      <c r="JHQ98" s="769"/>
      <c r="JHR98" s="769"/>
      <c r="JHS98" s="769"/>
      <c r="JHT98" s="769"/>
      <c r="JHU98" s="769"/>
      <c r="JHV98" s="769"/>
      <c r="JHW98" s="769"/>
      <c r="JHX98" s="769"/>
      <c r="JHY98" s="769"/>
      <c r="JHZ98" s="769"/>
      <c r="JIA98" s="769"/>
      <c r="JIB98" s="769"/>
      <c r="JIC98" s="769"/>
      <c r="JID98" s="769"/>
      <c r="JIE98" s="769"/>
      <c r="JIF98" s="769"/>
      <c r="JIG98" s="769"/>
      <c r="JIH98" s="769"/>
      <c r="JII98" s="769"/>
      <c r="JIJ98" s="769"/>
      <c r="JIK98" s="769"/>
      <c r="JIL98" s="769"/>
      <c r="JIM98" s="769"/>
      <c r="JIN98" s="769"/>
      <c r="JIO98" s="769"/>
      <c r="JIP98" s="769"/>
      <c r="JIQ98" s="769"/>
      <c r="JIR98" s="769"/>
      <c r="JIS98" s="769"/>
      <c r="JIT98" s="769"/>
      <c r="JIU98" s="769"/>
      <c r="JIV98" s="769"/>
      <c r="JIW98" s="769"/>
      <c r="JIX98" s="769"/>
      <c r="JIY98" s="769"/>
      <c r="JIZ98" s="769"/>
      <c r="JJA98" s="769"/>
      <c r="JJB98" s="769"/>
      <c r="JJC98" s="769"/>
      <c r="JJD98" s="769"/>
      <c r="JJE98" s="769"/>
      <c r="JJF98" s="769"/>
      <c r="JJG98" s="769"/>
      <c r="JJH98" s="769"/>
      <c r="JJI98" s="769"/>
      <c r="JJJ98" s="769"/>
      <c r="JJK98" s="769"/>
      <c r="JJL98" s="769"/>
      <c r="JJM98" s="769"/>
      <c r="JJN98" s="769"/>
      <c r="JJO98" s="769"/>
      <c r="JJP98" s="769"/>
      <c r="JJQ98" s="769"/>
      <c r="JJR98" s="769"/>
      <c r="JJS98" s="769"/>
      <c r="JJT98" s="769"/>
      <c r="JJU98" s="769"/>
      <c r="JJV98" s="769"/>
      <c r="JJW98" s="769"/>
      <c r="JJX98" s="769"/>
      <c r="JJY98" s="769"/>
      <c r="JJZ98" s="769"/>
      <c r="JKA98" s="769"/>
      <c r="JKB98" s="769"/>
      <c r="JKC98" s="769"/>
      <c r="JKD98" s="769"/>
      <c r="JKE98" s="769"/>
      <c r="JKF98" s="769"/>
      <c r="JKG98" s="769"/>
      <c r="JKH98" s="769"/>
      <c r="JKI98" s="769"/>
      <c r="JKJ98" s="769"/>
      <c r="JKK98" s="769"/>
      <c r="JKL98" s="769"/>
      <c r="JKM98" s="769"/>
      <c r="JKN98" s="769"/>
      <c r="JKO98" s="769"/>
      <c r="JKP98" s="769"/>
      <c r="JKQ98" s="769"/>
      <c r="JKR98" s="769"/>
      <c r="JKS98" s="769"/>
      <c r="JKT98" s="769"/>
      <c r="JKU98" s="769"/>
      <c r="JKV98" s="769"/>
      <c r="JKW98" s="769"/>
      <c r="JKX98" s="769"/>
      <c r="JKY98" s="769"/>
      <c r="JKZ98" s="769"/>
      <c r="JLA98" s="769"/>
      <c r="JLB98" s="769"/>
      <c r="JLC98" s="769"/>
      <c r="JLD98" s="769"/>
      <c r="JLE98" s="769"/>
      <c r="JLF98" s="769"/>
      <c r="JLG98" s="769"/>
      <c r="JLH98" s="769"/>
      <c r="JLI98" s="769"/>
      <c r="JLJ98" s="769"/>
      <c r="JLK98" s="769"/>
      <c r="JLL98" s="769"/>
      <c r="JLM98" s="769"/>
      <c r="JLN98" s="769"/>
      <c r="JLO98" s="769"/>
      <c r="JLP98" s="769"/>
      <c r="JLQ98" s="769"/>
      <c r="JLR98" s="769"/>
      <c r="JLS98" s="769"/>
      <c r="JLT98" s="769"/>
      <c r="JLU98" s="769"/>
      <c r="JLV98" s="769"/>
      <c r="JLW98" s="769"/>
      <c r="JLX98" s="769"/>
      <c r="JLY98" s="769"/>
      <c r="JLZ98" s="769"/>
      <c r="JMA98" s="769"/>
      <c r="JMB98" s="769"/>
      <c r="JMC98" s="769"/>
      <c r="JMD98" s="769"/>
      <c r="JME98" s="769"/>
      <c r="JMF98" s="769"/>
      <c r="JMG98" s="769"/>
      <c r="JMH98" s="769"/>
      <c r="JMI98" s="769"/>
      <c r="JMJ98" s="769"/>
      <c r="JMK98" s="769"/>
      <c r="JML98" s="769"/>
      <c r="JMM98" s="769"/>
      <c r="JMN98" s="769"/>
      <c r="JMO98" s="769"/>
      <c r="JMP98" s="769"/>
      <c r="JMQ98" s="769"/>
      <c r="JMR98" s="769"/>
      <c r="JMS98" s="769"/>
      <c r="JMT98" s="769"/>
      <c r="JMU98" s="769"/>
      <c r="JMV98" s="769"/>
      <c r="JMW98" s="769"/>
      <c r="JMX98" s="769"/>
      <c r="JMY98" s="769"/>
      <c r="JMZ98" s="769"/>
      <c r="JNA98" s="769"/>
      <c r="JNB98" s="769"/>
      <c r="JNC98" s="769"/>
      <c r="JND98" s="769"/>
      <c r="JNE98" s="769"/>
      <c r="JNF98" s="769"/>
      <c r="JNG98" s="769"/>
      <c r="JNH98" s="769"/>
      <c r="JNI98" s="769"/>
      <c r="JNJ98" s="769"/>
      <c r="JNK98" s="769"/>
      <c r="JNL98" s="769"/>
      <c r="JNM98" s="769"/>
      <c r="JNN98" s="769"/>
      <c r="JNO98" s="769"/>
      <c r="JNP98" s="769"/>
      <c r="JNQ98" s="769"/>
      <c r="JNR98" s="769"/>
      <c r="JNS98" s="769"/>
      <c r="JNT98" s="769"/>
      <c r="JNU98" s="769"/>
      <c r="JNV98" s="769"/>
      <c r="JNW98" s="769"/>
      <c r="JNX98" s="769"/>
      <c r="JNY98" s="769"/>
      <c r="JNZ98" s="769"/>
      <c r="JOA98" s="769"/>
      <c r="JOB98" s="769"/>
      <c r="JOC98" s="769"/>
      <c r="JOD98" s="769"/>
      <c r="JOE98" s="769"/>
      <c r="JOF98" s="769"/>
      <c r="JOG98" s="769"/>
      <c r="JOH98" s="769"/>
      <c r="JOI98" s="769"/>
      <c r="JOJ98" s="769"/>
      <c r="JOK98" s="769"/>
      <c r="JOL98" s="769"/>
      <c r="JOM98" s="769"/>
      <c r="JON98" s="769"/>
      <c r="JOO98" s="769"/>
      <c r="JOP98" s="769"/>
      <c r="JOQ98" s="769"/>
      <c r="JOR98" s="769"/>
      <c r="JOS98" s="769"/>
      <c r="JOT98" s="769"/>
      <c r="JOU98" s="769"/>
      <c r="JOV98" s="769"/>
      <c r="JOW98" s="769"/>
      <c r="JOX98" s="769"/>
      <c r="JOY98" s="769"/>
      <c r="JOZ98" s="769"/>
      <c r="JPA98" s="769"/>
      <c r="JPB98" s="769"/>
      <c r="JPC98" s="769"/>
      <c r="JPD98" s="769"/>
      <c r="JPE98" s="769"/>
      <c r="JPF98" s="769"/>
      <c r="JPG98" s="769"/>
      <c r="JPH98" s="769"/>
      <c r="JPI98" s="769"/>
      <c r="JPJ98" s="769"/>
      <c r="JPK98" s="769"/>
      <c r="JPL98" s="769"/>
      <c r="JPM98" s="769"/>
      <c r="JPN98" s="769"/>
      <c r="JPO98" s="769"/>
      <c r="JPP98" s="769"/>
      <c r="JPQ98" s="769"/>
      <c r="JPR98" s="769"/>
      <c r="JPS98" s="769"/>
      <c r="JPT98" s="769"/>
      <c r="JPU98" s="769"/>
      <c r="JPV98" s="769"/>
      <c r="JPW98" s="769"/>
      <c r="JPX98" s="769"/>
      <c r="JPY98" s="769"/>
      <c r="JPZ98" s="769"/>
      <c r="JQA98" s="769"/>
      <c r="JQB98" s="769"/>
      <c r="JQC98" s="769"/>
      <c r="JQD98" s="769"/>
      <c r="JQE98" s="769"/>
      <c r="JQF98" s="769"/>
      <c r="JQG98" s="769"/>
      <c r="JQH98" s="769"/>
      <c r="JQI98" s="769"/>
      <c r="JQJ98" s="769"/>
      <c r="JQK98" s="769"/>
      <c r="JQL98" s="769"/>
      <c r="JQM98" s="769"/>
      <c r="JQN98" s="769"/>
      <c r="JQO98" s="769"/>
      <c r="JQP98" s="769"/>
      <c r="JQQ98" s="769"/>
      <c r="JQR98" s="769"/>
      <c r="JQS98" s="769"/>
      <c r="JQT98" s="769"/>
      <c r="JQU98" s="769"/>
      <c r="JQV98" s="769"/>
      <c r="JQW98" s="769"/>
      <c r="JQX98" s="769"/>
      <c r="JQY98" s="769"/>
      <c r="JQZ98" s="769"/>
      <c r="JRA98" s="769"/>
      <c r="JRB98" s="769"/>
      <c r="JRC98" s="769"/>
      <c r="JRD98" s="769"/>
      <c r="JRE98" s="769"/>
      <c r="JRF98" s="769"/>
      <c r="JRG98" s="769"/>
      <c r="JRH98" s="769"/>
      <c r="JRI98" s="769"/>
      <c r="JRJ98" s="769"/>
      <c r="JRK98" s="769"/>
      <c r="JRL98" s="769"/>
      <c r="JRM98" s="769"/>
      <c r="JRN98" s="769"/>
      <c r="JRO98" s="769"/>
      <c r="JRP98" s="769"/>
      <c r="JRQ98" s="769"/>
      <c r="JRR98" s="769"/>
      <c r="JRS98" s="769"/>
      <c r="JRT98" s="769"/>
      <c r="JRU98" s="769"/>
      <c r="JRV98" s="769"/>
      <c r="JRW98" s="769"/>
      <c r="JRX98" s="769"/>
      <c r="JRY98" s="769"/>
      <c r="JRZ98" s="769"/>
      <c r="JSA98" s="769"/>
      <c r="JSB98" s="769"/>
      <c r="JSC98" s="769"/>
      <c r="JSD98" s="769"/>
      <c r="JSE98" s="769"/>
      <c r="JSF98" s="769"/>
      <c r="JSG98" s="769"/>
      <c r="JSH98" s="769"/>
      <c r="JSI98" s="769"/>
      <c r="JSJ98" s="769"/>
      <c r="JSK98" s="769"/>
      <c r="JSL98" s="769"/>
      <c r="JSM98" s="769"/>
      <c r="JSN98" s="769"/>
      <c r="JSO98" s="769"/>
      <c r="JSP98" s="769"/>
      <c r="JSQ98" s="769"/>
      <c r="JSR98" s="769"/>
      <c r="JSS98" s="769"/>
      <c r="JST98" s="769"/>
      <c r="JSU98" s="769"/>
      <c r="JSV98" s="769"/>
      <c r="JSW98" s="769"/>
      <c r="JSX98" s="769"/>
      <c r="JSY98" s="769"/>
      <c r="JSZ98" s="769"/>
      <c r="JTA98" s="769"/>
      <c r="JTB98" s="769"/>
      <c r="JTC98" s="769"/>
      <c r="JTD98" s="769"/>
      <c r="JTE98" s="769"/>
      <c r="JTF98" s="769"/>
      <c r="JTG98" s="769"/>
      <c r="JTH98" s="769"/>
      <c r="JTI98" s="769"/>
      <c r="JTJ98" s="769"/>
      <c r="JTK98" s="769"/>
      <c r="JTL98" s="769"/>
      <c r="JTM98" s="769"/>
      <c r="JTN98" s="769"/>
      <c r="JTO98" s="769"/>
      <c r="JTP98" s="769"/>
      <c r="JTQ98" s="769"/>
      <c r="JTR98" s="769"/>
      <c r="JTS98" s="769"/>
      <c r="JTT98" s="769"/>
      <c r="JTU98" s="769"/>
      <c r="JTV98" s="769"/>
      <c r="JTW98" s="769"/>
      <c r="JTX98" s="769"/>
      <c r="JTY98" s="769"/>
      <c r="JTZ98" s="769"/>
      <c r="JUA98" s="769"/>
      <c r="JUB98" s="769"/>
      <c r="JUC98" s="769"/>
      <c r="JUD98" s="769"/>
      <c r="JUE98" s="769"/>
      <c r="JUF98" s="769"/>
      <c r="JUG98" s="769"/>
      <c r="JUH98" s="769"/>
      <c r="JUI98" s="769"/>
      <c r="JUJ98" s="769"/>
      <c r="JUK98" s="769"/>
      <c r="JUL98" s="769"/>
      <c r="JUM98" s="769"/>
      <c r="JUN98" s="769"/>
      <c r="JUO98" s="769"/>
      <c r="JUP98" s="769"/>
      <c r="JUQ98" s="769"/>
      <c r="JUR98" s="769"/>
      <c r="JUS98" s="769"/>
      <c r="JUT98" s="769"/>
      <c r="JUU98" s="769"/>
      <c r="JUV98" s="769"/>
      <c r="JUW98" s="769"/>
      <c r="JUX98" s="769"/>
      <c r="JUY98" s="769"/>
      <c r="JUZ98" s="769"/>
      <c r="JVA98" s="769"/>
      <c r="JVB98" s="769"/>
      <c r="JVC98" s="769"/>
      <c r="JVD98" s="769"/>
      <c r="JVE98" s="769"/>
      <c r="JVF98" s="769"/>
      <c r="JVG98" s="769"/>
      <c r="JVH98" s="769"/>
      <c r="JVI98" s="769"/>
      <c r="JVJ98" s="769"/>
      <c r="JVK98" s="769"/>
      <c r="JVL98" s="769"/>
      <c r="JVM98" s="769"/>
      <c r="JVN98" s="769"/>
      <c r="JVO98" s="769"/>
      <c r="JVP98" s="769"/>
      <c r="JVQ98" s="769"/>
      <c r="JVR98" s="769"/>
      <c r="JVS98" s="769"/>
      <c r="JVT98" s="769"/>
      <c r="JVU98" s="769"/>
      <c r="JVV98" s="769"/>
      <c r="JVW98" s="769"/>
      <c r="JVX98" s="769"/>
      <c r="JVY98" s="769"/>
      <c r="JVZ98" s="769"/>
      <c r="JWA98" s="769"/>
      <c r="JWB98" s="769"/>
      <c r="JWC98" s="769"/>
      <c r="JWD98" s="769"/>
      <c r="JWE98" s="769"/>
      <c r="JWF98" s="769"/>
      <c r="JWG98" s="769"/>
      <c r="JWH98" s="769"/>
      <c r="JWI98" s="769"/>
      <c r="JWJ98" s="769"/>
      <c r="JWK98" s="769"/>
      <c r="JWL98" s="769"/>
      <c r="JWM98" s="769"/>
      <c r="JWN98" s="769"/>
      <c r="JWO98" s="769"/>
      <c r="JWP98" s="769"/>
      <c r="JWQ98" s="769"/>
      <c r="JWR98" s="769"/>
      <c r="JWS98" s="769"/>
      <c r="JWT98" s="769"/>
      <c r="JWU98" s="769"/>
      <c r="JWV98" s="769"/>
      <c r="JWW98" s="769"/>
      <c r="JWX98" s="769"/>
      <c r="JWY98" s="769"/>
      <c r="JWZ98" s="769"/>
      <c r="JXA98" s="769"/>
      <c r="JXB98" s="769"/>
      <c r="JXC98" s="769"/>
      <c r="JXD98" s="769"/>
      <c r="JXE98" s="769"/>
      <c r="JXF98" s="769"/>
      <c r="JXG98" s="769"/>
      <c r="JXH98" s="769"/>
      <c r="JXI98" s="769"/>
      <c r="JXJ98" s="769"/>
      <c r="JXK98" s="769"/>
      <c r="JXL98" s="769"/>
      <c r="JXM98" s="769"/>
      <c r="JXN98" s="769"/>
      <c r="JXO98" s="769"/>
      <c r="JXP98" s="769"/>
      <c r="JXQ98" s="769"/>
      <c r="JXR98" s="769"/>
      <c r="JXS98" s="769"/>
      <c r="JXT98" s="769"/>
      <c r="JXU98" s="769"/>
      <c r="JXV98" s="769"/>
      <c r="JXW98" s="769"/>
      <c r="JXX98" s="769"/>
      <c r="JXY98" s="769"/>
      <c r="JXZ98" s="769"/>
      <c r="JYA98" s="769"/>
      <c r="JYB98" s="769"/>
      <c r="JYC98" s="769"/>
      <c r="JYD98" s="769"/>
      <c r="JYE98" s="769"/>
      <c r="JYF98" s="769"/>
      <c r="JYG98" s="769"/>
      <c r="JYH98" s="769"/>
      <c r="JYI98" s="769"/>
      <c r="JYJ98" s="769"/>
      <c r="JYK98" s="769"/>
      <c r="JYL98" s="769"/>
      <c r="JYM98" s="769"/>
      <c r="JYN98" s="769"/>
      <c r="JYO98" s="769"/>
      <c r="JYP98" s="769"/>
      <c r="JYQ98" s="769"/>
      <c r="JYR98" s="769"/>
      <c r="JYS98" s="769"/>
      <c r="JYT98" s="769"/>
      <c r="JYU98" s="769"/>
      <c r="JYV98" s="769"/>
      <c r="JYW98" s="769"/>
      <c r="JYX98" s="769"/>
      <c r="JYY98" s="769"/>
      <c r="JYZ98" s="769"/>
      <c r="JZA98" s="769"/>
      <c r="JZB98" s="769"/>
      <c r="JZC98" s="769"/>
      <c r="JZD98" s="769"/>
      <c r="JZE98" s="769"/>
      <c r="JZF98" s="769"/>
      <c r="JZG98" s="769"/>
      <c r="JZH98" s="769"/>
      <c r="JZI98" s="769"/>
      <c r="JZJ98" s="769"/>
      <c r="JZK98" s="769"/>
      <c r="JZL98" s="769"/>
      <c r="JZM98" s="769"/>
      <c r="JZN98" s="769"/>
      <c r="JZO98" s="769"/>
      <c r="JZP98" s="769"/>
      <c r="JZQ98" s="769"/>
      <c r="JZR98" s="769"/>
      <c r="JZS98" s="769"/>
      <c r="JZT98" s="769"/>
      <c r="JZU98" s="769"/>
      <c r="JZV98" s="769"/>
      <c r="JZW98" s="769"/>
      <c r="JZX98" s="769"/>
      <c r="JZY98" s="769"/>
      <c r="JZZ98" s="769"/>
      <c r="KAA98" s="769"/>
      <c r="KAB98" s="769"/>
      <c r="KAC98" s="769"/>
      <c r="KAD98" s="769"/>
      <c r="KAE98" s="769"/>
      <c r="KAF98" s="769"/>
      <c r="KAG98" s="769"/>
      <c r="KAH98" s="769"/>
      <c r="KAI98" s="769"/>
      <c r="KAJ98" s="769"/>
      <c r="KAK98" s="769"/>
      <c r="KAL98" s="769"/>
      <c r="KAM98" s="769"/>
      <c r="KAN98" s="769"/>
      <c r="KAO98" s="769"/>
      <c r="KAP98" s="769"/>
      <c r="KAQ98" s="769"/>
      <c r="KAR98" s="769"/>
      <c r="KAS98" s="769"/>
      <c r="KAT98" s="769"/>
      <c r="KAU98" s="769"/>
      <c r="KAV98" s="769"/>
      <c r="KAW98" s="769"/>
      <c r="KAX98" s="769"/>
      <c r="KAY98" s="769"/>
      <c r="KAZ98" s="769"/>
      <c r="KBA98" s="769"/>
      <c r="KBB98" s="769"/>
      <c r="KBC98" s="769"/>
      <c r="KBD98" s="769"/>
      <c r="KBE98" s="769"/>
      <c r="KBF98" s="769"/>
      <c r="KBG98" s="769"/>
      <c r="KBH98" s="769"/>
      <c r="KBI98" s="769"/>
      <c r="KBJ98" s="769"/>
      <c r="KBK98" s="769"/>
      <c r="KBL98" s="769"/>
      <c r="KBM98" s="769"/>
      <c r="KBN98" s="769"/>
      <c r="KBO98" s="769"/>
      <c r="KBP98" s="769"/>
      <c r="KBQ98" s="769"/>
      <c r="KBR98" s="769"/>
      <c r="KBS98" s="769"/>
      <c r="KBT98" s="769"/>
      <c r="KBU98" s="769"/>
      <c r="KBV98" s="769"/>
      <c r="KBW98" s="769"/>
      <c r="KBX98" s="769"/>
      <c r="KBY98" s="769"/>
      <c r="KBZ98" s="769"/>
      <c r="KCA98" s="769"/>
      <c r="KCB98" s="769"/>
      <c r="KCC98" s="769"/>
      <c r="KCD98" s="769"/>
      <c r="KCE98" s="769"/>
      <c r="KCF98" s="769"/>
      <c r="KCG98" s="769"/>
      <c r="KCH98" s="769"/>
      <c r="KCI98" s="769"/>
      <c r="KCJ98" s="769"/>
      <c r="KCK98" s="769"/>
      <c r="KCL98" s="769"/>
      <c r="KCM98" s="769"/>
      <c r="KCN98" s="769"/>
      <c r="KCO98" s="769"/>
      <c r="KCP98" s="769"/>
      <c r="KCQ98" s="769"/>
      <c r="KCR98" s="769"/>
      <c r="KCS98" s="769"/>
      <c r="KCT98" s="769"/>
      <c r="KCU98" s="769"/>
      <c r="KCV98" s="769"/>
      <c r="KCW98" s="769"/>
      <c r="KCX98" s="769"/>
      <c r="KCY98" s="769"/>
      <c r="KCZ98" s="769"/>
      <c r="KDA98" s="769"/>
      <c r="KDB98" s="769"/>
      <c r="KDC98" s="769"/>
      <c r="KDD98" s="769"/>
      <c r="KDE98" s="769"/>
      <c r="KDF98" s="769"/>
      <c r="KDG98" s="769"/>
      <c r="KDH98" s="769"/>
      <c r="KDI98" s="769"/>
      <c r="KDJ98" s="769"/>
      <c r="KDK98" s="769"/>
      <c r="KDL98" s="769"/>
      <c r="KDM98" s="769"/>
      <c r="KDN98" s="769"/>
      <c r="KDO98" s="769"/>
      <c r="KDP98" s="769"/>
      <c r="KDQ98" s="769"/>
      <c r="KDR98" s="769"/>
      <c r="KDS98" s="769"/>
      <c r="KDT98" s="769"/>
      <c r="KDU98" s="769"/>
      <c r="KDV98" s="769"/>
      <c r="KDW98" s="769"/>
      <c r="KDX98" s="769"/>
      <c r="KDY98" s="769"/>
      <c r="KDZ98" s="769"/>
      <c r="KEA98" s="769"/>
      <c r="KEB98" s="769"/>
      <c r="KEC98" s="769"/>
      <c r="KED98" s="769"/>
      <c r="KEE98" s="769"/>
      <c r="KEF98" s="769"/>
      <c r="KEG98" s="769"/>
      <c r="KEH98" s="769"/>
      <c r="KEI98" s="769"/>
      <c r="KEJ98" s="769"/>
      <c r="KEK98" s="769"/>
      <c r="KEL98" s="769"/>
      <c r="KEM98" s="769"/>
      <c r="KEN98" s="769"/>
      <c r="KEO98" s="769"/>
      <c r="KEP98" s="769"/>
      <c r="KEQ98" s="769"/>
      <c r="KER98" s="769"/>
      <c r="KES98" s="769"/>
      <c r="KET98" s="769"/>
      <c r="KEU98" s="769"/>
      <c r="KEV98" s="769"/>
      <c r="KEW98" s="769"/>
      <c r="KEX98" s="769"/>
      <c r="KEY98" s="769"/>
      <c r="KEZ98" s="769"/>
      <c r="KFA98" s="769"/>
      <c r="KFB98" s="769"/>
      <c r="KFC98" s="769"/>
      <c r="KFD98" s="769"/>
      <c r="KFE98" s="769"/>
      <c r="KFF98" s="769"/>
      <c r="KFG98" s="769"/>
      <c r="KFH98" s="769"/>
      <c r="KFI98" s="769"/>
      <c r="KFJ98" s="769"/>
      <c r="KFK98" s="769"/>
      <c r="KFL98" s="769"/>
      <c r="KFM98" s="769"/>
      <c r="KFN98" s="769"/>
      <c r="KFO98" s="769"/>
      <c r="KFP98" s="769"/>
      <c r="KFQ98" s="769"/>
      <c r="KFR98" s="769"/>
      <c r="KFS98" s="769"/>
      <c r="KFT98" s="769"/>
      <c r="KFU98" s="769"/>
      <c r="KFV98" s="769"/>
      <c r="KFW98" s="769"/>
      <c r="KFX98" s="769"/>
      <c r="KFY98" s="769"/>
      <c r="KFZ98" s="769"/>
      <c r="KGA98" s="769"/>
      <c r="KGB98" s="769"/>
      <c r="KGC98" s="769"/>
      <c r="KGD98" s="769"/>
      <c r="KGE98" s="769"/>
      <c r="KGF98" s="769"/>
      <c r="KGG98" s="769"/>
      <c r="KGH98" s="769"/>
      <c r="KGI98" s="769"/>
      <c r="KGJ98" s="769"/>
      <c r="KGK98" s="769"/>
      <c r="KGL98" s="769"/>
      <c r="KGM98" s="769"/>
      <c r="KGN98" s="769"/>
      <c r="KGO98" s="769"/>
      <c r="KGP98" s="769"/>
      <c r="KGQ98" s="769"/>
      <c r="KGR98" s="769"/>
      <c r="KGS98" s="769"/>
      <c r="KGT98" s="769"/>
      <c r="KGU98" s="769"/>
      <c r="KGV98" s="769"/>
      <c r="KGW98" s="769"/>
      <c r="KGX98" s="769"/>
      <c r="KGY98" s="769"/>
      <c r="KGZ98" s="769"/>
      <c r="KHA98" s="769"/>
      <c r="KHB98" s="769"/>
      <c r="KHC98" s="769"/>
      <c r="KHD98" s="769"/>
      <c r="KHE98" s="769"/>
      <c r="KHF98" s="769"/>
      <c r="KHG98" s="769"/>
      <c r="KHH98" s="769"/>
      <c r="KHI98" s="769"/>
      <c r="KHJ98" s="769"/>
      <c r="KHK98" s="769"/>
      <c r="KHL98" s="769"/>
      <c r="KHM98" s="769"/>
      <c r="KHN98" s="769"/>
      <c r="KHO98" s="769"/>
      <c r="KHP98" s="769"/>
      <c r="KHQ98" s="769"/>
      <c r="KHR98" s="769"/>
      <c r="KHS98" s="769"/>
      <c r="KHT98" s="769"/>
      <c r="KHU98" s="769"/>
      <c r="KHV98" s="769"/>
      <c r="KHW98" s="769"/>
      <c r="KHX98" s="769"/>
      <c r="KHY98" s="769"/>
      <c r="KHZ98" s="769"/>
      <c r="KIA98" s="769"/>
      <c r="KIB98" s="769"/>
      <c r="KIC98" s="769"/>
      <c r="KID98" s="769"/>
      <c r="KIE98" s="769"/>
      <c r="KIF98" s="769"/>
      <c r="KIG98" s="769"/>
      <c r="KIH98" s="769"/>
      <c r="KII98" s="769"/>
      <c r="KIJ98" s="769"/>
      <c r="KIK98" s="769"/>
      <c r="KIL98" s="769"/>
      <c r="KIM98" s="769"/>
      <c r="KIN98" s="769"/>
      <c r="KIO98" s="769"/>
      <c r="KIP98" s="769"/>
      <c r="KIQ98" s="769"/>
      <c r="KIR98" s="769"/>
      <c r="KIS98" s="769"/>
      <c r="KIT98" s="769"/>
      <c r="KIU98" s="769"/>
      <c r="KIV98" s="769"/>
      <c r="KIW98" s="769"/>
      <c r="KIX98" s="769"/>
      <c r="KIY98" s="769"/>
      <c r="KIZ98" s="769"/>
      <c r="KJA98" s="769"/>
      <c r="KJB98" s="769"/>
      <c r="KJC98" s="769"/>
      <c r="KJD98" s="769"/>
      <c r="KJE98" s="769"/>
      <c r="KJF98" s="769"/>
      <c r="KJG98" s="769"/>
      <c r="KJH98" s="769"/>
      <c r="KJI98" s="769"/>
      <c r="KJJ98" s="769"/>
      <c r="KJK98" s="769"/>
      <c r="KJL98" s="769"/>
      <c r="KJM98" s="769"/>
      <c r="KJN98" s="769"/>
      <c r="KJO98" s="769"/>
      <c r="KJP98" s="769"/>
      <c r="KJQ98" s="769"/>
      <c r="KJR98" s="769"/>
      <c r="KJS98" s="769"/>
      <c r="KJT98" s="769"/>
      <c r="KJU98" s="769"/>
      <c r="KJV98" s="769"/>
      <c r="KJW98" s="769"/>
      <c r="KJX98" s="769"/>
      <c r="KJY98" s="769"/>
      <c r="KJZ98" s="769"/>
      <c r="KKA98" s="769"/>
      <c r="KKB98" s="769"/>
      <c r="KKC98" s="769"/>
      <c r="KKD98" s="769"/>
      <c r="KKE98" s="769"/>
      <c r="KKF98" s="769"/>
      <c r="KKG98" s="769"/>
      <c r="KKH98" s="769"/>
      <c r="KKI98" s="769"/>
      <c r="KKJ98" s="769"/>
      <c r="KKK98" s="769"/>
      <c r="KKL98" s="769"/>
      <c r="KKM98" s="769"/>
      <c r="KKN98" s="769"/>
      <c r="KKO98" s="769"/>
      <c r="KKP98" s="769"/>
      <c r="KKQ98" s="769"/>
      <c r="KKR98" s="769"/>
      <c r="KKS98" s="769"/>
      <c r="KKT98" s="769"/>
      <c r="KKU98" s="769"/>
      <c r="KKV98" s="769"/>
      <c r="KKW98" s="769"/>
      <c r="KKX98" s="769"/>
      <c r="KKY98" s="769"/>
      <c r="KKZ98" s="769"/>
      <c r="KLA98" s="769"/>
      <c r="KLB98" s="769"/>
      <c r="KLC98" s="769"/>
      <c r="KLD98" s="769"/>
      <c r="KLE98" s="769"/>
      <c r="KLF98" s="769"/>
      <c r="KLG98" s="769"/>
      <c r="KLH98" s="769"/>
      <c r="KLI98" s="769"/>
      <c r="KLJ98" s="769"/>
      <c r="KLK98" s="769"/>
      <c r="KLL98" s="769"/>
      <c r="KLM98" s="769"/>
      <c r="KLN98" s="769"/>
      <c r="KLO98" s="769"/>
      <c r="KLP98" s="769"/>
      <c r="KLQ98" s="769"/>
      <c r="KLR98" s="769"/>
      <c r="KLS98" s="769"/>
      <c r="KLT98" s="769"/>
      <c r="KLU98" s="769"/>
      <c r="KLV98" s="769"/>
      <c r="KLW98" s="769"/>
      <c r="KLX98" s="769"/>
      <c r="KLY98" s="769"/>
      <c r="KLZ98" s="769"/>
      <c r="KMA98" s="769"/>
      <c r="KMB98" s="769"/>
      <c r="KMC98" s="769"/>
      <c r="KMD98" s="769"/>
      <c r="KME98" s="769"/>
      <c r="KMF98" s="769"/>
      <c r="KMG98" s="769"/>
      <c r="KMH98" s="769"/>
      <c r="KMI98" s="769"/>
      <c r="KMJ98" s="769"/>
      <c r="KMK98" s="769"/>
      <c r="KML98" s="769"/>
      <c r="KMM98" s="769"/>
      <c r="KMN98" s="769"/>
      <c r="KMO98" s="769"/>
      <c r="KMP98" s="769"/>
      <c r="KMQ98" s="769"/>
      <c r="KMR98" s="769"/>
      <c r="KMS98" s="769"/>
      <c r="KMT98" s="769"/>
      <c r="KMU98" s="769"/>
      <c r="KMV98" s="769"/>
      <c r="KMW98" s="769"/>
      <c r="KMX98" s="769"/>
      <c r="KMY98" s="769"/>
      <c r="KMZ98" s="769"/>
      <c r="KNA98" s="769"/>
      <c r="KNB98" s="769"/>
      <c r="KNC98" s="769"/>
      <c r="KND98" s="769"/>
      <c r="KNE98" s="769"/>
      <c r="KNF98" s="769"/>
      <c r="KNG98" s="769"/>
      <c r="KNH98" s="769"/>
      <c r="KNI98" s="769"/>
      <c r="KNJ98" s="769"/>
      <c r="KNK98" s="769"/>
      <c r="KNL98" s="769"/>
      <c r="KNM98" s="769"/>
      <c r="KNN98" s="769"/>
      <c r="KNO98" s="769"/>
      <c r="KNP98" s="769"/>
      <c r="KNQ98" s="769"/>
      <c r="KNR98" s="769"/>
      <c r="KNS98" s="769"/>
      <c r="KNT98" s="769"/>
      <c r="KNU98" s="769"/>
      <c r="KNV98" s="769"/>
      <c r="KNW98" s="769"/>
      <c r="KNX98" s="769"/>
      <c r="KNY98" s="769"/>
      <c r="KNZ98" s="769"/>
      <c r="KOA98" s="769"/>
      <c r="KOB98" s="769"/>
      <c r="KOC98" s="769"/>
      <c r="KOD98" s="769"/>
      <c r="KOE98" s="769"/>
      <c r="KOF98" s="769"/>
      <c r="KOG98" s="769"/>
      <c r="KOH98" s="769"/>
      <c r="KOI98" s="769"/>
      <c r="KOJ98" s="769"/>
      <c r="KOK98" s="769"/>
      <c r="KOL98" s="769"/>
      <c r="KOM98" s="769"/>
      <c r="KON98" s="769"/>
      <c r="KOO98" s="769"/>
      <c r="KOP98" s="769"/>
      <c r="KOQ98" s="769"/>
      <c r="KOR98" s="769"/>
      <c r="KOS98" s="769"/>
      <c r="KOT98" s="769"/>
      <c r="KOU98" s="769"/>
      <c r="KOV98" s="769"/>
      <c r="KOW98" s="769"/>
      <c r="KOX98" s="769"/>
      <c r="KOY98" s="769"/>
      <c r="KOZ98" s="769"/>
      <c r="KPA98" s="769"/>
      <c r="KPB98" s="769"/>
      <c r="KPC98" s="769"/>
      <c r="KPD98" s="769"/>
      <c r="KPE98" s="769"/>
      <c r="KPF98" s="769"/>
      <c r="KPG98" s="769"/>
      <c r="KPH98" s="769"/>
      <c r="KPI98" s="769"/>
      <c r="KPJ98" s="769"/>
      <c r="KPK98" s="769"/>
      <c r="KPL98" s="769"/>
      <c r="KPM98" s="769"/>
      <c r="KPN98" s="769"/>
      <c r="KPO98" s="769"/>
      <c r="KPP98" s="769"/>
      <c r="KPQ98" s="769"/>
      <c r="KPR98" s="769"/>
      <c r="KPS98" s="769"/>
      <c r="KPT98" s="769"/>
      <c r="KPU98" s="769"/>
      <c r="KPV98" s="769"/>
      <c r="KPW98" s="769"/>
      <c r="KPX98" s="769"/>
      <c r="KPY98" s="769"/>
      <c r="KPZ98" s="769"/>
      <c r="KQA98" s="769"/>
      <c r="KQB98" s="769"/>
      <c r="KQC98" s="769"/>
      <c r="KQD98" s="769"/>
      <c r="KQE98" s="769"/>
      <c r="KQF98" s="769"/>
      <c r="KQG98" s="769"/>
      <c r="KQH98" s="769"/>
      <c r="KQI98" s="769"/>
      <c r="KQJ98" s="769"/>
      <c r="KQK98" s="769"/>
      <c r="KQL98" s="769"/>
      <c r="KQM98" s="769"/>
      <c r="KQN98" s="769"/>
      <c r="KQO98" s="769"/>
      <c r="KQP98" s="769"/>
      <c r="KQQ98" s="769"/>
      <c r="KQR98" s="769"/>
      <c r="KQS98" s="769"/>
      <c r="KQT98" s="769"/>
      <c r="KQU98" s="769"/>
      <c r="KQV98" s="769"/>
      <c r="KQW98" s="769"/>
      <c r="KQX98" s="769"/>
      <c r="KQY98" s="769"/>
      <c r="KQZ98" s="769"/>
      <c r="KRA98" s="769"/>
      <c r="KRB98" s="769"/>
      <c r="KRC98" s="769"/>
      <c r="KRD98" s="769"/>
      <c r="KRE98" s="769"/>
      <c r="KRF98" s="769"/>
      <c r="KRG98" s="769"/>
      <c r="KRH98" s="769"/>
      <c r="KRI98" s="769"/>
      <c r="KRJ98" s="769"/>
      <c r="KRK98" s="769"/>
      <c r="KRL98" s="769"/>
      <c r="KRM98" s="769"/>
      <c r="KRN98" s="769"/>
      <c r="KRO98" s="769"/>
      <c r="KRP98" s="769"/>
      <c r="KRQ98" s="769"/>
      <c r="KRR98" s="769"/>
      <c r="KRS98" s="769"/>
      <c r="KRT98" s="769"/>
      <c r="KRU98" s="769"/>
      <c r="KRV98" s="769"/>
      <c r="KRW98" s="769"/>
      <c r="KRX98" s="769"/>
      <c r="KRY98" s="769"/>
      <c r="KRZ98" s="769"/>
      <c r="KSA98" s="769"/>
      <c r="KSB98" s="769"/>
      <c r="KSC98" s="769"/>
      <c r="KSD98" s="769"/>
      <c r="KSE98" s="769"/>
      <c r="KSF98" s="769"/>
      <c r="KSG98" s="769"/>
      <c r="KSH98" s="769"/>
      <c r="KSI98" s="769"/>
      <c r="KSJ98" s="769"/>
      <c r="KSK98" s="769"/>
      <c r="KSL98" s="769"/>
      <c r="KSM98" s="769"/>
      <c r="KSN98" s="769"/>
      <c r="KSO98" s="769"/>
      <c r="KSP98" s="769"/>
      <c r="KSQ98" s="769"/>
      <c r="KSR98" s="769"/>
      <c r="KSS98" s="769"/>
      <c r="KST98" s="769"/>
      <c r="KSU98" s="769"/>
      <c r="KSV98" s="769"/>
      <c r="KSW98" s="769"/>
      <c r="KSX98" s="769"/>
      <c r="KSY98" s="769"/>
      <c r="KSZ98" s="769"/>
      <c r="KTA98" s="769"/>
      <c r="KTB98" s="769"/>
      <c r="KTC98" s="769"/>
      <c r="KTD98" s="769"/>
      <c r="KTE98" s="769"/>
      <c r="KTF98" s="769"/>
      <c r="KTG98" s="769"/>
      <c r="KTH98" s="769"/>
      <c r="KTI98" s="769"/>
      <c r="KTJ98" s="769"/>
      <c r="KTK98" s="769"/>
      <c r="KTL98" s="769"/>
      <c r="KTM98" s="769"/>
      <c r="KTN98" s="769"/>
      <c r="KTO98" s="769"/>
      <c r="KTP98" s="769"/>
      <c r="KTQ98" s="769"/>
      <c r="KTR98" s="769"/>
      <c r="KTS98" s="769"/>
      <c r="KTT98" s="769"/>
      <c r="KTU98" s="769"/>
      <c r="KTV98" s="769"/>
      <c r="KTW98" s="769"/>
      <c r="KTX98" s="769"/>
      <c r="KTY98" s="769"/>
      <c r="KTZ98" s="769"/>
      <c r="KUA98" s="769"/>
      <c r="KUB98" s="769"/>
      <c r="KUC98" s="769"/>
      <c r="KUD98" s="769"/>
      <c r="KUE98" s="769"/>
      <c r="KUF98" s="769"/>
      <c r="KUG98" s="769"/>
      <c r="KUH98" s="769"/>
      <c r="KUI98" s="769"/>
      <c r="KUJ98" s="769"/>
      <c r="KUK98" s="769"/>
      <c r="KUL98" s="769"/>
      <c r="KUM98" s="769"/>
      <c r="KUN98" s="769"/>
      <c r="KUO98" s="769"/>
      <c r="KUP98" s="769"/>
      <c r="KUQ98" s="769"/>
      <c r="KUR98" s="769"/>
      <c r="KUS98" s="769"/>
      <c r="KUT98" s="769"/>
      <c r="KUU98" s="769"/>
      <c r="KUV98" s="769"/>
      <c r="KUW98" s="769"/>
      <c r="KUX98" s="769"/>
      <c r="KUY98" s="769"/>
      <c r="KUZ98" s="769"/>
      <c r="KVA98" s="769"/>
      <c r="KVB98" s="769"/>
      <c r="KVC98" s="769"/>
      <c r="KVD98" s="769"/>
      <c r="KVE98" s="769"/>
      <c r="KVF98" s="769"/>
      <c r="KVG98" s="769"/>
      <c r="KVH98" s="769"/>
      <c r="KVI98" s="769"/>
      <c r="KVJ98" s="769"/>
      <c r="KVK98" s="769"/>
      <c r="KVL98" s="769"/>
      <c r="KVM98" s="769"/>
      <c r="KVN98" s="769"/>
      <c r="KVO98" s="769"/>
      <c r="KVP98" s="769"/>
      <c r="KVQ98" s="769"/>
      <c r="KVR98" s="769"/>
      <c r="KVS98" s="769"/>
      <c r="KVT98" s="769"/>
      <c r="KVU98" s="769"/>
      <c r="KVV98" s="769"/>
      <c r="KVW98" s="769"/>
      <c r="KVX98" s="769"/>
      <c r="KVY98" s="769"/>
      <c r="KVZ98" s="769"/>
      <c r="KWA98" s="769"/>
      <c r="KWB98" s="769"/>
      <c r="KWC98" s="769"/>
      <c r="KWD98" s="769"/>
      <c r="KWE98" s="769"/>
      <c r="KWF98" s="769"/>
      <c r="KWG98" s="769"/>
      <c r="KWH98" s="769"/>
      <c r="KWI98" s="769"/>
      <c r="KWJ98" s="769"/>
      <c r="KWK98" s="769"/>
      <c r="KWL98" s="769"/>
      <c r="KWM98" s="769"/>
      <c r="KWN98" s="769"/>
      <c r="KWO98" s="769"/>
      <c r="KWP98" s="769"/>
      <c r="KWQ98" s="769"/>
      <c r="KWR98" s="769"/>
      <c r="KWS98" s="769"/>
      <c r="KWT98" s="769"/>
      <c r="KWU98" s="769"/>
      <c r="KWV98" s="769"/>
      <c r="KWW98" s="769"/>
      <c r="KWX98" s="769"/>
      <c r="KWY98" s="769"/>
      <c r="KWZ98" s="769"/>
      <c r="KXA98" s="769"/>
      <c r="KXB98" s="769"/>
      <c r="KXC98" s="769"/>
      <c r="KXD98" s="769"/>
      <c r="KXE98" s="769"/>
      <c r="KXF98" s="769"/>
      <c r="KXG98" s="769"/>
      <c r="KXH98" s="769"/>
      <c r="KXI98" s="769"/>
      <c r="KXJ98" s="769"/>
      <c r="KXK98" s="769"/>
      <c r="KXL98" s="769"/>
      <c r="KXM98" s="769"/>
      <c r="KXN98" s="769"/>
      <c r="KXO98" s="769"/>
      <c r="KXP98" s="769"/>
      <c r="KXQ98" s="769"/>
      <c r="KXR98" s="769"/>
      <c r="KXS98" s="769"/>
      <c r="KXT98" s="769"/>
      <c r="KXU98" s="769"/>
      <c r="KXV98" s="769"/>
      <c r="KXW98" s="769"/>
      <c r="KXX98" s="769"/>
      <c r="KXY98" s="769"/>
      <c r="KXZ98" s="769"/>
      <c r="KYA98" s="769"/>
      <c r="KYB98" s="769"/>
      <c r="KYC98" s="769"/>
      <c r="KYD98" s="769"/>
      <c r="KYE98" s="769"/>
      <c r="KYF98" s="769"/>
      <c r="KYG98" s="769"/>
      <c r="KYH98" s="769"/>
      <c r="KYI98" s="769"/>
      <c r="KYJ98" s="769"/>
      <c r="KYK98" s="769"/>
      <c r="KYL98" s="769"/>
      <c r="KYM98" s="769"/>
      <c r="KYN98" s="769"/>
      <c r="KYO98" s="769"/>
      <c r="KYP98" s="769"/>
      <c r="KYQ98" s="769"/>
      <c r="KYR98" s="769"/>
      <c r="KYS98" s="769"/>
      <c r="KYT98" s="769"/>
      <c r="KYU98" s="769"/>
      <c r="KYV98" s="769"/>
      <c r="KYW98" s="769"/>
      <c r="KYX98" s="769"/>
      <c r="KYY98" s="769"/>
      <c r="KYZ98" s="769"/>
      <c r="KZA98" s="769"/>
      <c r="KZB98" s="769"/>
      <c r="KZC98" s="769"/>
      <c r="KZD98" s="769"/>
      <c r="KZE98" s="769"/>
      <c r="KZF98" s="769"/>
      <c r="KZG98" s="769"/>
      <c r="KZH98" s="769"/>
      <c r="KZI98" s="769"/>
      <c r="KZJ98" s="769"/>
      <c r="KZK98" s="769"/>
      <c r="KZL98" s="769"/>
      <c r="KZM98" s="769"/>
      <c r="KZN98" s="769"/>
      <c r="KZO98" s="769"/>
      <c r="KZP98" s="769"/>
      <c r="KZQ98" s="769"/>
      <c r="KZR98" s="769"/>
      <c r="KZS98" s="769"/>
      <c r="KZT98" s="769"/>
      <c r="KZU98" s="769"/>
      <c r="KZV98" s="769"/>
      <c r="KZW98" s="769"/>
      <c r="KZX98" s="769"/>
      <c r="KZY98" s="769"/>
      <c r="KZZ98" s="769"/>
      <c r="LAA98" s="769"/>
      <c r="LAB98" s="769"/>
      <c r="LAC98" s="769"/>
      <c r="LAD98" s="769"/>
      <c r="LAE98" s="769"/>
      <c r="LAF98" s="769"/>
      <c r="LAG98" s="769"/>
      <c r="LAH98" s="769"/>
      <c r="LAI98" s="769"/>
      <c r="LAJ98" s="769"/>
      <c r="LAK98" s="769"/>
      <c r="LAL98" s="769"/>
      <c r="LAM98" s="769"/>
      <c r="LAN98" s="769"/>
      <c r="LAO98" s="769"/>
      <c r="LAP98" s="769"/>
      <c r="LAQ98" s="769"/>
      <c r="LAR98" s="769"/>
      <c r="LAS98" s="769"/>
      <c r="LAT98" s="769"/>
      <c r="LAU98" s="769"/>
      <c r="LAV98" s="769"/>
      <c r="LAW98" s="769"/>
      <c r="LAX98" s="769"/>
      <c r="LAY98" s="769"/>
      <c r="LAZ98" s="769"/>
      <c r="LBA98" s="769"/>
      <c r="LBB98" s="769"/>
      <c r="LBC98" s="769"/>
      <c r="LBD98" s="769"/>
      <c r="LBE98" s="769"/>
      <c r="LBF98" s="769"/>
      <c r="LBG98" s="769"/>
      <c r="LBH98" s="769"/>
      <c r="LBI98" s="769"/>
      <c r="LBJ98" s="769"/>
      <c r="LBK98" s="769"/>
      <c r="LBL98" s="769"/>
      <c r="LBM98" s="769"/>
      <c r="LBN98" s="769"/>
      <c r="LBO98" s="769"/>
      <c r="LBP98" s="769"/>
      <c r="LBQ98" s="769"/>
      <c r="LBR98" s="769"/>
      <c r="LBS98" s="769"/>
      <c r="LBT98" s="769"/>
      <c r="LBU98" s="769"/>
      <c r="LBV98" s="769"/>
      <c r="LBW98" s="769"/>
      <c r="LBX98" s="769"/>
      <c r="LBY98" s="769"/>
      <c r="LBZ98" s="769"/>
      <c r="LCA98" s="769"/>
      <c r="LCB98" s="769"/>
      <c r="LCC98" s="769"/>
      <c r="LCD98" s="769"/>
      <c r="LCE98" s="769"/>
      <c r="LCF98" s="769"/>
      <c r="LCG98" s="769"/>
      <c r="LCH98" s="769"/>
      <c r="LCI98" s="769"/>
      <c r="LCJ98" s="769"/>
      <c r="LCK98" s="769"/>
      <c r="LCL98" s="769"/>
      <c r="LCM98" s="769"/>
      <c r="LCN98" s="769"/>
      <c r="LCO98" s="769"/>
      <c r="LCP98" s="769"/>
      <c r="LCQ98" s="769"/>
      <c r="LCR98" s="769"/>
      <c r="LCS98" s="769"/>
      <c r="LCT98" s="769"/>
      <c r="LCU98" s="769"/>
      <c r="LCV98" s="769"/>
      <c r="LCW98" s="769"/>
      <c r="LCX98" s="769"/>
      <c r="LCY98" s="769"/>
      <c r="LCZ98" s="769"/>
      <c r="LDA98" s="769"/>
      <c r="LDB98" s="769"/>
      <c r="LDC98" s="769"/>
      <c r="LDD98" s="769"/>
      <c r="LDE98" s="769"/>
      <c r="LDF98" s="769"/>
      <c r="LDG98" s="769"/>
      <c r="LDH98" s="769"/>
      <c r="LDI98" s="769"/>
      <c r="LDJ98" s="769"/>
      <c r="LDK98" s="769"/>
      <c r="LDL98" s="769"/>
      <c r="LDM98" s="769"/>
      <c r="LDN98" s="769"/>
      <c r="LDO98" s="769"/>
      <c r="LDP98" s="769"/>
      <c r="LDQ98" s="769"/>
      <c r="LDR98" s="769"/>
      <c r="LDS98" s="769"/>
      <c r="LDT98" s="769"/>
      <c r="LDU98" s="769"/>
      <c r="LDV98" s="769"/>
      <c r="LDW98" s="769"/>
      <c r="LDX98" s="769"/>
      <c r="LDY98" s="769"/>
      <c r="LDZ98" s="769"/>
      <c r="LEA98" s="769"/>
      <c r="LEB98" s="769"/>
      <c r="LEC98" s="769"/>
      <c r="LED98" s="769"/>
      <c r="LEE98" s="769"/>
      <c r="LEF98" s="769"/>
      <c r="LEG98" s="769"/>
      <c r="LEH98" s="769"/>
      <c r="LEI98" s="769"/>
      <c r="LEJ98" s="769"/>
      <c r="LEK98" s="769"/>
      <c r="LEL98" s="769"/>
      <c r="LEM98" s="769"/>
      <c r="LEN98" s="769"/>
      <c r="LEO98" s="769"/>
      <c r="LEP98" s="769"/>
      <c r="LEQ98" s="769"/>
      <c r="LER98" s="769"/>
      <c r="LES98" s="769"/>
      <c r="LET98" s="769"/>
      <c r="LEU98" s="769"/>
      <c r="LEV98" s="769"/>
      <c r="LEW98" s="769"/>
      <c r="LEX98" s="769"/>
      <c r="LEY98" s="769"/>
      <c r="LEZ98" s="769"/>
      <c r="LFA98" s="769"/>
      <c r="LFB98" s="769"/>
      <c r="LFC98" s="769"/>
      <c r="LFD98" s="769"/>
      <c r="LFE98" s="769"/>
      <c r="LFF98" s="769"/>
      <c r="LFG98" s="769"/>
      <c r="LFH98" s="769"/>
      <c r="LFI98" s="769"/>
      <c r="LFJ98" s="769"/>
      <c r="LFK98" s="769"/>
      <c r="LFL98" s="769"/>
      <c r="LFM98" s="769"/>
      <c r="LFN98" s="769"/>
      <c r="LFO98" s="769"/>
      <c r="LFP98" s="769"/>
      <c r="LFQ98" s="769"/>
      <c r="LFR98" s="769"/>
      <c r="LFS98" s="769"/>
      <c r="LFT98" s="769"/>
      <c r="LFU98" s="769"/>
      <c r="LFV98" s="769"/>
      <c r="LFW98" s="769"/>
      <c r="LFX98" s="769"/>
      <c r="LFY98" s="769"/>
      <c r="LFZ98" s="769"/>
      <c r="LGA98" s="769"/>
      <c r="LGB98" s="769"/>
      <c r="LGC98" s="769"/>
      <c r="LGD98" s="769"/>
      <c r="LGE98" s="769"/>
      <c r="LGF98" s="769"/>
      <c r="LGG98" s="769"/>
      <c r="LGH98" s="769"/>
      <c r="LGI98" s="769"/>
      <c r="LGJ98" s="769"/>
      <c r="LGK98" s="769"/>
      <c r="LGL98" s="769"/>
      <c r="LGM98" s="769"/>
      <c r="LGN98" s="769"/>
      <c r="LGO98" s="769"/>
      <c r="LGP98" s="769"/>
      <c r="LGQ98" s="769"/>
      <c r="LGR98" s="769"/>
      <c r="LGS98" s="769"/>
      <c r="LGT98" s="769"/>
      <c r="LGU98" s="769"/>
      <c r="LGV98" s="769"/>
      <c r="LGW98" s="769"/>
      <c r="LGX98" s="769"/>
      <c r="LGY98" s="769"/>
      <c r="LGZ98" s="769"/>
      <c r="LHA98" s="769"/>
      <c r="LHB98" s="769"/>
      <c r="LHC98" s="769"/>
      <c r="LHD98" s="769"/>
      <c r="LHE98" s="769"/>
      <c r="LHF98" s="769"/>
      <c r="LHG98" s="769"/>
      <c r="LHH98" s="769"/>
      <c r="LHI98" s="769"/>
      <c r="LHJ98" s="769"/>
      <c r="LHK98" s="769"/>
      <c r="LHL98" s="769"/>
      <c r="LHM98" s="769"/>
      <c r="LHN98" s="769"/>
      <c r="LHO98" s="769"/>
      <c r="LHP98" s="769"/>
      <c r="LHQ98" s="769"/>
      <c r="LHR98" s="769"/>
      <c r="LHS98" s="769"/>
      <c r="LHT98" s="769"/>
      <c r="LHU98" s="769"/>
      <c r="LHV98" s="769"/>
      <c r="LHW98" s="769"/>
      <c r="LHX98" s="769"/>
      <c r="LHY98" s="769"/>
      <c r="LHZ98" s="769"/>
      <c r="LIA98" s="769"/>
      <c r="LIB98" s="769"/>
      <c r="LIC98" s="769"/>
      <c r="LID98" s="769"/>
      <c r="LIE98" s="769"/>
      <c r="LIF98" s="769"/>
      <c r="LIG98" s="769"/>
      <c r="LIH98" s="769"/>
      <c r="LII98" s="769"/>
      <c r="LIJ98" s="769"/>
      <c r="LIK98" s="769"/>
      <c r="LIL98" s="769"/>
      <c r="LIM98" s="769"/>
      <c r="LIN98" s="769"/>
      <c r="LIO98" s="769"/>
      <c r="LIP98" s="769"/>
      <c r="LIQ98" s="769"/>
      <c r="LIR98" s="769"/>
      <c r="LIS98" s="769"/>
      <c r="LIT98" s="769"/>
      <c r="LIU98" s="769"/>
      <c r="LIV98" s="769"/>
      <c r="LIW98" s="769"/>
      <c r="LIX98" s="769"/>
      <c r="LIY98" s="769"/>
      <c r="LIZ98" s="769"/>
      <c r="LJA98" s="769"/>
      <c r="LJB98" s="769"/>
      <c r="LJC98" s="769"/>
      <c r="LJD98" s="769"/>
      <c r="LJE98" s="769"/>
      <c r="LJF98" s="769"/>
      <c r="LJG98" s="769"/>
      <c r="LJH98" s="769"/>
      <c r="LJI98" s="769"/>
      <c r="LJJ98" s="769"/>
      <c r="LJK98" s="769"/>
      <c r="LJL98" s="769"/>
      <c r="LJM98" s="769"/>
      <c r="LJN98" s="769"/>
      <c r="LJO98" s="769"/>
      <c r="LJP98" s="769"/>
      <c r="LJQ98" s="769"/>
      <c r="LJR98" s="769"/>
      <c r="LJS98" s="769"/>
      <c r="LJT98" s="769"/>
      <c r="LJU98" s="769"/>
      <c r="LJV98" s="769"/>
      <c r="LJW98" s="769"/>
      <c r="LJX98" s="769"/>
      <c r="LJY98" s="769"/>
      <c r="LJZ98" s="769"/>
      <c r="LKA98" s="769"/>
      <c r="LKB98" s="769"/>
      <c r="LKC98" s="769"/>
      <c r="LKD98" s="769"/>
      <c r="LKE98" s="769"/>
      <c r="LKF98" s="769"/>
      <c r="LKG98" s="769"/>
      <c r="LKH98" s="769"/>
      <c r="LKI98" s="769"/>
      <c r="LKJ98" s="769"/>
      <c r="LKK98" s="769"/>
      <c r="LKL98" s="769"/>
      <c r="LKM98" s="769"/>
      <c r="LKN98" s="769"/>
      <c r="LKO98" s="769"/>
      <c r="LKP98" s="769"/>
      <c r="LKQ98" s="769"/>
      <c r="LKR98" s="769"/>
      <c r="LKS98" s="769"/>
      <c r="LKT98" s="769"/>
      <c r="LKU98" s="769"/>
      <c r="LKV98" s="769"/>
      <c r="LKW98" s="769"/>
      <c r="LKX98" s="769"/>
      <c r="LKY98" s="769"/>
      <c r="LKZ98" s="769"/>
      <c r="LLA98" s="769"/>
      <c r="LLB98" s="769"/>
      <c r="LLC98" s="769"/>
      <c r="LLD98" s="769"/>
      <c r="LLE98" s="769"/>
      <c r="LLF98" s="769"/>
      <c r="LLG98" s="769"/>
      <c r="LLH98" s="769"/>
      <c r="LLI98" s="769"/>
      <c r="LLJ98" s="769"/>
      <c r="LLK98" s="769"/>
      <c r="LLL98" s="769"/>
      <c r="LLM98" s="769"/>
      <c r="LLN98" s="769"/>
      <c r="LLO98" s="769"/>
      <c r="LLP98" s="769"/>
      <c r="LLQ98" s="769"/>
      <c r="LLR98" s="769"/>
      <c r="LLS98" s="769"/>
      <c r="LLT98" s="769"/>
      <c r="LLU98" s="769"/>
      <c r="LLV98" s="769"/>
      <c r="LLW98" s="769"/>
      <c r="LLX98" s="769"/>
      <c r="LLY98" s="769"/>
      <c r="LLZ98" s="769"/>
      <c r="LMA98" s="769"/>
      <c r="LMB98" s="769"/>
      <c r="LMC98" s="769"/>
      <c r="LMD98" s="769"/>
      <c r="LME98" s="769"/>
      <c r="LMF98" s="769"/>
      <c r="LMG98" s="769"/>
      <c r="LMH98" s="769"/>
      <c r="LMI98" s="769"/>
      <c r="LMJ98" s="769"/>
      <c r="LMK98" s="769"/>
      <c r="LML98" s="769"/>
      <c r="LMM98" s="769"/>
      <c r="LMN98" s="769"/>
      <c r="LMO98" s="769"/>
      <c r="LMP98" s="769"/>
      <c r="LMQ98" s="769"/>
      <c r="LMR98" s="769"/>
      <c r="LMS98" s="769"/>
      <c r="LMT98" s="769"/>
      <c r="LMU98" s="769"/>
      <c r="LMV98" s="769"/>
      <c r="LMW98" s="769"/>
      <c r="LMX98" s="769"/>
      <c r="LMY98" s="769"/>
      <c r="LMZ98" s="769"/>
      <c r="LNA98" s="769"/>
      <c r="LNB98" s="769"/>
      <c r="LNC98" s="769"/>
      <c r="LND98" s="769"/>
      <c r="LNE98" s="769"/>
      <c r="LNF98" s="769"/>
      <c r="LNG98" s="769"/>
      <c r="LNH98" s="769"/>
      <c r="LNI98" s="769"/>
      <c r="LNJ98" s="769"/>
      <c r="LNK98" s="769"/>
      <c r="LNL98" s="769"/>
      <c r="LNM98" s="769"/>
      <c r="LNN98" s="769"/>
      <c r="LNO98" s="769"/>
      <c r="LNP98" s="769"/>
      <c r="LNQ98" s="769"/>
      <c r="LNR98" s="769"/>
      <c r="LNS98" s="769"/>
      <c r="LNT98" s="769"/>
      <c r="LNU98" s="769"/>
      <c r="LNV98" s="769"/>
      <c r="LNW98" s="769"/>
      <c r="LNX98" s="769"/>
      <c r="LNY98" s="769"/>
      <c r="LNZ98" s="769"/>
      <c r="LOA98" s="769"/>
      <c r="LOB98" s="769"/>
      <c r="LOC98" s="769"/>
      <c r="LOD98" s="769"/>
      <c r="LOE98" s="769"/>
      <c r="LOF98" s="769"/>
      <c r="LOG98" s="769"/>
      <c r="LOH98" s="769"/>
      <c r="LOI98" s="769"/>
      <c r="LOJ98" s="769"/>
      <c r="LOK98" s="769"/>
      <c r="LOL98" s="769"/>
      <c r="LOM98" s="769"/>
      <c r="LON98" s="769"/>
      <c r="LOO98" s="769"/>
      <c r="LOP98" s="769"/>
      <c r="LOQ98" s="769"/>
      <c r="LOR98" s="769"/>
      <c r="LOS98" s="769"/>
      <c r="LOT98" s="769"/>
      <c r="LOU98" s="769"/>
      <c r="LOV98" s="769"/>
      <c r="LOW98" s="769"/>
      <c r="LOX98" s="769"/>
      <c r="LOY98" s="769"/>
      <c r="LOZ98" s="769"/>
      <c r="LPA98" s="769"/>
      <c r="LPB98" s="769"/>
      <c r="LPC98" s="769"/>
      <c r="LPD98" s="769"/>
      <c r="LPE98" s="769"/>
      <c r="LPF98" s="769"/>
      <c r="LPG98" s="769"/>
      <c r="LPH98" s="769"/>
      <c r="LPI98" s="769"/>
      <c r="LPJ98" s="769"/>
      <c r="LPK98" s="769"/>
      <c r="LPL98" s="769"/>
      <c r="LPM98" s="769"/>
      <c r="LPN98" s="769"/>
      <c r="LPO98" s="769"/>
      <c r="LPP98" s="769"/>
      <c r="LPQ98" s="769"/>
      <c r="LPR98" s="769"/>
      <c r="LPS98" s="769"/>
      <c r="LPT98" s="769"/>
      <c r="LPU98" s="769"/>
      <c r="LPV98" s="769"/>
      <c r="LPW98" s="769"/>
      <c r="LPX98" s="769"/>
      <c r="LPY98" s="769"/>
      <c r="LPZ98" s="769"/>
      <c r="LQA98" s="769"/>
      <c r="LQB98" s="769"/>
      <c r="LQC98" s="769"/>
      <c r="LQD98" s="769"/>
      <c r="LQE98" s="769"/>
      <c r="LQF98" s="769"/>
      <c r="LQG98" s="769"/>
      <c r="LQH98" s="769"/>
      <c r="LQI98" s="769"/>
      <c r="LQJ98" s="769"/>
      <c r="LQK98" s="769"/>
      <c r="LQL98" s="769"/>
      <c r="LQM98" s="769"/>
      <c r="LQN98" s="769"/>
      <c r="LQO98" s="769"/>
      <c r="LQP98" s="769"/>
      <c r="LQQ98" s="769"/>
      <c r="LQR98" s="769"/>
      <c r="LQS98" s="769"/>
      <c r="LQT98" s="769"/>
      <c r="LQU98" s="769"/>
      <c r="LQV98" s="769"/>
      <c r="LQW98" s="769"/>
      <c r="LQX98" s="769"/>
      <c r="LQY98" s="769"/>
      <c r="LQZ98" s="769"/>
      <c r="LRA98" s="769"/>
      <c r="LRB98" s="769"/>
      <c r="LRC98" s="769"/>
      <c r="LRD98" s="769"/>
      <c r="LRE98" s="769"/>
      <c r="LRF98" s="769"/>
      <c r="LRG98" s="769"/>
      <c r="LRH98" s="769"/>
      <c r="LRI98" s="769"/>
      <c r="LRJ98" s="769"/>
      <c r="LRK98" s="769"/>
      <c r="LRL98" s="769"/>
      <c r="LRM98" s="769"/>
      <c r="LRN98" s="769"/>
      <c r="LRO98" s="769"/>
      <c r="LRP98" s="769"/>
      <c r="LRQ98" s="769"/>
      <c r="LRR98" s="769"/>
      <c r="LRS98" s="769"/>
      <c r="LRT98" s="769"/>
      <c r="LRU98" s="769"/>
      <c r="LRV98" s="769"/>
      <c r="LRW98" s="769"/>
      <c r="LRX98" s="769"/>
      <c r="LRY98" s="769"/>
      <c r="LRZ98" s="769"/>
      <c r="LSA98" s="769"/>
      <c r="LSB98" s="769"/>
      <c r="LSC98" s="769"/>
      <c r="LSD98" s="769"/>
      <c r="LSE98" s="769"/>
      <c r="LSF98" s="769"/>
      <c r="LSG98" s="769"/>
      <c r="LSH98" s="769"/>
      <c r="LSI98" s="769"/>
      <c r="LSJ98" s="769"/>
      <c r="LSK98" s="769"/>
      <c r="LSL98" s="769"/>
      <c r="LSM98" s="769"/>
      <c r="LSN98" s="769"/>
      <c r="LSO98" s="769"/>
      <c r="LSP98" s="769"/>
      <c r="LSQ98" s="769"/>
      <c r="LSR98" s="769"/>
      <c r="LSS98" s="769"/>
      <c r="LST98" s="769"/>
      <c r="LSU98" s="769"/>
      <c r="LSV98" s="769"/>
      <c r="LSW98" s="769"/>
      <c r="LSX98" s="769"/>
      <c r="LSY98" s="769"/>
      <c r="LSZ98" s="769"/>
      <c r="LTA98" s="769"/>
      <c r="LTB98" s="769"/>
      <c r="LTC98" s="769"/>
      <c r="LTD98" s="769"/>
      <c r="LTE98" s="769"/>
      <c r="LTF98" s="769"/>
      <c r="LTG98" s="769"/>
      <c r="LTH98" s="769"/>
      <c r="LTI98" s="769"/>
      <c r="LTJ98" s="769"/>
      <c r="LTK98" s="769"/>
      <c r="LTL98" s="769"/>
      <c r="LTM98" s="769"/>
      <c r="LTN98" s="769"/>
      <c r="LTO98" s="769"/>
      <c r="LTP98" s="769"/>
      <c r="LTQ98" s="769"/>
      <c r="LTR98" s="769"/>
      <c r="LTS98" s="769"/>
      <c r="LTT98" s="769"/>
      <c r="LTU98" s="769"/>
      <c r="LTV98" s="769"/>
      <c r="LTW98" s="769"/>
      <c r="LTX98" s="769"/>
      <c r="LTY98" s="769"/>
      <c r="LTZ98" s="769"/>
      <c r="LUA98" s="769"/>
      <c r="LUB98" s="769"/>
      <c r="LUC98" s="769"/>
      <c r="LUD98" s="769"/>
      <c r="LUE98" s="769"/>
      <c r="LUF98" s="769"/>
      <c r="LUG98" s="769"/>
      <c r="LUH98" s="769"/>
      <c r="LUI98" s="769"/>
      <c r="LUJ98" s="769"/>
      <c r="LUK98" s="769"/>
      <c r="LUL98" s="769"/>
      <c r="LUM98" s="769"/>
      <c r="LUN98" s="769"/>
      <c r="LUO98" s="769"/>
      <c r="LUP98" s="769"/>
      <c r="LUQ98" s="769"/>
      <c r="LUR98" s="769"/>
      <c r="LUS98" s="769"/>
      <c r="LUT98" s="769"/>
      <c r="LUU98" s="769"/>
      <c r="LUV98" s="769"/>
      <c r="LUW98" s="769"/>
      <c r="LUX98" s="769"/>
      <c r="LUY98" s="769"/>
      <c r="LUZ98" s="769"/>
      <c r="LVA98" s="769"/>
      <c r="LVB98" s="769"/>
      <c r="LVC98" s="769"/>
      <c r="LVD98" s="769"/>
      <c r="LVE98" s="769"/>
      <c r="LVF98" s="769"/>
      <c r="LVG98" s="769"/>
      <c r="LVH98" s="769"/>
      <c r="LVI98" s="769"/>
      <c r="LVJ98" s="769"/>
      <c r="LVK98" s="769"/>
      <c r="LVL98" s="769"/>
      <c r="LVM98" s="769"/>
      <c r="LVN98" s="769"/>
      <c r="LVO98" s="769"/>
      <c r="LVP98" s="769"/>
      <c r="LVQ98" s="769"/>
      <c r="LVR98" s="769"/>
      <c r="LVS98" s="769"/>
      <c r="LVT98" s="769"/>
      <c r="LVU98" s="769"/>
      <c r="LVV98" s="769"/>
      <c r="LVW98" s="769"/>
      <c r="LVX98" s="769"/>
      <c r="LVY98" s="769"/>
      <c r="LVZ98" s="769"/>
      <c r="LWA98" s="769"/>
      <c r="LWB98" s="769"/>
      <c r="LWC98" s="769"/>
      <c r="LWD98" s="769"/>
      <c r="LWE98" s="769"/>
      <c r="LWF98" s="769"/>
      <c r="LWG98" s="769"/>
      <c r="LWH98" s="769"/>
      <c r="LWI98" s="769"/>
      <c r="LWJ98" s="769"/>
      <c r="LWK98" s="769"/>
      <c r="LWL98" s="769"/>
      <c r="LWM98" s="769"/>
      <c r="LWN98" s="769"/>
      <c r="LWO98" s="769"/>
      <c r="LWP98" s="769"/>
      <c r="LWQ98" s="769"/>
      <c r="LWR98" s="769"/>
      <c r="LWS98" s="769"/>
      <c r="LWT98" s="769"/>
      <c r="LWU98" s="769"/>
      <c r="LWV98" s="769"/>
      <c r="LWW98" s="769"/>
      <c r="LWX98" s="769"/>
      <c r="LWY98" s="769"/>
      <c r="LWZ98" s="769"/>
      <c r="LXA98" s="769"/>
      <c r="LXB98" s="769"/>
      <c r="LXC98" s="769"/>
      <c r="LXD98" s="769"/>
      <c r="LXE98" s="769"/>
      <c r="LXF98" s="769"/>
      <c r="LXG98" s="769"/>
      <c r="LXH98" s="769"/>
      <c r="LXI98" s="769"/>
      <c r="LXJ98" s="769"/>
      <c r="LXK98" s="769"/>
      <c r="LXL98" s="769"/>
      <c r="LXM98" s="769"/>
      <c r="LXN98" s="769"/>
      <c r="LXO98" s="769"/>
      <c r="LXP98" s="769"/>
      <c r="LXQ98" s="769"/>
      <c r="LXR98" s="769"/>
      <c r="LXS98" s="769"/>
      <c r="LXT98" s="769"/>
      <c r="LXU98" s="769"/>
      <c r="LXV98" s="769"/>
      <c r="LXW98" s="769"/>
      <c r="LXX98" s="769"/>
      <c r="LXY98" s="769"/>
      <c r="LXZ98" s="769"/>
      <c r="LYA98" s="769"/>
      <c r="LYB98" s="769"/>
      <c r="LYC98" s="769"/>
      <c r="LYD98" s="769"/>
      <c r="LYE98" s="769"/>
      <c r="LYF98" s="769"/>
      <c r="LYG98" s="769"/>
      <c r="LYH98" s="769"/>
      <c r="LYI98" s="769"/>
      <c r="LYJ98" s="769"/>
      <c r="LYK98" s="769"/>
      <c r="LYL98" s="769"/>
      <c r="LYM98" s="769"/>
      <c r="LYN98" s="769"/>
      <c r="LYO98" s="769"/>
      <c r="LYP98" s="769"/>
      <c r="LYQ98" s="769"/>
      <c r="LYR98" s="769"/>
      <c r="LYS98" s="769"/>
      <c r="LYT98" s="769"/>
      <c r="LYU98" s="769"/>
      <c r="LYV98" s="769"/>
      <c r="LYW98" s="769"/>
      <c r="LYX98" s="769"/>
      <c r="LYY98" s="769"/>
      <c r="LYZ98" s="769"/>
      <c r="LZA98" s="769"/>
      <c r="LZB98" s="769"/>
      <c r="LZC98" s="769"/>
      <c r="LZD98" s="769"/>
      <c r="LZE98" s="769"/>
      <c r="LZF98" s="769"/>
      <c r="LZG98" s="769"/>
      <c r="LZH98" s="769"/>
      <c r="LZI98" s="769"/>
      <c r="LZJ98" s="769"/>
      <c r="LZK98" s="769"/>
      <c r="LZL98" s="769"/>
      <c r="LZM98" s="769"/>
      <c r="LZN98" s="769"/>
      <c r="LZO98" s="769"/>
      <c r="LZP98" s="769"/>
      <c r="LZQ98" s="769"/>
      <c r="LZR98" s="769"/>
      <c r="LZS98" s="769"/>
      <c r="LZT98" s="769"/>
      <c r="LZU98" s="769"/>
      <c r="LZV98" s="769"/>
      <c r="LZW98" s="769"/>
      <c r="LZX98" s="769"/>
      <c r="LZY98" s="769"/>
      <c r="LZZ98" s="769"/>
      <c r="MAA98" s="769"/>
      <c r="MAB98" s="769"/>
      <c r="MAC98" s="769"/>
      <c r="MAD98" s="769"/>
      <c r="MAE98" s="769"/>
      <c r="MAF98" s="769"/>
      <c r="MAG98" s="769"/>
      <c r="MAH98" s="769"/>
      <c r="MAI98" s="769"/>
      <c r="MAJ98" s="769"/>
      <c r="MAK98" s="769"/>
      <c r="MAL98" s="769"/>
      <c r="MAM98" s="769"/>
      <c r="MAN98" s="769"/>
      <c r="MAO98" s="769"/>
      <c r="MAP98" s="769"/>
      <c r="MAQ98" s="769"/>
      <c r="MAR98" s="769"/>
      <c r="MAS98" s="769"/>
      <c r="MAT98" s="769"/>
      <c r="MAU98" s="769"/>
      <c r="MAV98" s="769"/>
      <c r="MAW98" s="769"/>
      <c r="MAX98" s="769"/>
      <c r="MAY98" s="769"/>
      <c r="MAZ98" s="769"/>
      <c r="MBA98" s="769"/>
      <c r="MBB98" s="769"/>
      <c r="MBC98" s="769"/>
      <c r="MBD98" s="769"/>
      <c r="MBE98" s="769"/>
      <c r="MBF98" s="769"/>
      <c r="MBG98" s="769"/>
      <c r="MBH98" s="769"/>
      <c r="MBI98" s="769"/>
      <c r="MBJ98" s="769"/>
      <c r="MBK98" s="769"/>
      <c r="MBL98" s="769"/>
      <c r="MBM98" s="769"/>
      <c r="MBN98" s="769"/>
      <c r="MBO98" s="769"/>
      <c r="MBP98" s="769"/>
      <c r="MBQ98" s="769"/>
      <c r="MBR98" s="769"/>
      <c r="MBS98" s="769"/>
      <c r="MBT98" s="769"/>
      <c r="MBU98" s="769"/>
      <c r="MBV98" s="769"/>
      <c r="MBW98" s="769"/>
      <c r="MBX98" s="769"/>
      <c r="MBY98" s="769"/>
      <c r="MBZ98" s="769"/>
      <c r="MCA98" s="769"/>
      <c r="MCB98" s="769"/>
      <c r="MCC98" s="769"/>
      <c r="MCD98" s="769"/>
      <c r="MCE98" s="769"/>
      <c r="MCF98" s="769"/>
      <c r="MCG98" s="769"/>
      <c r="MCH98" s="769"/>
      <c r="MCI98" s="769"/>
      <c r="MCJ98" s="769"/>
      <c r="MCK98" s="769"/>
      <c r="MCL98" s="769"/>
      <c r="MCM98" s="769"/>
      <c r="MCN98" s="769"/>
      <c r="MCO98" s="769"/>
      <c r="MCP98" s="769"/>
      <c r="MCQ98" s="769"/>
      <c r="MCR98" s="769"/>
      <c r="MCS98" s="769"/>
      <c r="MCT98" s="769"/>
      <c r="MCU98" s="769"/>
      <c r="MCV98" s="769"/>
      <c r="MCW98" s="769"/>
      <c r="MCX98" s="769"/>
      <c r="MCY98" s="769"/>
      <c r="MCZ98" s="769"/>
      <c r="MDA98" s="769"/>
      <c r="MDB98" s="769"/>
      <c r="MDC98" s="769"/>
      <c r="MDD98" s="769"/>
      <c r="MDE98" s="769"/>
      <c r="MDF98" s="769"/>
      <c r="MDG98" s="769"/>
      <c r="MDH98" s="769"/>
      <c r="MDI98" s="769"/>
      <c r="MDJ98" s="769"/>
      <c r="MDK98" s="769"/>
      <c r="MDL98" s="769"/>
      <c r="MDM98" s="769"/>
      <c r="MDN98" s="769"/>
      <c r="MDO98" s="769"/>
      <c r="MDP98" s="769"/>
      <c r="MDQ98" s="769"/>
      <c r="MDR98" s="769"/>
      <c r="MDS98" s="769"/>
      <c r="MDT98" s="769"/>
      <c r="MDU98" s="769"/>
      <c r="MDV98" s="769"/>
      <c r="MDW98" s="769"/>
      <c r="MDX98" s="769"/>
      <c r="MDY98" s="769"/>
      <c r="MDZ98" s="769"/>
      <c r="MEA98" s="769"/>
      <c r="MEB98" s="769"/>
      <c r="MEC98" s="769"/>
      <c r="MED98" s="769"/>
      <c r="MEE98" s="769"/>
      <c r="MEF98" s="769"/>
      <c r="MEG98" s="769"/>
      <c r="MEH98" s="769"/>
      <c r="MEI98" s="769"/>
      <c r="MEJ98" s="769"/>
      <c r="MEK98" s="769"/>
      <c r="MEL98" s="769"/>
      <c r="MEM98" s="769"/>
      <c r="MEN98" s="769"/>
      <c r="MEO98" s="769"/>
      <c r="MEP98" s="769"/>
      <c r="MEQ98" s="769"/>
      <c r="MER98" s="769"/>
      <c r="MES98" s="769"/>
      <c r="MET98" s="769"/>
      <c r="MEU98" s="769"/>
      <c r="MEV98" s="769"/>
      <c r="MEW98" s="769"/>
      <c r="MEX98" s="769"/>
      <c r="MEY98" s="769"/>
      <c r="MEZ98" s="769"/>
      <c r="MFA98" s="769"/>
      <c r="MFB98" s="769"/>
      <c r="MFC98" s="769"/>
      <c r="MFD98" s="769"/>
      <c r="MFE98" s="769"/>
      <c r="MFF98" s="769"/>
      <c r="MFG98" s="769"/>
      <c r="MFH98" s="769"/>
      <c r="MFI98" s="769"/>
      <c r="MFJ98" s="769"/>
      <c r="MFK98" s="769"/>
      <c r="MFL98" s="769"/>
      <c r="MFM98" s="769"/>
      <c r="MFN98" s="769"/>
      <c r="MFO98" s="769"/>
      <c r="MFP98" s="769"/>
      <c r="MFQ98" s="769"/>
      <c r="MFR98" s="769"/>
      <c r="MFS98" s="769"/>
      <c r="MFT98" s="769"/>
      <c r="MFU98" s="769"/>
      <c r="MFV98" s="769"/>
      <c r="MFW98" s="769"/>
      <c r="MFX98" s="769"/>
      <c r="MFY98" s="769"/>
      <c r="MFZ98" s="769"/>
      <c r="MGA98" s="769"/>
      <c r="MGB98" s="769"/>
      <c r="MGC98" s="769"/>
      <c r="MGD98" s="769"/>
      <c r="MGE98" s="769"/>
      <c r="MGF98" s="769"/>
      <c r="MGG98" s="769"/>
      <c r="MGH98" s="769"/>
      <c r="MGI98" s="769"/>
      <c r="MGJ98" s="769"/>
      <c r="MGK98" s="769"/>
      <c r="MGL98" s="769"/>
      <c r="MGM98" s="769"/>
      <c r="MGN98" s="769"/>
      <c r="MGO98" s="769"/>
      <c r="MGP98" s="769"/>
      <c r="MGQ98" s="769"/>
      <c r="MGR98" s="769"/>
      <c r="MGS98" s="769"/>
      <c r="MGT98" s="769"/>
      <c r="MGU98" s="769"/>
      <c r="MGV98" s="769"/>
      <c r="MGW98" s="769"/>
      <c r="MGX98" s="769"/>
      <c r="MGY98" s="769"/>
      <c r="MGZ98" s="769"/>
      <c r="MHA98" s="769"/>
      <c r="MHB98" s="769"/>
      <c r="MHC98" s="769"/>
      <c r="MHD98" s="769"/>
      <c r="MHE98" s="769"/>
      <c r="MHF98" s="769"/>
      <c r="MHG98" s="769"/>
      <c r="MHH98" s="769"/>
      <c r="MHI98" s="769"/>
      <c r="MHJ98" s="769"/>
      <c r="MHK98" s="769"/>
      <c r="MHL98" s="769"/>
      <c r="MHM98" s="769"/>
      <c r="MHN98" s="769"/>
      <c r="MHO98" s="769"/>
      <c r="MHP98" s="769"/>
      <c r="MHQ98" s="769"/>
      <c r="MHR98" s="769"/>
      <c r="MHS98" s="769"/>
      <c r="MHT98" s="769"/>
      <c r="MHU98" s="769"/>
      <c r="MHV98" s="769"/>
      <c r="MHW98" s="769"/>
      <c r="MHX98" s="769"/>
      <c r="MHY98" s="769"/>
      <c r="MHZ98" s="769"/>
      <c r="MIA98" s="769"/>
      <c r="MIB98" s="769"/>
      <c r="MIC98" s="769"/>
      <c r="MID98" s="769"/>
      <c r="MIE98" s="769"/>
      <c r="MIF98" s="769"/>
      <c r="MIG98" s="769"/>
      <c r="MIH98" s="769"/>
      <c r="MII98" s="769"/>
      <c r="MIJ98" s="769"/>
      <c r="MIK98" s="769"/>
      <c r="MIL98" s="769"/>
      <c r="MIM98" s="769"/>
      <c r="MIN98" s="769"/>
      <c r="MIO98" s="769"/>
      <c r="MIP98" s="769"/>
      <c r="MIQ98" s="769"/>
      <c r="MIR98" s="769"/>
      <c r="MIS98" s="769"/>
      <c r="MIT98" s="769"/>
      <c r="MIU98" s="769"/>
      <c r="MIV98" s="769"/>
      <c r="MIW98" s="769"/>
      <c r="MIX98" s="769"/>
      <c r="MIY98" s="769"/>
      <c r="MIZ98" s="769"/>
      <c r="MJA98" s="769"/>
      <c r="MJB98" s="769"/>
      <c r="MJC98" s="769"/>
      <c r="MJD98" s="769"/>
      <c r="MJE98" s="769"/>
      <c r="MJF98" s="769"/>
      <c r="MJG98" s="769"/>
      <c r="MJH98" s="769"/>
      <c r="MJI98" s="769"/>
      <c r="MJJ98" s="769"/>
      <c r="MJK98" s="769"/>
      <c r="MJL98" s="769"/>
      <c r="MJM98" s="769"/>
      <c r="MJN98" s="769"/>
      <c r="MJO98" s="769"/>
      <c r="MJP98" s="769"/>
      <c r="MJQ98" s="769"/>
      <c r="MJR98" s="769"/>
      <c r="MJS98" s="769"/>
      <c r="MJT98" s="769"/>
      <c r="MJU98" s="769"/>
      <c r="MJV98" s="769"/>
      <c r="MJW98" s="769"/>
      <c r="MJX98" s="769"/>
      <c r="MJY98" s="769"/>
      <c r="MJZ98" s="769"/>
      <c r="MKA98" s="769"/>
      <c r="MKB98" s="769"/>
      <c r="MKC98" s="769"/>
      <c r="MKD98" s="769"/>
      <c r="MKE98" s="769"/>
      <c r="MKF98" s="769"/>
      <c r="MKG98" s="769"/>
      <c r="MKH98" s="769"/>
      <c r="MKI98" s="769"/>
      <c r="MKJ98" s="769"/>
      <c r="MKK98" s="769"/>
      <c r="MKL98" s="769"/>
      <c r="MKM98" s="769"/>
      <c r="MKN98" s="769"/>
      <c r="MKO98" s="769"/>
      <c r="MKP98" s="769"/>
      <c r="MKQ98" s="769"/>
      <c r="MKR98" s="769"/>
      <c r="MKS98" s="769"/>
      <c r="MKT98" s="769"/>
      <c r="MKU98" s="769"/>
      <c r="MKV98" s="769"/>
      <c r="MKW98" s="769"/>
      <c r="MKX98" s="769"/>
      <c r="MKY98" s="769"/>
      <c r="MKZ98" s="769"/>
      <c r="MLA98" s="769"/>
      <c r="MLB98" s="769"/>
      <c r="MLC98" s="769"/>
      <c r="MLD98" s="769"/>
      <c r="MLE98" s="769"/>
      <c r="MLF98" s="769"/>
      <c r="MLG98" s="769"/>
      <c r="MLH98" s="769"/>
      <c r="MLI98" s="769"/>
      <c r="MLJ98" s="769"/>
      <c r="MLK98" s="769"/>
      <c r="MLL98" s="769"/>
      <c r="MLM98" s="769"/>
      <c r="MLN98" s="769"/>
      <c r="MLO98" s="769"/>
      <c r="MLP98" s="769"/>
      <c r="MLQ98" s="769"/>
      <c r="MLR98" s="769"/>
      <c r="MLS98" s="769"/>
      <c r="MLT98" s="769"/>
      <c r="MLU98" s="769"/>
      <c r="MLV98" s="769"/>
      <c r="MLW98" s="769"/>
      <c r="MLX98" s="769"/>
      <c r="MLY98" s="769"/>
      <c r="MLZ98" s="769"/>
      <c r="MMA98" s="769"/>
      <c r="MMB98" s="769"/>
      <c r="MMC98" s="769"/>
      <c r="MMD98" s="769"/>
      <c r="MME98" s="769"/>
      <c r="MMF98" s="769"/>
      <c r="MMG98" s="769"/>
      <c r="MMH98" s="769"/>
      <c r="MMI98" s="769"/>
      <c r="MMJ98" s="769"/>
      <c r="MMK98" s="769"/>
      <c r="MML98" s="769"/>
      <c r="MMM98" s="769"/>
      <c r="MMN98" s="769"/>
      <c r="MMO98" s="769"/>
      <c r="MMP98" s="769"/>
      <c r="MMQ98" s="769"/>
      <c r="MMR98" s="769"/>
      <c r="MMS98" s="769"/>
      <c r="MMT98" s="769"/>
      <c r="MMU98" s="769"/>
      <c r="MMV98" s="769"/>
      <c r="MMW98" s="769"/>
      <c r="MMX98" s="769"/>
      <c r="MMY98" s="769"/>
      <c r="MMZ98" s="769"/>
      <c r="MNA98" s="769"/>
      <c r="MNB98" s="769"/>
      <c r="MNC98" s="769"/>
      <c r="MND98" s="769"/>
      <c r="MNE98" s="769"/>
      <c r="MNF98" s="769"/>
      <c r="MNG98" s="769"/>
      <c r="MNH98" s="769"/>
      <c r="MNI98" s="769"/>
      <c r="MNJ98" s="769"/>
      <c r="MNK98" s="769"/>
      <c r="MNL98" s="769"/>
      <c r="MNM98" s="769"/>
      <c r="MNN98" s="769"/>
      <c r="MNO98" s="769"/>
      <c r="MNP98" s="769"/>
      <c r="MNQ98" s="769"/>
      <c r="MNR98" s="769"/>
      <c r="MNS98" s="769"/>
      <c r="MNT98" s="769"/>
      <c r="MNU98" s="769"/>
      <c r="MNV98" s="769"/>
      <c r="MNW98" s="769"/>
      <c r="MNX98" s="769"/>
      <c r="MNY98" s="769"/>
      <c r="MNZ98" s="769"/>
      <c r="MOA98" s="769"/>
      <c r="MOB98" s="769"/>
      <c r="MOC98" s="769"/>
      <c r="MOD98" s="769"/>
      <c r="MOE98" s="769"/>
      <c r="MOF98" s="769"/>
      <c r="MOG98" s="769"/>
      <c r="MOH98" s="769"/>
      <c r="MOI98" s="769"/>
      <c r="MOJ98" s="769"/>
      <c r="MOK98" s="769"/>
      <c r="MOL98" s="769"/>
      <c r="MOM98" s="769"/>
      <c r="MON98" s="769"/>
      <c r="MOO98" s="769"/>
      <c r="MOP98" s="769"/>
      <c r="MOQ98" s="769"/>
      <c r="MOR98" s="769"/>
      <c r="MOS98" s="769"/>
      <c r="MOT98" s="769"/>
      <c r="MOU98" s="769"/>
      <c r="MOV98" s="769"/>
      <c r="MOW98" s="769"/>
      <c r="MOX98" s="769"/>
      <c r="MOY98" s="769"/>
      <c r="MOZ98" s="769"/>
      <c r="MPA98" s="769"/>
      <c r="MPB98" s="769"/>
      <c r="MPC98" s="769"/>
      <c r="MPD98" s="769"/>
      <c r="MPE98" s="769"/>
      <c r="MPF98" s="769"/>
      <c r="MPG98" s="769"/>
      <c r="MPH98" s="769"/>
      <c r="MPI98" s="769"/>
      <c r="MPJ98" s="769"/>
      <c r="MPK98" s="769"/>
      <c r="MPL98" s="769"/>
      <c r="MPM98" s="769"/>
      <c r="MPN98" s="769"/>
      <c r="MPO98" s="769"/>
      <c r="MPP98" s="769"/>
      <c r="MPQ98" s="769"/>
      <c r="MPR98" s="769"/>
      <c r="MPS98" s="769"/>
      <c r="MPT98" s="769"/>
      <c r="MPU98" s="769"/>
      <c r="MPV98" s="769"/>
      <c r="MPW98" s="769"/>
      <c r="MPX98" s="769"/>
      <c r="MPY98" s="769"/>
      <c r="MPZ98" s="769"/>
      <c r="MQA98" s="769"/>
      <c r="MQB98" s="769"/>
      <c r="MQC98" s="769"/>
      <c r="MQD98" s="769"/>
      <c r="MQE98" s="769"/>
      <c r="MQF98" s="769"/>
      <c r="MQG98" s="769"/>
      <c r="MQH98" s="769"/>
      <c r="MQI98" s="769"/>
      <c r="MQJ98" s="769"/>
      <c r="MQK98" s="769"/>
      <c r="MQL98" s="769"/>
      <c r="MQM98" s="769"/>
      <c r="MQN98" s="769"/>
      <c r="MQO98" s="769"/>
      <c r="MQP98" s="769"/>
      <c r="MQQ98" s="769"/>
      <c r="MQR98" s="769"/>
      <c r="MQS98" s="769"/>
      <c r="MQT98" s="769"/>
      <c r="MQU98" s="769"/>
      <c r="MQV98" s="769"/>
      <c r="MQW98" s="769"/>
      <c r="MQX98" s="769"/>
      <c r="MQY98" s="769"/>
      <c r="MQZ98" s="769"/>
      <c r="MRA98" s="769"/>
      <c r="MRB98" s="769"/>
      <c r="MRC98" s="769"/>
      <c r="MRD98" s="769"/>
      <c r="MRE98" s="769"/>
      <c r="MRF98" s="769"/>
      <c r="MRG98" s="769"/>
      <c r="MRH98" s="769"/>
      <c r="MRI98" s="769"/>
      <c r="MRJ98" s="769"/>
      <c r="MRK98" s="769"/>
      <c r="MRL98" s="769"/>
      <c r="MRM98" s="769"/>
      <c r="MRN98" s="769"/>
      <c r="MRO98" s="769"/>
      <c r="MRP98" s="769"/>
      <c r="MRQ98" s="769"/>
      <c r="MRR98" s="769"/>
      <c r="MRS98" s="769"/>
      <c r="MRT98" s="769"/>
      <c r="MRU98" s="769"/>
      <c r="MRV98" s="769"/>
      <c r="MRW98" s="769"/>
      <c r="MRX98" s="769"/>
      <c r="MRY98" s="769"/>
      <c r="MRZ98" s="769"/>
      <c r="MSA98" s="769"/>
      <c r="MSB98" s="769"/>
      <c r="MSC98" s="769"/>
      <c r="MSD98" s="769"/>
      <c r="MSE98" s="769"/>
      <c r="MSF98" s="769"/>
      <c r="MSG98" s="769"/>
      <c r="MSH98" s="769"/>
      <c r="MSI98" s="769"/>
      <c r="MSJ98" s="769"/>
      <c r="MSK98" s="769"/>
      <c r="MSL98" s="769"/>
      <c r="MSM98" s="769"/>
      <c r="MSN98" s="769"/>
      <c r="MSO98" s="769"/>
      <c r="MSP98" s="769"/>
      <c r="MSQ98" s="769"/>
      <c r="MSR98" s="769"/>
      <c r="MSS98" s="769"/>
      <c r="MST98" s="769"/>
      <c r="MSU98" s="769"/>
      <c r="MSV98" s="769"/>
      <c r="MSW98" s="769"/>
      <c r="MSX98" s="769"/>
      <c r="MSY98" s="769"/>
      <c r="MSZ98" s="769"/>
      <c r="MTA98" s="769"/>
      <c r="MTB98" s="769"/>
      <c r="MTC98" s="769"/>
      <c r="MTD98" s="769"/>
      <c r="MTE98" s="769"/>
      <c r="MTF98" s="769"/>
      <c r="MTG98" s="769"/>
      <c r="MTH98" s="769"/>
      <c r="MTI98" s="769"/>
      <c r="MTJ98" s="769"/>
      <c r="MTK98" s="769"/>
      <c r="MTL98" s="769"/>
      <c r="MTM98" s="769"/>
      <c r="MTN98" s="769"/>
      <c r="MTO98" s="769"/>
      <c r="MTP98" s="769"/>
      <c r="MTQ98" s="769"/>
      <c r="MTR98" s="769"/>
      <c r="MTS98" s="769"/>
      <c r="MTT98" s="769"/>
      <c r="MTU98" s="769"/>
      <c r="MTV98" s="769"/>
      <c r="MTW98" s="769"/>
      <c r="MTX98" s="769"/>
      <c r="MTY98" s="769"/>
      <c r="MTZ98" s="769"/>
      <c r="MUA98" s="769"/>
      <c r="MUB98" s="769"/>
      <c r="MUC98" s="769"/>
      <c r="MUD98" s="769"/>
      <c r="MUE98" s="769"/>
      <c r="MUF98" s="769"/>
      <c r="MUG98" s="769"/>
      <c r="MUH98" s="769"/>
      <c r="MUI98" s="769"/>
      <c r="MUJ98" s="769"/>
      <c r="MUK98" s="769"/>
      <c r="MUL98" s="769"/>
      <c r="MUM98" s="769"/>
      <c r="MUN98" s="769"/>
      <c r="MUO98" s="769"/>
      <c r="MUP98" s="769"/>
      <c r="MUQ98" s="769"/>
      <c r="MUR98" s="769"/>
      <c r="MUS98" s="769"/>
      <c r="MUT98" s="769"/>
      <c r="MUU98" s="769"/>
      <c r="MUV98" s="769"/>
      <c r="MUW98" s="769"/>
      <c r="MUX98" s="769"/>
      <c r="MUY98" s="769"/>
      <c r="MUZ98" s="769"/>
      <c r="MVA98" s="769"/>
      <c r="MVB98" s="769"/>
      <c r="MVC98" s="769"/>
      <c r="MVD98" s="769"/>
      <c r="MVE98" s="769"/>
      <c r="MVF98" s="769"/>
      <c r="MVG98" s="769"/>
      <c r="MVH98" s="769"/>
      <c r="MVI98" s="769"/>
      <c r="MVJ98" s="769"/>
      <c r="MVK98" s="769"/>
      <c r="MVL98" s="769"/>
      <c r="MVM98" s="769"/>
      <c r="MVN98" s="769"/>
      <c r="MVO98" s="769"/>
      <c r="MVP98" s="769"/>
      <c r="MVQ98" s="769"/>
      <c r="MVR98" s="769"/>
      <c r="MVS98" s="769"/>
      <c r="MVT98" s="769"/>
      <c r="MVU98" s="769"/>
      <c r="MVV98" s="769"/>
      <c r="MVW98" s="769"/>
      <c r="MVX98" s="769"/>
      <c r="MVY98" s="769"/>
      <c r="MVZ98" s="769"/>
      <c r="MWA98" s="769"/>
      <c r="MWB98" s="769"/>
      <c r="MWC98" s="769"/>
      <c r="MWD98" s="769"/>
      <c r="MWE98" s="769"/>
      <c r="MWF98" s="769"/>
      <c r="MWG98" s="769"/>
      <c r="MWH98" s="769"/>
      <c r="MWI98" s="769"/>
      <c r="MWJ98" s="769"/>
      <c r="MWK98" s="769"/>
      <c r="MWL98" s="769"/>
      <c r="MWM98" s="769"/>
      <c r="MWN98" s="769"/>
      <c r="MWO98" s="769"/>
      <c r="MWP98" s="769"/>
      <c r="MWQ98" s="769"/>
      <c r="MWR98" s="769"/>
      <c r="MWS98" s="769"/>
      <c r="MWT98" s="769"/>
      <c r="MWU98" s="769"/>
      <c r="MWV98" s="769"/>
      <c r="MWW98" s="769"/>
      <c r="MWX98" s="769"/>
      <c r="MWY98" s="769"/>
      <c r="MWZ98" s="769"/>
      <c r="MXA98" s="769"/>
      <c r="MXB98" s="769"/>
      <c r="MXC98" s="769"/>
      <c r="MXD98" s="769"/>
      <c r="MXE98" s="769"/>
      <c r="MXF98" s="769"/>
      <c r="MXG98" s="769"/>
      <c r="MXH98" s="769"/>
      <c r="MXI98" s="769"/>
      <c r="MXJ98" s="769"/>
      <c r="MXK98" s="769"/>
      <c r="MXL98" s="769"/>
      <c r="MXM98" s="769"/>
      <c r="MXN98" s="769"/>
      <c r="MXO98" s="769"/>
      <c r="MXP98" s="769"/>
      <c r="MXQ98" s="769"/>
      <c r="MXR98" s="769"/>
      <c r="MXS98" s="769"/>
      <c r="MXT98" s="769"/>
      <c r="MXU98" s="769"/>
      <c r="MXV98" s="769"/>
      <c r="MXW98" s="769"/>
      <c r="MXX98" s="769"/>
      <c r="MXY98" s="769"/>
      <c r="MXZ98" s="769"/>
      <c r="MYA98" s="769"/>
      <c r="MYB98" s="769"/>
      <c r="MYC98" s="769"/>
      <c r="MYD98" s="769"/>
      <c r="MYE98" s="769"/>
      <c r="MYF98" s="769"/>
      <c r="MYG98" s="769"/>
      <c r="MYH98" s="769"/>
      <c r="MYI98" s="769"/>
      <c r="MYJ98" s="769"/>
      <c r="MYK98" s="769"/>
      <c r="MYL98" s="769"/>
      <c r="MYM98" s="769"/>
      <c r="MYN98" s="769"/>
      <c r="MYO98" s="769"/>
      <c r="MYP98" s="769"/>
      <c r="MYQ98" s="769"/>
      <c r="MYR98" s="769"/>
      <c r="MYS98" s="769"/>
      <c r="MYT98" s="769"/>
      <c r="MYU98" s="769"/>
      <c r="MYV98" s="769"/>
      <c r="MYW98" s="769"/>
      <c r="MYX98" s="769"/>
      <c r="MYY98" s="769"/>
      <c r="MYZ98" s="769"/>
      <c r="MZA98" s="769"/>
      <c r="MZB98" s="769"/>
      <c r="MZC98" s="769"/>
      <c r="MZD98" s="769"/>
      <c r="MZE98" s="769"/>
      <c r="MZF98" s="769"/>
      <c r="MZG98" s="769"/>
      <c r="MZH98" s="769"/>
      <c r="MZI98" s="769"/>
      <c r="MZJ98" s="769"/>
      <c r="MZK98" s="769"/>
      <c r="MZL98" s="769"/>
      <c r="MZM98" s="769"/>
      <c r="MZN98" s="769"/>
      <c r="MZO98" s="769"/>
      <c r="MZP98" s="769"/>
      <c r="MZQ98" s="769"/>
      <c r="MZR98" s="769"/>
      <c r="MZS98" s="769"/>
      <c r="MZT98" s="769"/>
      <c r="MZU98" s="769"/>
      <c r="MZV98" s="769"/>
      <c r="MZW98" s="769"/>
      <c r="MZX98" s="769"/>
      <c r="MZY98" s="769"/>
      <c r="MZZ98" s="769"/>
      <c r="NAA98" s="769"/>
      <c r="NAB98" s="769"/>
      <c r="NAC98" s="769"/>
      <c r="NAD98" s="769"/>
      <c r="NAE98" s="769"/>
      <c r="NAF98" s="769"/>
      <c r="NAG98" s="769"/>
      <c r="NAH98" s="769"/>
      <c r="NAI98" s="769"/>
      <c r="NAJ98" s="769"/>
      <c r="NAK98" s="769"/>
      <c r="NAL98" s="769"/>
      <c r="NAM98" s="769"/>
      <c r="NAN98" s="769"/>
      <c r="NAO98" s="769"/>
      <c r="NAP98" s="769"/>
      <c r="NAQ98" s="769"/>
      <c r="NAR98" s="769"/>
      <c r="NAS98" s="769"/>
      <c r="NAT98" s="769"/>
      <c r="NAU98" s="769"/>
      <c r="NAV98" s="769"/>
      <c r="NAW98" s="769"/>
      <c r="NAX98" s="769"/>
      <c r="NAY98" s="769"/>
      <c r="NAZ98" s="769"/>
      <c r="NBA98" s="769"/>
      <c r="NBB98" s="769"/>
      <c r="NBC98" s="769"/>
      <c r="NBD98" s="769"/>
      <c r="NBE98" s="769"/>
      <c r="NBF98" s="769"/>
      <c r="NBG98" s="769"/>
      <c r="NBH98" s="769"/>
      <c r="NBI98" s="769"/>
      <c r="NBJ98" s="769"/>
      <c r="NBK98" s="769"/>
      <c r="NBL98" s="769"/>
      <c r="NBM98" s="769"/>
      <c r="NBN98" s="769"/>
      <c r="NBO98" s="769"/>
      <c r="NBP98" s="769"/>
      <c r="NBQ98" s="769"/>
      <c r="NBR98" s="769"/>
      <c r="NBS98" s="769"/>
      <c r="NBT98" s="769"/>
      <c r="NBU98" s="769"/>
      <c r="NBV98" s="769"/>
      <c r="NBW98" s="769"/>
      <c r="NBX98" s="769"/>
      <c r="NBY98" s="769"/>
      <c r="NBZ98" s="769"/>
      <c r="NCA98" s="769"/>
      <c r="NCB98" s="769"/>
      <c r="NCC98" s="769"/>
      <c r="NCD98" s="769"/>
      <c r="NCE98" s="769"/>
      <c r="NCF98" s="769"/>
      <c r="NCG98" s="769"/>
      <c r="NCH98" s="769"/>
      <c r="NCI98" s="769"/>
      <c r="NCJ98" s="769"/>
      <c r="NCK98" s="769"/>
      <c r="NCL98" s="769"/>
      <c r="NCM98" s="769"/>
      <c r="NCN98" s="769"/>
      <c r="NCO98" s="769"/>
      <c r="NCP98" s="769"/>
      <c r="NCQ98" s="769"/>
      <c r="NCR98" s="769"/>
      <c r="NCS98" s="769"/>
      <c r="NCT98" s="769"/>
      <c r="NCU98" s="769"/>
      <c r="NCV98" s="769"/>
      <c r="NCW98" s="769"/>
      <c r="NCX98" s="769"/>
      <c r="NCY98" s="769"/>
      <c r="NCZ98" s="769"/>
      <c r="NDA98" s="769"/>
      <c r="NDB98" s="769"/>
      <c r="NDC98" s="769"/>
      <c r="NDD98" s="769"/>
      <c r="NDE98" s="769"/>
      <c r="NDF98" s="769"/>
      <c r="NDG98" s="769"/>
      <c r="NDH98" s="769"/>
      <c r="NDI98" s="769"/>
      <c r="NDJ98" s="769"/>
      <c r="NDK98" s="769"/>
      <c r="NDL98" s="769"/>
      <c r="NDM98" s="769"/>
      <c r="NDN98" s="769"/>
      <c r="NDO98" s="769"/>
      <c r="NDP98" s="769"/>
      <c r="NDQ98" s="769"/>
      <c r="NDR98" s="769"/>
      <c r="NDS98" s="769"/>
      <c r="NDT98" s="769"/>
      <c r="NDU98" s="769"/>
      <c r="NDV98" s="769"/>
      <c r="NDW98" s="769"/>
      <c r="NDX98" s="769"/>
      <c r="NDY98" s="769"/>
      <c r="NDZ98" s="769"/>
      <c r="NEA98" s="769"/>
      <c r="NEB98" s="769"/>
      <c r="NEC98" s="769"/>
      <c r="NED98" s="769"/>
      <c r="NEE98" s="769"/>
      <c r="NEF98" s="769"/>
      <c r="NEG98" s="769"/>
      <c r="NEH98" s="769"/>
      <c r="NEI98" s="769"/>
      <c r="NEJ98" s="769"/>
      <c r="NEK98" s="769"/>
      <c r="NEL98" s="769"/>
      <c r="NEM98" s="769"/>
      <c r="NEN98" s="769"/>
      <c r="NEO98" s="769"/>
      <c r="NEP98" s="769"/>
      <c r="NEQ98" s="769"/>
      <c r="NER98" s="769"/>
      <c r="NES98" s="769"/>
      <c r="NET98" s="769"/>
      <c r="NEU98" s="769"/>
      <c r="NEV98" s="769"/>
      <c r="NEW98" s="769"/>
      <c r="NEX98" s="769"/>
      <c r="NEY98" s="769"/>
      <c r="NEZ98" s="769"/>
      <c r="NFA98" s="769"/>
      <c r="NFB98" s="769"/>
      <c r="NFC98" s="769"/>
      <c r="NFD98" s="769"/>
      <c r="NFE98" s="769"/>
      <c r="NFF98" s="769"/>
      <c r="NFG98" s="769"/>
      <c r="NFH98" s="769"/>
      <c r="NFI98" s="769"/>
      <c r="NFJ98" s="769"/>
      <c r="NFK98" s="769"/>
      <c r="NFL98" s="769"/>
      <c r="NFM98" s="769"/>
      <c r="NFN98" s="769"/>
      <c r="NFO98" s="769"/>
      <c r="NFP98" s="769"/>
      <c r="NFQ98" s="769"/>
      <c r="NFR98" s="769"/>
      <c r="NFS98" s="769"/>
      <c r="NFT98" s="769"/>
      <c r="NFU98" s="769"/>
      <c r="NFV98" s="769"/>
      <c r="NFW98" s="769"/>
      <c r="NFX98" s="769"/>
      <c r="NFY98" s="769"/>
      <c r="NFZ98" s="769"/>
      <c r="NGA98" s="769"/>
      <c r="NGB98" s="769"/>
      <c r="NGC98" s="769"/>
      <c r="NGD98" s="769"/>
      <c r="NGE98" s="769"/>
      <c r="NGF98" s="769"/>
      <c r="NGG98" s="769"/>
      <c r="NGH98" s="769"/>
      <c r="NGI98" s="769"/>
      <c r="NGJ98" s="769"/>
      <c r="NGK98" s="769"/>
      <c r="NGL98" s="769"/>
      <c r="NGM98" s="769"/>
      <c r="NGN98" s="769"/>
      <c r="NGO98" s="769"/>
      <c r="NGP98" s="769"/>
      <c r="NGQ98" s="769"/>
      <c r="NGR98" s="769"/>
      <c r="NGS98" s="769"/>
      <c r="NGT98" s="769"/>
      <c r="NGU98" s="769"/>
      <c r="NGV98" s="769"/>
      <c r="NGW98" s="769"/>
      <c r="NGX98" s="769"/>
      <c r="NGY98" s="769"/>
      <c r="NGZ98" s="769"/>
      <c r="NHA98" s="769"/>
      <c r="NHB98" s="769"/>
      <c r="NHC98" s="769"/>
      <c r="NHD98" s="769"/>
      <c r="NHE98" s="769"/>
      <c r="NHF98" s="769"/>
      <c r="NHG98" s="769"/>
      <c r="NHH98" s="769"/>
      <c r="NHI98" s="769"/>
      <c r="NHJ98" s="769"/>
      <c r="NHK98" s="769"/>
      <c r="NHL98" s="769"/>
      <c r="NHM98" s="769"/>
      <c r="NHN98" s="769"/>
      <c r="NHO98" s="769"/>
      <c r="NHP98" s="769"/>
      <c r="NHQ98" s="769"/>
      <c r="NHR98" s="769"/>
      <c r="NHS98" s="769"/>
      <c r="NHT98" s="769"/>
      <c r="NHU98" s="769"/>
      <c r="NHV98" s="769"/>
      <c r="NHW98" s="769"/>
      <c r="NHX98" s="769"/>
      <c r="NHY98" s="769"/>
      <c r="NHZ98" s="769"/>
      <c r="NIA98" s="769"/>
      <c r="NIB98" s="769"/>
      <c r="NIC98" s="769"/>
      <c r="NID98" s="769"/>
      <c r="NIE98" s="769"/>
      <c r="NIF98" s="769"/>
      <c r="NIG98" s="769"/>
      <c r="NIH98" s="769"/>
      <c r="NII98" s="769"/>
      <c r="NIJ98" s="769"/>
      <c r="NIK98" s="769"/>
      <c r="NIL98" s="769"/>
      <c r="NIM98" s="769"/>
      <c r="NIN98" s="769"/>
      <c r="NIO98" s="769"/>
      <c r="NIP98" s="769"/>
      <c r="NIQ98" s="769"/>
      <c r="NIR98" s="769"/>
      <c r="NIS98" s="769"/>
      <c r="NIT98" s="769"/>
      <c r="NIU98" s="769"/>
      <c r="NIV98" s="769"/>
      <c r="NIW98" s="769"/>
      <c r="NIX98" s="769"/>
      <c r="NIY98" s="769"/>
      <c r="NIZ98" s="769"/>
      <c r="NJA98" s="769"/>
      <c r="NJB98" s="769"/>
      <c r="NJC98" s="769"/>
      <c r="NJD98" s="769"/>
      <c r="NJE98" s="769"/>
      <c r="NJF98" s="769"/>
      <c r="NJG98" s="769"/>
      <c r="NJH98" s="769"/>
      <c r="NJI98" s="769"/>
      <c r="NJJ98" s="769"/>
      <c r="NJK98" s="769"/>
      <c r="NJL98" s="769"/>
      <c r="NJM98" s="769"/>
      <c r="NJN98" s="769"/>
      <c r="NJO98" s="769"/>
      <c r="NJP98" s="769"/>
      <c r="NJQ98" s="769"/>
      <c r="NJR98" s="769"/>
      <c r="NJS98" s="769"/>
      <c r="NJT98" s="769"/>
      <c r="NJU98" s="769"/>
      <c r="NJV98" s="769"/>
      <c r="NJW98" s="769"/>
      <c r="NJX98" s="769"/>
      <c r="NJY98" s="769"/>
      <c r="NJZ98" s="769"/>
      <c r="NKA98" s="769"/>
      <c r="NKB98" s="769"/>
      <c r="NKC98" s="769"/>
      <c r="NKD98" s="769"/>
      <c r="NKE98" s="769"/>
      <c r="NKF98" s="769"/>
      <c r="NKG98" s="769"/>
      <c r="NKH98" s="769"/>
      <c r="NKI98" s="769"/>
      <c r="NKJ98" s="769"/>
      <c r="NKK98" s="769"/>
      <c r="NKL98" s="769"/>
      <c r="NKM98" s="769"/>
      <c r="NKN98" s="769"/>
      <c r="NKO98" s="769"/>
      <c r="NKP98" s="769"/>
      <c r="NKQ98" s="769"/>
      <c r="NKR98" s="769"/>
      <c r="NKS98" s="769"/>
      <c r="NKT98" s="769"/>
      <c r="NKU98" s="769"/>
      <c r="NKV98" s="769"/>
      <c r="NKW98" s="769"/>
      <c r="NKX98" s="769"/>
      <c r="NKY98" s="769"/>
      <c r="NKZ98" s="769"/>
      <c r="NLA98" s="769"/>
      <c r="NLB98" s="769"/>
      <c r="NLC98" s="769"/>
      <c r="NLD98" s="769"/>
      <c r="NLE98" s="769"/>
      <c r="NLF98" s="769"/>
      <c r="NLG98" s="769"/>
      <c r="NLH98" s="769"/>
      <c r="NLI98" s="769"/>
      <c r="NLJ98" s="769"/>
      <c r="NLK98" s="769"/>
      <c r="NLL98" s="769"/>
      <c r="NLM98" s="769"/>
      <c r="NLN98" s="769"/>
      <c r="NLO98" s="769"/>
      <c r="NLP98" s="769"/>
      <c r="NLQ98" s="769"/>
      <c r="NLR98" s="769"/>
      <c r="NLS98" s="769"/>
      <c r="NLT98" s="769"/>
      <c r="NLU98" s="769"/>
      <c r="NLV98" s="769"/>
      <c r="NLW98" s="769"/>
      <c r="NLX98" s="769"/>
      <c r="NLY98" s="769"/>
      <c r="NLZ98" s="769"/>
      <c r="NMA98" s="769"/>
      <c r="NMB98" s="769"/>
      <c r="NMC98" s="769"/>
      <c r="NMD98" s="769"/>
      <c r="NME98" s="769"/>
      <c r="NMF98" s="769"/>
      <c r="NMG98" s="769"/>
      <c r="NMH98" s="769"/>
      <c r="NMI98" s="769"/>
      <c r="NMJ98" s="769"/>
      <c r="NMK98" s="769"/>
      <c r="NML98" s="769"/>
      <c r="NMM98" s="769"/>
      <c r="NMN98" s="769"/>
      <c r="NMO98" s="769"/>
      <c r="NMP98" s="769"/>
      <c r="NMQ98" s="769"/>
      <c r="NMR98" s="769"/>
      <c r="NMS98" s="769"/>
      <c r="NMT98" s="769"/>
      <c r="NMU98" s="769"/>
      <c r="NMV98" s="769"/>
      <c r="NMW98" s="769"/>
      <c r="NMX98" s="769"/>
      <c r="NMY98" s="769"/>
      <c r="NMZ98" s="769"/>
      <c r="NNA98" s="769"/>
      <c r="NNB98" s="769"/>
      <c r="NNC98" s="769"/>
      <c r="NND98" s="769"/>
      <c r="NNE98" s="769"/>
      <c r="NNF98" s="769"/>
      <c r="NNG98" s="769"/>
      <c r="NNH98" s="769"/>
      <c r="NNI98" s="769"/>
      <c r="NNJ98" s="769"/>
      <c r="NNK98" s="769"/>
      <c r="NNL98" s="769"/>
      <c r="NNM98" s="769"/>
      <c r="NNN98" s="769"/>
      <c r="NNO98" s="769"/>
      <c r="NNP98" s="769"/>
      <c r="NNQ98" s="769"/>
      <c r="NNR98" s="769"/>
      <c r="NNS98" s="769"/>
      <c r="NNT98" s="769"/>
      <c r="NNU98" s="769"/>
      <c r="NNV98" s="769"/>
      <c r="NNW98" s="769"/>
      <c r="NNX98" s="769"/>
      <c r="NNY98" s="769"/>
      <c r="NNZ98" s="769"/>
      <c r="NOA98" s="769"/>
      <c r="NOB98" s="769"/>
      <c r="NOC98" s="769"/>
      <c r="NOD98" s="769"/>
      <c r="NOE98" s="769"/>
      <c r="NOF98" s="769"/>
      <c r="NOG98" s="769"/>
      <c r="NOH98" s="769"/>
      <c r="NOI98" s="769"/>
      <c r="NOJ98" s="769"/>
      <c r="NOK98" s="769"/>
      <c r="NOL98" s="769"/>
      <c r="NOM98" s="769"/>
      <c r="NON98" s="769"/>
      <c r="NOO98" s="769"/>
      <c r="NOP98" s="769"/>
      <c r="NOQ98" s="769"/>
      <c r="NOR98" s="769"/>
      <c r="NOS98" s="769"/>
      <c r="NOT98" s="769"/>
      <c r="NOU98" s="769"/>
      <c r="NOV98" s="769"/>
      <c r="NOW98" s="769"/>
      <c r="NOX98" s="769"/>
      <c r="NOY98" s="769"/>
      <c r="NOZ98" s="769"/>
      <c r="NPA98" s="769"/>
      <c r="NPB98" s="769"/>
      <c r="NPC98" s="769"/>
      <c r="NPD98" s="769"/>
      <c r="NPE98" s="769"/>
      <c r="NPF98" s="769"/>
      <c r="NPG98" s="769"/>
      <c r="NPH98" s="769"/>
      <c r="NPI98" s="769"/>
      <c r="NPJ98" s="769"/>
      <c r="NPK98" s="769"/>
      <c r="NPL98" s="769"/>
      <c r="NPM98" s="769"/>
      <c r="NPN98" s="769"/>
      <c r="NPO98" s="769"/>
      <c r="NPP98" s="769"/>
      <c r="NPQ98" s="769"/>
      <c r="NPR98" s="769"/>
      <c r="NPS98" s="769"/>
      <c r="NPT98" s="769"/>
      <c r="NPU98" s="769"/>
      <c r="NPV98" s="769"/>
      <c r="NPW98" s="769"/>
      <c r="NPX98" s="769"/>
      <c r="NPY98" s="769"/>
      <c r="NPZ98" s="769"/>
      <c r="NQA98" s="769"/>
      <c r="NQB98" s="769"/>
      <c r="NQC98" s="769"/>
      <c r="NQD98" s="769"/>
      <c r="NQE98" s="769"/>
      <c r="NQF98" s="769"/>
      <c r="NQG98" s="769"/>
      <c r="NQH98" s="769"/>
      <c r="NQI98" s="769"/>
      <c r="NQJ98" s="769"/>
      <c r="NQK98" s="769"/>
      <c r="NQL98" s="769"/>
      <c r="NQM98" s="769"/>
      <c r="NQN98" s="769"/>
      <c r="NQO98" s="769"/>
      <c r="NQP98" s="769"/>
      <c r="NQQ98" s="769"/>
      <c r="NQR98" s="769"/>
      <c r="NQS98" s="769"/>
      <c r="NQT98" s="769"/>
      <c r="NQU98" s="769"/>
      <c r="NQV98" s="769"/>
      <c r="NQW98" s="769"/>
      <c r="NQX98" s="769"/>
      <c r="NQY98" s="769"/>
      <c r="NQZ98" s="769"/>
      <c r="NRA98" s="769"/>
      <c r="NRB98" s="769"/>
      <c r="NRC98" s="769"/>
      <c r="NRD98" s="769"/>
      <c r="NRE98" s="769"/>
      <c r="NRF98" s="769"/>
      <c r="NRG98" s="769"/>
      <c r="NRH98" s="769"/>
      <c r="NRI98" s="769"/>
      <c r="NRJ98" s="769"/>
      <c r="NRK98" s="769"/>
      <c r="NRL98" s="769"/>
      <c r="NRM98" s="769"/>
      <c r="NRN98" s="769"/>
      <c r="NRO98" s="769"/>
      <c r="NRP98" s="769"/>
      <c r="NRQ98" s="769"/>
      <c r="NRR98" s="769"/>
      <c r="NRS98" s="769"/>
      <c r="NRT98" s="769"/>
      <c r="NRU98" s="769"/>
      <c r="NRV98" s="769"/>
      <c r="NRW98" s="769"/>
      <c r="NRX98" s="769"/>
      <c r="NRY98" s="769"/>
      <c r="NRZ98" s="769"/>
      <c r="NSA98" s="769"/>
      <c r="NSB98" s="769"/>
      <c r="NSC98" s="769"/>
      <c r="NSD98" s="769"/>
      <c r="NSE98" s="769"/>
      <c r="NSF98" s="769"/>
      <c r="NSG98" s="769"/>
      <c r="NSH98" s="769"/>
      <c r="NSI98" s="769"/>
      <c r="NSJ98" s="769"/>
      <c r="NSK98" s="769"/>
      <c r="NSL98" s="769"/>
      <c r="NSM98" s="769"/>
      <c r="NSN98" s="769"/>
      <c r="NSO98" s="769"/>
      <c r="NSP98" s="769"/>
      <c r="NSQ98" s="769"/>
      <c r="NSR98" s="769"/>
      <c r="NSS98" s="769"/>
      <c r="NST98" s="769"/>
      <c r="NSU98" s="769"/>
      <c r="NSV98" s="769"/>
      <c r="NSW98" s="769"/>
      <c r="NSX98" s="769"/>
      <c r="NSY98" s="769"/>
      <c r="NSZ98" s="769"/>
      <c r="NTA98" s="769"/>
      <c r="NTB98" s="769"/>
      <c r="NTC98" s="769"/>
      <c r="NTD98" s="769"/>
      <c r="NTE98" s="769"/>
      <c r="NTF98" s="769"/>
      <c r="NTG98" s="769"/>
      <c r="NTH98" s="769"/>
      <c r="NTI98" s="769"/>
      <c r="NTJ98" s="769"/>
      <c r="NTK98" s="769"/>
      <c r="NTL98" s="769"/>
      <c r="NTM98" s="769"/>
      <c r="NTN98" s="769"/>
      <c r="NTO98" s="769"/>
      <c r="NTP98" s="769"/>
      <c r="NTQ98" s="769"/>
      <c r="NTR98" s="769"/>
      <c r="NTS98" s="769"/>
      <c r="NTT98" s="769"/>
      <c r="NTU98" s="769"/>
      <c r="NTV98" s="769"/>
      <c r="NTW98" s="769"/>
      <c r="NTX98" s="769"/>
      <c r="NTY98" s="769"/>
      <c r="NTZ98" s="769"/>
      <c r="NUA98" s="769"/>
      <c r="NUB98" s="769"/>
      <c r="NUC98" s="769"/>
      <c r="NUD98" s="769"/>
      <c r="NUE98" s="769"/>
      <c r="NUF98" s="769"/>
      <c r="NUG98" s="769"/>
      <c r="NUH98" s="769"/>
      <c r="NUI98" s="769"/>
      <c r="NUJ98" s="769"/>
      <c r="NUK98" s="769"/>
      <c r="NUL98" s="769"/>
      <c r="NUM98" s="769"/>
      <c r="NUN98" s="769"/>
      <c r="NUO98" s="769"/>
      <c r="NUP98" s="769"/>
      <c r="NUQ98" s="769"/>
      <c r="NUR98" s="769"/>
      <c r="NUS98" s="769"/>
      <c r="NUT98" s="769"/>
      <c r="NUU98" s="769"/>
      <c r="NUV98" s="769"/>
      <c r="NUW98" s="769"/>
      <c r="NUX98" s="769"/>
      <c r="NUY98" s="769"/>
      <c r="NUZ98" s="769"/>
      <c r="NVA98" s="769"/>
      <c r="NVB98" s="769"/>
      <c r="NVC98" s="769"/>
      <c r="NVD98" s="769"/>
      <c r="NVE98" s="769"/>
      <c r="NVF98" s="769"/>
      <c r="NVG98" s="769"/>
      <c r="NVH98" s="769"/>
      <c r="NVI98" s="769"/>
      <c r="NVJ98" s="769"/>
      <c r="NVK98" s="769"/>
      <c r="NVL98" s="769"/>
      <c r="NVM98" s="769"/>
      <c r="NVN98" s="769"/>
      <c r="NVO98" s="769"/>
      <c r="NVP98" s="769"/>
      <c r="NVQ98" s="769"/>
      <c r="NVR98" s="769"/>
      <c r="NVS98" s="769"/>
      <c r="NVT98" s="769"/>
      <c r="NVU98" s="769"/>
      <c r="NVV98" s="769"/>
      <c r="NVW98" s="769"/>
      <c r="NVX98" s="769"/>
      <c r="NVY98" s="769"/>
      <c r="NVZ98" s="769"/>
      <c r="NWA98" s="769"/>
      <c r="NWB98" s="769"/>
      <c r="NWC98" s="769"/>
      <c r="NWD98" s="769"/>
      <c r="NWE98" s="769"/>
      <c r="NWF98" s="769"/>
      <c r="NWG98" s="769"/>
      <c r="NWH98" s="769"/>
      <c r="NWI98" s="769"/>
      <c r="NWJ98" s="769"/>
      <c r="NWK98" s="769"/>
      <c r="NWL98" s="769"/>
      <c r="NWM98" s="769"/>
      <c r="NWN98" s="769"/>
      <c r="NWO98" s="769"/>
      <c r="NWP98" s="769"/>
      <c r="NWQ98" s="769"/>
      <c r="NWR98" s="769"/>
      <c r="NWS98" s="769"/>
      <c r="NWT98" s="769"/>
      <c r="NWU98" s="769"/>
      <c r="NWV98" s="769"/>
      <c r="NWW98" s="769"/>
      <c r="NWX98" s="769"/>
      <c r="NWY98" s="769"/>
      <c r="NWZ98" s="769"/>
      <c r="NXA98" s="769"/>
      <c r="NXB98" s="769"/>
      <c r="NXC98" s="769"/>
      <c r="NXD98" s="769"/>
      <c r="NXE98" s="769"/>
      <c r="NXF98" s="769"/>
      <c r="NXG98" s="769"/>
      <c r="NXH98" s="769"/>
      <c r="NXI98" s="769"/>
      <c r="NXJ98" s="769"/>
      <c r="NXK98" s="769"/>
      <c r="NXL98" s="769"/>
      <c r="NXM98" s="769"/>
      <c r="NXN98" s="769"/>
      <c r="NXO98" s="769"/>
      <c r="NXP98" s="769"/>
      <c r="NXQ98" s="769"/>
      <c r="NXR98" s="769"/>
      <c r="NXS98" s="769"/>
      <c r="NXT98" s="769"/>
      <c r="NXU98" s="769"/>
      <c r="NXV98" s="769"/>
      <c r="NXW98" s="769"/>
      <c r="NXX98" s="769"/>
      <c r="NXY98" s="769"/>
      <c r="NXZ98" s="769"/>
      <c r="NYA98" s="769"/>
      <c r="NYB98" s="769"/>
      <c r="NYC98" s="769"/>
      <c r="NYD98" s="769"/>
      <c r="NYE98" s="769"/>
      <c r="NYF98" s="769"/>
      <c r="NYG98" s="769"/>
      <c r="NYH98" s="769"/>
      <c r="NYI98" s="769"/>
      <c r="NYJ98" s="769"/>
      <c r="NYK98" s="769"/>
      <c r="NYL98" s="769"/>
      <c r="NYM98" s="769"/>
      <c r="NYN98" s="769"/>
      <c r="NYO98" s="769"/>
      <c r="NYP98" s="769"/>
      <c r="NYQ98" s="769"/>
      <c r="NYR98" s="769"/>
      <c r="NYS98" s="769"/>
      <c r="NYT98" s="769"/>
      <c r="NYU98" s="769"/>
      <c r="NYV98" s="769"/>
      <c r="NYW98" s="769"/>
      <c r="NYX98" s="769"/>
      <c r="NYY98" s="769"/>
      <c r="NYZ98" s="769"/>
      <c r="NZA98" s="769"/>
      <c r="NZB98" s="769"/>
      <c r="NZC98" s="769"/>
      <c r="NZD98" s="769"/>
      <c r="NZE98" s="769"/>
      <c r="NZF98" s="769"/>
      <c r="NZG98" s="769"/>
      <c r="NZH98" s="769"/>
      <c r="NZI98" s="769"/>
      <c r="NZJ98" s="769"/>
      <c r="NZK98" s="769"/>
      <c r="NZL98" s="769"/>
      <c r="NZM98" s="769"/>
      <c r="NZN98" s="769"/>
      <c r="NZO98" s="769"/>
      <c r="NZP98" s="769"/>
      <c r="NZQ98" s="769"/>
      <c r="NZR98" s="769"/>
      <c r="NZS98" s="769"/>
      <c r="NZT98" s="769"/>
      <c r="NZU98" s="769"/>
      <c r="NZV98" s="769"/>
      <c r="NZW98" s="769"/>
      <c r="NZX98" s="769"/>
      <c r="NZY98" s="769"/>
      <c r="NZZ98" s="769"/>
      <c r="OAA98" s="769"/>
      <c r="OAB98" s="769"/>
      <c r="OAC98" s="769"/>
      <c r="OAD98" s="769"/>
      <c r="OAE98" s="769"/>
      <c r="OAF98" s="769"/>
      <c r="OAG98" s="769"/>
      <c r="OAH98" s="769"/>
      <c r="OAI98" s="769"/>
      <c r="OAJ98" s="769"/>
      <c r="OAK98" s="769"/>
      <c r="OAL98" s="769"/>
      <c r="OAM98" s="769"/>
      <c r="OAN98" s="769"/>
      <c r="OAO98" s="769"/>
      <c r="OAP98" s="769"/>
      <c r="OAQ98" s="769"/>
      <c r="OAR98" s="769"/>
      <c r="OAS98" s="769"/>
      <c r="OAT98" s="769"/>
      <c r="OAU98" s="769"/>
      <c r="OAV98" s="769"/>
      <c r="OAW98" s="769"/>
      <c r="OAX98" s="769"/>
      <c r="OAY98" s="769"/>
      <c r="OAZ98" s="769"/>
      <c r="OBA98" s="769"/>
      <c r="OBB98" s="769"/>
      <c r="OBC98" s="769"/>
      <c r="OBD98" s="769"/>
      <c r="OBE98" s="769"/>
      <c r="OBF98" s="769"/>
      <c r="OBG98" s="769"/>
      <c r="OBH98" s="769"/>
      <c r="OBI98" s="769"/>
      <c r="OBJ98" s="769"/>
      <c r="OBK98" s="769"/>
      <c r="OBL98" s="769"/>
      <c r="OBM98" s="769"/>
      <c r="OBN98" s="769"/>
      <c r="OBO98" s="769"/>
      <c r="OBP98" s="769"/>
      <c r="OBQ98" s="769"/>
      <c r="OBR98" s="769"/>
      <c r="OBS98" s="769"/>
      <c r="OBT98" s="769"/>
      <c r="OBU98" s="769"/>
      <c r="OBV98" s="769"/>
      <c r="OBW98" s="769"/>
      <c r="OBX98" s="769"/>
      <c r="OBY98" s="769"/>
      <c r="OBZ98" s="769"/>
      <c r="OCA98" s="769"/>
      <c r="OCB98" s="769"/>
      <c r="OCC98" s="769"/>
      <c r="OCD98" s="769"/>
      <c r="OCE98" s="769"/>
      <c r="OCF98" s="769"/>
      <c r="OCG98" s="769"/>
      <c r="OCH98" s="769"/>
      <c r="OCI98" s="769"/>
      <c r="OCJ98" s="769"/>
      <c r="OCK98" s="769"/>
      <c r="OCL98" s="769"/>
      <c r="OCM98" s="769"/>
      <c r="OCN98" s="769"/>
      <c r="OCO98" s="769"/>
      <c r="OCP98" s="769"/>
      <c r="OCQ98" s="769"/>
      <c r="OCR98" s="769"/>
      <c r="OCS98" s="769"/>
      <c r="OCT98" s="769"/>
      <c r="OCU98" s="769"/>
      <c r="OCV98" s="769"/>
      <c r="OCW98" s="769"/>
      <c r="OCX98" s="769"/>
      <c r="OCY98" s="769"/>
      <c r="OCZ98" s="769"/>
      <c r="ODA98" s="769"/>
      <c r="ODB98" s="769"/>
      <c r="ODC98" s="769"/>
      <c r="ODD98" s="769"/>
      <c r="ODE98" s="769"/>
      <c r="ODF98" s="769"/>
      <c r="ODG98" s="769"/>
      <c r="ODH98" s="769"/>
      <c r="ODI98" s="769"/>
      <c r="ODJ98" s="769"/>
      <c r="ODK98" s="769"/>
      <c r="ODL98" s="769"/>
      <c r="ODM98" s="769"/>
      <c r="ODN98" s="769"/>
      <c r="ODO98" s="769"/>
      <c r="ODP98" s="769"/>
      <c r="ODQ98" s="769"/>
      <c r="ODR98" s="769"/>
      <c r="ODS98" s="769"/>
      <c r="ODT98" s="769"/>
      <c r="ODU98" s="769"/>
      <c r="ODV98" s="769"/>
      <c r="ODW98" s="769"/>
      <c r="ODX98" s="769"/>
      <c r="ODY98" s="769"/>
      <c r="ODZ98" s="769"/>
      <c r="OEA98" s="769"/>
      <c r="OEB98" s="769"/>
      <c r="OEC98" s="769"/>
      <c r="OED98" s="769"/>
      <c r="OEE98" s="769"/>
      <c r="OEF98" s="769"/>
      <c r="OEG98" s="769"/>
      <c r="OEH98" s="769"/>
      <c r="OEI98" s="769"/>
      <c r="OEJ98" s="769"/>
      <c r="OEK98" s="769"/>
      <c r="OEL98" s="769"/>
      <c r="OEM98" s="769"/>
      <c r="OEN98" s="769"/>
      <c r="OEO98" s="769"/>
      <c r="OEP98" s="769"/>
      <c r="OEQ98" s="769"/>
      <c r="OER98" s="769"/>
      <c r="OES98" s="769"/>
      <c r="OET98" s="769"/>
      <c r="OEU98" s="769"/>
      <c r="OEV98" s="769"/>
      <c r="OEW98" s="769"/>
      <c r="OEX98" s="769"/>
      <c r="OEY98" s="769"/>
      <c r="OEZ98" s="769"/>
      <c r="OFA98" s="769"/>
      <c r="OFB98" s="769"/>
      <c r="OFC98" s="769"/>
      <c r="OFD98" s="769"/>
      <c r="OFE98" s="769"/>
      <c r="OFF98" s="769"/>
      <c r="OFG98" s="769"/>
      <c r="OFH98" s="769"/>
      <c r="OFI98" s="769"/>
      <c r="OFJ98" s="769"/>
      <c r="OFK98" s="769"/>
      <c r="OFL98" s="769"/>
      <c r="OFM98" s="769"/>
      <c r="OFN98" s="769"/>
      <c r="OFO98" s="769"/>
      <c r="OFP98" s="769"/>
      <c r="OFQ98" s="769"/>
      <c r="OFR98" s="769"/>
      <c r="OFS98" s="769"/>
      <c r="OFT98" s="769"/>
      <c r="OFU98" s="769"/>
      <c r="OFV98" s="769"/>
      <c r="OFW98" s="769"/>
      <c r="OFX98" s="769"/>
      <c r="OFY98" s="769"/>
      <c r="OFZ98" s="769"/>
      <c r="OGA98" s="769"/>
      <c r="OGB98" s="769"/>
      <c r="OGC98" s="769"/>
      <c r="OGD98" s="769"/>
      <c r="OGE98" s="769"/>
      <c r="OGF98" s="769"/>
      <c r="OGG98" s="769"/>
      <c r="OGH98" s="769"/>
      <c r="OGI98" s="769"/>
      <c r="OGJ98" s="769"/>
      <c r="OGK98" s="769"/>
      <c r="OGL98" s="769"/>
      <c r="OGM98" s="769"/>
      <c r="OGN98" s="769"/>
      <c r="OGO98" s="769"/>
      <c r="OGP98" s="769"/>
      <c r="OGQ98" s="769"/>
      <c r="OGR98" s="769"/>
      <c r="OGS98" s="769"/>
      <c r="OGT98" s="769"/>
      <c r="OGU98" s="769"/>
      <c r="OGV98" s="769"/>
      <c r="OGW98" s="769"/>
      <c r="OGX98" s="769"/>
      <c r="OGY98" s="769"/>
      <c r="OGZ98" s="769"/>
      <c r="OHA98" s="769"/>
      <c r="OHB98" s="769"/>
      <c r="OHC98" s="769"/>
      <c r="OHD98" s="769"/>
      <c r="OHE98" s="769"/>
      <c r="OHF98" s="769"/>
      <c r="OHG98" s="769"/>
      <c r="OHH98" s="769"/>
      <c r="OHI98" s="769"/>
      <c r="OHJ98" s="769"/>
      <c r="OHK98" s="769"/>
      <c r="OHL98" s="769"/>
      <c r="OHM98" s="769"/>
      <c r="OHN98" s="769"/>
      <c r="OHO98" s="769"/>
      <c r="OHP98" s="769"/>
      <c r="OHQ98" s="769"/>
      <c r="OHR98" s="769"/>
      <c r="OHS98" s="769"/>
      <c r="OHT98" s="769"/>
      <c r="OHU98" s="769"/>
      <c r="OHV98" s="769"/>
      <c r="OHW98" s="769"/>
      <c r="OHX98" s="769"/>
      <c r="OHY98" s="769"/>
      <c r="OHZ98" s="769"/>
      <c r="OIA98" s="769"/>
      <c r="OIB98" s="769"/>
      <c r="OIC98" s="769"/>
      <c r="OID98" s="769"/>
      <c r="OIE98" s="769"/>
      <c r="OIF98" s="769"/>
      <c r="OIG98" s="769"/>
      <c r="OIH98" s="769"/>
      <c r="OII98" s="769"/>
      <c r="OIJ98" s="769"/>
      <c r="OIK98" s="769"/>
      <c r="OIL98" s="769"/>
      <c r="OIM98" s="769"/>
      <c r="OIN98" s="769"/>
      <c r="OIO98" s="769"/>
      <c r="OIP98" s="769"/>
      <c r="OIQ98" s="769"/>
      <c r="OIR98" s="769"/>
      <c r="OIS98" s="769"/>
      <c r="OIT98" s="769"/>
      <c r="OIU98" s="769"/>
      <c r="OIV98" s="769"/>
      <c r="OIW98" s="769"/>
      <c r="OIX98" s="769"/>
      <c r="OIY98" s="769"/>
      <c r="OIZ98" s="769"/>
      <c r="OJA98" s="769"/>
      <c r="OJB98" s="769"/>
      <c r="OJC98" s="769"/>
      <c r="OJD98" s="769"/>
      <c r="OJE98" s="769"/>
      <c r="OJF98" s="769"/>
      <c r="OJG98" s="769"/>
      <c r="OJH98" s="769"/>
      <c r="OJI98" s="769"/>
      <c r="OJJ98" s="769"/>
      <c r="OJK98" s="769"/>
      <c r="OJL98" s="769"/>
      <c r="OJM98" s="769"/>
      <c r="OJN98" s="769"/>
      <c r="OJO98" s="769"/>
      <c r="OJP98" s="769"/>
      <c r="OJQ98" s="769"/>
      <c r="OJR98" s="769"/>
      <c r="OJS98" s="769"/>
      <c r="OJT98" s="769"/>
      <c r="OJU98" s="769"/>
      <c r="OJV98" s="769"/>
      <c r="OJW98" s="769"/>
      <c r="OJX98" s="769"/>
      <c r="OJY98" s="769"/>
      <c r="OJZ98" s="769"/>
      <c r="OKA98" s="769"/>
      <c r="OKB98" s="769"/>
      <c r="OKC98" s="769"/>
      <c r="OKD98" s="769"/>
      <c r="OKE98" s="769"/>
      <c r="OKF98" s="769"/>
      <c r="OKG98" s="769"/>
      <c r="OKH98" s="769"/>
      <c r="OKI98" s="769"/>
      <c r="OKJ98" s="769"/>
      <c r="OKK98" s="769"/>
      <c r="OKL98" s="769"/>
      <c r="OKM98" s="769"/>
      <c r="OKN98" s="769"/>
      <c r="OKO98" s="769"/>
      <c r="OKP98" s="769"/>
      <c r="OKQ98" s="769"/>
      <c r="OKR98" s="769"/>
      <c r="OKS98" s="769"/>
      <c r="OKT98" s="769"/>
      <c r="OKU98" s="769"/>
      <c r="OKV98" s="769"/>
      <c r="OKW98" s="769"/>
      <c r="OKX98" s="769"/>
      <c r="OKY98" s="769"/>
      <c r="OKZ98" s="769"/>
      <c r="OLA98" s="769"/>
      <c r="OLB98" s="769"/>
      <c r="OLC98" s="769"/>
      <c r="OLD98" s="769"/>
      <c r="OLE98" s="769"/>
      <c r="OLF98" s="769"/>
      <c r="OLG98" s="769"/>
      <c r="OLH98" s="769"/>
      <c r="OLI98" s="769"/>
      <c r="OLJ98" s="769"/>
      <c r="OLK98" s="769"/>
      <c r="OLL98" s="769"/>
      <c r="OLM98" s="769"/>
      <c r="OLN98" s="769"/>
      <c r="OLO98" s="769"/>
      <c r="OLP98" s="769"/>
      <c r="OLQ98" s="769"/>
      <c r="OLR98" s="769"/>
      <c r="OLS98" s="769"/>
      <c r="OLT98" s="769"/>
      <c r="OLU98" s="769"/>
      <c r="OLV98" s="769"/>
      <c r="OLW98" s="769"/>
      <c r="OLX98" s="769"/>
      <c r="OLY98" s="769"/>
      <c r="OLZ98" s="769"/>
      <c r="OMA98" s="769"/>
      <c r="OMB98" s="769"/>
      <c r="OMC98" s="769"/>
      <c r="OMD98" s="769"/>
      <c r="OME98" s="769"/>
      <c r="OMF98" s="769"/>
      <c r="OMG98" s="769"/>
      <c r="OMH98" s="769"/>
      <c r="OMI98" s="769"/>
      <c r="OMJ98" s="769"/>
      <c r="OMK98" s="769"/>
      <c r="OML98" s="769"/>
      <c r="OMM98" s="769"/>
      <c r="OMN98" s="769"/>
      <c r="OMO98" s="769"/>
      <c r="OMP98" s="769"/>
      <c r="OMQ98" s="769"/>
      <c r="OMR98" s="769"/>
      <c r="OMS98" s="769"/>
      <c r="OMT98" s="769"/>
      <c r="OMU98" s="769"/>
      <c r="OMV98" s="769"/>
      <c r="OMW98" s="769"/>
      <c r="OMX98" s="769"/>
      <c r="OMY98" s="769"/>
      <c r="OMZ98" s="769"/>
      <c r="ONA98" s="769"/>
      <c r="ONB98" s="769"/>
      <c r="ONC98" s="769"/>
      <c r="OND98" s="769"/>
      <c r="ONE98" s="769"/>
      <c r="ONF98" s="769"/>
      <c r="ONG98" s="769"/>
      <c r="ONH98" s="769"/>
      <c r="ONI98" s="769"/>
      <c r="ONJ98" s="769"/>
      <c r="ONK98" s="769"/>
      <c r="ONL98" s="769"/>
      <c r="ONM98" s="769"/>
      <c r="ONN98" s="769"/>
      <c r="ONO98" s="769"/>
      <c r="ONP98" s="769"/>
      <c r="ONQ98" s="769"/>
      <c r="ONR98" s="769"/>
      <c r="ONS98" s="769"/>
      <c r="ONT98" s="769"/>
      <c r="ONU98" s="769"/>
      <c r="ONV98" s="769"/>
      <c r="ONW98" s="769"/>
      <c r="ONX98" s="769"/>
      <c r="ONY98" s="769"/>
      <c r="ONZ98" s="769"/>
      <c r="OOA98" s="769"/>
      <c r="OOB98" s="769"/>
      <c r="OOC98" s="769"/>
      <c r="OOD98" s="769"/>
      <c r="OOE98" s="769"/>
      <c r="OOF98" s="769"/>
      <c r="OOG98" s="769"/>
      <c r="OOH98" s="769"/>
      <c r="OOI98" s="769"/>
      <c r="OOJ98" s="769"/>
      <c r="OOK98" s="769"/>
      <c r="OOL98" s="769"/>
      <c r="OOM98" s="769"/>
      <c r="OON98" s="769"/>
      <c r="OOO98" s="769"/>
      <c r="OOP98" s="769"/>
      <c r="OOQ98" s="769"/>
      <c r="OOR98" s="769"/>
      <c r="OOS98" s="769"/>
      <c r="OOT98" s="769"/>
      <c r="OOU98" s="769"/>
      <c r="OOV98" s="769"/>
      <c r="OOW98" s="769"/>
      <c r="OOX98" s="769"/>
      <c r="OOY98" s="769"/>
      <c r="OOZ98" s="769"/>
      <c r="OPA98" s="769"/>
      <c r="OPB98" s="769"/>
      <c r="OPC98" s="769"/>
      <c r="OPD98" s="769"/>
      <c r="OPE98" s="769"/>
      <c r="OPF98" s="769"/>
      <c r="OPG98" s="769"/>
      <c r="OPH98" s="769"/>
      <c r="OPI98" s="769"/>
      <c r="OPJ98" s="769"/>
      <c r="OPK98" s="769"/>
      <c r="OPL98" s="769"/>
      <c r="OPM98" s="769"/>
      <c r="OPN98" s="769"/>
      <c r="OPO98" s="769"/>
      <c r="OPP98" s="769"/>
      <c r="OPQ98" s="769"/>
      <c r="OPR98" s="769"/>
      <c r="OPS98" s="769"/>
      <c r="OPT98" s="769"/>
      <c r="OPU98" s="769"/>
      <c r="OPV98" s="769"/>
      <c r="OPW98" s="769"/>
      <c r="OPX98" s="769"/>
      <c r="OPY98" s="769"/>
      <c r="OPZ98" s="769"/>
      <c r="OQA98" s="769"/>
      <c r="OQB98" s="769"/>
      <c r="OQC98" s="769"/>
      <c r="OQD98" s="769"/>
      <c r="OQE98" s="769"/>
      <c r="OQF98" s="769"/>
      <c r="OQG98" s="769"/>
      <c r="OQH98" s="769"/>
      <c r="OQI98" s="769"/>
      <c r="OQJ98" s="769"/>
      <c r="OQK98" s="769"/>
      <c r="OQL98" s="769"/>
      <c r="OQM98" s="769"/>
      <c r="OQN98" s="769"/>
      <c r="OQO98" s="769"/>
      <c r="OQP98" s="769"/>
      <c r="OQQ98" s="769"/>
      <c r="OQR98" s="769"/>
      <c r="OQS98" s="769"/>
      <c r="OQT98" s="769"/>
      <c r="OQU98" s="769"/>
      <c r="OQV98" s="769"/>
      <c r="OQW98" s="769"/>
      <c r="OQX98" s="769"/>
      <c r="OQY98" s="769"/>
      <c r="OQZ98" s="769"/>
      <c r="ORA98" s="769"/>
      <c r="ORB98" s="769"/>
      <c r="ORC98" s="769"/>
      <c r="ORD98" s="769"/>
      <c r="ORE98" s="769"/>
      <c r="ORF98" s="769"/>
      <c r="ORG98" s="769"/>
      <c r="ORH98" s="769"/>
      <c r="ORI98" s="769"/>
      <c r="ORJ98" s="769"/>
      <c r="ORK98" s="769"/>
      <c r="ORL98" s="769"/>
      <c r="ORM98" s="769"/>
      <c r="ORN98" s="769"/>
      <c r="ORO98" s="769"/>
      <c r="ORP98" s="769"/>
      <c r="ORQ98" s="769"/>
      <c r="ORR98" s="769"/>
      <c r="ORS98" s="769"/>
      <c r="ORT98" s="769"/>
      <c r="ORU98" s="769"/>
      <c r="ORV98" s="769"/>
      <c r="ORW98" s="769"/>
      <c r="ORX98" s="769"/>
      <c r="ORY98" s="769"/>
      <c r="ORZ98" s="769"/>
      <c r="OSA98" s="769"/>
      <c r="OSB98" s="769"/>
      <c r="OSC98" s="769"/>
      <c r="OSD98" s="769"/>
      <c r="OSE98" s="769"/>
      <c r="OSF98" s="769"/>
      <c r="OSG98" s="769"/>
      <c r="OSH98" s="769"/>
      <c r="OSI98" s="769"/>
      <c r="OSJ98" s="769"/>
      <c r="OSK98" s="769"/>
      <c r="OSL98" s="769"/>
      <c r="OSM98" s="769"/>
      <c r="OSN98" s="769"/>
      <c r="OSO98" s="769"/>
      <c r="OSP98" s="769"/>
      <c r="OSQ98" s="769"/>
      <c r="OSR98" s="769"/>
      <c r="OSS98" s="769"/>
      <c r="OST98" s="769"/>
      <c r="OSU98" s="769"/>
      <c r="OSV98" s="769"/>
      <c r="OSW98" s="769"/>
      <c r="OSX98" s="769"/>
      <c r="OSY98" s="769"/>
      <c r="OSZ98" s="769"/>
      <c r="OTA98" s="769"/>
      <c r="OTB98" s="769"/>
      <c r="OTC98" s="769"/>
      <c r="OTD98" s="769"/>
      <c r="OTE98" s="769"/>
      <c r="OTF98" s="769"/>
      <c r="OTG98" s="769"/>
      <c r="OTH98" s="769"/>
      <c r="OTI98" s="769"/>
      <c r="OTJ98" s="769"/>
      <c r="OTK98" s="769"/>
      <c r="OTL98" s="769"/>
      <c r="OTM98" s="769"/>
      <c r="OTN98" s="769"/>
      <c r="OTO98" s="769"/>
      <c r="OTP98" s="769"/>
      <c r="OTQ98" s="769"/>
      <c r="OTR98" s="769"/>
      <c r="OTS98" s="769"/>
      <c r="OTT98" s="769"/>
      <c r="OTU98" s="769"/>
      <c r="OTV98" s="769"/>
      <c r="OTW98" s="769"/>
      <c r="OTX98" s="769"/>
      <c r="OTY98" s="769"/>
      <c r="OTZ98" s="769"/>
      <c r="OUA98" s="769"/>
      <c r="OUB98" s="769"/>
      <c r="OUC98" s="769"/>
      <c r="OUD98" s="769"/>
      <c r="OUE98" s="769"/>
      <c r="OUF98" s="769"/>
      <c r="OUG98" s="769"/>
      <c r="OUH98" s="769"/>
      <c r="OUI98" s="769"/>
      <c r="OUJ98" s="769"/>
      <c r="OUK98" s="769"/>
      <c r="OUL98" s="769"/>
      <c r="OUM98" s="769"/>
      <c r="OUN98" s="769"/>
      <c r="OUO98" s="769"/>
      <c r="OUP98" s="769"/>
      <c r="OUQ98" s="769"/>
      <c r="OUR98" s="769"/>
      <c r="OUS98" s="769"/>
      <c r="OUT98" s="769"/>
      <c r="OUU98" s="769"/>
      <c r="OUV98" s="769"/>
      <c r="OUW98" s="769"/>
      <c r="OUX98" s="769"/>
      <c r="OUY98" s="769"/>
      <c r="OUZ98" s="769"/>
      <c r="OVA98" s="769"/>
      <c r="OVB98" s="769"/>
      <c r="OVC98" s="769"/>
      <c r="OVD98" s="769"/>
      <c r="OVE98" s="769"/>
      <c r="OVF98" s="769"/>
      <c r="OVG98" s="769"/>
      <c r="OVH98" s="769"/>
      <c r="OVI98" s="769"/>
      <c r="OVJ98" s="769"/>
      <c r="OVK98" s="769"/>
      <c r="OVL98" s="769"/>
      <c r="OVM98" s="769"/>
      <c r="OVN98" s="769"/>
      <c r="OVO98" s="769"/>
      <c r="OVP98" s="769"/>
      <c r="OVQ98" s="769"/>
      <c r="OVR98" s="769"/>
      <c r="OVS98" s="769"/>
      <c r="OVT98" s="769"/>
      <c r="OVU98" s="769"/>
      <c r="OVV98" s="769"/>
      <c r="OVW98" s="769"/>
      <c r="OVX98" s="769"/>
      <c r="OVY98" s="769"/>
      <c r="OVZ98" s="769"/>
      <c r="OWA98" s="769"/>
      <c r="OWB98" s="769"/>
      <c r="OWC98" s="769"/>
      <c r="OWD98" s="769"/>
      <c r="OWE98" s="769"/>
      <c r="OWF98" s="769"/>
      <c r="OWG98" s="769"/>
      <c r="OWH98" s="769"/>
      <c r="OWI98" s="769"/>
      <c r="OWJ98" s="769"/>
      <c r="OWK98" s="769"/>
      <c r="OWL98" s="769"/>
      <c r="OWM98" s="769"/>
      <c r="OWN98" s="769"/>
      <c r="OWO98" s="769"/>
      <c r="OWP98" s="769"/>
      <c r="OWQ98" s="769"/>
      <c r="OWR98" s="769"/>
      <c r="OWS98" s="769"/>
      <c r="OWT98" s="769"/>
      <c r="OWU98" s="769"/>
      <c r="OWV98" s="769"/>
      <c r="OWW98" s="769"/>
      <c r="OWX98" s="769"/>
      <c r="OWY98" s="769"/>
      <c r="OWZ98" s="769"/>
      <c r="OXA98" s="769"/>
      <c r="OXB98" s="769"/>
      <c r="OXC98" s="769"/>
      <c r="OXD98" s="769"/>
      <c r="OXE98" s="769"/>
      <c r="OXF98" s="769"/>
      <c r="OXG98" s="769"/>
      <c r="OXH98" s="769"/>
      <c r="OXI98" s="769"/>
      <c r="OXJ98" s="769"/>
      <c r="OXK98" s="769"/>
      <c r="OXL98" s="769"/>
      <c r="OXM98" s="769"/>
      <c r="OXN98" s="769"/>
      <c r="OXO98" s="769"/>
      <c r="OXP98" s="769"/>
      <c r="OXQ98" s="769"/>
      <c r="OXR98" s="769"/>
      <c r="OXS98" s="769"/>
      <c r="OXT98" s="769"/>
      <c r="OXU98" s="769"/>
      <c r="OXV98" s="769"/>
      <c r="OXW98" s="769"/>
      <c r="OXX98" s="769"/>
      <c r="OXY98" s="769"/>
      <c r="OXZ98" s="769"/>
      <c r="OYA98" s="769"/>
      <c r="OYB98" s="769"/>
      <c r="OYC98" s="769"/>
      <c r="OYD98" s="769"/>
      <c r="OYE98" s="769"/>
      <c r="OYF98" s="769"/>
      <c r="OYG98" s="769"/>
      <c r="OYH98" s="769"/>
      <c r="OYI98" s="769"/>
      <c r="OYJ98" s="769"/>
      <c r="OYK98" s="769"/>
      <c r="OYL98" s="769"/>
      <c r="OYM98" s="769"/>
      <c r="OYN98" s="769"/>
      <c r="OYO98" s="769"/>
      <c r="OYP98" s="769"/>
      <c r="OYQ98" s="769"/>
      <c r="OYR98" s="769"/>
      <c r="OYS98" s="769"/>
      <c r="OYT98" s="769"/>
      <c r="OYU98" s="769"/>
      <c r="OYV98" s="769"/>
      <c r="OYW98" s="769"/>
      <c r="OYX98" s="769"/>
      <c r="OYY98" s="769"/>
      <c r="OYZ98" s="769"/>
      <c r="OZA98" s="769"/>
      <c r="OZB98" s="769"/>
      <c r="OZC98" s="769"/>
      <c r="OZD98" s="769"/>
      <c r="OZE98" s="769"/>
      <c r="OZF98" s="769"/>
      <c r="OZG98" s="769"/>
      <c r="OZH98" s="769"/>
      <c r="OZI98" s="769"/>
      <c r="OZJ98" s="769"/>
      <c r="OZK98" s="769"/>
      <c r="OZL98" s="769"/>
      <c r="OZM98" s="769"/>
      <c r="OZN98" s="769"/>
      <c r="OZO98" s="769"/>
      <c r="OZP98" s="769"/>
      <c r="OZQ98" s="769"/>
      <c r="OZR98" s="769"/>
      <c r="OZS98" s="769"/>
      <c r="OZT98" s="769"/>
      <c r="OZU98" s="769"/>
      <c r="OZV98" s="769"/>
      <c r="OZW98" s="769"/>
      <c r="OZX98" s="769"/>
      <c r="OZY98" s="769"/>
      <c r="OZZ98" s="769"/>
      <c r="PAA98" s="769"/>
      <c r="PAB98" s="769"/>
      <c r="PAC98" s="769"/>
      <c r="PAD98" s="769"/>
      <c r="PAE98" s="769"/>
      <c r="PAF98" s="769"/>
      <c r="PAG98" s="769"/>
      <c r="PAH98" s="769"/>
      <c r="PAI98" s="769"/>
      <c r="PAJ98" s="769"/>
      <c r="PAK98" s="769"/>
      <c r="PAL98" s="769"/>
      <c r="PAM98" s="769"/>
      <c r="PAN98" s="769"/>
      <c r="PAO98" s="769"/>
      <c r="PAP98" s="769"/>
      <c r="PAQ98" s="769"/>
      <c r="PAR98" s="769"/>
      <c r="PAS98" s="769"/>
      <c r="PAT98" s="769"/>
      <c r="PAU98" s="769"/>
      <c r="PAV98" s="769"/>
      <c r="PAW98" s="769"/>
      <c r="PAX98" s="769"/>
      <c r="PAY98" s="769"/>
      <c r="PAZ98" s="769"/>
      <c r="PBA98" s="769"/>
      <c r="PBB98" s="769"/>
      <c r="PBC98" s="769"/>
      <c r="PBD98" s="769"/>
      <c r="PBE98" s="769"/>
      <c r="PBF98" s="769"/>
      <c r="PBG98" s="769"/>
      <c r="PBH98" s="769"/>
      <c r="PBI98" s="769"/>
      <c r="PBJ98" s="769"/>
      <c r="PBK98" s="769"/>
      <c r="PBL98" s="769"/>
      <c r="PBM98" s="769"/>
      <c r="PBN98" s="769"/>
      <c r="PBO98" s="769"/>
      <c r="PBP98" s="769"/>
      <c r="PBQ98" s="769"/>
      <c r="PBR98" s="769"/>
      <c r="PBS98" s="769"/>
      <c r="PBT98" s="769"/>
      <c r="PBU98" s="769"/>
      <c r="PBV98" s="769"/>
      <c r="PBW98" s="769"/>
      <c r="PBX98" s="769"/>
      <c r="PBY98" s="769"/>
      <c r="PBZ98" s="769"/>
      <c r="PCA98" s="769"/>
      <c r="PCB98" s="769"/>
      <c r="PCC98" s="769"/>
      <c r="PCD98" s="769"/>
      <c r="PCE98" s="769"/>
      <c r="PCF98" s="769"/>
      <c r="PCG98" s="769"/>
      <c r="PCH98" s="769"/>
      <c r="PCI98" s="769"/>
      <c r="PCJ98" s="769"/>
      <c r="PCK98" s="769"/>
      <c r="PCL98" s="769"/>
      <c r="PCM98" s="769"/>
      <c r="PCN98" s="769"/>
      <c r="PCO98" s="769"/>
      <c r="PCP98" s="769"/>
      <c r="PCQ98" s="769"/>
      <c r="PCR98" s="769"/>
      <c r="PCS98" s="769"/>
      <c r="PCT98" s="769"/>
      <c r="PCU98" s="769"/>
      <c r="PCV98" s="769"/>
      <c r="PCW98" s="769"/>
      <c r="PCX98" s="769"/>
      <c r="PCY98" s="769"/>
      <c r="PCZ98" s="769"/>
      <c r="PDA98" s="769"/>
      <c r="PDB98" s="769"/>
      <c r="PDC98" s="769"/>
      <c r="PDD98" s="769"/>
      <c r="PDE98" s="769"/>
      <c r="PDF98" s="769"/>
      <c r="PDG98" s="769"/>
      <c r="PDH98" s="769"/>
      <c r="PDI98" s="769"/>
      <c r="PDJ98" s="769"/>
      <c r="PDK98" s="769"/>
      <c r="PDL98" s="769"/>
      <c r="PDM98" s="769"/>
      <c r="PDN98" s="769"/>
      <c r="PDO98" s="769"/>
      <c r="PDP98" s="769"/>
      <c r="PDQ98" s="769"/>
      <c r="PDR98" s="769"/>
      <c r="PDS98" s="769"/>
      <c r="PDT98" s="769"/>
      <c r="PDU98" s="769"/>
      <c r="PDV98" s="769"/>
      <c r="PDW98" s="769"/>
      <c r="PDX98" s="769"/>
      <c r="PDY98" s="769"/>
      <c r="PDZ98" s="769"/>
      <c r="PEA98" s="769"/>
      <c r="PEB98" s="769"/>
      <c r="PEC98" s="769"/>
      <c r="PED98" s="769"/>
      <c r="PEE98" s="769"/>
      <c r="PEF98" s="769"/>
      <c r="PEG98" s="769"/>
      <c r="PEH98" s="769"/>
      <c r="PEI98" s="769"/>
      <c r="PEJ98" s="769"/>
      <c r="PEK98" s="769"/>
      <c r="PEL98" s="769"/>
      <c r="PEM98" s="769"/>
      <c r="PEN98" s="769"/>
      <c r="PEO98" s="769"/>
      <c r="PEP98" s="769"/>
      <c r="PEQ98" s="769"/>
      <c r="PER98" s="769"/>
      <c r="PES98" s="769"/>
      <c r="PET98" s="769"/>
      <c r="PEU98" s="769"/>
      <c r="PEV98" s="769"/>
      <c r="PEW98" s="769"/>
      <c r="PEX98" s="769"/>
      <c r="PEY98" s="769"/>
      <c r="PEZ98" s="769"/>
      <c r="PFA98" s="769"/>
      <c r="PFB98" s="769"/>
      <c r="PFC98" s="769"/>
      <c r="PFD98" s="769"/>
      <c r="PFE98" s="769"/>
      <c r="PFF98" s="769"/>
      <c r="PFG98" s="769"/>
      <c r="PFH98" s="769"/>
      <c r="PFI98" s="769"/>
      <c r="PFJ98" s="769"/>
      <c r="PFK98" s="769"/>
      <c r="PFL98" s="769"/>
      <c r="PFM98" s="769"/>
      <c r="PFN98" s="769"/>
      <c r="PFO98" s="769"/>
      <c r="PFP98" s="769"/>
      <c r="PFQ98" s="769"/>
      <c r="PFR98" s="769"/>
      <c r="PFS98" s="769"/>
      <c r="PFT98" s="769"/>
      <c r="PFU98" s="769"/>
      <c r="PFV98" s="769"/>
      <c r="PFW98" s="769"/>
      <c r="PFX98" s="769"/>
      <c r="PFY98" s="769"/>
      <c r="PFZ98" s="769"/>
      <c r="PGA98" s="769"/>
      <c r="PGB98" s="769"/>
      <c r="PGC98" s="769"/>
      <c r="PGD98" s="769"/>
      <c r="PGE98" s="769"/>
      <c r="PGF98" s="769"/>
      <c r="PGG98" s="769"/>
      <c r="PGH98" s="769"/>
      <c r="PGI98" s="769"/>
      <c r="PGJ98" s="769"/>
      <c r="PGK98" s="769"/>
      <c r="PGL98" s="769"/>
      <c r="PGM98" s="769"/>
      <c r="PGN98" s="769"/>
      <c r="PGO98" s="769"/>
      <c r="PGP98" s="769"/>
      <c r="PGQ98" s="769"/>
      <c r="PGR98" s="769"/>
      <c r="PGS98" s="769"/>
      <c r="PGT98" s="769"/>
      <c r="PGU98" s="769"/>
      <c r="PGV98" s="769"/>
      <c r="PGW98" s="769"/>
      <c r="PGX98" s="769"/>
      <c r="PGY98" s="769"/>
      <c r="PGZ98" s="769"/>
      <c r="PHA98" s="769"/>
      <c r="PHB98" s="769"/>
      <c r="PHC98" s="769"/>
      <c r="PHD98" s="769"/>
      <c r="PHE98" s="769"/>
      <c r="PHF98" s="769"/>
      <c r="PHG98" s="769"/>
      <c r="PHH98" s="769"/>
      <c r="PHI98" s="769"/>
      <c r="PHJ98" s="769"/>
      <c r="PHK98" s="769"/>
      <c r="PHL98" s="769"/>
      <c r="PHM98" s="769"/>
      <c r="PHN98" s="769"/>
      <c r="PHO98" s="769"/>
      <c r="PHP98" s="769"/>
      <c r="PHQ98" s="769"/>
      <c r="PHR98" s="769"/>
      <c r="PHS98" s="769"/>
      <c r="PHT98" s="769"/>
      <c r="PHU98" s="769"/>
      <c r="PHV98" s="769"/>
      <c r="PHW98" s="769"/>
      <c r="PHX98" s="769"/>
      <c r="PHY98" s="769"/>
      <c r="PHZ98" s="769"/>
      <c r="PIA98" s="769"/>
      <c r="PIB98" s="769"/>
      <c r="PIC98" s="769"/>
      <c r="PID98" s="769"/>
      <c r="PIE98" s="769"/>
      <c r="PIF98" s="769"/>
      <c r="PIG98" s="769"/>
      <c r="PIH98" s="769"/>
      <c r="PII98" s="769"/>
      <c r="PIJ98" s="769"/>
      <c r="PIK98" s="769"/>
      <c r="PIL98" s="769"/>
      <c r="PIM98" s="769"/>
      <c r="PIN98" s="769"/>
      <c r="PIO98" s="769"/>
      <c r="PIP98" s="769"/>
      <c r="PIQ98" s="769"/>
      <c r="PIR98" s="769"/>
      <c r="PIS98" s="769"/>
      <c r="PIT98" s="769"/>
      <c r="PIU98" s="769"/>
      <c r="PIV98" s="769"/>
      <c r="PIW98" s="769"/>
      <c r="PIX98" s="769"/>
      <c r="PIY98" s="769"/>
      <c r="PIZ98" s="769"/>
      <c r="PJA98" s="769"/>
      <c r="PJB98" s="769"/>
      <c r="PJC98" s="769"/>
      <c r="PJD98" s="769"/>
      <c r="PJE98" s="769"/>
      <c r="PJF98" s="769"/>
      <c r="PJG98" s="769"/>
      <c r="PJH98" s="769"/>
      <c r="PJI98" s="769"/>
      <c r="PJJ98" s="769"/>
      <c r="PJK98" s="769"/>
      <c r="PJL98" s="769"/>
      <c r="PJM98" s="769"/>
      <c r="PJN98" s="769"/>
      <c r="PJO98" s="769"/>
      <c r="PJP98" s="769"/>
      <c r="PJQ98" s="769"/>
      <c r="PJR98" s="769"/>
      <c r="PJS98" s="769"/>
      <c r="PJT98" s="769"/>
      <c r="PJU98" s="769"/>
      <c r="PJV98" s="769"/>
      <c r="PJW98" s="769"/>
      <c r="PJX98" s="769"/>
      <c r="PJY98" s="769"/>
      <c r="PJZ98" s="769"/>
      <c r="PKA98" s="769"/>
      <c r="PKB98" s="769"/>
      <c r="PKC98" s="769"/>
      <c r="PKD98" s="769"/>
      <c r="PKE98" s="769"/>
      <c r="PKF98" s="769"/>
      <c r="PKG98" s="769"/>
      <c r="PKH98" s="769"/>
      <c r="PKI98" s="769"/>
      <c r="PKJ98" s="769"/>
      <c r="PKK98" s="769"/>
      <c r="PKL98" s="769"/>
      <c r="PKM98" s="769"/>
      <c r="PKN98" s="769"/>
      <c r="PKO98" s="769"/>
      <c r="PKP98" s="769"/>
      <c r="PKQ98" s="769"/>
      <c r="PKR98" s="769"/>
      <c r="PKS98" s="769"/>
      <c r="PKT98" s="769"/>
      <c r="PKU98" s="769"/>
      <c r="PKV98" s="769"/>
      <c r="PKW98" s="769"/>
      <c r="PKX98" s="769"/>
      <c r="PKY98" s="769"/>
      <c r="PKZ98" s="769"/>
      <c r="PLA98" s="769"/>
      <c r="PLB98" s="769"/>
      <c r="PLC98" s="769"/>
      <c r="PLD98" s="769"/>
      <c r="PLE98" s="769"/>
      <c r="PLF98" s="769"/>
      <c r="PLG98" s="769"/>
      <c r="PLH98" s="769"/>
      <c r="PLI98" s="769"/>
      <c r="PLJ98" s="769"/>
      <c r="PLK98" s="769"/>
      <c r="PLL98" s="769"/>
      <c r="PLM98" s="769"/>
      <c r="PLN98" s="769"/>
      <c r="PLO98" s="769"/>
      <c r="PLP98" s="769"/>
      <c r="PLQ98" s="769"/>
      <c r="PLR98" s="769"/>
      <c r="PLS98" s="769"/>
      <c r="PLT98" s="769"/>
      <c r="PLU98" s="769"/>
      <c r="PLV98" s="769"/>
      <c r="PLW98" s="769"/>
      <c r="PLX98" s="769"/>
      <c r="PLY98" s="769"/>
      <c r="PLZ98" s="769"/>
      <c r="PMA98" s="769"/>
      <c r="PMB98" s="769"/>
      <c r="PMC98" s="769"/>
      <c r="PMD98" s="769"/>
      <c r="PME98" s="769"/>
      <c r="PMF98" s="769"/>
      <c r="PMG98" s="769"/>
      <c r="PMH98" s="769"/>
      <c r="PMI98" s="769"/>
      <c r="PMJ98" s="769"/>
      <c r="PMK98" s="769"/>
      <c r="PML98" s="769"/>
      <c r="PMM98" s="769"/>
      <c r="PMN98" s="769"/>
      <c r="PMO98" s="769"/>
      <c r="PMP98" s="769"/>
      <c r="PMQ98" s="769"/>
      <c r="PMR98" s="769"/>
      <c r="PMS98" s="769"/>
      <c r="PMT98" s="769"/>
      <c r="PMU98" s="769"/>
      <c r="PMV98" s="769"/>
      <c r="PMW98" s="769"/>
      <c r="PMX98" s="769"/>
      <c r="PMY98" s="769"/>
      <c r="PMZ98" s="769"/>
      <c r="PNA98" s="769"/>
      <c r="PNB98" s="769"/>
      <c r="PNC98" s="769"/>
      <c r="PND98" s="769"/>
      <c r="PNE98" s="769"/>
      <c r="PNF98" s="769"/>
      <c r="PNG98" s="769"/>
      <c r="PNH98" s="769"/>
      <c r="PNI98" s="769"/>
      <c r="PNJ98" s="769"/>
      <c r="PNK98" s="769"/>
      <c r="PNL98" s="769"/>
      <c r="PNM98" s="769"/>
      <c r="PNN98" s="769"/>
      <c r="PNO98" s="769"/>
      <c r="PNP98" s="769"/>
      <c r="PNQ98" s="769"/>
      <c r="PNR98" s="769"/>
      <c r="PNS98" s="769"/>
      <c r="PNT98" s="769"/>
      <c r="PNU98" s="769"/>
      <c r="PNV98" s="769"/>
      <c r="PNW98" s="769"/>
      <c r="PNX98" s="769"/>
      <c r="PNY98" s="769"/>
      <c r="PNZ98" s="769"/>
      <c r="POA98" s="769"/>
      <c r="POB98" s="769"/>
      <c r="POC98" s="769"/>
      <c r="POD98" s="769"/>
      <c r="POE98" s="769"/>
      <c r="POF98" s="769"/>
      <c r="POG98" s="769"/>
      <c r="POH98" s="769"/>
      <c r="POI98" s="769"/>
      <c r="POJ98" s="769"/>
      <c r="POK98" s="769"/>
      <c r="POL98" s="769"/>
      <c r="POM98" s="769"/>
      <c r="PON98" s="769"/>
      <c r="POO98" s="769"/>
      <c r="POP98" s="769"/>
      <c r="POQ98" s="769"/>
      <c r="POR98" s="769"/>
      <c r="POS98" s="769"/>
      <c r="POT98" s="769"/>
      <c r="POU98" s="769"/>
      <c r="POV98" s="769"/>
      <c r="POW98" s="769"/>
      <c r="POX98" s="769"/>
      <c r="POY98" s="769"/>
      <c r="POZ98" s="769"/>
      <c r="PPA98" s="769"/>
      <c r="PPB98" s="769"/>
      <c r="PPC98" s="769"/>
      <c r="PPD98" s="769"/>
      <c r="PPE98" s="769"/>
      <c r="PPF98" s="769"/>
      <c r="PPG98" s="769"/>
      <c r="PPH98" s="769"/>
      <c r="PPI98" s="769"/>
      <c r="PPJ98" s="769"/>
      <c r="PPK98" s="769"/>
      <c r="PPL98" s="769"/>
      <c r="PPM98" s="769"/>
      <c r="PPN98" s="769"/>
      <c r="PPO98" s="769"/>
      <c r="PPP98" s="769"/>
      <c r="PPQ98" s="769"/>
      <c r="PPR98" s="769"/>
      <c r="PPS98" s="769"/>
      <c r="PPT98" s="769"/>
      <c r="PPU98" s="769"/>
      <c r="PPV98" s="769"/>
      <c r="PPW98" s="769"/>
      <c r="PPX98" s="769"/>
      <c r="PPY98" s="769"/>
      <c r="PPZ98" s="769"/>
      <c r="PQA98" s="769"/>
      <c r="PQB98" s="769"/>
      <c r="PQC98" s="769"/>
      <c r="PQD98" s="769"/>
      <c r="PQE98" s="769"/>
      <c r="PQF98" s="769"/>
      <c r="PQG98" s="769"/>
      <c r="PQH98" s="769"/>
      <c r="PQI98" s="769"/>
      <c r="PQJ98" s="769"/>
      <c r="PQK98" s="769"/>
      <c r="PQL98" s="769"/>
      <c r="PQM98" s="769"/>
      <c r="PQN98" s="769"/>
      <c r="PQO98" s="769"/>
      <c r="PQP98" s="769"/>
      <c r="PQQ98" s="769"/>
      <c r="PQR98" s="769"/>
      <c r="PQS98" s="769"/>
      <c r="PQT98" s="769"/>
      <c r="PQU98" s="769"/>
      <c r="PQV98" s="769"/>
      <c r="PQW98" s="769"/>
      <c r="PQX98" s="769"/>
      <c r="PQY98" s="769"/>
      <c r="PQZ98" s="769"/>
      <c r="PRA98" s="769"/>
      <c r="PRB98" s="769"/>
      <c r="PRC98" s="769"/>
      <c r="PRD98" s="769"/>
      <c r="PRE98" s="769"/>
      <c r="PRF98" s="769"/>
      <c r="PRG98" s="769"/>
      <c r="PRH98" s="769"/>
      <c r="PRI98" s="769"/>
      <c r="PRJ98" s="769"/>
      <c r="PRK98" s="769"/>
      <c r="PRL98" s="769"/>
      <c r="PRM98" s="769"/>
      <c r="PRN98" s="769"/>
      <c r="PRO98" s="769"/>
      <c r="PRP98" s="769"/>
      <c r="PRQ98" s="769"/>
      <c r="PRR98" s="769"/>
      <c r="PRS98" s="769"/>
      <c r="PRT98" s="769"/>
      <c r="PRU98" s="769"/>
      <c r="PRV98" s="769"/>
      <c r="PRW98" s="769"/>
      <c r="PRX98" s="769"/>
      <c r="PRY98" s="769"/>
      <c r="PRZ98" s="769"/>
      <c r="PSA98" s="769"/>
      <c r="PSB98" s="769"/>
      <c r="PSC98" s="769"/>
      <c r="PSD98" s="769"/>
      <c r="PSE98" s="769"/>
      <c r="PSF98" s="769"/>
      <c r="PSG98" s="769"/>
      <c r="PSH98" s="769"/>
      <c r="PSI98" s="769"/>
      <c r="PSJ98" s="769"/>
      <c r="PSK98" s="769"/>
      <c r="PSL98" s="769"/>
      <c r="PSM98" s="769"/>
      <c r="PSN98" s="769"/>
      <c r="PSO98" s="769"/>
      <c r="PSP98" s="769"/>
      <c r="PSQ98" s="769"/>
      <c r="PSR98" s="769"/>
      <c r="PSS98" s="769"/>
      <c r="PST98" s="769"/>
      <c r="PSU98" s="769"/>
      <c r="PSV98" s="769"/>
      <c r="PSW98" s="769"/>
      <c r="PSX98" s="769"/>
      <c r="PSY98" s="769"/>
      <c r="PSZ98" s="769"/>
      <c r="PTA98" s="769"/>
      <c r="PTB98" s="769"/>
      <c r="PTC98" s="769"/>
      <c r="PTD98" s="769"/>
      <c r="PTE98" s="769"/>
      <c r="PTF98" s="769"/>
      <c r="PTG98" s="769"/>
      <c r="PTH98" s="769"/>
      <c r="PTI98" s="769"/>
      <c r="PTJ98" s="769"/>
      <c r="PTK98" s="769"/>
      <c r="PTL98" s="769"/>
      <c r="PTM98" s="769"/>
      <c r="PTN98" s="769"/>
      <c r="PTO98" s="769"/>
      <c r="PTP98" s="769"/>
      <c r="PTQ98" s="769"/>
      <c r="PTR98" s="769"/>
      <c r="PTS98" s="769"/>
      <c r="PTT98" s="769"/>
      <c r="PTU98" s="769"/>
      <c r="PTV98" s="769"/>
      <c r="PTW98" s="769"/>
      <c r="PTX98" s="769"/>
      <c r="PTY98" s="769"/>
      <c r="PTZ98" s="769"/>
      <c r="PUA98" s="769"/>
      <c r="PUB98" s="769"/>
      <c r="PUC98" s="769"/>
      <c r="PUD98" s="769"/>
      <c r="PUE98" s="769"/>
      <c r="PUF98" s="769"/>
      <c r="PUG98" s="769"/>
      <c r="PUH98" s="769"/>
      <c r="PUI98" s="769"/>
      <c r="PUJ98" s="769"/>
      <c r="PUK98" s="769"/>
      <c r="PUL98" s="769"/>
      <c r="PUM98" s="769"/>
      <c r="PUN98" s="769"/>
      <c r="PUO98" s="769"/>
      <c r="PUP98" s="769"/>
      <c r="PUQ98" s="769"/>
      <c r="PUR98" s="769"/>
      <c r="PUS98" s="769"/>
      <c r="PUT98" s="769"/>
      <c r="PUU98" s="769"/>
      <c r="PUV98" s="769"/>
      <c r="PUW98" s="769"/>
      <c r="PUX98" s="769"/>
      <c r="PUY98" s="769"/>
      <c r="PUZ98" s="769"/>
      <c r="PVA98" s="769"/>
      <c r="PVB98" s="769"/>
      <c r="PVC98" s="769"/>
      <c r="PVD98" s="769"/>
      <c r="PVE98" s="769"/>
      <c r="PVF98" s="769"/>
      <c r="PVG98" s="769"/>
      <c r="PVH98" s="769"/>
      <c r="PVI98" s="769"/>
      <c r="PVJ98" s="769"/>
      <c r="PVK98" s="769"/>
      <c r="PVL98" s="769"/>
      <c r="PVM98" s="769"/>
      <c r="PVN98" s="769"/>
      <c r="PVO98" s="769"/>
      <c r="PVP98" s="769"/>
      <c r="PVQ98" s="769"/>
      <c r="PVR98" s="769"/>
      <c r="PVS98" s="769"/>
      <c r="PVT98" s="769"/>
      <c r="PVU98" s="769"/>
      <c r="PVV98" s="769"/>
      <c r="PVW98" s="769"/>
      <c r="PVX98" s="769"/>
      <c r="PVY98" s="769"/>
      <c r="PVZ98" s="769"/>
      <c r="PWA98" s="769"/>
      <c r="PWB98" s="769"/>
      <c r="PWC98" s="769"/>
      <c r="PWD98" s="769"/>
      <c r="PWE98" s="769"/>
      <c r="PWF98" s="769"/>
      <c r="PWG98" s="769"/>
      <c r="PWH98" s="769"/>
      <c r="PWI98" s="769"/>
      <c r="PWJ98" s="769"/>
      <c r="PWK98" s="769"/>
      <c r="PWL98" s="769"/>
      <c r="PWM98" s="769"/>
      <c r="PWN98" s="769"/>
      <c r="PWO98" s="769"/>
      <c r="PWP98" s="769"/>
      <c r="PWQ98" s="769"/>
      <c r="PWR98" s="769"/>
      <c r="PWS98" s="769"/>
      <c r="PWT98" s="769"/>
      <c r="PWU98" s="769"/>
      <c r="PWV98" s="769"/>
      <c r="PWW98" s="769"/>
      <c r="PWX98" s="769"/>
      <c r="PWY98" s="769"/>
      <c r="PWZ98" s="769"/>
      <c r="PXA98" s="769"/>
      <c r="PXB98" s="769"/>
      <c r="PXC98" s="769"/>
      <c r="PXD98" s="769"/>
      <c r="PXE98" s="769"/>
      <c r="PXF98" s="769"/>
      <c r="PXG98" s="769"/>
      <c r="PXH98" s="769"/>
      <c r="PXI98" s="769"/>
      <c r="PXJ98" s="769"/>
      <c r="PXK98" s="769"/>
      <c r="PXL98" s="769"/>
      <c r="PXM98" s="769"/>
      <c r="PXN98" s="769"/>
      <c r="PXO98" s="769"/>
      <c r="PXP98" s="769"/>
      <c r="PXQ98" s="769"/>
      <c r="PXR98" s="769"/>
      <c r="PXS98" s="769"/>
      <c r="PXT98" s="769"/>
      <c r="PXU98" s="769"/>
      <c r="PXV98" s="769"/>
      <c r="PXW98" s="769"/>
      <c r="PXX98" s="769"/>
      <c r="PXY98" s="769"/>
      <c r="PXZ98" s="769"/>
      <c r="PYA98" s="769"/>
      <c r="PYB98" s="769"/>
      <c r="PYC98" s="769"/>
      <c r="PYD98" s="769"/>
      <c r="PYE98" s="769"/>
      <c r="PYF98" s="769"/>
      <c r="PYG98" s="769"/>
      <c r="PYH98" s="769"/>
      <c r="PYI98" s="769"/>
      <c r="PYJ98" s="769"/>
      <c r="PYK98" s="769"/>
      <c r="PYL98" s="769"/>
      <c r="PYM98" s="769"/>
      <c r="PYN98" s="769"/>
      <c r="PYO98" s="769"/>
      <c r="PYP98" s="769"/>
      <c r="PYQ98" s="769"/>
      <c r="PYR98" s="769"/>
      <c r="PYS98" s="769"/>
      <c r="PYT98" s="769"/>
      <c r="PYU98" s="769"/>
      <c r="PYV98" s="769"/>
      <c r="PYW98" s="769"/>
      <c r="PYX98" s="769"/>
      <c r="PYY98" s="769"/>
      <c r="PYZ98" s="769"/>
      <c r="PZA98" s="769"/>
      <c r="PZB98" s="769"/>
      <c r="PZC98" s="769"/>
      <c r="PZD98" s="769"/>
      <c r="PZE98" s="769"/>
      <c r="PZF98" s="769"/>
      <c r="PZG98" s="769"/>
      <c r="PZH98" s="769"/>
      <c r="PZI98" s="769"/>
      <c r="PZJ98" s="769"/>
      <c r="PZK98" s="769"/>
      <c r="PZL98" s="769"/>
      <c r="PZM98" s="769"/>
      <c r="PZN98" s="769"/>
      <c r="PZO98" s="769"/>
      <c r="PZP98" s="769"/>
      <c r="PZQ98" s="769"/>
      <c r="PZR98" s="769"/>
      <c r="PZS98" s="769"/>
      <c r="PZT98" s="769"/>
      <c r="PZU98" s="769"/>
      <c r="PZV98" s="769"/>
      <c r="PZW98" s="769"/>
      <c r="PZX98" s="769"/>
      <c r="PZY98" s="769"/>
      <c r="PZZ98" s="769"/>
      <c r="QAA98" s="769"/>
      <c r="QAB98" s="769"/>
      <c r="QAC98" s="769"/>
      <c r="QAD98" s="769"/>
      <c r="QAE98" s="769"/>
      <c r="QAF98" s="769"/>
      <c r="QAG98" s="769"/>
      <c r="QAH98" s="769"/>
      <c r="QAI98" s="769"/>
      <c r="QAJ98" s="769"/>
      <c r="QAK98" s="769"/>
      <c r="QAL98" s="769"/>
      <c r="QAM98" s="769"/>
      <c r="QAN98" s="769"/>
      <c r="QAO98" s="769"/>
      <c r="QAP98" s="769"/>
      <c r="QAQ98" s="769"/>
      <c r="QAR98" s="769"/>
      <c r="QAS98" s="769"/>
      <c r="QAT98" s="769"/>
      <c r="QAU98" s="769"/>
      <c r="QAV98" s="769"/>
      <c r="QAW98" s="769"/>
      <c r="QAX98" s="769"/>
      <c r="QAY98" s="769"/>
      <c r="QAZ98" s="769"/>
      <c r="QBA98" s="769"/>
      <c r="QBB98" s="769"/>
      <c r="QBC98" s="769"/>
      <c r="QBD98" s="769"/>
      <c r="QBE98" s="769"/>
      <c r="QBF98" s="769"/>
      <c r="QBG98" s="769"/>
      <c r="QBH98" s="769"/>
      <c r="QBI98" s="769"/>
      <c r="QBJ98" s="769"/>
      <c r="QBK98" s="769"/>
      <c r="QBL98" s="769"/>
      <c r="QBM98" s="769"/>
      <c r="QBN98" s="769"/>
      <c r="QBO98" s="769"/>
      <c r="QBP98" s="769"/>
      <c r="QBQ98" s="769"/>
      <c r="QBR98" s="769"/>
      <c r="QBS98" s="769"/>
      <c r="QBT98" s="769"/>
      <c r="QBU98" s="769"/>
      <c r="QBV98" s="769"/>
      <c r="QBW98" s="769"/>
      <c r="QBX98" s="769"/>
      <c r="QBY98" s="769"/>
      <c r="QBZ98" s="769"/>
      <c r="QCA98" s="769"/>
      <c r="QCB98" s="769"/>
      <c r="QCC98" s="769"/>
      <c r="QCD98" s="769"/>
      <c r="QCE98" s="769"/>
      <c r="QCF98" s="769"/>
      <c r="QCG98" s="769"/>
      <c r="QCH98" s="769"/>
      <c r="QCI98" s="769"/>
      <c r="QCJ98" s="769"/>
      <c r="QCK98" s="769"/>
      <c r="QCL98" s="769"/>
      <c r="QCM98" s="769"/>
      <c r="QCN98" s="769"/>
      <c r="QCO98" s="769"/>
      <c r="QCP98" s="769"/>
      <c r="QCQ98" s="769"/>
      <c r="QCR98" s="769"/>
      <c r="QCS98" s="769"/>
      <c r="QCT98" s="769"/>
      <c r="QCU98" s="769"/>
      <c r="QCV98" s="769"/>
      <c r="QCW98" s="769"/>
      <c r="QCX98" s="769"/>
      <c r="QCY98" s="769"/>
      <c r="QCZ98" s="769"/>
      <c r="QDA98" s="769"/>
      <c r="QDB98" s="769"/>
      <c r="QDC98" s="769"/>
      <c r="QDD98" s="769"/>
      <c r="QDE98" s="769"/>
      <c r="QDF98" s="769"/>
      <c r="QDG98" s="769"/>
      <c r="QDH98" s="769"/>
      <c r="QDI98" s="769"/>
      <c r="QDJ98" s="769"/>
      <c r="QDK98" s="769"/>
      <c r="QDL98" s="769"/>
      <c r="QDM98" s="769"/>
      <c r="QDN98" s="769"/>
      <c r="QDO98" s="769"/>
      <c r="QDP98" s="769"/>
      <c r="QDQ98" s="769"/>
      <c r="QDR98" s="769"/>
      <c r="QDS98" s="769"/>
      <c r="QDT98" s="769"/>
      <c r="QDU98" s="769"/>
      <c r="QDV98" s="769"/>
      <c r="QDW98" s="769"/>
      <c r="QDX98" s="769"/>
      <c r="QDY98" s="769"/>
      <c r="QDZ98" s="769"/>
      <c r="QEA98" s="769"/>
      <c r="QEB98" s="769"/>
      <c r="QEC98" s="769"/>
      <c r="QED98" s="769"/>
      <c r="QEE98" s="769"/>
      <c r="QEF98" s="769"/>
      <c r="QEG98" s="769"/>
      <c r="QEH98" s="769"/>
      <c r="QEI98" s="769"/>
      <c r="QEJ98" s="769"/>
      <c r="QEK98" s="769"/>
      <c r="QEL98" s="769"/>
      <c r="QEM98" s="769"/>
      <c r="QEN98" s="769"/>
      <c r="QEO98" s="769"/>
      <c r="QEP98" s="769"/>
      <c r="QEQ98" s="769"/>
      <c r="QER98" s="769"/>
      <c r="QES98" s="769"/>
      <c r="QET98" s="769"/>
      <c r="QEU98" s="769"/>
      <c r="QEV98" s="769"/>
      <c r="QEW98" s="769"/>
      <c r="QEX98" s="769"/>
      <c r="QEY98" s="769"/>
      <c r="QEZ98" s="769"/>
      <c r="QFA98" s="769"/>
      <c r="QFB98" s="769"/>
      <c r="QFC98" s="769"/>
      <c r="QFD98" s="769"/>
      <c r="QFE98" s="769"/>
      <c r="QFF98" s="769"/>
      <c r="QFG98" s="769"/>
      <c r="QFH98" s="769"/>
      <c r="QFI98" s="769"/>
      <c r="QFJ98" s="769"/>
      <c r="QFK98" s="769"/>
      <c r="QFL98" s="769"/>
      <c r="QFM98" s="769"/>
      <c r="QFN98" s="769"/>
      <c r="QFO98" s="769"/>
      <c r="QFP98" s="769"/>
      <c r="QFQ98" s="769"/>
      <c r="QFR98" s="769"/>
      <c r="QFS98" s="769"/>
      <c r="QFT98" s="769"/>
      <c r="QFU98" s="769"/>
      <c r="QFV98" s="769"/>
      <c r="QFW98" s="769"/>
      <c r="QFX98" s="769"/>
      <c r="QFY98" s="769"/>
      <c r="QFZ98" s="769"/>
      <c r="QGA98" s="769"/>
      <c r="QGB98" s="769"/>
      <c r="QGC98" s="769"/>
      <c r="QGD98" s="769"/>
      <c r="QGE98" s="769"/>
      <c r="QGF98" s="769"/>
      <c r="QGG98" s="769"/>
      <c r="QGH98" s="769"/>
      <c r="QGI98" s="769"/>
      <c r="QGJ98" s="769"/>
      <c r="QGK98" s="769"/>
      <c r="QGL98" s="769"/>
      <c r="QGM98" s="769"/>
      <c r="QGN98" s="769"/>
      <c r="QGO98" s="769"/>
      <c r="QGP98" s="769"/>
      <c r="QGQ98" s="769"/>
      <c r="QGR98" s="769"/>
      <c r="QGS98" s="769"/>
      <c r="QGT98" s="769"/>
      <c r="QGU98" s="769"/>
      <c r="QGV98" s="769"/>
      <c r="QGW98" s="769"/>
      <c r="QGX98" s="769"/>
      <c r="QGY98" s="769"/>
      <c r="QGZ98" s="769"/>
      <c r="QHA98" s="769"/>
      <c r="QHB98" s="769"/>
      <c r="QHC98" s="769"/>
      <c r="QHD98" s="769"/>
      <c r="QHE98" s="769"/>
      <c r="QHF98" s="769"/>
      <c r="QHG98" s="769"/>
      <c r="QHH98" s="769"/>
      <c r="QHI98" s="769"/>
      <c r="QHJ98" s="769"/>
      <c r="QHK98" s="769"/>
      <c r="QHL98" s="769"/>
      <c r="QHM98" s="769"/>
      <c r="QHN98" s="769"/>
      <c r="QHO98" s="769"/>
      <c r="QHP98" s="769"/>
      <c r="QHQ98" s="769"/>
      <c r="QHR98" s="769"/>
      <c r="QHS98" s="769"/>
      <c r="QHT98" s="769"/>
      <c r="QHU98" s="769"/>
      <c r="QHV98" s="769"/>
      <c r="QHW98" s="769"/>
      <c r="QHX98" s="769"/>
      <c r="QHY98" s="769"/>
      <c r="QHZ98" s="769"/>
      <c r="QIA98" s="769"/>
      <c r="QIB98" s="769"/>
      <c r="QIC98" s="769"/>
      <c r="QID98" s="769"/>
      <c r="QIE98" s="769"/>
      <c r="QIF98" s="769"/>
      <c r="QIG98" s="769"/>
      <c r="QIH98" s="769"/>
      <c r="QII98" s="769"/>
      <c r="QIJ98" s="769"/>
      <c r="QIK98" s="769"/>
      <c r="QIL98" s="769"/>
      <c r="QIM98" s="769"/>
      <c r="QIN98" s="769"/>
      <c r="QIO98" s="769"/>
      <c r="QIP98" s="769"/>
      <c r="QIQ98" s="769"/>
      <c r="QIR98" s="769"/>
      <c r="QIS98" s="769"/>
      <c r="QIT98" s="769"/>
      <c r="QIU98" s="769"/>
      <c r="QIV98" s="769"/>
      <c r="QIW98" s="769"/>
      <c r="QIX98" s="769"/>
      <c r="QIY98" s="769"/>
      <c r="QIZ98" s="769"/>
      <c r="QJA98" s="769"/>
      <c r="QJB98" s="769"/>
      <c r="QJC98" s="769"/>
      <c r="QJD98" s="769"/>
      <c r="QJE98" s="769"/>
      <c r="QJF98" s="769"/>
      <c r="QJG98" s="769"/>
      <c r="QJH98" s="769"/>
      <c r="QJI98" s="769"/>
      <c r="QJJ98" s="769"/>
      <c r="QJK98" s="769"/>
      <c r="QJL98" s="769"/>
      <c r="QJM98" s="769"/>
      <c r="QJN98" s="769"/>
      <c r="QJO98" s="769"/>
      <c r="QJP98" s="769"/>
      <c r="QJQ98" s="769"/>
      <c r="QJR98" s="769"/>
      <c r="QJS98" s="769"/>
      <c r="QJT98" s="769"/>
      <c r="QJU98" s="769"/>
      <c r="QJV98" s="769"/>
      <c r="QJW98" s="769"/>
      <c r="QJX98" s="769"/>
      <c r="QJY98" s="769"/>
      <c r="QJZ98" s="769"/>
      <c r="QKA98" s="769"/>
      <c r="QKB98" s="769"/>
      <c r="QKC98" s="769"/>
      <c r="QKD98" s="769"/>
      <c r="QKE98" s="769"/>
      <c r="QKF98" s="769"/>
      <c r="QKG98" s="769"/>
      <c r="QKH98" s="769"/>
      <c r="QKI98" s="769"/>
      <c r="QKJ98" s="769"/>
      <c r="QKK98" s="769"/>
      <c r="QKL98" s="769"/>
      <c r="QKM98" s="769"/>
      <c r="QKN98" s="769"/>
      <c r="QKO98" s="769"/>
      <c r="QKP98" s="769"/>
      <c r="QKQ98" s="769"/>
      <c r="QKR98" s="769"/>
      <c r="QKS98" s="769"/>
      <c r="QKT98" s="769"/>
      <c r="QKU98" s="769"/>
      <c r="QKV98" s="769"/>
      <c r="QKW98" s="769"/>
      <c r="QKX98" s="769"/>
      <c r="QKY98" s="769"/>
      <c r="QKZ98" s="769"/>
      <c r="QLA98" s="769"/>
      <c r="QLB98" s="769"/>
      <c r="QLC98" s="769"/>
      <c r="QLD98" s="769"/>
      <c r="QLE98" s="769"/>
      <c r="QLF98" s="769"/>
      <c r="QLG98" s="769"/>
      <c r="QLH98" s="769"/>
      <c r="QLI98" s="769"/>
      <c r="QLJ98" s="769"/>
      <c r="QLK98" s="769"/>
      <c r="QLL98" s="769"/>
      <c r="QLM98" s="769"/>
      <c r="QLN98" s="769"/>
      <c r="QLO98" s="769"/>
      <c r="QLP98" s="769"/>
      <c r="QLQ98" s="769"/>
      <c r="QLR98" s="769"/>
      <c r="QLS98" s="769"/>
      <c r="QLT98" s="769"/>
      <c r="QLU98" s="769"/>
      <c r="QLV98" s="769"/>
      <c r="QLW98" s="769"/>
      <c r="QLX98" s="769"/>
      <c r="QLY98" s="769"/>
      <c r="QLZ98" s="769"/>
      <c r="QMA98" s="769"/>
      <c r="QMB98" s="769"/>
      <c r="QMC98" s="769"/>
      <c r="QMD98" s="769"/>
      <c r="QME98" s="769"/>
      <c r="QMF98" s="769"/>
      <c r="QMG98" s="769"/>
      <c r="QMH98" s="769"/>
      <c r="QMI98" s="769"/>
      <c r="QMJ98" s="769"/>
      <c r="QMK98" s="769"/>
      <c r="QML98" s="769"/>
      <c r="QMM98" s="769"/>
      <c r="QMN98" s="769"/>
      <c r="QMO98" s="769"/>
      <c r="QMP98" s="769"/>
      <c r="QMQ98" s="769"/>
      <c r="QMR98" s="769"/>
      <c r="QMS98" s="769"/>
      <c r="QMT98" s="769"/>
      <c r="QMU98" s="769"/>
      <c r="QMV98" s="769"/>
      <c r="QMW98" s="769"/>
      <c r="QMX98" s="769"/>
      <c r="QMY98" s="769"/>
      <c r="QMZ98" s="769"/>
      <c r="QNA98" s="769"/>
      <c r="QNB98" s="769"/>
      <c r="QNC98" s="769"/>
      <c r="QND98" s="769"/>
      <c r="QNE98" s="769"/>
      <c r="QNF98" s="769"/>
      <c r="QNG98" s="769"/>
      <c r="QNH98" s="769"/>
      <c r="QNI98" s="769"/>
      <c r="QNJ98" s="769"/>
      <c r="QNK98" s="769"/>
      <c r="QNL98" s="769"/>
      <c r="QNM98" s="769"/>
      <c r="QNN98" s="769"/>
      <c r="QNO98" s="769"/>
      <c r="QNP98" s="769"/>
      <c r="QNQ98" s="769"/>
      <c r="QNR98" s="769"/>
      <c r="QNS98" s="769"/>
      <c r="QNT98" s="769"/>
      <c r="QNU98" s="769"/>
      <c r="QNV98" s="769"/>
      <c r="QNW98" s="769"/>
      <c r="QNX98" s="769"/>
      <c r="QNY98" s="769"/>
      <c r="QNZ98" s="769"/>
      <c r="QOA98" s="769"/>
      <c r="QOB98" s="769"/>
      <c r="QOC98" s="769"/>
      <c r="QOD98" s="769"/>
      <c r="QOE98" s="769"/>
      <c r="QOF98" s="769"/>
      <c r="QOG98" s="769"/>
      <c r="QOH98" s="769"/>
      <c r="QOI98" s="769"/>
      <c r="QOJ98" s="769"/>
      <c r="QOK98" s="769"/>
      <c r="QOL98" s="769"/>
      <c r="QOM98" s="769"/>
      <c r="QON98" s="769"/>
      <c r="QOO98" s="769"/>
      <c r="QOP98" s="769"/>
      <c r="QOQ98" s="769"/>
      <c r="QOR98" s="769"/>
      <c r="QOS98" s="769"/>
      <c r="QOT98" s="769"/>
      <c r="QOU98" s="769"/>
      <c r="QOV98" s="769"/>
      <c r="QOW98" s="769"/>
      <c r="QOX98" s="769"/>
      <c r="QOY98" s="769"/>
      <c r="QOZ98" s="769"/>
      <c r="QPA98" s="769"/>
      <c r="QPB98" s="769"/>
      <c r="QPC98" s="769"/>
      <c r="QPD98" s="769"/>
      <c r="QPE98" s="769"/>
      <c r="QPF98" s="769"/>
      <c r="QPG98" s="769"/>
      <c r="QPH98" s="769"/>
      <c r="QPI98" s="769"/>
      <c r="QPJ98" s="769"/>
      <c r="QPK98" s="769"/>
      <c r="QPL98" s="769"/>
      <c r="QPM98" s="769"/>
      <c r="QPN98" s="769"/>
      <c r="QPO98" s="769"/>
      <c r="QPP98" s="769"/>
      <c r="QPQ98" s="769"/>
      <c r="QPR98" s="769"/>
      <c r="QPS98" s="769"/>
      <c r="QPT98" s="769"/>
      <c r="QPU98" s="769"/>
      <c r="QPV98" s="769"/>
      <c r="QPW98" s="769"/>
      <c r="QPX98" s="769"/>
      <c r="QPY98" s="769"/>
      <c r="QPZ98" s="769"/>
      <c r="QQA98" s="769"/>
      <c r="QQB98" s="769"/>
      <c r="QQC98" s="769"/>
      <c r="QQD98" s="769"/>
      <c r="QQE98" s="769"/>
      <c r="QQF98" s="769"/>
      <c r="QQG98" s="769"/>
      <c r="QQH98" s="769"/>
      <c r="QQI98" s="769"/>
      <c r="QQJ98" s="769"/>
      <c r="QQK98" s="769"/>
      <c r="QQL98" s="769"/>
      <c r="QQM98" s="769"/>
      <c r="QQN98" s="769"/>
      <c r="QQO98" s="769"/>
      <c r="QQP98" s="769"/>
      <c r="QQQ98" s="769"/>
      <c r="QQR98" s="769"/>
      <c r="QQS98" s="769"/>
      <c r="QQT98" s="769"/>
      <c r="QQU98" s="769"/>
      <c r="QQV98" s="769"/>
      <c r="QQW98" s="769"/>
      <c r="QQX98" s="769"/>
      <c r="QQY98" s="769"/>
      <c r="QQZ98" s="769"/>
      <c r="QRA98" s="769"/>
      <c r="QRB98" s="769"/>
      <c r="QRC98" s="769"/>
      <c r="QRD98" s="769"/>
      <c r="QRE98" s="769"/>
      <c r="QRF98" s="769"/>
      <c r="QRG98" s="769"/>
      <c r="QRH98" s="769"/>
      <c r="QRI98" s="769"/>
      <c r="QRJ98" s="769"/>
      <c r="QRK98" s="769"/>
      <c r="QRL98" s="769"/>
      <c r="QRM98" s="769"/>
      <c r="QRN98" s="769"/>
      <c r="QRO98" s="769"/>
      <c r="QRP98" s="769"/>
      <c r="QRQ98" s="769"/>
      <c r="QRR98" s="769"/>
      <c r="QRS98" s="769"/>
      <c r="QRT98" s="769"/>
      <c r="QRU98" s="769"/>
      <c r="QRV98" s="769"/>
      <c r="QRW98" s="769"/>
      <c r="QRX98" s="769"/>
      <c r="QRY98" s="769"/>
      <c r="QRZ98" s="769"/>
      <c r="QSA98" s="769"/>
      <c r="QSB98" s="769"/>
      <c r="QSC98" s="769"/>
      <c r="QSD98" s="769"/>
      <c r="QSE98" s="769"/>
      <c r="QSF98" s="769"/>
      <c r="QSG98" s="769"/>
      <c r="QSH98" s="769"/>
      <c r="QSI98" s="769"/>
      <c r="QSJ98" s="769"/>
      <c r="QSK98" s="769"/>
      <c r="QSL98" s="769"/>
      <c r="QSM98" s="769"/>
      <c r="QSN98" s="769"/>
      <c r="QSO98" s="769"/>
      <c r="QSP98" s="769"/>
      <c r="QSQ98" s="769"/>
      <c r="QSR98" s="769"/>
      <c r="QSS98" s="769"/>
      <c r="QST98" s="769"/>
      <c r="QSU98" s="769"/>
      <c r="QSV98" s="769"/>
      <c r="QSW98" s="769"/>
      <c r="QSX98" s="769"/>
      <c r="QSY98" s="769"/>
      <c r="QSZ98" s="769"/>
      <c r="QTA98" s="769"/>
      <c r="QTB98" s="769"/>
      <c r="QTC98" s="769"/>
      <c r="QTD98" s="769"/>
      <c r="QTE98" s="769"/>
      <c r="QTF98" s="769"/>
      <c r="QTG98" s="769"/>
      <c r="QTH98" s="769"/>
      <c r="QTI98" s="769"/>
      <c r="QTJ98" s="769"/>
      <c r="QTK98" s="769"/>
      <c r="QTL98" s="769"/>
      <c r="QTM98" s="769"/>
      <c r="QTN98" s="769"/>
      <c r="QTO98" s="769"/>
      <c r="QTP98" s="769"/>
      <c r="QTQ98" s="769"/>
      <c r="QTR98" s="769"/>
      <c r="QTS98" s="769"/>
      <c r="QTT98" s="769"/>
      <c r="QTU98" s="769"/>
      <c r="QTV98" s="769"/>
      <c r="QTW98" s="769"/>
      <c r="QTX98" s="769"/>
      <c r="QTY98" s="769"/>
      <c r="QTZ98" s="769"/>
      <c r="QUA98" s="769"/>
      <c r="QUB98" s="769"/>
      <c r="QUC98" s="769"/>
      <c r="QUD98" s="769"/>
      <c r="QUE98" s="769"/>
      <c r="QUF98" s="769"/>
      <c r="QUG98" s="769"/>
      <c r="QUH98" s="769"/>
      <c r="QUI98" s="769"/>
      <c r="QUJ98" s="769"/>
      <c r="QUK98" s="769"/>
      <c r="QUL98" s="769"/>
      <c r="QUM98" s="769"/>
      <c r="QUN98" s="769"/>
      <c r="QUO98" s="769"/>
      <c r="QUP98" s="769"/>
      <c r="QUQ98" s="769"/>
      <c r="QUR98" s="769"/>
      <c r="QUS98" s="769"/>
      <c r="QUT98" s="769"/>
      <c r="QUU98" s="769"/>
      <c r="QUV98" s="769"/>
      <c r="QUW98" s="769"/>
      <c r="QUX98" s="769"/>
      <c r="QUY98" s="769"/>
      <c r="QUZ98" s="769"/>
      <c r="QVA98" s="769"/>
      <c r="QVB98" s="769"/>
      <c r="QVC98" s="769"/>
      <c r="QVD98" s="769"/>
      <c r="QVE98" s="769"/>
      <c r="QVF98" s="769"/>
      <c r="QVG98" s="769"/>
      <c r="QVH98" s="769"/>
      <c r="QVI98" s="769"/>
      <c r="QVJ98" s="769"/>
      <c r="QVK98" s="769"/>
      <c r="QVL98" s="769"/>
      <c r="QVM98" s="769"/>
      <c r="QVN98" s="769"/>
      <c r="QVO98" s="769"/>
      <c r="QVP98" s="769"/>
      <c r="QVQ98" s="769"/>
      <c r="QVR98" s="769"/>
      <c r="QVS98" s="769"/>
      <c r="QVT98" s="769"/>
      <c r="QVU98" s="769"/>
      <c r="QVV98" s="769"/>
      <c r="QVW98" s="769"/>
      <c r="QVX98" s="769"/>
      <c r="QVY98" s="769"/>
      <c r="QVZ98" s="769"/>
      <c r="QWA98" s="769"/>
      <c r="QWB98" s="769"/>
      <c r="QWC98" s="769"/>
      <c r="QWD98" s="769"/>
      <c r="QWE98" s="769"/>
      <c r="QWF98" s="769"/>
      <c r="QWG98" s="769"/>
      <c r="QWH98" s="769"/>
      <c r="QWI98" s="769"/>
      <c r="QWJ98" s="769"/>
      <c r="QWK98" s="769"/>
      <c r="QWL98" s="769"/>
      <c r="QWM98" s="769"/>
      <c r="QWN98" s="769"/>
      <c r="QWO98" s="769"/>
      <c r="QWP98" s="769"/>
      <c r="QWQ98" s="769"/>
      <c r="QWR98" s="769"/>
      <c r="QWS98" s="769"/>
      <c r="QWT98" s="769"/>
      <c r="QWU98" s="769"/>
      <c r="QWV98" s="769"/>
      <c r="QWW98" s="769"/>
      <c r="QWX98" s="769"/>
      <c r="QWY98" s="769"/>
      <c r="QWZ98" s="769"/>
      <c r="QXA98" s="769"/>
      <c r="QXB98" s="769"/>
      <c r="QXC98" s="769"/>
      <c r="QXD98" s="769"/>
      <c r="QXE98" s="769"/>
      <c r="QXF98" s="769"/>
      <c r="QXG98" s="769"/>
      <c r="QXH98" s="769"/>
      <c r="QXI98" s="769"/>
      <c r="QXJ98" s="769"/>
      <c r="QXK98" s="769"/>
      <c r="QXL98" s="769"/>
      <c r="QXM98" s="769"/>
      <c r="QXN98" s="769"/>
      <c r="QXO98" s="769"/>
      <c r="QXP98" s="769"/>
      <c r="QXQ98" s="769"/>
      <c r="QXR98" s="769"/>
      <c r="QXS98" s="769"/>
      <c r="QXT98" s="769"/>
      <c r="QXU98" s="769"/>
      <c r="QXV98" s="769"/>
      <c r="QXW98" s="769"/>
      <c r="QXX98" s="769"/>
      <c r="QXY98" s="769"/>
      <c r="QXZ98" s="769"/>
      <c r="QYA98" s="769"/>
      <c r="QYB98" s="769"/>
      <c r="QYC98" s="769"/>
      <c r="QYD98" s="769"/>
      <c r="QYE98" s="769"/>
      <c r="QYF98" s="769"/>
      <c r="QYG98" s="769"/>
      <c r="QYH98" s="769"/>
      <c r="QYI98" s="769"/>
      <c r="QYJ98" s="769"/>
      <c r="QYK98" s="769"/>
      <c r="QYL98" s="769"/>
      <c r="QYM98" s="769"/>
      <c r="QYN98" s="769"/>
      <c r="QYO98" s="769"/>
      <c r="QYP98" s="769"/>
      <c r="QYQ98" s="769"/>
      <c r="QYR98" s="769"/>
      <c r="QYS98" s="769"/>
      <c r="QYT98" s="769"/>
      <c r="QYU98" s="769"/>
      <c r="QYV98" s="769"/>
      <c r="QYW98" s="769"/>
      <c r="QYX98" s="769"/>
      <c r="QYY98" s="769"/>
      <c r="QYZ98" s="769"/>
      <c r="QZA98" s="769"/>
      <c r="QZB98" s="769"/>
      <c r="QZC98" s="769"/>
      <c r="QZD98" s="769"/>
      <c r="QZE98" s="769"/>
      <c r="QZF98" s="769"/>
      <c r="QZG98" s="769"/>
      <c r="QZH98" s="769"/>
      <c r="QZI98" s="769"/>
      <c r="QZJ98" s="769"/>
      <c r="QZK98" s="769"/>
      <c r="QZL98" s="769"/>
      <c r="QZM98" s="769"/>
      <c r="QZN98" s="769"/>
      <c r="QZO98" s="769"/>
      <c r="QZP98" s="769"/>
      <c r="QZQ98" s="769"/>
      <c r="QZR98" s="769"/>
      <c r="QZS98" s="769"/>
      <c r="QZT98" s="769"/>
      <c r="QZU98" s="769"/>
      <c r="QZV98" s="769"/>
      <c r="QZW98" s="769"/>
      <c r="QZX98" s="769"/>
      <c r="QZY98" s="769"/>
      <c r="QZZ98" s="769"/>
      <c r="RAA98" s="769"/>
      <c r="RAB98" s="769"/>
      <c r="RAC98" s="769"/>
      <c r="RAD98" s="769"/>
      <c r="RAE98" s="769"/>
      <c r="RAF98" s="769"/>
      <c r="RAG98" s="769"/>
      <c r="RAH98" s="769"/>
      <c r="RAI98" s="769"/>
      <c r="RAJ98" s="769"/>
      <c r="RAK98" s="769"/>
      <c r="RAL98" s="769"/>
      <c r="RAM98" s="769"/>
      <c r="RAN98" s="769"/>
      <c r="RAO98" s="769"/>
      <c r="RAP98" s="769"/>
      <c r="RAQ98" s="769"/>
      <c r="RAR98" s="769"/>
      <c r="RAS98" s="769"/>
      <c r="RAT98" s="769"/>
      <c r="RAU98" s="769"/>
      <c r="RAV98" s="769"/>
      <c r="RAW98" s="769"/>
      <c r="RAX98" s="769"/>
      <c r="RAY98" s="769"/>
      <c r="RAZ98" s="769"/>
      <c r="RBA98" s="769"/>
      <c r="RBB98" s="769"/>
      <c r="RBC98" s="769"/>
      <c r="RBD98" s="769"/>
      <c r="RBE98" s="769"/>
      <c r="RBF98" s="769"/>
      <c r="RBG98" s="769"/>
      <c r="RBH98" s="769"/>
      <c r="RBI98" s="769"/>
      <c r="RBJ98" s="769"/>
      <c r="RBK98" s="769"/>
      <c r="RBL98" s="769"/>
      <c r="RBM98" s="769"/>
      <c r="RBN98" s="769"/>
      <c r="RBO98" s="769"/>
      <c r="RBP98" s="769"/>
      <c r="RBQ98" s="769"/>
      <c r="RBR98" s="769"/>
      <c r="RBS98" s="769"/>
      <c r="RBT98" s="769"/>
      <c r="RBU98" s="769"/>
      <c r="RBV98" s="769"/>
      <c r="RBW98" s="769"/>
      <c r="RBX98" s="769"/>
      <c r="RBY98" s="769"/>
      <c r="RBZ98" s="769"/>
      <c r="RCA98" s="769"/>
      <c r="RCB98" s="769"/>
      <c r="RCC98" s="769"/>
      <c r="RCD98" s="769"/>
      <c r="RCE98" s="769"/>
      <c r="RCF98" s="769"/>
      <c r="RCG98" s="769"/>
      <c r="RCH98" s="769"/>
      <c r="RCI98" s="769"/>
      <c r="RCJ98" s="769"/>
      <c r="RCK98" s="769"/>
      <c r="RCL98" s="769"/>
      <c r="RCM98" s="769"/>
      <c r="RCN98" s="769"/>
      <c r="RCO98" s="769"/>
      <c r="RCP98" s="769"/>
      <c r="RCQ98" s="769"/>
      <c r="RCR98" s="769"/>
      <c r="RCS98" s="769"/>
      <c r="RCT98" s="769"/>
      <c r="RCU98" s="769"/>
      <c r="RCV98" s="769"/>
      <c r="RCW98" s="769"/>
      <c r="RCX98" s="769"/>
      <c r="RCY98" s="769"/>
      <c r="RCZ98" s="769"/>
      <c r="RDA98" s="769"/>
      <c r="RDB98" s="769"/>
      <c r="RDC98" s="769"/>
      <c r="RDD98" s="769"/>
      <c r="RDE98" s="769"/>
      <c r="RDF98" s="769"/>
      <c r="RDG98" s="769"/>
      <c r="RDH98" s="769"/>
      <c r="RDI98" s="769"/>
      <c r="RDJ98" s="769"/>
      <c r="RDK98" s="769"/>
      <c r="RDL98" s="769"/>
      <c r="RDM98" s="769"/>
      <c r="RDN98" s="769"/>
      <c r="RDO98" s="769"/>
      <c r="RDP98" s="769"/>
      <c r="RDQ98" s="769"/>
      <c r="RDR98" s="769"/>
      <c r="RDS98" s="769"/>
      <c r="RDT98" s="769"/>
      <c r="RDU98" s="769"/>
      <c r="RDV98" s="769"/>
      <c r="RDW98" s="769"/>
      <c r="RDX98" s="769"/>
      <c r="RDY98" s="769"/>
      <c r="RDZ98" s="769"/>
      <c r="REA98" s="769"/>
      <c r="REB98" s="769"/>
      <c r="REC98" s="769"/>
      <c r="RED98" s="769"/>
      <c r="REE98" s="769"/>
      <c r="REF98" s="769"/>
      <c r="REG98" s="769"/>
      <c r="REH98" s="769"/>
      <c r="REI98" s="769"/>
      <c r="REJ98" s="769"/>
      <c r="REK98" s="769"/>
      <c r="REL98" s="769"/>
      <c r="REM98" s="769"/>
      <c r="REN98" s="769"/>
      <c r="REO98" s="769"/>
      <c r="REP98" s="769"/>
      <c r="REQ98" s="769"/>
      <c r="RER98" s="769"/>
      <c r="RES98" s="769"/>
      <c r="RET98" s="769"/>
      <c r="REU98" s="769"/>
      <c r="REV98" s="769"/>
      <c r="REW98" s="769"/>
      <c r="REX98" s="769"/>
      <c r="REY98" s="769"/>
      <c r="REZ98" s="769"/>
      <c r="RFA98" s="769"/>
      <c r="RFB98" s="769"/>
      <c r="RFC98" s="769"/>
      <c r="RFD98" s="769"/>
      <c r="RFE98" s="769"/>
      <c r="RFF98" s="769"/>
      <c r="RFG98" s="769"/>
      <c r="RFH98" s="769"/>
      <c r="RFI98" s="769"/>
      <c r="RFJ98" s="769"/>
      <c r="RFK98" s="769"/>
      <c r="RFL98" s="769"/>
      <c r="RFM98" s="769"/>
      <c r="RFN98" s="769"/>
      <c r="RFO98" s="769"/>
      <c r="RFP98" s="769"/>
      <c r="RFQ98" s="769"/>
      <c r="RFR98" s="769"/>
      <c r="RFS98" s="769"/>
      <c r="RFT98" s="769"/>
      <c r="RFU98" s="769"/>
      <c r="RFV98" s="769"/>
      <c r="RFW98" s="769"/>
      <c r="RFX98" s="769"/>
      <c r="RFY98" s="769"/>
      <c r="RFZ98" s="769"/>
      <c r="RGA98" s="769"/>
      <c r="RGB98" s="769"/>
      <c r="RGC98" s="769"/>
      <c r="RGD98" s="769"/>
      <c r="RGE98" s="769"/>
      <c r="RGF98" s="769"/>
      <c r="RGG98" s="769"/>
      <c r="RGH98" s="769"/>
      <c r="RGI98" s="769"/>
      <c r="RGJ98" s="769"/>
      <c r="RGK98" s="769"/>
      <c r="RGL98" s="769"/>
      <c r="RGM98" s="769"/>
      <c r="RGN98" s="769"/>
      <c r="RGO98" s="769"/>
      <c r="RGP98" s="769"/>
      <c r="RGQ98" s="769"/>
      <c r="RGR98" s="769"/>
      <c r="RGS98" s="769"/>
      <c r="RGT98" s="769"/>
      <c r="RGU98" s="769"/>
      <c r="RGV98" s="769"/>
      <c r="RGW98" s="769"/>
      <c r="RGX98" s="769"/>
      <c r="RGY98" s="769"/>
      <c r="RGZ98" s="769"/>
      <c r="RHA98" s="769"/>
      <c r="RHB98" s="769"/>
      <c r="RHC98" s="769"/>
      <c r="RHD98" s="769"/>
      <c r="RHE98" s="769"/>
      <c r="RHF98" s="769"/>
      <c r="RHG98" s="769"/>
      <c r="RHH98" s="769"/>
      <c r="RHI98" s="769"/>
      <c r="RHJ98" s="769"/>
      <c r="RHK98" s="769"/>
      <c r="RHL98" s="769"/>
      <c r="RHM98" s="769"/>
      <c r="RHN98" s="769"/>
      <c r="RHO98" s="769"/>
      <c r="RHP98" s="769"/>
      <c r="RHQ98" s="769"/>
      <c r="RHR98" s="769"/>
      <c r="RHS98" s="769"/>
      <c r="RHT98" s="769"/>
      <c r="RHU98" s="769"/>
      <c r="RHV98" s="769"/>
      <c r="RHW98" s="769"/>
      <c r="RHX98" s="769"/>
      <c r="RHY98" s="769"/>
      <c r="RHZ98" s="769"/>
      <c r="RIA98" s="769"/>
      <c r="RIB98" s="769"/>
      <c r="RIC98" s="769"/>
      <c r="RID98" s="769"/>
      <c r="RIE98" s="769"/>
      <c r="RIF98" s="769"/>
      <c r="RIG98" s="769"/>
      <c r="RIH98" s="769"/>
      <c r="RII98" s="769"/>
      <c r="RIJ98" s="769"/>
      <c r="RIK98" s="769"/>
      <c r="RIL98" s="769"/>
      <c r="RIM98" s="769"/>
      <c r="RIN98" s="769"/>
      <c r="RIO98" s="769"/>
      <c r="RIP98" s="769"/>
      <c r="RIQ98" s="769"/>
      <c r="RIR98" s="769"/>
      <c r="RIS98" s="769"/>
      <c r="RIT98" s="769"/>
      <c r="RIU98" s="769"/>
      <c r="RIV98" s="769"/>
      <c r="RIW98" s="769"/>
      <c r="RIX98" s="769"/>
      <c r="RIY98" s="769"/>
      <c r="RIZ98" s="769"/>
      <c r="RJA98" s="769"/>
      <c r="RJB98" s="769"/>
      <c r="RJC98" s="769"/>
      <c r="RJD98" s="769"/>
      <c r="RJE98" s="769"/>
      <c r="RJF98" s="769"/>
      <c r="RJG98" s="769"/>
      <c r="RJH98" s="769"/>
      <c r="RJI98" s="769"/>
      <c r="RJJ98" s="769"/>
      <c r="RJK98" s="769"/>
      <c r="RJL98" s="769"/>
      <c r="RJM98" s="769"/>
      <c r="RJN98" s="769"/>
      <c r="RJO98" s="769"/>
      <c r="RJP98" s="769"/>
      <c r="RJQ98" s="769"/>
      <c r="RJR98" s="769"/>
      <c r="RJS98" s="769"/>
      <c r="RJT98" s="769"/>
      <c r="RJU98" s="769"/>
      <c r="RJV98" s="769"/>
      <c r="RJW98" s="769"/>
      <c r="RJX98" s="769"/>
      <c r="RJY98" s="769"/>
      <c r="RJZ98" s="769"/>
      <c r="RKA98" s="769"/>
      <c r="RKB98" s="769"/>
      <c r="RKC98" s="769"/>
      <c r="RKD98" s="769"/>
      <c r="RKE98" s="769"/>
      <c r="RKF98" s="769"/>
      <c r="RKG98" s="769"/>
      <c r="RKH98" s="769"/>
      <c r="RKI98" s="769"/>
      <c r="RKJ98" s="769"/>
      <c r="RKK98" s="769"/>
      <c r="RKL98" s="769"/>
      <c r="RKM98" s="769"/>
      <c r="RKN98" s="769"/>
      <c r="RKO98" s="769"/>
      <c r="RKP98" s="769"/>
      <c r="RKQ98" s="769"/>
      <c r="RKR98" s="769"/>
      <c r="RKS98" s="769"/>
      <c r="RKT98" s="769"/>
      <c r="RKU98" s="769"/>
      <c r="RKV98" s="769"/>
      <c r="RKW98" s="769"/>
      <c r="RKX98" s="769"/>
      <c r="RKY98" s="769"/>
      <c r="RKZ98" s="769"/>
      <c r="RLA98" s="769"/>
      <c r="RLB98" s="769"/>
      <c r="RLC98" s="769"/>
      <c r="RLD98" s="769"/>
      <c r="RLE98" s="769"/>
      <c r="RLF98" s="769"/>
      <c r="RLG98" s="769"/>
      <c r="RLH98" s="769"/>
      <c r="RLI98" s="769"/>
      <c r="RLJ98" s="769"/>
      <c r="RLK98" s="769"/>
      <c r="RLL98" s="769"/>
      <c r="RLM98" s="769"/>
      <c r="RLN98" s="769"/>
      <c r="RLO98" s="769"/>
      <c r="RLP98" s="769"/>
      <c r="RLQ98" s="769"/>
      <c r="RLR98" s="769"/>
      <c r="RLS98" s="769"/>
      <c r="RLT98" s="769"/>
      <c r="RLU98" s="769"/>
      <c r="RLV98" s="769"/>
      <c r="RLW98" s="769"/>
      <c r="RLX98" s="769"/>
      <c r="RLY98" s="769"/>
      <c r="RLZ98" s="769"/>
      <c r="RMA98" s="769"/>
      <c r="RMB98" s="769"/>
      <c r="RMC98" s="769"/>
      <c r="RMD98" s="769"/>
      <c r="RME98" s="769"/>
      <c r="RMF98" s="769"/>
      <c r="RMG98" s="769"/>
      <c r="RMH98" s="769"/>
      <c r="RMI98" s="769"/>
      <c r="RMJ98" s="769"/>
      <c r="RMK98" s="769"/>
      <c r="RML98" s="769"/>
      <c r="RMM98" s="769"/>
      <c r="RMN98" s="769"/>
      <c r="RMO98" s="769"/>
      <c r="RMP98" s="769"/>
      <c r="RMQ98" s="769"/>
      <c r="RMR98" s="769"/>
      <c r="RMS98" s="769"/>
      <c r="RMT98" s="769"/>
      <c r="RMU98" s="769"/>
      <c r="RMV98" s="769"/>
      <c r="RMW98" s="769"/>
      <c r="RMX98" s="769"/>
      <c r="RMY98" s="769"/>
      <c r="RMZ98" s="769"/>
      <c r="RNA98" s="769"/>
      <c r="RNB98" s="769"/>
      <c r="RNC98" s="769"/>
      <c r="RND98" s="769"/>
      <c r="RNE98" s="769"/>
      <c r="RNF98" s="769"/>
      <c r="RNG98" s="769"/>
      <c r="RNH98" s="769"/>
      <c r="RNI98" s="769"/>
      <c r="RNJ98" s="769"/>
      <c r="RNK98" s="769"/>
      <c r="RNL98" s="769"/>
      <c r="RNM98" s="769"/>
      <c r="RNN98" s="769"/>
      <c r="RNO98" s="769"/>
      <c r="RNP98" s="769"/>
      <c r="RNQ98" s="769"/>
      <c r="RNR98" s="769"/>
      <c r="RNS98" s="769"/>
      <c r="RNT98" s="769"/>
      <c r="RNU98" s="769"/>
      <c r="RNV98" s="769"/>
      <c r="RNW98" s="769"/>
      <c r="RNX98" s="769"/>
      <c r="RNY98" s="769"/>
      <c r="RNZ98" s="769"/>
      <c r="ROA98" s="769"/>
      <c r="ROB98" s="769"/>
      <c r="ROC98" s="769"/>
      <c r="ROD98" s="769"/>
      <c r="ROE98" s="769"/>
      <c r="ROF98" s="769"/>
      <c r="ROG98" s="769"/>
      <c r="ROH98" s="769"/>
      <c r="ROI98" s="769"/>
      <c r="ROJ98" s="769"/>
      <c r="ROK98" s="769"/>
      <c r="ROL98" s="769"/>
      <c r="ROM98" s="769"/>
      <c r="RON98" s="769"/>
      <c r="ROO98" s="769"/>
      <c r="ROP98" s="769"/>
      <c r="ROQ98" s="769"/>
      <c r="ROR98" s="769"/>
      <c r="ROS98" s="769"/>
      <c r="ROT98" s="769"/>
      <c r="ROU98" s="769"/>
      <c r="ROV98" s="769"/>
      <c r="ROW98" s="769"/>
      <c r="ROX98" s="769"/>
      <c r="ROY98" s="769"/>
      <c r="ROZ98" s="769"/>
      <c r="RPA98" s="769"/>
      <c r="RPB98" s="769"/>
      <c r="RPC98" s="769"/>
      <c r="RPD98" s="769"/>
      <c r="RPE98" s="769"/>
      <c r="RPF98" s="769"/>
      <c r="RPG98" s="769"/>
      <c r="RPH98" s="769"/>
      <c r="RPI98" s="769"/>
      <c r="RPJ98" s="769"/>
      <c r="RPK98" s="769"/>
      <c r="RPL98" s="769"/>
      <c r="RPM98" s="769"/>
      <c r="RPN98" s="769"/>
      <c r="RPO98" s="769"/>
      <c r="RPP98" s="769"/>
      <c r="RPQ98" s="769"/>
      <c r="RPR98" s="769"/>
      <c r="RPS98" s="769"/>
      <c r="RPT98" s="769"/>
      <c r="RPU98" s="769"/>
      <c r="RPV98" s="769"/>
      <c r="RPW98" s="769"/>
      <c r="RPX98" s="769"/>
      <c r="RPY98" s="769"/>
      <c r="RPZ98" s="769"/>
      <c r="RQA98" s="769"/>
      <c r="RQB98" s="769"/>
      <c r="RQC98" s="769"/>
      <c r="RQD98" s="769"/>
      <c r="RQE98" s="769"/>
      <c r="RQF98" s="769"/>
      <c r="RQG98" s="769"/>
      <c r="RQH98" s="769"/>
      <c r="RQI98" s="769"/>
      <c r="RQJ98" s="769"/>
      <c r="RQK98" s="769"/>
      <c r="RQL98" s="769"/>
      <c r="RQM98" s="769"/>
      <c r="RQN98" s="769"/>
      <c r="RQO98" s="769"/>
      <c r="RQP98" s="769"/>
      <c r="RQQ98" s="769"/>
      <c r="RQR98" s="769"/>
      <c r="RQS98" s="769"/>
      <c r="RQT98" s="769"/>
      <c r="RQU98" s="769"/>
      <c r="RQV98" s="769"/>
      <c r="RQW98" s="769"/>
      <c r="RQX98" s="769"/>
      <c r="RQY98" s="769"/>
      <c r="RQZ98" s="769"/>
      <c r="RRA98" s="769"/>
      <c r="RRB98" s="769"/>
      <c r="RRC98" s="769"/>
      <c r="RRD98" s="769"/>
      <c r="RRE98" s="769"/>
      <c r="RRF98" s="769"/>
      <c r="RRG98" s="769"/>
      <c r="RRH98" s="769"/>
      <c r="RRI98" s="769"/>
      <c r="RRJ98" s="769"/>
      <c r="RRK98" s="769"/>
      <c r="RRL98" s="769"/>
      <c r="RRM98" s="769"/>
      <c r="RRN98" s="769"/>
      <c r="RRO98" s="769"/>
      <c r="RRP98" s="769"/>
      <c r="RRQ98" s="769"/>
      <c r="RRR98" s="769"/>
      <c r="RRS98" s="769"/>
      <c r="RRT98" s="769"/>
      <c r="RRU98" s="769"/>
      <c r="RRV98" s="769"/>
      <c r="RRW98" s="769"/>
      <c r="RRX98" s="769"/>
      <c r="RRY98" s="769"/>
      <c r="RRZ98" s="769"/>
      <c r="RSA98" s="769"/>
      <c r="RSB98" s="769"/>
      <c r="RSC98" s="769"/>
      <c r="RSD98" s="769"/>
      <c r="RSE98" s="769"/>
      <c r="RSF98" s="769"/>
      <c r="RSG98" s="769"/>
      <c r="RSH98" s="769"/>
      <c r="RSI98" s="769"/>
      <c r="RSJ98" s="769"/>
      <c r="RSK98" s="769"/>
      <c r="RSL98" s="769"/>
      <c r="RSM98" s="769"/>
      <c r="RSN98" s="769"/>
      <c r="RSO98" s="769"/>
      <c r="RSP98" s="769"/>
      <c r="RSQ98" s="769"/>
      <c r="RSR98" s="769"/>
      <c r="RSS98" s="769"/>
      <c r="RST98" s="769"/>
      <c r="RSU98" s="769"/>
      <c r="RSV98" s="769"/>
      <c r="RSW98" s="769"/>
      <c r="RSX98" s="769"/>
      <c r="RSY98" s="769"/>
      <c r="RSZ98" s="769"/>
      <c r="RTA98" s="769"/>
      <c r="RTB98" s="769"/>
      <c r="RTC98" s="769"/>
      <c r="RTD98" s="769"/>
      <c r="RTE98" s="769"/>
      <c r="RTF98" s="769"/>
      <c r="RTG98" s="769"/>
      <c r="RTH98" s="769"/>
      <c r="RTI98" s="769"/>
      <c r="RTJ98" s="769"/>
      <c r="RTK98" s="769"/>
      <c r="RTL98" s="769"/>
      <c r="RTM98" s="769"/>
      <c r="RTN98" s="769"/>
      <c r="RTO98" s="769"/>
      <c r="RTP98" s="769"/>
      <c r="RTQ98" s="769"/>
      <c r="RTR98" s="769"/>
      <c r="RTS98" s="769"/>
      <c r="RTT98" s="769"/>
      <c r="RTU98" s="769"/>
      <c r="RTV98" s="769"/>
      <c r="RTW98" s="769"/>
      <c r="RTX98" s="769"/>
      <c r="RTY98" s="769"/>
      <c r="RTZ98" s="769"/>
      <c r="RUA98" s="769"/>
      <c r="RUB98" s="769"/>
      <c r="RUC98" s="769"/>
      <c r="RUD98" s="769"/>
      <c r="RUE98" s="769"/>
      <c r="RUF98" s="769"/>
      <c r="RUG98" s="769"/>
      <c r="RUH98" s="769"/>
      <c r="RUI98" s="769"/>
      <c r="RUJ98" s="769"/>
      <c r="RUK98" s="769"/>
      <c r="RUL98" s="769"/>
      <c r="RUM98" s="769"/>
      <c r="RUN98" s="769"/>
      <c r="RUO98" s="769"/>
      <c r="RUP98" s="769"/>
      <c r="RUQ98" s="769"/>
      <c r="RUR98" s="769"/>
      <c r="RUS98" s="769"/>
      <c r="RUT98" s="769"/>
      <c r="RUU98" s="769"/>
      <c r="RUV98" s="769"/>
      <c r="RUW98" s="769"/>
      <c r="RUX98" s="769"/>
      <c r="RUY98" s="769"/>
      <c r="RUZ98" s="769"/>
      <c r="RVA98" s="769"/>
      <c r="RVB98" s="769"/>
      <c r="RVC98" s="769"/>
      <c r="RVD98" s="769"/>
      <c r="RVE98" s="769"/>
      <c r="RVF98" s="769"/>
      <c r="RVG98" s="769"/>
      <c r="RVH98" s="769"/>
      <c r="RVI98" s="769"/>
      <c r="RVJ98" s="769"/>
      <c r="RVK98" s="769"/>
      <c r="RVL98" s="769"/>
      <c r="RVM98" s="769"/>
      <c r="RVN98" s="769"/>
      <c r="RVO98" s="769"/>
      <c r="RVP98" s="769"/>
      <c r="RVQ98" s="769"/>
      <c r="RVR98" s="769"/>
      <c r="RVS98" s="769"/>
      <c r="RVT98" s="769"/>
      <c r="RVU98" s="769"/>
      <c r="RVV98" s="769"/>
      <c r="RVW98" s="769"/>
      <c r="RVX98" s="769"/>
      <c r="RVY98" s="769"/>
      <c r="RVZ98" s="769"/>
      <c r="RWA98" s="769"/>
      <c r="RWB98" s="769"/>
      <c r="RWC98" s="769"/>
      <c r="RWD98" s="769"/>
      <c r="RWE98" s="769"/>
      <c r="RWF98" s="769"/>
      <c r="RWG98" s="769"/>
      <c r="RWH98" s="769"/>
      <c r="RWI98" s="769"/>
      <c r="RWJ98" s="769"/>
      <c r="RWK98" s="769"/>
      <c r="RWL98" s="769"/>
      <c r="RWM98" s="769"/>
      <c r="RWN98" s="769"/>
      <c r="RWO98" s="769"/>
      <c r="RWP98" s="769"/>
      <c r="RWQ98" s="769"/>
      <c r="RWR98" s="769"/>
      <c r="RWS98" s="769"/>
      <c r="RWT98" s="769"/>
      <c r="RWU98" s="769"/>
      <c r="RWV98" s="769"/>
      <c r="RWW98" s="769"/>
      <c r="RWX98" s="769"/>
      <c r="RWY98" s="769"/>
      <c r="RWZ98" s="769"/>
      <c r="RXA98" s="769"/>
      <c r="RXB98" s="769"/>
      <c r="RXC98" s="769"/>
      <c r="RXD98" s="769"/>
      <c r="RXE98" s="769"/>
      <c r="RXF98" s="769"/>
      <c r="RXG98" s="769"/>
      <c r="RXH98" s="769"/>
      <c r="RXI98" s="769"/>
      <c r="RXJ98" s="769"/>
      <c r="RXK98" s="769"/>
      <c r="RXL98" s="769"/>
      <c r="RXM98" s="769"/>
      <c r="RXN98" s="769"/>
      <c r="RXO98" s="769"/>
      <c r="RXP98" s="769"/>
      <c r="RXQ98" s="769"/>
      <c r="RXR98" s="769"/>
      <c r="RXS98" s="769"/>
      <c r="RXT98" s="769"/>
      <c r="RXU98" s="769"/>
      <c r="RXV98" s="769"/>
      <c r="RXW98" s="769"/>
      <c r="RXX98" s="769"/>
      <c r="RXY98" s="769"/>
      <c r="RXZ98" s="769"/>
      <c r="RYA98" s="769"/>
      <c r="RYB98" s="769"/>
      <c r="RYC98" s="769"/>
      <c r="RYD98" s="769"/>
      <c r="RYE98" s="769"/>
      <c r="RYF98" s="769"/>
      <c r="RYG98" s="769"/>
      <c r="RYH98" s="769"/>
      <c r="RYI98" s="769"/>
      <c r="RYJ98" s="769"/>
      <c r="RYK98" s="769"/>
      <c r="RYL98" s="769"/>
      <c r="RYM98" s="769"/>
      <c r="RYN98" s="769"/>
      <c r="RYO98" s="769"/>
      <c r="RYP98" s="769"/>
      <c r="RYQ98" s="769"/>
      <c r="RYR98" s="769"/>
      <c r="RYS98" s="769"/>
      <c r="RYT98" s="769"/>
      <c r="RYU98" s="769"/>
      <c r="RYV98" s="769"/>
      <c r="RYW98" s="769"/>
      <c r="RYX98" s="769"/>
      <c r="RYY98" s="769"/>
      <c r="RYZ98" s="769"/>
      <c r="RZA98" s="769"/>
      <c r="RZB98" s="769"/>
      <c r="RZC98" s="769"/>
      <c r="RZD98" s="769"/>
      <c r="RZE98" s="769"/>
      <c r="RZF98" s="769"/>
      <c r="RZG98" s="769"/>
      <c r="RZH98" s="769"/>
      <c r="RZI98" s="769"/>
      <c r="RZJ98" s="769"/>
      <c r="RZK98" s="769"/>
      <c r="RZL98" s="769"/>
      <c r="RZM98" s="769"/>
      <c r="RZN98" s="769"/>
      <c r="RZO98" s="769"/>
      <c r="RZP98" s="769"/>
      <c r="RZQ98" s="769"/>
      <c r="RZR98" s="769"/>
      <c r="RZS98" s="769"/>
      <c r="RZT98" s="769"/>
      <c r="RZU98" s="769"/>
      <c r="RZV98" s="769"/>
      <c r="RZW98" s="769"/>
      <c r="RZX98" s="769"/>
      <c r="RZY98" s="769"/>
      <c r="RZZ98" s="769"/>
      <c r="SAA98" s="769"/>
      <c r="SAB98" s="769"/>
      <c r="SAC98" s="769"/>
      <c r="SAD98" s="769"/>
      <c r="SAE98" s="769"/>
      <c r="SAF98" s="769"/>
      <c r="SAG98" s="769"/>
      <c r="SAH98" s="769"/>
      <c r="SAI98" s="769"/>
      <c r="SAJ98" s="769"/>
      <c r="SAK98" s="769"/>
      <c r="SAL98" s="769"/>
      <c r="SAM98" s="769"/>
      <c r="SAN98" s="769"/>
      <c r="SAO98" s="769"/>
      <c r="SAP98" s="769"/>
      <c r="SAQ98" s="769"/>
      <c r="SAR98" s="769"/>
      <c r="SAS98" s="769"/>
      <c r="SAT98" s="769"/>
      <c r="SAU98" s="769"/>
      <c r="SAV98" s="769"/>
      <c r="SAW98" s="769"/>
      <c r="SAX98" s="769"/>
      <c r="SAY98" s="769"/>
      <c r="SAZ98" s="769"/>
      <c r="SBA98" s="769"/>
      <c r="SBB98" s="769"/>
      <c r="SBC98" s="769"/>
      <c r="SBD98" s="769"/>
      <c r="SBE98" s="769"/>
      <c r="SBF98" s="769"/>
      <c r="SBG98" s="769"/>
      <c r="SBH98" s="769"/>
      <c r="SBI98" s="769"/>
      <c r="SBJ98" s="769"/>
      <c r="SBK98" s="769"/>
      <c r="SBL98" s="769"/>
      <c r="SBM98" s="769"/>
      <c r="SBN98" s="769"/>
      <c r="SBO98" s="769"/>
      <c r="SBP98" s="769"/>
      <c r="SBQ98" s="769"/>
      <c r="SBR98" s="769"/>
      <c r="SBS98" s="769"/>
      <c r="SBT98" s="769"/>
      <c r="SBU98" s="769"/>
      <c r="SBV98" s="769"/>
      <c r="SBW98" s="769"/>
      <c r="SBX98" s="769"/>
      <c r="SBY98" s="769"/>
      <c r="SBZ98" s="769"/>
      <c r="SCA98" s="769"/>
      <c r="SCB98" s="769"/>
      <c r="SCC98" s="769"/>
      <c r="SCD98" s="769"/>
      <c r="SCE98" s="769"/>
      <c r="SCF98" s="769"/>
      <c r="SCG98" s="769"/>
      <c r="SCH98" s="769"/>
      <c r="SCI98" s="769"/>
      <c r="SCJ98" s="769"/>
      <c r="SCK98" s="769"/>
      <c r="SCL98" s="769"/>
      <c r="SCM98" s="769"/>
      <c r="SCN98" s="769"/>
      <c r="SCO98" s="769"/>
      <c r="SCP98" s="769"/>
      <c r="SCQ98" s="769"/>
      <c r="SCR98" s="769"/>
      <c r="SCS98" s="769"/>
      <c r="SCT98" s="769"/>
      <c r="SCU98" s="769"/>
      <c r="SCV98" s="769"/>
      <c r="SCW98" s="769"/>
      <c r="SCX98" s="769"/>
      <c r="SCY98" s="769"/>
      <c r="SCZ98" s="769"/>
      <c r="SDA98" s="769"/>
      <c r="SDB98" s="769"/>
      <c r="SDC98" s="769"/>
      <c r="SDD98" s="769"/>
      <c r="SDE98" s="769"/>
      <c r="SDF98" s="769"/>
      <c r="SDG98" s="769"/>
      <c r="SDH98" s="769"/>
      <c r="SDI98" s="769"/>
      <c r="SDJ98" s="769"/>
      <c r="SDK98" s="769"/>
      <c r="SDL98" s="769"/>
      <c r="SDM98" s="769"/>
      <c r="SDN98" s="769"/>
      <c r="SDO98" s="769"/>
      <c r="SDP98" s="769"/>
      <c r="SDQ98" s="769"/>
      <c r="SDR98" s="769"/>
      <c r="SDS98" s="769"/>
      <c r="SDT98" s="769"/>
      <c r="SDU98" s="769"/>
      <c r="SDV98" s="769"/>
      <c r="SDW98" s="769"/>
      <c r="SDX98" s="769"/>
      <c r="SDY98" s="769"/>
      <c r="SDZ98" s="769"/>
      <c r="SEA98" s="769"/>
      <c r="SEB98" s="769"/>
      <c r="SEC98" s="769"/>
      <c r="SED98" s="769"/>
      <c r="SEE98" s="769"/>
      <c r="SEF98" s="769"/>
      <c r="SEG98" s="769"/>
      <c r="SEH98" s="769"/>
      <c r="SEI98" s="769"/>
      <c r="SEJ98" s="769"/>
      <c r="SEK98" s="769"/>
      <c r="SEL98" s="769"/>
      <c r="SEM98" s="769"/>
      <c r="SEN98" s="769"/>
      <c r="SEO98" s="769"/>
      <c r="SEP98" s="769"/>
      <c r="SEQ98" s="769"/>
      <c r="SER98" s="769"/>
      <c r="SES98" s="769"/>
      <c r="SET98" s="769"/>
      <c r="SEU98" s="769"/>
      <c r="SEV98" s="769"/>
      <c r="SEW98" s="769"/>
      <c r="SEX98" s="769"/>
      <c r="SEY98" s="769"/>
      <c r="SEZ98" s="769"/>
      <c r="SFA98" s="769"/>
      <c r="SFB98" s="769"/>
      <c r="SFC98" s="769"/>
      <c r="SFD98" s="769"/>
      <c r="SFE98" s="769"/>
      <c r="SFF98" s="769"/>
      <c r="SFG98" s="769"/>
      <c r="SFH98" s="769"/>
      <c r="SFI98" s="769"/>
      <c r="SFJ98" s="769"/>
      <c r="SFK98" s="769"/>
      <c r="SFL98" s="769"/>
      <c r="SFM98" s="769"/>
      <c r="SFN98" s="769"/>
      <c r="SFO98" s="769"/>
      <c r="SFP98" s="769"/>
      <c r="SFQ98" s="769"/>
      <c r="SFR98" s="769"/>
      <c r="SFS98" s="769"/>
      <c r="SFT98" s="769"/>
      <c r="SFU98" s="769"/>
      <c r="SFV98" s="769"/>
      <c r="SFW98" s="769"/>
      <c r="SFX98" s="769"/>
      <c r="SFY98" s="769"/>
      <c r="SFZ98" s="769"/>
      <c r="SGA98" s="769"/>
      <c r="SGB98" s="769"/>
      <c r="SGC98" s="769"/>
      <c r="SGD98" s="769"/>
      <c r="SGE98" s="769"/>
      <c r="SGF98" s="769"/>
      <c r="SGG98" s="769"/>
      <c r="SGH98" s="769"/>
      <c r="SGI98" s="769"/>
      <c r="SGJ98" s="769"/>
      <c r="SGK98" s="769"/>
      <c r="SGL98" s="769"/>
      <c r="SGM98" s="769"/>
      <c r="SGN98" s="769"/>
      <c r="SGO98" s="769"/>
      <c r="SGP98" s="769"/>
      <c r="SGQ98" s="769"/>
      <c r="SGR98" s="769"/>
      <c r="SGS98" s="769"/>
      <c r="SGT98" s="769"/>
      <c r="SGU98" s="769"/>
      <c r="SGV98" s="769"/>
      <c r="SGW98" s="769"/>
      <c r="SGX98" s="769"/>
      <c r="SGY98" s="769"/>
      <c r="SGZ98" s="769"/>
      <c r="SHA98" s="769"/>
      <c r="SHB98" s="769"/>
      <c r="SHC98" s="769"/>
      <c r="SHD98" s="769"/>
      <c r="SHE98" s="769"/>
      <c r="SHF98" s="769"/>
      <c r="SHG98" s="769"/>
      <c r="SHH98" s="769"/>
      <c r="SHI98" s="769"/>
      <c r="SHJ98" s="769"/>
      <c r="SHK98" s="769"/>
      <c r="SHL98" s="769"/>
      <c r="SHM98" s="769"/>
      <c r="SHN98" s="769"/>
      <c r="SHO98" s="769"/>
      <c r="SHP98" s="769"/>
      <c r="SHQ98" s="769"/>
      <c r="SHR98" s="769"/>
      <c r="SHS98" s="769"/>
      <c r="SHT98" s="769"/>
      <c r="SHU98" s="769"/>
      <c r="SHV98" s="769"/>
      <c r="SHW98" s="769"/>
      <c r="SHX98" s="769"/>
      <c r="SHY98" s="769"/>
      <c r="SHZ98" s="769"/>
      <c r="SIA98" s="769"/>
      <c r="SIB98" s="769"/>
      <c r="SIC98" s="769"/>
      <c r="SID98" s="769"/>
      <c r="SIE98" s="769"/>
      <c r="SIF98" s="769"/>
      <c r="SIG98" s="769"/>
      <c r="SIH98" s="769"/>
      <c r="SII98" s="769"/>
      <c r="SIJ98" s="769"/>
      <c r="SIK98" s="769"/>
      <c r="SIL98" s="769"/>
      <c r="SIM98" s="769"/>
      <c r="SIN98" s="769"/>
      <c r="SIO98" s="769"/>
      <c r="SIP98" s="769"/>
      <c r="SIQ98" s="769"/>
      <c r="SIR98" s="769"/>
      <c r="SIS98" s="769"/>
      <c r="SIT98" s="769"/>
      <c r="SIU98" s="769"/>
      <c r="SIV98" s="769"/>
      <c r="SIW98" s="769"/>
      <c r="SIX98" s="769"/>
      <c r="SIY98" s="769"/>
      <c r="SIZ98" s="769"/>
      <c r="SJA98" s="769"/>
      <c r="SJB98" s="769"/>
      <c r="SJC98" s="769"/>
      <c r="SJD98" s="769"/>
      <c r="SJE98" s="769"/>
      <c r="SJF98" s="769"/>
      <c r="SJG98" s="769"/>
      <c r="SJH98" s="769"/>
      <c r="SJI98" s="769"/>
      <c r="SJJ98" s="769"/>
      <c r="SJK98" s="769"/>
      <c r="SJL98" s="769"/>
      <c r="SJM98" s="769"/>
      <c r="SJN98" s="769"/>
      <c r="SJO98" s="769"/>
      <c r="SJP98" s="769"/>
      <c r="SJQ98" s="769"/>
      <c r="SJR98" s="769"/>
      <c r="SJS98" s="769"/>
      <c r="SJT98" s="769"/>
      <c r="SJU98" s="769"/>
      <c r="SJV98" s="769"/>
      <c r="SJW98" s="769"/>
      <c r="SJX98" s="769"/>
      <c r="SJY98" s="769"/>
      <c r="SJZ98" s="769"/>
      <c r="SKA98" s="769"/>
      <c r="SKB98" s="769"/>
      <c r="SKC98" s="769"/>
      <c r="SKD98" s="769"/>
      <c r="SKE98" s="769"/>
      <c r="SKF98" s="769"/>
      <c r="SKG98" s="769"/>
      <c r="SKH98" s="769"/>
      <c r="SKI98" s="769"/>
      <c r="SKJ98" s="769"/>
      <c r="SKK98" s="769"/>
      <c r="SKL98" s="769"/>
      <c r="SKM98" s="769"/>
      <c r="SKN98" s="769"/>
      <c r="SKO98" s="769"/>
      <c r="SKP98" s="769"/>
      <c r="SKQ98" s="769"/>
      <c r="SKR98" s="769"/>
      <c r="SKS98" s="769"/>
      <c r="SKT98" s="769"/>
      <c r="SKU98" s="769"/>
      <c r="SKV98" s="769"/>
      <c r="SKW98" s="769"/>
      <c r="SKX98" s="769"/>
      <c r="SKY98" s="769"/>
      <c r="SKZ98" s="769"/>
      <c r="SLA98" s="769"/>
      <c r="SLB98" s="769"/>
      <c r="SLC98" s="769"/>
      <c r="SLD98" s="769"/>
      <c r="SLE98" s="769"/>
      <c r="SLF98" s="769"/>
      <c r="SLG98" s="769"/>
      <c r="SLH98" s="769"/>
      <c r="SLI98" s="769"/>
      <c r="SLJ98" s="769"/>
      <c r="SLK98" s="769"/>
      <c r="SLL98" s="769"/>
      <c r="SLM98" s="769"/>
      <c r="SLN98" s="769"/>
      <c r="SLO98" s="769"/>
      <c r="SLP98" s="769"/>
      <c r="SLQ98" s="769"/>
      <c r="SLR98" s="769"/>
      <c r="SLS98" s="769"/>
      <c r="SLT98" s="769"/>
      <c r="SLU98" s="769"/>
      <c r="SLV98" s="769"/>
      <c r="SLW98" s="769"/>
      <c r="SLX98" s="769"/>
      <c r="SLY98" s="769"/>
      <c r="SLZ98" s="769"/>
      <c r="SMA98" s="769"/>
      <c r="SMB98" s="769"/>
      <c r="SMC98" s="769"/>
      <c r="SMD98" s="769"/>
      <c r="SME98" s="769"/>
      <c r="SMF98" s="769"/>
      <c r="SMG98" s="769"/>
      <c r="SMH98" s="769"/>
      <c r="SMI98" s="769"/>
      <c r="SMJ98" s="769"/>
      <c r="SMK98" s="769"/>
      <c r="SML98" s="769"/>
      <c r="SMM98" s="769"/>
      <c r="SMN98" s="769"/>
      <c r="SMO98" s="769"/>
      <c r="SMP98" s="769"/>
      <c r="SMQ98" s="769"/>
      <c r="SMR98" s="769"/>
      <c r="SMS98" s="769"/>
      <c r="SMT98" s="769"/>
      <c r="SMU98" s="769"/>
      <c r="SMV98" s="769"/>
      <c r="SMW98" s="769"/>
      <c r="SMX98" s="769"/>
      <c r="SMY98" s="769"/>
      <c r="SMZ98" s="769"/>
      <c r="SNA98" s="769"/>
      <c r="SNB98" s="769"/>
      <c r="SNC98" s="769"/>
      <c r="SND98" s="769"/>
      <c r="SNE98" s="769"/>
      <c r="SNF98" s="769"/>
      <c r="SNG98" s="769"/>
      <c r="SNH98" s="769"/>
      <c r="SNI98" s="769"/>
      <c r="SNJ98" s="769"/>
      <c r="SNK98" s="769"/>
      <c r="SNL98" s="769"/>
      <c r="SNM98" s="769"/>
      <c r="SNN98" s="769"/>
      <c r="SNO98" s="769"/>
      <c r="SNP98" s="769"/>
      <c r="SNQ98" s="769"/>
      <c r="SNR98" s="769"/>
      <c r="SNS98" s="769"/>
      <c r="SNT98" s="769"/>
      <c r="SNU98" s="769"/>
      <c r="SNV98" s="769"/>
      <c r="SNW98" s="769"/>
      <c r="SNX98" s="769"/>
      <c r="SNY98" s="769"/>
      <c r="SNZ98" s="769"/>
      <c r="SOA98" s="769"/>
      <c r="SOB98" s="769"/>
      <c r="SOC98" s="769"/>
      <c r="SOD98" s="769"/>
      <c r="SOE98" s="769"/>
      <c r="SOF98" s="769"/>
      <c r="SOG98" s="769"/>
      <c r="SOH98" s="769"/>
      <c r="SOI98" s="769"/>
      <c r="SOJ98" s="769"/>
      <c r="SOK98" s="769"/>
      <c r="SOL98" s="769"/>
      <c r="SOM98" s="769"/>
      <c r="SON98" s="769"/>
      <c r="SOO98" s="769"/>
      <c r="SOP98" s="769"/>
      <c r="SOQ98" s="769"/>
      <c r="SOR98" s="769"/>
      <c r="SOS98" s="769"/>
      <c r="SOT98" s="769"/>
      <c r="SOU98" s="769"/>
      <c r="SOV98" s="769"/>
      <c r="SOW98" s="769"/>
      <c r="SOX98" s="769"/>
      <c r="SOY98" s="769"/>
      <c r="SOZ98" s="769"/>
      <c r="SPA98" s="769"/>
      <c r="SPB98" s="769"/>
      <c r="SPC98" s="769"/>
      <c r="SPD98" s="769"/>
      <c r="SPE98" s="769"/>
      <c r="SPF98" s="769"/>
      <c r="SPG98" s="769"/>
      <c r="SPH98" s="769"/>
      <c r="SPI98" s="769"/>
      <c r="SPJ98" s="769"/>
      <c r="SPK98" s="769"/>
      <c r="SPL98" s="769"/>
      <c r="SPM98" s="769"/>
      <c r="SPN98" s="769"/>
      <c r="SPO98" s="769"/>
      <c r="SPP98" s="769"/>
      <c r="SPQ98" s="769"/>
      <c r="SPR98" s="769"/>
      <c r="SPS98" s="769"/>
      <c r="SPT98" s="769"/>
      <c r="SPU98" s="769"/>
      <c r="SPV98" s="769"/>
      <c r="SPW98" s="769"/>
      <c r="SPX98" s="769"/>
      <c r="SPY98" s="769"/>
      <c r="SPZ98" s="769"/>
      <c r="SQA98" s="769"/>
      <c r="SQB98" s="769"/>
      <c r="SQC98" s="769"/>
      <c r="SQD98" s="769"/>
      <c r="SQE98" s="769"/>
      <c r="SQF98" s="769"/>
      <c r="SQG98" s="769"/>
      <c r="SQH98" s="769"/>
      <c r="SQI98" s="769"/>
      <c r="SQJ98" s="769"/>
      <c r="SQK98" s="769"/>
      <c r="SQL98" s="769"/>
      <c r="SQM98" s="769"/>
      <c r="SQN98" s="769"/>
      <c r="SQO98" s="769"/>
      <c r="SQP98" s="769"/>
      <c r="SQQ98" s="769"/>
      <c r="SQR98" s="769"/>
      <c r="SQS98" s="769"/>
      <c r="SQT98" s="769"/>
      <c r="SQU98" s="769"/>
      <c r="SQV98" s="769"/>
      <c r="SQW98" s="769"/>
      <c r="SQX98" s="769"/>
      <c r="SQY98" s="769"/>
      <c r="SQZ98" s="769"/>
      <c r="SRA98" s="769"/>
      <c r="SRB98" s="769"/>
      <c r="SRC98" s="769"/>
      <c r="SRD98" s="769"/>
      <c r="SRE98" s="769"/>
      <c r="SRF98" s="769"/>
      <c r="SRG98" s="769"/>
      <c r="SRH98" s="769"/>
      <c r="SRI98" s="769"/>
      <c r="SRJ98" s="769"/>
      <c r="SRK98" s="769"/>
      <c r="SRL98" s="769"/>
      <c r="SRM98" s="769"/>
      <c r="SRN98" s="769"/>
      <c r="SRO98" s="769"/>
      <c r="SRP98" s="769"/>
      <c r="SRQ98" s="769"/>
      <c r="SRR98" s="769"/>
      <c r="SRS98" s="769"/>
      <c r="SRT98" s="769"/>
      <c r="SRU98" s="769"/>
      <c r="SRV98" s="769"/>
      <c r="SRW98" s="769"/>
      <c r="SRX98" s="769"/>
      <c r="SRY98" s="769"/>
      <c r="SRZ98" s="769"/>
      <c r="SSA98" s="769"/>
      <c r="SSB98" s="769"/>
      <c r="SSC98" s="769"/>
      <c r="SSD98" s="769"/>
      <c r="SSE98" s="769"/>
      <c r="SSF98" s="769"/>
      <c r="SSG98" s="769"/>
      <c r="SSH98" s="769"/>
      <c r="SSI98" s="769"/>
      <c r="SSJ98" s="769"/>
      <c r="SSK98" s="769"/>
      <c r="SSL98" s="769"/>
      <c r="SSM98" s="769"/>
      <c r="SSN98" s="769"/>
      <c r="SSO98" s="769"/>
      <c r="SSP98" s="769"/>
      <c r="SSQ98" s="769"/>
      <c r="SSR98" s="769"/>
      <c r="SSS98" s="769"/>
      <c r="SST98" s="769"/>
      <c r="SSU98" s="769"/>
      <c r="SSV98" s="769"/>
      <c r="SSW98" s="769"/>
      <c r="SSX98" s="769"/>
      <c r="SSY98" s="769"/>
      <c r="SSZ98" s="769"/>
      <c r="STA98" s="769"/>
      <c r="STB98" s="769"/>
      <c r="STC98" s="769"/>
      <c r="STD98" s="769"/>
      <c r="STE98" s="769"/>
      <c r="STF98" s="769"/>
      <c r="STG98" s="769"/>
      <c r="STH98" s="769"/>
      <c r="STI98" s="769"/>
      <c r="STJ98" s="769"/>
      <c r="STK98" s="769"/>
      <c r="STL98" s="769"/>
      <c r="STM98" s="769"/>
      <c r="STN98" s="769"/>
      <c r="STO98" s="769"/>
      <c r="STP98" s="769"/>
      <c r="STQ98" s="769"/>
      <c r="STR98" s="769"/>
      <c r="STS98" s="769"/>
      <c r="STT98" s="769"/>
      <c r="STU98" s="769"/>
      <c r="STV98" s="769"/>
      <c r="STW98" s="769"/>
      <c r="STX98" s="769"/>
      <c r="STY98" s="769"/>
      <c r="STZ98" s="769"/>
      <c r="SUA98" s="769"/>
      <c r="SUB98" s="769"/>
      <c r="SUC98" s="769"/>
      <c r="SUD98" s="769"/>
      <c r="SUE98" s="769"/>
      <c r="SUF98" s="769"/>
      <c r="SUG98" s="769"/>
      <c r="SUH98" s="769"/>
      <c r="SUI98" s="769"/>
      <c r="SUJ98" s="769"/>
      <c r="SUK98" s="769"/>
      <c r="SUL98" s="769"/>
      <c r="SUM98" s="769"/>
      <c r="SUN98" s="769"/>
      <c r="SUO98" s="769"/>
      <c r="SUP98" s="769"/>
      <c r="SUQ98" s="769"/>
      <c r="SUR98" s="769"/>
      <c r="SUS98" s="769"/>
      <c r="SUT98" s="769"/>
      <c r="SUU98" s="769"/>
      <c r="SUV98" s="769"/>
      <c r="SUW98" s="769"/>
      <c r="SUX98" s="769"/>
      <c r="SUY98" s="769"/>
      <c r="SUZ98" s="769"/>
      <c r="SVA98" s="769"/>
      <c r="SVB98" s="769"/>
      <c r="SVC98" s="769"/>
      <c r="SVD98" s="769"/>
      <c r="SVE98" s="769"/>
      <c r="SVF98" s="769"/>
      <c r="SVG98" s="769"/>
      <c r="SVH98" s="769"/>
      <c r="SVI98" s="769"/>
      <c r="SVJ98" s="769"/>
      <c r="SVK98" s="769"/>
      <c r="SVL98" s="769"/>
      <c r="SVM98" s="769"/>
      <c r="SVN98" s="769"/>
      <c r="SVO98" s="769"/>
      <c r="SVP98" s="769"/>
      <c r="SVQ98" s="769"/>
      <c r="SVR98" s="769"/>
      <c r="SVS98" s="769"/>
      <c r="SVT98" s="769"/>
      <c r="SVU98" s="769"/>
      <c r="SVV98" s="769"/>
      <c r="SVW98" s="769"/>
      <c r="SVX98" s="769"/>
      <c r="SVY98" s="769"/>
      <c r="SVZ98" s="769"/>
      <c r="SWA98" s="769"/>
      <c r="SWB98" s="769"/>
      <c r="SWC98" s="769"/>
      <c r="SWD98" s="769"/>
      <c r="SWE98" s="769"/>
      <c r="SWF98" s="769"/>
      <c r="SWG98" s="769"/>
      <c r="SWH98" s="769"/>
      <c r="SWI98" s="769"/>
      <c r="SWJ98" s="769"/>
      <c r="SWK98" s="769"/>
      <c r="SWL98" s="769"/>
      <c r="SWM98" s="769"/>
      <c r="SWN98" s="769"/>
      <c r="SWO98" s="769"/>
      <c r="SWP98" s="769"/>
      <c r="SWQ98" s="769"/>
      <c r="SWR98" s="769"/>
      <c r="SWS98" s="769"/>
      <c r="SWT98" s="769"/>
      <c r="SWU98" s="769"/>
      <c r="SWV98" s="769"/>
      <c r="SWW98" s="769"/>
      <c r="SWX98" s="769"/>
      <c r="SWY98" s="769"/>
      <c r="SWZ98" s="769"/>
      <c r="SXA98" s="769"/>
      <c r="SXB98" s="769"/>
      <c r="SXC98" s="769"/>
      <c r="SXD98" s="769"/>
      <c r="SXE98" s="769"/>
      <c r="SXF98" s="769"/>
      <c r="SXG98" s="769"/>
      <c r="SXH98" s="769"/>
      <c r="SXI98" s="769"/>
      <c r="SXJ98" s="769"/>
      <c r="SXK98" s="769"/>
      <c r="SXL98" s="769"/>
      <c r="SXM98" s="769"/>
      <c r="SXN98" s="769"/>
      <c r="SXO98" s="769"/>
      <c r="SXP98" s="769"/>
      <c r="SXQ98" s="769"/>
      <c r="SXR98" s="769"/>
      <c r="SXS98" s="769"/>
      <c r="SXT98" s="769"/>
      <c r="SXU98" s="769"/>
      <c r="SXV98" s="769"/>
      <c r="SXW98" s="769"/>
      <c r="SXX98" s="769"/>
      <c r="SXY98" s="769"/>
      <c r="SXZ98" s="769"/>
      <c r="SYA98" s="769"/>
      <c r="SYB98" s="769"/>
      <c r="SYC98" s="769"/>
      <c r="SYD98" s="769"/>
      <c r="SYE98" s="769"/>
      <c r="SYF98" s="769"/>
      <c r="SYG98" s="769"/>
      <c r="SYH98" s="769"/>
      <c r="SYI98" s="769"/>
      <c r="SYJ98" s="769"/>
      <c r="SYK98" s="769"/>
      <c r="SYL98" s="769"/>
      <c r="SYM98" s="769"/>
      <c r="SYN98" s="769"/>
      <c r="SYO98" s="769"/>
      <c r="SYP98" s="769"/>
      <c r="SYQ98" s="769"/>
      <c r="SYR98" s="769"/>
      <c r="SYS98" s="769"/>
      <c r="SYT98" s="769"/>
      <c r="SYU98" s="769"/>
      <c r="SYV98" s="769"/>
      <c r="SYW98" s="769"/>
      <c r="SYX98" s="769"/>
      <c r="SYY98" s="769"/>
      <c r="SYZ98" s="769"/>
      <c r="SZA98" s="769"/>
      <c r="SZB98" s="769"/>
      <c r="SZC98" s="769"/>
      <c r="SZD98" s="769"/>
      <c r="SZE98" s="769"/>
      <c r="SZF98" s="769"/>
      <c r="SZG98" s="769"/>
      <c r="SZH98" s="769"/>
      <c r="SZI98" s="769"/>
      <c r="SZJ98" s="769"/>
      <c r="SZK98" s="769"/>
      <c r="SZL98" s="769"/>
      <c r="SZM98" s="769"/>
      <c r="SZN98" s="769"/>
      <c r="SZO98" s="769"/>
      <c r="SZP98" s="769"/>
      <c r="SZQ98" s="769"/>
      <c r="SZR98" s="769"/>
      <c r="SZS98" s="769"/>
      <c r="SZT98" s="769"/>
      <c r="SZU98" s="769"/>
      <c r="SZV98" s="769"/>
      <c r="SZW98" s="769"/>
      <c r="SZX98" s="769"/>
      <c r="SZY98" s="769"/>
      <c r="SZZ98" s="769"/>
      <c r="TAA98" s="769"/>
      <c r="TAB98" s="769"/>
      <c r="TAC98" s="769"/>
      <c r="TAD98" s="769"/>
      <c r="TAE98" s="769"/>
      <c r="TAF98" s="769"/>
      <c r="TAG98" s="769"/>
      <c r="TAH98" s="769"/>
      <c r="TAI98" s="769"/>
      <c r="TAJ98" s="769"/>
      <c r="TAK98" s="769"/>
      <c r="TAL98" s="769"/>
      <c r="TAM98" s="769"/>
      <c r="TAN98" s="769"/>
      <c r="TAO98" s="769"/>
      <c r="TAP98" s="769"/>
      <c r="TAQ98" s="769"/>
      <c r="TAR98" s="769"/>
      <c r="TAS98" s="769"/>
      <c r="TAT98" s="769"/>
      <c r="TAU98" s="769"/>
      <c r="TAV98" s="769"/>
      <c r="TAW98" s="769"/>
      <c r="TAX98" s="769"/>
      <c r="TAY98" s="769"/>
      <c r="TAZ98" s="769"/>
      <c r="TBA98" s="769"/>
      <c r="TBB98" s="769"/>
      <c r="TBC98" s="769"/>
      <c r="TBD98" s="769"/>
      <c r="TBE98" s="769"/>
      <c r="TBF98" s="769"/>
      <c r="TBG98" s="769"/>
      <c r="TBH98" s="769"/>
      <c r="TBI98" s="769"/>
      <c r="TBJ98" s="769"/>
      <c r="TBK98" s="769"/>
      <c r="TBL98" s="769"/>
      <c r="TBM98" s="769"/>
      <c r="TBN98" s="769"/>
      <c r="TBO98" s="769"/>
      <c r="TBP98" s="769"/>
      <c r="TBQ98" s="769"/>
      <c r="TBR98" s="769"/>
      <c r="TBS98" s="769"/>
      <c r="TBT98" s="769"/>
      <c r="TBU98" s="769"/>
      <c r="TBV98" s="769"/>
      <c r="TBW98" s="769"/>
      <c r="TBX98" s="769"/>
      <c r="TBY98" s="769"/>
      <c r="TBZ98" s="769"/>
      <c r="TCA98" s="769"/>
      <c r="TCB98" s="769"/>
      <c r="TCC98" s="769"/>
      <c r="TCD98" s="769"/>
      <c r="TCE98" s="769"/>
      <c r="TCF98" s="769"/>
      <c r="TCG98" s="769"/>
      <c r="TCH98" s="769"/>
      <c r="TCI98" s="769"/>
      <c r="TCJ98" s="769"/>
      <c r="TCK98" s="769"/>
      <c r="TCL98" s="769"/>
      <c r="TCM98" s="769"/>
      <c r="TCN98" s="769"/>
      <c r="TCO98" s="769"/>
      <c r="TCP98" s="769"/>
      <c r="TCQ98" s="769"/>
      <c r="TCR98" s="769"/>
      <c r="TCS98" s="769"/>
      <c r="TCT98" s="769"/>
      <c r="TCU98" s="769"/>
      <c r="TCV98" s="769"/>
      <c r="TCW98" s="769"/>
      <c r="TCX98" s="769"/>
      <c r="TCY98" s="769"/>
      <c r="TCZ98" s="769"/>
      <c r="TDA98" s="769"/>
      <c r="TDB98" s="769"/>
      <c r="TDC98" s="769"/>
      <c r="TDD98" s="769"/>
      <c r="TDE98" s="769"/>
      <c r="TDF98" s="769"/>
      <c r="TDG98" s="769"/>
      <c r="TDH98" s="769"/>
      <c r="TDI98" s="769"/>
      <c r="TDJ98" s="769"/>
      <c r="TDK98" s="769"/>
      <c r="TDL98" s="769"/>
      <c r="TDM98" s="769"/>
      <c r="TDN98" s="769"/>
      <c r="TDO98" s="769"/>
      <c r="TDP98" s="769"/>
      <c r="TDQ98" s="769"/>
      <c r="TDR98" s="769"/>
      <c r="TDS98" s="769"/>
      <c r="TDT98" s="769"/>
      <c r="TDU98" s="769"/>
      <c r="TDV98" s="769"/>
      <c r="TDW98" s="769"/>
      <c r="TDX98" s="769"/>
      <c r="TDY98" s="769"/>
      <c r="TDZ98" s="769"/>
      <c r="TEA98" s="769"/>
      <c r="TEB98" s="769"/>
      <c r="TEC98" s="769"/>
      <c r="TED98" s="769"/>
      <c r="TEE98" s="769"/>
      <c r="TEF98" s="769"/>
      <c r="TEG98" s="769"/>
      <c r="TEH98" s="769"/>
      <c r="TEI98" s="769"/>
      <c r="TEJ98" s="769"/>
      <c r="TEK98" s="769"/>
      <c r="TEL98" s="769"/>
      <c r="TEM98" s="769"/>
      <c r="TEN98" s="769"/>
      <c r="TEO98" s="769"/>
      <c r="TEP98" s="769"/>
      <c r="TEQ98" s="769"/>
      <c r="TER98" s="769"/>
      <c r="TES98" s="769"/>
      <c r="TET98" s="769"/>
      <c r="TEU98" s="769"/>
      <c r="TEV98" s="769"/>
      <c r="TEW98" s="769"/>
      <c r="TEX98" s="769"/>
      <c r="TEY98" s="769"/>
      <c r="TEZ98" s="769"/>
      <c r="TFA98" s="769"/>
      <c r="TFB98" s="769"/>
      <c r="TFC98" s="769"/>
      <c r="TFD98" s="769"/>
      <c r="TFE98" s="769"/>
      <c r="TFF98" s="769"/>
      <c r="TFG98" s="769"/>
      <c r="TFH98" s="769"/>
      <c r="TFI98" s="769"/>
      <c r="TFJ98" s="769"/>
      <c r="TFK98" s="769"/>
      <c r="TFL98" s="769"/>
      <c r="TFM98" s="769"/>
      <c r="TFN98" s="769"/>
      <c r="TFO98" s="769"/>
      <c r="TFP98" s="769"/>
      <c r="TFQ98" s="769"/>
      <c r="TFR98" s="769"/>
      <c r="TFS98" s="769"/>
      <c r="TFT98" s="769"/>
      <c r="TFU98" s="769"/>
      <c r="TFV98" s="769"/>
      <c r="TFW98" s="769"/>
      <c r="TFX98" s="769"/>
      <c r="TFY98" s="769"/>
      <c r="TFZ98" s="769"/>
      <c r="TGA98" s="769"/>
      <c r="TGB98" s="769"/>
      <c r="TGC98" s="769"/>
      <c r="TGD98" s="769"/>
      <c r="TGE98" s="769"/>
      <c r="TGF98" s="769"/>
      <c r="TGG98" s="769"/>
      <c r="TGH98" s="769"/>
      <c r="TGI98" s="769"/>
      <c r="TGJ98" s="769"/>
      <c r="TGK98" s="769"/>
      <c r="TGL98" s="769"/>
      <c r="TGM98" s="769"/>
      <c r="TGN98" s="769"/>
      <c r="TGO98" s="769"/>
      <c r="TGP98" s="769"/>
      <c r="TGQ98" s="769"/>
      <c r="TGR98" s="769"/>
      <c r="TGS98" s="769"/>
      <c r="TGT98" s="769"/>
      <c r="TGU98" s="769"/>
      <c r="TGV98" s="769"/>
      <c r="TGW98" s="769"/>
      <c r="TGX98" s="769"/>
      <c r="TGY98" s="769"/>
      <c r="TGZ98" s="769"/>
      <c r="THA98" s="769"/>
      <c r="THB98" s="769"/>
      <c r="THC98" s="769"/>
      <c r="THD98" s="769"/>
      <c r="THE98" s="769"/>
      <c r="THF98" s="769"/>
      <c r="THG98" s="769"/>
      <c r="THH98" s="769"/>
      <c r="THI98" s="769"/>
      <c r="THJ98" s="769"/>
      <c r="THK98" s="769"/>
      <c r="THL98" s="769"/>
      <c r="THM98" s="769"/>
      <c r="THN98" s="769"/>
      <c r="THO98" s="769"/>
      <c r="THP98" s="769"/>
      <c r="THQ98" s="769"/>
      <c r="THR98" s="769"/>
      <c r="THS98" s="769"/>
      <c r="THT98" s="769"/>
      <c r="THU98" s="769"/>
      <c r="THV98" s="769"/>
      <c r="THW98" s="769"/>
      <c r="THX98" s="769"/>
      <c r="THY98" s="769"/>
      <c r="THZ98" s="769"/>
      <c r="TIA98" s="769"/>
      <c r="TIB98" s="769"/>
      <c r="TIC98" s="769"/>
      <c r="TID98" s="769"/>
      <c r="TIE98" s="769"/>
      <c r="TIF98" s="769"/>
      <c r="TIG98" s="769"/>
      <c r="TIH98" s="769"/>
      <c r="TII98" s="769"/>
      <c r="TIJ98" s="769"/>
      <c r="TIK98" s="769"/>
      <c r="TIL98" s="769"/>
      <c r="TIM98" s="769"/>
      <c r="TIN98" s="769"/>
      <c r="TIO98" s="769"/>
      <c r="TIP98" s="769"/>
      <c r="TIQ98" s="769"/>
      <c r="TIR98" s="769"/>
      <c r="TIS98" s="769"/>
      <c r="TIT98" s="769"/>
      <c r="TIU98" s="769"/>
      <c r="TIV98" s="769"/>
      <c r="TIW98" s="769"/>
      <c r="TIX98" s="769"/>
      <c r="TIY98" s="769"/>
      <c r="TIZ98" s="769"/>
      <c r="TJA98" s="769"/>
      <c r="TJB98" s="769"/>
      <c r="TJC98" s="769"/>
      <c r="TJD98" s="769"/>
      <c r="TJE98" s="769"/>
      <c r="TJF98" s="769"/>
      <c r="TJG98" s="769"/>
      <c r="TJH98" s="769"/>
      <c r="TJI98" s="769"/>
      <c r="TJJ98" s="769"/>
      <c r="TJK98" s="769"/>
      <c r="TJL98" s="769"/>
      <c r="TJM98" s="769"/>
      <c r="TJN98" s="769"/>
      <c r="TJO98" s="769"/>
      <c r="TJP98" s="769"/>
      <c r="TJQ98" s="769"/>
      <c r="TJR98" s="769"/>
      <c r="TJS98" s="769"/>
      <c r="TJT98" s="769"/>
      <c r="TJU98" s="769"/>
      <c r="TJV98" s="769"/>
      <c r="TJW98" s="769"/>
      <c r="TJX98" s="769"/>
      <c r="TJY98" s="769"/>
      <c r="TJZ98" s="769"/>
      <c r="TKA98" s="769"/>
      <c r="TKB98" s="769"/>
      <c r="TKC98" s="769"/>
      <c r="TKD98" s="769"/>
      <c r="TKE98" s="769"/>
      <c r="TKF98" s="769"/>
      <c r="TKG98" s="769"/>
      <c r="TKH98" s="769"/>
      <c r="TKI98" s="769"/>
      <c r="TKJ98" s="769"/>
      <c r="TKK98" s="769"/>
      <c r="TKL98" s="769"/>
      <c r="TKM98" s="769"/>
      <c r="TKN98" s="769"/>
      <c r="TKO98" s="769"/>
      <c r="TKP98" s="769"/>
      <c r="TKQ98" s="769"/>
      <c r="TKR98" s="769"/>
      <c r="TKS98" s="769"/>
      <c r="TKT98" s="769"/>
      <c r="TKU98" s="769"/>
      <c r="TKV98" s="769"/>
      <c r="TKW98" s="769"/>
      <c r="TKX98" s="769"/>
      <c r="TKY98" s="769"/>
      <c r="TKZ98" s="769"/>
      <c r="TLA98" s="769"/>
      <c r="TLB98" s="769"/>
      <c r="TLC98" s="769"/>
      <c r="TLD98" s="769"/>
      <c r="TLE98" s="769"/>
      <c r="TLF98" s="769"/>
      <c r="TLG98" s="769"/>
      <c r="TLH98" s="769"/>
      <c r="TLI98" s="769"/>
      <c r="TLJ98" s="769"/>
      <c r="TLK98" s="769"/>
      <c r="TLL98" s="769"/>
      <c r="TLM98" s="769"/>
      <c r="TLN98" s="769"/>
      <c r="TLO98" s="769"/>
      <c r="TLP98" s="769"/>
      <c r="TLQ98" s="769"/>
      <c r="TLR98" s="769"/>
      <c r="TLS98" s="769"/>
      <c r="TLT98" s="769"/>
      <c r="TLU98" s="769"/>
      <c r="TLV98" s="769"/>
      <c r="TLW98" s="769"/>
      <c r="TLX98" s="769"/>
      <c r="TLY98" s="769"/>
      <c r="TLZ98" s="769"/>
      <c r="TMA98" s="769"/>
      <c r="TMB98" s="769"/>
      <c r="TMC98" s="769"/>
      <c r="TMD98" s="769"/>
      <c r="TME98" s="769"/>
      <c r="TMF98" s="769"/>
      <c r="TMG98" s="769"/>
      <c r="TMH98" s="769"/>
      <c r="TMI98" s="769"/>
      <c r="TMJ98" s="769"/>
      <c r="TMK98" s="769"/>
      <c r="TML98" s="769"/>
      <c r="TMM98" s="769"/>
      <c r="TMN98" s="769"/>
      <c r="TMO98" s="769"/>
      <c r="TMP98" s="769"/>
      <c r="TMQ98" s="769"/>
      <c r="TMR98" s="769"/>
      <c r="TMS98" s="769"/>
      <c r="TMT98" s="769"/>
      <c r="TMU98" s="769"/>
      <c r="TMV98" s="769"/>
      <c r="TMW98" s="769"/>
      <c r="TMX98" s="769"/>
      <c r="TMY98" s="769"/>
      <c r="TMZ98" s="769"/>
      <c r="TNA98" s="769"/>
      <c r="TNB98" s="769"/>
      <c r="TNC98" s="769"/>
      <c r="TND98" s="769"/>
      <c r="TNE98" s="769"/>
      <c r="TNF98" s="769"/>
      <c r="TNG98" s="769"/>
      <c r="TNH98" s="769"/>
      <c r="TNI98" s="769"/>
      <c r="TNJ98" s="769"/>
      <c r="TNK98" s="769"/>
      <c r="TNL98" s="769"/>
      <c r="TNM98" s="769"/>
      <c r="TNN98" s="769"/>
      <c r="TNO98" s="769"/>
      <c r="TNP98" s="769"/>
      <c r="TNQ98" s="769"/>
      <c r="TNR98" s="769"/>
      <c r="TNS98" s="769"/>
      <c r="TNT98" s="769"/>
      <c r="TNU98" s="769"/>
      <c r="TNV98" s="769"/>
      <c r="TNW98" s="769"/>
      <c r="TNX98" s="769"/>
      <c r="TNY98" s="769"/>
      <c r="TNZ98" s="769"/>
      <c r="TOA98" s="769"/>
      <c r="TOB98" s="769"/>
      <c r="TOC98" s="769"/>
      <c r="TOD98" s="769"/>
      <c r="TOE98" s="769"/>
      <c r="TOF98" s="769"/>
      <c r="TOG98" s="769"/>
      <c r="TOH98" s="769"/>
      <c r="TOI98" s="769"/>
      <c r="TOJ98" s="769"/>
      <c r="TOK98" s="769"/>
      <c r="TOL98" s="769"/>
      <c r="TOM98" s="769"/>
      <c r="TON98" s="769"/>
      <c r="TOO98" s="769"/>
      <c r="TOP98" s="769"/>
      <c r="TOQ98" s="769"/>
      <c r="TOR98" s="769"/>
      <c r="TOS98" s="769"/>
      <c r="TOT98" s="769"/>
      <c r="TOU98" s="769"/>
      <c r="TOV98" s="769"/>
      <c r="TOW98" s="769"/>
      <c r="TOX98" s="769"/>
      <c r="TOY98" s="769"/>
      <c r="TOZ98" s="769"/>
      <c r="TPA98" s="769"/>
      <c r="TPB98" s="769"/>
      <c r="TPC98" s="769"/>
      <c r="TPD98" s="769"/>
      <c r="TPE98" s="769"/>
      <c r="TPF98" s="769"/>
      <c r="TPG98" s="769"/>
      <c r="TPH98" s="769"/>
      <c r="TPI98" s="769"/>
      <c r="TPJ98" s="769"/>
      <c r="TPK98" s="769"/>
      <c r="TPL98" s="769"/>
      <c r="TPM98" s="769"/>
      <c r="TPN98" s="769"/>
      <c r="TPO98" s="769"/>
      <c r="TPP98" s="769"/>
      <c r="TPQ98" s="769"/>
      <c r="TPR98" s="769"/>
      <c r="TPS98" s="769"/>
      <c r="TPT98" s="769"/>
      <c r="TPU98" s="769"/>
      <c r="TPV98" s="769"/>
      <c r="TPW98" s="769"/>
      <c r="TPX98" s="769"/>
      <c r="TPY98" s="769"/>
      <c r="TPZ98" s="769"/>
      <c r="TQA98" s="769"/>
      <c r="TQB98" s="769"/>
      <c r="TQC98" s="769"/>
      <c r="TQD98" s="769"/>
      <c r="TQE98" s="769"/>
      <c r="TQF98" s="769"/>
      <c r="TQG98" s="769"/>
      <c r="TQH98" s="769"/>
      <c r="TQI98" s="769"/>
      <c r="TQJ98" s="769"/>
      <c r="TQK98" s="769"/>
      <c r="TQL98" s="769"/>
      <c r="TQM98" s="769"/>
      <c r="TQN98" s="769"/>
      <c r="TQO98" s="769"/>
      <c r="TQP98" s="769"/>
      <c r="TQQ98" s="769"/>
      <c r="TQR98" s="769"/>
      <c r="TQS98" s="769"/>
      <c r="TQT98" s="769"/>
      <c r="TQU98" s="769"/>
      <c r="TQV98" s="769"/>
      <c r="TQW98" s="769"/>
      <c r="TQX98" s="769"/>
      <c r="TQY98" s="769"/>
      <c r="TQZ98" s="769"/>
      <c r="TRA98" s="769"/>
      <c r="TRB98" s="769"/>
      <c r="TRC98" s="769"/>
      <c r="TRD98" s="769"/>
      <c r="TRE98" s="769"/>
      <c r="TRF98" s="769"/>
      <c r="TRG98" s="769"/>
      <c r="TRH98" s="769"/>
      <c r="TRI98" s="769"/>
      <c r="TRJ98" s="769"/>
      <c r="TRK98" s="769"/>
      <c r="TRL98" s="769"/>
      <c r="TRM98" s="769"/>
      <c r="TRN98" s="769"/>
      <c r="TRO98" s="769"/>
      <c r="TRP98" s="769"/>
      <c r="TRQ98" s="769"/>
      <c r="TRR98" s="769"/>
      <c r="TRS98" s="769"/>
      <c r="TRT98" s="769"/>
      <c r="TRU98" s="769"/>
      <c r="TRV98" s="769"/>
      <c r="TRW98" s="769"/>
      <c r="TRX98" s="769"/>
      <c r="TRY98" s="769"/>
      <c r="TRZ98" s="769"/>
      <c r="TSA98" s="769"/>
      <c r="TSB98" s="769"/>
      <c r="TSC98" s="769"/>
      <c r="TSD98" s="769"/>
      <c r="TSE98" s="769"/>
      <c r="TSF98" s="769"/>
      <c r="TSG98" s="769"/>
      <c r="TSH98" s="769"/>
      <c r="TSI98" s="769"/>
      <c r="TSJ98" s="769"/>
      <c r="TSK98" s="769"/>
      <c r="TSL98" s="769"/>
      <c r="TSM98" s="769"/>
      <c r="TSN98" s="769"/>
      <c r="TSO98" s="769"/>
      <c r="TSP98" s="769"/>
      <c r="TSQ98" s="769"/>
      <c r="TSR98" s="769"/>
      <c r="TSS98" s="769"/>
      <c r="TST98" s="769"/>
      <c r="TSU98" s="769"/>
      <c r="TSV98" s="769"/>
      <c r="TSW98" s="769"/>
      <c r="TSX98" s="769"/>
      <c r="TSY98" s="769"/>
      <c r="TSZ98" s="769"/>
      <c r="TTA98" s="769"/>
      <c r="TTB98" s="769"/>
      <c r="TTC98" s="769"/>
      <c r="TTD98" s="769"/>
      <c r="TTE98" s="769"/>
      <c r="TTF98" s="769"/>
      <c r="TTG98" s="769"/>
      <c r="TTH98" s="769"/>
      <c r="TTI98" s="769"/>
      <c r="TTJ98" s="769"/>
      <c r="TTK98" s="769"/>
      <c r="TTL98" s="769"/>
      <c r="TTM98" s="769"/>
      <c r="TTN98" s="769"/>
      <c r="TTO98" s="769"/>
      <c r="TTP98" s="769"/>
      <c r="TTQ98" s="769"/>
      <c r="TTR98" s="769"/>
      <c r="TTS98" s="769"/>
      <c r="TTT98" s="769"/>
      <c r="TTU98" s="769"/>
      <c r="TTV98" s="769"/>
      <c r="TTW98" s="769"/>
      <c r="TTX98" s="769"/>
      <c r="TTY98" s="769"/>
      <c r="TTZ98" s="769"/>
      <c r="TUA98" s="769"/>
      <c r="TUB98" s="769"/>
      <c r="TUC98" s="769"/>
      <c r="TUD98" s="769"/>
      <c r="TUE98" s="769"/>
      <c r="TUF98" s="769"/>
      <c r="TUG98" s="769"/>
      <c r="TUH98" s="769"/>
      <c r="TUI98" s="769"/>
      <c r="TUJ98" s="769"/>
      <c r="TUK98" s="769"/>
      <c r="TUL98" s="769"/>
      <c r="TUM98" s="769"/>
      <c r="TUN98" s="769"/>
      <c r="TUO98" s="769"/>
      <c r="TUP98" s="769"/>
      <c r="TUQ98" s="769"/>
      <c r="TUR98" s="769"/>
      <c r="TUS98" s="769"/>
      <c r="TUT98" s="769"/>
      <c r="TUU98" s="769"/>
      <c r="TUV98" s="769"/>
      <c r="TUW98" s="769"/>
      <c r="TUX98" s="769"/>
      <c r="TUY98" s="769"/>
      <c r="TUZ98" s="769"/>
      <c r="TVA98" s="769"/>
      <c r="TVB98" s="769"/>
      <c r="TVC98" s="769"/>
      <c r="TVD98" s="769"/>
      <c r="TVE98" s="769"/>
      <c r="TVF98" s="769"/>
      <c r="TVG98" s="769"/>
      <c r="TVH98" s="769"/>
      <c r="TVI98" s="769"/>
      <c r="TVJ98" s="769"/>
      <c r="TVK98" s="769"/>
      <c r="TVL98" s="769"/>
      <c r="TVM98" s="769"/>
      <c r="TVN98" s="769"/>
      <c r="TVO98" s="769"/>
      <c r="TVP98" s="769"/>
      <c r="TVQ98" s="769"/>
      <c r="TVR98" s="769"/>
      <c r="TVS98" s="769"/>
      <c r="TVT98" s="769"/>
      <c r="TVU98" s="769"/>
      <c r="TVV98" s="769"/>
      <c r="TVW98" s="769"/>
      <c r="TVX98" s="769"/>
      <c r="TVY98" s="769"/>
      <c r="TVZ98" s="769"/>
      <c r="TWA98" s="769"/>
      <c r="TWB98" s="769"/>
      <c r="TWC98" s="769"/>
      <c r="TWD98" s="769"/>
      <c r="TWE98" s="769"/>
      <c r="TWF98" s="769"/>
      <c r="TWG98" s="769"/>
      <c r="TWH98" s="769"/>
      <c r="TWI98" s="769"/>
      <c r="TWJ98" s="769"/>
      <c r="TWK98" s="769"/>
      <c r="TWL98" s="769"/>
      <c r="TWM98" s="769"/>
      <c r="TWN98" s="769"/>
      <c r="TWO98" s="769"/>
      <c r="TWP98" s="769"/>
      <c r="TWQ98" s="769"/>
      <c r="TWR98" s="769"/>
      <c r="TWS98" s="769"/>
      <c r="TWT98" s="769"/>
      <c r="TWU98" s="769"/>
      <c r="TWV98" s="769"/>
      <c r="TWW98" s="769"/>
      <c r="TWX98" s="769"/>
      <c r="TWY98" s="769"/>
      <c r="TWZ98" s="769"/>
      <c r="TXA98" s="769"/>
      <c r="TXB98" s="769"/>
      <c r="TXC98" s="769"/>
      <c r="TXD98" s="769"/>
      <c r="TXE98" s="769"/>
      <c r="TXF98" s="769"/>
      <c r="TXG98" s="769"/>
      <c r="TXH98" s="769"/>
      <c r="TXI98" s="769"/>
      <c r="TXJ98" s="769"/>
      <c r="TXK98" s="769"/>
      <c r="TXL98" s="769"/>
      <c r="TXM98" s="769"/>
      <c r="TXN98" s="769"/>
      <c r="TXO98" s="769"/>
      <c r="TXP98" s="769"/>
      <c r="TXQ98" s="769"/>
      <c r="TXR98" s="769"/>
      <c r="TXS98" s="769"/>
      <c r="TXT98" s="769"/>
      <c r="TXU98" s="769"/>
      <c r="TXV98" s="769"/>
      <c r="TXW98" s="769"/>
      <c r="TXX98" s="769"/>
      <c r="TXY98" s="769"/>
      <c r="TXZ98" s="769"/>
      <c r="TYA98" s="769"/>
      <c r="TYB98" s="769"/>
      <c r="TYC98" s="769"/>
      <c r="TYD98" s="769"/>
      <c r="TYE98" s="769"/>
      <c r="TYF98" s="769"/>
      <c r="TYG98" s="769"/>
      <c r="TYH98" s="769"/>
      <c r="TYI98" s="769"/>
      <c r="TYJ98" s="769"/>
      <c r="TYK98" s="769"/>
      <c r="TYL98" s="769"/>
      <c r="TYM98" s="769"/>
      <c r="TYN98" s="769"/>
      <c r="TYO98" s="769"/>
      <c r="TYP98" s="769"/>
      <c r="TYQ98" s="769"/>
      <c r="TYR98" s="769"/>
      <c r="TYS98" s="769"/>
      <c r="TYT98" s="769"/>
      <c r="TYU98" s="769"/>
      <c r="TYV98" s="769"/>
      <c r="TYW98" s="769"/>
      <c r="TYX98" s="769"/>
      <c r="TYY98" s="769"/>
      <c r="TYZ98" s="769"/>
      <c r="TZA98" s="769"/>
      <c r="TZB98" s="769"/>
      <c r="TZC98" s="769"/>
      <c r="TZD98" s="769"/>
      <c r="TZE98" s="769"/>
      <c r="TZF98" s="769"/>
      <c r="TZG98" s="769"/>
      <c r="TZH98" s="769"/>
      <c r="TZI98" s="769"/>
      <c r="TZJ98" s="769"/>
      <c r="TZK98" s="769"/>
      <c r="TZL98" s="769"/>
      <c r="TZM98" s="769"/>
      <c r="TZN98" s="769"/>
      <c r="TZO98" s="769"/>
      <c r="TZP98" s="769"/>
      <c r="TZQ98" s="769"/>
      <c r="TZR98" s="769"/>
      <c r="TZS98" s="769"/>
      <c r="TZT98" s="769"/>
      <c r="TZU98" s="769"/>
      <c r="TZV98" s="769"/>
      <c r="TZW98" s="769"/>
      <c r="TZX98" s="769"/>
      <c r="TZY98" s="769"/>
      <c r="TZZ98" s="769"/>
      <c r="UAA98" s="769"/>
      <c r="UAB98" s="769"/>
      <c r="UAC98" s="769"/>
      <c r="UAD98" s="769"/>
      <c r="UAE98" s="769"/>
      <c r="UAF98" s="769"/>
      <c r="UAG98" s="769"/>
      <c r="UAH98" s="769"/>
      <c r="UAI98" s="769"/>
      <c r="UAJ98" s="769"/>
      <c r="UAK98" s="769"/>
      <c r="UAL98" s="769"/>
      <c r="UAM98" s="769"/>
      <c r="UAN98" s="769"/>
      <c r="UAO98" s="769"/>
      <c r="UAP98" s="769"/>
      <c r="UAQ98" s="769"/>
      <c r="UAR98" s="769"/>
      <c r="UAS98" s="769"/>
      <c r="UAT98" s="769"/>
      <c r="UAU98" s="769"/>
      <c r="UAV98" s="769"/>
      <c r="UAW98" s="769"/>
      <c r="UAX98" s="769"/>
      <c r="UAY98" s="769"/>
      <c r="UAZ98" s="769"/>
      <c r="UBA98" s="769"/>
      <c r="UBB98" s="769"/>
      <c r="UBC98" s="769"/>
      <c r="UBD98" s="769"/>
      <c r="UBE98" s="769"/>
      <c r="UBF98" s="769"/>
      <c r="UBG98" s="769"/>
      <c r="UBH98" s="769"/>
      <c r="UBI98" s="769"/>
      <c r="UBJ98" s="769"/>
      <c r="UBK98" s="769"/>
      <c r="UBL98" s="769"/>
      <c r="UBM98" s="769"/>
      <c r="UBN98" s="769"/>
      <c r="UBO98" s="769"/>
      <c r="UBP98" s="769"/>
      <c r="UBQ98" s="769"/>
      <c r="UBR98" s="769"/>
      <c r="UBS98" s="769"/>
      <c r="UBT98" s="769"/>
      <c r="UBU98" s="769"/>
      <c r="UBV98" s="769"/>
      <c r="UBW98" s="769"/>
      <c r="UBX98" s="769"/>
      <c r="UBY98" s="769"/>
      <c r="UBZ98" s="769"/>
      <c r="UCA98" s="769"/>
      <c r="UCB98" s="769"/>
      <c r="UCC98" s="769"/>
      <c r="UCD98" s="769"/>
      <c r="UCE98" s="769"/>
      <c r="UCF98" s="769"/>
      <c r="UCG98" s="769"/>
      <c r="UCH98" s="769"/>
      <c r="UCI98" s="769"/>
      <c r="UCJ98" s="769"/>
      <c r="UCK98" s="769"/>
      <c r="UCL98" s="769"/>
      <c r="UCM98" s="769"/>
      <c r="UCN98" s="769"/>
      <c r="UCO98" s="769"/>
      <c r="UCP98" s="769"/>
      <c r="UCQ98" s="769"/>
      <c r="UCR98" s="769"/>
      <c r="UCS98" s="769"/>
      <c r="UCT98" s="769"/>
      <c r="UCU98" s="769"/>
      <c r="UCV98" s="769"/>
      <c r="UCW98" s="769"/>
      <c r="UCX98" s="769"/>
      <c r="UCY98" s="769"/>
      <c r="UCZ98" s="769"/>
      <c r="UDA98" s="769"/>
      <c r="UDB98" s="769"/>
      <c r="UDC98" s="769"/>
      <c r="UDD98" s="769"/>
      <c r="UDE98" s="769"/>
      <c r="UDF98" s="769"/>
      <c r="UDG98" s="769"/>
      <c r="UDH98" s="769"/>
      <c r="UDI98" s="769"/>
      <c r="UDJ98" s="769"/>
      <c r="UDK98" s="769"/>
      <c r="UDL98" s="769"/>
      <c r="UDM98" s="769"/>
      <c r="UDN98" s="769"/>
      <c r="UDO98" s="769"/>
      <c r="UDP98" s="769"/>
      <c r="UDQ98" s="769"/>
      <c r="UDR98" s="769"/>
      <c r="UDS98" s="769"/>
      <c r="UDT98" s="769"/>
      <c r="UDU98" s="769"/>
      <c r="UDV98" s="769"/>
      <c r="UDW98" s="769"/>
      <c r="UDX98" s="769"/>
      <c r="UDY98" s="769"/>
      <c r="UDZ98" s="769"/>
      <c r="UEA98" s="769"/>
      <c r="UEB98" s="769"/>
      <c r="UEC98" s="769"/>
      <c r="UED98" s="769"/>
      <c r="UEE98" s="769"/>
      <c r="UEF98" s="769"/>
      <c r="UEG98" s="769"/>
      <c r="UEH98" s="769"/>
      <c r="UEI98" s="769"/>
      <c r="UEJ98" s="769"/>
      <c r="UEK98" s="769"/>
      <c r="UEL98" s="769"/>
      <c r="UEM98" s="769"/>
      <c r="UEN98" s="769"/>
      <c r="UEO98" s="769"/>
      <c r="UEP98" s="769"/>
      <c r="UEQ98" s="769"/>
      <c r="UER98" s="769"/>
      <c r="UES98" s="769"/>
      <c r="UET98" s="769"/>
      <c r="UEU98" s="769"/>
      <c r="UEV98" s="769"/>
      <c r="UEW98" s="769"/>
      <c r="UEX98" s="769"/>
      <c r="UEY98" s="769"/>
      <c r="UEZ98" s="769"/>
      <c r="UFA98" s="769"/>
      <c r="UFB98" s="769"/>
      <c r="UFC98" s="769"/>
      <c r="UFD98" s="769"/>
      <c r="UFE98" s="769"/>
      <c r="UFF98" s="769"/>
      <c r="UFG98" s="769"/>
      <c r="UFH98" s="769"/>
      <c r="UFI98" s="769"/>
      <c r="UFJ98" s="769"/>
      <c r="UFK98" s="769"/>
      <c r="UFL98" s="769"/>
      <c r="UFM98" s="769"/>
      <c r="UFN98" s="769"/>
      <c r="UFO98" s="769"/>
      <c r="UFP98" s="769"/>
      <c r="UFQ98" s="769"/>
      <c r="UFR98" s="769"/>
      <c r="UFS98" s="769"/>
      <c r="UFT98" s="769"/>
      <c r="UFU98" s="769"/>
      <c r="UFV98" s="769"/>
      <c r="UFW98" s="769"/>
      <c r="UFX98" s="769"/>
      <c r="UFY98" s="769"/>
      <c r="UFZ98" s="769"/>
      <c r="UGA98" s="769"/>
      <c r="UGB98" s="769"/>
      <c r="UGC98" s="769"/>
      <c r="UGD98" s="769"/>
      <c r="UGE98" s="769"/>
      <c r="UGF98" s="769"/>
      <c r="UGG98" s="769"/>
      <c r="UGH98" s="769"/>
      <c r="UGI98" s="769"/>
      <c r="UGJ98" s="769"/>
      <c r="UGK98" s="769"/>
      <c r="UGL98" s="769"/>
      <c r="UGM98" s="769"/>
      <c r="UGN98" s="769"/>
      <c r="UGO98" s="769"/>
      <c r="UGP98" s="769"/>
      <c r="UGQ98" s="769"/>
      <c r="UGR98" s="769"/>
      <c r="UGS98" s="769"/>
      <c r="UGT98" s="769"/>
      <c r="UGU98" s="769"/>
      <c r="UGV98" s="769"/>
      <c r="UGW98" s="769"/>
      <c r="UGX98" s="769"/>
      <c r="UGY98" s="769"/>
      <c r="UGZ98" s="769"/>
      <c r="UHA98" s="769"/>
      <c r="UHB98" s="769"/>
      <c r="UHC98" s="769"/>
      <c r="UHD98" s="769"/>
      <c r="UHE98" s="769"/>
      <c r="UHF98" s="769"/>
      <c r="UHG98" s="769"/>
      <c r="UHH98" s="769"/>
      <c r="UHI98" s="769"/>
      <c r="UHJ98" s="769"/>
      <c r="UHK98" s="769"/>
      <c r="UHL98" s="769"/>
      <c r="UHM98" s="769"/>
      <c r="UHN98" s="769"/>
      <c r="UHO98" s="769"/>
      <c r="UHP98" s="769"/>
      <c r="UHQ98" s="769"/>
      <c r="UHR98" s="769"/>
      <c r="UHS98" s="769"/>
      <c r="UHT98" s="769"/>
      <c r="UHU98" s="769"/>
      <c r="UHV98" s="769"/>
      <c r="UHW98" s="769"/>
      <c r="UHX98" s="769"/>
      <c r="UHY98" s="769"/>
      <c r="UHZ98" s="769"/>
      <c r="UIA98" s="769"/>
      <c r="UIB98" s="769"/>
      <c r="UIC98" s="769"/>
      <c r="UID98" s="769"/>
      <c r="UIE98" s="769"/>
      <c r="UIF98" s="769"/>
      <c r="UIG98" s="769"/>
      <c r="UIH98" s="769"/>
      <c r="UII98" s="769"/>
      <c r="UIJ98" s="769"/>
      <c r="UIK98" s="769"/>
      <c r="UIL98" s="769"/>
      <c r="UIM98" s="769"/>
      <c r="UIN98" s="769"/>
      <c r="UIO98" s="769"/>
      <c r="UIP98" s="769"/>
      <c r="UIQ98" s="769"/>
      <c r="UIR98" s="769"/>
      <c r="UIS98" s="769"/>
      <c r="UIT98" s="769"/>
      <c r="UIU98" s="769"/>
      <c r="UIV98" s="769"/>
      <c r="UIW98" s="769"/>
      <c r="UIX98" s="769"/>
      <c r="UIY98" s="769"/>
      <c r="UIZ98" s="769"/>
      <c r="UJA98" s="769"/>
      <c r="UJB98" s="769"/>
      <c r="UJC98" s="769"/>
      <c r="UJD98" s="769"/>
      <c r="UJE98" s="769"/>
      <c r="UJF98" s="769"/>
      <c r="UJG98" s="769"/>
      <c r="UJH98" s="769"/>
      <c r="UJI98" s="769"/>
      <c r="UJJ98" s="769"/>
      <c r="UJK98" s="769"/>
      <c r="UJL98" s="769"/>
      <c r="UJM98" s="769"/>
      <c r="UJN98" s="769"/>
      <c r="UJO98" s="769"/>
      <c r="UJP98" s="769"/>
      <c r="UJQ98" s="769"/>
      <c r="UJR98" s="769"/>
      <c r="UJS98" s="769"/>
      <c r="UJT98" s="769"/>
      <c r="UJU98" s="769"/>
      <c r="UJV98" s="769"/>
      <c r="UJW98" s="769"/>
      <c r="UJX98" s="769"/>
      <c r="UJY98" s="769"/>
      <c r="UJZ98" s="769"/>
      <c r="UKA98" s="769"/>
      <c r="UKB98" s="769"/>
      <c r="UKC98" s="769"/>
      <c r="UKD98" s="769"/>
      <c r="UKE98" s="769"/>
      <c r="UKF98" s="769"/>
      <c r="UKG98" s="769"/>
      <c r="UKH98" s="769"/>
      <c r="UKI98" s="769"/>
      <c r="UKJ98" s="769"/>
      <c r="UKK98" s="769"/>
      <c r="UKL98" s="769"/>
      <c r="UKM98" s="769"/>
      <c r="UKN98" s="769"/>
      <c r="UKO98" s="769"/>
      <c r="UKP98" s="769"/>
      <c r="UKQ98" s="769"/>
      <c r="UKR98" s="769"/>
      <c r="UKS98" s="769"/>
      <c r="UKT98" s="769"/>
      <c r="UKU98" s="769"/>
      <c r="UKV98" s="769"/>
      <c r="UKW98" s="769"/>
      <c r="UKX98" s="769"/>
      <c r="UKY98" s="769"/>
      <c r="UKZ98" s="769"/>
      <c r="ULA98" s="769"/>
      <c r="ULB98" s="769"/>
      <c r="ULC98" s="769"/>
      <c r="ULD98" s="769"/>
      <c r="ULE98" s="769"/>
      <c r="ULF98" s="769"/>
      <c r="ULG98" s="769"/>
      <c r="ULH98" s="769"/>
      <c r="ULI98" s="769"/>
      <c r="ULJ98" s="769"/>
      <c r="ULK98" s="769"/>
      <c r="ULL98" s="769"/>
      <c r="ULM98" s="769"/>
      <c r="ULN98" s="769"/>
      <c r="ULO98" s="769"/>
      <c r="ULP98" s="769"/>
      <c r="ULQ98" s="769"/>
      <c r="ULR98" s="769"/>
      <c r="ULS98" s="769"/>
      <c r="ULT98" s="769"/>
      <c r="ULU98" s="769"/>
      <c r="ULV98" s="769"/>
      <c r="ULW98" s="769"/>
      <c r="ULX98" s="769"/>
      <c r="ULY98" s="769"/>
      <c r="ULZ98" s="769"/>
      <c r="UMA98" s="769"/>
      <c r="UMB98" s="769"/>
      <c r="UMC98" s="769"/>
      <c r="UMD98" s="769"/>
      <c r="UME98" s="769"/>
      <c r="UMF98" s="769"/>
      <c r="UMG98" s="769"/>
      <c r="UMH98" s="769"/>
      <c r="UMI98" s="769"/>
      <c r="UMJ98" s="769"/>
      <c r="UMK98" s="769"/>
      <c r="UML98" s="769"/>
      <c r="UMM98" s="769"/>
      <c r="UMN98" s="769"/>
      <c r="UMO98" s="769"/>
      <c r="UMP98" s="769"/>
      <c r="UMQ98" s="769"/>
      <c r="UMR98" s="769"/>
      <c r="UMS98" s="769"/>
      <c r="UMT98" s="769"/>
      <c r="UMU98" s="769"/>
      <c r="UMV98" s="769"/>
      <c r="UMW98" s="769"/>
      <c r="UMX98" s="769"/>
      <c r="UMY98" s="769"/>
      <c r="UMZ98" s="769"/>
      <c r="UNA98" s="769"/>
      <c r="UNB98" s="769"/>
      <c r="UNC98" s="769"/>
      <c r="UND98" s="769"/>
      <c r="UNE98" s="769"/>
      <c r="UNF98" s="769"/>
      <c r="UNG98" s="769"/>
      <c r="UNH98" s="769"/>
      <c r="UNI98" s="769"/>
      <c r="UNJ98" s="769"/>
      <c r="UNK98" s="769"/>
      <c r="UNL98" s="769"/>
      <c r="UNM98" s="769"/>
      <c r="UNN98" s="769"/>
      <c r="UNO98" s="769"/>
      <c r="UNP98" s="769"/>
      <c r="UNQ98" s="769"/>
      <c r="UNR98" s="769"/>
      <c r="UNS98" s="769"/>
      <c r="UNT98" s="769"/>
      <c r="UNU98" s="769"/>
      <c r="UNV98" s="769"/>
      <c r="UNW98" s="769"/>
      <c r="UNX98" s="769"/>
      <c r="UNY98" s="769"/>
      <c r="UNZ98" s="769"/>
      <c r="UOA98" s="769"/>
      <c r="UOB98" s="769"/>
      <c r="UOC98" s="769"/>
      <c r="UOD98" s="769"/>
      <c r="UOE98" s="769"/>
      <c r="UOF98" s="769"/>
      <c r="UOG98" s="769"/>
      <c r="UOH98" s="769"/>
      <c r="UOI98" s="769"/>
      <c r="UOJ98" s="769"/>
      <c r="UOK98" s="769"/>
      <c r="UOL98" s="769"/>
      <c r="UOM98" s="769"/>
      <c r="UON98" s="769"/>
      <c r="UOO98" s="769"/>
      <c r="UOP98" s="769"/>
      <c r="UOQ98" s="769"/>
      <c r="UOR98" s="769"/>
      <c r="UOS98" s="769"/>
      <c r="UOT98" s="769"/>
      <c r="UOU98" s="769"/>
      <c r="UOV98" s="769"/>
      <c r="UOW98" s="769"/>
      <c r="UOX98" s="769"/>
      <c r="UOY98" s="769"/>
      <c r="UOZ98" s="769"/>
      <c r="UPA98" s="769"/>
      <c r="UPB98" s="769"/>
      <c r="UPC98" s="769"/>
      <c r="UPD98" s="769"/>
      <c r="UPE98" s="769"/>
      <c r="UPF98" s="769"/>
      <c r="UPG98" s="769"/>
      <c r="UPH98" s="769"/>
      <c r="UPI98" s="769"/>
      <c r="UPJ98" s="769"/>
      <c r="UPK98" s="769"/>
      <c r="UPL98" s="769"/>
      <c r="UPM98" s="769"/>
      <c r="UPN98" s="769"/>
      <c r="UPO98" s="769"/>
      <c r="UPP98" s="769"/>
      <c r="UPQ98" s="769"/>
      <c r="UPR98" s="769"/>
      <c r="UPS98" s="769"/>
      <c r="UPT98" s="769"/>
      <c r="UPU98" s="769"/>
      <c r="UPV98" s="769"/>
      <c r="UPW98" s="769"/>
      <c r="UPX98" s="769"/>
      <c r="UPY98" s="769"/>
      <c r="UPZ98" s="769"/>
      <c r="UQA98" s="769"/>
      <c r="UQB98" s="769"/>
      <c r="UQC98" s="769"/>
      <c r="UQD98" s="769"/>
      <c r="UQE98" s="769"/>
      <c r="UQF98" s="769"/>
      <c r="UQG98" s="769"/>
      <c r="UQH98" s="769"/>
      <c r="UQI98" s="769"/>
      <c r="UQJ98" s="769"/>
      <c r="UQK98" s="769"/>
      <c r="UQL98" s="769"/>
      <c r="UQM98" s="769"/>
      <c r="UQN98" s="769"/>
      <c r="UQO98" s="769"/>
      <c r="UQP98" s="769"/>
      <c r="UQQ98" s="769"/>
      <c r="UQR98" s="769"/>
      <c r="UQS98" s="769"/>
      <c r="UQT98" s="769"/>
      <c r="UQU98" s="769"/>
      <c r="UQV98" s="769"/>
      <c r="UQW98" s="769"/>
      <c r="UQX98" s="769"/>
      <c r="UQY98" s="769"/>
      <c r="UQZ98" s="769"/>
      <c r="URA98" s="769"/>
      <c r="URB98" s="769"/>
      <c r="URC98" s="769"/>
      <c r="URD98" s="769"/>
      <c r="URE98" s="769"/>
      <c r="URF98" s="769"/>
      <c r="URG98" s="769"/>
      <c r="URH98" s="769"/>
      <c r="URI98" s="769"/>
      <c r="URJ98" s="769"/>
      <c r="URK98" s="769"/>
      <c r="URL98" s="769"/>
      <c r="URM98" s="769"/>
      <c r="URN98" s="769"/>
      <c r="URO98" s="769"/>
      <c r="URP98" s="769"/>
      <c r="URQ98" s="769"/>
      <c r="URR98" s="769"/>
      <c r="URS98" s="769"/>
      <c r="URT98" s="769"/>
      <c r="URU98" s="769"/>
      <c r="URV98" s="769"/>
      <c r="URW98" s="769"/>
      <c r="URX98" s="769"/>
      <c r="URY98" s="769"/>
      <c r="URZ98" s="769"/>
      <c r="USA98" s="769"/>
      <c r="USB98" s="769"/>
      <c r="USC98" s="769"/>
      <c r="USD98" s="769"/>
      <c r="USE98" s="769"/>
      <c r="USF98" s="769"/>
      <c r="USG98" s="769"/>
      <c r="USH98" s="769"/>
      <c r="USI98" s="769"/>
      <c r="USJ98" s="769"/>
      <c r="USK98" s="769"/>
      <c r="USL98" s="769"/>
      <c r="USM98" s="769"/>
      <c r="USN98" s="769"/>
      <c r="USO98" s="769"/>
      <c r="USP98" s="769"/>
      <c r="USQ98" s="769"/>
      <c r="USR98" s="769"/>
      <c r="USS98" s="769"/>
      <c r="UST98" s="769"/>
      <c r="USU98" s="769"/>
      <c r="USV98" s="769"/>
      <c r="USW98" s="769"/>
      <c r="USX98" s="769"/>
      <c r="USY98" s="769"/>
      <c r="USZ98" s="769"/>
      <c r="UTA98" s="769"/>
      <c r="UTB98" s="769"/>
      <c r="UTC98" s="769"/>
      <c r="UTD98" s="769"/>
      <c r="UTE98" s="769"/>
      <c r="UTF98" s="769"/>
      <c r="UTG98" s="769"/>
      <c r="UTH98" s="769"/>
      <c r="UTI98" s="769"/>
      <c r="UTJ98" s="769"/>
      <c r="UTK98" s="769"/>
      <c r="UTL98" s="769"/>
      <c r="UTM98" s="769"/>
      <c r="UTN98" s="769"/>
      <c r="UTO98" s="769"/>
      <c r="UTP98" s="769"/>
      <c r="UTQ98" s="769"/>
      <c r="UTR98" s="769"/>
      <c r="UTS98" s="769"/>
      <c r="UTT98" s="769"/>
      <c r="UTU98" s="769"/>
      <c r="UTV98" s="769"/>
      <c r="UTW98" s="769"/>
      <c r="UTX98" s="769"/>
      <c r="UTY98" s="769"/>
      <c r="UTZ98" s="769"/>
      <c r="UUA98" s="769"/>
      <c r="UUB98" s="769"/>
      <c r="UUC98" s="769"/>
      <c r="UUD98" s="769"/>
      <c r="UUE98" s="769"/>
      <c r="UUF98" s="769"/>
      <c r="UUG98" s="769"/>
      <c r="UUH98" s="769"/>
      <c r="UUI98" s="769"/>
      <c r="UUJ98" s="769"/>
      <c r="UUK98" s="769"/>
      <c r="UUL98" s="769"/>
      <c r="UUM98" s="769"/>
      <c r="UUN98" s="769"/>
      <c r="UUO98" s="769"/>
      <c r="UUP98" s="769"/>
      <c r="UUQ98" s="769"/>
      <c r="UUR98" s="769"/>
      <c r="UUS98" s="769"/>
      <c r="UUT98" s="769"/>
      <c r="UUU98" s="769"/>
      <c r="UUV98" s="769"/>
      <c r="UUW98" s="769"/>
      <c r="UUX98" s="769"/>
      <c r="UUY98" s="769"/>
      <c r="UUZ98" s="769"/>
      <c r="UVA98" s="769"/>
      <c r="UVB98" s="769"/>
      <c r="UVC98" s="769"/>
      <c r="UVD98" s="769"/>
      <c r="UVE98" s="769"/>
      <c r="UVF98" s="769"/>
      <c r="UVG98" s="769"/>
      <c r="UVH98" s="769"/>
      <c r="UVI98" s="769"/>
      <c r="UVJ98" s="769"/>
      <c r="UVK98" s="769"/>
      <c r="UVL98" s="769"/>
      <c r="UVM98" s="769"/>
      <c r="UVN98" s="769"/>
      <c r="UVO98" s="769"/>
      <c r="UVP98" s="769"/>
      <c r="UVQ98" s="769"/>
      <c r="UVR98" s="769"/>
      <c r="UVS98" s="769"/>
      <c r="UVT98" s="769"/>
      <c r="UVU98" s="769"/>
      <c r="UVV98" s="769"/>
      <c r="UVW98" s="769"/>
      <c r="UVX98" s="769"/>
      <c r="UVY98" s="769"/>
      <c r="UVZ98" s="769"/>
      <c r="UWA98" s="769"/>
      <c r="UWB98" s="769"/>
      <c r="UWC98" s="769"/>
      <c r="UWD98" s="769"/>
      <c r="UWE98" s="769"/>
      <c r="UWF98" s="769"/>
      <c r="UWG98" s="769"/>
      <c r="UWH98" s="769"/>
      <c r="UWI98" s="769"/>
      <c r="UWJ98" s="769"/>
      <c r="UWK98" s="769"/>
      <c r="UWL98" s="769"/>
      <c r="UWM98" s="769"/>
      <c r="UWN98" s="769"/>
      <c r="UWO98" s="769"/>
      <c r="UWP98" s="769"/>
      <c r="UWQ98" s="769"/>
      <c r="UWR98" s="769"/>
      <c r="UWS98" s="769"/>
      <c r="UWT98" s="769"/>
      <c r="UWU98" s="769"/>
      <c r="UWV98" s="769"/>
      <c r="UWW98" s="769"/>
      <c r="UWX98" s="769"/>
      <c r="UWY98" s="769"/>
      <c r="UWZ98" s="769"/>
      <c r="UXA98" s="769"/>
      <c r="UXB98" s="769"/>
      <c r="UXC98" s="769"/>
      <c r="UXD98" s="769"/>
      <c r="UXE98" s="769"/>
      <c r="UXF98" s="769"/>
      <c r="UXG98" s="769"/>
      <c r="UXH98" s="769"/>
      <c r="UXI98" s="769"/>
      <c r="UXJ98" s="769"/>
      <c r="UXK98" s="769"/>
      <c r="UXL98" s="769"/>
      <c r="UXM98" s="769"/>
      <c r="UXN98" s="769"/>
      <c r="UXO98" s="769"/>
      <c r="UXP98" s="769"/>
      <c r="UXQ98" s="769"/>
      <c r="UXR98" s="769"/>
      <c r="UXS98" s="769"/>
      <c r="UXT98" s="769"/>
      <c r="UXU98" s="769"/>
      <c r="UXV98" s="769"/>
      <c r="UXW98" s="769"/>
      <c r="UXX98" s="769"/>
      <c r="UXY98" s="769"/>
      <c r="UXZ98" s="769"/>
      <c r="UYA98" s="769"/>
      <c r="UYB98" s="769"/>
      <c r="UYC98" s="769"/>
      <c r="UYD98" s="769"/>
      <c r="UYE98" s="769"/>
      <c r="UYF98" s="769"/>
      <c r="UYG98" s="769"/>
      <c r="UYH98" s="769"/>
      <c r="UYI98" s="769"/>
      <c r="UYJ98" s="769"/>
      <c r="UYK98" s="769"/>
      <c r="UYL98" s="769"/>
      <c r="UYM98" s="769"/>
      <c r="UYN98" s="769"/>
      <c r="UYO98" s="769"/>
      <c r="UYP98" s="769"/>
      <c r="UYQ98" s="769"/>
      <c r="UYR98" s="769"/>
      <c r="UYS98" s="769"/>
      <c r="UYT98" s="769"/>
      <c r="UYU98" s="769"/>
      <c r="UYV98" s="769"/>
      <c r="UYW98" s="769"/>
      <c r="UYX98" s="769"/>
      <c r="UYY98" s="769"/>
      <c r="UYZ98" s="769"/>
      <c r="UZA98" s="769"/>
      <c r="UZB98" s="769"/>
      <c r="UZC98" s="769"/>
      <c r="UZD98" s="769"/>
      <c r="UZE98" s="769"/>
      <c r="UZF98" s="769"/>
      <c r="UZG98" s="769"/>
      <c r="UZH98" s="769"/>
      <c r="UZI98" s="769"/>
      <c r="UZJ98" s="769"/>
      <c r="UZK98" s="769"/>
      <c r="UZL98" s="769"/>
      <c r="UZM98" s="769"/>
      <c r="UZN98" s="769"/>
      <c r="UZO98" s="769"/>
      <c r="UZP98" s="769"/>
      <c r="UZQ98" s="769"/>
      <c r="UZR98" s="769"/>
      <c r="UZS98" s="769"/>
      <c r="UZT98" s="769"/>
      <c r="UZU98" s="769"/>
      <c r="UZV98" s="769"/>
      <c r="UZW98" s="769"/>
      <c r="UZX98" s="769"/>
      <c r="UZY98" s="769"/>
      <c r="UZZ98" s="769"/>
      <c r="VAA98" s="769"/>
      <c r="VAB98" s="769"/>
      <c r="VAC98" s="769"/>
      <c r="VAD98" s="769"/>
      <c r="VAE98" s="769"/>
      <c r="VAF98" s="769"/>
      <c r="VAG98" s="769"/>
      <c r="VAH98" s="769"/>
      <c r="VAI98" s="769"/>
      <c r="VAJ98" s="769"/>
      <c r="VAK98" s="769"/>
      <c r="VAL98" s="769"/>
      <c r="VAM98" s="769"/>
      <c r="VAN98" s="769"/>
      <c r="VAO98" s="769"/>
      <c r="VAP98" s="769"/>
      <c r="VAQ98" s="769"/>
      <c r="VAR98" s="769"/>
      <c r="VAS98" s="769"/>
      <c r="VAT98" s="769"/>
      <c r="VAU98" s="769"/>
      <c r="VAV98" s="769"/>
      <c r="VAW98" s="769"/>
      <c r="VAX98" s="769"/>
      <c r="VAY98" s="769"/>
      <c r="VAZ98" s="769"/>
      <c r="VBA98" s="769"/>
      <c r="VBB98" s="769"/>
      <c r="VBC98" s="769"/>
      <c r="VBD98" s="769"/>
      <c r="VBE98" s="769"/>
      <c r="VBF98" s="769"/>
      <c r="VBG98" s="769"/>
      <c r="VBH98" s="769"/>
      <c r="VBI98" s="769"/>
      <c r="VBJ98" s="769"/>
      <c r="VBK98" s="769"/>
      <c r="VBL98" s="769"/>
      <c r="VBM98" s="769"/>
      <c r="VBN98" s="769"/>
      <c r="VBO98" s="769"/>
      <c r="VBP98" s="769"/>
      <c r="VBQ98" s="769"/>
      <c r="VBR98" s="769"/>
      <c r="VBS98" s="769"/>
      <c r="VBT98" s="769"/>
      <c r="VBU98" s="769"/>
      <c r="VBV98" s="769"/>
      <c r="VBW98" s="769"/>
      <c r="VBX98" s="769"/>
      <c r="VBY98" s="769"/>
      <c r="VBZ98" s="769"/>
      <c r="VCA98" s="769"/>
      <c r="VCB98" s="769"/>
      <c r="VCC98" s="769"/>
      <c r="VCD98" s="769"/>
      <c r="VCE98" s="769"/>
      <c r="VCF98" s="769"/>
      <c r="VCG98" s="769"/>
      <c r="VCH98" s="769"/>
      <c r="VCI98" s="769"/>
      <c r="VCJ98" s="769"/>
      <c r="VCK98" s="769"/>
      <c r="VCL98" s="769"/>
      <c r="VCM98" s="769"/>
      <c r="VCN98" s="769"/>
      <c r="VCO98" s="769"/>
      <c r="VCP98" s="769"/>
      <c r="VCQ98" s="769"/>
      <c r="VCR98" s="769"/>
      <c r="VCS98" s="769"/>
      <c r="VCT98" s="769"/>
      <c r="VCU98" s="769"/>
      <c r="VCV98" s="769"/>
      <c r="VCW98" s="769"/>
      <c r="VCX98" s="769"/>
      <c r="VCY98" s="769"/>
      <c r="VCZ98" s="769"/>
      <c r="VDA98" s="769"/>
      <c r="VDB98" s="769"/>
      <c r="VDC98" s="769"/>
      <c r="VDD98" s="769"/>
      <c r="VDE98" s="769"/>
      <c r="VDF98" s="769"/>
      <c r="VDG98" s="769"/>
      <c r="VDH98" s="769"/>
      <c r="VDI98" s="769"/>
      <c r="VDJ98" s="769"/>
      <c r="VDK98" s="769"/>
      <c r="VDL98" s="769"/>
      <c r="VDM98" s="769"/>
      <c r="VDN98" s="769"/>
      <c r="VDO98" s="769"/>
      <c r="VDP98" s="769"/>
      <c r="VDQ98" s="769"/>
      <c r="VDR98" s="769"/>
      <c r="VDS98" s="769"/>
      <c r="VDT98" s="769"/>
      <c r="VDU98" s="769"/>
      <c r="VDV98" s="769"/>
      <c r="VDW98" s="769"/>
      <c r="VDX98" s="769"/>
      <c r="VDY98" s="769"/>
      <c r="VDZ98" s="769"/>
      <c r="VEA98" s="769"/>
      <c r="VEB98" s="769"/>
      <c r="VEC98" s="769"/>
      <c r="VED98" s="769"/>
      <c r="VEE98" s="769"/>
      <c r="VEF98" s="769"/>
      <c r="VEG98" s="769"/>
      <c r="VEH98" s="769"/>
      <c r="VEI98" s="769"/>
      <c r="VEJ98" s="769"/>
      <c r="VEK98" s="769"/>
      <c r="VEL98" s="769"/>
      <c r="VEM98" s="769"/>
      <c r="VEN98" s="769"/>
      <c r="VEO98" s="769"/>
      <c r="VEP98" s="769"/>
      <c r="VEQ98" s="769"/>
      <c r="VER98" s="769"/>
      <c r="VES98" s="769"/>
      <c r="VET98" s="769"/>
      <c r="VEU98" s="769"/>
      <c r="VEV98" s="769"/>
      <c r="VEW98" s="769"/>
      <c r="VEX98" s="769"/>
      <c r="VEY98" s="769"/>
      <c r="VEZ98" s="769"/>
      <c r="VFA98" s="769"/>
      <c r="VFB98" s="769"/>
      <c r="VFC98" s="769"/>
      <c r="VFD98" s="769"/>
      <c r="VFE98" s="769"/>
      <c r="VFF98" s="769"/>
      <c r="VFG98" s="769"/>
      <c r="VFH98" s="769"/>
      <c r="VFI98" s="769"/>
      <c r="VFJ98" s="769"/>
      <c r="VFK98" s="769"/>
      <c r="VFL98" s="769"/>
      <c r="VFM98" s="769"/>
      <c r="VFN98" s="769"/>
      <c r="VFO98" s="769"/>
      <c r="VFP98" s="769"/>
      <c r="VFQ98" s="769"/>
      <c r="VFR98" s="769"/>
      <c r="VFS98" s="769"/>
      <c r="VFT98" s="769"/>
      <c r="VFU98" s="769"/>
      <c r="VFV98" s="769"/>
      <c r="VFW98" s="769"/>
      <c r="VFX98" s="769"/>
      <c r="VFY98" s="769"/>
      <c r="VFZ98" s="769"/>
      <c r="VGA98" s="769"/>
      <c r="VGB98" s="769"/>
      <c r="VGC98" s="769"/>
      <c r="VGD98" s="769"/>
      <c r="VGE98" s="769"/>
      <c r="VGF98" s="769"/>
      <c r="VGG98" s="769"/>
      <c r="VGH98" s="769"/>
      <c r="VGI98" s="769"/>
      <c r="VGJ98" s="769"/>
      <c r="VGK98" s="769"/>
      <c r="VGL98" s="769"/>
      <c r="VGM98" s="769"/>
      <c r="VGN98" s="769"/>
      <c r="VGO98" s="769"/>
      <c r="VGP98" s="769"/>
      <c r="VGQ98" s="769"/>
      <c r="VGR98" s="769"/>
      <c r="VGS98" s="769"/>
      <c r="VGT98" s="769"/>
      <c r="VGU98" s="769"/>
      <c r="VGV98" s="769"/>
      <c r="VGW98" s="769"/>
      <c r="VGX98" s="769"/>
      <c r="VGY98" s="769"/>
      <c r="VGZ98" s="769"/>
      <c r="VHA98" s="769"/>
      <c r="VHB98" s="769"/>
      <c r="VHC98" s="769"/>
      <c r="VHD98" s="769"/>
      <c r="VHE98" s="769"/>
      <c r="VHF98" s="769"/>
      <c r="VHG98" s="769"/>
      <c r="VHH98" s="769"/>
      <c r="VHI98" s="769"/>
      <c r="VHJ98" s="769"/>
      <c r="VHK98" s="769"/>
      <c r="VHL98" s="769"/>
      <c r="VHM98" s="769"/>
      <c r="VHN98" s="769"/>
      <c r="VHO98" s="769"/>
      <c r="VHP98" s="769"/>
      <c r="VHQ98" s="769"/>
      <c r="VHR98" s="769"/>
      <c r="VHS98" s="769"/>
      <c r="VHT98" s="769"/>
      <c r="VHU98" s="769"/>
      <c r="VHV98" s="769"/>
      <c r="VHW98" s="769"/>
      <c r="VHX98" s="769"/>
      <c r="VHY98" s="769"/>
      <c r="VHZ98" s="769"/>
      <c r="VIA98" s="769"/>
      <c r="VIB98" s="769"/>
      <c r="VIC98" s="769"/>
      <c r="VID98" s="769"/>
      <c r="VIE98" s="769"/>
      <c r="VIF98" s="769"/>
      <c r="VIG98" s="769"/>
      <c r="VIH98" s="769"/>
      <c r="VII98" s="769"/>
      <c r="VIJ98" s="769"/>
      <c r="VIK98" s="769"/>
      <c r="VIL98" s="769"/>
      <c r="VIM98" s="769"/>
      <c r="VIN98" s="769"/>
      <c r="VIO98" s="769"/>
      <c r="VIP98" s="769"/>
      <c r="VIQ98" s="769"/>
      <c r="VIR98" s="769"/>
      <c r="VIS98" s="769"/>
      <c r="VIT98" s="769"/>
      <c r="VIU98" s="769"/>
      <c r="VIV98" s="769"/>
      <c r="VIW98" s="769"/>
      <c r="VIX98" s="769"/>
      <c r="VIY98" s="769"/>
      <c r="VIZ98" s="769"/>
      <c r="VJA98" s="769"/>
      <c r="VJB98" s="769"/>
      <c r="VJC98" s="769"/>
      <c r="VJD98" s="769"/>
      <c r="VJE98" s="769"/>
      <c r="VJF98" s="769"/>
      <c r="VJG98" s="769"/>
      <c r="VJH98" s="769"/>
      <c r="VJI98" s="769"/>
      <c r="VJJ98" s="769"/>
      <c r="VJK98" s="769"/>
      <c r="VJL98" s="769"/>
      <c r="VJM98" s="769"/>
      <c r="VJN98" s="769"/>
      <c r="VJO98" s="769"/>
      <c r="VJP98" s="769"/>
      <c r="VJQ98" s="769"/>
      <c r="VJR98" s="769"/>
      <c r="VJS98" s="769"/>
      <c r="VJT98" s="769"/>
      <c r="VJU98" s="769"/>
      <c r="VJV98" s="769"/>
      <c r="VJW98" s="769"/>
      <c r="VJX98" s="769"/>
      <c r="VJY98" s="769"/>
      <c r="VJZ98" s="769"/>
      <c r="VKA98" s="769"/>
      <c r="VKB98" s="769"/>
      <c r="VKC98" s="769"/>
      <c r="VKD98" s="769"/>
      <c r="VKE98" s="769"/>
      <c r="VKF98" s="769"/>
      <c r="VKG98" s="769"/>
      <c r="VKH98" s="769"/>
      <c r="VKI98" s="769"/>
      <c r="VKJ98" s="769"/>
      <c r="VKK98" s="769"/>
      <c r="VKL98" s="769"/>
      <c r="VKM98" s="769"/>
      <c r="VKN98" s="769"/>
      <c r="VKO98" s="769"/>
      <c r="VKP98" s="769"/>
      <c r="VKQ98" s="769"/>
      <c r="VKR98" s="769"/>
      <c r="VKS98" s="769"/>
      <c r="VKT98" s="769"/>
      <c r="VKU98" s="769"/>
      <c r="VKV98" s="769"/>
      <c r="VKW98" s="769"/>
      <c r="VKX98" s="769"/>
      <c r="VKY98" s="769"/>
      <c r="VKZ98" s="769"/>
      <c r="VLA98" s="769"/>
      <c r="VLB98" s="769"/>
      <c r="VLC98" s="769"/>
      <c r="VLD98" s="769"/>
      <c r="VLE98" s="769"/>
      <c r="VLF98" s="769"/>
      <c r="VLG98" s="769"/>
      <c r="VLH98" s="769"/>
      <c r="VLI98" s="769"/>
      <c r="VLJ98" s="769"/>
      <c r="VLK98" s="769"/>
      <c r="VLL98" s="769"/>
      <c r="VLM98" s="769"/>
      <c r="VLN98" s="769"/>
      <c r="VLO98" s="769"/>
      <c r="VLP98" s="769"/>
      <c r="VLQ98" s="769"/>
      <c r="VLR98" s="769"/>
      <c r="VLS98" s="769"/>
      <c r="VLT98" s="769"/>
      <c r="VLU98" s="769"/>
      <c r="VLV98" s="769"/>
      <c r="VLW98" s="769"/>
      <c r="VLX98" s="769"/>
      <c r="VLY98" s="769"/>
      <c r="VLZ98" s="769"/>
      <c r="VMA98" s="769"/>
      <c r="VMB98" s="769"/>
      <c r="VMC98" s="769"/>
      <c r="VMD98" s="769"/>
      <c r="VME98" s="769"/>
      <c r="VMF98" s="769"/>
      <c r="VMG98" s="769"/>
      <c r="VMH98" s="769"/>
      <c r="VMI98" s="769"/>
      <c r="VMJ98" s="769"/>
      <c r="VMK98" s="769"/>
      <c r="VML98" s="769"/>
      <c r="VMM98" s="769"/>
      <c r="VMN98" s="769"/>
      <c r="VMO98" s="769"/>
      <c r="VMP98" s="769"/>
      <c r="VMQ98" s="769"/>
      <c r="VMR98" s="769"/>
      <c r="VMS98" s="769"/>
      <c r="VMT98" s="769"/>
      <c r="VMU98" s="769"/>
      <c r="VMV98" s="769"/>
      <c r="VMW98" s="769"/>
      <c r="VMX98" s="769"/>
      <c r="VMY98" s="769"/>
      <c r="VMZ98" s="769"/>
      <c r="VNA98" s="769"/>
      <c r="VNB98" s="769"/>
      <c r="VNC98" s="769"/>
      <c r="VND98" s="769"/>
      <c r="VNE98" s="769"/>
      <c r="VNF98" s="769"/>
      <c r="VNG98" s="769"/>
      <c r="VNH98" s="769"/>
      <c r="VNI98" s="769"/>
      <c r="VNJ98" s="769"/>
      <c r="VNK98" s="769"/>
      <c r="VNL98" s="769"/>
      <c r="VNM98" s="769"/>
      <c r="VNN98" s="769"/>
      <c r="VNO98" s="769"/>
      <c r="VNP98" s="769"/>
      <c r="VNQ98" s="769"/>
      <c r="VNR98" s="769"/>
      <c r="VNS98" s="769"/>
      <c r="VNT98" s="769"/>
      <c r="VNU98" s="769"/>
      <c r="VNV98" s="769"/>
      <c r="VNW98" s="769"/>
      <c r="VNX98" s="769"/>
      <c r="VNY98" s="769"/>
      <c r="VNZ98" s="769"/>
      <c r="VOA98" s="769"/>
      <c r="VOB98" s="769"/>
      <c r="VOC98" s="769"/>
      <c r="VOD98" s="769"/>
      <c r="VOE98" s="769"/>
      <c r="VOF98" s="769"/>
      <c r="VOG98" s="769"/>
      <c r="VOH98" s="769"/>
      <c r="VOI98" s="769"/>
      <c r="VOJ98" s="769"/>
      <c r="VOK98" s="769"/>
      <c r="VOL98" s="769"/>
      <c r="VOM98" s="769"/>
      <c r="VON98" s="769"/>
      <c r="VOO98" s="769"/>
      <c r="VOP98" s="769"/>
      <c r="VOQ98" s="769"/>
      <c r="VOR98" s="769"/>
      <c r="VOS98" s="769"/>
      <c r="VOT98" s="769"/>
      <c r="VOU98" s="769"/>
      <c r="VOV98" s="769"/>
      <c r="VOW98" s="769"/>
      <c r="VOX98" s="769"/>
      <c r="VOY98" s="769"/>
      <c r="VOZ98" s="769"/>
      <c r="VPA98" s="769"/>
      <c r="VPB98" s="769"/>
      <c r="VPC98" s="769"/>
      <c r="VPD98" s="769"/>
      <c r="VPE98" s="769"/>
      <c r="VPF98" s="769"/>
      <c r="VPG98" s="769"/>
      <c r="VPH98" s="769"/>
      <c r="VPI98" s="769"/>
      <c r="VPJ98" s="769"/>
      <c r="VPK98" s="769"/>
      <c r="VPL98" s="769"/>
      <c r="VPM98" s="769"/>
      <c r="VPN98" s="769"/>
      <c r="VPO98" s="769"/>
      <c r="VPP98" s="769"/>
      <c r="VPQ98" s="769"/>
      <c r="VPR98" s="769"/>
      <c r="VPS98" s="769"/>
      <c r="VPT98" s="769"/>
      <c r="VPU98" s="769"/>
      <c r="VPV98" s="769"/>
      <c r="VPW98" s="769"/>
      <c r="VPX98" s="769"/>
      <c r="VPY98" s="769"/>
      <c r="VPZ98" s="769"/>
      <c r="VQA98" s="769"/>
      <c r="VQB98" s="769"/>
      <c r="VQC98" s="769"/>
      <c r="VQD98" s="769"/>
      <c r="VQE98" s="769"/>
      <c r="VQF98" s="769"/>
      <c r="VQG98" s="769"/>
      <c r="VQH98" s="769"/>
      <c r="VQI98" s="769"/>
      <c r="VQJ98" s="769"/>
      <c r="VQK98" s="769"/>
      <c r="VQL98" s="769"/>
      <c r="VQM98" s="769"/>
      <c r="VQN98" s="769"/>
      <c r="VQO98" s="769"/>
      <c r="VQP98" s="769"/>
      <c r="VQQ98" s="769"/>
      <c r="VQR98" s="769"/>
      <c r="VQS98" s="769"/>
      <c r="VQT98" s="769"/>
      <c r="VQU98" s="769"/>
      <c r="VQV98" s="769"/>
      <c r="VQW98" s="769"/>
      <c r="VQX98" s="769"/>
      <c r="VQY98" s="769"/>
      <c r="VQZ98" s="769"/>
      <c r="VRA98" s="769"/>
      <c r="VRB98" s="769"/>
      <c r="VRC98" s="769"/>
      <c r="VRD98" s="769"/>
      <c r="VRE98" s="769"/>
      <c r="VRF98" s="769"/>
      <c r="VRG98" s="769"/>
      <c r="VRH98" s="769"/>
      <c r="VRI98" s="769"/>
      <c r="VRJ98" s="769"/>
      <c r="VRK98" s="769"/>
      <c r="VRL98" s="769"/>
      <c r="VRM98" s="769"/>
      <c r="VRN98" s="769"/>
      <c r="VRO98" s="769"/>
      <c r="VRP98" s="769"/>
      <c r="VRQ98" s="769"/>
      <c r="VRR98" s="769"/>
      <c r="VRS98" s="769"/>
      <c r="VRT98" s="769"/>
      <c r="VRU98" s="769"/>
      <c r="VRV98" s="769"/>
      <c r="VRW98" s="769"/>
      <c r="VRX98" s="769"/>
      <c r="VRY98" s="769"/>
      <c r="VRZ98" s="769"/>
      <c r="VSA98" s="769"/>
      <c r="VSB98" s="769"/>
      <c r="VSC98" s="769"/>
      <c r="VSD98" s="769"/>
      <c r="VSE98" s="769"/>
      <c r="VSF98" s="769"/>
      <c r="VSG98" s="769"/>
      <c r="VSH98" s="769"/>
      <c r="VSI98" s="769"/>
      <c r="VSJ98" s="769"/>
      <c r="VSK98" s="769"/>
      <c r="VSL98" s="769"/>
      <c r="VSM98" s="769"/>
      <c r="VSN98" s="769"/>
      <c r="VSO98" s="769"/>
      <c r="VSP98" s="769"/>
      <c r="VSQ98" s="769"/>
      <c r="VSR98" s="769"/>
      <c r="VSS98" s="769"/>
      <c r="VST98" s="769"/>
      <c r="VSU98" s="769"/>
      <c r="VSV98" s="769"/>
      <c r="VSW98" s="769"/>
      <c r="VSX98" s="769"/>
      <c r="VSY98" s="769"/>
      <c r="VSZ98" s="769"/>
      <c r="VTA98" s="769"/>
      <c r="VTB98" s="769"/>
      <c r="VTC98" s="769"/>
      <c r="VTD98" s="769"/>
      <c r="VTE98" s="769"/>
      <c r="VTF98" s="769"/>
      <c r="VTG98" s="769"/>
      <c r="VTH98" s="769"/>
      <c r="VTI98" s="769"/>
      <c r="VTJ98" s="769"/>
      <c r="VTK98" s="769"/>
      <c r="VTL98" s="769"/>
      <c r="VTM98" s="769"/>
      <c r="VTN98" s="769"/>
      <c r="VTO98" s="769"/>
      <c r="VTP98" s="769"/>
      <c r="VTQ98" s="769"/>
      <c r="VTR98" s="769"/>
      <c r="VTS98" s="769"/>
      <c r="VTT98" s="769"/>
      <c r="VTU98" s="769"/>
      <c r="VTV98" s="769"/>
      <c r="VTW98" s="769"/>
      <c r="VTX98" s="769"/>
      <c r="VTY98" s="769"/>
      <c r="VTZ98" s="769"/>
      <c r="VUA98" s="769"/>
      <c r="VUB98" s="769"/>
      <c r="VUC98" s="769"/>
      <c r="VUD98" s="769"/>
      <c r="VUE98" s="769"/>
      <c r="VUF98" s="769"/>
      <c r="VUG98" s="769"/>
      <c r="VUH98" s="769"/>
      <c r="VUI98" s="769"/>
      <c r="VUJ98" s="769"/>
      <c r="VUK98" s="769"/>
      <c r="VUL98" s="769"/>
      <c r="VUM98" s="769"/>
      <c r="VUN98" s="769"/>
      <c r="VUO98" s="769"/>
      <c r="VUP98" s="769"/>
      <c r="VUQ98" s="769"/>
      <c r="VUR98" s="769"/>
      <c r="VUS98" s="769"/>
      <c r="VUT98" s="769"/>
      <c r="VUU98" s="769"/>
      <c r="VUV98" s="769"/>
      <c r="VUW98" s="769"/>
      <c r="VUX98" s="769"/>
      <c r="VUY98" s="769"/>
      <c r="VUZ98" s="769"/>
      <c r="VVA98" s="769"/>
      <c r="VVB98" s="769"/>
      <c r="VVC98" s="769"/>
      <c r="VVD98" s="769"/>
      <c r="VVE98" s="769"/>
      <c r="VVF98" s="769"/>
      <c r="VVG98" s="769"/>
      <c r="VVH98" s="769"/>
      <c r="VVI98" s="769"/>
      <c r="VVJ98" s="769"/>
      <c r="VVK98" s="769"/>
      <c r="VVL98" s="769"/>
      <c r="VVM98" s="769"/>
      <c r="VVN98" s="769"/>
      <c r="VVO98" s="769"/>
      <c r="VVP98" s="769"/>
      <c r="VVQ98" s="769"/>
      <c r="VVR98" s="769"/>
      <c r="VVS98" s="769"/>
      <c r="VVT98" s="769"/>
      <c r="VVU98" s="769"/>
      <c r="VVV98" s="769"/>
      <c r="VVW98" s="769"/>
      <c r="VVX98" s="769"/>
      <c r="VVY98" s="769"/>
      <c r="VVZ98" s="769"/>
      <c r="VWA98" s="769"/>
      <c r="VWB98" s="769"/>
      <c r="VWC98" s="769"/>
      <c r="VWD98" s="769"/>
      <c r="VWE98" s="769"/>
      <c r="VWF98" s="769"/>
      <c r="VWG98" s="769"/>
      <c r="VWH98" s="769"/>
      <c r="VWI98" s="769"/>
      <c r="VWJ98" s="769"/>
      <c r="VWK98" s="769"/>
      <c r="VWL98" s="769"/>
      <c r="VWM98" s="769"/>
      <c r="VWN98" s="769"/>
      <c r="VWO98" s="769"/>
      <c r="VWP98" s="769"/>
      <c r="VWQ98" s="769"/>
      <c r="VWR98" s="769"/>
      <c r="VWS98" s="769"/>
      <c r="VWT98" s="769"/>
      <c r="VWU98" s="769"/>
      <c r="VWV98" s="769"/>
      <c r="VWW98" s="769"/>
      <c r="VWX98" s="769"/>
      <c r="VWY98" s="769"/>
      <c r="VWZ98" s="769"/>
      <c r="VXA98" s="769"/>
      <c r="VXB98" s="769"/>
      <c r="VXC98" s="769"/>
      <c r="VXD98" s="769"/>
      <c r="VXE98" s="769"/>
      <c r="VXF98" s="769"/>
      <c r="VXG98" s="769"/>
      <c r="VXH98" s="769"/>
      <c r="VXI98" s="769"/>
      <c r="VXJ98" s="769"/>
      <c r="VXK98" s="769"/>
      <c r="VXL98" s="769"/>
      <c r="VXM98" s="769"/>
      <c r="VXN98" s="769"/>
      <c r="VXO98" s="769"/>
      <c r="VXP98" s="769"/>
      <c r="VXQ98" s="769"/>
      <c r="VXR98" s="769"/>
      <c r="VXS98" s="769"/>
      <c r="VXT98" s="769"/>
      <c r="VXU98" s="769"/>
      <c r="VXV98" s="769"/>
      <c r="VXW98" s="769"/>
      <c r="VXX98" s="769"/>
      <c r="VXY98" s="769"/>
      <c r="VXZ98" s="769"/>
      <c r="VYA98" s="769"/>
      <c r="VYB98" s="769"/>
      <c r="VYC98" s="769"/>
      <c r="VYD98" s="769"/>
      <c r="VYE98" s="769"/>
      <c r="VYF98" s="769"/>
      <c r="VYG98" s="769"/>
      <c r="VYH98" s="769"/>
      <c r="VYI98" s="769"/>
      <c r="VYJ98" s="769"/>
      <c r="VYK98" s="769"/>
      <c r="VYL98" s="769"/>
      <c r="VYM98" s="769"/>
      <c r="VYN98" s="769"/>
      <c r="VYO98" s="769"/>
      <c r="VYP98" s="769"/>
      <c r="VYQ98" s="769"/>
      <c r="VYR98" s="769"/>
      <c r="VYS98" s="769"/>
      <c r="VYT98" s="769"/>
      <c r="VYU98" s="769"/>
      <c r="VYV98" s="769"/>
      <c r="VYW98" s="769"/>
      <c r="VYX98" s="769"/>
      <c r="VYY98" s="769"/>
      <c r="VYZ98" s="769"/>
      <c r="VZA98" s="769"/>
      <c r="VZB98" s="769"/>
      <c r="VZC98" s="769"/>
      <c r="VZD98" s="769"/>
      <c r="VZE98" s="769"/>
      <c r="VZF98" s="769"/>
      <c r="VZG98" s="769"/>
      <c r="VZH98" s="769"/>
      <c r="VZI98" s="769"/>
      <c r="VZJ98" s="769"/>
      <c r="VZK98" s="769"/>
      <c r="VZL98" s="769"/>
      <c r="VZM98" s="769"/>
      <c r="VZN98" s="769"/>
      <c r="VZO98" s="769"/>
      <c r="VZP98" s="769"/>
      <c r="VZQ98" s="769"/>
      <c r="VZR98" s="769"/>
      <c r="VZS98" s="769"/>
      <c r="VZT98" s="769"/>
      <c r="VZU98" s="769"/>
      <c r="VZV98" s="769"/>
      <c r="VZW98" s="769"/>
      <c r="VZX98" s="769"/>
      <c r="VZY98" s="769"/>
      <c r="VZZ98" s="769"/>
      <c r="WAA98" s="769"/>
      <c r="WAB98" s="769"/>
      <c r="WAC98" s="769"/>
      <c r="WAD98" s="769"/>
      <c r="WAE98" s="769"/>
      <c r="WAF98" s="769"/>
      <c r="WAG98" s="769"/>
      <c r="WAH98" s="769"/>
      <c r="WAI98" s="769"/>
      <c r="WAJ98" s="769"/>
      <c r="WAK98" s="769"/>
      <c r="WAL98" s="769"/>
      <c r="WAM98" s="769"/>
      <c r="WAN98" s="769"/>
      <c r="WAO98" s="769"/>
      <c r="WAP98" s="769"/>
      <c r="WAQ98" s="769"/>
      <c r="WAR98" s="769"/>
      <c r="WAS98" s="769"/>
      <c r="WAT98" s="769"/>
      <c r="WAU98" s="769"/>
      <c r="WAV98" s="769"/>
      <c r="WAW98" s="769"/>
      <c r="WAX98" s="769"/>
      <c r="WAY98" s="769"/>
      <c r="WAZ98" s="769"/>
      <c r="WBA98" s="769"/>
      <c r="WBB98" s="769"/>
      <c r="WBC98" s="769"/>
      <c r="WBD98" s="769"/>
      <c r="WBE98" s="769"/>
      <c r="WBF98" s="769"/>
      <c r="WBG98" s="769"/>
      <c r="WBH98" s="769"/>
      <c r="WBI98" s="769"/>
      <c r="WBJ98" s="769"/>
      <c r="WBK98" s="769"/>
      <c r="WBL98" s="769"/>
      <c r="WBM98" s="769"/>
      <c r="WBN98" s="769"/>
      <c r="WBO98" s="769"/>
      <c r="WBP98" s="769"/>
      <c r="WBQ98" s="769"/>
      <c r="WBR98" s="769"/>
      <c r="WBS98" s="769"/>
      <c r="WBT98" s="769"/>
      <c r="WBU98" s="769"/>
      <c r="WBV98" s="769"/>
      <c r="WBW98" s="769"/>
      <c r="WBX98" s="769"/>
      <c r="WBY98" s="769"/>
      <c r="WBZ98" s="769"/>
      <c r="WCA98" s="769"/>
      <c r="WCB98" s="769"/>
      <c r="WCC98" s="769"/>
      <c r="WCD98" s="769"/>
      <c r="WCE98" s="769"/>
      <c r="WCF98" s="769"/>
      <c r="WCG98" s="769"/>
      <c r="WCH98" s="769"/>
      <c r="WCI98" s="769"/>
      <c r="WCJ98" s="769"/>
      <c r="WCK98" s="769"/>
      <c r="WCL98" s="769"/>
      <c r="WCM98" s="769"/>
      <c r="WCN98" s="769"/>
      <c r="WCO98" s="769"/>
      <c r="WCP98" s="769"/>
      <c r="WCQ98" s="769"/>
      <c r="WCR98" s="769"/>
      <c r="WCS98" s="769"/>
      <c r="WCT98" s="769"/>
      <c r="WCU98" s="769"/>
      <c r="WCV98" s="769"/>
      <c r="WCW98" s="769"/>
      <c r="WCX98" s="769"/>
      <c r="WCY98" s="769"/>
      <c r="WCZ98" s="769"/>
      <c r="WDA98" s="769"/>
      <c r="WDB98" s="769"/>
      <c r="WDC98" s="769"/>
      <c r="WDD98" s="769"/>
      <c r="WDE98" s="769"/>
      <c r="WDF98" s="769"/>
      <c r="WDG98" s="769"/>
      <c r="WDH98" s="769"/>
      <c r="WDI98" s="769"/>
      <c r="WDJ98" s="769"/>
      <c r="WDK98" s="769"/>
      <c r="WDL98" s="769"/>
      <c r="WDM98" s="769"/>
      <c r="WDN98" s="769"/>
      <c r="WDO98" s="769"/>
      <c r="WDP98" s="769"/>
      <c r="WDQ98" s="769"/>
      <c r="WDR98" s="769"/>
      <c r="WDS98" s="769"/>
      <c r="WDT98" s="769"/>
      <c r="WDU98" s="769"/>
      <c r="WDV98" s="769"/>
      <c r="WDW98" s="769"/>
      <c r="WDX98" s="769"/>
      <c r="WDY98" s="769"/>
      <c r="WDZ98" s="769"/>
      <c r="WEA98" s="769"/>
      <c r="WEB98" s="769"/>
      <c r="WEC98" s="769"/>
      <c r="WED98" s="769"/>
      <c r="WEE98" s="769"/>
      <c r="WEF98" s="769"/>
      <c r="WEG98" s="769"/>
      <c r="WEH98" s="769"/>
      <c r="WEI98" s="769"/>
      <c r="WEJ98" s="769"/>
      <c r="WEK98" s="769"/>
      <c r="WEL98" s="769"/>
      <c r="WEM98" s="769"/>
      <c r="WEN98" s="769"/>
      <c r="WEO98" s="769"/>
      <c r="WEP98" s="769"/>
      <c r="WEQ98" s="769"/>
      <c r="WER98" s="769"/>
      <c r="WES98" s="769"/>
      <c r="WET98" s="769"/>
      <c r="WEU98" s="769"/>
      <c r="WEV98" s="769"/>
      <c r="WEW98" s="769"/>
      <c r="WEX98" s="769"/>
      <c r="WEY98" s="769"/>
      <c r="WEZ98" s="769"/>
      <c r="WFA98" s="769"/>
      <c r="WFB98" s="769"/>
      <c r="WFC98" s="769"/>
      <c r="WFD98" s="769"/>
      <c r="WFE98" s="769"/>
      <c r="WFF98" s="769"/>
      <c r="WFG98" s="769"/>
      <c r="WFH98" s="769"/>
      <c r="WFI98" s="769"/>
      <c r="WFJ98" s="769"/>
      <c r="WFK98" s="769"/>
      <c r="WFL98" s="769"/>
      <c r="WFM98" s="769"/>
      <c r="WFN98" s="769"/>
      <c r="WFO98" s="769"/>
      <c r="WFP98" s="769"/>
      <c r="WFQ98" s="769"/>
      <c r="WFR98" s="769"/>
      <c r="WFS98" s="769"/>
      <c r="WFT98" s="769"/>
      <c r="WFU98" s="769"/>
      <c r="WFV98" s="769"/>
      <c r="WFW98" s="769"/>
      <c r="WFX98" s="769"/>
      <c r="WFY98" s="769"/>
      <c r="WFZ98" s="769"/>
      <c r="WGA98" s="769"/>
      <c r="WGB98" s="769"/>
      <c r="WGC98" s="769"/>
      <c r="WGD98" s="769"/>
      <c r="WGE98" s="769"/>
      <c r="WGF98" s="769"/>
      <c r="WGG98" s="769"/>
      <c r="WGH98" s="769"/>
      <c r="WGI98" s="769"/>
      <c r="WGJ98" s="769"/>
      <c r="WGK98" s="769"/>
      <c r="WGL98" s="769"/>
      <c r="WGM98" s="769"/>
      <c r="WGN98" s="769"/>
      <c r="WGO98" s="769"/>
      <c r="WGP98" s="769"/>
      <c r="WGQ98" s="769"/>
      <c r="WGR98" s="769"/>
      <c r="WGS98" s="769"/>
      <c r="WGT98" s="769"/>
      <c r="WGU98" s="769"/>
      <c r="WGV98" s="769"/>
      <c r="WGW98" s="769"/>
      <c r="WGX98" s="769"/>
      <c r="WGY98" s="769"/>
      <c r="WGZ98" s="769"/>
      <c r="WHA98" s="769"/>
      <c r="WHB98" s="769"/>
      <c r="WHC98" s="769"/>
      <c r="WHD98" s="769"/>
      <c r="WHE98" s="769"/>
      <c r="WHF98" s="769"/>
      <c r="WHG98" s="769"/>
      <c r="WHH98" s="769"/>
      <c r="WHI98" s="769"/>
      <c r="WHJ98" s="769"/>
      <c r="WHK98" s="769"/>
      <c r="WHL98" s="769"/>
      <c r="WHM98" s="769"/>
      <c r="WHN98" s="769"/>
      <c r="WHO98" s="769"/>
      <c r="WHP98" s="769"/>
      <c r="WHQ98" s="769"/>
      <c r="WHR98" s="769"/>
      <c r="WHS98" s="769"/>
      <c r="WHT98" s="769"/>
      <c r="WHU98" s="769"/>
      <c r="WHV98" s="769"/>
      <c r="WHW98" s="769"/>
      <c r="WHX98" s="769"/>
      <c r="WHY98" s="769"/>
      <c r="WHZ98" s="769"/>
      <c r="WIA98" s="769"/>
      <c r="WIB98" s="769"/>
      <c r="WIC98" s="769"/>
      <c r="WID98" s="769"/>
      <c r="WIE98" s="769"/>
      <c r="WIF98" s="769"/>
      <c r="WIG98" s="769"/>
      <c r="WIH98" s="769"/>
      <c r="WII98" s="769"/>
      <c r="WIJ98" s="769"/>
      <c r="WIK98" s="769"/>
      <c r="WIL98" s="769"/>
      <c r="WIM98" s="769"/>
      <c r="WIN98" s="769"/>
      <c r="WIO98" s="769"/>
      <c r="WIP98" s="769"/>
      <c r="WIQ98" s="769"/>
      <c r="WIR98" s="769"/>
      <c r="WIS98" s="769"/>
      <c r="WIT98" s="769"/>
      <c r="WIU98" s="769"/>
      <c r="WIV98" s="769"/>
      <c r="WIW98" s="769"/>
      <c r="WIX98" s="769"/>
      <c r="WIY98" s="769"/>
      <c r="WIZ98" s="769"/>
      <c r="WJA98" s="769"/>
      <c r="WJB98" s="769"/>
      <c r="WJC98" s="769"/>
      <c r="WJD98" s="769"/>
      <c r="WJE98" s="769"/>
      <c r="WJF98" s="769"/>
      <c r="WJG98" s="769"/>
      <c r="WJH98" s="769"/>
      <c r="WJI98" s="769"/>
      <c r="WJJ98" s="769"/>
      <c r="WJK98" s="769"/>
      <c r="WJL98" s="769"/>
      <c r="WJM98" s="769"/>
      <c r="WJN98" s="769"/>
      <c r="WJO98" s="769"/>
      <c r="WJP98" s="769"/>
      <c r="WJQ98" s="769"/>
      <c r="WJR98" s="769"/>
      <c r="WJS98" s="769"/>
      <c r="WJT98" s="769"/>
      <c r="WJU98" s="769"/>
      <c r="WJV98" s="769"/>
      <c r="WJW98" s="769"/>
      <c r="WJX98" s="769"/>
      <c r="WJY98" s="769"/>
      <c r="WJZ98" s="769"/>
      <c r="WKA98" s="769"/>
      <c r="WKB98" s="769"/>
      <c r="WKC98" s="769"/>
      <c r="WKD98" s="769"/>
      <c r="WKE98" s="769"/>
      <c r="WKF98" s="769"/>
      <c r="WKG98" s="769"/>
      <c r="WKH98" s="769"/>
      <c r="WKI98" s="769"/>
      <c r="WKJ98" s="769"/>
      <c r="WKK98" s="769"/>
      <c r="WKL98" s="769"/>
      <c r="WKM98" s="769"/>
      <c r="WKN98" s="769"/>
      <c r="WKO98" s="769"/>
      <c r="WKP98" s="769"/>
      <c r="WKQ98" s="769"/>
      <c r="WKR98" s="769"/>
      <c r="WKS98" s="769"/>
      <c r="WKT98" s="769"/>
      <c r="WKU98" s="769"/>
      <c r="WKV98" s="769"/>
      <c r="WKW98" s="769"/>
      <c r="WKX98" s="769"/>
      <c r="WKY98" s="769"/>
      <c r="WKZ98" s="769"/>
      <c r="WLA98" s="769"/>
      <c r="WLB98" s="769"/>
      <c r="WLC98" s="769"/>
      <c r="WLD98" s="769"/>
      <c r="WLE98" s="769"/>
      <c r="WLF98" s="769"/>
      <c r="WLG98" s="769"/>
      <c r="WLH98" s="769"/>
      <c r="WLI98" s="769"/>
      <c r="WLJ98" s="769"/>
      <c r="WLK98" s="769"/>
      <c r="WLL98" s="769"/>
      <c r="WLM98" s="769"/>
      <c r="WLN98" s="769"/>
      <c r="WLO98" s="769"/>
      <c r="WLP98" s="769"/>
      <c r="WLQ98" s="769"/>
      <c r="WLR98" s="769"/>
      <c r="WLS98" s="769"/>
      <c r="WLT98" s="769"/>
      <c r="WLU98" s="769"/>
      <c r="WLV98" s="769"/>
      <c r="WLW98" s="769"/>
      <c r="WLX98" s="769"/>
      <c r="WLY98" s="769"/>
      <c r="WLZ98" s="769"/>
      <c r="WMA98" s="769"/>
      <c r="WMB98" s="769"/>
      <c r="WMC98" s="769"/>
      <c r="WMD98" s="769"/>
      <c r="WME98" s="769"/>
      <c r="WMF98" s="769"/>
      <c r="WMG98" s="769"/>
      <c r="WMH98" s="769"/>
      <c r="WMI98" s="769"/>
      <c r="WMJ98" s="769"/>
      <c r="WMK98" s="769"/>
      <c r="WML98" s="769"/>
      <c r="WMM98" s="769"/>
      <c r="WMN98" s="769"/>
      <c r="WMO98" s="769"/>
      <c r="WMP98" s="769"/>
      <c r="WMQ98" s="769"/>
      <c r="WMR98" s="769"/>
      <c r="WMS98" s="769"/>
      <c r="WMT98" s="769"/>
      <c r="WMU98" s="769"/>
      <c r="WMV98" s="769"/>
      <c r="WMW98" s="769"/>
      <c r="WMX98" s="769"/>
      <c r="WMY98" s="769"/>
      <c r="WMZ98" s="769"/>
      <c r="WNA98" s="769"/>
      <c r="WNB98" s="769"/>
      <c r="WNC98" s="769"/>
      <c r="WND98" s="769"/>
      <c r="WNE98" s="769"/>
      <c r="WNF98" s="769"/>
      <c r="WNG98" s="769"/>
      <c r="WNH98" s="769"/>
      <c r="WNI98" s="769"/>
      <c r="WNJ98" s="769"/>
      <c r="WNK98" s="769"/>
      <c r="WNL98" s="769"/>
      <c r="WNM98" s="769"/>
      <c r="WNN98" s="769"/>
      <c r="WNO98" s="769"/>
      <c r="WNP98" s="769"/>
      <c r="WNQ98" s="769"/>
      <c r="WNR98" s="769"/>
      <c r="WNS98" s="769"/>
      <c r="WNT98" s="769"/>
      <c r="WNU98" s="769"/>
      <c r="WNV98" s="769"/>
      <c r="WNW98" s="769"/>
      <c r="WNX98" s="769"/>
      <c r="WNY98" s="769"/>
      <c r="WNZ98" s="769"/>
      <c r="WOA98" s="769"/>
      <c r="WOB98" s="769"/>
      <c r="WOC98" s="769"/>
      <c r="WOD98" s="769"/>
      <c r="WOE98" s="769"/>
      <c r="WOF98" s="769"/>
      <c r="WOG98" s="769"/>
      <c r="WOH98" s="769"/>
      <c r="WOI98" s="769"/>
      <c r="WOJ98" s="769"/>
      <c r="WOK98" s="769"/>
      <c r="WOL98" s="769"/>
      <c r="WOM98" s="769"/>
      <c r="WON98" s="769"/>
      <c r="WOO98" s="769"/>
      <c r="WOP98" s="769"/>
      <c r="WOQ98" s="769"/>
      <c r="WOR98" s="769"/>
      <c r="WOS98" s="769"/>
      <c r="WOT98" s="769"/>
      <c r="WOU98" s="769"/>
      <c r="WOV98" s="769"/>
      <c r="WOW98" s="769"/>
      <c r="WOX98" s="769"/>
      <c r="WOY98" s="769"/>
      <c r="WOZ98" s="769"/>
      <c r="WPA98" s="769"/>
      <c r="WPB98" s="769"/>
      <c r="WPC98" s="769"/>
      <c r="WPD98" s="769"/>
      <c r="WPE98" s="769"/>
      <c r="WPF98" s="769"/>
      <c r="WPG98" s="769"/>
      <c r="WPH98" s="769"/>
      <c r="WPI98" s="769"/>
      <c r="WPJ98" s="769"/>
      <c r="WPK98" s="769"/>
      <c r="WPL98" s="769"/>
      <c r="WPM98" s="769"/>
      <c r="WPN98" s="769"/>
      <c r="WPO98" s="769"/>
      <c r="WPP98" s="769"/>
      <c r="WPQ98" s="769"/>
      <c r="WPR98" s="769"/>
      <c r="WPS98" s="769"/>
      <c r="WPT98" s="769"/>
      <c r="WPU98" s="769"/>
      <c r="WPV98" s="769"/>
      <c r="WPW98" s="769"/>
      <c r="WPX98" s="769"/>
      <c r="WPY98" s="769"/>
      <c r="WPZ98" s="769"/>
      <c r="WQA98" s="769"/>
      <c r="WQB98" s="769"/>
      <c r="WQC98" s="769"/>
      <c r="WQD98" s="769"/>
      <c r="WQE98" s="769"/>
      <c r="WQF98" s="769"/>
      <c r="WQG98" s="769"/>
      <c r="WQH98" s="769"/>
      <c r="WQI98" s="769"/>
      <c r="WQJ98" s="769"/>
      <c r="WQK98" s="769"/>
      <c r="WQL98" s="769"/>
      <c r="WQM98" s="769"/>
      <c r="WQN98" s="769"/>
      <c r="WQO98" s="769"/>
      <c r="WQP98" s="769"/>
      <c r="WQQ98" s="769"/>
      <c r="WQR98" s="769"/>
      <c r="WQS98" s="769"/>
      <c r="WQT98" s="769"/>
      <c r="WQU98" s="769"/>
      <c r="WQV98" s="769"/>
      <c r="WQW98" s="769"/>
      <c r="WQX98" s="769"/>
      <c r="WQY98" s="769"/>
      <c r="WQZ98" s="769"/>
      <c r="WRA98" s="769"/>
      <c r="WRB98" s="769"/>
      <c r="WRC98" s="769"/>
      <c r="WRD98" s="769"/>
      <c r="WRE98" s="769"/>
      <c r="WRF98" s="769"/>
      <c r="WRG98" s="769"/>
      <c r="WRH98" s="769"/>
      <c r="WRI98" s="769"/>
      <c r="WRJ98" s="769"/>
      <c r="WRK98" s="769"/>
      <c r="WRL98" s="769"/>
      <c r="WRM98" s="769"/>
      <c r="WRN98" s="769"/>
      <c r="WRO98" s="769"/>
      <c r="WRP98" s="769"/>
      <c r="WRQ98" s="769"/>
      <c r="WRR98" s="769"/>
      <c r="WRS98" s="769"/>
      <c r="WRT98" s="769"/>
      <c r="WRU98" s="769"/>
      <c r="WRV98" s="769"/>
      <c r="WRW98" s="769"/>
      <c r="WRX98" s="769"/>
      <c r="WRY98" s="769"/>
      <c r="WRZ98" s="769"/>
      <c r="WSA98" s="769"/>
      <c r="WSB98" s="769"/>
      <c r="WSC98" s="769"/>
      <c r="WSD98" s="769"/>
      <c r="WSE98" s="769"/>
      <c r="WSF98" s="769"/>
      <c r="WSG98" s="769"/>
      <c r="WSH98" s="769"/>
      <c r="WSI98" s="769"/>
      <c r="WSJ98" s="769"/>
      <c r="WSK98" s="769"/>
      <c r="WSL98" s="769"/>
      <c r="WSM98" s="769"/>
      <c r="WSN98" s="769"/>
      <c r="WSO98" s="769"/>
      <c r="WSP98" s="769"/>
      <c r="WSQ98" s="769"/>
      <c r="WSR98" s="769"/>
      <c r="WSS98" s="769"/>
      <c r="WST98" s="769"/>
      <c r="WSU98" s="769"/>
      <c r="WSV98" s="769"/>
      <c r="WSW98" s="769"/>
      <c r="WSX98" s="769"/>
      <c r="WSY98" s="769"/>
      <c r="WSZ98" s="769"/>
      <c r="WTA98" s="769"/>
      <c r="WTB98" s="769"/>
      <c r="WTC98" s="769"/>
      <c r="WTD98" s="769"/>
      <c r="WTE98" s="769"/>
      <c r="WTF98" s="769"/>
      <c r="WTG98" s="769"/>
      <c r="WTH98" s="769"/>
      <c r="WTI98" s="769"/>
      <c r="WTJ98" s="769"/>
      <c r="WTK98" s="769"/>
      <c r="WTL98" s="769"/>
      <c r="WTM98" s="769"/>
      <c r="WTN98" s="769"/>
      <c r="WTO98" s="769"/>
      <c r="WTP98" s="769"/>
      <c r="WTQ98" s="769"/>
      <c r="WTR98" s="769"/>
      <c r="WTS98" s="769"/>
      <c r="WTT98" s="769"/>
      <c r="WTU98" s="769"/>
      <c r="WTV98" s="769"/>
      <c r="WTW98" s="769"/>
      <c r="WTX98" s="769"/>
      <c r="WTY98" s="769"/>
      <c r="WTZ98" s="769"/>
      <c r="WUA98" s="769"/>
      <c r="WUB98" s="769"/>
      <c r="WUC98" s="769"/>
      <c r="WUD98" s="769"/>
      <c r="WUE98" s="769"/>
      <c r="WUF98" s="769"/>
      <c r="WUG98" s="769"/>
      <c r="WUH98" s="769"/>
      <c r="WUI98" s="769"/>
      <c r="WUJ98" s="769"/>
      <c r="WUK98" s="769"/>
      <c r="WUL98" s="769"/>
      <c r="WUM98" s="769"/>
      <c r="WUN98" s="769"/>
      <c r="WUO98" s="769"/>
      <c r="WUP98" s="769"/>
      <c r="WUQ98" s="769"/>
      <c r="WUR98" s="769"/>
      <c r="WUS98" s="769"/>
      <c r="WUT98" s="769"/>
      <c r="WUU98" s="769"/>
      <c r="WUV98" s="769"/>
      <c r="WUW98" s="769"/>
      <c r="WUX98" s="769"/>
      <c r="WUY98" s="769"/>
      <c r="WUZ98" s="769"/>
      <c r="WVA98" s="769"/>
      <c r="WVB98" s="769"/>
      <c r="WVC98" s="769"/>
      <c r="WVD98" s="769"/>
      <c r="WVE98" s="769"/>
      <c r="WVF98" s="769"/>
      <c r="WVG98" s="769"/>
      <c r="WVH98" s="769"/>
      <c r="WVI98" s="769"/>
      <c r="WVJ98" s="769"/>
      <c r="WVK98" s="769"/>
      <c r="WVL98" s="769"/>
      <c r="WVM98" s="769"/>
      <c r="WVN98" s="769"/>
      <c r="WVO98" s="769"/>
      <c r="WVP98" s="769"/>
      <c r="WVQ98" s="769"/>
      <c r="WVR98" s="769"/>
      <c r="WVS98" s="769"/>
      <c r="WVT98" s="769"/>
      <c r="WVU98" s="769"/>
      <c r="WVV98" s="769"/>
      <c r="WVW98" s="769"/>
      <c r="WVX98" s="769"/>
      <c r="WVY98" s="769"/>
      <c r="WVZ98" s="769"/>
      <c r="WWA98" s="769"/>
      <c r="WWB98" s="769"/>
      <c r="WWC98" s="769"/>
      <c r="WWD98" s="769"/>
      <c r="WWE98" s="769"/>
      <c r="WWF98" s="769"/>
      <c r="WWG98" s="769"/>
      <c r="WWH98" s="769"/>
      <c r="WWI98" s="769"/>
      <c r="WWJ98" s="769"/>
      <c r="WWK98" s="769"/>
      <c r="WWL98" s="769"/>
      <c r="WWM98" s="769"/>
      <c r="WWN98" s="769"/>
      <c r="WWO98" s="769"/>
      <c r="WWP98" s="769"/>
      <c r="WWQ98" s="769"/>
      <c r="WWR98" s="769"/>
      <c r="WWS98" s="769"/>
      <c r="WWT98" s="769"/>
      <c r="WWU98" s="769"/>
      <c r="WWV98" s="769"/>
      <c r="WWW98" s="769"/>
      <c r="WWX98" s="769"/>
      <c r="WWY98" s="769"/>
      <c r="WWZ98" s="769"/>
      <c r="WXA98" s="769"/>
      <c r="WXB98" s="769"/>
      <c r="WXC98" s="769"/>
      <c r="WXD98" s="769"/>
      <c r="WXE98" s="769"/>
      <c r="WXF98" s="769"/>
      <c r="WXG98" s="769"/>
      <c r="WXH98" s="769"/>
      <c r="WXI98" s="769"/>
      <c r="WXJ98" s="769"/>
      <c r="WXK98" s="769"/>
      <c r="WXL98" s="769"/>
      <c r="WXM98" s="769"/>
      <c r="WXN98" s="769"/>
      <c r="WXO98" s="769"/>
      <c r="WXP98" s="769"/>
      <c r="WXQ98" s="769"/>
      <c r="WXR98" s="769"/>
      <c r="WXS98" s="769"/>
      <c r="WXT98" s="769"/>
      <c r="WXU98" s="769"/>
      <c r="WXV98" s="769"/>
      <c r="WXW98" s="769"/>
      <c r="WXX98" s="769"/>
      <c r="WXY98" s="769"/>
      <c r="WXZ98" s="769"/>
      <c r="WYA98" s="769"/>
      <c r="WYB98" s="769"/>
      <c r="WYC98" s="769"/>
      <c r="WYD98" s="769"/>
      <c r="WYE98" s="769"/>
      <c r="WYF98" s="769"/>
      <c r="WYG98" s="769"/>
      <c r="WYH98" s="769"/>
      <c r="WYI98" s="769"/>
      <c r="WYJ98" s="769"/>
      <c r="WYK98" s="769"/>
      <c r="WYL98" s="769"/>
      <c r="WYM98" s="769"/>
      <c r="WYN98" s="769"/>
      <c r="WYO98" s="769"/>
      <c r="WYP98" s="769"/>
      <c r="WYQ98" s="769"/>
      <c r="WYR98" s="769"/>
      <c r="WYS98" s="769"/>
      <c r="WYT98" s="769"/>
      <c r="WYU98" s="769"/>
      <c r="WYV98" s="769"/>
      <c r="WYW98" s="769"/>
      <c r="WYX98" s="769"/>
      <c r="WYY98" s="769"/>
      <c r="WYZ98" s="769"/>
      <c r="WZA98" s="769"/>
      <c r="WZB98" s="769"/>
      <c r="WZC98" s="769"/>
      <c r="WZD98" s="769"/>
      <c r="WZE98" s="769"/>
      <c r="WZF98" s="769"/>
      <c r="WZG98" s="769"/>
      <c r="WZH98" s="769"/>
      <c r="WZI98" s="769"/>
      <c r="WZJ98" s="769"/>
      <c r="WZK98" s="769"/>
      <c r="WZL98" s="769"/>
      <c r="WZM98" s="769"/>
      <c r="WZN98" s="769"/>
      <c r="WZO98" s="769"/>
      <c r="WZP98" s="769"/>
      <c r="WZQ98" s="769"/>
      <c r="WZR98" s="769"/>
      <c r="WZS98" s="769"/>
      <c r="WZT98" s="769"/>
      <c r="WZU98" s="769"/>
      <c r="WZV98" s="769"/>
      <c r="WZW98" s="769"/>
      <c r="WZX98" s="769"/>
      <c r="WZY98" s="769"/>
      <c r="WZZ98" s="769"/>
      <c r="XAA98" s="769"/>
      <c r="XAB98" s="769"/>
      <c r="XAC98" s="769"/>
      <c r="XAD98" s="769"/>
      <c r="XAE98" s="769"/>
      <c r="XAF98" s="769"/>
      <c r="XAG98" s="769"/>
      <c r="XAH98" s="769"/>
      <c r="XAI98" s="769"/>
      <c r="XAJ98" s="769"/>
      <c r="XAK98" s="769"/>
      <c r="XAL98" s="769"/>
      <c r="XAM98" s="769"/>
      <c r="XAN98" s="769"/>
      <c r="XAO98" s="769"/>
      <c r="XAP98" s="769"/>
      <c r="XAQ98" s="769"/>
      <c r="XAR98" s="769"/>
      <c r="XAS98" s="769"/>
      <c r="XAT98" s="769"/>
      <c r="XAU98" s="769"/>
      <c r="XAV98" s="769"/>
      <c r="XAW98" s="769"/>
      <c r="XAX98" s="769"/>
      <c r="XAY98" s="769"/>
      <c r="XAZ98" s="769"/>
      <c r="XBA98" s="769"/>
      <c r="XBB98" s="769"/>
      <c r="XBC98" s="769"/>
      <c r="XBD98" s="769"/>
      <c r="XBE98" s="769"/>
      <c r="XBF98" s="769"/>
      <c r="XBG98" s="769"/>
      <c r="XBH98" s="769"/>
      <c r="XBI98" s="769"/>
      <c r="XBJ98" s="769"/>
      <c r="XBK98" s="769"/>
      <c r="XBL98" s="769"/>
      <c r="XBM98" s="769"/>
      <c r="XBN98" s="769"/>
      <c r="XBO98" s="769"/>
      <c r="XBP98" s="769"/>
      <c r="XBQ98" s="769"/>
      <c r="XBR98" s="769"/>
      <c r="XBS98" s="769"/>
      <c r="XBT98" s="769"/>
      <c r="XBU98" s="769"/>
      <c r="XBV98" s="769"/>
      <c r="XBW98" s="769"/>
      <c r="XBX98" s="769"/>
      <c r="XBY98" s="769"/>
      <c r="XBZ98" s="769"/>
      <c r="XCA98" s="769"/>
      <c r="XCB98" s="769"/>
      <c r="XCC98" s="769"/>
      <c r="XCD98" s="769"/>
      <c r="XCE98" s="769"/>
      <c r="XCF98" s="769"/>
      <c r="XCG98" s="769"/>
      <c r="XCH98" s="769"/>
      <c r="XCI98" s="769"/>
      <c r="XCJ98" s="769"/>
      <c r="XCK98" s="769"/>
      <c r="XCL98" s="769"/>
      <c r="XCM98" s="769"/>
      <c r="XCN98" s="769"/>
      <c r="XCO98" s="769"/>
      <c r="XCP98" s="769"/>
      <c r="XCQ98" s="769"/>
      <c r="XCR98" s="769"/>
      <c r="XCS98" s="769"/>
      <c r="XCT98" s="769"/>
      <c r="XCU98" s="769"/>
      <c r="XCV98" s="769"/>
      <c r="XCW98" s="769"/>
      <c r="XCX98" s="769"/>
      <c r="XCY98" s="769"/>
      <c r="XCZ98" s="769"/>
      <c r="XDA98" s="769"/>
      <c r="XDB98" s="769"/>
      <c r="XDC98" s="769"/>
      <c r="XDD98" s="769"/>
      <c r="XDE98" s="769"/>
      <c r="XDF98" s="769"/>
      <c r="XDG98" s="769"/>
      <c r="XDH98" s="769"/>
      <c r="XDI98" s="769"/>
      <c r="XDJ98" s="769"/>
      <c r="XDK98" s="769"/>
      <c r="XDL98" s="769"/>
      <c r="XDM98" s="769"/>
      <c r="XDN98" s="769"/>
      <c r="XDO98" s="769"/>
      <c r="XDP98" s="769"/>
      <c r="XDQ98" s="769"/>
      <c r="XDR98" s="769"/>
      <c r="XDS98" s="769"/>
      <c r="XDT98" s="769"/>
      <c r="XDU98" s="769"/>
      <c r="XDV98" s="769"/>
      <c r="XDW98" s="769"/>
      <c r="XDX98" s="769"/>
      <c r="XDY98" s="769"/>
      <c r="XDZ98" s="769"/>
      <c r="XEA98" s="769"/>
      <c r="XEB98" s="769"/>
      <c r="XEC98" s="769"/>
      <c r="XED98" s="769"/>
      <c r="XEE98" s="769"/>
      <c r="XEF98" s="769"/>
      <c r="XEG98" s="769"/>
      <c r="XEH98" s="769"/>
      <c r="XEI98" s="769"/>
      <c r="XEJ98" s="769"/>
      <c r="XEK98" s="769"/>
      <c r="XEL98" s="769"/>
      <c r="XEM98" s="769"/>
      <c r="XEN98" s="769"/>
      <c r="XEO98" s="769"/>
      <c r="XEP98" s="769"/>
      <c r="XEQ98" s="769"/>
      <c r="XER98" s="769"/>
      <c r="XES98" s="769"/>
      <c r="XET98" s="769"/>
      <c r="XEU98" s="769"/>
      <c r="XEV98" s="769"/>
      <c r="XEW98" s="769"/>
      <c r="XEX98" s="769"/>
      <c r="XEY98" s="769"/>
      <c r="XEZ98" s="769"/>
      <c r="XFA98" s="769"/>
      <c r="XFB98" s="769"/>
    </row>
    <row r="99" spans="1:16382" hidden="1" x14ac:dyDescent="0.25">
      <c r="A99" s="769"/>
      <c r="B99" s="2186"/>
      <c r="C99" s="2206"/>
      <c r="D99" s="2236"/>
      <c r="E99" s="2236"/>
      <c r="F99" s="2236"/>
      <c r="G99" s="2236"/>
      <c r="H99" s="2236"/>
      <c r="I99" s="2236"/>
      <c r="J99" s="2236"/>
      <c r="K99" s="2236"/>
      <c r="L99" s="2237"/>
      <c r="M99" s="2237"/>
      <c r="N99" s="2237"/>
      <c r="O99" s="2237"/>
      <c r="P99" s="2238"/>
      <c r="Q99" s="2239"/>
      <c r="R99" s="769"/>
      <c r="S99" s="769"/>
      <c r="T99" s="769"/>
      <c r="U99" s="769"/>
      <c r="V99" s="769"/>
      <c r="W99" s="769"/>
      <c r="X99" s="769"/>
      <c r="Y99" s="769"/>
      <c r="Z99" s="769"/>
      <c r="AA99" s="769"/>
      <c r="AB99" s="769"/>
      <c r="AC99" s="769"/>
      <c r="AD99" s="769"/>
      <c r="AE99" s="769"/>
      <c r="AF99" s="769"/>
      <c r="AG99" s="769"/>
      <c r="AH99" s="769"/>
      <c r="AI99" s="769"/>
      <c r="AJ99" s="769"/>
      <c r="AK99" s="769"/>
      <c r="AL99" s="769"/>
      <c r="AM99" s="769"/>
      <c r="AN99" s="769"/>
      <c r="AO99" s="769"/>
      <c r="AP99" s="769"/>
      <c r="AQ99" s="769"/>
      <c r="AR99" s="769"/>
      <c r="AS99" s="769"/>
      <c r="AT99" s="769"/>
      <c r="AU99" s="769"/>
      <c r="AV99" s="769"/>
      <c r="AW99" s="769"/>
      <c r="AX99" s="769"/>
      <c r="AY99" s="769"/>
      <c r="AZ99" s="769"/>
      <c r="BA99" s="769"/>
      <c r="BB99" s="769"/>
      <c r="BC99" s="769"/>
      <c r="BD99" s="769"/>
      <c r="BE99" s="769"/>
      <c r="BF99" s="769"/>
      <c r="BG99" s="769"/>
      <c r="BH99" s="769"/>
      <c r="BI99" s="769"/>
      <c r="BJ99" s="769"/>
      <c r="BK99" s="769"/>
      <c r="BL99" s="769"/>
      <c r="BM99" s="769"/>
      <c r="BN99" s="769"/>
      <c r="BO99" s="769"/>
      <c r="BP99" s="769"/>
      <c r="BQ99" s="769"/>
      <c r="BR99" s="769"/>
      <c r="BS99" s="769"/>
      <c r="BT99" s="769"/>
      <c r="BU99" s="769"/>
      <c r="BV99" s="769"/>
      <c r="BW99" s="769"/>
      <c r="BX99" s="769"/>
      <c r="BY99" s="769"/>
      <c r="BZ99" s="769"/>
      <c r="CA99" s="769"/>
      <c r="CB99" s="769"/>
      <c r="CC99" s="769"/>
      <c r="CD99" s="769"/>
      <c r="CE99" s="769"/>
      <c r="CF99" s="769"/>
      <c r="CG99" s="769"/>
      <c r="CH99" s="769"/>
      <c r="CI99" s="769"/>
      <c r="CJ99" s="769"/>
      <c r="CK99" s="769"/>
      <c r="CL99" s="769"/>
      <c r="CM99" s="769"/>
      <c r="CN99" s="769"/>
      <c r="CO99" s="769"/>
      <c r="CP99" s="769"/>
      <c r="CQ99" s="769"/>
      <c r="CR99" s="769"/>
      <c r="CS99" s="769"/>
      <c r="CT99" s="769"/>
      <c r="CU99" s="769"/>
      <c r="CV99" s="769"/>
      <c r="CW99" s="769"/>
      <c r="CX99" s="769"/>
      <c r="CY99" s="769"/>
      <c r="CZ99" s="769"/>
      <c r="DA99" s="769"/>
      <c r="DB99" s="769"/>
      <c r="DC99" s="769"/>
      <c r="DD99" s="769"/>
      <c r="DE99" s="769"/>
      <c r="DF99" s="769"/>
      <c r="DG99" s="769"/>
      <c r="DH99" s="769"/>
      <c r="DI99" s="769"/>
      <c r="DJ99" s="769"/>
      <c r="DK99" s="769"/>
      <c r="DL99" s="769"/>
      <c r="DM99" s="769"/>
      <c r="DN99" s="769"/>
      <c r="DO99" s="769"/>
      <c r="DP99" s="769"/>
      <c r="DQ99" s="769"/>
      <c r="DR99" s="769"/>
      <c r="DS99" s="769"/>
      <c r="DT99" s="769"/>
      <c r="DU99" s="769"/>
      <c r="DV99" s="769"/>
      <c r="DW99" s="769"/>
      <c r="DX99" s="769"/>
      <c r="DY99" s="769"/>
      <c r="DZ99" s="769"/>
      <c r="EA99" s="769"/>
      <c r="EB99" s="769"/>
      <c r="EC99" s="769"/>
      <c r="ED99" s="769"/>
      <c r="EE99" s="769"/>
      <c r="EF99" s="769"/>
      <c r="EG99" s="769"/>
      <c r="EH99" s="769"/>
      <c r="EI99" s="769"/>
      <c r="EJ99" s="769"/>
      <c r="EK99" s="769"/>
      <c r="EL99" s="769"/>
      <c r="EM99" s="769"/>
      <c r="EN99" s="769"/>
      <c r="EO99" s="769"/>
      <c r="EP99" s="769"/>
      <c r="EQ99" s="769"/>
      <c r="ER99" s="769"/>
      <c r="ES99" s="769"/>
      <c r="ET99" s="769"/>
      <c r="EU99" s="769"/>
      <c r="EV99" s="769"/>
      <c r="EW99" s="769"/>
      <c r="EX99" s="769"/>
      <c r="EY99" s="769"/>
      <c r="EZ99" s="769"/>
      <c r="FA99" s="769"/>
      <c r="FB99" s="769"/>
      <c r="FC99" s="769"/>
      <c r="FD99" s="769"/>
      <c r="FE99" s="769"/>
      <c r="FF99" s="769"/>
      <c r="FG99" s="769"/>
      <c r="FH99" s="769"/>
      <c r="FI99" s="769"/>
      <c r="FJ99" s="769"/>
      <c r="FK99" s="769"/>
      <c r="FL99" s="769"/>
      <c r="FM99" s="769"/>
      <c r="FN99" s="769"/>
      <c r="FO99" s="769"/>
      <c r="FP99" s="769"/>
      <c r="FQ99" s="769"/>
      <c r="FR99" s="769"/>
      <c r="FS99" s="769"/>
      <c r="FT99" s="769"/>
      <c r="FU99" s="769"/>
      <c r="FV99" s="769"/>
      <c r="FW99" s="769"/>
      <c r="FX99" s="769"/>
      <c r="FY99" s="769"/>
      <c r="FZ99" s="769"/>
      <c r="GA99" s="769"/>
      <c r="GB99" s="769"/>
      <c r="GC99" s="769"/>
      <c r="GD99" s="769"/>
      <c r="GE99" s="769"/>
      <c r="GF99" s="769"/>
      <c r="GG99" s="769"/>
      <c r="GH99" s="769"/>
      <c r="GI99" s="769"/>
      <c r="GJ99" s="769"/>
      <c r="GK99" s="769"/>
      <c r="GL99" s="769"/>
      <c r="GM99" s="769"/>
      <c r="GN99" s="769"/>
      <c r="GO99" s="769"/>
      <c r="GP99" s="769"/>
      <c r="GQ99" s="769"/>
      <c r="GR99" s="769"/>
      <c r="GS99" s="769"/>
      <c r="GT99" s="769"/>
      <c r="GU99" s="769"/>
      <c r="GV99" s="769"/>
      <c r="GW99" s="769"/>
      <c r="GX99" s="769"/>
      <c r="GY99" s="769"/>
      <c r="GZ99" s="769"/>
      <c r="HA99" s="769"/>
      <c r="HB99" s="769"/>
      <c r="HC99" s="769"/>
      <c r="HD99" s="769"/>
      <c r="HE99" s="769"/>
      <c r="HF99" s="769"/>
      <c r="HG99" s="769"/>
      <c r="HH99" s="769"/>
      <c r="HI99" s="769"/>
      <c r="HJ99" s="769"/>
      <c r="HK99" s="769"/>
      <c r="HL99" s="769"/>
      <c r="HM99" s="769"/>
      <c r="HN99" s="769"/>
      <c r="HO99" s="769"/>
      <c r="HP99" s="769"/>
      <c r="HQ99" s="769"/>
      <c r="HR99" s="769"/>
      <c r="HS99" s="769"/>
      <c r="HT99" s="769"/>
      <c r="HU99" s="769"/>
      <c r="HV99" s="769"/>
      <c r="HW99" s="769"/>
      <c r="HX99" s="769"/>
      <c r="HY99" s="769"/>
      <c r="HZ99" s="769"/>
      <c r="IA99" s="769"/>
      <c r="IB99" s="769"/>
      <c r="IC99" s="769"/>
      <c r="ID99" s="769"/>
      <c r="IE99" s="769"/>
      <c r="IF99" s="769"/>
      <c r="IG99" s="769"/>
      <c r="IH99" s="769"/>
      <c r="II99" s="769"/>
      <c r="IJ99" s="769"/>
      <c r="IK99" s="769"/>
      <c r="IL99" s="769"/>
      <c r="IM99" s="769"/>
      <c r="IN99" s="769"/>
      <c r="IO99" s="769"/>
      <c r="IP99" s="769"/>
      <c r="IQ99" s="769"/>
      <c r="IR99" s="769"/>
      <c r="IS99" s="769"/>
      <c r="IT99" s="769"/>
      <c r="IU99" s="769"/>
      <c r="IV99" s="769"/>
      <c r="IW99" s="769"/>
      <c r="IX99" s="769"/>
      <c r="IY99" s="769"/>
      <c r="IZ99" s="769"/>
      <c r="JA99" s="769"/>
      <c r="JB99" s="769"/>
      <c r="JC99" s="769"/>
      <c r="JD99" s="769"/>
      <c r="JE99" s="769"/>
      <c r="JF99" s="769"/>
      <c r="JG99" s="769"/>
      <c r="JH99" s="769"/>
      <c r="JI99" s="769"/>
      <c r="JJ99" s="769"/>
      <c r="JK99" s="769"/>
      <c r="JL99" s="769"/>
      <c r="JM99" s="769"/>
      <c r="JN99" s="769"/>
      <c r="JO99" s="769"/>
      <c r="JP99" s="769"/>
      <c r="JQ99" s="769"/>
      <c r="JR99" s="769"/>
      <c r="JS99" s="769"/>
      <c r="JT99" s="769"/>
      <c r="JU99" s="769"/>
      <c r="JV99" s="769"/>
      <c r="JW99" s="769"/>
      <c r="JX99" s="769"/>
      <c r="JY99" s="769"/>
      <c r="JZ99" s="769"/>
      <c r="KA99" s="769"/>
      <c r="KB99" s="769"/>
      <c r="KC99" s="769"/>
      <c r="KD99" s="769"/>
      <c r="KE99" s="769"/>
      <c r="KF99" s="769"/>
      <c r="KG99" s="769"/>
      <c r="KH99" s="769"/>
      <c r="KI99" s="769"/>
      <c r="KJ99" s="769"/>
      <c r="KK99" s="769"/>
      <c r="KL99" s="769"/>
      <c r="KM99" s="769"/>
      <c r="KN99" s="769"/>
      <c r="KO99" s="769"/>
      <c r="KP99" s="769"/>
      <c r="KQ99" s="769"/>
      <c r="KR99" s="769"/>
      <c r="KS99" s="769"/>
      <c r="KT99" s="769"/>
      <c r="KU99" s="769"/>
      <c r="KV99" s="769"/>
      <c r="KW99" s="769"/>
      <c r="KX99" s="769"/>
      <c r="KY99" s="769"/>
      <c r="KZ99" s="769"/>
      <c r="LA99" s="769"/>
      <c r="LB99" s="769"/>
      <c r="LC99" s="769"/>
      <c r="LD99" s="769"/>
      <c r="LE99" s="769"/>
      <c r="LF99" s="769"/>
      <c r="LG99" s="769"/>
      <c r="LH99" s="769"/>
      <c r="LI99" s="769"/>
      <c r="LJ99" s="769"/>
      <c r="LK99" s="769"/>
      <c r="LL99" s="769"/>
      <c r="LM99" s="769"/>
      <c r="LN99" s="769"/>
      <c r="LO99" s="769"/>
      <c r="LP99" s="769"/>
      <c r="LQ99" s="769"/>
      <c r="LR99" s="769"/>
      <c r="LS99" s="769"/>
      <c r="LT99" s="769"/>
      <c r="LU99" s="769"/>
      <c r="LV99" s="769"/>
      <c r="LW99" s="769"/>
      <c r="LX99" s="769"/>
      <c r="LY99" s="769"/>
      <c r="LZ99" s="769"/>
      <c r="MA99" s="769"/>
      <c r="MB99" s="769"/>
      <c r="MC99" s="769"/>
      <c r="MD99" s="769"/>
      <c r="ME99" s="769"/>
      <c r="MF99" s="769"/>
      <c r="MG99" s="769"/>
      <c r="MH99" s="769"/>
      <c r="MI99" s="769"/>
      <c r="MJ99" s="769"/>
      <c r="MK99" s="769"/>
      <c r="ML99" s="769"/>
      <c r="MM99" s="769"/>
      <c r="MN99" s="769"/>
      <c r="MO99" s="769"/>
      <c r="MP99" s="769"/>
      <c r="MQ99" s="769"/>
      <c r="MR99" s="769"/>
      <c r="MS99" s="769"/>
      <c r="MT99" s="769"/>
      <c r="MU99" s="769"/>
      <c r="MV99" s="769"/>
      <c r="MW99" s="769"/>
      <c r="MX99" s="769"/>
      <c r="MY99" s="769"/>
      <c r="MZ99" s="769"/>
      <c r="NA99" s="769"/>
      <c r="NB99" s="769"/>
      <c r="NC99" s="769"/>
      <c r="ND99" s="769"/>
      <c r="NE99" s="769"/>
      <c r="NF99" s="769"/>
      <c r="NG99" s="769"/>
      <c r="NH99" s="769"/>
      <c r="NI99" s="769"/>
      <c r="NJ99" s="769"/>
      <c r="NK99" s="769"/>
      <c r="NL99" s="769"/>
      <c r="NM99" s="769"/>
      <c r="NN99" s="769"/>
      <c r="NO99" s="769"/>
      <c r="NP99" s="769"/>
      <c r="NQ99" s="769"/>
      <c r="NR99" s="769"/>
      <c r="NS99" s="769"/>
      <c r="NT99" s="769"/>
      <c r="NU99" s="769"/>
      <c r="NV99" s="769"/>
      <c r="NW99" s="769"/>
      <c r="NX99" s="769"/>
      <c r="NY99" s="769"/>
      <c r="NZ99" s="769"/>
      <c r="OA99" s="769"/>
      <c r="OB99" s="769"/>
      <c r="OC99" s="769"/>
      <c r="OD99" s="769"/>
      <c r="OE99" s="769"/>
      <c r="OF99" s="769"/>
      <c r="OG99" s="769"/>
      <c r="OH99" s="769"/>
      <c r="OI99" s="769"/>
      <c r="OJ99" s="769"/>
      <c r="OK99" s="769"/>
      <c r="OL99" s="769"/>
      <c r="OM99" s="769"/>
      <c r="ON99" s="769"/>
      <c r="OO99" s="769"/>
      <c r="OP99" s="769"/>
      <c r="OQ99" s="769"/>
      <c r="OR99" s="769"/>
      <c r="OS99" s="769"/>
      <c r="OT99" s="769"/>
      <c r="OU99" s="769"/>
      <c r="OV99" s="769"/>
      <c r="OW99" s="769"/>
      <c r="OX99" s="769"/>
      <c r="OY99" s="769"/>
      <c r="OZ99" s="769"/>
      <c r="PA99" s="769"/>
      <c r="PB99" s="769"/>
      <c r="PC99" s="769"/>
      <c r="PD99" s="769"/>
      <c r="PE99" s="769"/>
      <c r="PF99" s="769"/>
      <c r="PG99" s="769"/>
      <c r="PH99" s="769"/>
      <c r="PI99" s="769"/>
      <c r="PJ99" s="769"/>
      <c r="PK99" s="769"/>
      <c r="PL99" s="769"/>
      <c r="PM99" s="769"/>
      <c r="PN99" s="769"/>
      <c r="PO99" s="769"/>
      <c r="PP99" s="769"/>
      <c r="PQ99" s="769"/>
      <c r="PR99" s="769"/>
      <c r="PS99" s="769"/>
      <c r="PT99" s="769"/>
      <c r="PU99" s="769"/>
      <c r="PV99" s="769"/>
      <c r="PW99" s="769"/>
      <c r="PX99" s="769"/>
      <c r="PY99" s="769"/>
      <c r="PZ99" s="769"/>
      <c r="QA99" s="769"/>
      <c r="QB99" s="769"/>
      <c r="QC99" s="769"/>
      <c r="QD99" s="769"/>
      <c r="QE99" s="769"/>
      <c r="QF99" s="769"/>
      <c r="QG99" s="769"/>
      <c r="QH99" s="769"/>
      <c r="QI99" s="769"/>
      <c r="QJ99" s="769"/>
      <c r="QK99" s="769"/>
      <c r="QL99" s="769"/>
      <c r="QM99" s="769"/>
      <c r="QN99" s="769"/>
      <c r="QO99" s="769"/>
      <c r="QP99" s="769"/>
      <c r="QQ99" s="769"/>
      <c r="QR99" s="769"/>
      <c r="QS99" s="769"/>
      <c r="QT99" s="769"/>
      <c r="QU99" s="769"/>
      <c r="QV99" s="769"/>
      <c r="QW99" s="769"/>
      <c r="QX99" s="769"/>
      <c r="QY99" s="769"/>
      <c r="QZ99" s="769"/>
      <c r="RA99" s="769"/>
      <c r="RB99" s="769"/>
      <c r="RC99" s="769"/>
      <c r="RD99" s="769"/>
      <c r="RE99" s="769"/>
      <c r="RF99" s="769"/>
      <c r="RG99" s="769"/>
      <c r="RH99" s="769"/>
      <c r="RI99" s="769"/>
      <c r="RJ99" s="769"/>
      <c r="RK99" s="769"/>
      <c r="RL99" s="769"/>
      <c r="RM99" s="769"/>
      <c r="RN99" s="769"/>
      <c r="RO99" s="769"/>
      <c r="RP99" s="769"/>
      <c r="RQ99" s="769"/>
      <c r="RR99" s="769"/>
      <c r="RS99" s="769"/>
      <c r="RT99" s="769"/>
      <c r="RU99" s="769"/>
      <c r="RV99" s="769"/>
      <c r="RW99" s="769"/>
      <c r="RX99" s="769"/>
      <c r="RY99" s="769"/>
      <c r="RZ99" s="769"/>
      <c r="SA99" s="769"/>
      <c r="SB99" s="769"/>
      <c r="SC99" s="769"/>
      <c r="SD99" s="769"/>
      <c r="SE99" s="769"/>
      <c r="SF99" s="769"/>
      <c r="SG99" s="769"/>
      <c r="SH99" s="769"/>
      <c r="SI99" s="769"/>
      <c r="SJ99" s="769"/>
      <c r="SK99" s="769"/>
      <c r="SL99" s="769"/>
      <c r="SM99" s="769"/>
      <c r="SN99" s="769"/>
      <c r="SO99" s="769"/>
      <c r="SP99" s="769"/>
      <c r="SQ99" s="769"/>
      <c r="SR99" s="769"/>
      <c r="SS99" s="769"/>
      <c r="ST99" s="769"/>
      <c r="SU99" s="769"/>
      <c r="SV99" s="769"/>
      <c r="SW99" s="769"/>
      <c r="SX99" s="769"/>
      <c r="SY99" s="769"/>
      <c r="SZ99" s="769"/>
      <c r="TA99" s="769"/>
      <c r="TB99" s="769"/>
      <c r="TC99" s="769"/>
      <c r="TD99" s="769"/>
      <c r="TE99" s="769"/>
      <c r="TF99" s="769"/>
      <c r="TG99" s="769"/>
      <c r="TH99" s="769"/>
      <c r="TI99" s="769"/>
      <c r="TJ99" s="769"/>
      <c r="TK99" s="769"/>
      <c r="TL99" s="769"/>
      <c r="TM99" s="769"/>
      <c r="TN99" s="769"/>
      <c r="TO99" s="769"/>
      <c r="TP99" s="769"/>
      <c r="TQ99" s="769"/>
      <c r="TR99" s="769"/>
      <c r="TS99" s="769"/>
      <c r="TT99" s="769"/>
      <c r="TU99" s="769"/>
      <c r="TV99" s="769"/>
      <c r="TW99" s="769"/>
      <c r="TX99" s="769"/>
      <c r="TY99" s="769"/>
      <c r="TZ99" s="769"/>
      <c r="UA99" s="769"/>
      <c r="UB99" s="769"/>
      <c r="UC99" s="769"/>
      <c r="UD99" s="769"/>
      <c r="UE99" s="769"/>
      <c r="UF99" s="769"/>
      <c r="UG99" s="769"/>
      <c r="UH99" s="769"/>
      <c r="UI99" s="769"/>
      <c r="UJ99" s="769"/>
      <c r="UK99" s="769"/>
      <c r="UL99" s="769"/>
      <c r="UM99" s="769"/>
      <c r="UN99" s="769"/>
      <c r="UO99" s="769"/>
      <c r="UP99" s="769"/>
      <c r="UQ99" s="769"/>
      <c r="UR99" s="769"/>
      <c r="US99" s="769"/>
      <c r="UT99" s="769"/>
      <c r="UU99" s="769"/>
      <c r="UV99" s="769"/>
      <c r="UW99" s="769"/>
      <c r="UX99" s="769"/>
      <c r="UY99" s="769"/>
      <c r="UZ99" s="769"/>
      <c r="VA99" s="769"/>
      <c r="VB99" s="769"/>
      <c r="VC99" s="769"/>
      <c r="VD99" s="769"/>
      <c r="VE99" s="769"/>
      <c r="VF99" s="769"/>
      <c r="VG99" s="769"/>
      <c r="VH99" s="769"/>
      <c r="VI99" s="769"/>
      <c r="VJ99" s="769"/>
      <c r="VK99" s="769"/>
      <c r="VL99" s="769"/>
      <c r="VM99" s="769"/>
      <c r="VN99" s="769"/>
      <c r="VO99" s="769"/>
      <c r="VP99" s="769"/>
      <c r="VQ99" s="769"/>
      <c r="VR99" s="769"/>
      <c r="VS99" s="769"/>
      <c r="VT99" s="769"/>
      <c r="VU99" s="769"/>
      <c r="VV99" s="769"/>
      <c r="VW99" s="769"/>
      <c r="VX99" s="769"/>
      <c r="VY99" s="769"/>
      <c r="VZ99" s="769"/>
      <c r="WA99" s="769"/>
      <c r="WB99" s="769"/>
      <c r="WC99" s="769"/>
      <c r="WD99" s="769"/>
      <c r="WE99" s="769"/>
      <c r="WF99" s="769"/>
      <c r="WG99" s="769"/>
      <c r="WH99" s="769"/>
      <c r="WI99" s="769"/>
      <c r="WJ99" s="769"/>
      <c r="WK99" s="769"/>
      <c r="WL99" s="769"/>
      <c r="WM99" s="769"/>
      <c r="WN99" s="769"/>
      <c r="WO99" s="769"/>
      <c r="WP99" s="769"/>
      <c r="WQ99" s="769"/>
      <c r="WR99" s="769"/>
      <c r="WS99" s="769"/>
      <c r="WT99" s="769"/>
      <c r="WU99" s="769"/>
      <c r="WV99" s="769"/>
      <c r="WW99" s="769"/>
      <c r="WX99" s="769"/>
      <c r="WY99" s="769"/>
      <c r="WZ99" s="769"/>
      <c r="XA99" s="769"/>
      <c r="XB99" s="769"/>
      <c r="XC99" s="769"/>
      <c r="XD99" s="769"/>
      <c r="XE99" s="769"/>
      <c r="XF99" s="769"/>
      <c r="XG99" s="769"/>
      <c r="XH99" s="769"/>
      <c r="XI99" s="769"/>
      <c r="XJ99" s="769"/>
      <c r="XK99" s="769"/>
      <c r="XL99" s="769"/>
      <c r="XM99" s="769"/>
      <c r="XN99" s="769"/>
      <c r="XO99" s="769"/>
      <c r="XP99" s="769"/>
      <c r="XQ99" s="769"/>
      <c r="XR99" s="769"/>
      <c r="XS99" s="769"/>
      <c r="XT99" s="769"/>
      <c r="XU99" s="769"/>
      <c r="XV99" s="769"/>
      <c r="XW99" s="769"/>
      <c r="XX99" s="769"/>
      <c r="XY99" s="769"/>
      <c r="XZ99" s="769"/>
      <c r="YA99" s="769"/>
      <c r="YB99" s="769"/>
      <c r="YC99" s="769"/>
      <c r="YD99" s="769"/>
      <c r="YE99" s="769"/>
      <c r="YF99" s="769"/>
      <c r="YG99" s="769"/>
      <c r="YH99" s="769"/>
      <c r="YI99" s="769"/>
      <c r="YJ99" s="769"/>
      <c r="YK99" s="769"/>
      <c r="YL99" s="769"/>
      <c r="YM99" s="769"/>
      <c r="YN99" s="769"/>
      <c r="YO99" s="769"/>
      <c r="YP99" s="769"/>
      <c r="YQ99" s="769"/>
      <c r="YR99" s="769"/>
      <c r="YS99" s="769"/>
      <c r="YT99" s="769"/>
      <c r="YU99" s="769"/>
      <c r="YV99" s="769"/>
      <c r="YW99" s="769"/>
      <c r="YX99" s="769"/>
      <c r="YY99" s="769"/>
      <c r="YZ99" s="769"/>
      <c r="ZA99" s="769"/>
      <c r="ZB99" s="769"/>
      <c r="ZC99" s="769"/>
      <c r="ZD99" s="769"/>
      <c r="ZE99" s="769"/>
      <c r="ZF99" s="769"/>
      <c r="ZG99" s="769"/>
      <c r="ZH99" s="769"/>
      <c r="ZI99" s="769"/>
      <c r="ZJ99" s="769"/>
      <c r="ZK99" s="769"/>
      <c r="ZL99" s="769"/>
      <c r="ZM99" s="769"/>
      <c r="ZN99" s="769"/>
      <c r="ZO99" s="769"/>
      <c r="ZP99" s="769"/>
      <c r="ZQ99" s="769"/>
      <c r="ZR99" s="769"/>
      <c r="ZS99" s="769"/>
      <c r="ZT99" s="769"/>
      <c r="ZU99" s="769"/>
      <c r="ZV99" s="769"/>
      <c r="ZW99" s="769"/>
      <c r="ZX99" s="769"/>
      <c r="ZY99" s="769"/>
      <c r="ZZ99" s="769"/>
      <c r="AAA99" s="769"/>
      <c r="AAB99" s="769"/>
      <c r="AAC99" s="769"/>
      <c r="AAD99" s="769"/>
      <c r="AAE99" s="769"/>
      <c r="AAF99" s="769"/>
      <c r="AAG99" s="769"/>
      <c r="AAH99" s="769"/>
      <c r="AAI99" s="769"/>
      <c r="AAJ99" s="769"/>
      <c r="AAK99" s="769"/>
      <c r="AAL99" s="769"/>
      <c r="AAM99" s="769"/>
      <c r="AAN99" s="769"/>
      <c r="AAO99" s="769"/>
      <c r="AAP99" s="769"/>
      <c r="AAQ99" s="769"/>
      <c r="AAR99" s="769"/>
      <c r="AAS99" s="769"/>
      <c r="AAT99" s="769"/>
      <c r="AAU99" s="769"/>
      <c r="AAV99" s="769"/>
      <c r="AAW99" s="769"/>
      <c r="AAX99" s="769"/>
      <c r="AAY99" s="769"/>
      <c r="AAZ99" s="769"/>
      <c r="ABA99" s="769"/>
      <c r="ABB99" s="769"/>
      <c r="ABC99" s="769"/>
      <c r="ABD99" s="769"/>
      <c r="ABE99" s="769"/>
      <c r="ABF99" s="769"/>
      <c r="ABG99" s="769"/>
      <c r="ABH99" s="769"/>
      <c r="ABI99" s="769"/>
      <c r="ABJ99" s="769"/>
      <c r="ABK99" s="769"/>
      <c r="ABL99" s="769"/>
      <c r="ABM99" s="769"/>
      <c r="ABN99" s="769"/>
      <c r="ABO99" s="769"/>
      <c r="ABP99" s="769"/>
      <c r="ABQ99" s="769"/>
      <c r="ABR99" s="769"/>
      <c r="ABS99" s="769"/>
      <c r="ABT99" s="769"/>
      <c r="ABU99" s="769"/>
      <c r="ABV99" s="769"/>
      <c r="ABW99" s="769"/>
      <c r="ABX99" s="769"/>
      <c r="ABY99" s="769"/>
      <c r="ABZ99" s="769"/>
      <c r="ACA99" s="769"/>
      <c r="ACB99" s="769"/>
      <c r="ACC99" s="769"/>
      <c r="ACD99" s="769"/>
      <c r="ACE99" s="769"/>
      <c r="ACF99" s="769"/>
      <c r="ACG99" s="769"/>
      <c r="ACH99" s="769"/>
      <c r="ACI99" s="769"/>
      <c r="ACJ99" s="769"/>
      <c r="ACK99" s="769"/>
      <c r="ACL99" s="769"/>
      <c r="ACM99" s="769"/>
      <c r="ACN99" s="769"/>
      <c r="ACO99" s="769"/>
      <c r="ACP99" s="769"/>
      <c r="ACQ99" s="769"/>
      <c r="ACR99" s="769"/>
      <c r="ACS99" s="769"/>
      <c r="ACT99" s="769"/>
      <c r="ACU99" s="769"/>
      <c r="ACV99" s="769"/>
      <c r="ACW99" s="769"/>
      <c r="ACX99" s="769"/>
      <c r="ACY99" s="769"/>
      <c r="ACZ99" s="769"/>
      <c r="ADA99" s="769"/>
      <c r="ADB99" s="769"/>
      <c r="ADC99" s="769"/>
      <c r="ADD99" s="769"/>
      <c r="ADE99" s="769"/>
      <c r="ADF99" s="769"/>
      <c r="ADG99" s="769"/>
      <c r="ADH99" s="769"/>
      <c r="ADI99" s="769"/>
      <c r="ADJ99" s="769"/>
      <c r="ADK99" s="769"/>
      <c r="ADL99" s="769"/>
      <c r="ADM99" s="769"/>
      <c r="ADN99" s="769"/>
      <c r="ADO99" s="769"/>
      <c r="ADP99" s="769"/>
      <c r="ADQ99" s="769"/>
      <c r="ADR99" s="769"/>
      <c r="ADS99" s="769"/>
      <c r="ADT99" s="769"/>
      <c r="ADU99" s="769"/>
      <c r="ADV99" s="769"/>
      <c r="ADW99" s="769"/>
      <c r="ADX99" s="769"/>
      <c r="ADY99" s="769"/>
      <c r="ADZ99" s="769"/>
      <c r="AEA99" s="769"/>
      <c r="AEB99" s="769"/>
      <c r="AEC99" s="769"/>
      <c r="AED99" s="769"/>
      <c r="AEE99" s="769"/>
      <c r="AEF99" s="769"/>
      <c r="AEG99" s="769"/>
      <c r="AEH99" s="769"/>
      <c r="AEI99" s="769"/>
      <c r="AEJ99" s="769"/>
      <c r="AEK99" s="769"/>
      <c r="AEL99" s="769"/>
      <c r="AEM99" s="769"/>
      <c r="AEN99" s="769"/>
      <c r="AEO99" s="769"/>
      <c r="AEP99" s="769"/>
      <c r="AEQ99" s="769"/>
      <c r="AER99" s="769"/>
      <c r="AES99" s="769"/>
      <c r="AET99" s="769"/>
      <c r="AEU99" s="769"/>
      <c r="AEV99" s="769"/>
      <c r="AEW99" s="769"/>
      <c r="AEX99" s="769"/>
      <c r="AEY99" s="769"/>
      <c r="AEZ99" s="769"/>
      <c r="AFA99" s="769"/>
      <c r="AFB99" s="769"/>
      <c r="AFC99" s="769"/>
      <c r="AFD99" s="769"/>
      <c r="AFE99" s="769"/>
      <c r="AFF99" s="769"/>
      <c r="AFG99" s="769"/>
      <c r="AFH99" s="769"/>
      <c r="AFI99" s="769"/>
      <c r="AFJ99" s="769"/>
      <c r="AFK99" s="769"/>
      <c r="AFL99" s="769"/>
      <c r="AFM99" s="769"/>
      <c r="AFN99" s="769"/>
      <c r="AFO99" s="769"/>
      <c r="AFP99" s="769"/>
      <c r="AFQ99" s="769"/>
      <c r="AFR99" s="769"/>
      <c r="AFS99" s="769"/>
      <c r="AFT99" s="769"/>
      <c r="AFU99" s="769"/>
      <c r="AFV99" s="769"/>
      <c r="AFW99" s="769"/>
      <c r="AFX99" s="769"/>
      <c r="AFY99" s="769"/>
      <c r="AFZ99" s="769"/>
      <c r="AGA99" s="769"/>
      <c r="AGB99" s="769"/>
      <c r="AGC99" s="769"/>
      <c r="AGD99" s="769"/>
      <c r="AGE99" s="769"/>
      <c r="AGF99" s="769"/>
      <c r="AGG99" s="769"/>
      <c r="AGH99" s="769"/>
      <c r="AGI99" s="769"/>
      <c r="AGJ99" s="769"/>
      <c r="AGK99" s="769"/>
      <c r="AGL99" s="769"/>
      <c r="AGM99" s="769"/>
      <c r="AGN99" s="769"/>
      <c r="AGO99" s="769"/>
      <c r="AGP99" s="769"/>
      <c r="AGQ99" s="769"/>
      <c r="AGR99" s="769"/>
      <c r="AGS99" s="769"/>
      <c r="AGT99" s="769"/>
      <c r="AGU99" s="769"/>
      <c r="AGV99" s="769"/>
      <c r="AGW99" s="769"/>
      <c r="AGX99" s="769"/>
      <c r="AGY99" s="769"/>
      <c r="AGZ99" s="769"/>
      <c r="AHA99" s="769"/>
      <c r="AHB99" s="769"/>
      <c r="AHC99" s="769"/>
      <c r="AHD99" s="769"/>
      <c r="AHE99" s="769"/>
      <c r="AHF99" s="769"/>
      <c r="AHG99" s="769"/>
      <c r="AHH99" s="769"/>
      <c r="AHI99" s="769"/>
      <c r="AHJ99" s="769"/>
      <c r="AHK99" s="769"/>
      <c r="AHL99" s="769"/>
      <c r="AHM99" s="769"/>
      <c r="AHN99" s="769"/>
      <c r="AHO99" s="769"/>
      <c r="AHP99" s="769"/>
      <c r="AHQ99" s="769"/>
      <c r="AHR99" s="769"/>
      <c r="AHS99" s="769"/>
      <c r="AHT99" s="769"/>
      <c r="AHU99" s="769"/>
      <c r="AHV99" s="769"/>
      <c r="AHW99" s="769"/>
      <c r="AHX99" s="769"/>
      <c r="AHY99" s="769"/>
      <c r="AHZ99" s="769"/>
      <c r="AIA99" s="769"/>
      <c r="AIB99" s="769"/>
      <c r="AIC99" s="769"/>
      <c r="AID99" s="769"/>
      <c r="AIE99" s="769"/>
      <c r="AIF99" s="769"/>
      <c r="AIG99" s="769"/>
      <c r="AIH99" s="769"/>
      <c r="AII99" s="769"/>
      <c r="AIJ99" s="769"/>
      <c r="AIK99" s="769"/>
      <c r="AIL99" s="769"/>
      <c r="AIM99" s="769"/>
      <c r="AIN99" s="769"/>
      <c r="AIO99" s="769"/>
      <c r="AIP99" s="769"/>
      <c r="AIQ99" s="769"/>
      <c r="AIR99" s="769"/>
      <c r="AIS99" s="769"/>
      <c r="AIT99" s="769"/>
      <c r="AIU99" s="769"/>
      <c r="AIV99" s="769"/>
      <c r="AIW99" s="769"/>
      <c r="AIX99" s="769"/>
      <c r="AIY99" s="769"/>
      <c r="AIZ99" s="769"/>
      <c r="AJA99" s="769"/>
      <c r="AJB99" s="769"/>
      <c r="AJC99" s="769"/>
      <c r="AJD99" s="769"/>
      <c r="AJE99" s="769"/>
      <c r="AJF99" s="769"/>
      <c r="AJG99" s="769"/>
      <c r="AJH99" s="769"/>
      <c r="AJI99" s="769"/>
      <c r="AJJ99" s="769"/>
      <c r="AJK99" s="769"/>
      <c r="AJL99" s="769"/>
      <c r="AJM99" s="769"/>
      <c r="AJN99" s="769"/>
      <c r="AJO99" s="769"/>
      <c r="AJP99" s="769"/>
      <c r="AJQ99" s="769"/>
      <c r="AJR99" s="769"/>
      <c r="AJS99" s="769"/>
      <c r="AJT99" s="769"/>
      <c r="AJU99" s="769"/>
      <c r="AJV99" s="769"/>
      <c r="AJW99" s="769"/>
      <c r="AJX99" s="769"/>
      <c r="AJY99" s="769"/>
      <c r="AJZ99" s="769"/>
      <c r="AKA99" s="769"/>
      <c r="AKB99" s="769"/>
      <c r="AKC99" s="769"/>
      <c r="AKD99" s="769"/>
      <c r="AKE99" s="769"/>
      <c r="AKF99" s="769"/>
      <c r="AKG99" s="769"/>
      <c r="AKH99" s="769"/>
      <c r="AKI99" s="769"/>
      <c r="AKJ99" s="769"/>
      <c r="AKK99" s="769"/>
      <c r="AKL99" s="769"/>
      <c r="AKM99" s="769"/>
      <c r="AKN99" s="769"/>
      <c r="AKO99" s="769"/>
      <c r="AKP99" s="769"/>
      <c r="AKQ99" s="769"/>
      <c r="AKR99" s="769"/>
      <c r="AKS99" s="769"/>
      <c r="AKT99" s="769"/>
      <c r="AKU99" s="769"/>
      <c r="AKV99" s="769"/>
      <c r="AKW99" s="769"/>
      <c r="AKX99" s="769"/>
      <c r="AKY99" s="769"/>
      <c r="AKZ99" s="769"/>
      <c r="ALA99" s="769"/>
      <c r="ALB99" s="769"/>
      <c r="ALC99" s="769"/>
      <c r="ALD99" s="769"/>
      <c r="ALE99" s="769"/>
      <c r="ALF99" s="769"/>
      <c r="ALG99" s="769"/>
      <c r="ALH99" s="769"/>
      <c r="ALI99" s="769"/>
      <c r="ALJ99" s="769"/>
      <c r="ALK99" s="769"/>
      <c r="ALL99" s="769"/>
      <c r="ALM99" s="769"/>
      <c r="ALN99" s="769"/>
      <c r="ALO99" s="769"/>
      <c r="ALP99" s="769"/>
      <c r="ALQ99" s="769"/>
      <c r="ALR99" s="769"/>
      <c r="ALS99" s="769"/>
      <c r="ALT99" s="769"/>
      <c r="ALU99" s="769"/>
      <c r="ALV99" s="769"/>
      <c r="ALW99" s="769"/>
      <c r="ALX99" s="769"/>
      <c r="ALY99" s="769"/>
      <c r="ALZ99" s="769"/>
      <c r="AMA99" s="769"/>
      <c r="AMB99" s="769"/>
      <c r="AMC99" s="769"/>
      <c r="AMD99" s="769"/>
      <c r="AME99" s="769"/>
      <c r="AMF99" s="769"/>
      <c r="AMG99" s="769"/>
      <c r="AMH99" s="769"/>
      <c r="AMI99" s="769"/>
      <c r="AMJ99" s="769"/>
      <c r="AMK99" s="769"/>
      <c r="AML99" s="769"/>
      <c r="AMM99" s="769"/>
      <c r="AMN99" s="769"/>
      <c r="AMO99" s="769"/>
      <c r="AMP99" s="769"/>
      <c r="AMQ99" s="769"/>
      <c r="AMR99" s="769"/>
      <c r="AMS99" s="769"/>
      <c r="AMT99" s="769"/>
      <c r="AMU99" s="769"/>
      <c r="AMV99" s="769"/>
      <c r="AMW99" s="769"/>
      <c r="AMX99" s="769"/>
      <c r="AMY99" s="769"/>
      <c r="AMZ99" s="769"/>
      <c r="ANA99" s="769"/>
      <c r="ANB99" s="769"/>
      <c r="ANC99" s="769"/>
      <c r="AND99" s="769"/>
      <c r="ANE99" s="769"/>
      <c r="ANF99" s="769"/>
      <c r="ANG99" s="769"/>
      <c r="ANH99" s="769"/>
      <c r="ANI99" s="769"/>
      <c r="ANJ99" s="769"/>
      <c r="ANK99" s="769"/>
      <c r="ANL99" s="769"/>
      <c r="ANM99" s="769"/>
      <c r="ANN99" s="769"/>
      <c r="ANO99" s="769"/>
      <c r="ANP99" s="769"/>
      <c r="ANQ99" s="769"/>
      <c r="ANR99" s="769"/>
      <c r="ANS99" s="769"/>
      <c r="ANT99" s="769"/>
      <c r="ANU99" s="769"/>
      <c r="ANV99" s="769"/>
      <c r="ANW99" s="769"/>
      <c r="ANX99" s="769"/>
      <c r="ANY99" s="769"/>
      <c r="ANZ99" s="769"/>
      <c r="AOA99" s="769"/>
      <c r="AOB99" s="769"/>
      <c r="AOC99" s="769"/>
      <c r="AOD99" s="769"/>
      <c r="AOE99" s="769"/>
      <c r="AOF99" s="769"/>
      <c r="AOG99" s="769"/>
      <c r="AOH99" s="769"/>
      <c r="AOI99" s="769"/>
      <c r="AOJ99" s="769"/>
      <c r="AOK99" s="769"/>
      <c r="AOL99" s="769"/>
      <c r="AOM99" s="769"/>
      <c r="AON99" s="769"/>
      <c r="AOO99" s="769"/>
      <c r="AOP99" s="769"/>
      <c r="AOQ99" s="769"/>
      <c r="AOR99" s="769"/>
      <c r="AOS99" s="769"/>
      <c r="AOT99" s="769"/>
      <c r="AOU99" s="769"/>
      <c r="AOV99" s="769"/>
      <c r="AOW99" s="769"/>
      <c r="AOX99" s="769"/>
      <c r="AOY99" s="769"/>
      <c r="AOZ99" s="769"/>
      <c r="APA99" s="769"/>
      <c r="APB99" s="769"/>
      <c r="APC99" s="769"/>
      <c r="APD99" s="769"/>
      <c r="APE99" s="769"/>
      <c r="APF99" s="769"/>
      <c r="APG99" s="769"/>
      <c r="APH99" s="769"/>
      <c r="API99" s="769"/>
      <c r="APJ99" s="769"/>
      <c r="APK99" s="769"/>
      <c r="APL99" s="769"/>
      <c r="APM99" s="769"/>
      <c r="APN99" s="769"/>
      <c r="APO99" s="769"/>
      <c r="APP99" s="769"/>
      <c r="APQ99" s="769"/>
      <c r="APR99" s="769"/>
      <c r="APS99" s="769"/>
      <c r="APT99" s="769"/>
      <c r="APU99" s="769"/>
      <c r="APV99" s="769"/>
      <c r="APW99" s="769"/>
      <c r="APX99" s="769"/>
      <c r="APY99" s="769"/>
      <c r="APZ99" s="769"/>
      <c r="AQA99" s="769"/>
      <c r="AQB99" s="769"/>
      <c r="AQC99" s="769"/>
      <c r="AQD99" s="769"/>
      <c r="AQE99" s="769"/>
      <c r="AQF99" s="769"/>
      <c r="AQG99" s="769"/>
      <c r="AQH99" s="769"/>
      <c r="AQI99" s="769"/>
      <c r="AQJ99" s="769"/>
      <c r="AQK99" s="769"/>
      <c r="AQL99" s="769"/>
      <c r="AQM99" s="769"/>
      <c r="AQN99" s="769"/>
      <c r="AQO99" s="769"/>
      <c r="AQP99" s="769"/>
      <c r="AQQ99" s="769"/>
      <c r="AQR99" s="769"/>
      <c r="AQS99" s="769"/>
      <c r="AQT99" s="769"/>
      <c r="AQU99" s="769"/>
      <c r="AQV99" s="769"/>
      <c r="AQW99" s="769"/>
      <c r="AQX99" s="769"/>
      <c r="AQY99" s="769"/>
      <c r="AQZ99" s="769"/>
      <c r="ARA99" s="769"/>
      <c r="ARB99" s="769"/>
      <c r="ARC99" s="769"/>
      <c r="ARD99" s="769"/>
      <c r="ARE99" s="769"/>
      <c r="ARF99" s="769"/>
      <c r="ARG99" s="769"/>
      <c r="ARH99" s="769"/>
      <c r="ARI99" s="769"/>
      <c r="ARJ99" s="769"/>
      <c r="ARK99" s="769"/>
      <c r="ARL99" s="769"/>
      <c r="ARM99" s="769"/>
      <c r="ARN99" s="769"/>
      <c r="ARO99" s="769"/>
      <c r="ARP99" s="769"/>
      <c r="ARQ99" s="769"/>
      <c r="ARR99" s="769"/>
      <c r="ARS99" s="769"/>
      <c r="ART99" s="769"/>
      <c r="ARU99" s="769"/>
      <c r="ARV99" s="769"/>
      <c r="ARW99" s="769"/>
      <c r="ARX99" s="769"/>
      <c r="ARY99" s="769"/>
      <c r="ARZ99" s="769"/>
      <c r="ASA99" s="769"/>
      <c r="ASB99" s="769"/>
      <c r="ASC99" s="769"/>
      <c r="ASD99" s="769"/>
      <c r="ASE99" s="769"/>
      <c r="ASF99" s="769"/>
      <c r="ASG99" s="769"/>
      <c r="ASH99" s="769"/>
      <c r="ASI99" s="769"/>
      <c r="ASJ99" s="769"/>
      <c r="ASK99" s="769"/>
      <c r="ASL99" s="769"/>
      <c r="ASM99" s="769"/>
      <c r="ASN99" s="769"/>
      <c r="ASO99" s="769"/>
      <c r="ASP99" s="769"/>
      <c r="ASQ99" s="769"/>
      <c r="ASR99" s="769"/>
      <c r="ASS99" s="769"/>
      <c r="AST99" s="769"/>
      <c r="ASU99" s="769"/>
      <c r="ASV99" s="769"/>
      <c r="ASW99" s="769"/>
      <c r="ASX99" s="769"/>
      <c r="ASY99" s="769"/>
      <c r="ASZ99" s="769"/>
      <c r="ATA99" s="769"/>
      <c r="ATB99" s="769"/>
      <c r="ATC99" s="769"/>
      <c r="ATD99" s="769"/>
      <c r="ATE99" s="769"/>
      <c r="ATF99" s="769"/>
      <c r="ATG99" s="769"/>
      <c r="ATH99" s="769"/>
      <c r="ATI99" s="769"/>
      <c r="ATJ99" s="769"/>
      <c r="ATK99" s="769"/>
      <c r="ATL99" s="769"/>
      <c r="ATM99" s="769"/>
      <c r="ATN99" s="769"/>
      <c r="ATO99" s="769"/>
      <c r="ATP99" s="769"/>
      <c r="ATQ99" s="769"/>
      <c r="ATR99" s="769"/>
      <c r="ATS99" s="769"/>
      <c r="ATT99" s="769"/>
      <c r="ATU99" s="769"/>
      <c r="ATV99" s="769"/>
      <c r="ATW99" s="769"/>
      <c r="ATX99" s="769"/>
      <c r="ATY99" s="769"/>
      <c r="ATZ99" s="769"/>
      <c r="AUA99" s="769"/>
      <c r="AUB99" s="769"/>
      <c r="AUC99" s="769"/>
      <c r="AUD99" s="769"/>
      <c r="AUE99" s="769"/>
      <c r="AUF99" s="769"/>
      <c r="AUG99" s="769"/>
      <c r="AUH99" s="769"/>
      <c r="AUI99" s="769"/>
      <c r="AUJ99" s="769"/>
      <c r="AUK99" s="769"/>
      <c r="AUL99" s="769"/>
      <c r="AUM99" s="769"/>
      <c r="AUN99" s="769"/>
      <c r="AUO99" s="769"/>
      <c r="AUP99" s="769"/>
      <c r="AUQ99" s="769"/>
      <c r="AUR99" s="769"/>
      <c r="AUS99" s="769"/>
      <c r="AUT99" s="769"/>
      <c r="AUU99" s="769"/>
      <c r="AUV99" s="769"/>
      <c r="AUW99" s="769"/>
      <c r="AUX99" s="769"/>
      <c r="AUY99" s="769"/>
      <c r="AUZ99" s="769"/>
      <c r="AVA99" s="769"/>
      <c r="AVB99" s="769"/>
      <c r="AVC99" s="769"/>
      <c r="AVD99" s="769"/>
      <c r="AVE99" s="769"/>
      <c r="AVF99" s="769"/>
      <c r="AVG99" s="769"/>
      <c r="AVH99" s="769"/>
      <c r="AVI99" s="769"/>
      <c r="AVJ99" s="769"/>
      <c r="AVK99" s="769"/>
      <c r="AVL99" s="769"/>
      <c r="AVM99" s="769"/>
      <c r="AVN99" s="769"/>
      <c r="AVO99" s="769"/>
      <c r="AVP99" s="769"/>
      <c r="AVQ99" s="769"/>
      <c r="AVR99" s="769"/>
      <c r="AVS99" s="769"/>
      <c r="AVT99" s="769"/>
      <c r="AVU99" s="769"/>
      <c r="AVV99" s="769"/>
      <c r="AVW99" s="769"/>
      <c r="AVX99" s="769"/>
      <c r="AVY99" s="769"/>
      <c r="AVZ99" s="769"/>
      <c r="AWA99" s="769"/>
      <c r="AWB99" s="769"/>
      <c r="AWC99" s="769"/>
      <c r="AWD99" s="769"/>
      <c r="AWE99" s="769"/>
      <c r="AWF99" s="769"/>
      <c r="AWG99" s="769"/>
      <c r="AWH99" s="769"/>
      <c r="AWI99" s="769"/>
      <c r="AWJ99" s="769"/>
      <c r="AWK99" s="769"/>
      <c r="AWL99" s="769"/>
      <c r="AWM99" s="769"/>
      <c r="AWN99" s="769"/>
      <c r="AWO99" s="769"/>
      <c r="AWP99" s="769"/>
      <c r="AWQ99" s="769"/>
      <c r="AWR99" s="769"/>
      <c r="AWS99" s="769"/>
      <c r="AWT99" s="769"/>
      <c r="AWU99" s="769"/>
      <c r="AWV99" s="769"/>
      <c r="AWW99" s="769"/>
      <c r="AWX99" s="769"/>
      <c r="AWY99" s="769"/>
      <c r="AWZ99" s="769"/>
      <c r="AXA99" s="769"/>
      <c r="AXB99" s="769"/>
      <c r="AXC99" s="769"/>
      <c r="AXD99" s="769"/>
      <c r="AXE99" s="769"/>
      <c r="AXF99" s="769"/>
      <c r="AXG99" s="769"/>
      <c r="AXH99" s="769"/>
      <c r="AXI99" s="769"/>
      <c r="AXJ99" s="769"/>
      <c r="AXK99" s="769"/>
      <c r="AXL99" s="769"/>
      <c r="AXM99" s="769"/>
      <c r="AXN99" s="769"/>
      <c r="AXO99" s="769"/>
      <c r="AXP99" s="769"/>
      <c r="AXQ99" s="769"/>
      <c r="AXR99" s="769"/>
      <c r="AXS99" s="769"/>
      <c r="AXT99" s="769"/>
      <c r="AXU99" s="769"/>
      <c r="AXV99" s="769"/>
      <c r="AXW99" s="769"/>
      <c r="AXX99" s="769"/>
      <c r="AXY99" s="769"/>
      <c r="AXZ99" s="769"/>
      <c r="AYA99" s="769"/>
      <c r="AYB99" s="769"/>
      <c r="AYC99" s="769"/>
      <c r="AYD99" s="769"/>
      <c r="AYE99" s="769"/>
      <c r="AYF99" s="769"/>
      <c r="AYG99" s="769"/>
      <c r="AYH99" s="769"/>
      <c r="AYI99" s="769"/>
      <c r="AYJ99" s="769"/>
      <c r="AYK99" s="769"/>
      <c r="AYL99" s="769"/>
      <c r="AYM99" s="769"/>
      <c r="AYN99" s="769"/>
      <c r="AYO99" s="769"/>
      <c r="AYP99" s="769"/>
      <c r="AYQ99" s="769"/>
      <c r="AYR99" s="769"/>
      <c r="AYS99" s="769"/>
      <c r="AYT99" s="769"/>
      <c r="AYU99" s="769"/>
      <c r="AYV99" s="769"/>
      <c r="AYW99" s="769"/>
      <c r="AYX99" s="769"/>
      <c r="AYY99" s="769"/>
      <c r="AYZ99" s="769"/>
      <c r="AZA99" s="769"/>
      <c r="AZB99" s="769"/>
      <c r="AZC99" s="769"/>
      <c r="AZD99" s="769"/>
      <c r="AZE99" s="769"/>
      <c r="AZF99" s="769"/>
      <c r="AZG99" s="769"/>
      <c r="AZH99" s="769"/>
      <c r="AZI99" s="769"/>
      <c r="AZJ99" s="769"/>
      <c r="AZK99" s="769"/>
      <c r="AZL99" s="769"/>
      <c r="AZM99" s="769"/>
      <c r="AZN99" s="769"/>
      <c r="AZO99" s="769"/>
      <c r="AZP99" s="769"/>
      <c r="AZQ99" s="769"/>
      <c r="AZR99" s="769"/>
      <c r="AZS99" s="769"/>
      <c r="AZT99" s="769"/>
      <c r="AZU99" s="769"/>
      <c r="AZV99" s="769"/>
      <c r="AZW99" s="769"/>
      <c r="AZX99" s="769"/>
      <c r="AZY99" s="769"/>
      <c r="AZZ99" s="769"/>
      <c r="BAA99" s="769"/>
      <c r="BAB99" s="769"/>
      <c r="BAC99" s="769"/>
      <c r="BAD99" s="769"/>
      <c r="BAE99" s="769"/>
      <c r="BAF99" s="769"/>
      <c r="BAG99" s="769"/>
      <c r="BAH99" s="769"/>
      <c r="BAI99" s="769"/>
      <c r="BAJ99" s="769"/>
      <c r="BAK99" s="769"/>
      <c r="BAL99" s="769"/>
      <c r="BAM99" s="769"/>
      <c r="BAN99" s="769"/>
      <c r="BAO99" s="769"/>
      <c r="BAP99" s="769"/>
      <c r="BAQ99" s="769"/>
      <c r="BAR99" s="769"/>
      <c r="BAS99" s="769"/>
      <c r="BAT99" s="769"/>
      <c r="BAU99" s="769"/>
      <c r="BAV99" s="769"/>
      <c r="BAW99" s="769"/>
      <c r="BAX99" s="769"/>
      <c r="BAY99" s="769"/>
      <c r="BAZ99" s="769"/>
      <c r="BBA99" s="769"/>
      <c r="BBB99" s="769"/>
      <c r="BBC99" s="769"/>
      <c r="BBD99" s="769"/>
      <c r="BBE99" s="769"/>
      <c r="BBF99" s="769"/>
      <c r="BBG99" s="769"/>
      <c r="BBH99" s="769"/>
      <c r="BBI99" s="769"/>
      <c r="BBJ99" s="769"/>
      <c r="BBK99" s="769"/>
      <c r="BBL99" s="769"/>
      <c r="BBM99" s="769"/>
      <c r="BBN99" s="769"/>
      <c r="BBO99" s="769"/>
      <c r="BBP99" s="769"/>
      <c r="BBQ99" s="769"/>
      <c r="BBR99" s="769"/>
      <c r="BBS99" s="769"/>
      <c r="BBT99" s="769"/>
      <c r="BBU99" s="769"/>
      <c r="BBV99" s="769"/>
      <c r="BBW99" s="769"/>
      <c r="BBX99" s="769"/>
      <c r="BBY99" s="769"/>
      <c r="BBZ99" s="769"/>
      <c r="BCA99" s="769"/>
      <c r="BCB99" s="769"/>
      <c r="BCC99" s="769"/>
      <c r="BCD99" s="769"/>
      <c r="BCE99" s="769"/>
      <c r="BCF99" s="769"/>
      <c r="BCG99" s="769"/>
      <c r="BCH99" s="769"/>
      <c r="BCI99" s="769"/>
      <c r="BCJ99" s="769"/>
      <c r="BCK99" s="769"/>
      <c r="BCL99" s="769"/>
      <c r="BCM99" s="769"/>
      <c r="BCN99" s="769"/>
      <c r="BCO99" s="769"/>
      <c r="BCP99" s="769"/>
      <c r="BCQ99" s="769"/>
      <c r="BCR99" s="769"/>
      <c r="BCS99" s="769"/>
      <c r="BCT99" s="769"/>
      <c r="BCU99" s="769"/>
      <c r="BCV99" s="769"/>
      <c r="BCW99" s="769"/>
      <c r="BCX99" s="769"/>
      <c r="BCY99" s="769"/>
      <c r="BCZ99" s="769"/>
      <c r="BDA99" s="769"/>
      <c r="BDB99" s="769"/>
      <c r="BDC99" s="769"/>
      <c r="BDD99" s="769"/>
      <c r="BDE99" s="769"/>
      <c r="BDF99" s="769"/>
      <c r="BDG99" s="769"/>
      <c r="BDH99" s="769"/>
      <c r="BDI99" s="769"/>
      <c r="BDJ99" s="769"/>
      <c r="BDK99" s="769"/>
      <c r="BDL99" s="769"/>
      <c r="BDM99" s="769"/>
      <c r="BDN99" s="769"/>
      <c r="BDO99" s="769"/>
      <c r="BDP99" s="769"/>
      <c r="BDQ99" s="769"/>
      <c r="BDR99" s="769"/>
      <c r="BDS99" s="769"/>
      <c r="BDT99" s="769"/>
      <c r="BDU99" s="769"/>
      <c r="BDV99" s="769"/>
      <c r="BDW99" s="769"/>
      <c r="BDX99" s="769"/>
      <c r="BDY99" s="769"/>
      <c r="BDZ99" s="769"/>
      <c r="BEA99" s="769"/>
      <c r="BEB99" s="769"/>
      <c r="BEC99" s="769"/>
      <c r="BED99" s="769"/>
      <c r="BEE99" s="769"/>
      <c r="BEF99" s="769"/>
      <c r="BEG99" s="769"/>
      <c r="BEH99" s="769"/>
      <c r="BEI99" s="769"/>
      <c r="BEJ99" s="769"/>
      <c r="BEK99" s="769"/>
      <c r="BEL99" s="769"/>
      <c r="BEM99" s="769"/>
      <c r="BEN99" s="769"/>
      <c r="BEO99" s="769"/>
      <c r="BEP99" s="769"/>
      <c r="BEQ99" s="769"/>
      <c r="BER99" s="769"/>
      <c r="BES99" s="769"/>
      <c r="BET99" s="769"/>
      <c r="BEU99" s="769"/>
      <c r="BEV99" s="769"/>
      <c r="BEW99" s="769"/>
      <c r="BEX99" s="769"/>
      <c r="BEY99" s="769"/>
      <c r="BEZ99" s="769"/>
      <c r="BFA99" s="769"/>
      <c r="BFB99" s="769"/>
      <c r="BFC99" s="769"/>
      <c r="BFD99" s="769"/>
      <c r="BFE99" s="769"/>
      <c r="BFF99" s="769"/>
      <c r="BFG99" s="769"/>
      <c r="BFH99" s="769"/>
      <c r="BFI99" s="769"/>
      <c r="BFJ99" s="769"/>
      <c r="BFK99" s="769"/>
      <c r="BFL99" s="769"/>
      <c r="BFM99" s="769"/>
      <c r="BFN99" s="769"/>
      <c r="BFO99" s="769"/>
      <c r="BFP99" s="769"/>
      <c r="BFQ99" s="769"/>
      <c r="BFR99" s="769"/>
      <c r="BFS99" s="769"/>
      <c r="BFT99" s="769"/>
      <c r="BFU99" s="769"/>
      <c r="BFV99" s="769"/>
      <c r="BFW99" s="769"/>
      <c r="BFX99" s="769"/>
      <c r="BFY99" s="769"/>
      <c r="BFZ99" s="769"/>
      <c r="BGA99" s="769"/>
      <c r="BGB99" s="769"/>
      <c r="BGC99" s="769"/>
      <c r="BGD99" s="769"/>
      <c r="BGE99" s="769"/>
      <c r="BGF99" s="769"/>
      <c r="BGG99" s="769"/>
      <c r="BGH99" s="769"/>
      <c r="BGI99" s="769"/>
      <c r="BGJ99" s="769"/>
      <c r="BGK99" s="769"/>
      <c r="BGL99" s="769"/>
      <c r="BGM99" s="769"/>
      <c r="BGN99" s="769"/>
      <c r="BGO99" s="769"/>
      <c r="BGP99" s="769"/>
      <c r="BGQ99" s="769"/>
      <c r="BGR99" s="769"/>
      <c r="BGS99" s="769"/>
      <c r="BGT99" s="769"/>
      <c r="BGU99" s="769"/>
      <c r="BGV99" s="769"/>
      <c r="BGW99" s="769"/>
      <c r="BGX99" s="769"/>
      <c r="BGY99" s="769"/>
      <c r="BGZ99" s="769"/>
      <c r="BHA99" s="769"/>
      <c r="BHB99" s="769"/>
      <c r="BHC99" s="769"/>
      <c r="BHD99" s="769"/>
      <c r="BHE99" s="769"/>
      <c r="BHF99" s="769"/>
      <c r="BHG99" s="769"/>
      <c r="BHH99" s="769"/>
      <c r="BHI99" s="769"/>
      <c r="BHJ99" s="769"/>
      <c r="BHK99" s="769"/>
      <c r="BHL99" s="769"/>
      <c r="BHM99" s="769"/>
      <c r="BHN99" s="769"/>
      <c r="BHO99" s="769"/>
      <c r="BHP99" s="769"/>
      <c r="BHQ99" s="769"/>
      <c r="BHR99" s="769"/>
      <c r="BHS99" s="769"/>
      <c r="BHT99" s="769"/>
      <c r="BHU99" s="769"/>
      <c r="BHV99" s="769"/>
      <c r="BHW99" s="769"/>
      <c r="BHX99" s="769"/>
      <c r="BHY99" s="769"/>
      <c r="BHZ99" s="769"/>
      <c r="BIA99" s="769"/>
      <c r="BIB99" s="769"/>
      <c r="BIC99" s="769"/>
      <c r="BID99" s="769"/>
      <c r="BIE99" s="769"/>
      <c r="BIF99" s="769"/>
      <c r="BIG99" s="769"/>
      <c r="BIH99" s="769"/>
      <c r="BII99" s="769"/>
      <c r="BIJ99" s="769"/>
      <c r="BIK99" s="769"/>
      <c r="BIL99" s="769"/>
      <c r="BIM99" s="769"/>
      <c r="BIN99" s="769"/>
      <c r="BIO99" s="769"/>
      <c r="BIP99" s="769"/>
      <c r="BIQ99" s="769"/>
      <c r="BIR99" s="769"/>
      <c r="BIS99" s="769"/>
      <c r="BIT99" s="769"/>
      <c r="BIU99" s="769"/>
      <c r="BIV99" s="769"/>
      <c r="BIW99" s="769"/>
      <c r="BIX99" s="769"/>
      <c r="BIY99" s="769"/>
      <c r="BIZ99" s="769"/>
      <c r="BJA99" s="769"/>
      <c r="BJB99" s="769"/>
      <c r="BJC99" s="769"/>
      <c r="BJD99" s="769"/>
      <c r="BJE99" s="769"/>
      <c r="BJF99" s="769"/>
      <c r="BJG99" s="769"/>
      <c r="BJH99" s="769"/>
      <c r="BJI99" s="769"/>
      <c r="BJJ99" s="769"/>
      <c r="BJK99" s="769"/>
      <c r="BJL99" s="769"/>
      <c r="BJM99" s="769"/>
      <c r="BJN99" s="769"/>
      <c r="BJO99" s="769"/>
      <c r="BJP99" s="769"/>
      <c r="BJQ99" s="769"/>
      <c r="BJR99" s="769"/>
      <c r="BJS99" s="769"/>
      <c r="BJT99" s="769"/>
      <c r="BJU99" s="769"/>
      <c r="BJV99" s="769"/>
      <c r="BJW99" s="769"/>
      <c r="BJX99" s="769"/>
      <c r="BJY99" s="769"/>
      <c r="BJZ99" s="769"/>
      <c r="BKA99" s="769"/>
      <c r="BKB99" s="769"/>
      <c r="BKC99" s="769"/>
      <c r="BKD99" s="769"/>
      <c r="BKE99" s="769"/>
      <c r="BKF99" s="769"/>
      <c r="BKG99" s="769"/>
      <c r="BKH99" s="769"/>
      <c r="BKI99" s="769"/>
      <c r="BKJ99" s="769"/>
      <c r="BKK99" s="769"/>
      <c r="BKL99" s="769"/>
      <c r="BKM99" s="769"/>
      <c r="BKN99" s="769"/>
      <c r="BKO99" s="769"/>
      <c r="BKP99" s="769"/>
      <c r="BKQ99" s="769"/>
      <c r="BKR99" s="769"/>
      <c r="BKS99" s="769"/>
      <c r="BKT99" s="769"/>
      <c r="BKU99" s="769"/>
      <c r="BKV99" s="769"/>
      <c r="BKW99" s="769"/>
      <c r="BKX99" s="769"/>
      <c r="BKY99" s="769"/>
      <c r="BKZ99" s="769"/>
      <c r="BLA99" s="769"/>
      <c r="BLB99" s="769"/>
      <c r="BLC99" s="769"/>
      <c r="BLD99" s="769"/>
      <c r="BLE99" s="769"/>
      <c r="BLF99" s="769"/>
      <c r="BLG99" s="769"/>
      <c r="BLH99" s="769"/>
      <c r="BLI99" s="769"/>
      <c r="BLJ99" s="769"/>
      <c r="BLK99" s="769"/>
      <c r="BLL99" s="769"/>
      <c r="BLM99" s="769"/>
      <c r="BLN99" s="769"/>
      <c r="BLO99" s="769"/>
      <c r="BLP99" s="769"/>
      <c r="BLQ99" s="769"/>
      <c r="BLR99" s="769"/>
      <c r="BLS99" s="769"/>
      <c r="BLT99" s="769"/>
      <c r="BLU99" s="769"/>
      <c r="BLV99" s="769"/>
      <c r="BLW99" s="769"/>
      <c r="BLX99" s="769"/>
      <c r="BLY99" s="769"/>
      <c r="BLZ99" s="769"/>
      <c r="BMA99" s="769"/>
      <c r="BMB99" s="769"/>
      <c r="BMC99" s="769"/>
      <c r="BMD99" s="769"/>
      <c r="BME99" s="769"/>
      <c r="BMF99" s="769"/>
      <c r="BMG99" s="769"/>
      <c r="BMH99" s="769"/>
      <c r="BMI99" s="769"/>
      <c r="BMJ99" s="769"/>
      <c r="BMK99" s="769"/>
      <c r="BML99" s="769"/>
      <c r="BMM99" s="769"/>
      <c r="BMN99" s="769"/>
      <c r="BMO99" s="769"/>
      <c r="BMP99" s="769"/>
      <c r="BMQ99" s="769"/>
      <c r="BMR99" s="769"/>
      <c r="BMS99" s="769"/>
      <c r="BMT99" s="769"/>
      <c r="BMU99" s="769"/>
      <c r="BMV99" s="769"/>
      <c r="BMW99" s="769"/>
      <c r="BMX99" s="769"/>
      <c r="BMY99" s="769"/>
      <c r="BMZ99" s="769"/>
      <c r="BNA99" s="769"/>
      <c r="BNB99" s="769"/>
      <c r="BNC99" s="769"/>
      <c r="BND99" s="769"/>
      <c r="BNE99" s="769"/>
      <c r="BNF99" s="769"/>
      <c r="BNG99" s="769"/>
      <c r="BNH99" s="769"/>
      <c r="BNI99" s="769"/>
      <c r="BNJ99" s="769"/>
      <c r="BNK99" s="769"/>
      <c r="BNL99" s="769"/>
      <c r="BNM99" s="769"/>
      <c r="BNN99" s="769"/>
      <c r="BNO99" s="769"/>
      <c r="BNP99" s="769"/>
      <c r="BNQ99" s="769"/>
      <c r="BNR99" s="769"/>
      <c r="BNS99" s="769"/>
      <c r="BNT99" s="769"/>
      <c r="BNU99" s="769"/>
      <c r="BNV99" s="769"/>
      <c r="BNW99" s="769"/>
      <c r="BNX99" s="769"/>
      <c r="BNY99" s="769"/>
      <c r="BNZ99" s="769"/>
      <c r="BOA99" s="769"/>
      <c r="BOB99" s="769"/>
      <c r="BOC99" s="769"/>
      <c r="BOD99" s="769"/>
      <c r="BOE99" s="769"/>
      <c r="BOF99" s="769"/>
      <c r="BOG99" s="769"/>
      <c r="BOH99" s="769"/>
      <c r="BOI99" s="769"/>
      <c r="BOJ99" s="769"/>
      <c r="BOK99" s="769"/>
      <c r="BOL99" s="769"/>
      <c r="BOM99" s="769"/>
      <c r="BON99" s="769"/>
      <c r="BOO99" s="769"/>
      <c r="BOP99" s="769"/>
      <c r="BOQ99" s="769"/>
      <c r="BOR99" s="769"/>
      <c r="BOS99" s="769"/>
      <c r="BOT99" s="769"/>
      <c r="BOU99" s="769"/>
      <c r="BOV99" s="769"/>
      <c r="BOW99" s="769"/>
      <c r="BOX99" s="769"/>
      <c r="BOY99" s="769"/>
      <c r="BOZ99" s="769"/>
      <c r="BPA99" s="769"/>
      <c r="BPB99" s="769"/>
      <c r="BPC99" s="769"/>
      <c r="BPD99" s="769"/>
      <c r="BPE99" s="769"/>
      <c r="BPF99" s="769"/>
      <c r="BPG99" s="769"/>
      <c r="BPH99" s="769"/>
      <c r="BPI99" s="769"/>
      <c r="BPJ99" s="769"/>
      <c r="BPK99" s="769"/>
      <c r="BPL99" s="769"/>
      <c r="BPM99" s="769"/>
      <c r="BPN99" s="769"/>
      <c r="BPO99" s="769"/>
      <c r="BPP99" s="769"/>
      <c r="BPQ99" s="769"/>
      <c r="BPR99" s="769"/>
      <c r="BPS99" s="769"/>
      <c r="BPT99" s="769"/>
      <c r="BPU99" s="769"/>
      <c r="BPV99" s="769"/>
      <c r="BPW99" s="769"/>
      <c r="BPX99" s="769"/>
      <c r="BPY99" s="769"/>
      <c r="BPZ99" s="769"/>
      <c r="BQA99" s="769"/>
      <c r="BQB99" s="769"/>
      <c r="BQC99" s="769"/>
      <c r="BQD99" s="769"/>
      <c r="BQE99" s="769"/>
      <c r="BQF99" s="769"/>
      <c r="BQG99" s="769"/>
      <c r="BQH99" s="769"/>
      <c r="BQI99" s="769"/>
      <c r="BQJ99" s="769"/>
      <c r="BQK99" s="769"/>
      <c r="BQL99" s="769"/>
      <c r="BQM99" s="769"/>
      <c r="BQN99" s="769"/>
      <c r="BQO99" s="769"/>
      <c r="BQP99" s="769"/>
      <c r="BQQ99" s="769"/>
      <c r="BQR99" s="769"/>
      <c r="BQS99" s="769"/>
      <c r="BQT99" s="769"/>
      <c r="BQU99" s="769"/>
      <c r="BQV99" s="769"/>
      <c r="BQW99" s="769"/>
      <c r="BQX99" s="769"/>
      <c r="BQY99" s="769"/>
      <c r="BQZ99" s="769"/>
      <c r="BRA99" s="769"/>
      <c r="BRB99" s="769"/>
      <c r="BRC99" s="769"/>
      <c r="BRD99" s="769"/>
      <c r="BRE99" s="769"/>
      <c r="BRF99" s="769"/>
      <c r="BRG99" s="769"/>
      <c r="BRH99" s="769"/>
      <c r="BRI99" s="769"/>
      <c r="BRJ99" s="769"/>
      <c r="BRK99" s="769"/>
      <c r="BRL99" s="769"/>
      <c r="BRM99" s="769"/>
      <c r="BRN99" s="769"/>
      <c r="BRO99" s="769"/>
      <c r="BRP99" s="769"/>
      <c r="BRQ99" s="769"/>
      <c r="BRR99" s="769"/>
      <c r="BRS99" s="769"/>
      <c r="BRT99" s="769"/>
      <c r="BRU99" s="769"/>
      <c r="BRV99" s="769"/>
      <c r="BRW99" s="769"/>
      <c r="BRX99" s="769"/>
      <c r="BRY99" s="769"/>
      <c r="BRZ99" s="769"/>
      <c r="BSA99" s="769"/>
      <c r="BSB99" s="769"/>
      <c r="BSC99" s="769"/>
      <c r="BSD99" s="769"/>
      <c r="BSE99" s="769"/>
      <c r="BSF99" s="769"/>
      <c r="BSG99" s="769"/>
      <c r="BSH99" s="769"/>
      <c r="BSI99" s="769"/>
      <c r="BSJ99" s="769"/>
      <c r="BSK99" s="769"/>
      <c r="BSL99" s="769"/>
      <c r="BSM99" s="769"/>
      <c r="BSN99" s="769"/>
      <c r="BSO99" s="769"/>
      <c r="BSP99" s="769"/>
      <c r="BSQ99" s="769"/>
      <c r="BSR99" s="769"/>
      <c r="BSS99" s="769"/>
      <c r="BST99" s="769"/>
      <c r="BSU99" s="769"/>
      <c r="BSV99" s="769"/>
      <c r="BSW99" s="769"/>
      <c r="BSX99" s="769"/>
      <c r="BSY99" s="769"/>
      <c r="BSZ99" s="769"/>
      <c r="BTA99" s="769"/>
      <c r="BTB99" s="769"/>
      <c r="BTC99" s="769"/>
      <c r="BTD99" s="769"/>
      <c r="BTE99" s="769"/>
      <c r="BTF99" s="769"/>
      <c r="BTG99" s="769"/>
      <c r="BTH99" s="769"/>
      <c r="BTI99" s="769"/>
      <c r="BTJ99" s="769"/>
      <c r="BTK99" s="769"/>
      <c r="BTL99" s="769"/>
      <c r="BTM99" s="769"/>
      <c r="BTN99" s="769"/>
      <c r="BTO99" s="769"/>
      <c r="BTP99" s="769"/>
      <c r="BTQ99" s="769"/>
      <c r="BTR99" s="769"/>
      <c r="BTS99" s="769"/>
      <c r="BTT99" s="769"/>
      <c r="BTU99" s="769"/>
      <c r="BTV99" s="769"/>
      <c r="BTW99" s="769"/>
      <c r="BTX99" s="769"/>
      <c r="BTY99" s="769"/>
      <c r="BTZ99" s="769"/>
      <c r="BUA99" s="769"/>
      <c r="BUB99" s="769"/>
      <c r="BUC99" s="769"/>
      <c r="BUD99" s="769"/>
      <c r="BUE99" s="769"/>
      <c r="BUF99" s="769"/>
      <c r="BUG99" s="769"/>
      <c r="BUH99" s="769"/>
      <c r="BUI99" s="769"/>
      <c r="BUJ99" s="769"/>
      <c r="BUK99" s="769"/>
      <c r="BUL99" s="769"/>
      <c r="BUM99" s="769"/>
      <c r="BUN99" s="769"/>
      <c r="BUO99" s="769"/>
      <c r="BUP99" s="769"/>
      <c r="BUQ99" s="769"/>
      <c r="BUR99" s="769"/>
      <c r="BUS99" s="769"/>
      <c r="BUT99" s="769"/>
      <c r="BUU99" s="769"/>
      <c r="BUV99" s="769"/>
      <c r="BUW99" s="769"/>
      <c r="BUX99" s="769"/>
      <c r="BUY99" s="769"/>
      <c r="BUZ99" s="769"/>
      <c r="BVA99" s="769"/>
      <c r="BVB99" s="769"/>
      <c r="BVC99" s="769"/>
      <c r="BVD99" s="769"/>
      <c r="BVE99" s="769"/>
      <c r="BVF99" s="769"/>
      <c r="BVG99" s="769"/>
      <c r="BVH99" s="769"/>
      <c r="BVI99" s="769"/>
      <c r="BVJ99" s="769"/>
      <c r="BVK99" s="769"/>
      <c r="BVL99" s="769"/>
      <c r="BVM99" s="769"/>
      <c r="BVN99" s="769"/>
      <c r="BVO99" s="769"/>
      <c r="BVP99" s="769"/>
      <c r="BVQ99" s="769"/>
      <c r="BVR99" s="769"/>
      <c r="BVS99" s="769"/>
      <c r="BVT99" s="769"/>
      <c r="BVU99" s="769"/>
      <c r="BVV99" s="769"/>
      <c r="BVW99" s="769"/>
      <c r="BVX99" s="769"/>
      <c r="BVY99" s="769"/>
      <c r="BVZ99" s="769"/>
      <c r="BWA99" s="769"/>
      <c r="BWB99" s="769"/>
      <c r="BWC99" s="769"/>
      <c r="BWD99" s="769"/>
      <c r="BWE99" s="769"/>
      <c r="BWF99" s="769"/>
      <c r="BWG99" s="769"/>
      <c r="BWH99" s="769"/>
      <c r="BWI99" s="769"/>
      <c r="BWJ99" s="769"/>
      <c r="BWK99" s="769"/>
      <c r="BWL99" s="769"/>
      <c r="BWM99" s="769"/>
      <c r="BWN99" s="769"/>
      <c r="BWO99" s="769"/>
      <c r="BWP99" s="769"/>
      <c r="BWQ99" s="769"/>
      <c r="BWR99" s="769"/>
      <c r="BWS99" s="769"/>
      <c r="BWT99" s="769"/>
      <c r="BWU99" s="769"/>
      <c r="BWV99" s="769"/>
      <c r="BWW99" s="769"/>
      <c r="BWX99" s="769"/>
      <c r="BWY99" s="769"/>
      <c r="BWZ99" s="769"/>
      <c r="BXA99" s="769"/>
      <c r="BXB99" s="769"/>
      <c r="BXC99" s="769"/>
      <c r="BXD99" s="769"/>
      <c r="BXE99" s="769"/>
      <c r="BXF99" s="769"/>
      <c r="BXG99" s="769"/>
      <c r="BXH99" s="769"/>
      <c r="BXI99" s="769"/>
      <c r="BXJ99" s="769"/>
      <c r="BXK99" s="769"/>
      <c r="BXL99" s="769"/>
      <c r="BXM99" s="769"/>
      <c r="BXN99" s="769"/>
      <c r="BXO99" s="769"/>
      <c r="BXP99" s="769"/>
      <c r="BXQ99" s="769"/>
      <c r="BXR99" s="769"/>
      <c r="BXS99" s="769"/>
      <c r="BXT99" s="769"/>
      <c r="BXU99" s="769"/>
      <c r="BXV99" s="769"/>
      <c r="BXW99" s="769"/>
      <c r="BXX99" s="769"/>
      <c r="BXY99" s="769"/>
      <c r="BXZ99" s="769"/>
      <c r="BYA99" s="769"/>
      <c r="BYB99" s="769"/>
      <c r="BYC99" s="769"/>
      <c r="BYD99" s="769"/>
      <c r="BYE99" s="769"/>
      <c r="BYF99" s="769"/>
      <c r="BYG99" s="769"/>
      <c r="BYH99" s="769"/>
      <c r="BYI99" s="769"/>
      <c r="BYJ99" s="769"/>
      <c r="BYK99" s="769"/>
      <c r="BYL99" s="769"/>
      <c r="BYM99" s="769"/>
      <c r="BYN99" s="769"/>
      <c r="BYO99" s="769"/>
      <c r="BYP99" s="769"/>
      <c r="BYQ99" s="769"/>
      <c r="BYR99" s="769"/>
      <c r="BYS99" s="769"/>
      <c r="BYT99" s="769"/>
      <c r="BYU99" s="769"/>
      <c r="BYV99" s="769"/>
      <c r="BYW99" s="769"/>
      <c r="BYX99" s="769"/>
      <c r="BYY99" s="769"/>
      <c r="BYZ99" s="769"/>
      <c r="BZA99" s="769"/>
      <c r="BZB99" s="769"/>
      <c r="BZC99" s="769"/>
      <c r="BZD99" s="769"/>
      <c r="BZE99" s="769"/>
      <c r="BZF99" s="769"/>
      <c r="BZG99" s="769"/>
      <c r="BZH99" s="769"/>
      <c r="BZI99" s="769"/>
      <c r="BZJ99" s="769"/>
      <c r="BZK99" s="769"/>
      <c r="BZL99" s="769"/>
      <c r="BZM99" s="769"/>
      <c r="BZN99" s="769"/>
      <c r="BZO99" s="769"/>
      <c r="BZP99" s="769"/>
      <c r="BZQ99" s="769"/>
      <c r="BZR99" s="769"/>
      <c r="BZS99" s="769"/>
      <c r="BZT99" s="769"/>
      <c r="BZU99" s="769"/>
      <c r="BZV99" s="769"/>
      <c r="BZW99" s="769"/>
      <c r="BZX99" s="769"/>
      <c r="BZY99" s="769"/>
      <c r="BZZ99" s="769"/>
      <c r="CAA99" s="769"/>
      <c r="CAB99" s="769"/>
      <c r="CAC99" s="769"/>
      <c r="CAD99" s="769"/>
      <c r="CAE99" s="769"/>
      <c r="CAF99" s="769"/>
      <c r="CAG99" s="769"/>
      <c r="CAH99" s="769"/>
      <c r="CAI99" s="769"/>
      <c r="CAJ99" s="769"/>
      <c r="CAK99" s="769"/>
      <c r="CAL99" s="769"/>
      <c r="CAM99" s="769"/>
      <c r="CAN99" s="769"/>
      <c r="CAO99" s="769"/>
      <c r="CAP99" s="769"/>
      <c r="CAQ99" s="769"/>
      <c r="CAR99" s="769"/>
      <c r="CAS99" s="769"/>
      <c r="CAT99" s="769"/>
      <c r="CAU99" s="769"/>
      <c r="CAV99" s="769"/>
      <c r="CAW99" s="769"/>
      <c r="CAX99" s="769"/>
      <c r="CAY99" s="769"/>
      <c r="CAZ99" s="769"/>
      <c r="CBA99" s="769"/>
      <c r="CBB99" s="769"/>
      <c r="CBC99" s="769"/>
      <c r="CBD99" s="769"/>
      <c r="CBE99" s="769"/>
      <c r="CBF99" s="769"/>
      <c r="CBG99" s="769"/>
      <c r="CBH99" s="769"/>
      <c r="CBI99" s="769"/>
      <c r="CBJ99" s="769"/>
      <c r="CBK99" s="769"/>
      <c r="CBL99" s="769"/>
      <c r="CBM99" s="769"/>
      <c r="CBN99" s="769"/>
      <c r="CBO99" s="769"/>
      <c r="CBP99" s="769"/>
      <c r="CBQ99" s="769"/>
      <c r="CBR99" s="769"/>
      <c r="CBS99" s="769"/>
      <c r="CBT99" s="769"/>
      <c r="CBU99" s="769"/>
      <c r="CBV99" s="769"/>
      <c r="CBW99" s="769"/>
      <c r="CBX99" s="769"/>
      <c r="CBY99" s="769"/>
      <c r="CBZ99" s="769"/>
      <c r="CCA99" s="769"/>
      <c r="CCB99" s="769"/>
      <c r="CCC99" s="769"/>
      <c r="CCD99" s="769"/>
      <c r="CCE99" s="769"/>
      <c r="CCF99" s="769"/>
      <c r="CCG99" s="769"/>
      <c r="CCH99" s="769"/>
      <c r="CCI99" s="769"/>
      <c r="CCJ99" s="769"/>
      <c r="CCK99" s="769"/>
      <c r="CCL99" s="769"/>
      <c r="CCM99" s="769"/>
      <c r="CCN99" s="769"/>
      <c r="CCO99" s="769"/>
      <c r="CCP99" s="769"/>
      <c r="CCQ99" s="769"/>
      <c r="CCR99" s="769"/>
      <c r="CCS99" s="769"/>
      <c r="CCT99" s="769"/>
      <c r="CCU99" s="769"/>
      <c r="CCV99" s="769"/>
      <c r="CCW99" s="769"/>
      <c r="CCX99" s="769"/>
      <c r="CCY99" s="769"/>
      <c r="CCZ99" s="769"/>
      <c r="CDA99" s="769"/>
      <c r="CDB99" s="769"/>
      <c r="CDC99" s="769"/>
      <c r="CDD99" s="769"/>
      <c r="CDE99" s="769"/>
      <c r="CDF99" s="769"/>
      <c r="CDG99" s="769"/>
      <c r="CDH99" s="769"/>
      <c r="CDI99" s="769"/>
      <c r="CDJ99" s="769"/>
      <c r="CDK99" s="769"/>
      <c r="CDL99" s="769"/>
      <c r="CDM99" s="769"/>
      <c r="CDN99" s="769"/>
      <c r="CDO99" s="769"/>
      <c r="CDP99" s="769"/>
      <c r="CDQ99" s="769"/>
      <c r="CDR99" s="769"/>
      <c r="CDS99" s="769"/>
      <c r="CDT99" s="769"/>
      <c r="CDU99" s="769"/>
      <c r="CDV99" s="769"/>
      <c r="CDW99" s="769"/>
      <c r="CDX99" s="769"/>
      <c r="CDY99" s="769"/>
      <c r="CDZ99" s="769"/>
      <c r="CEA99" s="769"/>
      <c r="CEB99" s="769"/>
      <c r="CEC99" s="769"/>
      <c r="CED99" s="769"/>
      <c r="CEE99" s="769"/>
      <c r="CEF99" s="769"/>
      <c r="CEG99" s="769"/>
      <c r="CEH99" s="769"/>
      <c r="CEI99" s="769"/>
      <c r="CEJ99" s="769"/>
      <c r="CEK99" s="769"/>
      <c r="CEL99" s="769"/>
      <c r="CEM99" s="769"/>
      <c r="CEN99" s="769"/>
      <c r="CEO99" s="769"/>
      <c r="CEP99" s="769"/>
      <c r="CEQ99" s="769"/>
      <c r="CER99" s="769"/>
      <c r="CES99" s="769"/>
      <c r="CET99" s="769"/>
      <c r="CEU99" s="769"/>
      <c r="CEV99" s="769"/>
      <c r="CEW99" s="769"/>
      <c r="CEX99" s="769"/>
      <c r="CEY99" s="769"/>
      <c r="CEZ99" s="769"/>
      <c r="CFA99" s="769"/>
      <c r="CFB99" s="769"/>
      <c r="CFC99" s="769"/>
      <c r="CFD99" s="769"/>
      <c r="CFE99" s="769"/>
      <c r="CFF99" s="769"/>
      <c r="CFG99" s="769"/>
      <c r="CFH99" s="769"/>
      <c r="CFI99" s="769"/>
      <c r="CFJ99" s="769"/>
      <c r="CFK99" s="769"/>
      <c r="CFL99" s="769"/>
      <c r="CFM99" s="769"/>
      <c r="CFN99" s="769"/>
      <c r="CFO99" s="769"/>
      <c r="CFP99" s="769"/>
      <c r="CFQ99" s="769"/>
      <c r="CFR99" s="769"/>
      <c r="CFS99" s="769"/>
      <c r="CFT99" s="769"/>
      <c r="CFU99" s="769"/>
      <c r="CFV99" s="769"/>
      <c r="CFW99" s="769"/>
      <c r="CFX99" s="769"/>
      <c r="CFY99" s="769"/>
      <c r="CFZ99" s="769"/>
      <c r="CGA99" s="769"/>
      <c r="CGB99" s="769"/>
      <c r="CGC99" s="769"/>
      <c r="CGD99" s="769"/>
      <c r="CGE99" s="769"/>
      <c r="CGF99" s="769"/>
      <c r="CGG99" s="769"/>
      <c r="CGH99" s="769"/>
      <c r="CGI99" s="769"/>
      <c r="CGJ99" s="769"/>
      <c r="CGK99" s="769"/>
      <c r="CGL99" s="769"/>
      <c r="CGM99" s="769"/>
      <c r="CGN99" s="769"/>
      <c r="CGO99" s="769"/>
      <c r="CGP99" s="769"/>
      <c r="CGQ99" s="769"/>
      <c r="CGR99" s="769"/>
      <c r="CGS99" s="769"/>
      <c r="CGT99" s="769"/>
      <c r="CGU99" s="769"/>
      <c r="CGV99" s="769"/>
      <c r="CGW99" s="769"/>
      <c r="CGX99" s="769"/>
      <c r="CGY99" s="769"/>
      <c r="CGZ99" s="769"/>
      <c r="CHA99" s="769"/>
      <c r="CHB99" s="769"/>
      <c r="CHC99" s="769"/>
      <c r="CHD99" s="769"/>
      <c r="CHE99" s="769"/>
      <c r="CHF99" s="769"/>
      <c r="CHG99" s="769"/>
      <c r="CHH99" s="769"/>
      <c r="CHI99" s="769"/>
      <c r="CHJ99" s="769"/>
      <c r="CHK99" s="769"/>
      <c r="CHL99" s="769"/>
      <c r="CHM99" s="769"/>
      <c r="CHN99" s="769"/>
      <c r="CHO99" s="769"/>
      <c r="CHP99" s="769"/>
      <c r="CHQ99" s="769"/>
      <c r="CHR99" s="769"/>
      <c r="CHS99" s="769"/>
      <c r="CHT99" s="769"/>
      <c r="CHU99" s="769"/>
      <c r="CHV99" s="769"/>
      <c r="CHW99" s="769"/>
      <c r="CHX99" s="769"/>
      <c r="CHY99" s="769"/>
      <c r="CHZ99" s="769"/>
      <c r="CIA99" s="769"/>
      <c r="CIB99" s="769"/>
      <c r="CIC99" s="769"/>
      <c r="CID99" s="769"/>
      <c r="CIE99" s="769"/>
      <c r="CIF99" s="769"/>
      <c r="CIG99" s="769"/>
      <c r="CIH99" s="769"/>
      <c r="CII99" s="769"/>
      <c r="CIJ99" s="769"/>
      <c r="CIK99" s="769"/>
      <c r="CIL99" s="769"/>
      <c r="CIM99" s="769"/>
      <c r="CIN99" s="769"/>
      <c r="CIO99" s="769"/>
      <c r="CIP99" s="769"/>
      <c r="CIQ99" s="769"/>
      <c r="CIR99" s="769"/>
      <c r="CIS99" s="769"/>
      <c r="CIT99" s="769"/>
      <c r="CIU99" s="769"/>
      <c r="CIV99" s="769"/>
      <c r="CIW99" s="769"/>
      <c r="CIX99" s="769"/>
      <c r="CIY99" s="769"/>
      <c r="CIZ99" s="769"/>
      <c r="CJA99" s="769"/>
      <c r="CJB99" s="769"/>
      <c r="CJC99" s="769"/>
      <c r="CJD99" s="769"/>
      <c r="CJE99" s="769"/>
      <c r="CJF99" s="769"/>
      <c r="CJG99" s="769"/>
      <c r="CJH99" s="769"/>
      <c r="CJI99" s="769"/>
      <c r="CJJ99" s="769"/>
      <c r="CJK99" s="769"/>
      <c r="CJL99" s="769"/>
      <c r="CJM99" s="769"/>
      <c r="CJN99" s="769"/>
      <c r="CJO99" s="769"/>
      <c r="CJP99" s="769"/>
      <c r="CJQ99" s="769"/>
      <c r="CJR99" s="769"/>
      <c r="CJS99" s="769"/>
      <c r="CJT99" s="769"/>
      <c r="CJU99" s="769"/>
      <c r="CJV99" s="769"/>
      <c r="CJW99" s="769"/>
      <c r="CJX99" s="769"/>
      <c r="CJY99" s="769"/>
      <c r="CJZ99" s="769"/>
      <c r="CKA99" s="769"/>
      <c r="CKB99" s="769"/>
      <c r="CKC99" s="769"/>
      <c r="CKD99" s="769"/>
      <c r="CKE99" s="769"/>
      <c r="CKF99" s="769"/>
      <c r="CKG99" s="769"/>
      <c r="CKH99" s="769"/>
      <c r="CKI99" s="769"/>
      <c r="CKJ99" s="769"/>
      <c r="CKK99" s="769"/>
      <c r="CKL99" s="769"/>
      <c r="CKM99" s="769"/>
      <c r="CKN99" s="769"/>
      <c r="CKO99" s="769"/>
      <c r="CKP99" s="769"/>
      <c r="CKQ99" s="769"/>
      <c r="CKR99" s="769"/>
      <c r="CKS99" s="769"/>
      <c r="CKT99" s="769"/>
      <c r="CKU99" s="769"/>
      <c r="CKV99" s="769"/>
      <c r="CKW99" s="769"/>
      <c r="CKX99" s="769"/>
      <c r="CKY99" s="769"/>
      <c r="CKZ99" s="769"/>
      <c r="CLA99" s="769"/>
      <c r="CLB99" s="769"/>
      <c r="CLC99" s="769"/>
      <c r="CLD99" s="769"/>
      <c r="CLE99" s="769"/>
      <c r="CLF99" s="769"/>
      <c r="CLG99" s="769"/>
      <c r="CLH99" s="769"/>
      <c r="CLI99" s="769"/>
      <c r="CLJ99" s="769"/>
      <c r="CLK99" s="769"/>
      <c r="CLL99" s="769"/>
      <c r="CLM99" s="769"/>
      <c r="CLN99" s="769"/>
      <c r="CLO99" s="769"/>
      <c r="CLP99" s="769"/>
      <c r="CLQ99" s="769"/>
      <c r="CLR99" s="769"/>
      <c r="CLS99" s="769"/>
      <c r="CLT99" s="769"/>
      <c r="CLU99" s="769"/>
      <c r="CLV99" s="769"/>
      <c r="CLW99" s="769"/>
      <c r="CLX99" s="769"/>
      <c r="CLY99" s="769"/>
      <c r="CLZ99" s="769"/>
      <c r="CMA99" s="769"/>
      <c r="CMB99" s="769"/>
      <c r="CMC99" s="769"/>
      <c r="CMD99" s="769"/>
      <c r="CME99" s="769"/>
      <c r="CMF99" s="769"/>
      <c r="CMG99" s="769"/>
      <c r="CMH99" s="769"/>
      <c r="CMI99" s="769"/>
      <c r="CMJ99" s="769"/>
      <c r="CMK99" s="769"/>
      <c r="CML99" s="769"/>
      <c r="CMM99" s="769"/>
      <c r="CMN99" s="769"/>
      <c r="CMO99" s="769"/>
      <c r="CMP99" s="769"/>
      <c r="CMQ99" s="769"/>
      <c r="CMR99" s="769"/>
      <c r="CMS99" s="769"/>
      <c r="CMT99" s="769"/>
      <c r="CMU99" s="769"/>
      <c r="CMV99" s="769"/>
      <c r="CMW99" s="769"/>
      <c r="CMX99" s="769"/>
      <c r="CMY99" s="769"/>
      <c r="CMZ99" s="769"/>
      <c r="CNA99" s="769"/>
      <c r="CNB99" s="769"/>
      <c r="CNC99" s="769"/>
      <c r="CND99" s="769"/>
      <c r="CNE99" s="769"/>
      <c r="CNF99" s="769"/>
      <c r="CNG99" s="769"/>
      <c r="CNH99" s="769"/>
      <c r="CNI99" s="769"/>
      <c r="CNJ99" s="769"/>
      <c r="CNK99" s="769"/>
      <c r="CNL99" s="769"/>
      <c r="CNM99" s="769"/>
      <c r="CNN99" s="769"/>
      <c r="CNO99" s="769"/>
      <c r="CNP99" s="769"/>
      <c r="CNQ99" s="769"/>
      <c r="CNR99" s="769"/>
      <c r="CNS99" s="769"/>
      <c r="CNT99" s="769"/>
      <c r="CNU99" s="769"/>
      <c r="CNV99" s="769"/>
      <c r="CNW99" s="769"/>
      <c r="CNX99" s="769"/>
      <c r="CNY99" s="769"/>
      <c r="CNZ99" s="769"/>
      <c r="COA99" s="769"/>
      <c r="COB99" s="769"/>
      <c r="COC99" s="769"/>
      <c r="COD99" s="769"/>
      <c r="COE99" s="769"/>
      <c r="COF99" s="769"/>
      <c r="COG99" s="769"/>
      <c r="COH99" s="769"/>
      <c r="COI99" s="769"/>
      <c r="COJ99" s="769"/>
      <c r="COK99" s="769"/>
      <c r="COL99" s="769"/>
      <c r="COM99" s="769"/>
      <c r="CON99" s="769"/>
      <c r="COO99" s="769"/>
      <c r="COP99" s="769"/>
      <c r="COQ99" s="769"/>
      <c r="COR99" s="769"/>
      <c r="COS99" s="769"/>
      <c r="COT99" s="769"/>
      <c r="COU99" s="769"/>
      <c r="COV99" s="769"/>
      <c r="COW99" s="769"/>
      <c r="COX99" s="769"/>
      <c r="COY99" s="769"/>
      <c r="COZ99" s="769"/>
      <c r="CPA99" s="769"/>
      <c r="CPB99" s="769"/>
      <c r="CPC99" s="769"/>
      <c r="CPD99" s="769"/>
      <c r="CPE99" s="769"/>
      <c r="CPF99" s="769"/>
      <c r="CPG99" s="769"/>
      <c r="CPH99" s="769"/>
      <c r="CPI99" s="769"/>
      <c r="CPJ99" s="769"/>
      <c r="CPK99" s="769"/>
      <c r="CPL99" s="769"/>
      <c r="CPM99" s="769"/>
      <c r="CPN99" s="769"/>
      <c r="CPO99" s="769"/>
      <c r="CPP99" s="769"/>
      <c r="CPQ99" s="769"/>
      <c r="CPR99" s="769"/>
      <c r="CPS99" s="769"/>
      <c r="CPT99" s="769"/>
      <c r="CPU99" s="769"/>
      <c r="CPV99" s="769"/>
      <c r="CPW99" s="769"/>
      <c r="CPX99" s="769"/>
      <c r="CPY99" s="769"/>
      <c r="CPZ99" s="769"/>
      <c r="CQA99" s="769"/>
      <c r="CQB99" s="769"/>
      <c r="CQC99" s="769"/>
      <c r="CQD99" s="769"/>
      <c r="CQE99" s="769"/>
      <c r="CQF99" s="769"/>
      <c r="CQG99" s="769"/>
      <c r="CQH99" s="769"/>
      <c r="CQI99" s="769"/>
      <c r="CQJ99" s="769"/>
      <c r="CQK99" s="769"/>
      <c r="CQL99" s="769"/>
      <c r="CQM99" s="769"/>
      <c r="CQN99" s="769"/>
      <c r="CQO99" s="769"/>
      <c r="CQP99" s="769"/>
      <c r="CQQ99" s="769"/>
      <c r="CQR99" s="769"/>
      <c r="CQS99" s="769"/>
      <c r="CQT99" s="769"/>
      <c r="CQU99" s="769"/>
      <c r="CQV99" s="769"/>
      <c r="CQW99" s="769"/>
      <c r="CQX99" s="769"/>
      <c r="CQY99" s="769"/>
      <c r="CQZ99" s="769"/>
      <c r="CRA99" s="769"/>
      <c r="CRB99" s="769"/>
      <c r="CRC99" s="769"/>
      <c r="CRD99" s="769"/>
      <c r="CRE99" s="769"/>
      <c r="CRF99" s="769"/>
      <c r="CRG99" s="769"/>
      <c r="CRH99" s="769"/>
      <c r="CRI99" s="769"/>
      <c r="CRJ99" s="769"/>
      <c r="CRK99" s="769"/>
      <c r="CRL99" s="769"/>
      <c r="CRM99" s="769"/>
      <c r="CRN99" s="769"/>
      <c r="CRO99" s="769"/>
      <c r="CRP99" s="769"/>
      <c r="CRQ99" s="769"/>
      <c r="CRR99" s="769"/>
      <c r="CRS99" s="769"/>
      <c r="CRT99" s="769"/>
      <c r="CRU99" s="769"/>
      <c r="CRV99" s="769"/>
      <c r="CRW99" s="769"/>
      <c r="CRX99" s="769"/>
      <c r="CRY99" s="769"/>
      <c r="CRZ99" s="769"/>
      <c r="CSA99" s="769"/>
      <c r="CSB99" s="769"/>
      <c r="CSC99" s="769"/>
      <c r="CSD99" s="769"/>
      <c r="CSE99" s="769"/>
      <c r="CSF99" s="769"/>
      <c r="CSG99" s="769"/>
      <c r="CSH99" s="769"/>
      <c r="CSI99" s="769"/>
      <c r="CSJ99" s="769"/>
      <c r="CSK99" s="769"/>
      <c r="CSL99" s="769"/>
      <c r="CSM99" s="769"/>
      <c r="CSN99" s="769"/>
      <c r="CSO99" s="769"/>
      <c r="CSP99" s="769"/>
      <c r="CSQ99" s="769"/>
      <c r="CSR99" s="769"/>
      <c r="CSS99" s="769"/>
      <c r="CST99" s="769"/>
      <c r="CSU99" s="769"/>
      <c r="CSV99" s="769"/>
      <c r="CSW99" s="769"/>
      <c r="CSX99" s="769"/>
      <c r="CSY99" s="769"/>
      <c r="CSZ99" s="769"/>
      <c r="CTA99" s="769"/>
      <c r="CTB99" s="769"/>
      <c r="CTC99" s="769"/>
      <c r="CTD99" s="769"/>
      <c r="CTE99" s="769"/>
      <c r="CTF99" s="769"/>
      <c r="CTG99" s="769"/>
      <c r="CTH99" s="769"/>
      <c r="CTI99" s="769"/>
      <c r="CTJ99" s="769"/>
      <c r="CTK99" s="769"/>
      <c r="CTL99" s="769"/>
      <c r="CTM99" s="769"/>
      <c r="CTN99" s="769"/>
      <c r="CTO99" s="769"/>
      <c r="CTP99" s="769"/>
      <c r="CTQ99" s="769"/>
      <c r="CTR99" s="769"/>
      <c r="CTS99" s="769"/>
      <c r="CTT99" s="769"/>
      <c r="CTU99" s="769"/>
      <c r="CTV99" s="769"/>
      <c r="CTW99" s="769"/>
      <c r="CTX99" s="769"/>
      <c r="CTY99" s="769"/>
      <c r="CTZ99" s="769"/>
      <c r="CUA99" s="769"/>
      <c r="CUB99" s="769"/>
      <c r="CUC99" s="769"/>
      <c r="CUD99" s="769"/>
      <c r="CUE99" s="769"/>
      <c r="CUF99" s="769"/>
      <c r="CUG99" s="769"/>
      <c r="CUH99" s="769"/>
      <c r="CUI99" s="769"/>
      <c r="CUJ99" s="769"/>
      <c r="CUK99" s="769"/>
      <c r="CUL99" s="769"/>
      <c r="CUM99" s="769"/>
      <c r="CUN99" s="769"/>
      <c r="CUO99" s="769"/>
      <c r="CUP99" s="769"/>
      <c r="CUQ99" s="769"/>
      <c r="CUR99" s="769"/>
      <c r="CUS99" s="769"/>
      <c r="CUT99" s="769"/>
      <c r="CUU99" s="769"/>
      <c r="CUV99" s="769"/>
      <c r="CUW99" s="769"/>
      <c r="CUX99" s="769"/>
      <c r="CUY99" s="769"/>
      <c r="CUZ99" s="769"/>
      <c r="CVA99" s="769"/>
      <c r="CVB99" s="769"/>
      <c r="CVC99" s="769"/>
      <c r="CVD99" s="769"/>
      <c r="CVE99" s="769"/>
      <c r="CVF99" s="769"/>
      <c r="CVG99" s="769"/>
      <c r="CVH99" s="769"/>
      <c r="CVI99" s="769"/>
      <c r="CVJ99" s="769"/>
      <c r="CVK99" s="769"/>
      <c r="CVL99" s="769"/>
      <c r="CVM99" s="769"/>
      <c r="CVN99" s="769"/>
      <c r="CVO99" s="769"/>
      <c r="CVP99" s="769"/>
      <c r="CVQ99" s="769"/>
      <c r="CVR99" s="769"/>
      <c r="CVS99" s="769"/>
      <c r="CVT99" s="769"/>
      <c r="CVU99" s="769"/>
      <c r="CVV99" s="769"/>
      <c r="CVW99" s="769"/>
      <c r="CVX99" s="769"/>
      <c r="CVY99" s="769"/>
      <c r="CVZ99" s="769"/>
      <c r="CWA99" s="769"/>
      <c r="CWB99" s="769"/>
      <c r="CWC99" s="769"/>
      <c r="CWD99" s="769"/>
      <c r="CWE99" s="769"/>
      <c r="CWF99" s="769"/>
      <c r="CWG99" s="769"/>
      <c r="CWH99" s="769"/>
      <c r="CWI99" s="769"/>
      <c r="CWJ99" s="769"/>
      <c r="CWK99" s="769"/>
      <c r="CWL99" s="769"/>
      <c r="CWM99" s="769"/>
      <c r="CWN99" s="769"/>
      <c r="CWO99" s="769"/>
      <c r="CWP99" s="769"/>
      <c r="CWQ99" s="769"/>
      <c r="CWR99" s="769"/>
      <c r="CWS99" s="769"/>
      <c r="CWT99" s="769"/>
      <c r="CWU99" s="769"/>
      <c r="CWV99" s="769"/>
      <c r="CWW99" s="769"/>
      <c r="CWX99" s="769"/>
      <c r="CWY99" s="769"/>
      <c r="CWZ99" s="769"/>
      <c r="CXA99" s="769"/>
      <c r="CXB99" s="769"/>
      <c r="CXC99" s="769"/>
      <c r="CXD99" s="769"/>
      <c r="CXE99" s="769"/>
      <c r="CXF99" s="769"/>
      <c r="CXG99" s="769"/>
      <c r="CXH99" s="769"/>
      <c r="CXI99" s="769"/>
      <c r="CXJ99" s="769"/>
      <c r="CXK99" s="769"/>
      <c r="CXL99" s="769"/>
      <c r="CXM99" s="769"/>
      <c r="CXN99" s="769"/>
      <c r="CXO99" s="769"/>
      <c r="CXP99" s="769"/>
      <c r="CXQ99" s="769"/>
      <c r="CXR99" s="769"/>
      <c r="CXS99" s="769"/>
      <c r="CXT99" s="769"/>
      <c r="CXU99" s="769"/>
      <c r="CXV99" s="769"/>
      <c r="CXW99" s="769"/>
      <c r="CXX99" s="769"/>
      <c r="CXY99" s="769"/>
      <c r="CXZ99" s="769"/>
      <c r="CYA99" s="769"/>
      <c r="CYB99" s="769"/>
      <c r="CYC99" s="769"/>
      <c r="CYD99" s="769"/>
      <c r="CYE99" s="769"/>
      <c r="CYF99" s="769"/>
      <c r="CYG99" s="769"/>
      <c r="CYH99" s="769"/>
      <c r="CYI99" s="769"/>
      <c r="CYJ99" s="769"/>
      <c r="CYK99" s="769"/>
      <c r="CYL99" s="769"/>
      <c r="CYM99" s="769"/>
      <c r="CYN99" s="769"/>
      <c r="CYO99" s="769"/>
      <c r="CYP99" s="769"/>
      <c r="CYQ99" s="769"/>
      <c r="CYR99" s="769"/>
      <c r="CYS99" s="769"/>
      <c r="CYT99" s="769"/>
      <c r="CYU99" s="769"/>
      <c r="CYV99" s="769"/>
      <c r="CYW99" s="769"/>
      <c r="CYX99" s="769"/>
      <c r="CYY99" s="769"/>
      <c r="CYZ99" s="769"/>
      <c r="CZA99" s="769"/>
      <c r="CZB99" s="769"/>
      <c r="CZC99" s="769"/>
      <c r="CZD99" s="769"/>
      <c r="CZE99" s="769"/>
      <c r="CZF99" s="769"/>
      <c r="CZG99" s="769"/>
      <c r="CZH99" s="769"/>
      <c r="CZI99" s="769"/>
      <c r="CZJ99" s="769"/>
      <c r="CZK99" s="769"/>
      <c r="CZL99" s="769"/>
      <c r="CZM99" s="769"/>
      <c r="CZN99" s="769"/>
      <c r="CZO99" s="769"/>
      <c r="CZP99" s="769"/>
      <c r="CZQ99" s="769"/>
      <c r="CZR99" s="769"/>
      <c r="CZS99" s="769"/>
      <c r="CZT99" s="769"/>
      <c r="CZU99" s="769"/>
      <c r="CZV99" s="769"/>
      <c r="CZW99" s="769"/>
      <c r="CZX99" s="769"/>
      <c r="CZY99" s="769"/>
      <c r="CZZ99" s="769"/>
      <c r="DAA99" s="769"/>
      <c r="DAB99" s="769"/>
      <c r="DAC99" s="769"/>
      <c r="DAD99" s="769"/>
      <c r="DAE99" s="769"/>
      <c r="DAF99" s="769"/>
      <c r="DAG99" s="769"/>
      <c r="DAH99" s="769"/>
      <c r="DAI99" s="769"/>
      <c r="DAJ99" s="769"/>
      <c r="DAK99" s="769"/>
      <c r="DAL99" s="769"/>
      <c r="DAM99" s="769"/>
      <c r="DAN99" s="769"/>
      <c r="DAO99" s="769"/>
      <c r="DAP99" s="769"/>
      <c r="DAQ99" s="769"/>
      <c r="DAR99" s="769"/>
      <c r="DAS99" s="769"/>
      <c r="DAT99" s="769"/>
      <c r="DAU99" s="769"/>
      <c r="DAV99" s="769"/>
      <c r="DAW99" s="769"/>
      <c r="DAX99" s="769"/>
      <c r="DAY99" s="769"/>
      <c r="DAZ99" s="769"/>
      <c r="DBA99" s="769"/>
      <c r="DBB99" s="769"/>
      <c r="DBC99" s="769"/>
      <c r="DBD99" s="769"/>
      <c r="DBE99" s="769"/>
      <c r="DBF99" s="769"/>
      <c r="DBG99" s="769"/>
      <c r="DBH99" s="769"/>
      <c r="DBI99" s="769"/>
      <c r="DBJ99" s="769"/>
      <c r="DBK99" s="769"/>
      <c r="DBL99" s="769"/>
      <c r="DBM99" s="769"/>
      <c r="DBN99" s="769"/>
      <c r="DBO99" s="769"/>
      <c r="DBP99" s="769"/>
      <c r="DBQ99" s="769"/>
      <c r="DBR99" s="769"/>
      <c r="DBS99" s="769"/>
      <c r="DBT99" s="769"/>
      <c r="DBU99" s="769"/>
      <c r="DBV99" s="769"/>
      <c r="DBW99" s="769"/>
      <c r="DBX99" s="769"/>
      <c r="DBY99" s="769"/>
      <c r="DBZ99" s="769"/>
      <c r="DCA99" s="769"/>
      <c r="DCB99" s="769"/>
      <c r="DCC99" s="769"/>
      <c r="DCD99" s="769"/>
      <c r="DCE99" s="769"/>
      <c r="DCF99" s="769"/>
      <c r="DCG99" s="769"/>
      <c r="DCH99" s="769"/>
      <c r="DCI99" s="769"/>
      <c r="DCJ99" s="769"/>
      <c r="DCK99" s="769"/>
      <c r="DCL99" s="769"/>
      <c r="DCM99" s="769"/>
      <c r="DCN99" s="769"/>
      <c r="DCO99" s="769"/>
      <c r="DCP99" s="769"/>
      <c r="DCQ99" s="769"/>
      <c r="DCR99" s="769"/>
      <c r="DCS99" s="769"/>
      <c r="DCT99" s="769"/>
      <c r="DCU99" s="769"/>
      <c r="DCV99" s="769"/>
      <c r="DCW99" s="769"/>
      <c r="DCX99" s="769"/>
      <c r="DCY99" s="769"/>
      <c r="DCZ99" s="769"/>
      <c r="DDA99" s="769"/>
      <c r="DDB99" s="769"/>
      <c r="DDC99" s="769"/>
      <c r="DDD99" s="769"/>
      <c r="DDE99" s="769"/>
      <c r="DDF99" s="769"/>
      <c r="DDG99" s="769"/>
      <c r="DDH99" s="769"/>
      <c r="DDI99" s="769"/>
      <c r="DDJ99" s="769"/>
      <c r="DDK99" s="769"/>
      <c r="DDL99" s="769"/>
      <c r="DDM99" s="769"/>
      <c r="DDN99" s="769"/>
      <c r="DDO99" s="769"/>
      <c r="DDP99" s="769"/>
      <c r="DDQ99" s="769"/>
      <c r="DDR99" s="769"/>
      <c r="DDS99" s="769"/>
      <c r="DDT99" s="769"/>
      <c r="DDU99" s="769"/>
      <c r="DDV99" s="769"/>
      <c r="DDW99" s="769"/>
      <c r="DDX99" s="769"/>
      <c r="DDY99" s="769"/>
      <c r="DDZ99" s="769"/>
      <c r="DEA99" s="769"/>
      <c r="DEB99" s="769"/>
      <c r="DEC99" s="769"/>
      <c r="DED99" s="769"/>
      <c r="DEE99" s="769"/>
      <c r="DEF99" s="769"/>
      <c r="DEG99" s="769"/>
      <c r="DEH99" s="769"/>
      <c r="DEI99" s="769"/>
      <c r="DEJ99" s="769"/>
      <c r="DEK99" s="769"/>
      <c r="DEL99" s="769"/>
      <c r="DEM99" s="769"/>
      <c r="DEN99" s="769"/>
      <c r="DEO99" s="769"/>
      <c r="DEP99" s="769"/>
      <c r="DEQ99" s="769"/>
      <c r="DER99" s="769"/>
      <c r="DES99" s="769"/>
      <c r="DET99" s="769"/>
      <c r="DEU99" s="769"/>
      <c r="DEV99" s="769"/>
      <c r="DEW99" s="769"/>
      <c r="DEX99" s="769"/>
      <c r="DEY99" s="769"/>
      <c r="DEZ99" s="769"/>
      <c r="DFA99" s="769"/>
      <c r="DFB99" s="769"/>
      <c r="DFC99" s="769"/>
      <c r="DFD99" s="769"/>
      <c r="DFE99" s="769"/>
      <c r="DFF99" s="769"/>
      <c r="DFG99" s="769"/>
      <c r="DFH99" s="769"/>
      <c r="DFI99" s="769"/>
      <c r="DFJ99" s="769"/>
      <c r="DFK99" s="769"/>
      <c r="DFL99" s="769"/>
      <c r="DFM99" s="769"/>
      <c r="DFN99" s="769"/>
      <c r="DFO99" s="769"/>
      <c r="DFP99" s="769"/>
      <c r="DFQ99" s="769"/>
      <c r="DFR99" s="769"/>
      <c r="DFS99" s="769"/>
      <c r="DFT99" s="769"/>
      <c r="DFU99" s="769"/>
      <c r="DFV99" s="769"/>
      <c r="DFW99" s="769"/>
      <c r="DFX99" s="769"/>
      <c r="DFY99" s="769"/>
      <c r="DFZ99" s="769"/>
      <c r="DGA99" s="769"/>
      <c r="DGB99" s="769"/>
      <c r="DGC99" s="769"/>
      <c r="DGD99" s="769"/>
      <c r="DGE99" s="769"/>
      <c r="DGF99" s="769"/>
      <c r="DGG99" s="769"/>
      <c r="DGH99" s="769"/>
      <c r="DGI99" s="769"/>
      <c r="DGJ99" s="769"/>
      <c r="DGK99" s="769"/>
      <c r="DGL99" s="769"/>
      <c r="DGM99" s="769"/>
      <c r="DGN99" s="769"/>
      <c r="DGO99" s="769"/>
      <c r="DGP99" s="769"/>
      <c r="DGQ99" s="769"/>
      <c r="DGR99" s="769"/>
      <c r="DGS99" s="769"/>
      <c r="DGT99" s="769"/>
      <c r="DGU99" s="769"/>
      <c r="DGV99" s="769"/>
      <c r="DGW99" s="769"/>
      <c r="DGX99" s="769"/>
      <c r="DGY99" s="769"/>
      <c r="DGZ99" s="769"/>
      <c r="DHA99" s="769"/>
      <c r="DHB99" s="769"/>
      <c r="DHC99" s="769"/>
      <c r="DHD99" s="769"/>
      <c r="DHE99" s="769"/>
      <c r="DHF99" s="769"/>
      <c r="DHG99" s="769"/>
      <c r="DHH99" s="769"/>
      <c r="DHI99" s="769"/>
      <c r="DHJ99" s="769"/>
      <c r="DHK99" s="769"/>
      <c r="DHL99" s="769"/>
      <c r="DHM99" s="769"/>
      <c r="DHN99" s="769"/>
      <c r="DHO99" s="769"/>
      <c r="DHP99" s="769"/>
      <c r="DHQ99" s="769"/>
      <c r="DHR99" s="769"/>
      <c r="DHS99" s="769"/>
      <c r="DHT99" s="769"/>
      <c r="DHU99" s="769"/>
      <c r="DHV99" s="769"/>
      <c r="DHW99" s="769"/>
      <c r="DHX99" s="769"/>
      <c r="DHY99" s="769"/>
      <c r="DHZ99" s="769"/>
      <c r="DIA99" s="769"/>
      <c r="DIB99" s="769"/>
      <c r="DIC99" s="769"/>
      <c r="DID99" s="769"/>
      <c r="DIE99" s="769"/>
      <c r="DIF99" s="769"/>
      <c r="DIG99" s="769"/>
      <c r="DIH99" s="769"/>
      <c r="DII99" s="769"/>
      <c r="DIJ99" s="769"/>
      <c r="DIK99" s="769"/>
      <c r="DIL99" s="769"/>
      <c r="DIM99" s="769"/>
      <c r="DIN99" s="769"/>
      <c r="DIO99" s="769"/>
      <c r="DIP99" s="769"/>
      <c r="DIQ99" s="769"/>
      <c r="DIR99" s="769"/>
      <c r="DIS99" s="769"/>
      <c r="DIT99" s="769"/>
      <c r="DIU99" s="769"/>
      <c r="DIV99" s="769"/>
      <c r="DIW99" s="769"/>
      <c r="DIX99" s="769"/>
      <c r="DIY99" s="769"/>
      <c r="DIZ99" s="769"/>
      <c r="DJA99" s="769"/>
      <c r="DJB99" s="769"/>
      <c r="DJC99" s="769"/>
      <c r="DJD99" s="769"/>
      <c r="DJE99" s="769"/>
      <c r="DJF99" s="769"/>
      <c r="DJG99" s="769"/>
      <c r="DJH99" s="769"/>
      <c r="DJI99" s="769"/>
      <c r="DJJ99" s="769"/>
      <c r="DJK99" s="769"/>
      <c r="DJL99" s="769"/>
      <c r="DJM99" s="769"/>
      <c r="DJN99" s="769"/>
      <c r="DJO99" s="769"/>
      <c r="DJP99" s="769"/>
      <c r="DJQ99" s="769"/>
      <c r="DJR99" s="769"/>
      <c r="DJS99" s="769"/>
      <c r="DJT99" s="769"/>
      <c r="DJU99" s="769"/>
      <c r="DJV99" s="769"/>
      <c r="DJW99" s="769"/>
      <c r="DJX99" s="769"/>
      <c r="DJY99" s="769"/>
      <c r="DJZ99" s="769"/>
      <c r="DKA99" s="769"/>
      <c r="DKB99" s="769"/>
      <c r="DKC99" s="769"/>
      <c r="DKD99" s="769"/>
      <c r="DKE99" s="769"/>
      <c r="DKF99" s="769"/>
      <c r="DKG99" s="769"/>
      <c r="DKH99" s="769"/>
      <c r="DKI99" s="769"/>
      <c r="DKJ99" s="769"/>
      <c r="DKK99" s="769"/>
      <c r="DKL99" s="769"/>
      <c r="DKM99" s="769"/>
      <c r="DKN99" s="769"/>
      <c r="DKO99" s="769"/>
      <c r="DKP99" s="769"/>
      <c r="DKQ99" s="769"/>
      <c r="DKR99" s="769"/>
      <c r="DKS99" s="769"/>
      <c r="DKT99" s="769"/>
      <c r="DKU99" s="769"/>
      <c r="DKV99" s="769"/>
      <c r="DKW99" s="769"/>
      <c r="DKX99" s="769"/>
      <c r="DKY99" s="769"/>
      <c r="DKZ99" s="769"/>
      <c r="DLA99" s="769"/>
      <c r="DLB99" s="769"/>
      <c r="DLC99" s="769"/>
      <c r="DLD99" s="769"/>
      <c r="DLE99" s="769"/>
      <c r="DLF99" s="769"/>
      <c r="DLG99" s="769"/>
      <c r="DLH99" s="769"/>
      <c r="DLI99" s="769"/>
      <c r="DLJ99" s="769"/>
      <c r="DLK99" s="769"/>
      <c r="DLL99" s="769"/>
      <c r="DLM99" s="769"/>
      <c r="DLN99" s="769"/>
      <c r="DLO99" s="769"/>
      <c r="DLP99" s="769"/>
      <c r="DLQ99" s="769"/>
      <c r="DLR99" s="769"/>
      <c r="DLS99" s="769"/>
      <c r="DLT99" s="769"/>
      <c r="DLU99" s="769"/>
      <c r="DLV99" s="769"/>
      <c r="DLW99" s="769"/>
      <c r="DLX99" s="769"/>
      <c r="DLY99" s="769"/>
      <c r="DLZ99" s="769"/>
      <c r="DMA99" s="769"/>
      <c r="DMB99" s="769"/>
      <c r="DMC99" s="769"/>
      <c r="DMD99" s="769"/>
      <c r="DME99" s="769"/>
      <c r="DMF99" s="769"/>
      <c r="DMG99" s="769"/>
      <c r="DMH99" s="769"/>
      <c r="DMI99" s="769"/>
      <c r="DMJ99" s="769"/>
      <c r="DMK99" s="769"/>
      <c r="DML99" s="769"/>
      <c r="DMM99" s="769"/>
      <c r="DMN99" s="769"/>
      <c r="DMO99" s="769"/>
      <c r="DMP99" s="769"/>
      <c r="DMQ99" s="769"/>
      <c r="DMR99" s="769"/>
      <c r="DMS99" s="769"/>
      <c r="DMT99" s="769"/>
      <c r="DMU99" s="769"/>
      <c r="DMV99" s="769"/>
      <c r="DMW99" s="769"/>
      <c r="DMX99" s="769"/>
      <c r="DMY99" s="769"/>
      <c r="DMZ99" s="769"/>
      <c r="DNA99" s="769"/>
      <c r="DNB99" s="769"/>
      <c r="DNC99" s="769"/>
      <c r="DND99" s="769"/>
      <c r="DNE99" s="769"/>
      <c r="DNF99" s="769"/>
      <c r="DNG99" s="769"/>
      <c r="DNH99" s="769"/>
      <c r="DNI99" s="769"/>
      <c r="DNJ99" s="769"/>
      <c r="DNK99" s="769"/>
      <c r="DNL99" s="769"/>
      <c r="DNM99" s="769"/>
      <c r="DNN99" s="769"/>
      <c r="DNO99" s="769"/>
      <c r="DNP99" s="769"/>
      <c r="DNQ99" s="769"/>
      <c r="DNR99" s="769"/>
      <c r="DNS99" s="769"/>
      <c r="DNT99" s="769"/>
      <c r="DNU99" s="769"/>
      <c r="DNV99" s="769"/>
      <c r="DNW99" s="769"/>
      <c r="DNX99" s="769"/>
      <c r="DNY99" s="769"/>
      <c r="DNZ99" s="769"/>
      <c r="DOA99" s="769"/>
      <c r="DOB99" s="769"/>
      <c r="DOC99" s="769"/>
      <c r="DOD99" s="769"/>
      <c r="DOE99" s="769"/>
      <c r="DOF99" s="769"/>
      <c r="DOG99" s="769"/>
      <c r="DOH99" s="769"/>
      <c r="DOI99" s="769"/>
      <c r="DOJ99" s="769"/>
      <c r="DOK99" s="769"/>
      <c r="DOL99" s="769"/>
      <c r="DOM99" s="769"/>
      <c r="DON99" s="769"/>
      <c r="DOO99" s="769"/>
      <c r="DOP99" s="769"/>
      <c r="DOQ99" s="769"/>
      <c r="DOR99" s="769"/>
      <c r="DOS99" s="769"/>
      <c r="DOT99" s="769"/>
      <c r="DOU99" s="769"/>
      <c r="DOV99" s="769"/>
      <c r="DOW99" s="769"/>
      <c r="DOX99" s="769"/>
      <c r="DOY99" s="769"/>
      <c r="DOZ99" s="769"/>
      <c r="DPA99" s="769"/>
      <c r="DPB99" s="769"/>
      <c r="DPC99" s="769"/>
      <c r="DPD99" s="769"/>
      <c r="DPE99" s="769"/>
      <c r="DPF99" s="769"/>
      <c r="DPG99" s="769"/>
      <c r="DPH99" s="769"/>
      <c r="DPI99" s="769"/>
      <c r="DPJ99" s="769"/>
      <c r="DPK99" s="769"/>
      <c r="DPL99" s="769"/>
      <c r="DPM99" s="769"/>
      <c r="DPN99" s="769"/>
      <c r="DPO99" s="769"/>
      <c r="DPP99" s="769"/>
      <c r="DPQ99" s="769"/>
      <c r="DPR99" s="769"/>
      <c r="DPS99" s="769"/>
      <c r="DPT99" s="769"/>
      <c r="DPU99" s="769"/>
      <c r="DPV99" s="769"/>
      <c r="DPW99" s="769"/>
      <c r="DPX99" s="769"/>
      <c r="DPY99" s="769"/>
      <c r="DPZ99" s="769"/>
      <c r="DQA99" s="769"/>
      <c r="DQB99" s="769"/>
      <c r="DQC99" s="769"/>
      <c r="DQD99" s="769"/>
      <c r="DQE99" s="769"/>
      <c r="DQF99" s="769"/>
      <c r="DQG99" s="769"/>
      <c r="DQH99" s="769"/>
      <c r="DQI99" s="769"/>
      <c r="DQJ99" s="769"/>
      <c r="DQK99" s="769"/>
      <c r="DQL99" s="769"/>
      <c r="DQM99" s="769"/>
      <c r="DQN99" s="769"/>
      <c r="DQO99" s="769"/>
      <c r="DQP99" s="769"/>
      <c r="DQQ99" s="769"/>
      <c r="DQR99" s="769"/>
      <c r="DQS99" s="769"/>
      <c r="DQT99" s="769"/>
      <c r="DQU99" s="769"/>
      <c r="DQV99" s="769"/>
      <c r="DQW99" s="769"/>
      <c r="DQX99" s="769"/>
      <c r="DQY99" s="769"/>
      <c r="DQZ99" s="769"/>
      <c r="DRA99" s="769"/>
      <c r="DRB99" s="769"/>
      <c r="DRC99" s="769"/>
      <c r="DRD99" s="769"/>
      <c r="DRE99" s="769"/>
      <c r="DRF99" s="769"/>
      <c r="DRG99" s="769"/>
      <c r="DRH99" s="769"/>
      <c r="DRI99" s="769"/>
      <c r="DRJ99" s="769"/>
      <c r="DRK99" s="769"/>
      <c r="DRL99" s="769"/>
      <c r="DRM99" s="769"/>
      <c r="DRN99" s="769"/>
      <c r="DRO99" s="769"/>
      <c r="DRP99" s="769"/>
      <c r="DRQ99" s="769"/>
      <c r="DRR99" s="769"/>
      <c r="DRS99" s="769"/>
      <c r="DRT99" s="769"/>
      <c r="DRU99" s="769"/>
      <c r="DRV99" s="769"/>
      <c r="DRW99" s="769"/>
      <c r="DRX99" s="769"/>
      <c r="DRY99" s="769"/>
      <c r="DRZ99" s="769"/>
      <c r="DSA99" s="769"/>
      <c r="DSB99" s="769"/>
      <c r="DSC99" s="769"/>
      <c r="DSD99" s="769"/>
      <c r="DSE99" s="769"/>
      <c r="DSF99" s="769"/>
      <c r="DSG99" s="769"/>
      <c r="DSH99" s="769"/>
      <c r="DSI99" s="769"/>
      <c r="DSJ99" s="769"/>
      <c r="DSK99" s="769"/>
      <c r="DSL99" s="769"/>
      <c r="DSM99" s="769"/>
      <c r="DSN99" s="769"/>
      <c r="DSO99" s="769"/>
      <c r="DSP99" s="769"/>
      <c r="DSQ99" s="769"/>
      <c r="DSR99" s="769"/>
      <c r="DSS99" s="769"/>
      <c r="DST99" s="769"/>
      <c r="DSU99" s="769"/>
      <c r="DSV99" s="769"/>
      <c r="DSW99" s="769"/>
      <c r="DSX99" s="769"/>
      <c r="DSY99" s="769"/>
      <c r="DSZ99" s="769"/>
      <c r="DTA99" s="769"/>
      <c r="DTB99" s="769"/>
      <c r="DTC99" s="769"/>
      <c r="DTD99" s="769"/>
      <c r="DTE99" s="769"/>
      <c r="DTF99" s="769"/>
      <c r="DTG99" s="769"/>
      <c r="DTH99" s="769"/>
      <c r="DTI99" s="769"/>
      <c r="DTJ99" s="769"/>
      <c r="DTK99" s="769"/>
      <c r="DTL99" s="769"/>
      <c r="DTM99" s="769"/>
      <c r="DTN99" s="769"/>
      <c r="DTO99" s="769"/>
      <c r="DTP99" s="769"/>
      <c r="DTQ99" s="769"/>
      <c r="DTR99" s="769"/>
      <c r="DTS99" s="769"/>
      <c r="DTT99" s="769"/>
      <c r="DTU99" s="769"/>
      <c r="DTV99" s="769"/>
      <c r="DTW99" s="769"/>
      <c r="DTX99" s="769"/>
      <c r="DTY99" s="769"/>
      <c r="DTZ99" s="769"/>
      <c r="DUA99" s="769"/>
      <c r="DUB99" s="769"/>
      <c r="DUC99" s="769"/>
      <c r="DUD99" s="769"/>
      <c r="DUE99" s="769"/>
      <c r="DUF99" s="769"/>
      <c r="DUG99" s="769"/>
      <c r="DUH99" s="769"/>
      <c r="DUI99" s="769"/>
      <c r="DUJ99" s="769"/>
      <c r="DUK99" s="769"/>
      <c r="DUL99" s="769"/>
      <c r="DUM99" s="769"/>
      <c r="DUN99" s="769"/>
      <c r="DUO99" s="769"/>
      <c r="DUP99" s="769"/>
      <c r="DUQ99" s="769"/>
      <c r="DUR99" s="769"/>
      <c r="DUS99" s="769"/>
      <c r="DUT99" s="769"/>
      <c r="DUU99" s="769"/>
      <c r="DUV99" s="769"/>
      <c r="DUW99" s="769"/>
      <c r="DUX99" s="769"/>
      <c r="DUY99" s="769"/>
      <c r="DUZ99" s="769"/>
      <c r="DVA99" s="769"/>
      <c r="DVB99" s="769"/>
      <c r="DVC99" s="769"/>
      <c r="DVD99" s="769"/>
      <c r="DVE99" s="769"/>
      <c r="DVF99" s="769"/>
      <c r="DVG99" s="769"/>
      <c r="DVH99" s="769"/>
      <c r="DVI99" s="769"/>
      <c r="DVJ99" s="769"/>
      <c r="DVK99" s="769"/>
      <c r="DVL99" s="769"/>
      <c r="DVM99" s="769"/>
      <c r="DVN99" s="769"/>
      <c r="DVO99" s="769"/>
      <c r="DVP99" s="769"/>
      <c r="DVQ99" s="769"/>
      <c r="DVR99" s="769"/>
      <c r="DVS99" s="769"/>
      <c r="DVT99" s="769"/>
      <c r="DVU99" s="769"/>
      <c r="DVV99" s="769"/>
      <c r="DVW99" s="769"/>
      <c r="DVX99" s="769"/>
      <c r="DVY99" s="769"/>
      <c r="DVZ99" s="769"/>
      <c r="DWA99" s="769"/>
      <c r="DWB99" s="769"/>
      <c r="DWC99" s="769"/>
      <c r="DWD99" s="769"/>
      <c r="DWE99" s="769"/>
      <c r="DWF99" s="769"/>
      <c r="DWG99" s="769"/>
      <c r="DWH99" s="769"/>
      <c r="DWI99" s="769"/>
      <c r="DWJ99" s="769"/>
      <c r="DWK99" s="769"/>
      <c r="DWL99" s="769"/>
      <c r="DWM99" s="769"/>
      <c r="DWN99" s="769"/>
      <c r="DWO99" s="769"/>
      <c r="DWP99" s="769"/>
      <c r="DWQ99" s="769"/>
      <c r="DWR99" s="769"/>
      <c r="DWS99" s="769"/>
      <c r="DWT99" s="769"/>
      <c r="DWU99" s="769"/>
      <c r="DWV99" s="769"/>
      <c r="DWW99" s="769"/>
      <c r="DWX99" s="769"/>
      <c r="DWY99" s="769"/>
      <c r="DWZ99" s="769"/>
      <c r="DXA99" s="769"/>
      <c r="DXB99" s="769"/>
      <c r="DXC99" s="769"/>
      <c r="DXD99" s="769"/>
      <c r="DXE99" s="769"/>
      <c r="DXF99" s="769"/>
      <c r="DXG99" s="769"/>
      <c r="DXH99" s="769"/>
      <c r="DXI99" s="769"/>
      <c r="DXJ99" s="769"/>
      <c r="DXK99" s="769"/>
      <c r="DXL99" s="769"/>
      <c r="DXM99" s="769"/>
      <c r="DXN99" s="769"/>
      <c r="DXO99" s="769"/>
      <c r="DXP99" s="769"/>
      <c r="DXQ99" s="769"/>
      <c r="DXR99" s="769"/>
      <c r="DXS99" s="769"/>
      <c r="DXT99" s="769"/>
      <c r="DXU99" s="769"/>
      <c r="DXV99" s="769"/>
      <c r="DXW99" s="769"/>
      <c r="DXX99" s="769"/>
      <c r="DXY99" s="769"/>
      <c r="DXZ99" s="769"/>
      <c r="DYA99" s="769"/>
      <c r="DYB99" s="769"/>
      <c r="DYC99" s="769"/>
      <c r="DYD99" s="769"/>
      <c r="DYE99" s="769"/>
      <c r="DYF99" s="769"/>
      <c r="DYG99" s="769"/>
      <c r="DYH99" s="769"/>
      <c r="DYI99" s="769"/>
      <c r="DYJ99" s="769"/>
      <c r="DYK99" s="769"/>
      <c r="DYL99" s="769"/>
      <c r="DYM99" s="769"/>
      <c r="DYN99" s="769"/>
      <c r="DYO99" s="769"/>
      <c r="DYP99" s="769"/>
      <c r="DYQ99" s="769"/>
      <c r="DYR99" s="769"/>
      <c r="DYS99" s="769"/>
      <c r="DYT99" s="769"/>
      <c r="DYU99" s="769"/>
      <c r="DYV99" s="769"/>
      <c r="DYW99" s="769"/>
      <c r="DYX99" s="769"/>
      <c r="DYY99" s="769"/>
      <c r="DYZ99" s="769"/>
      <c r="DZA99" s="769"/>
      <c r="DZB99" s="769"/>
      <c r="DZC99" s="769"/>
      <c r="DZD99" s="769"/>
      <c r="DZE99" s="769"/>
      <c r="DZF99" s="769"/>
      <c r="DZG99" s="769"/>
      <c r="DZH99" s="769"/>
      <c r="DZI99" s="769"/>
      <c r="DZJ99" s="769"/>
      <c r="DZK99" s="769"/>
      <c r="DZL99" s="769"/>
      <c r="DZM99" s="769"/>
      <c r="DZN99" s="769"/>
      <c r="DZO99" s="769"/>
      <c r="DZP99" s="769"/>
      <c r="DZQ99" s="769"/>
      <c r="DZR99" s="769"/>
      <c r="DZS99" s="769"/>
      <c r="DZT99" s="769"/>
      <c r="DZU99" s="769"/>
      <c r="DZV99" s="769"/>
      <c r="DZW99" s="769"/>
      <c r="DZX99" s="769"/>
      <c r="DZY99" s="769"/>
      <c r="DZZ99" s="769"/>
      <c r="EAA99" s="769"/>
      <c r="EAB99" s="769"/>
      <c r="EAC99" s="769"/>
      <c r="EAD99" s="769"/>
      <c r="EAE99" s="769"/>
      <c r="EAF99" s="769"/>
      <c r="EAG99" s="769"/>
      <c r="EAH99" s="769"/>
      <c r="EAI99" s="769"/>
      <c r="EAJ99" s="769"/>
      <c r="EAK99" s="769"/>
      <c r="EAL99" s="769"/>
      <c r="EAM99" s="769"/>
      <c r="EAN99" s="769"/>
      <c r="EAO99" s="769"/>
      <c r="EAP99" s="769"/>
      <c r="EAQ99" s="769"/>
      <c r="EAR99" s="769"/>
      <c r="EAS99" s="769"/>
      <c r="EAT99" s="769"/>
      <c r="EAU99" s="769"/>
      <c r="EAV99" s="769"/>
      <c r="EAW99" s="769"/>
      <c r="EAX99" s="769"/>
      <c r="EAY99" s="769"/>
      <c r="EAZ99" s="769"/>
      <c r="EBA99" s="769"/>
      <c r="EBB99" s="769"/>
      <c r="EBC99" s="769"/>
      <c r="EBD99" s="769"/>
      <c r="EBE99" s="769"/>
      <c r="EBF99" s="769"/>
      <c r="EBG99" s="769"/>
      <c r="EBH99" s="769"/>
      <c r="EBI99" s="769"/>
      <c r="EBJ99" s="769"/>
      <c r="EBK99" s="769"/>
      <c r="EBL99" s="769"/>
      <c r="EBM99" s="769"/>
      <c r="EBN99" s="769"/>
      <c r="EBO99" s="769"/>
      <c r="EBP99" s="769"/>
      <c r="EBQ99" s="769"/>
      <c r="EBR99" s="769"/>
      <c r="EBS99" s="769"/>
      <c r="EBT99" s="769"/>
      <c r="EBU99" s="769"/>
      <c r="EBV99" s="769"/>
      <c r="EBW99" s="769"/>
      <c r="EBX99" s="769"/>
      <c r="EBY99" s="769"/>
      <c r="EBZ99" s="769"/>
      <c r="ECA99" s="769"/>
      <c r="ECB99" s="769"/>
      <c r="ECC99" s="769"/>
      <c r="ECD99" s="769"/>
      <c r="ECE99" s="769"/>
      <c r="ECF99" s="769"/>
      <c r="ECG99" s="769"/>
      <c r="ECH99" s="769"/>
      <c r="ECI99" s="769"/>
      <c r="ECJ99" s="769"/>
      <c r="ECK99" s="769"/>
      <c r="ECL99" s="769"/>
      <c r="ECM99" s="769"/>
      <c r="ECN99" s="769"/>
      <c r="ECO99" s="769"/>
      <c r="ECP99" s="769"/>
      <c r="ECQ99" s="769"/>
      <c r="ECR99" s="769"/>
      <c r="ECS99" s="769"/>
      <c r="ECT99" s="769"/>
      <c r="ECU99" s="769"/>
      <c r="ECV99" s="769"/>
      <c r="ECW99" s="769"/>
      <c r="ECX99" s="769"/>
      <c r="ECY99" s="769"/>
      <c r="ECZ99" s="769"/>
      <c r="EDA99" s="769"/>
      <c r="EDB99" s="769"/>
      <c r="EDC99" s="769"/>
      <c r="EDD99" s="769"/>
      <c r="EDE99" s="769"/>
      <c r="EDF99" s="769"/>
      <c r="EDG99" s="769"/>
      <c r="EDH99" s="769"/>
      <c r="EDI99" s="769"/>
      <c r="EDJ99" s="769"/>
      <c r="EDK99" s="769"/>
      <c r="EDL99" s="769"/>
      <c r="EDM99" s="769"/>
      <c r="EDN99" s="769"/>
      <c r="EDO99" s="769"/>
      <c r="EDP99" s="769"/>
      <c r="EDQ99" s="769"/>
      <c r="EDR99" s="769"/>
      <c r="EDS99" s="769"/>
      <c r="EDT99" s="769"/>
      <c r="EDU99" s="769"/>
      <c r="EDV99" s="769"/>
      <c r="EDW99" s="769"/>
      <c r="EDX99" s="769"/>
      <c r="EDY99" s="769"/>
      <c r="EDZ99" s="769"/>
      <c r="EEA99" s="769"/>
      <c r="EEB99" s="769"/>
      <c r="EEC99" s="769"/>
      <c r="EED99" s="769"/>
      <c r="EEE99" s="769"/>
      <c r="EEF99" s="769"/>
      <c r="EEG99" s="769"/>
      <c r="EEH99" s="769"/>
      <c r="EEI99" s="769"/>
      <c r="EEJ99" s="769"/>
      <c r="EEK99" s="769"/>
      <c r="EEL99" s="769"/>
      <c r="EEM99" s="769"/>
      <c r="EEN99" s="769"/>
      <c r="EEO99" s="769"/>
      <c r="EEP99" s="769"/>
      <c r="EEQ99" s="769"/>
      <c r="EER99" s="769"/>
      <c r="EES99" s="769"/>
      <c r="EET99" s="769"/>
      <c r="EEU99" s="769"/>
      <c r="EEV99" s="769"/>
      <c r="EEW99" s="769"/>
      <c r="EEX99" s="769"/>
      <c r="EEY99" s="769"/>
      <c r="EEZ99" s="769"/>
      <c r="EFA99" s="769"/>
      <c r="EFB99" s="769"/>
      <c r="EFC99" s="769"/>
      <c r="EFD99" s="769"/>
      <c r="EFE99" s="769"/>
      <c r="EFF99" s="769"/>
      <c r="EFG99" s="769"/>
      <c r="EFH99" s="769"/>
      <c r="EFI99" s="769"/>
      <c r="EFJ99" s="769"/>
      <c r="EFK99" s="769"/>
      <c r="EFL99" s="769"/>
      <c r="EFM99" s="769"/>
      <c r="EFN99" s="769"/>
      <c r="EFO99" s="769"/>
      <c r="EFP99" s="769"/>
      <c r="EFQ99" s="769"/>
      <c r="EFR99" s="769"/>
      <c r="EFS99" s="769"/>
      <c r="EFT99" s="769"/>
      <c r="EFU99" s="769"/>
      <c r="EFV99" s="769"/>
      <c r="EFW99" s="769"/>
      <c r="EFX99" s="769"/>
      <c r="EFY99" s="769"/>
      <c r="EFZ99" s="769"/>
      <c r="EGA99" s="769"/>
      <c r="EGB99" s="769"/>
      <c r="EGC99" s="769"/>
      <c r="EGD99" s="769"/>
      <c r="EGE99" s="769"/>
      <c r="EGF99" s="769"/>
      <c r="EGG99" s="769"/>
      <c r="EGH99" s="769"/>
      <c r="EGI99" s="769"/>
      <c r="EGJ99" s="769"/>
      <c r="EGK99" s="769"/>
      <c r="EGL99" s="769"/>
      <c r="EGM99" s="769"/>
      <c r="EGN99" s="769"/>
      <c r="EGO99" s="769"/>
      <c r="EGP99" s="769"/>
      <c r="EGQ99" s="769"/>
      <c r="EGR99" s="769"/>
      <c r="EGS99" s="769"/>
      <c r="EGT99" s="769"/>
      <c r="EGU99" s="769"/>
      <c r="EGV99" s="769"/>
      <c r="EGW99" s="769"/>
      <c r="EGX99" s="769"/>
      <c r="EGY99" s="769"/>
      <c r="EGZ99" s="769"/>
      <c r="EHA99" s="769"/>
      <c r="EHB99" s="769"/>
      <c r="EHC99" s="769"/>
      <c r="EHD99" s="769"/>
      <c r="EHE99" s="769"/>
      <c r="EHF99" s="769"/>
      <c r="EHG99" s="769"/>
      <c r="EHH99" s="769"/>
      <c r="EHI99" s="769"/>
      <c r="EHJ99" s="769"/>
      <c r="EHK99" s="769"/>
      <c r="EHL99" s="769"/>
      <c r="EHM99" s="769"/>
      <c r="EHN99" s="769"/>
      <c r="EHO99" s="769"/>
      <c r="EHP99" s="769"/>
      <c r="EHQ99" s="769"/>
      <c r="EHR99" s="769"/>
      <c r="EHS99" s="769"/>
      <c r="EHT99" s="769"/>
      <c r="EHU99" s="769"/>
      <c r="EHV99" s="769"/>
      <c r="EHW99" s="769"/>
      <c r="EHX99" s="769"/>
      <c r="EHY99" s="769"/>
      <c r="EHZ99" s="769"/>
      <c r="EIA99" s="769"/>
      <c r="EIB99" s="769"/>
      <c r="EIC99" s="769"/>
      <c r="EID99" s="769"/>
      <c r="EIE99" s="769"/>
      <c r="EIF99" s="769"/>
      <c r="EIG99" s="769"/>
      <c r="EIH99" s="769"/>
      <c r="EII99" s="769"/>
      <c r="EIJ99" s="769"/>
      <c r="EIK99" s="769"/>
      <c r="EIL99" s="769"/>
      <c r="EIM99" s="769"/>
      <c r="EIN99" s="769"/>
      <c r="EIO99" s="769"/>
      <c r="EIP99" s="769"/>
      <c r="EIQ99" s="769"/>
      <c r="EIR99" s="769"/>
      <c r="EIS99" s="769"/>
      <c r="EIT99" s="769"/>
      <c r="EIU99" s="769"/>
      <c r="EIV99" s="769"/>
      <c r="EIW99" s="769"/>
      <c r="EIX99" s="769"/>
      <c r="EIY99" s="769"/>
      <c r="EIZ99" s="769"/>
      <c r="EJA99" s="769"/>
      <c r="EJB99" s="769"/>
      <c r="EJC99" s="769"/>
      <c r="EJD99" s="769"/>
      <c r="EJE99" s="769"/>
      <c r="EJF99" s="769"/>
      <c r="EJG99" s="769"/>
      <c r="EJH99" s="769"/>
      <c r="EJI99" s="769"/>
      <c r="EJJ99" s="769"/>
      <c r="EJK99" s="769"/>
      <c r="EJL99" s="769"/>
      <c r="EJM99" s="769"/>
      <c r="EJN99" s="769"/>
      <c r="EJO99" s="769"/>
      <c r="EJP99" s="769"/>
      <c r="EJQ99" s="769"/>
      <c r="EJR99" s="769"/>
      <c r="EJS99" s="769"/>
      <c r="EJT99" s="769"/>
      <c r="EJU99" s="769"/>
      <c r="EJV99" s="769"/>
      <c r="EJW99" s="769"/>
      <c r="EJX99" s="769"/>
      <c r="EJY99" s="769"/>
      <c r="EJZ99" s="769"/>
      <c r="EKA99" s="769"/>
      <c r="EKB99" s="769"/>
      <c r="EKC99" s="769"/>
      <c r="EKD99" s="769"/>
      <c r="EKE99" s="769"/>
      <c r="EKF99" s="769"/>
      <c r="EKG99" s="769"/>
      <c r="EKH99" s="769"/>
      <c r="EKI99" s="769"/>
      <c r="EKJ99" s="769"/>
      <c r="EKK99" s="769"/>
      <c r="EKL99" s="769"/>
      <c r="EKM99" s="769"/>
      <c r="EKN99" s="769"/>
      <c r="EKO99" s="769"/>
      <c r="EKP99" s="769"/>
      <c r="EKQ99" s="769"/>
      <c r="EKR99" s="769"/>
      <c r="EKS99" s="769"/>
      <c r="EKT99" s="769"/>
      <c r="EKU99" s="769"/>
      <c r="EKV99" s="769"/>
      <c r="EKW99" s="769"/>
      <c r="EKX99" s="769"/>
      <c r="EKY99" s="769"/>
      <c r="EKZ99" s="769"/>
      <c r="ELA99" s="769"/>
      <c r="ELB99" s="769"/>
      <c r="ELC99" s="769"/>
      <c r="ELD99" s="769"/>
      <c r="ELE99" s="769"/>
      <c r="ELF99" s="769"/>
      <c r="ELG99" s="769"/>
      <c r="ELH99" s="769"/>
      <c r="ELI99" s="769"/>
      <c r="ELJ99" s="769"/>
      <c r="ELK99" s="769"/>
      <c r="ELL99" s="769"/>
      <c r="ELM99" s="769"/>
      <c r="ELN99" s="769"/>
      <c r="ELO99" s="769"/>
      <c r="ELP99" s="769"/>
      <c r="ELQ99" s="769"/>
      <c r="ELR99" s="769"/>
      <c r="ELS99" s="769"/>
      <c r="ELT99" s="769"/>
      <c r="ELU99" s="769"/>
      <c r="ELV99" s="769"/>
      <c r="ELW99" s="769"/>
      <c r="ELX99" s="769"/>
      <c r="ELY99" s="769"/>
      <c r="ELZ99" s="769"/>
      <c r="EMA99" s="769"/>
      <c r="EMB99" s="769"/>
      <c r="EMC99" s="769"/>
      <c r="EMD99" s="769"/>
      <c r="EME99" s="769"/>
      <c r="EMF99" s="769"/>
      <c r="EMG99" s="769"/>
      <c r="EMH99" s="769"/>
      <c r="EMI99" s="769"/>
      <c r="EMJ99" s="769"/>
      <c r="EMK99" s="769"/>
      <c r="EML99" s="769"/>
      <c r="EMM99" s="769"/>
      <c r="EMN99" s="769"/>
      <c r="EMO99" s="769"/>
      <c r="EMP99" s="769"/>
      <c r="EMQ99" s="769"/>
      <c r="EMR99" s="769"/>
      <c r="EMS99" s="769"/>
      <c r="EMT99" s="769"/>
      <c r="EMU99" s="769"/>
      <c r="EMV99" s="769"/>
      <c r="EMW99" s="769"/>
      <c r="EMX99" s="769"/>
      <c r="EMY99" s="769"/>
      <c r="EMZ99" s="769"/>
      <c r="ENA99" s="769"/>
      <c r="ENB99" s="769"/>
      <c r="ENC99" s="769"/>
      <c r="END99" s="769"/>
      <c r="ENE99" s="769"/>
      <c r="ENF99" s="769"/>
      <c r="ENG99" s="769"/>
      <c r="ENH99" s="769"/>
      <c r="ENI99" s="769"/>
      <c r="ENJ99" s="769"/>
      <c r="ENK99" s="769"/>
      <c r="ENL99" s="769"/>
      <c r="ENM99" s="769"/>
      <c r="ENN99" s="769"/>
      <c r="ENO99" s="769"/>
      <c r="ENP99" s="769"/>
      <c r="ENQ99" s="769"/>
      <c r="ENR99" s="769"/>
      <c r="ENS99" s="769"/>
      <c r="ENT99" s="769"/>
      <c r="ENU99" s="769"/>
      <c r="ENV99" s="769"/>
      <c r="ENW99" s="769"/>
      <c r="ENX99" s="769"/>
      <c r="ENY99" s="769"/>
      <c r="ENZ99" s="769"/>
      <c r="EOA99" s="769"/>
      <c r="EOB99" s="769"/>
      <c r="EOC99" s="769"/>
      <c r="EOD99" s="769"/>
      <c r="EOE99" s="769"/>
      <c r="EOF99" s="769"/>
      <c r="EOG99" s="769"/>
      <c r="EOH99" s="769"/>
      <c r="EOI99" s="769"/>
      <c r="EOJ99" s="769"/>
      <c r="EOK99" s="769"/>
      <c r="EOL99" s="769"/>
      <c r="EOM99" s="769"/>
      <c r="EON99" s="769"/>
      <c r="EOO99" s="769"/>
      <c r="EOP99" s="769"/>
      <c r="EOQ99" s="769"/>
      <c r="EOR99" s="769"/>
      <c r="EOS99" s="769"/>
      <c r="EOT99" s="769"/>
      <c r="EOU99" s="769"/>
      <c r="EOV99" s="769"/>
      <c r="EOW99" s="769"/>
      <c r="EOX99" s="769"/>
      <c r="EOY99" s="769"/>
      <c r="EOZ99" s="769"/>
      <c r="EPA99" s="769"/>
      <c r="EPB99" s="769"/>
      <c r="EPC99" s="769"/>
      <c r="EPD99" s="769"/>
      <c r="EPE99" s="769"/>
      <c r="EPF99" s="769"/>
      <c r="EPG99" s="769"/>
      <c r="EPH99" s="769"/>
      <c r="EPI99" s="769"/>
      <c r="EPJ99" s="769"/>
      <c r="EPK99" s="769"/>
      <c r="EPL99" s="769"/>
      <c r="EPM99" s="769"/>
      <c r="EPN99" s="769"/>
      <c r="EPO99" s="769"/>
      <c r="EPP99" s="769"/>
      <c r="EPQ99" s="769"/>
      <c r="EPR99" s="769"/>
      <c r="EPS99" s="769"/>
      <c r="EPT99" s="769"/>
      <c r="EPU99" s="769"/>
      <c r="EPV99" s="769"/>
      <c r="EPW99" s="769"/>
      <c r="EPX99" s="769"/>
      <c r="EPY99" s="769"/>
      <c r="EPZ99" s="769"/>
      <c r="EQA99" s="769"/>
      <c r="EQB99" s="769"/>
      <c r="EQC99" s="769"/>
      <c r="EQD99" s="769"/>
      <c r="EQE99" s="769"/>
      <c r="EQF99" s="769"/>
      <c r="EQG99" s="769"/>
      <c r="EQH99" s="769"/>
      <c r="EQI99" s="769"/>
      <c r="EQJ99" s="769"/>
      <c r="EQK99" s="769"/>
      <c r="EQL99" s="769"/>
      <c r="EQM99" s="769"/>
      <c r="EQN99" s="769"/>
      <c r="EQO99" s="769"/>
      <c r="EQP99" s="769"/>
      <c r="EQQ99" s="769"/>
      <c r="EQR99" s="769"/>
      <c r="EQS99" s="769"/>
      <c r="EQT99" s="769"/>
      <c r="EQU99" s="769"/>
      <c r="EQV99" s="769"/>
      <c r="EQW99" s="769"/>
      <c r="EQX99" s="769"/>
      <c r="EQY99" s="769"/>
      <c r="EQZ99" s="769"/>
      <c r="ERA99" s="769"/>
      <c r="ERB99" s="769"/>
      <c r="ERC99" s="769"/>
      <c r="ERD99" s="769"/>
      <c r="ERE99" s="769"/>
      <c r="ERF99" s="769"/>
      <c r="ERG99" s="769"/>
      <c r="ERH99" s="769"/>
      <c r="ERI99" s="769"/>
      <c r="ERJ99" s="769"/>
      <c r="ERK99" s="769"/>
      <c r="ERL99" s="769"/>
      <c r="ERM99" s="769"/>
      <c r="ERN99" s="769"/>
      <c r="ERO99" s="769"/>
      <c r="ERP99" s="769"/>
      <c r="ERQ99" s="769"/>
      <c r="ERR99" s="769"/>
      <c r="ERS99" s="769"/>
      <c r="ERT99" s="769"/>
      <c r="ERU99" s="769"/>
      <c r="ERV99" s="769"/>
      <c r="ERW99" s="769"/>
      <c r="ERX99" s="769"/>
      <c r="ERY99" s="769"/>
      <c r="ERZ99" s="769"/>
      <c r="ESA99" s="769"/>
      <c r="ESB99" s="769"/>
      <c r="ESC99" s="769"/>
      <c r="ESD99" s="769"/>
      <c r="ESE99" s="769"/>
      <c r="ESF99" s="769"/>
      <c r="ESG99" s="769"/>
      <c r="ESH99" s="769"/>
      <c r="ESI99" s="769"/>
      <c r="ESJ99" s="769"/>
      <c r="ESK99" s="769"/>
      <c r="ESL99" s="769"/>
      <c r="ESM99" s="769"/>
      <c r="ESN99" s="769"/>
      <c r="ESO99" s="769"/>
      <c r="ESP99" s="769"/>
      <c r="ESQ99" s="769"/>
      <c r="ESR99" s="769"/>
      <c r="ESS99" s="769"/>
      <c r="EST99" s="769"/>
      <c r="ESU99" s="769"/>
      <c r="ESV99" s="769"/>
      <c r="ESW99" s="769"/>
      <c r="ESX99" s="769"/>
      <c r="ESY99" s="769"/>
      <c r="ESZ99" s="769"/>
      <c r="ETA99" s="769"/>
      <c r="ETB99" s="769"/>
      <c r="ETC99" s="769"/>
      <c r="ETD99" s="769"/>
      <c r="ETE99" s="769"/>
      <c r="ETF99" s="769"/>
      <c r="ETG99" s="769"/>
      <c r="ETH99" s="769"/>
      <c r="ETI99" s="769"/>
      <c r="ETJ99" s="769"/>
      <c r="ETK99" s="769"/>
      <c r="ETL99" s="769"/>
      <c r="ETM99" s="769"/>
      <c r="ETN99" s="769"/>
      <c r="ETO99" s="769"/>
      <c r="ETP99" s="769"/>
      <c r="ETQ99" s="769"/>
      <c r="ETR99" s="769"/>
      <c r="ETS99" s="769"/>
      <c r="ETT99" s="769"/>
      <c r="ETU99" s="769"/>
      <c r="ETV99" s="769"/>
      <c r="ETW99" s="769"/>
      <c r="ETX99" s="769"/>
      <c r="ETY99" s="769"/>
      <c r="ETZ99" s="769"/>
      <c r="EUA99" s="769"/>
      <c r="EUB99" s="769"/>
      <c r="EUC99" s="769"/>
      <c r="EUD99" s="769"/>
      <c r="EUE99" s="769"/>
      <c r="EUF99" s="769"/>
      <c r="EUG99" s="769"/>
      <c r="EUH99" s="769"/>
      <c r="EUI99" s="769"/>
      <c r="EUJ99" s="769"/>
      <c r="EUK99" s="769"/>
      <c r="EUL99" s="769"/>
      <c r="EUM99" s="769"/>
      <c r="EUN99" s="769"/>
      <c r="EUO99" s="769"/>
      <c r="EUP99" s="769"/>
      <c r="EUQ99" s="769"/>
      <c r="EUR99" s="769"/>
      <c r="EUS99" s="769"/>
      <c r="EUT99" s="769"/>
      <c r="EUU99" s="769"/>
      <c r="EUV99" s="769"/>
      <c r="EUW99" s="769"/>
      <c r="EUX99" s="769"/>
      <c r="EUY99" s="769"/>
      <c r="EUZ99" s="769"/>
      <c r="EVA99" s="769"/>
      <c r="EVB99" s="769"/>
      <c r="EVC99" s="769"/>
      <c r="EVD99" s="769"/>
      <c r="EVE99" s="769"/>
      <c r="EVF99" s="769"/>
      <c r="EVG99" s="769"/>
      <c r="EVH99" s="769"/>
      <c r="EVI99" s="769"/>
      <c r="EVJ99" s="769"/>
      <c r="EVK99" s="769"/>
      <c r="EVL99" s="769"/>
      <c r="EVM99" s="769"/>
      <c r="EVN99" s="769"/>
      <c r="EVO99" s="769"/>
      <c r="EVP99" s="769"/>
      <c r="EVQ99" s="769"/>
      <c r="EVR99" s="769"/>
      <c r="EVS99" s="769"/>
      <c r="EVT99" s="769"/>
      <c r="EVU99" s="769"/>
      <c r="EVV99" s="769"/>
      <c r="EVW99" s="769"/>
      <c r="EVX99" s="769"/>
      <c r="EVY99" s="769"/>
      <c r="EVZ99" s="769"/>
      <c r="EWA99" s="769"/>
      <c r="EWB99" s="769"/>
      <c r="EWC99" s="769"/>
      <c r="EWD99" s="769"/>
      <c r="EWE99" s="769"/>
      <c r="EWF99" s="769"/>
      <c r="EWG99" s="769"/>
      <c r="EWH99" s="769"/>
      <c r="EWI99" s="769"/>
      <c r="EWJ99" s="769"/>
      <c r="EWK99" s="769"/>
      <c r="EWL99" s="769"/>
      <c r="EWM99" s="769"/>
      <c r="EWN99" s="769"/>
      <c r="EWO99" s="769"/>
      <c r="EWP99" s="769"/>
      <c r="EWQ99" s="769"/>
      <c r="EWR99" s="769"/>
      <c r="EWS99" s="769"/>
      <c r="EWT99" s="769"/>
      <c r="EWU99" s="769"/>
      <c r="EWV99" s="769"/>
      <c r="EWW99" s="769"/>
      <c r="EWX99" s="769"/>
      <c r="EWY99" s="769"/>
      <c r="EWZ99" s="769"/>
      <c r="EXA99" s="769"/>
      <c r="EXB99" s="769"/>
      <c r="EXC99" s="769"/>
      <c r="EXD99" s="769"/>
      <c r="EXE99" s="769"/>
      <c r="EXF99" s="769"/>
      <c r="EXG99" s="769"/>
      <c r="EXH99" s="769"/>
      <c r="EXI99" s="769"/>
      <c r="EXJ99" s="769"/>
      <c r="EXK99" s="769"/>
      <c r="EXL99" s="769"/>
      <c r="EXM99" s="769"/>
      <c r="EXN99" s="769"/>
      <c r="EXO99" s="769"/>
      <c r="EXP99" s="769"/>
      <c r="EXQ99" s="769"/>
      <c r="EXR99" s="769"/>
      <c r="EXS99" s="769"/>
      <c r="EXT99" s="769"/>
      <c r="EXU99" s="769"/>
      <c r="EXV99" s="769"/>
      <c r="EXW99" s="769"/>
      <c r="EXX99" s="769"/>
      <c r="EXY99" s="769"/>
      <c r="EXZ99" s="769"/>
      <c r="EYA99" s="769"/>
      <c r="EYB99" s="769"/>
      <c r="EYC99" s="769"/>
      <c r="EYD99" s="769"/>
      <c r="EYE99" s="769"/>
      <c r="EYF99" s="769"/>
      <c r="EYG99" s="769"/>
      <c r="EYH99" s="769"/>
      <c r="EYI99" s="769"/>
      <c r="EYJ99" s="769"/>
      <c r="EYK99" s="769"/>
      <c r="EYL99" s="769"/>
      <c r="EYM99" s="769"/>
      <c r="EYN99" s="769"/>
      <c r="EYO99" s="769"/>
      <c r="EYP99" s="769"/>
      <c r="EYQ99" s="769"/>
      <c r="EYR99" s="769"/>
      <c r="EYS99" s="769"/>
      <c r="EYT99" s="769"/>
      <c r="EYU99" s="769"/>
      <c r="EYV99" s="769"/>
      <c r="EYW99" s="769"/>
      <c r="EYX99" s="769"/>
      <c r="EYY99" s="769"/>
      <c r="EYZ99" s="769"/>
      <c r="EZA99" s="769"/>
      <c r="EZB99" s="769"/>
      <c r="EZC99" s="769"/>
      <c r="EZD99" s="769"/>
      <c r="EZE99" s="769"/>
      <c r="EZF99" s="769"/>
      <c r="EZG99" s="769"/>
      <c r="EZH99" s="769"/>
      <c r="EZI99" s="769"/>
      <c r="EZJ99" s="769"/>
      <c r="EZK99" s="769"/>
      <c r="EZL99" s="769"/>
      <c r="EZM99" s="769"/>
      <c r="EZN99" s="769"/>
      <c r="EZO99" s="769"/>
      <c r="EZP99" s="769"/>
      <c r="EZQ99" s="769"/>
      <c r="EZR99" s="769"/>
      <c r="EZS99" s="769"/>
      <c r="EZT99" s="769"/>
      <c r="EZU99" s="769"/>
      <c r="EZV99" s="769"/>
      <c r="EZW99" s="769"/>
      <c r="EZX99" s="769"/>
      <c r="EZY99" s="769"/>
      <c r="EZZ99" s="769"/>
      <c r="FAA99" s="769"/>
      <c r="FAB99" s="769"/>
      <c r="FAC99" s="769"/>
      <c r="FAD99" s="769"/>
      <c r="FAE99" s="769"/>
      <c r="FAF99" s="769"/>
      <c r="FAG99" s="769"/>
      <c r="FAH99" s="769"/>
      <c r="FAI99" s="769"/>
      <c r="FAJ99" s="769"/>
      <c r="FAK99" s="769"/>
      <c r="FAL99" s="769"/>
      <c r="FAM99" s="769"/>
      <c r="FAN99" s="769"/>
      <c r="FAO99" s="769"/>
      <c r="FAP99" s="769"/>
      <c r="FAQ99" s="769"/>
      <c r="FAR99" s="769"/>
      <c r="FAS99" s="769"/>
      <c r="FAT99" s="769"/>
      <c r="FAU99" s="769"/>
      <c r="FAV99" s="769"/>
      <c r="FAW99" s="769"/>
      <c r="FAX99" s="769"/>
      <c r="FAY99" s="769"/>
      <c r="FAZ99" s="769"/>
      <c r="FBA99" s="769"/>
      <c r="FBB99" s="769"/>
      <c r="FBC99" s="769"/>
      <c r="FBD99" s="769"/>
      <c r="FBE99" s="769"/>
      <c r="FBF99" s="769"/>
      <c r="FBG99" s="769"/>
      <c r="FBH99" s="769"/>
      <c r="FBI99" s="769"/>
      <c r="FBJ99" s="769"/>
      <c r="FBK99" s="769"/>
      <c r="FBL99" s="769"/>
      <c r="FBM99" s="769"/>
      <c r="FBN99" s="769"/>
      <c r="FBO99" s="769"/>
      <c r="FBP99" s="769"/>
      <c r="FBQ99" s="769"/>
      <c r="FBR99" s="769"/>
      <c r="FBS99" s="769"/>
      <c r="FBT99" s="769"/>
      <c r="FBU99" s="769"/>
      <c r="FBV99" s="769"/>
      <c r="FBW99" s="769"/>
      <c r="FBX99" s="769"/>
      <c r="FBY99" s="769"/>
      <c r="FBZ99" s="769"/>
      <c r="FCA99" s="769"/>
      <c r="FCB99" s="769"/>
      <c r="FCC99" s="769"/>
      <c r="FCD99" s="769"/>
      <c r="FCE99" s="769"/>
      <c r="FCF99" s="769"/>
      <c r="FCG99" s="769"/>
      <c r="FCH99" s="769"/>
      <c r="FCI99" s="769"/>
      <c r="FCJ99" s="769"/>
      <c r="FCK99" s="769"/>
      <c r="FCL99" s="769"/>
      <c r="FCM99" s="769"/>
      <c r="FCN99" s="769"/>
      <c r="FCO99" s="769"/>
      <c r="FCP99" s="769"/>
      <c r="FCQ99" s="769"/>
      <c r="FCR99" s="769"/>
      <c r="FCS99" s="769"/>
      <c r="FCT99" s="769"/>
      <c r="FCU99" s="769"/>
      <c r="FCV99" s="769"/>
      <c r="FCW99" s="769"/>
      <c r="FCX99" s="769"/>
      <c r="FCY99" s="769"/>
      <c r="FCZ99" s="769"/>
      <c r="FDA99" s="769"/>
      <c r="FDB99" s="769"/>
      <c r="FDC99" s="769"/>
      <c r="FDD99" s="769"/>
      <c r="FDE99" s="769"/>
      <c r="FDF99" s="769"/>
      <c r="FDG99" s="769"/>
      <c r="FDH99" s="769"/>
      <c r="FDI99" s="769"/>
      <c r="FDJ99" s="769"/>
      <c r="FDK99" s="769"/>
      <c r="FDL99" s="769"/>
      <c r="FDM99" s="769"/>
      <c r="FDN99" s="769"/>
      <c r="FDO99" s="769"/>
      <c r="FDP99" s="769"/>
      <c r="FDQ99" s="769"/>
      <c r="FDR99" s="769"/>
      <c r="FDS99" s="769"/>
      <c r="FDT99" s="769"/>
      <c r="FDU99" s="769"/>
      <c r="FDV99" s="769"/>
      <c r="FDW99" s="769"/>
      <c r="FDX99" s="769"/>
      <c r="FDY99" s="769"/>
      <c r="FDZ99" s="769"/>
      <c r="FEA99" s="769"/>
      <c r="FEB99" s="769"/>
      <c r="FEC99" s="769"/>
      <c r="FED99" s="769"/>
      <c r="FEE99" s="769"/>
      <c r="FEF99" s="769"/>
      <c r="FEG99" s="769"/>
      <c r="FEH99" s="769"/>
      <c r="FEI99" s="769"/>
      <c r="FEJ99" s="769"/>
      <c r="FEK99" s="769"/>
      <c r="FEL99" s="769"/>
      <c r="FEM99" s="769"/>
      <c r="FEN99" s="769"/>
      <c r="FEO99" s="769"/>
      <c r="FEP99" s="769"/>
      <c r="FEQ99" s="769"/>
      <c r="FER99" s="769"/>
      <c r="FES99" s="769"/>
      <c r="FET99" s="769"/>
      <c r="FEU99" s="769"/>
      <c r="FEV99" s="769"/>
      <c r="FEW99" s="769"/>
      <c r="FEX99" s="769"/>
      <c r="FEY99" s="769"/>
      <c r="FEZ99" s="769"/>
      <c r="FFA99" s="769"/>
      <c r="FFB99" s="769"/>
      <c r="FFC99" s="769"/>
      <c r="FFD99" s="769"/>
      <c r="FFE99" s="769"/>
      <c r="FFF99" s="769"/>
      <c r="FFG99" s="769"/>
      <c r="FFH99" s="769"/>
      <c r="FFI99" s="769"/>
      <c r="FFJ99" s="769"/>
      <c r="FFK99" s="769"/>
      <c r="FFL99" s="769"/>
      <c r="FFM99" s="769"/>
      <c r="FFN99" s="769"/>
      <c r="FFO99" s="769"/>
      <c r="FFP99" s="769"/>
      <c r="FFQ99" s="769"/>
      <c r="FFR99" s="769"/>
      <c r="FFS99" s="769"/>
      <c r="FFT99" s="769"/>
      <c r="FFU99" s="769"/>
      <c r="FFV99" s="769"/>
      <c r="FFW99" s="769"/>
      <c r="FFX99" s="769"/>
      <c r="FFY99" s="769"/>
      <c r="FFZ99" s="769"/>
      <c r="FGA99" s="769"/>
      <c r="FGB99" s="769"/>
      <c r="FGC99" s="769"/>
      <c r="FGD99" s="769"/>
      <c r="FGE99" s="769"/>
      <c r="FGF99" s="769"/>
      <c r="FGG99" s="769"/>
      <c r="FGH99" s="769"/>
      <c r="FGI99" s="769"/>
      <c r="FGJ99" s="769"/>
      <c r="FGK99" s="769"/>
      <c r="FGL99" s="769"/>
      <c r="FGM99" s="769"/>
      <c r="FGN99" s="769"/>
      <c r="FGO99" s="769"/>
      <c r="FGP99" s="769"/>
      <c r="FGQ99" s="769"/>
      <c r="FGR99" s="769"/>
      <c r="FGS99" s="769"/>
      <c r="FGT99" s="769"/>
      <c r="FGU99" s="769"/>
      <c r="FGV99" s="769"/>
      <c r="FGW99" s="769"/>
      <c r="FGX99" s="769"/>
      <c r="FGY99" s="769"/>
      <c r="FGZ99" s="769"/>
      <c r="FHA99" s="769"/>
      <c r="FHB99" s="769"/>
      <c r="FHC99" s="769"/>
      <c r="FHD99" s="769"/>
      <c r="FHE99" s="769"/>
      <c r="FHF99" s="769"/>
      <c r="FHG99" s="769"/>
      <c r="FHH99" s="769"/>
      <c r="FHI99" s="769"/>
      <c r="FHJ99" s="769"/>
      <c r="FHK99" s="769"/>
      <c r="FHL99" s="769"/>
      <c r="FHM99" s="769"/>
      <c r="FHN99" s="769"/>
      <c r="FHO99" s="769"/>
      <c r="FHP99" s="769"/>
      <c r="FHQ99" s="769"/>
      <c r="FHR99" s="769"/>
      <c r="FHS99" s="769"/>
      <c r="FHT99" s="769"/>
      <c r="FHU99" s="769"/>
      <c r="FHV99" s="769"/>
      <c r="FHW99" s="769"/>
      <c r="FHX99" s="769"/>
      <c r="FHY99" s="769"/>
      <c r="FHZ99" s="769"/>
      <c r="FIA99" s="769"/>
      <c r="FIB99" s="769"/>
      <c r="FIC99" s="769"/>
      <c r="FID99" s="769"/>
      <c r="FIE99" s="769"/>
      <c r="FIF99" s="769"/>
      <c r="FIG99" s="769"/>
      <c r="FIH99" s="769"/>
      <c r="FII99" s="769"/>
      <c r="FIJ99" s="769"/>
      <c r="FIK99" s="769"/>
      <c r="FIL99" s="769"/>
      <c r="FIM99" s="769"/>
      <c r="FIN99" s="769"/>
      <c r="FIO99" s="769"/>
      <c r="FIP99" s="769"/>
      <c r="FIQ99" s="769"/>
      <c r="FIR99" s="769"/>
      <c r="FIS99" s="769"/>
      <c r="FIT99" s="769"/>
      <c r="FIU99" s="769"/>
      <c r="FIV99" s="769"/>
      <c r="FIW99" s="769"/>
      <c r="FIX99" s="769"/>
      <c r="FIY99" s="769"/>
      <c r="FIZ99" s="769"/>
      <c r="FJA99" s="769"/>
      <c r="FJB99" s="769"/>
      <c r="FJC99" s="769"/>
      <c r="FJD99" s="769"/>
      <c r="FJE99" s="769"/>
      <c r="FJF99" s="769"/>
      <c r="FJG99" s="769"/>
      <c r="FJH99" s="769"/>
      <c r="FJI99" s="769"/>
      <c r="FJJ99" s="769"/>
      <c r="FJK99" s="769"/>
      <c r="FJL99" s="769"/>
      <c r="FJM99" s="769"/>
      <c r="FJN99" s="769"/>
      <c r="FJO99" s="769"/>
      <c r="FJP99" s="769"/>
      <c r="FJQ99" s="769"/>
      <c r="FJR99" s="769"/>
      <c r="FJS99" s="769"/>
      <c r="FJT99" s="769"/>
      <c r="FJU99" s="769"/>
      <c r="FJV99" s="769"/>
      <c r="FJW99" s="769"/>
      <c r="FJX99" s="769"/>
      <c r="FJY99" s="769"/>
      <c r="FJZ99" s="769"/>
      <c r="FKA99" s="769"/>
      <c r="FKB99" s="769"/>
      <c r="FKC99" s="769"/>
      <c r="FKD99" s="769"/>
      <c r="FKE99" s="769"/>
      <c r="FKF99" s="769"/>
      <c r="FKG99" s="769"/>
      <c r="FKH99" s="769"/>
      <c r="FKI99" s="769"/>
      <c r="FKJ99" s="769"/>
      <c r="FKK99" s="769"/>
      <c r="FKL99" s="769"/>
      <c r="FKM99" s="769"/>
      <c r="FKN99" s="769"/>
      <c r="FKO99" s="769"/>
      <c r="FKP99" s="769"/>
      <c r="FKQ99" s="769"/>
      <c r="FKR99" s="769"/>
      <c r="FKS99" s="769"/>
      <c r="FKT99" s="769"/>
      <c r="FKU99" s="769"/>
      <c r="FKV99" s="769"/>
      <c r="FKW99" s="769"/>
      <c r="FKX99" s="769"/>
      <c r="FKY99" s="769"/>
      <c r="FKZ99" s="769"/>
      <c r="FLA99" s="769"/>
      <c r="FLB99" s="769"/>
      <c r="FLC99" s="769"/>
      <c r="FLD99" s="769"/>
      <c r="FLE99" s="769"/>
      <c r="FLF99" s="769"/>
      <c r="FLG99" s="769"/>
      <c r="FLH99" s="769"/>
      <c r="FLI99" s="769"/>
      <c r="FLJ99" s="769"/>
      <c r="FLK99" s="769"/>
      <c r="FLL99" s="769"/>
      <c r="FLM99" s="769"/>
      <c r="FLN99" s="769"/>
      <c r="FLO99" s="769"/>
      <c r="FLP99" s="769"/>
      <c r="FLQ99" s="769"/>
      <c r="FLR99" s="769"/>
      <c r="FLS99" s="769"/>
      <c r="FLT99" s="769"/>
      <c r="FLU99" s="769"/>
      <c r="FLV99" s="769"/>
      <c r="FLW99" s="769"/>
      <c r="FLX99" s="769"/>
      <c r="FLY99" s="769"/>
      <c r="FLZ99" s="769"/>
      <c r="FMA99" s="769"/>
      <c r="FMB99" s="769"/>
      <c r="FMC99" s="769"/>
      <c r="FMD99" s="769"/>
      <c r="FME99" s="769"/>
      <c r="FMF99" s="769"/>
      <c r="FMG99" s="769"/>
      <c r="FMH99" s="769"/>
      <c r="FMI99" s="769"/>
      <c r="FMJ99" s="769"/>
      <c r="FMK99" s="769"/>
      <c r="FML99" s="769"/>
      <c r="FMM99" s="769"/>
      <c r="FMN99" s="769"/>
      <c r="FMO99" s="769"/>
      <c r="FMP99" s="769"/>
      <c r="FMQ99" s="769"/>
      <c r="FMR99" s="769"/>
      <c r="FMS99" s="769"/>
      <c r="FMT99" s="769"/>
      <c r="FMU99" s="769"/>
      <c r="FMV99" s="769"/>
      <c r="FMW99" s="769"/>
      <c r="FMX99" s="769"/>
      <c r="FMY99" s="769"/>
      <c r="FMZ99" s="769"/>
      <c r="FNA99" s="769"/>
      <c r="FNB99" s="769"/>
      <c r="FNC99" s="769"/>
      <c r="FND99" s="769"/>
      <c r="FNE99" s="769"/>
      <c r="FNF99" s="769"/>
      <c r="FNG99" s="769"/>
      <c r="FNH99" s="769"/>
      <c r="FNI99" s="769"/>
      <c r="FNJ99" s="769"/>
      <c r="FNK99" s="769"/>
      <c r="FNL99" s="769"/>
      <c r="FNM99" s="769"/>
      <c r="FNN99" s="769"/>
      <c r="FNO99" s="769"/>
      <c r="FNP99" s="769"/>
      <c r="FNQ99" s="769"/>
      <c r="FNR99" s="769"/>
      <c r="FNS99" s="769"/>
      <c r="FNT99" s="769"/>
      <c r="FNU99" s="769"/>
      <c r="FNV99" s="769"/>
      <c r="FNW99" s="769"/>
      <c r="FNX99" s="769"/>
      <c r="FNY99" s="769"/>
      <c r="FNZ99" s="769"/>
      <c r="FOA99" s="769"/>
      <c r="FOB99" s="769"/>
      <c r="FOC99" s="769"/>
      <c r="FOD99" s="769"/>
      <c r="FOE99" s="769"/>
      <c r="FOF99" s="769"/>
      <c r="FOG99" s="769"/>
      <c r="FOH99" s="769"/>
      <c r="FOI99" s="769"/>
      <c r="FOJ99" s="769"/>
      <c r="FOK99" s="769"/>
      <c r="FOL99" s="769"/>
      <c r="FOM99" s="769"/>
      <c r="FON99" s="769"/>
      <c r="FOO99" s="769"/>
      <c r="FOP99" s="769"/>
      <c r="FOQ99" s="769"/>
      <c r="FOR99" s="769"/>
      <c r="FOS99" s="769"/>
      <c r="FOT99" s="769"/>
      <c r="FOU99" s="769"/>
      <c r="FOV99" s="769"/>
      <c r="FOW99" s="769"/>
      <c r="FOX99" s="769"/>
      <c r="FOY99" s="769"/>
      <c r="FOZ99" s="769"/>
      <c r="FPA99" s="769"/>
      <c r="FPB99" s="769"/>
      <c r="FPC99" s="769"/>
      <c r="FPD99" s="769"/>
      <c r="FPE99" s="769"/>
      <c r="FPF99" s="769"/>
      <c r="FPG99" s="769"/>
      <c r="FPH99" s="769"/>
      <c r="FPI99" s="769"/>
      <c r="FPJ99" s="769"/>
      <c r="FPK99" s="769"/>
      <c r="FPL99" s="769"/>
      <c r="FPM99" s="769"/>
      <c r="FPN99" s="769"/>
      <c r="FPO99" s="769"/>
      <c r="FPP99" s="769"/>
      <c r="FPQ99" s="769"/>
      <c r="FPR99" s="769"/>
      <c r="FPS99" s="769"/>
      <c r="FPT99" s="769"/>
      <c r="FPU99" s="769"/>
      <c r="FPV99" s="769"/>
      <c r="FPW99" s="769"/>
      <c r="FPX99" s="769"/>
      <c r="FPY99" s="769"/>
      <c r="FPZ99" s="769"/>
      <c r="FQA99" s="769"/>
      <c r="FQB99" s="769"/>
      <c r="FQC99" s="769"/>
      <c r="FQD99" s="769"/>
      <c r="FQE99" s="769"/>
      <c r="FQF99" s="769"/>
      <c r="FQG99" s="769"/>
      <c r="FQH99" s="769"/>
      <c r="FQI99" s="769"/>
      <c r="FQJ99" s="769"/>
      <c r="FQK99" s="769"/>
      <c r="FQL99" s="769"/>
      <c r="FQM99" s="769"/>
      <c r="FQN99" s="769"/>
      <c r="FQO99" s="769"/>
      <c r="FQP99" s="769"/>
      <c r="FQQ99" s="769"/>
      <c r="FQR99" s="769"/>
      <c r="FQS99" s="769"/>
      <c r="FQT99" s="769"/>
      <c r="FQU99" s="769"/>
      <c r="FQV99" s="769"/>
      <c r="FQW99" s="769"/>
      <c r="FQX99" s="769"/>
      <c r="FQY99" s="769"/>
      <c r="FQZ99" s="769"/>
      <c r="FRA99" s="769"/>
      <c r="FRB99" s="769"/>
      <c r="FRC99" s="769"/>
      <c r="FRD99" s="769"/>
      <c r="FRE99" s="769"/>
      <c r="FRF99" s="769"/>
      <c r="FRG99" s="769"/>
      <c r="FRH99" s="769"/>
      <c r="FRI99" s="769"/>
      <c r="FRJ99" s="769"/>
      <c r="FRK99" s="769"/>
      <c r="FRL99" s="769"/>
      <c r="FRM99" s="769"/>
      <c r="FRN99" s="769"/>
      <c r="FRO99" s="769"/>
      <c r="FRP99" s="769"/>
      <c r="FRQ99" s="769"/>
      <c r="FRR99" s="769"/>
      <c r="FRS99" s="769"/>
      <c r="FRT99" s="769"/>
      <c r="FRU99" s="769"/>
      <c r="FRV99" s="769"/>
      <c r="FRW99" s="769"/>
      <c r="FRX99" s="769"/>
      <c r="FRY99" s="769"/>
      <c r="FRZ99" s="769"/>
      <c r="FSA99" s="769"/>
      <c r="FSB99" s="769"/>
      <c r="FSC99" s="769"/>
      <c r="FSD99" s="769"/>
      <c r="FSE99" s="769"/>
      <c r="FSF99" s="769"/>
      <c r="FSG99" s="769"/>
      <c r="FSH99" s="769"/>
      <c r="FSI99" s="769"/>
      <c r="FSJ99" s="769"/>
      <c r="FSK99" s="769"/>
      <c r="FSL99" s="769"/>
      <c r="FSM99" s="769"/>
      <c r="FSN99" s="769"/>
      <c r="FSO99" s="769"/>
      <c r="FSP99" s="769"/>
      <c r="FSQ99" s="769"/>
      <c r="FSR99" s="769"/>
      <c r="FSS99" s="769"/>
      <c r="FST99" s="769"/>
      <c r="FSU99" s="769"/>
      <c r="FSV99" s="769"/>
      <c r="FSW99" s="769"/>
      <c r="FSX99" s="769"/>
      <c r="FSY99" s="769"/>
      <c r="FSZ99" s="769"/>
      <c r="FTA99" s="769"/>
      <c r="FTB99" s="769"/>
      <c r="FTC99" s="769"/>
      <c r="FTD99" s="769"/>
      <c r="FTE99" s="769"/>
      <c r="FTF99" s="769"/>
      <c r="FTG99" s="769"/>
      <c r="FTH99" s="769"/>
      <c r="FTI99" s="769"/>
      <c r="FTJ99" s="769"/>
      <c r="FTK99" s="769"/>
      <c r="FTL99" s="769"/>
      <c r="FTM99" s="769"/>
      <c r="FTN99" s="769"/>
      <c r="FTO99" s="769"/>
      <c r="FTP99" s="769"/>
      <c r="FTQ99" s="769"/>
      <c r="FTR99" s="769"/>
      <c r="FTS99" s="769"/>
      <c r="FTT99" s="769"/>
      <c r="FTU99" s="769"/>
      <c r="FTV99" s="769"/>
      <c r="FTW99" s="769"/>
      <c r="FTX99" s="769"/>
      <c r="FTY99" s="769"/>
      <c r="FTZ99" s="769"/>
      <c r="FUA99" s="769"/>
      <c r="FUB99" s="769"/>
      <c r="FUC99" s="769"/>
      <c r="FUD99" s="769"/>
      <c r="FUE99" s="769"/>
      <c r="FUF99" s="769"/>
      <c r="FUG99" s="769"/>
      <c r="FUH99" s="769"/>
      <c r="FUI99" s="769"/>
      <c r="FUJ99" s="769"/>
      <c r="FUK99" s="769"/>
      <c r="FUL99" s="769"/>
      <c r="FUM99" s="769"/>
      <c r="FUN99" s="769"/>
      <c r="FUO99" s="769"/>
      <c r="FUP99" s="769"/>
      <c r="FUQ99" s="769"/>
      <c r="FUR99" s="769"/>
      <c r="FUS99" s="769"/>
      <c r="FUT99" s="769"/>
      <c r="FUU99" s="769"/>
      <c r="FUV99" s="769"/>
      <c r="FUW99" s="769"/>
      <c r="FUX99" s="769"/>
      <c r="FUY99" s="769"/>
      <c r="FUZ99" s="769"/>
      <c r="FVA99" s="769"/>
      <c r="FVB99" s="769"/>
      <c r="FVC99" s="769"/>
      <c r="FVD99" s="769"/>
      <c r="FVE99" s="769"/>
      <c r="FVF99" s="769"/>
      <c r="FVG99" s="769"/>
      <c r="FVH99" s="769"/>
      <c r="FVI99" s="769"/>
      <c r="FVJ99" s="769"/>
      <c r="FVK99" s="769"/>
      <c r="FVL99" s="769"/>
      <c r="FVM99" s="769"/>
      <c r="FVN99" s="769"/>
      <c r="FVO99" s="769"/>
      <c r="FVP99" s="769"/>
      <c r="FVQ99" s="769"/>
      <c r="FVR99" s="769"/>
      <c r="FVS99" s="769"/>
      <c r="FVT99" s="769"/>
      <c r="FVU99" s="769"/>
      <c r="FVV99" s="769"/>
      <c r="FVW99" s="769"/>
      <c r="FVX99" s="769"/>
      <c r="FVY99" s="769"/>
      <c r="FVZ99" s="769"/>
      <c r="FWA99" s="769"/>
      <c r="FWB99" s="769"/>
      <c r="FWC99" s="769"/>
      <c r="FWD99" s="769"/>
      <c r="FWE99" s="769"/>
      <c r="FWF99" s="769"/>
      <c r="FWG99" s="769"/>
      <c r="FWH99" s="769"/>
      <c r="FWI99" s="769"/>
      <c r="FWJ99" s="769"/>
      <c r="FWK99" s="769"/>
      <c r="FWL99" s="769"/>
      <c r="FWM99" s="769"/>
      <c r="FWN99" s="769"/>
      <c r="FWO99" s="769"/>
      <c r="FWP99" s="769"/>
      <c r="FWQ99" s="769"/>
      <c r="FWR99" s="769"/>
      <c r="FWS99" s="769"/>
      <c r="FWT99" s="769"/>
      <c r="FWU99" s="769"/>
      <c r="FWV99" s="769"/>
      <c r="FWW99" s="769"/>
      <c r="FWX99" s="769"/>
      <c r="FWY99" s="769"/>
      <c r="FWZ99" s="769"/>
      <c r="FXA99" s="769"/>
      <c r="FXB99" s="769"/>
      <c r="FXC99" s="769"/>
      <c r="FXD99" s="769"/>
      <c r="FXE99" s="769"/>
      <c r="FXF99" s="769"/>
      <c r="FXG99" s="769"/>
      <c r="FXH99" s="769"/>
      <c r="FXI99" s="769"/>
      <c r="FXJ99" s="769"/>
      <c r="FXK99" s="769"/>
      <c r="FXL99" s="769"/>
      <c r="FXM99" s="769"/>
      <c r="FXN99" s="769"/>
      <c r="FXO99" s="769"/>
      <c r="FXP99" s="769"/>
      <c r="FXQ99" s="769"/>
      <c r="FXR99" s="769"/>
      <c r="FXS99" s="769"/>
      <c r="FXT99" s="769"/>
      <c r="FXU99" s="769"/>
      <c r="FXV99" s="769"/>
      <c r="FXW99" s="769"/>
      <c r="FXX99" s="769"/>
      <c r="FXY99" s="769"/>
      <c r="FXZ99" s="769"/>
      <c r="FYA99" s="769"/>
      <c r="FYB99" s="769"/>
      <c r="FYC99" s="769"/>
      <c r="FYD99" s="769"/>
      <c r="FYE99" s="769"/>
      <c r="FYF99" s="769"/>
      <c r="FYG99" s="769"/>
      <c r="FYH99" s="769"/>
      <c r="FYI99" s="769"/>
      <c r="FYJ99" s="769"/>
      <c r="FYK99" s="769"/>
      <c r="FYL99" s="769"/>
      <c r="FYM99" s="769"/>
      <c r="FYN99" s="769"/>
      <c r="FYO99" s="769"/>
      <c r="FYP99" s="769"/>
      <c r="FYQ99" s="769"/>
      <c r="FYR99" s="769"/>
      <c r="FYS99" s="769"/>
      <c r="FYT99" s="769"/>
      <c r="FYU99" s="769"/>
      <c r="FYV99" s="769"/>
      <c r="FYW99" s="769"/>
      <c r="FYX99" s="769"/>
      <c r="FYY99" s="769"/>
      <c r="FYZ99" s="769"/>
      <c r="FZA99" s="769"/>
      <c r="FZB99" s="769"/>
      <c r="FZC99" s="769"/>
      <c r="FZD99" s="769"/>
      <c r="FZE99" s="769"/>
      <c r="FZF99" s="769"/>
      <c r="FZG99" s="769"/>
      <c r="FZH99" s="769"/>
      <c r="FZI99" s="769"/>
      <c r="FZJ99" s="769"/>
      <c r="FZK99" s="769"/>
      <c r="FZL99" s="769"/>
      <c r="FZM99" s="769"/>
      <c r="FZN99" s="769"/>
      <c r="FZO99" s="769"/>
      <c r="FZP99" s="769"/>
      <c r="FZQ99" s="769"/>
      <c r="FZR99" s="769"/>
      <c r="FZS99" s="769"/>
      <c r="FZT99" s="769"/>
      <c r="FZU99" s="769"/>
      <c r="FZV99" s="769"/>
      <c r="FZW99" s="769"/>
      <c r="FZX99" s="769"/>
      <c r="FZY99" s="769"/>
      <c r="FZZ99" s="769"/>
      <c r="GAA99" s="769"/>
      <c r="GAB99" s="769"/>
      <c r="GAC99" s="769"/>
      <c r="GAD99" s="769"/>
      <c r="GAE99" s="769"/>
      <c r="GAF99" s="769"/>
      <c r="GAG99" s="769"/>
      <c r="GAH99" s="769"/>
      <c r="GAI99" s="769"/>
      <c r="GAJ99" s="769"/>
      <c r="GAK99" s="769"/>
      <c r="GAL99" s="769"/>
      <c r="GAM99" s="769"/>
      <c r="GAN99" s="769"/>
      <c r="GAO99" s="769"/>
      <c r="GAP99" s="769"/>
      <c r="GAQ99" s="769"/>
      <c r="GAR99" s="769"/>
      <c r="GAS99" s="769"/>
      <c r="GAT99" s="769"/>
      <c r="GAU99" s="769"/>
      <c r="GAV99" s="769"/>
      <c r="GAW99" s="769"/>
      <c r="GAX99" s="769"/>
      <c r="GAY99" s="769"/>
      <c r="GAZ99" s="769"/>
      <c r="GBA99" s="769"/>
      <c r="GBB99" s="769"/>
      <c r="GBC99" s="769"/>
      <c r="GBD99" s="769"/>
      <c r="GBE99" s="769"/>
      <c r="GBF99" s="769"/>
      <c r="GBG99" s="769"/>
      <c r="GBH99" s="769"/>
      <c r="GBI99" s="769"/>
      <c r="GBJ99" s="769"/>
      <c r="GBK99" s="769"/>
      <c r="GBL99" s="769"/>
      <c r="GBM99" s="769"/>
      <c r="GBN99" s="769"/>
      <c r="GBO99" s="769"/>
      <c r="GBP99" s="769"/>
      <c r="GBQ99" s="769"/>
      <c r="GBR99" s="769"/>
      <c r="GBS99" s="769"/>
      <c r="GBT99" s="769"/>
      <c r="GBU99" s="769"/>
      <c r="GBV99" s="769"/>
      <c r="GBW99" s="769"/>
      <c r="GBX99" s="769"/>
      <c r="GBY99" s="769"/>
      <c r="GBZ99" s="769"/>
      <c r="GCA99" s="769"/>
      <c r="GCB99" s="769"/>
      <c r="GCC99" s="769"/>
      <c r="GCD99" s="769"/>
      <c r="GCE99" s="769"/>
      <c r="GCF99" s="769"/>
      <c r="GCG99" s="769"/>
      <c r="GCH99" s="769"/>
      <c r="GCI99" s="769"/>
      <c r="GCJ99" s="769"/>
      <c r="GCK99" s="769"/>
      <c r="GCL99" s="769"/>
      <c r="GCM99" s="769"/>
      <c r="GCN99" s="769"/>
      <c r="GCO99" s="769"/>
      <c r="GCP99" s="769"/>
      <c r="GCQ99" s="769"/>
      <c r="GCR99" s="769"/>
      <c r="GCS99" s="769"/>
      <c r="GCT99" s="769"/>
      <c r="GCU99" s="769"/>
      <c r="GCV99" s="769"/>
      <c r="GCW99" s="769"/>
      <c r="GCX99" s="769"/>
      <c r="GCY99" s="769"/>
      <c r="GCZ99" s="769"/>
      <c r="GDA99" s="769"/>
      <c r="GDB99" s="769"/>
      <c r="GDC99" s="769"/>
      <c r="GDD99" s="769"/>
      <c r="GDE99" s="769"/>
      <c r="GDF99" s="769"/>
      <c r="GDG99" s="769"/>
      <c r="GDH99" s="769"/>
      <c r="GDI99" s="769"/>
      <c r="GDJ99" s="769"/>
      <c r="GDK99" s="769"/>
      <c r="GDL99" s="769"/>
      <c r="GDM99" s="769"/>
      <c r="GDN99" s="769"/>
      <c r="GDO99" s="769"/>
      <c r="GDP99" s="769"/>
      <c r="GDQ99" s="769"/>
      <c r="GDR99" s="769"/>
      <c r="GDS99" s="769"/>
      <c r="GDT99" s="769"/>
      <c r="GDU99" s="769"/>
      <c r="GDV99" s="769"/>
      <c r="GDW99" s="769"/>
      <c r="GDX99" s="769"/>
      <c r="GDY99" s="769"/>
      <c r="GDZ99" s="769"/>
      <c r="GEA99" s="769"/>
      <c r="GEB99" s="769"/>
      <c r="GEC99" s="769"/>
      <c r="GED99" s="769"/>
      <c r="GEE99" s="769"/>
      <c r="GEF99" s="769"/>
      <c r="GEG99" s="769"/>
      <c r="GEH99" s="769"/>
      <c r="GEI99" s="769"/>
      <c r="GEJ99" s="769"/>
      <c r="GEK99" s="769"/>
      <c r="GEL99" s="769"/>
      <c r="GEM99" s="769"/>
      <c r="GEN99" s="769"/>
      <c r="GEO99" s="769"/>
      <c r="GEP99" s="769"/>
      <c r="GEQ99" s="769"/>
      <c r="GER99" s="769"/>
      <c r="GES99" s="769"/>
      <c r="GET99" s="769"/>
      <c r="GEU99" s="769"/>
      <c r="GEV99" s="769"/>
      <c r="GEW99" s="769"/>
      <c r="GEX99" s="769"/>
      <c r="GEY99" s="769"/>
      <c r="GEZ99" s="769"/>
      <c r="GFA99" s="769"/>
      <c r="GFB99" s="769"/>
      <c r="GFC99" s="769"/>
      <c r="GFD99" s="769"/>
      <c r="GFE99" s="769"/>
      <c r="GFF99" s="769"/>
      <c r="GFG99" s="769"/>
      <c r="GFH99" s="769"/>
      <c r="GFI99" s="769"/>
      <c r="GFJ99" s="769"/>
      <c r="GFK99" s="769"/>
      <c r="GFL99" s="769"/>
      <c r="GFM99" s="769"/>
      <c r="GFN99" s="769"/>
      <c r="GFO99" s="769"/>
      <c r="GFP99" s="769"/>
      <c r="GFQ99" s="769"/>
      <c r="GFR99" s="769"/>
      <c r="GFS99" s="769"/>
      <c r="GFT99" s="769"/>
      <c r="GFU99" s="769"/>
      <c r="GFV99" s="769"/>
      <c r="GFW99" s="769"/>
      <c r="GFX99" s="769"/>
      <c r="GFY99" s="769"/>
      <c r="GFZ99" s="769"/>
      <c r="GGA99" s="769"/>
      <c r="GGB99" s="769"/>
      <c r="GGC99" s="769"/>
      <c r="GGD99" s="769"/>
      <c r="GGE99" s="769"/>
      <c r="GGF99" s="769"/>
      <c r="GGG99" s="769"/>
      <c r="GGH99" s="769"/>
      <c r="GGI99" s="769"/>
      <c r="GGJ99" s="769"/>
      <c r="GGK99" s="769"/>
      <c r="GGL99" s="769"/>
      <c r="GGM99" s="769"/>
      <c r="GGN99" s="769"/>
      <c r="GGO99" s="769"/>
      <c r="GGP99" s="769"/>
      <c r="GGQ99" s="769"/>
      <c r="GGR99" s="769"/>
      <c r="GGS99" s="769"/>
      <c r="GGT99" s="769"/>
      <c r="GGU99" s="769"/>
      <c r="GGV99" s="769"/>
      <c r="GGW99" s="769"/>
      <c r="GGX99" s="769"/>
      <c r="GGY99" s="769"/>
      <c r="GGZ99" s="769"/>
      <c r="GHA99" s="769"/>
      <c r="GHB99" s="769"/>
      <c r="GHC99" s="769"/>
      <c r="GHD99" s="769"/>
      <c r="GHE99" s="769"/>
      <c r="GHF99" s="769"/>
      <c r="GHG99" s="769"/>
      <c r="GHH99" s="769"/>
      <c r="GHI99" s="769"/>
      <c r="GHJ99" s="769"/>
      <c r="GHK99" s="769"/>
      <c r="GHL99" s="769"/>
      <c r="GHM99" s="769"/>
      <c r="GHN99" s="769"/>
      <c r="GHO99" s="769"/>
      <c r="GHP99" s="769"/>
      <c r="GHQ99" s="769"/>
      <c r="GHR99" s="769"/>
      <c r="GHS99" s="769"/>
      <c r="GHT99" s="769"/>
      <c r="GHU99" s="769"/>
      <c r="GHV99" s="769"/>
      <c r="GHW99" s="769"/>
      <c r="GHX99" s="769"/>
      <c r="GHY99" s="769"/>
      <c r="GHZ99" s="769"/>
      <c r="GIA99" s="769"/>
      <c r="GIB99" s="769"/>
      <c r="GIC99" s="769"/>
      <c r="GID99" s="769"/>
      <c r="GIE99" s="769"/>
      <c r="GIF99" s="769"/>
      <c r="GIG99" s="769"/>
      <c r="GIH99" s="769"/>
      <c r="GII99" s="769"/>
      <c r="GIJ99" s="769"/>
      <c r="GIK99" s="769"/>
      <c r="GIL99" s="769"/>
      <c r="GIM99" s="769"/>
      <c r="GIN99" s="769"/>
      <c r="GIO99" s="769"/>
      <c r="GIP99" s="769"/>
      <c r="GIQ99" s="769"/>
      <c r="GIR99" s="769"/>
      <c r="GIS99" s="769"/>
      <c r="GIT99" s="769"/>
      <c r="GIU99" s="769"/>
      <c r="GIV99" s="769"/>
      <c r="GIW99" s="769"/>
      <c r="GIX99" s="769"/>
      <c r="GIY99" s="769"/>
      <c r="GIZ99" s="769"/>
      <c r="GJA99" s="769"/>
      <c r="GJB99" s="769"/>
      <c r="GJC99" s="769"/>
      <c r="GJD99" s="769"/>
      <c r="GJE99" s="769"/>
      <c r="GJF99" s="769"/>
      <c r="GJG99" s="769"/>
      <c r="GJH99" s="769"/>
      <c r="GJI99" s="769"/>
      <c r="GJJ99" s="769"/>
      <c r="GJK99" s="769"/>
      <c r="GJL99" s="769"/>
      <c r="GJM99" s="769"/>
      <c r="GJN99" s="769"/>
      <c r="GJO99" s="769"/>
      <c r="GJP99" s="769"/>
      <c r="GJQ99" s="769"/>
      <c r="GJR99" s="769"/>
      <c r="GJS99" s="769"/>
      <c r="GJT99" s="769"/>
      <c r="GJU99" s="769"/>
      <c r="GJV99" s="769"/>
      <c r="GJW99" s="769"/>
      <c r="GJX99" s="769"/>
      <c r="GJY99" s="769"/>
      <c r="GJZ99" s="769"/>
      <c r="GKA99" s="769"/>
      <c r="GKB99" s="769"/>
      <c r="GKC99" s="769"/>
      <c r="GKD99" s="769"/>
      <c r="GKE99" s="769"/>
      <c r="GKF99" s="769"/>
      <c r="GKG99" s="769"/>
      <c r="GKH99" s="769"/>
      <c r="GKI99" s="769"/>
      <c r="GKJ99" s="769"/>
      <c r="GKK99" s="769"/>
      <c r="GKL99" s="769"/>
      <c r="GKM99" s="769"/>
      <c r="GKN99" s="769"/>
      <c r="GKO99" s="769"/>
      <c r="GKP99" s="769"/>
      <c r="GKQ99" s="769"/>
      <c r="GKR99" s="769"/>
      <c r="GKS99" s="769"/>
      <c r="GKT99" s="769"/>
      <c r="GKU99" s="769"/>
      <c r="GKV99" s="769"/>
      <c r="GKW99" s="769"/>
      <c r="GKX99" s="769"/>
      <c r="GKY99" s="769"/>
      <c r="GKZ99" s="769"/>
      <c r="GLA99" s="769"/>
      <c r="GLB99" s="769"/>
      <c r="GLC99" s="769"/>
      <c r="GLD99" s="769"/>
      <c r="GLE99" s="769"/>
      <c r="GLF99" s="769"/>
      <c r="GLG99" s="769"/>
      <c r="GLH99" s="769"/>
      <c r="GLI99" s="769"/>
      <c r="GLJ99" s="769"/>
      <c r="GLK99" s="769"/>
      <c r="GLL99" s="769"/>
      <c r="GLM99" s="769"/>
      <c r="GLN99" s="769"/>
      <c r="GLO99" s="769"/>
      <c r="GLP99" s="769"/>
      <c r="GLQ99" s="769"/>
      <c r="GLR99" s="769"/>
      <c r="GLS99" s="769"/>
      <c r="GLT99" s="769"/>
      <c r="GLU99" s="769"/>
      <c r="GLV99" s="769"/>
      <c r="GLW99" s="769"/>
      <c r="GLX99" s="769"/>
      <c r="GLY99" s="769"/>
      <c r="GLZ99" s="769"/>
      <c r="GMA99" s="769"/>
      <c r="GMB99" s="769"/>
      <c r="GMC99" s="769"/>
      <c r="GMD99" s="769"/>
      <c r="GME99" s="769"/>
      <c r="GMF99" s="769"/>
      <c r="GMG99" s="769"/>
      <c r="GMH99" s="769"/>
      <c r="GMI99" s="769"/>
      <c r="GMJ99" s="769"/>
      <c r="GMK99" s="769"/>
      <c r="GML99" s="769"/>
      <c r="GMM99" s="769"/>
      <c r="GMN99" s="769"/>
      <c r="GMO99" s="769"/>
      <c r="GMP99" s="769"/>
      <c r="GMQ99" s="769"/>
      <c r="GMR99" s="769"/>
      <c r="GMS99" s="769"/>
      <c r="GMT99" s="769"/>
      <c r="GMU99" s="769"/>
      <c r="GMV99" s="769"/>
      <c r="GMW99" s="769"/>
      <c r="GMX99" s="769"/>
      <c r="GMY99" s="769"/>
      <c r="GMZ99" s="769"/>
      <c r="GNA99" s="769"/>
      <c r="GNB99" s="769"/>
      <c r="GNC99" s="769"/>
      <c r="GND99" s="769"/>
      <c r="GNE99" s="769"/>
      <c r="GNF99" s="769"/>
      <c r="GNG99" s="769"/>
      <c r="GNH99" s="769"/>
      <c r="GNI99" s="769"/>
      <c r="GNJ99" s="769"/>
      <c r="GNK99" s="769"/>
      <c r="GNL99" s="769"/>
      <c r="GNM99" s="769"/>
      <c r="GNN99" s="769"/>
      <c r="GNO99" s="769"/>
      <c r="GNP99" s="769"/>
      <c r="GNQ99" s="769"/>
      <c r="GNR99" s="769"/>
      <c r="GNS99" s="769"/>
      <c r="GNT99" s="769"/>
      <c r="GNU99" s="769"/>
      <c r="GNV99" s="769"/>
      <c r="GNW99" s="769"/>
      <c r="GNX99" s="769"/>
      <c r="GNY99" s="769"/>
      <c r="GNZ99" s="769"/>
      <c r="GOA99" s="769"/>
      <c r="GOB99" s="769"/>
      <c r="GOC99" s="769"/>
      <c r="GOD99" s="769"/>
      <c r="GOE99" s="769"/>
      <c r="GOF99" s="769"/>
      <c r="GOG99" s="769"/>
      <c r="GOH99" s="769"/>
      <c r="GOI99" s="769"/>
      <c r="GOJ99" s="769"/>
      <c r="GOK99" s="769"/>
      <c r="GOL99" s="769"/>
      <c r="GOM99" s="769"/>
      <c r="GON99" s="769"/>
      <c r="GOO99" s="769"/>
      <c r="GOP99" s="769"/>
      <c r="GOQ99" s="769"/>
      <c r="GOR99" s="769"/>
      <c r="GOS99" s="769"/>
      <c r="GOT99" s="769"/>
      <c r="GOU99" s="769"/>
      <c r="GOV99" s="769"/>
      <c r="GOW99" s="769"/>
      <c r="GOX99" s="769"/>
      <c r="GOY99" s="769"/>
      <c r="GOZ99" s="769"/>
      <c r="GPA99" s="769"/>
      <c r="GPB99" s="769"/>
      <c r="GPC99" s="769"/>
      <c r="GPD99" s="769"/>
      <c r="GPE99" s="769"/>
      <c r="GPF99" s="769"/>
      <c r="GPG99" s="769"/>
      <c r="GPH99" s="769"/>
      <c r="GPI99" s="769"/>
      <c r="GPJ99" s="769"/>
      <c r="GPK99" s="769"/>
      <c r="GPL99" s="769"/>
      <c r="GPM99" s="769"/>
      <c r="GPN99" s="769"/>
      <c r="GPO99" s="769"/>
      <c r="GPP99" s="769"/>
      <c r="GPQ99" s="769"/>
      <c r="GPR99" s="769"/>
      <c r="GPS99" s="769"/>
      <c r="GPT99" s="769"/>
      <c r="GPU99" s="769"/>
      <c r="GPV99" s="769"/>
      <c r="GPW99" s="769"/>
      <c r="GPX99" s="769"/>
      <c r="GPY99" s="769"/>
      <c r="GPZ99" s="769"/>
      <c r="GQA99" s="769"/>
      <c r="GQB99" s="769"/>
      <c r="GQC99" s="769"/>
      <c r="GQD99" s="769"/>
      <c r="GQE99" s="769"/>
      <c r="GQF99" s="769"/>
      <c r="GQG99" s="769"/>
      <c r="GQH99" s="769"/>
      <c r="GQI99" s="769"/>
      <c r="GQJ99" s="769"/>
      <c r="GQK99" s="769"/>
      <c r="GQL99" s="769"/>
      <c r="GQM99" s="769"/>
      <c r="GQN99" s="769"/>
      <c r="GQO99" s="769"/>
      <c r="GQP99" s="769"/>
      <c r="GQQ99" s="769"/>
      <c r="GQR99" s="769"/>
      <c r="GQS99" s="769"/>
      <c r="GQT99" s="769"/>
      <c r="GQU99" s="769"/>
      <c r="GQV99" s="769"/>
      <c r="GQW99" s="769"/>
      <c r="GQX99" s="769"/>
      <c r="GQY99" s="769"/>
      <c r="GQZ99" s="769"/>
      <c r="GRA99" s="769"/>
      <c r="GRB99" s="769"/>
      <c r="GRC99" s="769"/>
      <c r="GRD99" s="769"/>
      <c r="GRE99" s="769"/>
      <c r="GRF99" s="769"/>
      <c r="GRG99" s="769"/>
      <c r="GRH99" s="769"/>
      <c r="GRI99" s="769"/>
      <c r="GRJ99" s="769"/>
      <c r="GRK99" s="769"/>
      <c r="GRL99" s="769"/>
      <c r="GRM99" s="769"/>
      <c r="GRN99" s="769"/>
      <c r="GRO99" s="769"/>
      <c r="GRP99" s="769"/>
      <c r="GRQ99" s="769"/>
      <c r="GRR99" s="769"/>
      <c r="GRS99" s="769"/>
      <c r="GRT99" s="769"/>
      <c r="GRU99" s="769"/>
      <c r="GRV99" s="769"/>
      <c r="GRW99" s="769"/>
      <c r="GRX99" s="769"/>
      <c r="GRY99" s="769"/>
      <c r="GRZ99" s="769"/>
      <c r="GSA99" s="769"/>
      <c r="GSB99" s="769"/>
      <c r="GSC99" s="769"/>
      <c r="GSD99" s="769"/>
      <c r="GSE99" s="769"/>
      <c r="GSF99" s="769"/>
      <c r="GSG99" s="769"/>
      <c r="GSH99" s="769"/>
      <c r="GSI99" s="769"/>
      <c r="GSJ99" s="769"/>
      <c r="GSK99" s="769"/>
      <c r="GSL99" s="769"/>
      <c r="GSM99" s="769"/>
      <c r="GSN99" s="769"/>
      <c r="GSO99" s="769"/>
      <c r="GSP99" s="769"/>
      <c r="GSQ99" s="769"/>
      <c r="GSR99" s="769"/>
      <c r="GSS99" s="769"/>
      <c r="GST99" s="769"/>
      <c r="GSU99" s="769"/>
      <c r="GSV99" s="769"/>
      <c r="GSW99" s="769"/>
      <c r="GSX99" s="769"/>
      <c r="GSY99" s="769"/>
      <c r="GSZ99" s="769"/>
      <c r="GTA99" s="769"/>
      <c r="GTB99" s="769"/>
      <c r="GTC99" s="769"/>
      <c r="GTD99" s="769"/>
      <c r="GTE99" s="769"/>
      <c r="GTF99" s="769"/>
      <c r="GTG99" s="769"/>
      <c r="GTH99" s="769"/>
      <c r="GTI99" s="769"/>
      <c r="GTJ99" s="769"/>
      <c r="GTK99" s="769"/>
      <c r="GTL99" s="769"/>
      <c r="GTM99" s="769"/>
      <c r="GTN99" s="769"/>
      <c r="GTO99" s="769"/>
      <c r="GTP99" s="769"/>
      <c r="GTQ99" s="769"/>
      <c r="GTR99" s="769"/>
      <c r="GTS99" s="769"/>
      <c r="GTT99" s="769"/>
      <c r="GTU99" s="769"/>
      <c r="GTV99" s="769"/>
      <c r="GTW99" s="769"/>
      <c r="GTX99" s="769"/>
      <c r="GTY99" s="769"/>
      <c r="GTZ99" s="769"/>
      <c r="GUA99" s="769"/>
      <c r="GUB99" s="769"/>
      <c r="GUC99" s="769"/>
      <c r="GUD99" s="769"/>
      <c r="GUE99" s="769"/>
      <c r="GUF99" s="769"/>
      <c r="GUG99" s="769"/>
      <c r="GUH99" s="769"/>
      <c r="GUI99" s="769"/>
      <c r="GUJ99" s="769"/>
      <c r="GUK99" s="769"/>
      <c r="GUL99" s="769"/>
      <c r="GUM99" s="769"/>
      <c r="GUN99" s="769"/>
      <c r="GUO99" s="769"/>
      <c r="GUP99" s="769"/>
      <c r="GUQ99" s="769"/>
      <c r="GUR99" s="769"/>
      <c r="GUS99" s="769"/>
      <c r="GUT99" s="769"/>
      <c r="GUU99" s="769"/>
      <c r="GUV99" s="769"/>
      <c r="GUW99" s="769"/>
      <c r="GUX99" s="769"/>
      <c r="GUY99" s="769"/>
      <c r="GUZ99" s="769"/>
      <c r="GVA99" s="769"/>
      <c r="GVB99" s="769"/>
      <c r="GVC99" s="769"/>
      <c r="GVD99" s="769"/>
      <c r="GVE99" s="769"/>
      <c r="GVF99" s="769"/>
      <c r="GVG99" s="769"/>
      <c r="GVH99" s="769"/>
      <c r="GVI99" s="769"/>
      <c r="GVJ99" s="769"/>
      <c r="GVK99" s="769"/>
      <c r="GVL99" s="769"/>
      <c r="GVM99" s="769"/>
      <c r="GVN99" s="769"/>
      <c r="GVO99" s="769"/>
      <c r="GVP99" s="769"/>
      <c r="GVQ99" s="769"/>
      <c r="GVR99" s="769"/>
      <c r="GVS99" s="769"/>
      <c r="GVT99" s="769"/>
      <c r="GVU99" s="769"/>
      <c r="GVV99" s="769"/>
      <c r="GVW99" s="769"/>
      <c r="GVX99" s="769"/>
      <c r="GVY99" s="769"/>
      <c r="GVZ99" s="769"/>
      <c r="GWA99" s="769"/>
      <c r="GWB99" s="769"/>
      <c r="GWC99" s="769"/>
      <c r="GWD99" s="769"/>
      <c r="GWE99" s="769"/>
      <c r="GWF99" s="769"/>
      <c r="GWG99" s="769"/>
      <c r="GWH99" s="769"/>
      <c r="GWI99" s="769"/>
      <c r="GWJ99" s="769"/>
      <c r="GWK99" s="769"/>
      <c r="GWL99" s="769"/>
      <c r="GWM99" s="769"/>
      <c r="GWN99" s="769"/>
      <c r="GWO99" s="769"/>
      <c r="GWP99" s="769"/>
      <c r="GWQ99" s="769"/>
      <c r="GWR99" s="769"/>
      <c r="GWS99" s="769"/>
      <c r="GWT99" s="769"/>
      <c r="GWU99" s="769"/>
      <c r="GWV99" s="769"/>
      <c r="GWW99" s="769"/>
      <c r="GWX99" s="769"/>
      <c r="GWY99" s="769"/>
      <c r="GWZ99" s="769"/>
      <c r="GXA99" s="769"/>
      <c r="GXB99" s="769"/>
      <c r="GXC99" s="769"/>
      <c r="GXD99" s="769"/>
      <c r="GXE99" s="769"/>
      <c r="GXF99" s="769"/>
      <c r="GXG99" s="769"/>
      <c r="GXH99" s="769"/>
      <c r="GXI99" s="769"/>
      <c r="GXJ99" s="769"/>
      <c r="GXK99" s="769"/>
      <c r="GXL99" s="769"/>
      <c r="GXM99" s="769"/>
      <c r="GXN99" s="769"/>
      <c r="GXO99" s="769"/>
      <c r="GXP99" s="769"/>
      <c r="GXQ99" s="769"/>
      <c r="GXR99" s="769"/>
      <c r="GXS99" s="769"/>
      <c r="GXT99" s="769"/>
      <c r="GXU99" s="769"/>
      <c r="GXV99" s="769"/>
      <c r="GXW99" s="769"/>
      <c r="GXX99" s="769"/>
      <c r="GXY99" s="769"/>
      <c r="GXZ99" s="769"/>
      <c r="GYA99" s="769"/>
      <c r="GYB99" s="769"/>
      <c r="GYC99" s="769"/>
      <c r="GYD99" s="769"/>
      <c r="GYE99" s="769"/>
      <c r="GYF99" s="769"/>
      <c r="GYG99" s="769"/>
      <c r="GYH99" s="769"/>
      <c r="GYI99" s="769"/>
      <c r="GYJ99" s="769"/>
      <c r="GYK99" s="769"/>
      <c r="GYL99" s="769"/>
      <c r="GYM99" s="769"/>
      <c r="GYN99" s="769"/>
      <c r="GYO99" s="769"/>
      <c r="GYP99" s="769"/>
      <c r="GYQ99" s="769"/>
      <c r="GYR99" s="769"/>
      <c r="GYS99" s="769"/>
      <c r="GYT99" s="769"/>
      <c r="GYU99" s="769"/>
      <c r="GYV99" s="769"/>
      <c r="GYW99" s="769"/>
      <c r="GYX99" s="769"/>
      <c r="GYY99" s="769"/>
      <c r="GYZ99" s="769"/>
      <c r="GZA99" s="769"/>
      <c r="GZB99" s="769"/>
      <c r="GZC99" s="769"/>
      <c r="GZD99" s="769"/>
      <c r="GZE99" s="769"/>
      <c r="GZF99" s="769"/>
      <c r="GZG99" s="769"/>
      <c r="GZH99" s="769"/>
      <c r="GZI99" s="769"/>
      <c r="GZJ99" s="769"/>
      <c r="GZK99" s="769"/>
      <c r="GZL99" s="769"/>
      <c r="GZM99" s="769"/>
      <c r="GZN99" s="769"/>
      <c r="GZO99" s="769"/>
      <c r="GZP99" s="769"/>
      <c r="GZQ99" s="769"/>
      <c r="GZR99" s="769"/>
      <c r="GZS99" s="769"/>
      <c r="GZT99" s="769"/>
      <c r="GZU99" s="769"/>
      <c r="GZV99" s="769"/>
      <c r="GZW99" s="769"/>
      <c r="GZX99" s="769"/>
      <c r="GZY99" s="769"/>
      <c r="GZZ99" s="769"/>
      <c r="HAA99" s="769"/>
      <c r="HAB99" s="769"/>
      <c r="HAC99" s="769"/>
      <c r="HAD99" s="769"/>
      <c r="HAE99" s="769"/>
      <c r="HAF99" s="769"/>
      <c r="HAG99" s="769"/>
      <c r="HAH99" s="769"/>
      <c r="HAI99" s="769"/>
      <c r="HAJ99" s="769"/>
      <c r="HAK99" s="769"/>
      <c r="HAL99" s="769"/>
      <c r="HAM99" s="769"/>
      <c r="HAN99" s="769"/>
      <c r="HAO99" s="769"/>
      <c r="HAP99" s="769"/>
      <c r="HAQ99" s="769"/>
      <c r="HAR99" s="769"/>
      <c r="HAS99" s="769"/>
      <c r="HAT99" s="769"/>
      <c r="HAU99" s="769"/>
      <c r="HAV99" s="769"/>
      <c r="HAW99" s="769"/>
      <c r="HAX99" s="769"/>
      <c r="HAY99" s="769"/>
      <c r="HAZ99" s="769"/>
      <c r="HBA99" s="769"/>
      <c r="HBB99" s="769"/>
      <c r="HBC99" s="769"/>
      <c r="HBD99" s="769"/>
      <c r="HBE99" s="769"/>
      <c r="HBF99" s="769"/>
      <c r="HBG99" s="769"/>
      <c r="HBH99" s="769"/>
      <c r="HBI99" s="769"/>
      <c r="HBJ99" s="769"/>
      <c r="HBK99" s="769"/>
      <c r="HBL99" s="769"/>
      <c r="HBM99" s="769"/>
      <c r="HBN99" s="769"/>
      <c r="HBO99" s="769"/>
      <c r="HBP99" s="769"/>
      <c r="HBQ99" s="769"/>
      <c r="HBR99" s="769"/>
      <c r="HBS99" s="769"/>
      <c r="HBT99" s="769"/>
      <c r="HBU99" s="769"/>
      <c r="HBV99" s="769"/>
      <c r="HBW99" s="769"/>
      <c r="HBX99" s="769"/>
      <c r="HBY99" s="769"/>
      <c r="HBZ99" s="769"/>
      <c r="HCA99" s="769"/>
      <c r="HCB99" s="769"/>
      <c r="HCC99" s="769"/>
      <c r="HCD99" s="769"/>
      <c r="HCE99" s="769"/>
      <c r="HCF99" s="769"/>
      <c r="HCG99" s="769"/>
      <c r="HCH99" s="769"/>
      <c r="HCI99" s="769"/>
      <c r="HCJ99" s="769"/>
      <c r="HCK99" s="769"/>
      <c r="HCL99" s="769"/>
      <c r="HCM99" s="769"/>
      <c r="HCN99" s="769"/>
      <c r="HCO99" s="769"/>
      <c r="HCP99" s="769"/>
      <c r="HCQ99" s="769"/>
      <c r="HCR99" s="769"/>
      <c r="HCS99" s="769"/>
      <c r="HCT99" s="769"/>
      <c r="HCU99" s="769"/>
      <c r="HCV99" s="769"/>
      <c r="HCW99" s="769"/>
      <c r="HCX99" s="769"/>
      <c r="HCY99" s="769"/>
      <c r="HCZ99" s="769"/>
      <c r="HDA99" s="769"/>
      <c r="HDB99" s="769"/>
      <c r="HDC99" s="769"/>
      <c r="HDD99" s="769"/>
      <c r="HDE99" s="769"/>
      <c r="HDF99" s="769"/>
      <c r="HDG99" s="769"/>
      <c r="HDH99" s="769"/>
      <c r="HDI99" s="769"/>
      <c r="HDJ99" s="769"/>
      <c r="HDK99" s="769"/>
      <c r="HDL99" s="769"/>
      <c r="HDM99" s="769"/>
      <c r="HDN99" s="769"/>
      <c r="HDO99" s="769"/>
      <c r="HDP99" s="769"/>
      <c r="HDQ99" s="769"/>
      <c r="HDR99" s="769"/>
      <c r="HDS99" s="769"/>
      <c r="HDT99" s="769"/>
      <c r="HDU99" s="769"/>
      <c r="HDV99" s="769"/>
      <c r="HDW99" s="769"/>
      <c r="HDX99" s="769"/>
      <c r="HDY99" s="769"/>
      <c r="HDZ99" s="769"/>
      <c r="HEA99" s="769"/>
      <c r="HEB99" s="769"/>
      <c r="HEC99" s="769"/>
      <c r="HED99" s="769"/>
      <c r="HEE99" s="769"/>
      <c r="HEF99" s="769"/>
      <c r="HEG99" s="769"/>
      <c r="HEH99" s="769"/>
      <c r="HEI99" s="769"/>
      <c r="HEJ99" s="769"/>
      <c r="HEK99" s="769"/>
      <c r="HEL99" s="769"/>
      <c r="HEM99" s="769"/>
      <c r="HEN99" s="769"/>
      <c r="HEO99" s="769"/>
      <c r="HEP99" s="769"/>
      <c r="HEQ99" s="769"/>
      <c r="HER99" s="769"/>
      <c r="HES99" s="769"/>
      <c r="HET99" s="769"/>
      <c r="HEU99" s="769"/>
      <c r="HEV99" s="769"/>
      <c r="HEW99" s="769"/>
      <c r="HEX99" s="769"/>
      <c r="HEY99" s="769"/>
      <c r="HEZ99" s="769"/>
      <c r="HFA99" s="769"/>
      <c r="HFB99" s="769"/>
      <c r="HFC99" s="769"/>
      <c r="HFD99" s="769"/>
      <c r="HFE99" s="769"/>
      <c r="HFF99" s="769"/>
      <c r="HFG99" s="769"/>
      <c r="HFH99" s="769"/>
      <c r="HFI99" s="769"/>
      <c r="HFJ99" s="769"/>
      <c r="HFK99" s="769"/>
      <c r="HFL99" s="769"/>
      <c r="HFM99" s="769"/>
      <c r="HFN99" s="769"/>
      <c r="HFO99" s="769"/>
      <c r="HFP99" s="769"/>
      <c r="HFQ99" s="769"/>
      <c r="HFR99" s="769"/>
      <c r="HFS99" s="769"/>
      <c r="HFT99" s="769"/>
      <c r="HFU99" s="769"/>
      <c r="HFV99" s="769"/>
      <c r="HFW99" s="769"/>
      <c r="HFX99" s="769"/>
      <c r="HFY99" s="769"/>
      <c r="HFZ99" s="769"/>
      <c r="HGA99" s="769"/>
      <c r="HGB99" s="769"/>
      <c r="HGC99" s="769"/>
      <c r="HGD99" s="769"/>
      <c r="HGE99" s="769"/>
      <c r="HGF99" s="769"/>
      <c r="HGG99" s="769"/>
      <c r="HGH99" s="769"/>
      <c r="HGI99" s="769"/>
      <c r="HGJ99" s="769"/>
      <c r="HGK99" s="769"/>
      <c r="HGL99" s="769"/>
      <c r="HGM99" s="769"/>
      <c r="HGN99" s="769"/>
      <c r="HGO99" s="769"/>
      <c r="HGP99" s="769"/>
      <c r="HGQ99" s="769"/>
      <c r="HGR99" s="769"/>
      <c r="HGS99" s="769"/>
      <c r="HGT99" s="769"/>
      <c r="HGU99" s="769"/>
      <c r="HGV99" s="769"/>
      <c r="HGW99" s="769"/>
      <c r="HGX99" s="769"/>
      <c r="HGY99" s="769"/>
      <c r="HGZ99" s="769"/>
      <c r="HHA99" s="769"/>
      <c r="HHB99" s="769"/>
      <c r="HHC99" s="769"/>
      <c r="HHD99" s="769"/>
      <c r="HHE99" s="769"/>
      <c r="HHF99" s="769"/>
      <c r="HHG99" s="769"/>
      <c r="HHH99" s="769"/>
      <c r="HHI99" s="769"/>
      <c r="HHJ99" s="769"/>
      <c r="HHK99" s="769"/>
      <c r="HHL99" s="769"/>
      <c r="HHM99" s="769"/>
      <c r="HHN99" s="769"/>
      <c r="HHO99" s="769"/>
      <c r="HHP99" s="769"/>
      <c r="HHQ99" s="769"/>
      <c r="HHR99" s="769"/>
      <c r="HHS99" s="769"/>
      <c r="HHT99" s="769"/>
      <c r="HHU99" s="769"/>
      <c r="HHV99" s="769"/>
      <c r="HHW99" s="769"/>
      <c r="HHX99" s="769"/>
      <c r="HHY99" s="769"/>
      <c r="HHZ99" s="769"/>
      <c r="HIA99" s="769"/>
      <c r="HIB99" s="769"/>
      <c r="HIC99" s="769"/>
      <c r="HID99" s="769"/>
      <c r="HIE99" s="769"/>
      <c r="HIF99" s="769"/>
      <c r="HIG99" s="769"/>
      <c r="HIH99" s="769"/>
      <c r="HII99" s="769"/>
      <c r="HIJ99" s="769"/>
      <c r="HIK99" s="769"/>
      <c r="HIL99" s="769"/>
      <c r="HIM99" s="769"/>
      <c r="HIN99" s="769"/>
      <c r="HIO99" s="769"/>
      <c r="HIP99" s="769"/>
      <c r="HIQ99" s="769"/>
      <c r="HIR99" s="769"/>
      <c r="HIS99" s="769"/>
      <c r="HIT99" s="769"/>
      <c r="HIU99" s="769"/>
      <c r="HIV99" s="769"/>
      <c r="HIW99" s="769"/>
      <c r="HIX99" s="769"/>
      <c r="HIY99" s="769"/>
      <c r="HIZ99" s="769"/>
      <c r="HJA99" s="769"/>
      <c r="HJB99" s="769"/>
      <c r="HJC99" s="769"/>
      <c r="HJD99" s="769"/>
      <c r="HJE99" s="769"/>
      <c r="HJF99" s="769"/>
      <c r="HJG99" s="769"/>
      <c r="HJH99" s="769"/>
      <c r="HJI99" s="769"/>
      <c r="HJJ99" s="769"/>
      <c r="HJK99" s="769"/>
      <c r="HJL99" s="769"/>
      <c r="HJM99" s="769"/>
      <c r="HJN99" s="769"/>
      <c r="HJO99" s="769"/>
      <c r="HJP99" s="769"/>
      <c r="HJQ99" s="769"/>
      <c r="HJR99" s="769"/>
      <c r="HJS99" s="769"/>
      <c r="HJT99" s="769"/>
      <c r="HJU99" s="769"/>
      <c r="HJV99" s="769"/>
      <c r="HJW99" s="769"/>
      <c r="HJX99" s="769"/>
      <c r="HJY99" s="769"/>
      <c r="HJZ99" s="769"/>
      <c r="HKA99" s="769"/>
      <c r="HKB99" s="769"/>
      <c r="HKC99" s="769"/>
      <c r="HKD99" s="769"/>
      <c r="HKE99" s="769"/>
      <c r="HKF99" s="769"/>
      <c r="HKG99" s="769"/>
      <c r="HKH99" s="769"/>
      <c r="HKI99" s="769"/>
      <c r="HKJ99" s="769"/>
      <c r="HKK99" s="769"/>
      <c r="HKL99" s="769"/>
      <c r="HKM99" s="769"/>
      <c r="HKN99" s="769"/>
      <c r="HKO99" s="769"/>
      <c r="HKP99" s="769"/>
      <c r="HKQ99" s="769"/>
      <c r="HKR99" s="769"/>
      <c r="HKS99" s="769"/>
      <c r="HKT99" s="769"/>
      <c r="HKU99" s="769"/>
      <c r="HKV99" s="769"/>
      <c r="HKW99" s="769"/>
      <c r="HKX99" s="769"/>
      <c r="HKY99" s="769"/>
      <c r="HKZ99" s="769"/>
      <c r="HLA99" s="769"/>
      <c r="HLB99" s="769"/>
      <c r="HLC99" s="769"/>
      <c r="HLD99" s="769"/>
      <c r="HLE99" s="769"/>
      <c r="HLF99" s="769"/>
      <c r="HLG99" s="769"/>
      <c r="HLH99" s="769"/>
      <c r="HLI99" s="769"/>
      <c r="HLJ99" s="769"/>
      <c r="HLK99" s="769"/>
      <c r="HLL99" s="769"/>
      <c r="HLM99" s="769"/>
      <c r="HLN99" s="769"/>
      <c r="HLO99" s="769"/>
      <c r="HLP99" s="769"/>
      <c r="HLQ99" s="769"/>
      <c r="HLR99" s="769"/>
      <c r="HLS99" s="769"/>
      <c r="HLT99" s="769"/>
      <c r="HLU99" s="769"/>
      <c r="HLV99" s="769"/>
      <c r="HLW99" s="769"/>
      <c r="HLX99" s="769"/>
      <c r="HLY99" s="769"/>
      <c r="HLZ99" s="769"/>
      <c r="HMA99" s="769"/>
      <c r="HMB99" s="769"/>
      <c r="HMC99" s="769"/>
      <c r="HMD99" s="769"/>
      <c r="HME99" s="769"/>
      <c r="HMF99" s="769"/>
      <c r="HMG99" s="769"/>
      <c r="HMH99" s="769"/>
      <c r="HMI99" s="769"/>
      <c r="HMJ99" s="769"/>
      <c r="HMK99" s="769"/>
      <c r="HML99" s="769"/>
      <c r="HMM99" s="769"/>
      <c r="HMN99" s="769"/>
      <c r="HMO99" s="769"/>
      <c r="HMP99" s="769"/>
      <c r="HMQ99" s="769"/>
      <c r="HMR99" s="769"/>
      <c r="HMS99" s="769"/>
      <c r="HMT99" s="769"/>
      <c r="HMU99" s="769"/>
      <c r="HMV99" s="769"/>
      <c r="HMW99" s="769"/>
      <c r="HMX99" s="769"/>
      <c r="HMY99" s="769"/>
      <c r="HMZ99" s="769"/>
      <c r="HNA99" s="769"/>
      <c r="HNB99" s="769"/>
      <c r="HNC99" s="769"/>
      <c r="HND99" s="769"/>
      <c r="HNE99" s="769"/>
      <c r="HNF99" s="769"/>
      <c r="HNG99" s="769"/>
      <c r="HNH99" s="769"/>
      <c r="HNI99" s="769"/>
      <c r="HNJ99" s="769"/>
      <c r="HNK99" s="769"/>
      <c r="HNL99" s="769"/>
      <c r="HNM99" s="769"/>
      <c r="HNN99" s="769"/>
      <c r="HNO99" s="769"/>
      <c r="HNP99" s="769"/>
      <c r="HNQ99" s="769"/>
      <c r="HNR99" s="769"/>
      <c r="HNS99" s="769"/>
      <c r="HNT99" s="769"/>
      <c r="HNU99" s="769"/>
      <c r="HNV99" s="769"/>
      <c r="HNW99" s="769"/>
      <c r="HNX99" s="769"/>
      <c r="HNY99" s="769"/>
      <c r="HNZ99" s="769"/>
      <c r="HOA99" s="769"/>
      <c r="HOB99" s="769"/>
      <c r="HOC99" s="769"/>
      <c r="HOD99" s="769"/>
      <c r="HOE99" s="769"/>
      <c r="HOF99" s="769"/>
      <c r="HOG99" s="769"/>
      <c r="HOH99" s="769"/>
      <c r="HOI99" s="769"/>
      <c r="HOJ99" s="769"/>
      <c r="HOK99" s="769"/>
      <c r="HOL99" s="769"/>
      <c r="HOM99" s="769"/>
      <c r="HON99" s="769"/>
      <c r="HOO99" s="769"/>
      <c r="HOP99" s="769"/>
      <c r="HOQ99" s="769"/>
      <c r="HOR99" s="769"/>
      <c r="HOS99" s="769"/>
      <c r="HOT99" s="769"/>
      <c r="HOU99" s="769"/>
      <c r="HOV99" s="769"/>
      <c r="HOW99" s="769"/>
      <c r="HOX99" s="769"/>
      <c r="HOY99" s="769"/>
      <c r="HOZ99" s="769"/>
      <c r="HPA99" s="769"/>
      <c r="HPB99" s="769"/>
      <c r="HPC99" s="769"/>
      <c r="HPD99" s="769"/>
      <c r="HPE99" s="769"/>
      <c r="HPF99" s="769"/>
      <c r="HPG99" s="769"/>
      <c r="HPH99" s="769"/>
      <c r="HPI99" s="769"/>
      <c r="HPJ99" s="769"/>
      <c r="HPK99" s="769"/>
      <c r="HPL99" s="769"/>
      <c r="HPM99" s="769"/>
      <c r="HPN99" s="769"/>
      <c r="HPO99" s="769"/>
      <c r="HPP99" s="769"/>
      <c r="HPQ99" s="769"/>
      <c r="HPR99" s="769"/>
      <c r="HPS99" s="769"/>
      <c r="HPT99" s="769"/>
      <c r="HPU99" s="769"/>
      <c r="HPV99" s="769"/>
      <c r="HPW99" s="769"/>
      <c r="HPX99" s="769"/>
      <c r="HPY99" s="769"/>
      <c r="HPZ99" s="769"/>
      <c r="HQA99" s="769"/>
      <c r="HQB99" s="769"/>
      <c r="HQC99" s="769"/>
      <c r="HQD99" s="769"/>
      <c r="HQE99" s="769"/>
      <c r="HQF99" s="769"/>
      <c r="HQG99" s="769"/>
      <c r="HQH99" s="769"/>
      <c r="HQI99" s="769"/>
      <c r="HQJ99" s="769"/>
      <c r="HQK99" s="769"/>
      <c r="HQL99" s="769"/>
      <c r="HQM99" s="769"/>
      <c r="HQN99" s="769"/>
      <c r="HQO99" s="769"/>
      <c r="HQP99" s="769"/>
      <c r="HQQ99" s="769"/>
      <c r="HQR99" s="769"/>
      <c r="HQS99" s="769"/>
      <c r="HQT99" s="769"/>
      <c r="HQU99" s="769"/>
      <c r="HQV99" s="769"/>
      <c r="HQW99" s="769"/>
      <c r="HQX99" s="769"/>
      <c r="HQY99" s="769"/>
      <c r="HQZ99" s="769"/>
      <c r="HRA99" s="769"/>
      <c r="HRB99" s="769"/>
      <c r="HRC99" s="769"/>
      <c r="HRD99" s="769"/>
      <c r="HRE99" s="769"/>
      <c r="HRF99" s="769"/>
      <c r="HRG99" s="769"/>
      <c r="HRH99" s="769"/>
      <c r="HRI99" s="769"/>
      <c r="HRJ99" s="769"/>
      <c r="HRK99" s="769"/>
      <c r="HRL99" s="769"/>
      <c r="HRM99" s="769"/>
      <c r="HRN99" s="769"/>
      <c r="HRO99" s="769"/>
      <c r="HRP99" s="769"/>
      <c r="HRQ99" s="769"/>
      <c r="HRR99" s="769"/>
      <c r="HRS99" s="769"/>
      <c r="HRT99" s="769"/>
      <c r="HRU99" s="769"/>
      <c r="HRV99" s="769"/>
      <c r="HRW99" s="769"/>
      <c r="HRX99" s="769"/>
      <c r="HRY99" s="769"/>
      <c r="HRZ99" s="769"/>
      <c r="HSA99" s="769"/>
      <c r="HSB99" s="769"/>
      <c r="HSC99" s="769"/>
      <c r="HSD99" s="769"/>
      <c r="HSE99" s="769"/>
      <c r="HSF99" s="769"/>
      <c r="HSG99" s="769"/>
      <c r="HSH99" s="769"/>
      <c r="HSI99" s="769"/>
      <c r="HSJ99" s="769"/>
      <c r="HSK99" s="769"/>
      <c r="HSL99" s="769"/>
      <c r="HSM99" s="769"/>
      <c r="HSN99" s="769"/>
      <c r="HSO99" s="769"/>
      <c r="HSP99" s="769"/>
      <c r="HSQ99" s="769"/>
      <c r="HSR99" s="769"/>
      <c r="HSS99" s="769"/>
      <c r="HST99" s="769"/>
      <c r="HSU99" s="769"/>
      <c r="HSV99" s="769"/>
      <c r="HSW99" s="769"/>
      <c r="HSX99" s="769"/>
      <c r="HSY99" s="769"/>
      <c r="HSZ99" s="769"/>
      <c r="HTA99" s="769"/>
      <c r="HTB99" s="769"/>
      <c r="HTC99" s="769"/>
      <c r="HTD99" s="769"/>
      <c r="HTE99" s="769"/>
      <c r="HTF99" s="769"/>
      <c r="HTG99" s="769"/>
      <c r="HTH99" s="769"/>
      <c r="HTI99" s="769"/>
      <c r="HTJ99" s="769"/>
      <c r="HTK99" s="769"/>
      <c r="HTL99" s="769"/>
      <c r="HTM99" s="769"/>
      <c r="HTN99" s="769"/>
      <c r="HTO99" s="769"/>
      <c r="HTP99" s="769"/>
      <c r="HTQ99" s="769"/>
      <c r="HTR99" s="769"/>
      <c r="HTS99" s="769"/>
      <c r="HTT99" s="769"/>
      <c r="HTU99" s="769"/>
      <c r="HTV99" s="769"/>
      <c r="HTW99" s="769"/>
      <c r="HTX99" s="769"/>
      <c r="HTY99" s="769"/>
      <c r="HTZ99" s="769"/>
      <c r="HUA99" s="769"/>
      <c r="HUB99" s="769"/>
      <c r="HUC99" s="769"/>
      <c r="HUD99" s="769"/>
      <c r="HUE99" s="769"/>
      <c r="HUF99" s="769"/>
      <c r="HUG99" s="769"/>
      <c r="HUH99" s="769"/>
      <c r="HUI99" s="769"/>
      <c r="HUJ99" s="769"/>
      <c r="HUK99" s="769"/>
      <c r="HUL99" s="769"/>
      <c r="HUM99" s="769"/>
      <c r="HUN99" s="769"/>
      <c r="HUO99" s="769"/>
      <c r="HUP99" s="769"/>
      <c r="HUQ99" s="769"/>
      <c r="HUR99" s="769"/>
      <c r="HUS99" s="769"/>
      <c r="HUT99" s="769"/>
      <c r="HUU99" s="769"/>
      <c r="HUV99" s="769"/>
      <c r="HUW99" s="769"/>
      <c r="HUX99" s="769"/>
      <c r="HUY99" s="769"/>
      <c r="HUZ99" s="769"/>
      <c r="HVA99" s="769"/>
      <c r="HVB99" s="769"/>
      <c r="HVC99" s="769"/>
      <c r="HVD99" s="769"/>
      <c r="HVE99" s="769"/>
      <c r="HVF99" s="769"/>
      <c r="HVG99" s="769"/>
      <c r="HVH99" s="769"/>
      <c r="HVI99" s="769"/>
      <c r="HVJ99" s="769"/>
      <c r="HVK99" s="769"/>
      <c r="HVL99" s="769"/>
      <c r="HVM99" s="769"/>
      <c r="HVN99" s="769"/>
      <c r="HVO99" s="769"/>
      <c r="HVP99" s="769"/>
      <c r="HVQ99" s="769"/>
      <c r="HVR99" s="769"/>
      <c r="HVS99" s="769"/>
      <c r="HVT99" s="769"/>
      <c r="HVU99" s="769"/>
      <c r="HVV99" s="769"/>
      <c r="HVW99" s="769"/>
      <c r="HVX99" s="769"/>
      <c r="HVY99" s="769"/>
      <c r="HVZ99" s="769"/>
      <c r="HWA99" s="769"/>
      <c r="HWB99" s="769"/>
      <c r="HWC99" s="769"/>
      <c r="HWD99" s="769"/>
      <c r="HWE99" s="769"/>
      <c r="HWF99" s="769"/>
      <c r="HWG99" s="769"/>
      <c r="HWH99" s="769"/>
      <c r="HWI99" s="769"/>
      <c r="HWJ99" s="769"/>
      <c r="HWK99" s="769"/>
      <c r="HWL99" s="769"/>
      <c r="HWM99" s="769"/>
      <c r="HWN99" s="769"/>
      <c r="HWO99" s="769"/>
      <c r="HWP99" s="769"/>
      <c r="HWQ99" s="769"/>
      <c r="HWR99" s="769"/>
      <c r="HWS99" s="769"/>
      <c r="HWT99" s="769"/>
      <c r="HWU99" s="769"/>
      <c r="HWV99" s="769"/>
      <c r="HWW99" s="769"/>
      <c r="HWX99" s="769"/>
      <c r="HWY99" s="769"/>
      <c r="HWZ99" s="769"/>
      <c r="HXA99" s="769"/>
      <c r="HXB99" s="769"/>
      <c r="HXC99" s="769"/>
      <c r="HXD99" s="769"/>
      <c r="HXE99" s="769"/>
      <c r="HXF99" s="769"/>
      <c r="HXG99" s="769"/>
      <c r="HXH99" s="769"/>
      <c r="HXI99" s="769"/>
      <c r="HXJ99" s="769"/>
      <c r="HXK99" s="769"/>
      <c r="HXL99" s="769"/>
      <c r="HXM99" s="769"/>
      <c r="HXN99" s="769"/>
      <c r="HXO99" s="769"/>
      <c r="HXP99" s="769"/>
      <c r="HXQ99" s="769"/>
      <c r="HXR99" s="769"/>
      <c r="HXS99" s="769"/>
      <c r="HXT99" s="769"/>
      <c r="HXU99" s="769"/>
      <c r="HXV99" s="769"/>
      <c r="HXW99" s="769"/>
      <c r="HXX99" s="769"/>
      <c r="HXY99" s="769"/>
      <c r="HXZ99" s="769"/>
      <c r="HYA99" s="769"/>
      <c r="HYB99" s="769"/>
      <c r="HYC99" s="769"/>
      <c r="HYD99" s="769"/>
      <c r="HYE99" s="769"/>
      <c r="HYF99" s="769"/>
      <c r="HYG99" s="769"/>
      <c r="HYH99" s="769"/>
      <c r="HYI99" s="769"/>
      <c r="HYJ99" s="769"/>
      <c r="HYK99" s="769"/>
      <c r="HYL99" s="769"/>
      <c r="HYM99" s="769"/>
      <c r="HYN99" s="769"/>
      <c r="HYO99" s="769"/>
      <c r="HYP99" s="769"/>
      <c r="HYQ99" s="769"/>
      <c r="HYR99" s="769"/>
      <c r="HYS99" s="769"/>
      <c r="HYT99" s="769"/>
      <c r="HYU99" s="769"/>
      <c r="HYV99" s="769"/>
      <c r="HYW99" s="769"/>
      <c r="HYX99" s="769"/>
      <c r="HYY99" s="769"/>
      <c r="HYZ99" s="769"/>
      <c r="HZA99" s="769"/>
      <c r="HZB99" s="769"/>
      <c r="HZC99" s="769"/>
      <c r="HZD99" s="769"/>
      <c r="HZE99" s="769"/>
      <c r="HZF99" s="769"/>
      <c r="HZG99" s="769"/>
      <c r="HZH99" s="769"/>
      <c r="HZI99" s="769"/>
      <c r="HZJ99" s="769"/>
      <c r="HZK99" s="769"/>
      <c r="HZL99" s="769"/>
      <c r="HZM99" s="769"/>
      <c r="HZN99" s="769"/>
      <c r="HZO99" s="769"/>
      <c r="HZP99" s="769"/>
      <c r="HZQ99" s="769"/>
      <c r="HZR99" s="769"/>
      <c r="HZS99" s="769"/>
      <c r="HZT99" s="769"/>
      <c r="HZU99" s="769"/>
      <c r="HZV99" s="769"/>
      <c r="HZW99" s="769"/>
      <c r="HZX99" s="769"/>
      <c r="HZY99" s="769"/>
      <c r="HZZ99" s="769"/>
      <c r="IAA99" s="769"/>
      <c r="IAB99" s="769"/>
      <c r="IAC99" s="769"/>
      <c r="IAD99" s="769"/>
      <c r="IAE99" s="769"/>
      <c r="IAF99" s="769"/>
      <c r="IAG99" s="769"/>
      <c r="IAH99" s="769"/>
      <c r="IAI99" s="769"/>
      <c r="IAJ99" s="769"/>
      <c r="IAK99" s="769"/>
      <c r="IAL99" s="769"/>
      <c r="IAM99" s="769"/>
      <c r="IAN99" s="769"/>
      <c r="IAO99" s="769"/>
      <c r="IAP99" s="769"/>
      <c r="IAQ99" s="769"/>
      <c r="IAR99" s="769"/>
      <c r="IAS99" s="769"/>
      <c r="IAT99" s="769"/>
      <c r="IAU99" s="769"/>
      <c r="IAV99" s="769"/>
      <c r="IAW99" s="769"/>
      <c r="IAX99" s="769"/>
      <c r="IAY99" s="769"/>
      <c r="IAZ99" s="769"/>
      <c r="IBA99" s="769"/>
      <c r="IBB99" s="769"/>
      <c r="IBC99" s="769"/>
      <c r="IBD99" s="769"/>
      <c r="IBE99" s="769"/>
      <c r="IBF99" s="769"/>
      <c r="IBG99" s="769"/>
      <c r="IBH99" s="769"/>
      <c r="IBI99" s="769"/>
      <c r="IBJ99" s="769"/>
      <c r="IBK99" s="769"/>
      <c r="IBL99" s="769"/>
      <c r="IBM99" s="769"/>
      <c r="IBN99" s="769"/>
      <c r="IBO99" s="769"/>
      <c r="IBP99" s="769"/>
      <c r="IBQ99" s="769"/>
      <c r="IBR99" s="769"/>
      <c r="IBS99" s="769"/>
      <c r="IBT99" s="769"/>
      <c r="IBU99" s="769"/>
      <c r="IBV99" s="769"/>
      <c r="IBW99" s="769"/>
      <c r="IBX99" s="769"/>
      <c r="IBY99" s="769"/>
      <c r="IBZ99" s="769"/>
      <c r="ICA99" s="769"/>
      <c r="ICB99" s="769"/>
      <c r="ICC99" s="769"/>
      <c r="ICD99" s="769"/>
      <c r="ICE99" s="769"/>
      <c r="ICF99" s="769"/>
      <c r="ICG99" s="769"/>
      <c r="ICH99" s="769"/>
      <c r="ICI99" s="769"/>
      <c r="ICJ99" s="769"/>
      <c r="ICK99" s="769"/>
      <c r="ICL99" s="769"/>
      <c r="ICM99" s="769"/>
      <c r="ICN99" s="769"/>
      <c r="ICO99" s="769"/>
      <c r="ICP99" s="769"/>
      <c r="ICQ99" s="769"/>
      <c r="ICR99" s="769"/>
      <c r="ICS99" s="769"/>
      <c r="ICT99" s="769"/>
      <c r="ICU99" s="769"/>
      <c r="ICV99" s="769"/>
      <c r="ICW99" s="769"/>
      <c r="ICX99" s="769"/>
      <c r="ICY99" s="769"/>
      <c r="ICZ99" s="769"/>
      <c r="IDA99" s="769"/>
      <c r="IDB99" s="769"/>
      <c r="IDC99" s="769"/>
      <c r="IDD99" s="769"/>
      <c r="IDE99" s="769"/>
      <c r="IDF99" s="769"/>
      <c r="IDG99" s="769"/>
      <c r="IDH99" s="769"/>
      <c r="IDI99" s="769"/>
      <c r="IDJ99" s="769"/>
      <c r="IDK99" s="769"/>
      <c r="IDL99" s="769"/>
      <c r="IDM99" s="769"/>
      <c r="IDN99" s="769"/>
      <c r="IDO99" s="769"/>
      <c r="IDP99" s="769"/>
      <c r="IDQ99" s="769"/>
      <c r="IDR99" s="769"/>
      <c r="IDS99" s="769"/>
      <c r="IDT99" s="769"/>
      <c r="IDU99" s="769"/>
      <c r="IDV99" s="769"/>
      <c r="IDW99" s="769"/>
      <c r="IDX99" s="769"/>
      <c r="IDY99" s="769"/>
      <c r="IDZ99" s="769"/>
      <c r="IEA99" s="769"/>
      <c r="IEB99" s="769"/>
      <c r="IEC99" s="769"/>
      <c r="IED99" s="769"/>
      <c r="IEE99" s="769"/>
      <c r="IEF99" s="769"/>
      <c r="IEG99" s="769"/>
      <c r="IEH99" s="769"/>
      <c r="IEI99" s="769"/>
      <c r="IEJ99" s="769"/>
      <c r="IEK99" s="769"/>
      <c r="IEL99" s="769"/>
      <c r="IEM99" s="769"/>
      <c r="IEN99" s="769"/>
      <c r="IEO99" s="769"/>
      <c r="IEP99" s="769"/>
      <c r="IEQ99" s="769"/>
      <c r="IER99" s="769"/>
      <c r="IES99" s="769"/>
      <c r="IET99" s="769"/>
      <c r="IEU99" s="769"/>
      <c r="IEV99" s="769"/>
      <c r="IEW99" s="769"/>
      <c r="IEX99" s="769"/>
      <c r="IEY99" s="769"/>
      <c r="IEZ99" s="769"/>
      <c r="IFA99" s="769"/>
      <c r="IFB99" s="769"/>
      <c r="IFC99" s="769"/>
      <c r="IFD99" s="769"/>
      <c r="IFE99" s="769"/>
      <c r="IFF99" s="769"/>
      <c r="IFG99" s="769"/>
      <c r="IFH99" s="769"/>
      <c r="IFI99" s="769"/>
      <c r="IFJ99" s="769"/>
      <c r="IFK99" s="769"/>
      <c r="IFL99" s="769"/>
      <c r="IFM99" s="769"/>
      <c r="IFN99" s="769"/>
      <c r="IFO99" s="769"/>
      <c r="IFP99" s="769"/>
      <c r="IFQ99" s="769"/>
      <c r="IFR99" s="769"/>
      <c r="IFS99" s="769"/>
      <c r="IFT99" s="769"/>
      <c r="IFU99" s="769"/>
      <c r="IFV99" s="769"/>
      <c r="IFW99" s="769"/>
      <c r="IFX99" s="769"/>
      <c r="IFY99" s="769"/>
      <c r="IFZ99" s="769"/>
      <c r="IGA99" s="769"/>
      <c r="IGB99" s="769"/>
      <c r="IGC99" s="769"/>
      <c r="IGD99" s="769"/>
      <c r="IGE99" s="769"/>
      <c r="IGF99" s="769"/>
      <c r="IGG99" s="769"/>
      <c r="IGH99" s="769"/>
      <c r="IGI99" s="769"/>
      <c r="IGJ99" s="769"/>
      <c r="IGK99" s="769"/>
      <c r="IGL99" s="769"/>
      <c r="IGM99" s="769"/>
      <c r="IGN99" s="769"/>
      <c r="IGO99" s="769"/>
      <c r="IGP99" s="769"/>
      <c r="IGQ99" s="769"/>
      <c r="IGR99" s="769"/>
      <c r="IGS99" s="769"/>
      <c r="IGT99" s="769"/>
      <c r="IGU99" s="769"/>
      <c r="IGV99" s="769"/>
      <c r="IGW99" s="769"/>
      <c r="IGX99" s="769"/>
      <c r="IGY99" s="769"/>
      <c r="IGZ99" s="769"/>
      <c r="IHA99" s="769"/>
      <c r="IHB99" s="769"/>
      <c r="IHC99" s="769"/>
      <c r="IHD99" s="769"/>
      <c r="IHE99" s="769"/>
      <c r="IHF99" s="769"/>
      <c r="IHG99" s="769"/>
      <c r="IHH99" s="769"/>
      <c r="IHI99" s="769"/>
      <c r="IHJ99" s="769"/>
      <c r="IHK99" s="769"/>
      <c r="IHL99" s="769"/>
      <c r="IHM99" s="769"/>
      <c r="IHN99" s="769"/>
      <c r="IHO99" s="769"/>
      <c r="IHP99" s="769"/>
      <c r="IHQ99" s="769"/>
      <c r="IHR99" s="769"/>
      <c r="IHS99" s="769"/>
      <c r="IHT99" s="769"/>
      <c r="IHU99" s="769"/>
      <c r="IHV99" s="769"/>
      <c r="IHW99" s="769"/>
      <c r="IHX99" s="769"/>
      <c r="IHY99" s="769"/>
      <c r="IHZ99" s="769"/>
      <c r="IIA99" s="769"/>
      <c r="IIB99" s="769"/>
      <c r="IIC99" s="769"/>
      <c r="IID99" s="769"/>
      <c r="IIE99" s="769"/>
      <c r="IIF99" s="769"/>
      <c r="IIG99" s="769"/>
      <c r="IIH99" s="769"/>
      <c r="III99" s="769"/>
      <c r="IIJ99" s="769"/>
      <c r="IIK99" s="769"/>
      <c r="IIL99" s="769"/>
      <c r="IIM99" s="769"/>
      <c r="IIN99" s="769"/>
      <c r="IIO99" s="769"/>
      <c r="IIP99" s="769"/>
      <c r="IIQ99" s="769"/>
      <c r="IIR99" s="769"/>
      <c r="IIS99" s="769"/>
      <c r="IIT99" s="769"/>
      <c r="IIU99" s="769"/>
      <c r="IIV99" s="769"/>
      <c r="IIW99" s="769"/>
      <c r="IIX99" s="769"/>
      <c r="IIY99" s="769"/>
      <c r="IIZ99" s="769"/>
      <c r="IJA99" s="769"/>
      <c r="IJB99" s="769"/>
      <c r="IJC99" s="769"/>
      <c r="IJD99" s="769"/>
      <c r="IJE99" s="769"/>
      <c r="IJF99" s="769"/>
      <c r="IJG99" s="769"/>
      <c r="IJH99" s="769"/>
      <c r="IJI99" s="769"/>
      <c r="IJJ99" s="769"/>
      <c r="IJK99" s="769"/>
      <c r="IJL99" s="769"/>
      <c r="IJM99" s="769"/>
      <c r="IJN99" s="769"/>
      <c r="IJO99" s="769"/>
      <c r="IJP99" s="769"/>
      <c r="IJQ99" s="769"/>
      <c r="IJR99" s="769"/>
      <c r="IJS99" s="769"/>
      <c r="IJT99" s="769"/>
      <c r="IJU99" s="769"/>
      <c r="IJV99" s="769"/>
      <c r="IJW99" s="769"/>
      <c r="IJX99" s="769"/>
      <c r="IJY99" s="769"/>
      <c r="IJZ99" s="769"/>
      <c r="IKA99" s="769"/>
      <c r="IKB99" s="769"/>
      <c r="IKC99" s="769"/>
      <c r="IKD99" s="769"/>
      <c r="IKE99" s="769"/>
      <c r="IKF99" s="769"/>
      <c r="IKG99" s="769"/>
      <c r="IKH99" s="769"/>
      <c r="IKI99" s="769"/>
      <c r="IKJ99" s="769"/>
      <c r="IKK99" s="769"/>
      <c r="IKL99" s="769"/>
      <c r="IKM99" s="769"/>
      <c r="IKN99" s="769"/>
      <c r="IKO99" s="769"/>
      <c r="IKP99" s="769"/>
      <c r="IKQ99" s="769"/>
      <c r="IKR99" s="769"/>
      <c r="IKS99" s="769"/>
      <c r="IKT99" s="769"/>
      <c r="IKU99" s="769"/>
      <c r="IKV99" s="769"/>
      <c r="IKW99" s="769"/>
      <c r="IKX99" s="769"/>
      <c r="IKY99" s="769"/>
      <c r="IKZ99" s="769"/>
      <c r="ILA99" s="769"/>
      <c r="ILB99" s="769"/>
      <c r="ILC99" s="769"/>
      <c r="ILD99" s="769"/>
      <c r="ILE99" s="769"/>
      <c r="ILF99" s="769"/>
      <c r="ILG99" s="769"/>
      <c r="ILH99" s="769"/>
      <c r="ILI99" s="769"/>
      <c r="ILJ99" s="769"/>
      <c r="ILK99" s="769"/>
      <c r="ILL99" s="769"/>
      <c r="ILM99" s="769"/>
      <c r="ILN99" s="769"/>
      <c r="ILO99" s="769"/>
      <c r="ILP99" s="769"/>
      <c r="ILQ99" s="769"/>
      <c r="ILR99" s="769"/>
      <c r="ILS99" s="769"/>
      <c r="ILT99" s="769"/>
      <c r="ILU99" s="769"/>
      <c r="ILV99" s="769"/>
      <c r="ILW99" s="769"/>
      <c r="ILX99" s="769"/>
      <c r="ILY99" s="769"/>
      <c r="ILZ99" s="769"/>
      <c r="IMA99" s="769"/>
      <c r="IMB99" s="769"/>
      <c r="IMC99" s="769"/>
      <c r="IMD99" s="769"/>
      <c r="IME99" s="769"/>
      <c r="IMF99" s="769"/>
      <c r="IMG99" s="769"/>
      <c r="IMH99" s="769"/>
      <c r="IMI99" s="769"/>
      <c r="IMJ99" s="769"/>
      <c r="IMK99" s="769"/>
      <c r="IML99" s="769"/>
      <c r="IMM99" s="769"/>
      <c r="IMN99" s="769"/>
      <c r="IMO99" s="769"/>
      <c r="IMP99" s="769"/>
      <c r="IMQ99" s="769"/>
      <c r="IMR99" s="769"/>
      <c r="IMS99" s="769"/>
      <c r="IMT99" s="769"/>
      <c r="IMU99" s="769"/>
      <c r="IMV99" s="769"/>
      <c r="IMW99" s="769"/>
      <c r="IMX99" s="769"/>
      <c r="IMY99" s="769"/>
      <c r="IMZ99" s="769"/>
      <c r="INA99" s="769"/>
      <c r="INB99" s="769"/>
      <c r="INC99" s="769"/>
      <c r="IND99" s="769"/>
      <c r="INE99" s="769"/>
      <c r="INF99" s="769"/>
      <c r="ING99" s="769"/>
      <c r="INH99" s="769"/>
      <c r="INI99" s="769"/>
      <c r="INJ99" s="769"/>
      <c r="INK99" s="769"/>
      <c r="INL99" s="769"/>
      <c r="INM99" s="769"/>
      <c r="INN99" s="769"/>
      <c r="INO99" s="769"/>
      <c r="INP99" s="769"/>
      <c r="INQ99" s="769"/>
      <c r="INR99" s="769"/>
      <c r="INS99" s="769"/>
      <c r="INT99" s="769"/>
      <c r="INU99" s="769"/>
      <c r="INV99" s="769"/>
      <c r="INW99" s="769"/>
      <c r="INX99" s="769"/>
      <c r="INY99" s="769"/>
      <c r="INZ99" s="769"/>
      <c r="IOA99" s="769"/>
      <c r="IOB99" s="769"/>
      <c r="IOC99" s="769"/>
      <c r="IOD99" s="769"/>
      <c r="IOE99" s="769"/>
      <c r="IOF99" s="769"/>
      <c r="IOG99" s="769"/>
      <c r="IOH99" s="769"/>
      <c r="IOI99" s="769"/>
      <c r="IOJ99" s="769"/>
      <c r="IOK99" s="769"/>
      <c r="IOL99" s="769"/>
      <c r="IOM99" s="769"/>
      <c r="ION99" s="769"/>
      <c r="IOO99" s="769"/>
      <c r="IOP99" s="769"/>
      <c r="IOQ99" s="769"/>
      <c r="IOR99" s="769"/>
      <c r="IOS99" s="769"/>
      <c r="IOT99" s="769"/>
      <c r="IOU99" s="769"/>
      <c r="IOV99" s="769"/>
      <c r="IOW99" s="769"/>
      <c r="IOX99" s="769"/>
      <c r="IOY99" s="769"/>
      <c r="IOZ99" s="769"/>
      <c r="IPA99" s="769"/>
      <c r="IPB99" s="769"/>
      <c r="IPC99" s="769"/>
      <c r="IPD99" s="769"/>
      <c r="IPE99" s="769"/>
      <c r="IPF99" s="769"/>
      <c r="IPG99" s="769"/>
      <c r="IPH99" s="769"/>
      <c r="IPI99" s="769"/>
      <c r="IPJ99" s="769"/>
      <c r="IPK99" s="769"/>
      <c r="IPL99" s="769"/>
      <c r="IPM99" s="769"/>
      <c r="IPN99" s="769"/>
      <c r="IPO99" s="769"/>
      <c r="IPP99" s="769"/>
      <c r="IPQ99" s="769"/>
      <c r="IPR99" s="769"/>
      <c r="IPS99" s="769"/>
      <c r="IPT99" s="769"/>
      <c r="IPU99" s="769"/>
      <c r="IPV99" s="769"/>
      <c r="IPW99" s="769"/>
      <c r="IPX99" s="769"/>
      <c r="IPY99" s="769"/>
      <c r="IPZ99" s="769"/>
      <c r="IQA99" s="769"/>
      <c r="IQB99" s="769"/>
      <c r="IQC99" s="769"/>
      <c r="IQD99" s="769"/>
      <c r="IQE99" s="769"/>
      <c r="IQF99" s="769"/>
      <c r="IQG99" s="769"/>
      <c r="IQH99" s="769"/>
      <c r="IQI99" s="769"/>
      <c r="IQJ99" s="769"/>
      <c r="IQK99" s="769"/>
      <c r="IQL99" s="769"/>
      <c r="IQM99" s="769"/>
      <c r="IQN99" s="769"/>
      <c r="IQO99" s="769"/>
      <c r="IQP99" s="769"/>
      <c r="IQQ99" s="769"/>
      <c r="IQR99" s="769"/>
      <c r="IQS99" s="769"/>
      <c r="IQT99" s="769"/>
      <c r="IQU99" s="769"/>
      <c r="IQV99" s="769"/>
      <c r="IQW99" s="769"/>
      <c r="IQX99" s="769"/>
      <c r="IQY99" s="769"/>
      <c r="IQZ99" s="769"/>
      <c r="IRA99" s="769"/>
      <c r="IRB99" s="769"/>
      <c r="IRC99" s="769"/>
      <c r="IRD99" s="769"/>
      <c r="IRE99" s="769"/>
      <c r="IRF99" s="769"/>
      <c r="IRG99" s="769"/>
      <c r="IRH99" s="769"/>
      <c r="IRI99" s="769"/>
      <c r="IRJ99" s="769"/>
      <c r="IRK99" s="769"/>
      <c r="IRL99" s="769"/>
      <c r="IRM99" s="769"/>
      <c r="IRN99" s="769"/>
      <c r="IRO99" s="769"/>
      <c r="IRP99" s="769"/>
      <c r="IRQ99" s="769"/>
      <c r="IRR99" s="769"/>
      <c r="IRS99" s="769"/>
      <c r="IRT99" s="769"/>
      <c r="IRU99" s="769"/>
      <c r="IRV99" s="769"/>
      <c r="IRW99" s="769"/>
      <c r="IRX99" s="769"/>
      <c r="IRY99" s="769"/>
      <c r="IRZ99" s="769"/>
      <c r="ISA99" s="769"/>
      <c r="ISB99" s="769"/>
      <c r="ISC99" s="769"/>
      <c r="ISD99" s="769"/>
      <c r="ISE99" s="769"/>
      <c r="ISF99" s="769"/>
      <c r="ISG99" s="769"/>
      <c r="ISH99" s="769"/>
      <c r="ISI99" s="769"/>
      <c r="ISJ99" s="769"/>
      <c r="ISK99" s="769"/>
      <c r="ISL99" s="769"/>
      <c r="ISM99" s="769"/>
      <c r="ISN99" s="769"/>
      <c r="ISO99" s="769"/>
      <c r="ISP99" s="769"/>
      <c r="ISQ99" s="769"/>
      <c r="ISR99" s="769"/>
      <c r="ISS99" s="769"/>
      <c r="IST99" s="769"/>
      <c r="ISU99" s="769"/>
      <c r="ISV99" s="769"/>
      <c r="ISW99" s="769"/>
      <c r="ISX99" s="769"/>
      <c r="ISY99" s="769"/>
      <c r="ISZ99" s="769"/>
      <c r="ITA99" s="769"/>
      <c r="ITB99" s="769"/>
      <c r="ITC99" s="769"/>
      <c r="ITD99" s="769"/>
      <c r="ITE99" s="769"/>
      <c r="ITF99" s="769"/>
      <c r="ITG99" s="769"/>
      <c r="ITH99" s="769"/>
      <c r="ITI99" s="769"/>
      <c r="ITJ99" s="769"/>
      <c r="ITK99" s="769"/>
      <c r="ITL99" s="769"/>
      <c r="ITM99" s="769"/>
      <c r="ITN99" s="769"/>
      <c r="ITO99" s="769"/>
      <c r="ITP99" s="769"/>
      <c r="ITQ99" s="769"/>
      <c r="ITR99" s="769"/>
      <c r="ITS99" s="769"/>
      <c r="ITT99" s="769"/>
      <c r="ITU99" s="769"/>
      <c r="ITV99" s="769"/>
      <c r="ITW99" s="769"/>
      <c r="ITX99" s="769"/>
      <c r="ITY99" s="769"/>
      <c r="ITZ99" s="769"/>
      <c r="IUA99" s="769"/>
      <c r="IUB99" s="769"/>
      <c r="IUC99" s="769"/>
      <c r="IUD99" s="769"/>
      <c r="IUE99" s="769"/>
      <c r="IUF99" s="769"/>
      <c r="IUG99" s="769"/>
      <c r="IUH99" s="769"/>
      <c r="IUI99" s="769"/>
      <c r="IUJ99" s="769"/>
      <c r="IUK99" s="769"/>
      <c r="IUL99" s="769"/>
      <c r="IUM99" s="769"/>
      <c r="IUN99" s="769"/>
      <c r="IUO99" s="769"/>
      <c r="IUP99" s="769"/>
      <c r="IUQ99" s="769"/>
      <c r="IUR99" s="769"/>
      <c r="IUS99" s="769"/>
      <c r="IUT99" s="769"/>
      <c r="IUU99" s="769"/>
      <c r="IUV99" s="769"/>
      <c r="IUW99" s="769"/>
      <c r="IUX99" s="769"/>
      <c r="IUY99" s="769"/>
      <c r="IUZ99" s="769"/>
      <c r="IVA99" s="769"/>
      <c r="IVB99" s="769"/>
      <c r="IVC99" s="769"/>
      <c r="IVD99" s="769"/>
      <c r="IVE99" s="769"/>
      <c r="IVF99" s="769"/>
      <c r="IVG99" s="769"/>
      <c r="IVH99" s="769"/>
      <c r="IVI99" s="769"/>
      <c r="IVJ99" s="769"/>
      <c r="IVK99" s="769"/>
      <c r="IVL99" s="769"/>
      <c r="IVM99" s="769"/>
      <c r="IVN99" s="769"/>
      <c r="IVO99" s="769"/>
      <c r="IVP99" s="769"/>
      <c r="IVQ99" s="769"/>
      <c r="IVR99" s="769"/>
      <c r="IVS99" s="769"/>
      <c r="IVT99" s="769"/>
      <c r="IVU99" s="769"/>
      <c r="IVV99" s="769"/>
      <c r="IVW99" s="769"/>
      <c r="IVX99" s="769"/>
      <c r="IVY99" s="769"/>
      <c r="IVZ99" s="769"/>
      <c r="IWA99" s="769"/>
      <c r="IWB99" s="769"/>
      <c r="IWC99" s="769"/>
      <c r="IWD99" s="769"/>
      <c r="IWE99" s="769"/>
      <c r="IWF99" s="769"/>
      <c r="IWG99" s="769"/>
      <c r="IWH99" s="769"/>
      <c r="IWI99" s="769"/>
      <c r="IWJ99" s="769"/>
      <c r="IWK99" s="769"/>
      <c r="IWL99" s="769"/>
      <c r="IWM99" s="769"/>
      <c r="IWN99" s="769"/>
      <c r="IWO99" s="769"/>
      <c r="IWP99" s="769"/>
      <c r="IWQ99" s="769"/>
      <c r="IWR99" s="769"/>
      <c r="IWS99" s="769"/>
      <c r="IWT99" s="769"/>
      <c r="IWU99" s="769"/>
      <c r="IWV99" s="769"/>
      <c r="IWW99" s="769"/>
      <c r="IWX99" s="769"/>
      <c r="IWY99" s="769"/>
      <c r="IWZ99" s="769"/>
      <c r="IXA99" s="769"/>
      <c r="IXB99" s="769"/>
      <c r="IXC99" s="769"/>
      <c r="IXD99" s="769"/>
      <c r="IXE99" s="769"/>
      <c r="IXF99" s="769"/>
      <c r="IXG99" s="769"/>
      <c r="IXH99" s="769"/>
      <c r="IXI99" s="769"/>
      <c r="IXJ99" s="769"/>
      <c r="IXK99" s="769"/>
      <c r="IXL99" s="769"/>
      <c r="IXM99" s="769"/>
      <c r="IXN99" s="769"/>
      <c r="IXO99" s="769"/>
      <c r="IXP99" s="769"/>
      <c r="IXQ99" s="769"/>
      <c r="IXR99" s="769"/>
      <c r="IXS99" s="769"/>
      <c r="IXT99" s="769"/>
      <c r="IXU99" s="769"/>
      <c r="IXV99" s="769"/>
      <c r="IXW99" s="769"/>
      <c r="IXX99" s="769"/>
      <c r="IXY99" s="769"/>
      <c r="IXZ99" s="769"/>
      <c r="IYA99" s="769"/>
      <c r="IYB99" s="769"/>
      <c r="IYC99" s="769"/>
      <c r="IYD99" s="769"/>
      <c r="IYE99" s="769"/>
      <c r="IYF99" s="769"/>
      <c r="IYG99" s="769"/>
      <c r="IYH99" s="769"/>
      <c r="IYI99" s="769"/>
      <c r="IYJ99" s="769"/>
      <c r="IYK99" s="769"/>
      <c r="IYL99" s="769"/>
      <c r="IYM99" s="769"/>
      <c r="IYN99" s="769"/>
      <c r="IYO99" s="769"/>
      <c r="IYP99" s="769"/>
      <c r="IYQ99" s="769"/>
      <c r="IYR99" s="769"/>
      <c r="IYS99" s="769"/>
      <c r="IYT99" s="769"/>
      <c r="IYU99" s="769"/>
      <c r="IYV99" s="769"/>
      <c r="IYW99" s="769"/>
      <c r="IYX99" s="769"/>
      <c r="IYY99" s="769"/>
      <c r="IYZ99" s="769"/>
      <c r="IZA99" s="769"/>
      <c r="IZB99" s="769"/>
      <c r="IZC99" s="769"/>
      <c r="IZD99" s="769"/>
      <c r="IZE99" s="769"/>
      <c r="IZF99" s="769"/>
      <c r="IZG99" s="769"/>
      <c r="IZH99" s="769"/>
      <c r="IZI99" s="769"/>
      <c r="IZJ99" s="769"/>
      <c r="IZK99" s="769"/>
      <c r="IZL99" s="769"/>
      <c r="IZM99" s="769"/>
      <c r="IZN99" s="769"/>
      <c r="IZO99" s="769"/>
      <c r="IZP99" s="769"/>
      <c r="IZQ99" s="769"/>
      <c r="IZR99" s="769"/>
      <c r="IZS99" s="769"/>
      <c r="IZT99" s="769"/>
      <c r="IZU99" s="769"/>
      <c r="IZV99" s="769"/>
      <c r="IZW99" s="769"/>
      <c r="IZX99" s="769"/>
      <c r="IZY99" s="769"/>
      <c r="IZZ99" s="769"/>
      <c r="JAA99" s="769"/>
      <c r="JAB99" s="769"/>
      <c r="JAC99" s="769"/>
      <c r="JAD99" s="769"/>
      <c r="JAE99" s="769"/>
      <c r="JAF99" s="769"/>
      <c r="JAG99" s="769"/>
      <c r="JAH99" s="769"/>
      <c r="JAI99" s="769"/>
      <c r="JAJ99" s="769"/>
      <c r="JAK99" s="769"/>
      <c r="JAL99" s="769"/>
      <c r="JAM99" s="769"/>
      <c r="JAN99" s="769"/>
      <c r="JAO99" s="769"/>
      <c r="JAP99" s="769"/>
      <c r="JAQ99" s="769"/>
      <c r="JAR99" s="769"/>
      <c r="JAS99" s="769"/>
      <c r="JAT99" s="769"/>
      <c r="JAU99" s="769"/>
      <c r="JAV99" s="769"/>
      <c r="JAW99" s="769"/>
      <c r="JAX99" s="769"/>
      <c r="JAY99" s="769"/>
      <c r="JAZ99" s="769"/>
      <c r="JBA99" s="769"/>
      <c r="JBB99" s="769"/>
      <c r="JBC99" s="769"/>
      <c r="JBD99" s="769"/>
      <c r="JBE99" s="769"/>
      <c r="JBF99" s="769"/>
      <c r="JBG99" s="769"/>
      <c r="JBH99" s="769"/>
      <c r="JBI99" s="769"/>
      <c r="JBJ99" s="769"/>
      <c r="JBK99" s="769"/>
      <c r="JBL99" s="769"/>
      <c r="JBM99" s="769"/>
      <c r="JBN99" s="769"/>
      <c r="JBO99" s="769"/>
      <c r="JBP99" s="769"/>
      <c r="JBQ99" s="769"/>
      <c r="JBR99" s="769"/>
      <c r="JBS99" s="769"/>
      <c r="JBT99" s="769"/>
      <c r="JBU99" s="769"/>
      <c r="JBV99" s="769"/>
      <c r="JBW99" s="769"/>
      <c r="JBX99" s="769"/>
      <c r="JBY99" s="769"/>
      <c r="JBZ99" s="769"/>
      <c r="JCA99" s="769"/>
      <c r="JCB99" s="769"/>
      <c r="JCC99" s="769"/>
      <c r="JCD99" s="769"/>
      <c r="JCE99" s="769"/>
      <c r="JCF99" s="769"/>
      <c r="JCG99" s="769"/>
      <c r="JCH99" s="769"/>
      <c r="JCI99" s="769"/>
      <c r="JCJ99" s="769"/>
      <c r="JCK99" s="769"/>
      <c r="JCL99" s="769"/>
      <c r="JCM99" s="769"/>
      <c r="JCN99" s="769"/>
      <c r="JCO99" s="769"/>
      <c r="JCP99" s="769"/>
      <c r="JCQ99" s="769"/>
      <c r="JCR99" s="769"/>
      <c r="JCS99" s="769"/>
      <c r="JCT99" s="769"/>
      <c r="JCU99" s="769"/>
      <c r="JCV99" s="769"/>
      <c r="JCW99" s="769"/>
      <c r="JCX99" s="769"/>
      <c r="JCY99" s="769"/>
      <c r="JCZ99" s="769"/>
      <c r="JDA99" s="769"/>
      <c r="JDB99" s="769"/>
      <c r="JDC99" s="769"/>
      <c r="JDD99" s="769"/>
      <c r="JDE99" s="769"/>
      <c r="JDF99" s="769"/>
      <c r="JDG99" s="769"/>
      <c r="JDH99" s="769"/>
      <c r="JDI99" s="769"/>
      <c r="JDJ99" s="769"/>
      <c r="JDK99" s="769"/>
      <c r="JDL99" s="769"/>
      <c r="JDM99" s="769"/>
      <c r="JDN99" s="769"/>
      <c r="JDO99" s="769"/>
      <c r="JDP99" s="769"/>
      <c r="JDQ99" s="769"/>
      <c r="JDR99" s="769"/>
      <c r="JDS99" s="769"/>
      <c r="JDT99" s="769"/>
      <c r="JDU99" s="769"/>
      <c r="JDV99" s="769"/>
      <c r="JDW99" s="769"/>
      <c r="JDX99" s="769"/>
      <c r="JDY99" s="769"/>
      <c r="JDZ99" s="769"/>
      <c r="JEA99" s="769"/>
      <c r="JEB99" s="769"/>
      <c r="JEC99" s="769"/>
      <c r="JED99" s="769"/>
      <c r="JEE99" s="769"/>
      <c r="JEF99" s="769"/>
      <c r="JEG99" s="769"/>
      <c r="JEH99" s="769"/>
      <c r="JEI99" s="769"/>
      <c r="JEJ99" s="769"/>
      <c r="JEK99" s="769"/>
      <c r="JEL99" s="769"/>
      <c r="JEM99" s="769"/>
      <c r="JEN99" s="769"/>
      <c r="JEO99" s="769"/>
      <c r="JEP99" s="769"/>
      <c r="JEQ99" s="769"/>
      <c r="JER99" s="769"/>
      <c r="JES99" s="769"/>
      <c r="JET99" s="769"/>
      <c r="JEU99" s="769"/>
      <c r="JEV99" s="769"/>
      <c r="JEW99" s="769"/>
      <c r="JEX99" s="769"/>
      <c r="JEY99" s="769"/>
      <c r="JEZ99" s="769"/>
      <c r="JFA99" s="769"/>
      <c r="JFB99" s="769"/>
      <c r="JFC99" s="769"/>
      <c r="JFD99" s="769"/>
      <c r="JFE99" s="769"/>
      <c r="JFF99" s="769"/>
      <c r="JFG99" s="769"/>
      <c r="JFH99" s="769"/>
      <c r="JFI99" s="769"/>
      <c r="JFJ99" s="769"/>
      <c r="JFK99" s="769"/>
      <c r="JFL99" s="769"/>
      <c r="JFM99" s="769"/>
      <c r="JFN99" s="769"/>
      <c r="JFO99" s="769"/>
      <c r="JFP99" s="769"/>
      <c r="JFQ99" s="769"/>
      <c r="JFR99" s="769"/>
      <c r="JFS99" s="769"/>
      <c r="JFT99" s="769"/>
      <c r="JFU99" s="769"/>
      <c r="JFV99" s="769"/>
      <c r="JFW99" s="769"/>
      <c r="JFX99" s="769"/>
      <c r="JFY99" s="769"/>
      <c r="JFZ99" s="769"/>
      <c r="JGA99" s="769"/>
      <c r="JGB99" s="769"/>
      <c r="JGC99" s="769"/>
      <c r="JGD99" s="769"/>
      <c r="JGE99" s="769"/>
      <c r="JGF99" s="769"/>
      <c r="JGG99" s="769"/>
      <c r="JGH99" s="769"/>
      <c r="JGI99" s="769"/>
      <c r="JGJ99" s="769"/>
      <c r="JGK99" s="769"/>
      <c r="JGL99" s="769"/>
      <c r="JGM99" s="769"/>
      <c r="JGN99" s="769"/>
      <c r="JGO99" s="769"/>
      <c r="JGP99" s="769"/>
      <c r="JGQ99" s="769"/>
      <c r="JGR99" s="769"/>
      <c r="JGS99" s="769"/>
      <c r="JGT99" s="769"/>
      <c r="JGU99" s="769"/>
      <c r="JGV99" s="769"/>
      <c r="JGW99" s="769"/>
      <c r="JGX99" s="769"/>
      <c r="JGY99" s="769"/>
      <c r="JGZ99" s="769"/>
      <c r="JHA99" s="769"/>
      <c r="JHB99" s="769"/>
      <c r="JHC99" s="769"/>
      <c r="JHD99" s="769"/>
      <c r="JHE99" s="769"/>
      <c r="JHF99" s="769"/>
      <c r="JHG99" s="769"/>
      <c r="JHH99" s="769"/>
      <c r="JHI99" s="769"/>
      <c r="JHJ99" s="769"/>
      <c r="JHK99" s="769"/>
      <c r="JHL99" s="769"/>
      <c r="JHM99" s="769"/>
      <c r="JHN99" s="769"/>
      <c r="JHO99" s="769"/>
      <c r="JHP99" s="769"/>
      <c r="JHQ99" s="769"/>
      <c r="JHR99" s="769"/>
      <c r="JHS99" s="769"/>
      <c r="JHT99" s="769"/>
      <c r="JHU99" s="769"/>
      <c r="JHV99" s="769"/>
      <c r="JHW99" s="769"/>
      <c r="JHX99" s="769"/>
      <c r="JHY99" s="769"/>
      <c r="JHZ99" s="769"/>
      <c r="JIA99" s="769"/>
      <c r="JIB99" s="769"/>
      <c r="JIC99" s="769"/>
      <c r="JID99" s="769"/>
      <c r="JIE99" s="769"/>
      <c r="JIF99" s="769"/>
      <c r="JIG99" s="769"/>
      <c r="JIH99" s="769"/>
      <c r="JII99" s="769"/>
      <c r="JIJ99" s="769"/>
      <c r="JIK99" s="769"/>
      <c r="JIL99" s="769"/>
      <c r="JIM99" s="769"/>
      <c r="JIN99" s="769"/>
      <c r="JIO99" s="769"/>
      <c r="JIP99" s="769"/>
      <c r="JIQ99" s="769"/>
      <c r="JIR99" s="769"/>
      <c r="JIS99" s="769"/>
      <c r="JIT99" s="769"/>
      <c r="JIU99" s="769"/>
      <c r="JIV99" s="769"/>
      <c r="JIW99" s="769"/>
      <c r="JIX99" s="769"/>
      <c r="JIY99" s="769"/>
      <c r="JIZ99" s="769"/>
      <c r="JJA99" s="769"/>
      <c r="JJB99" s="769"/>
      <c r="JJC99" s="769"/>
      <c r="JJD99" s="769"/>
      <c r="JJE99" s="769"/>
      <c r="JJF99" s="769"/>
      <c r="JJG99" s="769"/>
      <c r="JJH99" s="769"/>
      <c r="JJI99" s="769"/>
      <c r="JJJ99" s="769"/>
      <c r="JJK99" s="769"/>
      <c r="JJL99" s="769"/>
      <c r="JJM99" s="769"/>
      <c r="JJN99" s="769"/>
      <c r="JJO99" s="769"/>
      <c r="JJP99" s="769"/>
      <c r="JJQ99" s="769"/>
      <c r="JJR99" s="769"/>
      <c r="JJS99" s="769"/>
      <c r="JJT99" s="769"/>
      <c r="JJU99" s="769"/>
      <c r="JJV99" s="769"/>
      <c r="JJW99" s="769"/>
      <c r="JJX99" s="769"/>
      <c r="JJY99" s="769"/>
      <c r="JJZ99" s="769"/>
      <c r="JKA99" s="769"/>
      <c r="JKB99" s="769"/>
      <c r="JKC99" s="769"/>
      <c r="JKD99" s="769"/>
      <c r="JKE99" s="769"/>
      <c r="JKF99" s="769"/>
      <c r="JKG99" s="769"/>
      <c r="JKH99" s="769"/>
      <c r="JKI99" s="769"/>
      <c r="JKJ99" s="769"/>
      <c r="JKK99" s="769"/>
      <c r="JKL99" s="769"/>
      <c r="JKM99" s="769"/>
      <c r="JKN99" s="769"/>
      <c r="JKO99" s="769"/>
      <c r="JKP99" s="769"/>
      <c r="JKQ99" s="769"/>
      <c r="JKR99" s="769"/>
      <c r="JKS99" s="769"/>
      <c r="JKT99" s="769"/>
      <c r="JKU99" s="769"/>
      <c r="JKV99" s="769"/>
      <c r="JKW99" s="769"/>
      <c r="JKX99" s="769"/>
      <c r="JKY99" s="769"/>
      <c r="JKZ99" s="769"/>
      <c r="JLA99" s="769"/>
      <c r="JLB99" s="769"/>
      <c r="JLC99" s="769"/>
      <c r="JLD99" s="769"/>
      <c r="JLE99" s="769"/>
      <c r="JLF99" s="769"/>
      <c r="JLG99" s="769"/>
      <c r="JLH99" s="769"/>
      <c r="JLI99" s="769"/>
      <c r="JLJ99" s="769"/>
      <c r="JLK99" s="769"/>
      <c r="JLL99" s="769"/>
      <c r="JLM99" s="769"/>
      <c r="JLN99" s="769"/>
      <c r="JLO99" s="769"/>
      <c r="JLP99" s="769"/>
      <c r="JLQ99" s="769"/>
      <c r="JLR99" s="769"/>
      <c r="JLS99" s="769"/>
      <c r="JLT99" s="769"/>
      <c r="JLU99" s="769"/>
      <c r="JLV99" s="769"/>
      <c r="JLW99" s="769"/>
      <c r="JLX99" s="769"/>
      <c r="JLY99" s="769"/>
      <c r="JLZ99" s="769"/>
      <c r="JMA99" s="769"/>
      <c r="JMB99" s="769"/>
      <c r="JMC99" s="769"/>
      <c r="JMD99" s="769"/>
      <c r="JME99" s="769"/>
      <c r="JMF99" s="769"/>
      <c r="JMG99" s="769"/>
      <c r="JMH99" s="769"/>
      <c r="JMI99" s="769"/>
      <c r="JMJ99" s="769"/>
      <c r="JMK99" s="769"/>
      <c r="JML99" s="769"/>
      <c r="JMM99" s="769"/>
      <c r="JMN99" s="769"/>
      <c r="JMO99" s="769"/>
      <c r="JMP99" s="769"/>
      <c r="JMQ99" s="769"/>
      <c r="JMR99" s="769"/>
      <c r="JMS99" s="769"/>
      <c r="JMT99" s="769"/>
      <c r="JMU99" s="769"/>
      <c r="JMV99" s="769"/>
      <c r="JMW99" s="769"/>
      <c r="JMX99" s="769"/>
      <c r="JMY99" s="769"/>
      <c r="JMZ99" s="769"/>
      <c r="JNA99" s="769"/>
      <c r="JNB99" s="769"/>
      <c r="JNC99" s="769"/>
      <c r="JND99" s="769"/>
      <c r="JNE99" s="769"/>
      <c r="JNF99" s="769"/>
      <c r="JNG99" s="769"/>
      <c r="JNH99" s="769"/>
      <c r="JNI99" s="769"/>
      <c r="JNJ99" s="769"/>
      <c r="JNK99" s="769"/>
      <c r="JNL99" s="769"/>
      <c r="JNM99" s="769"/>
      <c r="JNN99" s="769"/>
      <c r="JNO99" s="769"/>
      <c r="JNP99" s="769"/>
      <c r="JNQ99" s="769"/>
      <c r="JNR99" s="769"/>
      <c r="JNS99" s="769"/>
      <c r="JNT99" s="769"/>
      <c r="JNU99" s="769"/>
      <c r="JNV99" s="769"/>
      <c r="JNW99" s="769"/>
      <c r="JNX99" s="769"/>
      <c r="JNY99" s="769"/>
      <c r="JNZ99" s="769"/>
      <c r="JOA99" s="769"/>
      <c r="JOB99" s="769"/>
      <c r="JOC99" s="769"/>
      <c r="JOD99" s="769"/>
      <c r="JOE99" s="769"/>
      <c r="JOF99" s="769"/>
      <c r="JOG99" s="769"/>
      <c r="JOH99" s="769"/>
      <c r="JOI99" s="769"/>
      <c r="JOJ99" s="769"/>
      <c r="JOK99" s="769"/>
      <c r="JOL99" s="769"/>
      <c r="JOM99" s="769"/>
      <c r="JON99" s="769"/>
      <c r="JOO99" s="769"/>
      <c r="JOP99" s="769"/>
      <c r="JOQ99" s="769"/>
      <c r="JOR99" s="769"/>
      <c r="JOS99" s="769"/>
      <c r="JOT99" s="769"/>
      <c r="JOU99" s="769"/>
      <c r="JOV99" s="769"/>
      <c r="JOW99" s="769"/>
      <c r="JOX99" s="769"/>
      <c r="JOY99" s="769"/>
      <c r="JOZ99" s="769"/>
      <c r="JPA99" s="769"/>
      <c r="JPB99" s="769"/>
      <c r="JPC99" s="769"/>
      <c r="JPD99" s="769"/>
      <c r="JPE99" s="769"/>
      <c r="JPF99" s="769"/>
      <c r="JPG99" s="769"/>
      <c r="JPH99" s="769"/>
      <c r="JPI99" s="769"/>
      <c r="JPJ99" s="769"/>
      <c r="JPK99" s="769"/>
      <c r="JPL99" s="769"/>
      <c r="JPM99" s="769"/>
      <c r="JPN99" s="769"/>
      <c r="JPO99" s="769"/>
      <c r="JPP99" s="769"/>
      <c r="JPQ99" s="769"/>
      <c r="JPR99" s="769"/>
      <c r="JPS99" s="769"/>
      <c r="JPT99" s="769"/>
      <c r="JPU99" s="769"/>
      <c r="JPV99" s="769"/>
      <c r="JPW99" s="769"/>
      <c r="JPX99" s="769"/>
      <c r="JPY99" s="769"/>
      <c r="JPZ99" s="769"/>
      <c r="JQA99" s="769"/>
      <c r="JQB99" s="769"/>
      <c r="JQC99" s="769"/>
      <c r="JQD99" s="769"/>
      <c r="JQE99" s="769"/>
      <c r="JQF99" s="769"/>
      <c r="JQG99" s="769"/>
      <c r="JQH99" s="769"/>
      <c r="JQI99" s="769"/>
      <c r="JQJ99" s="769"/>
      <c r="JQK99" s="769"/>
      <c r="JQL99" s="769"/>
      <c r="JQM99" s="769"/>
      <c r="JQN99" s="769"/>
      <c r="JQO99" s="769"/>
      <c r="JQP99" s="769"/>
      <c r="JQQ99" s="769"/>
      <c r="JQR99" s="769"/>
      <c r="JQS99" s="769"/>
      <c r="JQT99" s="769"/>
      <c r="JQU99" s="769"/>
      <c r="JQV99" s="769"/>
      <c r="JQW99" s="769"/>
      <c r="JQX99" s="769"/>
      <c r="JQY99" s="769"/>
      <c r="JQZ99" s="769"/>
      <c r="JRA99" s="769"/>
      <c r="JRB99" s="769"/>
      <c r="JRC99" s="769"/>
      <c r="JRD99" s="769"/>
      <c r="JRE99" s="769"/>
      <c r="JRF99" s="769"/>
      <c r="JRG99" s="769"/>
      <c r="JRH99" s="769"/>
      <c r="JRI99" s="769"/>
      <c r="JRJ99" s="769"/>
      <c r="JRK99" s="769"/>
      <c r="JRL99" s="769"/>
      <c r="JRM99" s="769"/>
      <c r="JRN99" s="769"/>
      <c r="JRO99" s="769"/>
      <c r="JRP99" s="769"/>
      <c r="JRQ99" s="769"/>
      <c r="JRR99" s="769"/>
      <c r="JRS99" s="769"/>
      <c r="JRT99" s="769"/>
      <c r="JRU99" s="769"/>
      <c r="JRV99" s="769"/>
      <c r="JRW99" s="769"/>
      <c r="JRX99" s="769"/>
      <c r="JRY99" s="769"/>
      <c r="JRZ99" s="769"/>
      <c r="JSA99" s="769"/>
      <c r="JSB99" s="769"/>
      <c r="JSC99" s="769"/>
      <c r="JSD99" s="769"/>
      <c r="JSE99" s="769"/>
      <c r="JSF99" s="769"/>
      <c r="JSG99" s="769"/>
      <c r="JSH99" s="769"/>
      <c r="JSI99" s="769"/>
      <c r="JSJ99" s="769"/>
      <c r="JSK99" s="769"/>
      <c r="JSL99" s="769"/>
      <c r="JSM99" s="769"/>
      <c r="JSN99" s="769"/>
      <c r="JSO99" s="769"/>
      <c r="JSP99" s="769"/>
      <c r="JSQ99" s="769"/>
      <c r="JSR99" s="769"/>
      <c r="JSS99" s="769"/>
      <c r="JST99" s="769"/>
      <c r="JSU99" s="769"/>
      <c r="JSV99" s="769"/>
      <c r="JSW99" s="769"/>
      <c r="JSX99" s="769"/>
      <c r="JSY99" s="769"/>
      <c r="JSZ99" s="769"/>
      <c r="JTA99" s="769"/>
      <c r="JTB99" s="769"/>
      <c r="JTC99" s="769"/>
      <c r="JTD99" s="769"/>
      <c r="JTE99" s="769"/>
      <c r="JTF99" s="769"/>
      <c r="JTG99" s="769"/>
      <c r="JTH99" s="769"/>
      <c r="JTI99" s="769"/>
      <c r="JTJ99" s="769"/>
      <c r="JTK99" s="769"/>
      <c r="JTL99" s="769"/>
      <c r="JTM99" s="769"/>
      <c r="JTN99" s="769"/>
      <c r="JTO99" s="769"/>
      <c r="JTP99" s="769"/>
      <c r="JTQ99" s="769"/>
      <c r="JTR99" s="769"/>
      <c r="JTS99" s="769"/>
      <c r="JTT99" s="769"/>
      <c r="JTU99" s="769"/>
      <c r="JTV99" s="769"/>
      <c r="JTW99" s="769"/>
      <c r="JTX99" s="769"/>
      <c r="JTY99" s="769"/>
      <c r="JTZ99" s="769"/>
      <c r="JUA99" s="769"/>
      <c r="JUB99" s="769"/>
      <c r="JUC99" s="769"/>
      <c r="JUD99" s="769"/>
      <c r="JUE99" s="769"/>
      <c r="JUF99" s="769"/>
      <c r="JUG99" s="769"/>
      <c r="JUH99" s="769"/>
      <c r="JUI99" s="769"/>
      <c r="JUJ99" s="769"/>
      <c r="JUK99" s="769"/>
      <c r="JUL99" s="769"/>
      <c r="JUM99" s="769"/>
      <c r="JUN99" s="769"/>
      <c r="JUO99" s="769"/>
      <c r="JUP99" s="769"/>
      <c r="JUQ99" s="769"/>
      <c r="JUR99" s="769"/>
      <c r="JUS99" s="769"/>
      <c r="JUT99" s="769"/>
      <c r="JUU99" s="769"/>
      <c r="JUV99" s="769"/>
      <c r="JUW99" s="769"/>
      <c r="JUX99" s="769"/>
      <c r="JUY99" s="769"/>
      <c r="JUZ99" s="769"/>
      <c r="JVA99" s="769"/>
      <c r="JVB99" s="769"/>
      <c r="JVC99" s="769"/>
      <c r="JVD99" s="769"/>
      <c r="JVE99" s="769"/>
      <c r="JVF99" s="769"/>
      <c r="JVG99" s="769"/>
      <c r="JVH99" s="769"/>
      <c r="JVI99" s="769"/>
      <c r="JVJ99" s="769"/>
      <c r="JVK99" s="769"/>
      <c r="JVL99" s="769"/>
      <c r="JVM99" s="769"/>
      <c r="JVN99" s="769"/>
      <c r="JVO99" s="769"/>
      <c r="JVP99" s="769"/>
      <c r="JVQ99" s="769"/>
      <c r="JVR99" s="769"/>
      <c r="JVS99" s="769"/>
      <c r="JVT99" s="769"/>
      <c r="JVU99" s="769"/>
      <c r="JVV99" s="769"/>
      <c r="JVW99" s="769"/>
      <c r="JVX99" s="769"/>
      <c r="JVY99" s="769"/>
      <c r="JVZ99" s="769"/>
      <c r="JWA99" s="769"/>
      <c r="JWB99" s="769"/>
      <c r="JWC99" s="769"/>
      <c r="JWD99" s="769"/>
      <c r="JWE99" s="769"/>
      <c r="JWF99" s="769"/>
      <c r="JWG99" s="769"/>
      <c r="JWH99" s="769"/>
      <c r="JWI99" s="769"/>
      <c r="JWJ99" s="769"/>
      <c r="JWK99" s="769"/>
      <c r="JWL99" s="769"/>
      <c r="JWM99" s="769"/>
      <c r="JWN99" s="769"/>
      <c r="JWO99" s="769"/>
      <c r="JWP99" s="769"/>
      <c r="JWQ99" s="769"/>
      <c r="JWR99" s="769"/>
      <c r="JWS99" s="769"/>
      <c r="JWT99" s="769"/>
      <c r="JWU99" s="769"/>
      <c r="JWV99" s="769"/>
      <c r="JWW99" s="769"/>
      <c r="JWX99" s="769"/>
      <c r="JWY99" s="769"/>
      <c r="JWZ99" s="769"/>
      <c r="JXA99" s="769"/>
      <c r="JXB99" s="769"/>
      <c r="JXC99" s="769"/>
      <c r="JXD99" s="769"/>
      <c r="JXE99" s="769"/>
      <c r="JXF99" s="769"/>
      <c r="JXG99" s="769"/>
      <c r="JXH99" s="769"/>
      <c r="JXI99" s="769"/>
      <c r="JXJ99" s="769"/>
      <c r="JXK99" s="769"/>
      <c r="JXL99" s="769"/>
      <c r="JXM99" s="769"/>
      <c r="JXN99" s="769"/>
      <c r="JXO99" s="769"/>
      <c r="JXP99" s="769"/>
      <c r="JXQ99" s="769"/>
      <c r="JXR99" s="769"/>
      <c r="JXS99" s="769"/>
      <c r="JXT99" s="769"/>
      <c r="JXU99" s="769"/>
      <c r="JXV99" s="769"/>
      <c r="JXW99" s="769"/>
      <c r="JXX99" s="769"/>
      <c r="JXY99" s="769"/>
      <c r="JXZ99" s="769"/>
      <c r="JYA99" s="769"/>
      <c r="JYB99" s="769"/>
      <c r="JYC99" s="769"/>
      <c r="JYD99" s="769"/>
      <c r="JYE99" s="769"/>
      <c r="JYF99" s="769"/>
      <c r="JYG99" s="769"/>
      <c r="JYH99" s="769"/>
      <c r="JYI99" s="769"/>
      <c r="JYJ99" s="769"/>
      <c r="JYK99" s="769"/>
      <c r="JYL99" s="769"/>
      <c r="JYM99" s="769"/>
      <c r="JYN99" s="769"/>
      <c r="JYO99" s="769"/>
      <c r="JYP99" s="769"/>
      <c r="JYQ99" s="769"/>
      <c r="JYR99" s="769"/>
      <c r="JYS99" s="769"/>
      <c r="JYT99" s="769"/>
      <c r="JYU99" s="769"/>
      <c r="JYV99" s="769"/>
      <c r="JYW99" s="769"/>
      <c r="JYX99" s="769"/>
      <c r="JYY99" s="769"/>
      <c r="JYZ99" s="769"/>
      <c r="JZA99" s="769"/>
      <c r="JZB99" s="769"/>
      <c r="JZC99" s="769"/>
      <c r="JZD99" s="769"/>
      <c r="JZE99" s="769"/>
      <c r="JZF99" s="769"/>
      <c r="JZG99" s="769"/>
      <c r="JZH99" s="769"/>
      <c r="JZI99" s="769"/>
      <c r="JZJ99" s="769"/>
      <c r="JZK99" s="769"/>
      <c r="JZL99" s="769"/>
      <c r="JZM99" s="769"/>
      <c r="JZN99" s="769"/>
      <c r="JZO99" s="769"/>
      <c r="JZP99" s="769"/>
      <c r="JZQ99" s="769"/>
      <c r="JZR99" s="769"/>
      <c r="JZS99" s="769"/>
      <c r="JZT99" s="769"/>
      <c r="JZU99" s="769"/>
      <c r="JZV99" s="769"/>
      <c r="JZW99" s="769"/>
      <c r="JZX99" s="769"/>
      <c r="JZY99" s="769"/>
      <c r="JZZ99" s="769"/>
      <c r="KAA99" s="769"/>
      <c r="KAB99" s="769"/>
      <c r="KAC99" s="769"/>
      <c r="KAD99" s="769"/>
      <c r="KAE99" s="769"/>
      <c r="KAF99" s="769"/>
      <c r="KAG99" s="769"/>
      <c r="KAH99" s="769"/>
      <c r="KAI99" s="769"/>
      <c r="KAJ99" s="769"/>
      <c r="KAK99" s="769"/>
      <c r="KAL99" s="769"/>
      <c r="KAM99" s="769"/>
      <c r="KAN99" s="769"/>
      <c r="KAO99" s="769"/>
      <c r="KAP99" s="769"/>
      <c r="KAQ99" s="769"/>
      <c r="KAR99" s="769"/>
      <c r="KAS99" s="769"/>
      <c r="KAT99" s="769"/>
      <c r="KAU99" s="769"/>
      <c r="KAV99" s="769"/>
      <c r="KAW99" s="769"/>
      <c r="KAX99" s="769"/>
      <c r="KAY99" s="769"/>
      <c r="KAZ99" s="769"/>
      <c r="KBA99" s="769"/>
      <c r="KBB99" s="769"/>
      <c r="KBC99" s="769"/>
      <c r="KBD99" s="769"/>
      <c r="KBE99" s="769"/>
      <c r="KBF99" s="769"/>
      <c r="KBG99" s="769"/>
      <c r="KBH99" s="769"/>
      <c r="KBI99" s="769"/>
      <c r="KBJ99" s="769"/>
      <c r="KBK99" s="769"/>
      <c r="KBL99" s="769"/>
      <c r="KBM99" s="769"/>
      <c r="KBN99" s="769"/>
      <c r="KBO99" s="769"/>
      <c r="KBP99" s="769"/>
      <c r="KBQ99" s="769"/>
      <c r="KBR99" s="769"/>
      <c r="KBS99" s="769"/>
      <c r="KBT99" s="769"/>
      <c r="KBU99" s="769"/>
      <c r="KBV99" s="769"/>
      <c r="KBW99" s="769"/>
      <c r="KBX99" s="769"/>
      <c r="KBY99" s="769"/>
      <c r="KBZ99" s="769"/>
      <c r="KCA99" s="769"/>
      <c r="KCB99" s="769"/>
      <c r="KCC99" s="769"/>
      <c r="KCD99" s="769"/>
      <c r="KCE99" s="769"/>
      <c r="KCF99" s="769"/>
      <c r="KCG99" s="769"/>
      <c r="KCH99" s="769"/>
      <c r="KCI99" s="769"/>
      <c r="KCJ99" s="769"/>
      <c r="KCK99" s="769"/>
      <c r="KCL99" s="769"/>
      <c r="KCM99" s="769"/>
      <c r="KCN99" s="769"/>
      <c r="KCO99" s="769"/>
      <c r="KCP99" s="769"/>
      <c r="KCQ99" s="769"/>
      <c r="KCR99" s="769"/>
      <c r="KCS99" s="769"/>
      <c r="KCT99" s="769"/>
      <c r="KCU99" s="769"/>
      <c r="KCV99" s="769"/>
      <c r="KCW99" s="769"/>
      <c r="KCX99" s="769"/>
      <c r="KCY99" s="769"/>
      <c r="KCZ99" s="769"/>
      <c r="KDA99" s="769"/>
      <c r="KDB99" s="769"/>
      <c r="KDC99" s="769"/>
      <c r="KDD99" s="769"/>
      <c r="KDE99" s="769"/>
      <c r="KDF99" s="769"/>
      <c r="KDG99" s="769"/>
      <c r="KDH99" s="769"/>
      <c r="KDI99" s="769"/>
      <c r="KDJ99" s="769"/>
      <c r="KDK99" s="769"/>
      <c r="KDL99" s="769"/>
      <c r="KDM99" s="769"/>
      <c r="KDN99" s="769"/>
      <c r="KDO99" s="769"/>
      <c r="KDP99" s="769"/>
      <c r="KDQ99" s="769"/>
      <c r="KDR99" s="769"/>
      <c r="KDS99" s="769"/>
      <c r="KDT99" s="769"/>
      <c r="KDU99" s="769"/>
      <c r="KDV99" s="769"/>
      <c r="KDW99" s="769"/>
      <c r="KDX99" s="769"/>
      <c r="KDY99" s="769"/>
      <c r="KDZ99" s="769"/>
      <c r="KEA99" s="769"/>
      <c r="KEB99" s="769"/>
      <c r="KEC99" s="769"/>
      <c r="KED99" s="769"/>
      <c r="KEE99" s="769"/>
      <c r="KEF99" s="769"/>
      <c r="KEG99" s="769"/>
      <c r="KEH99" s="769"/>
      <c r="KEI99" s="769"/>
      <c r="KEJ99" s="769"/>
      <c r="KEK99" s="769"/>
      <c r="KEL99" s="769"/>
      <c r="KEM99" s="769"/>
      <c r="KEN99" s="769"/>
      <c r="KEO99" s="769"/>
      <c r="KEP99" s="769"/>
      <c r="KEQ99" s="769"/>
      <c r="KER99" s="769"/>
      <c r="KES99" s="769"/>
      <c r="KET99" s="769"/>
      <c r="KEU99" s="769"/>
      <c r="KEV99" s="769"/>
      <c r="KEW99" s="769"/>
      <c r="KEX99" s="769"/>
      <c r="KEY99" s="769"/>
      <c r="KEZ99" s="769"/>
      <c r="KFA99" s="769"/>
      <c r="KFB99" s="769"/>
      <c r="KFC99" s="769"/>
      <c r="KFD99" s="769"/>
      <c r="KFE99" s="769"/>
      <c r="KFF99" s="769"/>
      <c r="KFG99" s="769"/>
      <c r="KFH99" s="769"/>
      <c r="KFI99" s="769"/>
      <c r="KFJ99" s="769"/>
      <c r="KFK99" s="769"/>
      <c r="KFL99" s="769"/>
      <c r="KFM99" s="769"/>
      <c r="KFN99" s="769"/>
      <c r="KFO99" s="769"/>
      <c r="KFP99" s="769"/>
      <c r="KFQ99" s="769"/>
      <c r="KFR99" s="769"/>
      <c r="KFS99" s="769"/>
      <c r="KFT99" s="769"/>
      <c r="KFU99" s="769"/>
      <c r="KFV99" s="769"/>
      <c r="KFW99" s="769"/>
      <c r="KFX99" s="769"/>
      <c r="KFY99" s="769"/>
      <c r="KFZ99" s="769"/>
      <c r="KGA99" s="769"/>
      <c r="KGB99" s="769"/>
      <c r="KGC99" s="769"/>
      <c r="KGD99" s="769"/>
      <c r="KGE99" s="769"/>
      <c r="KGF99" s="769"/>
      <c r="KGG99" s="769"/>
      <c r="KGH99" s="769"/>
      <c r="KGI99" s="769"/>
      <c r="KGJ99" s="769"/>
      <c r="KGK99" s="769"/>
      <c r="KGL99" s="769"/>
      <c r="KGM99" s="769"/>
      <c r="KGN99" s="769"/>
      <c r="KGO99" s="769"/>
      <c r="KGP99" s="769"/>
      <c r="KGQ99" s="769"/>
      <c r="KGR99" s="769"/>
      <c r="KGS99" s="769"/>
      <c r="KGT99" s="769"/>
      <c r="KGU99" s="769"/>
      <c r="KGV99" s="769"/>
      <c r="KGW99" s="769"/>
      <c r="KGX99" s="769"/>
      <c r="KGY99" s="769"/>
      <c r="KGZ99" s="769"/>
      <c r="KHA99" s="769"/>
      <c r="KHB99" s="769"/>
      <c r="KHC99" s="769"/>
      <c r="KHD99" s="769"/>
      <c r="KHE99" s="769"/>
      <c r="KHF99" s="769"/>
      <c r="KHG99" s="769"/>
      <c r="KHH99" s="769"/>
      <c r="KHI99" s="769"/>
      <c r="KHJ99" s="769"/>
      <c r="KHK99" s="769"/>
      <c r="KHL99" s="769"/>
      <c r="KHM99" s="769"/>
      <c r="KHN99" s="769"/>
      <c r="KHO99" s="769"/>
      <c r="KHP99" s="769"/>
      <c r="KHQ99" s="769"/>
      <c r="KHR99" s="769"/>
      <c r="KHS99" s="769"/>
      <c r="KHT99" s="769"/>
      <c r="KHU99" s="769"/>
      <c r="KHV99" s="769"/>
      <c r="KHW99" s="769"/>
      <c r="KHX99" s="769"/>
      <c r="KHY99" s="769"/>
      <c r="KHZ99" s="769"/>
      <c r="KIA99" s="769"/>
      <c r="KIB99" s="769"/>
      <c r="KIC99" s="769"/>
      <c r="KID99" s="769"/>
      <c r="KIE99" s="769"/>
      <c r="KIF99" s="769"/>
      <c r="KIG99" s="769"/>
      <c r="KIH99" s="769"/>
      <c r="KII99" s="769"/>
      <c r="KIJ99" s="769"/>
      <c r="KIK99" s="769"/>
      <c r="KIL99" s="769"/>
      <c r="KIM99" s="769"/>
      <c r="KIN99" s="769"/>
      <c r="KIO99" s="769"/>
      <c r="KIP99" s="769"/>
      <c r="KIQ99" s="769"/>
      <c r="KIR99" s="769"/>
      <c r="KIS99" s="769"/>
      <c r="KIT99" s="769"/>
      <c r="KIU99" s="769"/>
      <c r="KIV99" s="769"/>
      <c r="KIW99" s="769"/>
      <c r="KIX99" s="769"/>
      <c r="KIY99" s="769"/>
      <c r="KIZ99" s="769"/>
      <c r="KJA99" s="769"/>
      <c r="KJB99" s="769"/>
      <c r="KJC99" s="769"/>
      <c r="KJD99" s="769"/>
      <c r="KJE99" s="769"/>
      <c r="KJF99" s="769"/>
      <c r="KJG99" s="769"/>
      <c r="KJH99" s="769"/>
      <c r="KJI99" s="769"/>
      <c r="KJJ99" s="769"/>
      <c r="KJK99" s="769"/>
      <c r="KJL99" s="769"/>
      <c r="KJM99" s="769"/>
      <c r="KJN99" s="769"/>
      <c r="KJO99" s="769"/>
      <c r="KJP99" s="769"/>
      <c r="KJQ99" s="769"/>
      <c r="KJR99" s="769"/>
      <c r="KJS99" s="769"/>
      <c r="KJT99" s="769"/>
      <c r="KJU99" s="769"/>
      <c r="KJV99" s="769"/>
      <c r="KJW99" s="769"/>
      <c r="KJX99" s="769"/>
      <c r="KJY99" s="769"/>
      <c r="KJZ99" s="769"/>
      <c r="KKA99" s="769"/>
      <c r="KKB99" s="769"/>
      <c r="KKC99" s="769"/>
      <c r="KKD99" s="769"/>
      <c r="KKE99" s="769"/>
      <c r="KKF99" s="769"/>
      <c r="KKG99" s="769"/>
      <c r="KKH99" s="769"/>
      <c r="KKI99" s="769"/>
      <c r="KKJ99" s="769"/>
      <c r="KKK99" s="769"/>
      <c r="KKL99" s="769"/>
      <c r="KKM99" s="769"/>
      <c r="KKN99" s="769"/>
      <c r="KKO99" s="769"/>
      <c r="KKP99" s="769"/>
      <c r="KKQ99" s="769"/>
      <c r="KKR99" s="769"/>
      <c r="KKS99" s="769"/>
      <c r="KKT99" s="769"/>
      <c r="KKU99" s="769"/>
      <c r="KKV99" s="769"/>
      <c r="KKW99" s="769"/>
      <c r="KKX99" s="769"/>
      <c r="KKY99" s="769"/>
      <c r="KKZ99" s="769"/>
      <c r="KLA99" s="769"/>
      <c r="KLB99" s="769"/>
      <c r="KLC99" s="769"/>
      <c r="KLD99" s="769"/>
      <c r="KLE99" s="769"/>
      <c r="KLF99" s="769"/>
      <c r="KLG99" s="769"/>
      <c r="KLH99" s="769"/>
      <c r="KLI99" s="769"/>
      <c r="KLJ99" s="769"/>
      <c r="KLK99" s="769"/>
      <c r="KLL99" s="769"/>
      <c r="KLM99" s="769"/>
      <c r="KLN99" s="769"/>
      <c r="KLO99" s="769"/>
      <c r="KLP99" s="769"/>
      <c r="KLQ99" s="769"/>
      <c r="KLR99" s="769"/>
      <c r="KLS99" s="769"/>
      <c r="KLT99" s="769"/>
      <c r="KLU99" s="769"/>
      <c r="KLV99" s="769"/>
      <c r="KLW99" s="769"/>
      <c r="KLX99" s="769"/>
      <c r="KLY99" s="769"/>
      <c r="KLZ99" s="769"/>
      <c r="KMA99" s="769"/>
      <c r="KMB99" s="769"/>
      <c r="KMC99" s="769"/>
      <c r="KMD99" s="769"/>
      <c r="KME99" s="769"/>
      <c r="KMF99" s="769"/>
      <c r="KMG99" s="769"/>
      <c r="KMH99" s="769"/>
      <c r="KMI99" s="769"/>
      <c r="KMJ99" s="769"/>
      <c r="KMK99" s="769"/>
      <c r="KML99" s="769"/>
      <c r="KMM99" s="769"/>
      <c r="KMN99" s="769"/>
      <c r="KMO99" s="769"/>
      <c r="KMP99" s="769"/>
      <c r="KMQ99" s="769"/>
      <c r="KMR99" s="769"/>
      <c r="KMS99" s="769"/>
      <c r="KMT99" s="769"/>
      <c r="KMU99" s="769"/>
      <c r="KMV99" s="769"/>
      <c r="KMW99" s="769"/>
      <c r="KMX99" s="769"/>
      <c r="KMY99" s="769"/>
      <c r="KMZ99" s="769"/>
      <c r="KNA99" s="769"/>
      <c r="KNB99" s="769"/>
      <c r="KNC99" s="769"/>
      <c r="KND99" s="769"/>
      <c r="KNE99" s="769"/>
      <c r="KNF99" s="769"/>
      <c r="KNG99" s="769"/>
      <c r="KNH99" s="769"/>
      <c r="KNI99" s="769"/>
      <c r="KNJ99" s="769"/>
      <c r="KNK99" s="769"/>
      <c r="KNL99" s="769"/>
      <c r="KNM99" s="769"/>
      <c r="KNN99" s="769"/>
      <c r="KNO99" s="769"/>
      <c r="KNP99" s="769"/>
      <c r="KNQ99" s="769"/>
      <c r="KNR99" s="769"/>
      <c r="KNS99" s="769"/>
      <c r="KNT99" s="769"/>
      <c r="KNU99" s="769"/>
      <c r="KNV99" s="769"/>
      <c r="KNW99" s="769"/>
      <c r="KNX99" s="769"/>
      <c r="KNY99" s="769"/>
      <c r="KNZ99" s="769"/>
      <c r="KOA99" s="769"/>
      <c r="KOB99" s="769"/>
      <c r="KOC99" s="769"/>
      <c r="KOD99" s="769"/>
      <c r="KOE99" s="769"/>
      <c r="KOF99" s="769"/>
      <c r="KOG99" s="769"/>
      <c r="KOH99" s="769"/>
      <c r="KOI99" s="769"/>
      <c r="KOJ99" s="769"/>
      <c r="KOK99" s="769"/>
      <c r="KOL99" s="769"/>
      <c r="KOM99" s="769"/>
      <c r="KON99" s="769"/>
      <c r="KOO99" s="769"/>
      <c r="KOP99" s="769"/>
      <c r="KOQ99" s="769"/>
      <c r="KOR99" s="769"/>
      <c r="KOS99" s="769"/>
      <c r="KOT99" s="769"/>
      <c r="KOU99" s="769"/>
      <c r="KOV99" s="769"/>
      <c r="KOW99" s="769"/>
      <c r="KOX99" s="769"/>
      <c r="KOY99" s="769"/>
      <c r="KOZ99" s="769"/>
      <c r="KPA99" s="769"/>
      <c r="KPB99" s="769"/>
      <c r="KPC99" s="769"/>
      <c r="KPD99" s="769"/>
      <c r="KPE99" s="769"/>
      <c r="KPF99" s="769"/>
      <c r="KPG99" s="769"/>
      <c r="KPH99" s="769"/>
      <c r="KPI99" s="769"/>
      <c r="KPJ99" s="769"/>
      <c r="KPK99" s="769"/>
      <c r="KPL99" s="769"/>
      <c r="KPM99" s="769"/>
      <c r="KPN99" s="769"/>
      <c r="KPO99" s="769"/>
      <c r="KPP99" s="769"/>
      <c r="KPQ99" s="769"/>
      <c r="KPR99" s="769"/>
      <c r="KPS99" s="769"/>
      <c r="KPT99" s="769"/>
      <c r="KPU99" s="769"/>
      <c r="KPV99" s="769"/>
      <c r="KPW99" s="769"/>
      <c r="KPX99" s="769"/>
      <c r="KPY99" s="769"/>
      <c r="KPZ99" s="769"/>
      <c r="KQA99" s="769"/>
      <c r="KQB99" s="769"/>
      <c r="KQC99" s="769"/>
      <c r="KQD99" s="769"/>
      <c r="KQE99" s="769"/>
      <c r="KQF99" s="769"/>
      <c r="KQG99" s="769"/>
      <c r="KQH99" s="769"/>
      <c r="KQI99" s="769"/>
      <c r="KQJ99" s="769"/>
      <c r="KQK99" s="769"/>
      <c r="KQL99" s="769"/>
      <c r="KQM99" s="769"/>
      <c r="KQN99" s="769"/>
      <c r="KQO99" s="769"/>
      <c r="KQP99" s="769"/>
      <c r="KQQ99" s="769"/>
      <c r="KQR99" s="769"/>
      <c r="KQS99" s="769"/>
      <c r="KQT99" s="769"/>
      <c r="KQU99" s="769"/>
      <c r="KQV99" s="769"/>
      <c r="KQW99" s="769"/>
      <c r="KQX99" s="769"/>
      <c r="KQY99" s="769"/>
      <c r="KQZ99" s="769"/>
      <c r="KRA99" s="769"/>
      <c r="KRB99" s="769"/>
      <c r="KRC99" s="769"/>
      <c r="KRD99" s="769"/>
      <c r="KRE99" s="769"/>
      <c r="KRF99" s="769"/>
      <c r="KRG99" s="769"/>
      <c r="KRH99" s="769"/>
      <c r="KRI99" s="769"/>
      <c r="KRJ99" s="769"/>
      <c r="KRK99" s="769"/>
      <c r="KRL99" s="769"/>
      <c r="KRM99" s="769"/>
      <c r="KRN99" s="769"/>
      <c r="KRO99" s="769"/>
      <c r="KRP99" s="769"/>
      <c r="KRQ99" s="769"/>
      <c r="KRR99" s="769"/>
      <c r="KRS99" s="769"/>
      <c r="KRT99" s="769"/>
      <c r="KRU99" s="769"/>
      <c r="KRV99" s="769"/>
      <c r="KRW99" s="769"/>
      <c r="KRX99" s="769"/>
      <c r="KRY99" s="769"/>
      <c r="KRZ99" s="769"/>
      <c r="KSA99" s="769"/>
      <c r="KSB99" s="769"/>
      <c r="KSC99" s="769"/>
      <c r="KSD99" s="769"/>
      <c r="KSE99" s="769"/>
      <c r="KSF99" s="769"/>
      <c r="KSG99" s="769"/>
      <c r="KSH99" s="769"/>
      <c r="KSI99" s="769"/>
      <c r="KSJ99" s="769"/>
      <c r="KSK99" s="769"/>
      <c r="KSL99" s="769"/>
      <c r="KSM99" s="769"/>
      <c r="KSN99" s="769"/>
      <c r="KSO99" s="769"/>
      <c r="KSP99" s="769"/>
      <c r="KSQ99" s="769"/>
      <c r="KSR99" s="769"/>
      <c r="KSS99" s="769"/>
      <c r="KST99" s="769"/>
      <c r="KSU99" s="769"/>
      <c r="KSV99" s="769"/>
      <c r="KSW99" s="769"/>
      <c r="KSX99" s="769"/>
      <c r="KSY99" s="769"/>
      <c r="KSZ99" s="769"/>
      <c r="KTA99" s="769"/>
      <c r="KTB99" s="769"/>
      <c r="KTC99" s="769"/>
      <c r="KTD99" s="769"/>
      <c r="KTE99" s="769"/>
      <c r="KTF99" s="769"/>
      <c r="KTG99" s="769"/>
      <c r="KTH99" s="769"/>
      <c r="KTI99" s="769"/>
      <c r="KTJ99" s="769"/>
      <c r="KTK99" s="769"/>
      <c r="KTL99" s="769"/>
      <c r="KTM99" s="769"/>
      <c r="KTN99" s="769"/>
      <c r="KTO99" s="769"/>
      <c r="KTP99" s="769"/>
      <c r="KTQ99" s="769"/>
      <c r="KTR99" s="769"/>
      <c r="KTS99" s="769"/>
      <c r="KTT99" s="769"/>
      <c r="KTU99" s="769"/>
      <c r="KTV99" s="769"/>
      <c r="KTW99" s="769"/>
      <c r="KTX99" s="769"/>
      <c r="KTY99" s="769"/>
      <c r="KTZ99" s="769"/>
      <c r="KUA99" s="769"/>
      <c r="KUB99" s="769"/>
      <c r="KUC99" s="769"/>
      <c r="KUD99" s="769"/>
      <c r="KUE99" s="769"/>
      <c r="KUF99" s="769"/>
      <c r="KUG99" s="769"/>
      <c r="KUH99" s="769"/>
      <c r="KUI99" s="769"/>
      <c r="KUJ99" s="769"/>
      <c r="KUK99" s="769"/>
      <c r="KUL99" s="769"/>
      <c r="KUM99" s="769"/>
      <c r="KUN99" s="769"/>
      <c r="KUO99" s="769"/>
      <c r="KUP99" s="769"/>
      <c r="KUQ99" s="769"/>
      <c r="KUR99" s="769"/>
      <c r="KUS99" s="769"/>
      <c r="KUT99" s="769"/>
      <c r="KUU99" s="769"/>
      <c r="KUV99" s="769"/>
      <c r="KUW99" s="769"/>
      <c r="KUX99" s="769"/>
      <c r="KUY99" s="769"/>
      <c r="KUZ99" s="769"/>
      <c r="KVA99" s="769"/>
      <c r="KVB99" s="769"/>
      <c r="KVC99" s="769"/>
      <c r="KVD99" s="769"/>
      <c r="KVE99" s="769"/>
      <c r="KVF99" s="769"/>
      <c r="KVG99" s="769"/>
      <c r="KVH99" s="769"/>
      <c r="KVI99" s="769"/>
      <c r="KVJ99" s="769"/>
      <c r="KVK99" s="769"/>
      <c r="KVL99" s="769"/>
      <c r="KVM99" s="769"/>
      <c r="KVN99" s="769"/>
      <c r="KVO99" s="769"/>
      <c r="KVP99" s="769"/>
      <c r="KVQ99" s="769"/>
      <c r="KVR99" s="769"/>
      <c r="KVS99" s="769"/>
      <c r="KVT99" s="769"/>
      <c r="KVU99" s="769"/>
      <c r="KVV99" s="769"/>
      <c r="KVW99" s="769"/>
      <c r="KVX99" s="769"/>
      <c r="KVY99" s="769"/>
      <c r="KVZ99" s="769"/>
      <c r="KWA99" s="769"/>
      <c r="KWB99" s="769"/>
      <c r="KWC99" s="769"/>
      <c r="KWD99" s="769"/>
      <c r="KWE99" s="769"/>
      <c r="KWF99" s="769"/>
      <c r="KWG99" s="769"/>
      <c r="KWH99" s="769"/>
      <c r="KWI99" s="769"/>
      <c r="KWJ99" s="769"/>
      <c r="KWK99" s="769"/>
      <c r="KWL99" s="769"/>
      <c r="KWM99" s="769"/>
      <c r="KWN99" s="769"/>
      <c r="KWO99" s="769"/>
      <c r="KWP99" s="769"/>
      <c r="KWQ99" s="769"/>
      <c r="KWR99" s="769"/>
      <c r="KWS99" s="769"/>
      <c r="KWT99" s="769"/>
      <c r="KWU99" s="769"/>
      <c r="KWV99" s="769"/>
      <c r="KWW99" s="769"/>
      <c r="KWX99" s="769"/>
      <c r="KWY99" s="769"/>
      <c r="KWZ99" s="769"/>
      <c r="KXA99" s="769"/>
      <c r="KXB99" s="769"/>
      <c r="KXC99" s="769"/>
      <c r="KXD99" s="769"/>
      <c r="KXE99" s="769"/>
      <c r="KXF99" s="769"/>
      <c r="KXG99" s="769"/>
      <c r="KXH99" s="769"/>
      <c r="KXI99" s="769"/>
      <c r="KXJ99" s="769"/>
      <c r="KXK99" s="769"/>
      <c r="KXL99" s="769"/>
      <c r="KXM99" s="769"/>
      <c r="KXN99" s="769"/>
      <c r="KXO99" s="769"/>
      <c r="KXP99" s="769"/>
      <c r="KXQ99" s="769"/>
      <c r="KXR99" s="769"/>
      <c r="KXS99" s="769"/>
      <c r="KXT99" s="769"/>
      <c r="KXU99" s="769"/>
      <c r="KXV99" s="769"/>
      <c r="KXW99" s="769"/>
      <c r="KXX99" s="769"/>
      <c r="KXY99" s="769"/>
      <c r="KXZ99" s="769"/>
      <c r="KYA99" s="769"/>
      <c r="KYB99" s="769"/>
      <c r="KYC99" s="769"/>
      <c r="KYD99" s="769"/>
      <c r="KYE99" s="769"/>
      <c r="KYF99" s="769"/>
      <c r="KYG99" s="769"/>
      <c r="KYH99" s="769"/>
      <c r="KYI99" s="769"/>
      <c r="KYJ99" s="769"/>
      <c r="KYK99" s="769"/>
      <c r="KYL99" s="769"/>
      <c r="KYM99" s="769"/>
      <c r="KYN99" s="769"/>
      <c r="KYO99" s="769"/>
      <c r="KYP99" s="769"/>
      <c r="KYQ99" s="769"/>
      <c r="KYR99" s="769"/>
      <c r="KYS99" s="769"/>
      <c r="KYT99" s="769"/>
      <c r="KYU99" s="769"/>
      <c r="KYV99" s="769"/>
      <c r="KYW99" s="769"/>
      <c r="KYX99" s="769"/>
      <c r="KYY99" s="769"/>
      <c r="KYZ99" s="769"/>
      <c r="KZA99" s="769"/>
      <c r="KZB99" s="769"/>
      <c r="KZC99" s="769"/>
      <c r="KZD99" s="769"/>
      <c r="KZE99" s="769"/>
      <c r="KZF99" s="769"/>
      <c r="KZG99" s="769"/>
      <c r="KZH99" s="769"/>
      <c r="KZI99" s="769"/>
      <c r="KZJ99" s="769"/>
      <c r="KZK99" s="769"/>
      <c r="KZL99" s="769"/>
      <c r="KZM99" s="769"/>
      <c r="KZN99" s="769"/>
      <c r="KZO99" s="769"/>
      <c r="KZP99" s="769"/>
      <c r="KZQ99" s="769"/>
      <c r="KZR99" s="769"/>
      <c r="KZS99" s="769"/>
      <c r="KZT99" s="769"/>
      <c r="KZU99" s="769"/>
      <c r="KZV99" s="769"/>
      <c r="KZW99" s="769"/>
      <c r="KZX99" s="769"/>
      <c r="KZY99" s="769"/>
      <c r="KZZ99" s="769"/>
      <c r="LAA99" s="769"/>
      <c r="LAB99" s="769"/>
      <c r="LAC99" s="769"/>
      <c r="LAD99" s="769"/>
      <c r="LAE99" s="769"/>
      <c r="LAF99" s="769"/>
      <c r="LAG99" s="769"/>
      <c r="LAH99" s="769"/>
      <c r="LAI99" s="769"/>
      <c r="LAJ99" s="769"/>
      <c r="LAK99" s="769"/>
      <c r="LAL99" s="769"/>
      <c r="LAM99" s="769"/>
      <c r="LAN99" s="769"/>
      <c r="LAO99" s="769"/>
      <c r="LAP99" s="769"/>
      <c r="LAQ99" s="769"/>
      <c r="LAR99" s="769"/>
      <c r="LAS99" s="769"/>
      <c r="LAT99" s="769"/>
      <c r="LAU99" s="769"/>
      <c r="LAV99" s="769"/>
      <c r="LAW99" s="769"/>
      <c r="LAX99" s="769"/>
      <c r="LAY99" s="769"/>
      <c r="LAZ99" s="769"/>
      <c r="LBA99" s="769"/>
      <c r="LBB99" s="769"/>
      <c r="LBC99" s="769"/>
      <c r="LBD99" s="769"/>
      <c r="LBE99" s="769"/>
      <c r="LBF99" s="769"/>
      <c r="LBG99" s="769"/>
      <c r="LBH99" s="769"/>
      <c r="LBI99" s="769"/>
      <c r="LBJ99" s="769"/>
      <c r="LBK99" s="769"/>
      <c r="LBL99" s="769"/>
      <c r="LBM99" s="769"/>
      <c r="LBN99" s="769"/>
      <c r="LBO99" s="769"/>
      <c r="LBP99" s="769"/>
      <c r="LBQ99" s="769"/>
      <c r="LBR99" s="769"/>
      <c r="LBS99" s="769"/>
      <c r="LBT99" s="769"/>
      <c r="LBU99" s="769"/>
      <c r="LBV99" s="769"/>
      <c r="LBW99" s="769"/>
      <c r="LBX99" s="769"/>
      <c r="LBY99" s="769"/>
      <c r="LBZ99" s="769"/>
      <c r="LCA99" s="769"/>
      <c r="LCB99" s="769"/>
      <c r="LCC99" s="769"/>
      <c r="LCD99" s="769"/>
      <c r="LCE99" s="769"/>
      <c r="LCF99" s="769"/>
      <c r="LCG99" s="769"/>
      <c r="LCH99" s="769"/>
      <c r="LCI99" s="769"/>
      <c r="LCJ99" s="769"/>
      <c r="LCK99" s="769"/>
      <c r="LCL99" s="769"/>
      <c r="LCM99" s="769"/>
      <c r="LCN99" s="769"/>
      <c r="LCO99" s="769"/>
      <c r="LCP99" s="769"/>
      <c r="LCQ99" s="769"/>
      <c r="LCR99" s="769"/>
      <c r="LCS99" s="769"/>
      <c r="LCT99" s="769"/>
      <c r="LCU99" s="769"/>
      <c r="LCV99" s="769"/>
      <c r="LCW99" s="769"/>
      <c r="LCX99" s="769"/>
      <c r="LCY99" s="769"/>
      <c r="LCZ99" s="769"/>
      <c r="LDA99" s="769"/>
      <c r="LDB99" s="769"/>
      <c r="LDC99" s="769"/>
      <c r="LDD99" s="769"/>
      <c r="LDE99" s="769"/>
      <c r="LDF99" s="769"/>
      <c r="LDG99" s="769"/>
      <c r="LDH99" s="769"/>
      <c r="LDI99" s="769"/>
      <c r="LDJ99" s="769"/>
      <c r="LDK99" s="769"/>
      <c r="LDL99" s="769"/>
      <c r="LDM99" s="769"/>
      <c r="LDN99" s="769"/>
      <c r="LDO99" s="769"/>
      <c r="LDP99" s="769"/>
      <c r="LDQ99" s="769"/>
      <c r="LDR99" s="769"/>
      <c r="LDS99" s="769"/>
      <c r="LDT99" s="769"/>
      <c r="LDU99" s="769"/>
      <c r="LDV99" s="769"/>
      <c r="LDW99" s="769"/>
      <c r="LDX99" s="769"/>
      <c r="LDY99" s="769"/>
      <c r="LDZ99" s="769"/>
      <c r="LEA99" s="769"/>
      <c r="LEB99" s="769"/>
      <c r="LEC99" s="769"/>
      <c r="LED99" s="769"/>
      <c r="LEE99" s="769"/>
      <c r="LEF99" s="769"/>
      <c r="LEG99" s="769"/>
      <c r="LEH99" s="769"/>
      <c r="LEI99" s="769"/>
      <c r="LEJ99" s="769"/>
      <c r="LEK99" s="769"/>
      <c r="LEL99" s="769"/>
      <c r="LEM99" s="769"/>
      <c r="LEN99" s="769"/>
      <c r="LEO99" s="769"/>
      <c r="LEP99" s="769"/>
      <c r="LEQ99" s="769"/>
      <c r="LER99" s="769"/>
      <c r="LES99" s="769"/>
      <c r="LET99" s="769"/>
      <c r="LEU99" s="769"/>
      <c r="LEV99" s="769"/>
      <c r="LEW99" s="769"/>
      <c r="LEX99" s="769"/>
      <c r="LEY99" s="769"/>
      <c r="LEZ99" s="769"/>
      <c r="LFA99" s="769"/>
      <c r="LFB99" s="769"/>
      <c r="LFC99" s="769"/>
      <c r="LFD99" s="769"/>
      <c r="LFE99" s="769"/>
      <c r="LFF99" s="769"/>
      <c r="LFG99" s="769"/>
      <c r="LFH99" s="769"/>
      <c r="LFI99" s="769"/>
      <c r="LFJ99" s="769"/>
      <c r="LFK99" s="769"/>
      <c r="LFL99" s="769"/>
      <c r="LFM99" s="769"/>
      <c r="LFN99" s="769"/>
      <c r="LFO99" s="769"/>
      <c r="LFP99" s="769"/>
      <c r="LFQ99" s="769"/>
      <c r="LFR99" s="769"/>
      <c r="LFS99" s="769"/>
      <c r="LFT99" s="769"/>
      <c r="LFU99" s="769"/>
      <c r="LFV99" s="769"/>
      <c r="LFW99" s="769"/>
      <c r="LFX99" s="769"/>
      <c r="LFY99" s="769"/>
      <c r="LFZ99" s="769"/>
      <c r="LGA99" s="769"/>
      <c r="LGB99" s="769"/>
      <c r="LGC99" s="769"/>
      <c r="LGD99" s="769"/>
      <c r="LGE99" s="769"/>
      <c r="LGF99" s="769"/>
      <c r="LGG99" s="769"/>
      <c r="LGH99" s="769"/>
      <c r="LGI99" s="769"/>
      <c r="LGJ99" s="769"/>
      <c r="LGK99" s="769"/>
      <c r="LGL99" s="769"/>
      <c r="LGM99" s="769"/>
      <c r="LGN99" s="769"/>
      <c r="LGO99" s="769"/>
      <c r="LGP99" s="769"/>
      <c r="LGQ99" s="769"/>
      <c r="LGR99" s="769"/>
      <c r="LGS99" s="769"/>
      <c r="LGT99" s="769"/>
      <c r="LGU99" s="769"/>
      <c r="LGV99" s="769"/>
      <c r="LGW99" s="769"/>
      <c r="LGX99" s="769"/>
      <c r="LGY99" s="769"/>
      <c r="LGZ99" s="769"/>
      <c r="LHA99" s="769"/>
      <c r="LHB99" s="769"/>
      <c r="LHC99" s="769"/>
      <c r="LHD99" s="769"/>
      <c r="LHE99" s="769"/>
      <c r="LHF99" s="769"/>
      <c r="LHG99" s="769"/>
      <c r="LHH99" s="769"/>
      <c r="LHI99" s="769"/>
      <c r="LHJ99" s="769"/>
      <c r="LHK99" s="769"/>
      <c r="LHL99" s="769"/>
      <c r="LHM99" s="769"/>
      <c r="LHN99" s="769"/>
      <c r="LHO99" s="769"/>
      <c r="LHP99" s="769"/>
      <c r="LHQ99" s="769"/>
      <c r="LHR99" s="769"/>
      <c r="LHS99" s="769"/>
      <c r="LHT99" s="769"/>
      <c r="LHU99" s="769"/>
      <c r="LHV99" s="769"/>
      <c r="LHW99" s="769"/>
      <c r="LHX99" s="769"/>
      <c r="LHY99" s="769"/>
      <c r="LHZ99" s="769"/>
      <c r="LIA99" s="769"/>
      <c r="LIB99" s="769"/>
      <c r="LIC99" s="769"/>
      <c r="LID99" s="769"/>
      <c r="LIE99" s="769"/>
      <c r="LIF99" s="769"/>
      <c r="LIG99" s="769"/>
      <c r="LIH99" s="769"/>
      <c r="LII99" s="769"/>
      <c r="LIJ99" s="769"/>
      <c r="LIK99" s="769"/>
      <c r="LIL99" s="769"/>
      <c r="LIM99" s="769"/>
      <c r="LIN99" s="769"/>
      <c r="LIO99" s="769"/>
      <c r="LIP99" s="769"/>
      <c r="LIQ99" s="769"/>
      <c r="LIR99" s="769"/>
      <c r="LIS99" s="769"/>
      <c r="LIT99" s="769"/>
      <c r="LIU99" s="769"/>
      <c r="LIV99" s="769"/>
      <c r="LIW99" s="769"/>
      <c r="LIX99" s="769"/>
      <c r="LIY99" s="769"/>
      <c r="LIZ99" s="769"/>
      <c r="LJA99" s="769"/>
      <c r="LJB99" s="769"/>
      <c r="LJC99" s="769"/>
      <c r="LJD99" s="769"/>
      <c r="LJE99" s="769"/>
      <c r="LJF99" s="769"/>
      <c r="LJG99" s="769"/>
      <c r="LJH99" s="769"/>
      <c r="LJI99" s="769"/>
      <c r="LJJ99" s="769"/>
      <c r="LJK99" s="769"/>
      <c r="LJL99" s="769"/>
      <c r="LJM99" s="769"/>
      <c r="LJN99" s="769"/>
      <c r="LJO99" s="769"/>
      <c r="LJP99" s="769"/>
      <c r="LJQ99" s="769"/>
      <c r="LJR99" s="769"/>
      <c r="LJS99" s="769"/>
      <c r="LJT99" s="769"/>
      <c r="LJU99" s="769"/>
      <c r="LJV99" s="769"/>
      <c r="LJW99" s="769"/>
      <c r="LJX99" s="769"/>
      <c r="LJY99" s="769"/>
      <c r="LJZ99" s="769"/>
      <c r="LKA99" s="769"/>
      <c r="LKB99" s="769"/>
      <c r="LKC99" s="769"/>
      <c r="LKD99" s="769"/>
      <c r="LKE99" s="769"/>
      <c r="LKF99" s="769"/>
      <c r="LKG99" s="769"/>
      <c r="LKH99" s="769"/>
      <c r="LKI99" s="769"/>
      <c r="LKJ99" s="769"/>
      <c r="LKK99" s="769"/>
      <c r="LKL99" s="769"/>
      <c r="LKM99" s="769"/>
      <c r="LKN99" s="769"/>
      <c r="LKO99" s="769"/>
      <c r="LKP99" s="769"/>
      <c r="LKQ99" s="769"/>
      <c r="LKR99" s="769"/>
      <c r="LKS99" s="769"/>
      <c r="LKT99" s="769"/>
      <c r="LKU99" s="769"/>
      <c r="LKV99" s="769"/>
      <c r="LKW99" s="769"/>
      <c r="LKX99" s="769"/>
      <c r="LKY99" s="769"/>
      <c r="LKZ99" s="769"/>
      <c r="LLA99" s="769"/>
      <c r="LLB99" s="769"/>
      <c r="LLC99" s="769"/>
      <c r="LLD99" s="769"/>
      <c r="LLE99" s="769"/>
      <c r="LLF99" s="769"/>
      <c r="LLG99" s="769"/>
      <c r="LLH99" s="769"/>
      <c r="LLI99" s="769"/>
      <c r="LLJ99" s="769"/>
      <c r="LLK99" s="769"/>
      <c r="LLL99" s="769"/>
      <c r="LLM99" s="769"/>
      <c r="LLN99" s="769"/>
      <c r="LLO99" s="769"/>
      <c r="LLP99" s="769"/>
      <c r="LLQ99" s="769"/>
      <c r="LLR99" s="769"/>
      <c r="LLS99" s="769"/>
      <c r="LLT99" s="769"/>
      <c r="LLU99" s="769"/>
      <c r="LLV99" s="769"/>
      <c r="LLW99" s="769"/>
      <c r="LLX99" s="769"/>
      <c r="LLY99" s="769"/>
      <c r="LLZ99" s="769"/>
      <c r="LMA99" s="769"/>
      <c r="LMB99" s="769"/>
      <c r="LMC99" s="769"/>
      <c r="LMD99" s="769"/>
      <c r="LME99" s="769"/>
      <c r="LMF99" s="769"/>
      <c r="LMG99" s="769"/>
      <c r="LMH99" s="769"/>
      <c r="LMI99" s="769"/>
      <c r="LMJ99" s="769"/>
      <c r="LMK99" s="769"/>
      <c r="LML99" s="769"/>
      <c r="LMM99" s="769"/>
      <c r="LMN99" s="769"/>
      <c r="LMO99" s="769"/>
      <c r="LMP99" s="769"/>
      <c r="LMQ99" s="769"/>
      <c r="LMR99" s="769"/>
      <c r="LMS99" s="769"/>
      <c r="LMT99" s="769"/>
      <c r="LMU99" s="769"/>
      <c r="LMV99" s="769"/>
      <c r="LMW99" s="769"/>
      <c r="LMX99" s="769"/>
      <c r="LMY99" s="769"/>
      <c r="LMZ99" s="769"/>
      <c r="LNA99" s="769"/>
      <c r="LNB99" s="769"/>
      <c r="LNC99" s="769"/>
      <c r="LND99" s="769"/>
      <c r="LNE99" s="769"/>
      <c r="LNF99" s="769"/>
      <c r="LNG99" s="769"/>
      <c r="LNH99" s="769"/>
      <c r="LNI99" s="769"/>
      <c r="LNJ99" s="769"/>
      <c r="LNK99" s="769"/>
      <c r="LNL99" s="769"/>
      <c r="LNM99" s="769"/>
      <c r="LNN99" s="769"/>
      <c r="LNO99" s="769"/>
      <c r="LNP99" s="769"/>
      <c r="LNQ99" s="769"/>
      <c r="LNR99" s="769"/>
      <c r="LNS99" s="769"/>
      <c r="LNT99" s="769"/>
      <c r="LNU99" s="769"/>
      <c r="LNV99" s="769"/>
      <c r="LNW99" s="769"/>
      <c r="LNX99" s="769"/>
      <c r="LNY99" s="769"/>
      <c r="LNZ99" s="769"/>
      <c r="LOA99" s="769"/>
      <c r="LOB99" s="769"/>
      <c r="LOC99" s="769"/>
      <c r="LOD99" s="769"/>
      <c r="LOE99" s="769"/>
      <c r="LOF99" s="769"/>
      <c r="LOG99" s="769"/>
      <c r="LOH99" s="769"/>
      <c r="LOI99" s="769"/>
      <c r="LOJ99" s="769"/>
      <c r="LOK99" s="769"/>
      <c r="LOL99" s="769"/>
      <c r="LOM99" s="769"/>
      <c r="LON99" s="769"/>
      <c r="LOO99" s="769"/>
      <c r="LOP99" s="769"/>
      <c r="LOQ99" s="769"/>
      <c r="LOR99" s="769"/>
      <c r="LOS99" s="769"/>
      <c r="LOT99" s="769"/>
      <c r="LOU99" s="769"/>
      <c r="LOV99" s="769"/>
      <c r="LOW99" s="769"/>
      <c r="LOX99" s="769"/>
      <c r="LOY99" s="769"/>
      <c r="LOZ99" s="769"/>
      <c r="LPA99" s="769"/>
      <c r="LPB99" s="769"/>
      <c r="LPC99" s="769"/>
      <c r="LPD99" s="769"/>
      <c r="LPE99" s="769"/>
      <c r="LPF99" s="769"/>
      <c r="LPG99" s="769"/>
      <c r="LPH99" s="769"/>
      <c r="LPI99" s="769"/>
      <c r="LPJ99" s="769"/>
      <c r="LPK99" s="769"/>
      <c r="LPL99" s="769"/>
      <c r="LPM99" s="769"/>
      <c r="LPN99" s="769"/>
      <c r="LPO99" s="769"/>
      <c r="LPP99" s="769"/>
      <c r="LPQ99" s="769"/>
      <c r="LPR99" s="769"/>
      <c r="LPS99" s="769"/>
      <c r="LPT99" s="769"/>
      <c r="LPU99" s="769"/>
      <c r="LPV99" s="769"/>
      <c r="LPW99" s="769"/>
      <c r="LPX99" s="769"/>
      <c r="LPY99" s="769"/>
      <c r="LPZ99" s="769"/>
      <c r="LQA99" s="769"/>
      <c r="LQB99" s="769"/>
      <c r="LQC99" s="769"/>
      <c r="LQD99" s="769"/>
      <c r="LQE99" s="769"/>
      <c r="LQF99" s="769"/>
      <c r="LQG99" s="769"/>
      <c r="LQH99" s="769"/>
      <c r="LQI99" s="769"/>
      <c r="LQJ99" s="769"/>
      <c r="LQK99" s="769"/>
      <c r="LQL99" s="769"/>
      <c r="LQM99" s="769"/>
      <c r="LQN99" s="769"/>
      <c r="LQO99" s="769"/>
      <c r="LQP99" s="769"/>
      <c r="LQQ99" s="769"/>
      <c r="LQR99" s="769"/>
      <c r="LQS99" s="769"/>
      <c r="LQT99" s="769"/>
      <c r="LQU99" s="769"/>
      <c r="LQV99" s="769"/>
      <c r="LQW99" s="769"/>
      <c r="LQX99" s="769"/>
      <c r="LQY99" s="769"/>
      <c r="LQZ99" s="769"/>
      <c r="LRA99" s="769"/>
      <c r="LRB99" s="769"/>
      <c r="LRC99" s="769"/>
      <c r="LRD99" s="769"/>
      <c r="LRE99" s="769"/>
      <c r="LRF99" s="769"/>
      <c r="LRG99" s="769"/>
      <c r="LRH99" s="769"/>
      <c r="LRI99" s="769"/>
      <c r="LRJ99" s="769"/>
      <c r="LRK99" s="769"/>
      <c r="LRL99" s="769"/>
      <c r="LRM99" s="769"/>
      <c r="LRN99" s="769"/>
      <c r="LRO99" s="769"/>
      <c r="LRP99" s="769"/>
      <c r="LRQ99" s="769"/>
      <c r="LRR99" s="769"/>
      <c r="LRS99" s="769"/>
      <c r="LRT99" s="769"/>
      <c r="LRU99" s="769"/>
      <c r="LRV99" s="769"/>
      <c r="LRW99" s="769"/>
      <c r="LRX99" s="769"/>
      <c r="LRY99" s="769"/>
      <c r="LRZ99" s="769"/>
      <c r="LSA99" s="769"/>
      <c r="LSB99" s="769"/>
      <c r="LSC99" s="769"/>
      <c r="LSD99" s="769"/>
      <c r="LSE99" s="769"/>
      <c r="LSF99" s="769"/>
      <c r="LSG99" s="769"/>
      <c r="LSH99" s="769"/>
      <c r="LSI99" s="769"/>
      <c r="LSJ99" s="769"/>
      <c r="LSK99" s="769"/>
      <c r="LSL99" s="769"/>
      <c r="LSM99" s="769"/>
      <c r="LSN99" s="769"/>
      <c r="LSO99" s="769"/>
      <c r="LSP99" s="769"/>
      <c r="LSQ99" s="769"/>
      <c r="LSR99" s="769"/>
      <c r="LSS99" s="769"/>
      <c r="LST99" s="769"/>
      <c r="LSU99" s="769"/>
      <c r="LSV99" s="769"/>
      <c r="LSW99" s="769"/>
      <c r="LSX99" s="769"/>
      <c r="LSY99" s="769"/>
      <c r="LSZ99" s="769"/>
      <c r="LTA99" s="769"/>
      <c r="LTB99" s="769"/>
      <c r="LTC99" s="769"/>
      <c r="LTD99" s="769"/>
      <c r="LTE99" s="769"/>
      <c r="LTF99" s="769"/>
      <c r="LTG99" s="769"/>
      <c r="LTH99" s="769"/>
      <c r="LTI99" s="769"/>
      <c r="LTJ99" s="769"/>
      <c r="LTK99" s="769"/>
      <c r="LTL99" s="769"/>
      <c r="LTM99" s="769"/>
      <c r="LTN99" s="769"/>
      <c r="LTO99" s="769"/>
      <c r="LTP99" s="769"/>
      <c r="LTQ99" s="769"/>
      <c r="LTR99" s="769"/>
      <c r="LTS99" s="769"/>
      <c r="LTT99" s="769"/>
      <c r="LTU99" s="769"/>
      <c r="LTV99" s="769"/>
      <c r="LTW99" s="769"/>
      <c r="LTX99" s="769"/>
      <c r="LTY99" s="769"/>
      <c r="LTZ99" s="769"/>
      <c r="LUA99" s="769"/>
      <c r="LUB99" s="769"/>
      <c r="LUC99" s="769"/>
      <c r="LUD99" s="769"/>
      <c r="LUE99" s="769"/>
      <c r="LUF99" s="769"/>
      <c r="LUG99" s="769"/>
      <c r="LUH99" s="769"/>
      <c r="LUI99" s="769"/>
      <c r="LUJ99" s="769"/>
      <c r="LUK99" s="769"/>
      <c r="LUL99" s="769"/>
      <c r="LUM99" s="769"/>
      <c r="LUN99" s="769"/>
      <c r="LUO99" s="769"/>
      <c r="LUP99" s="769"/>
      <c r="LUQ99" s="769"/>
      <c r="LUR99" s="769"/>
      <c r="LUS99" s="769"/>
      <c r="LUT99" s="769"/>
      <c r="LUU99" s="769"/>
      <c r="LUV99" s="769"/>
      <c r="LUW99" s="769"/>
      <c r="LUX99" s="769"/>
      <c r="LUY99" s="769"/>
      <c r="LUZ99" s="769"/>
      <c r="LVA99" s="769"/>
      <c r="LVB99" s="769"/>
      <c r="LVC99" s="769"/>
      <c r="LVD99" s="769"/>
      <c r="LVE99" s="769"/>
      <c r="LVF99" s="769"/>
      <c r="LVG99" s="769"/>
      <c r="LVH99" s="769"/>
      <c r="LVI99" s="769"/>
      <c r="LVJ99" s="769"/>
      <c r="LVK99" s="769"/>
      <c r="LVL99" s="769"/>
      <c r="LVM99" s="769"/>
      <c r="LVN99" s="769"/>
      <c r="LVO99" s="769"/>
      <c r="LVP99" s="769"/>
      <c r="LVQ99" s="769"/>
      <c r="LVR99" s="769"/>
      <c r="LVS99" s="769"/>
      <c r="LVT99" s="769"/>
      <c r="LVU99" s="769"/>
      <c r="LVV99" s="769"/>
      <c r="LVW99" s="769"/>
      <c r="LVX99" s="769"/>
      <c r="LVY99" s="769"/>
      <c r="LVZ99" s="769"/>
      <c r="LWA99" s="769"/>
      <c r="LWB99" s="769"/>
      <c r="LWC99" s="769"/>
      <c r="LWD99" s="769"/>
      <c r="LWE99" s="769"/>
      <c r="LWF99" s="769"/>
      <c r="LWG99" s="769"/>
      <c r="LWH99" s="769"/>
      <c r="LWI99" s="769"/>
      <c r="LWJ99" s="769"/>
      <c r="LWK99" s="769"/>
      <c r="LWL99" s="769"/>
      <c r="LWM99" s="769"/>
      <c r="LWN99" s="769"/>
      <c r="LWO99" s="769"/>
      <c r="LWP99" s="769"/>
      <c r="LWQ99" s="769"/>
      <c r="LWR99" s="769"/>
      <c r="LWS99" s="769"/>
      <c r="LWT99" s="769"/>
      <c r="LWU99" s="769"/>
      <c r="LWV99" s="769"/>
      <c r="LWW99" s="769"/>
      <c r="LWX99" s="769"/>
      <c r="LWY99" s="769"/>
      <c r="LWZ99" s="769"/>
      <c r="LXA99" s="769"/>
      <c r="LXB99" s="769"/>
      <c r="LXC99" s="769"/>
      <c r="LXD99" s="769"/>
      <c r="LXE99" s="769"/>
      <c r="LXF99" s="769"/>
      <c r="LXG99" s="769"/>
      <c r="LXH99" s="769"/>
      <c r="LXI99" s="769"/>
      <c r="LXJ99" s="769"/>
      <c r="LXK99" s="769"/>
      <c r="LXL99" s="769"/>
      <c r="LXM99" s="769"/>
      <c r="LXN99" s="769"/>
      <c r="LXO99" s="769"/>
      <c r="LXP99" s="769"/>
      <c r="LXQ99" s="769"/>
      <c r="LXR99" s="769"/>
      <c r="LXS99" s="769"/>
      <c r="LXT99" s="769"/>
      <c r="LXU99" s="769"/>
      <c r="LXV99" s="769"/>
      <c r="LXW99" s="769"/>
      <c r="LXX99" s="769"/>
      <c r="LXY99" s="769"/>
      <c r="LXZ99" s="769"/>
      <c r="LYA99" s="769"/>
      <c r="LYB99" s="769"/>
      <c r="LYC99" s="769"/>
      <c r="LYD99" s="769"/>
      <c r="LYE99" s="769"/>
      <c r="LYF99" s="769"/>
      <c r="LYG99" s="769"/>
      <c r="LYH99" s="769"/>
      <c r="LYI99" s="769"/>
      <c r="LYJ99" s="769"/>
      <c r="LYK99" s="769"/>
      <c r="LYL99" s="769"/>
      <c r="LYM99" s="769"/>
      <c r="LYN99" s="769"/>
      <c r="LYO99" s="769"/>
      <c r="LYP99" s="769"/>
      <c r="LYQ99" s="769"/>
      <c r="LYR99" s="769"/>
      <c r="LYS99" s="769"/>
      <c r="LYT99" s="769"/>
      <c r="LYU99" s="769"/>
      <c r="LYV99" s="769"/>
      <c r="LYW99" s="769"/>
      <c r="LYX99" s="769"/>
      <c r="LYY99" s="769"/>
      <c r="LYZ99" s="769"/>
      <c r="LZA99" s="769"/>
      <c r="LZB99" s="769"/>
      <c r="LZC99" s="769"/>
      <c r="LZD99" s="769"/>
      <c r="LZE99" s="769"/>
      <c r="LZF99" s="769"/>
      <c r="LZG99" s="769"/>
      <c r="LZH99" s="769"/>
      <c r="LZI99" s="769"/>
      <c r="LZJ99" s="769"/>
      <c r="LZK99" s="769"/>
      <c r="LZL99" s="769"/>
      <c r="LZM99" s="769"/>
      <c r="LZN99" s="769"/>
      <c r="LZO99" s="769"/>
      <c r="LZP99" s="769"/>
      <c r="LZQ99" s="769"/>
      <c r="LZR99" s="769"/>
      <c r="LZS99" s="769"/>
      <c r="LZT99" s="769"/>
      <c r="LZU99" s="769"/>
      <c r="LZV99" s="769"/>
      <c r="LZW99" s="769"/>
      <c r="LZX99" s="769"/>
      <c r="LZY99" s="769"/>
      <c r="LZZ99" s="769"/>
      <c r="MAA99" s="769"/>
      <c r="MAB99" s="769"/>
      <c r="MAC99" s="769"/>
      <c r="MAD99" s="769"/>
      <c r="MAE99" s="769"/>
      <c r="MAF99" s="769"/>
      <c r="MAG99" s="769"/>
      <c r="MAH99" s="769"/>
      <c r="MAI99" s="769"/>
      <c r="MAJ99" s="769"/>
      <c r="MAK99" s="769"/>
      <c r="MAL99" s="769"/>
      <c r="MAM99" s="769"/>
      <c r="MAN99" s="769"/>
      <c r="MAO99" s="769"/>
      <c r="MAP99" s="769"/>
      <c r="MAQ99" s="769"/>
      <c r="MAR99" s="769"/>
      <c r="MAS99" s="769"/>
      <c r="MAT99" s="769"/>
      <c r="MAU99" s="769"/>
      <c r="MAV99" s="769"/>
      <c r="MAW99" s="769"/>
      <c r="MAX99" s="769"/>
      <c r="MAY99" s="769"/>
      <c r="MAZ99" s="769"/>
      <c r="MBA99" s="769"/>
      <c r="MBB99" s="769"/>
      <c r="MBC99" s="769"/>
      <c r="MBD99" s="769"/>
      <c r="MBE99" s="769"/>
      <c r="MBF99" s="769"/>
      <c r="MBG99" s="769"/>
      <c r="MBH99" s="769"/>
      <c r="MBI99" s="769"/>
      <c r="MBJ99" s="769"/>
      <c r="MBK99" s="769"/>
      <c r="MBL99" s="769"/>
      <c r="MBM99" s="769"/>
      <c r="MBN99" s="769"/>
      <c r="MBO99" s="769"/>
      <c r="MBP99" s="769"/>
      <c r="MBQ99" s="769"/>
      <c r="MBR99" s="769"/>
      <c r="MBS99" s="769"/>
      <c r="MBT99" s="769"/>
      <c r="MBU99" s="769"/>
      <c r="MBV99" s="769"/>
      <c r="MBW99" s="769"/>
      <c r="MBX99" s="769"/>
      <c r="MBY99" s="769"/>
      <c r="MBZ99" s="769"/>
      <c r="MCA99" s="769"/>
      <c r="MCB99" s="769"/>
      <c r="MCC99" s="769"/>
      <c r="MCD99" s="769"/>
      <c r="MCE99" s="769"/>
      <c r="MCF99" s="769"/>
      <c r="MCG99" s="769"/>
      <c r="MCH99" s="769"/>
      <c r="MCI99" s="769"/>
      <c r="MCJ99" s="769"/>
      <c r="MCK99" s="769"/>
      <c r="MCL99" s="769"/>
      <c r="MCM99" s="769"/>
      <c r="MCN99" s="769"/>
      <c r="MCO99" s="769"/>
      <c r="MCP99" s="769"/>
      <c r="MCQ99" s="769"/>
      <c r="MCR99" s="769"/>
      <c r="MCS99" s="769"/>
      <c r="MCT99" s="769"/>
      <c r="MCU99" s="769"/>
      <c r="MCV99" s="769"/>
      <c r="MCW99" s="769"/>
      <c r="MCX99" s="769"/>
      <c r="MCY99" s="769"/>
      <c r="MCZ99" s="769"/>
      <c r="MDA99" s="769"/>
      <c r="MDB99" s="769"/>
      <c r="MDC99" s="769"/>
      <c r="MDD99" s="769"/>
      <c r="MDE99" s="769"/>
      <c r="MDF99" s="769"/>
      <c r="MDG99" s="769"/>
      <c r="MDH99" s="769"/>
      <c r="MDI99" s="769"/>
      <c r="MDJ99" s="769"/>
      <c r="MDK99" s="769"/>
      <c r="MDL99" s="769"/>
      <c r="MDM99" s="769"/>
      <c r="MDN99" s="769"/>
      <c r="MDO99" s="769"/>
      <c r="MDP99" s="769"/>
      <c r="MDQ99" s="769"/>
      <c r="MDR99" s="769"/>
      <c r="MDS99" s="769"/>
      <c r="MDT99" s="769"/>
      <c r="MDU99" s="769"/>
      <c r="MDV99" s="769"/>
      <c r="MDW99" s="769"/>
      <c r="MDX99" s="769"/>
      <c r="MDY99" s="769"/>
      <c r="MDZ99" s="769"/>
      <c r="MEA99" s="769"/>
      <c r="MEB99" s="769"/>
      <c r="MEC99" s="769"/>
      <c r="MED99" s="769"/>
      <c r="MEE99" s="769"/>
      <c r="MEF99" s="769"/>
      <c r="MEG99" s="769"/>
      <c r="MEH99" s="769"/>
      <c r="MEI99" s="769"/>
      <c r="MEJ99" s="769"/>
      <c r="MEK99" s="769"/>
      <c r="MEL99" s="769"/>
      <c r="MEM99" s="769"/>
      <c r="MEN99" s="769"/>
      <c r="MEO99" s="769"/>
      <c r="MEP99" s="769"/>
      <c r="MEQ99" s="769"/>
      <c r="MER99" s="769"/>
      <c r="MES99" s="769"/>
      <c r="MET99" s="769"/>
      <c r="MEU99" s="769"/>
      <c r="MEV99" s="769"/>
      <c r="MEW99" s="769"/>
      <c r="MEX99" s="769"/>
      <c r="MEY99" s="769"/>
      <c r="MEZ99" s="769"/>
      <c r="MFA99" s="769"/>
      <c r="MFB99" s="769"/>
      <c r="MFC99" s="769"/>
      <c r="MFD99" s="769"/>
      <c r="MFE99" s="769"/>
      <c r="MFF99" s="769"/>
      <c r="MFG99" s="769"/>
      <c r="MFH99" s="769"/>
      <c r="MFI99" s="769"/>
      <c r="MFJ99" s="769"/>
      <c r="MFK99" s="769"/>
      <c r="MFL99" s="769"/>
      <c r="MFM99" s="769"/>
      <c r="MFN99" s="769"/>
      <c r="MFO99" s="769"/>
      <c r="MFP99" s="769"/>
      <c r="MFQ99" s="769"/>
      <c r="MFR99" s="769"/>
      <c r="MFS99" s="769"/>
      <c r="MFT99" s="769"/>
      <c r="MFU99" s="769"/>
      <c r="MFV99" s="769"/>
      <c r="MFW99" s="769"/>
      <c r="MFX99" s="769"/>
      <c r="MFY99" s="769"/>
      <c r="MFZ99" s="769"/>
      <c r="MGA99" s="769"/>
      <c r="MGB99" s="769"/>
      <c r="MGC99" s="769"/>
      <c r="MGD99" s="769"/>
      <c r="MGE99" s="769"/>
      <c r="MGF99" s="769"/>
      <c r="MGG99" s="769"/>
      <c r="MGH99" s="769"/>
      <c r="MGI99" s="769"/>
      <c r="MGJ99" s="769"/>
      <c r="MGK99" s="769"/>
      <c r="MGL99" s="769"/>
      <c r="MGM99" s="769"/>
      <c r="MGN99" s="769"/>
      <c r="MGO99" s="769"/>
      <c r="MGP99" s="769"/>
      <c r="MGQ99" s="769"/>
      <c r="MGR99" s="769"/>
      <c r="MGS99" s="769"/>
      <c r="MGT99" s="769"/>
      <c r="MGU99" s="769"/>
      <c r="MGV99" s="769"/>
      <c r="MGW99" s="769"/>
      <c r="MGX99" s="769"/>
      <c r="MGY99" s="769"/>
      <c r="MGZ99" s="769"/>
      <c r="MHA99" s="769"/>
      <c r="MHB99" s="769"/>
      <c r="MHC99" s="769"/>
      <c r="MHD99" s="769"/>
      <c r="MHE99" s="769"/>
      <c r="MHF99" s="769"/>
      <c r="MHG99" s="769"/>
      <c r="MHH99" s="769"/>
      <c r="MHI99" s="769"/>
      <c r="MHJ99" s="769"/>
      <c r="MHK99" s="769"/>
      <c r="MHL99" s="769"/>
      <c r="MHM99" s="769"/>
      <c r="MHN99" s="769"/>
      <c r="MHO99" s="769"/>
      <c r="MHP99" s="769"/>
      <c r="MHQ99" s="769"/>
      <c r="MHR99" s="769"/>
      <c r="MHS99" s="769"/>
      <c r="MHT99" s="769"/>
      <c r="MHU99" s="769"/>
      <c r="MHV99" s="769"/>
      <c r="MHW99" s="769"/>
      <c r="MHX99" s="769"/>
      <c r="MHY99" s="769"/>
      <c r="MHZ99" s="769"/>
      <c r="MIA99" s="769"/>
      <c r="MIB99" s="769"/>
      <c r="MIC99" s="769"/>
      <c r="MID99" s="769"/>
      <c r="MIE99" s="769"/>
      <c r="MIF99" s="769"/>
      <c r="MIG99" s="769"/>
      <c r="MIH99" s="769"/>
      <c r="MII99" s="769"/>
      <c r="MIJ99" s="769"/>
      <c r="MIK99" s="769"/>
      <c r="MIL99" s="769"/>
      <c r="MIM99" s="769"/>
      <c r="MIN99" s="769"/>
      <c r="MIO99" s="769"/>
      <c r="MIP99" s="769"/>
      <c r="MIQ99" s="769"/>
      <c r="MIR99" s="769"/>
      <c r="MIS99" s="769"/>
      <c r="MIT99" s="769"/>
      <c r="MIU99" s="769"/>
      <c r="MIV99" s="769"/>
      <c r="MIW99" s="769"/>
      <c r="MIX99" s="769"/>
      <c r="MIY99" s="769"/>
      <c r="MIZ99" s="769"/>
      <c r="MJA99" s="769"/>
      <c r="MJB99" s="769"/>
      <c r="MJC99" s="769"/>
      <c r="MJD99" s="769"/>
      <c r="MJE99" s="769"/>
      <c r="MJF99" s="769"/>
      <c r="MJG99" s="769"/>
      <c r="MJH99" s="769"/>
      <c r="MJI99" s="769"/>
      <c r="MJJ99" s="769"/>
      <c r="MJK99" s="769"/>
      <c r="MJL99" s="769"/>
      <c r="MJM99" s="769"/>
      <c r="MJN99" s="769"/>
      <c r="MJO99" s="769"/>
      <c r="MJP99" s="769"/>
      <c r="MJQ99" s="769"/>
      <c r="MJR99" s="769"/>
      <c r="MJS99" s="769"/>
      <c r="MJT99" s="769"/>
      <c r="MJU99" s="769"/>
      <c r="MJV99" s="769"/>
      <c r="MJW99" s="769"/>
      <c r="MJX99" s="769"/>
      <c r="MJY99" s="769"/>
      <c r="MJZ99" s="769"/>
      <c r="MKA99" s="769"/>
      <c r="MKB99" s="769"/>
      <c r="MKC99" s="769"/>
      <c r="MKD99" s="769"/>
      <c r="MKE99" s="769"/>
      <c r="MKF99" s="769"/>
      <c r="MKG99" s="769"/>
      <c r="MKH99" s="769"/>
      <c r="MKI99" s="769"/>
      <c r="MKJ99" s="769"/>
      <c r="MKK99" s="769"/>
      <c r="MKL99" s="769"/>
      <c r="MKM99" s="769"/>
      <c r="MKN99" s="769"/>
      <c r="MKO99" s="769"/>
      <c r="MKP99" s="769"/>
      <c r="MKQ99" s="769"/>
      <c r="MKR99" s="769"/>
      <c r="MKS99" s="769"/>
      <c r="MKT99" s="769"/>
      <c r="MKU99" s="769"/>
      <c r="MKV99" s="769"/>
      <c r="MKW99" s="769"/>
      <c r="MKX99" s="769"/>
      <c r="MKY99" s="769"/>
      <c r="MKZ99" s="769"/>
      <c r="MLA99" s="769"/>
      <c r="MLB99" s="769"/>
      <c r="MLC99" s="769"/>
      <c r="MLD99" s="769"/>
      <c r="MLE99" s="769"/>
      <c r="MLF99" s="769"/>
      <c r="MLG99" s="769"/>
      <c r="MLH99" s="769"/>
      <c r="MLI99" s="769"/>
      <c r="MLJ99" s="769"/>
      <c r="MLK99" s="769"/>
      <c r="MLL99" s="769"/>
      <c r="MLM99" s="769"/>
      <c r="MLN99" s="769"/>
      <c r="MLO99" s="769"/>
      <c r="MLP99" s="769"/>
      <c r="MLQ99" s="769"/>
      <c r="MLR99" s="769"/>
      <c r="MLS99" s="769"/>
      <c r="MLT99" s="769"/>
      <c r="MLU99" s="769"/>
      <c r="MLV99" s="769"/>
      <c r="MLW99" s="769"/>
      <c r="MLX99" s="769"/>
      <c r="MLY99" s="769"/>
      <c r="MLZ99" s="769"/>
      <c r="MMA99" s="769"/>
      <c r="MMB99" s="769"/>
      <c r="MMC99" s="769"/>
      <c r="MMD99" s="769"/>
      <c r="MME99" s="769"/>
      <c r="MMF99" s="769"/>
      <c r="MMG99" s="769"/>
      <c r="MMH99" s="769"/>
      <c r="MMI99" s="769"/>
      <c r="MMJ99" s="769"/>
      <c r="MMK99" s="769"/>
      <c r="MML99" s="769"/>
      <c r="MMM99" s="769"/>
      <c r="MMN99" s="769"/>
      <c r="MMO99" s="769"/>
      <c r="MMP99" s="769"/>
      <c r="MMQ99" s="769"/>
      <c r="MMR99" s="769"/>
      <c r="MMS99" s="769"/>
      <c r="MMT99" s="769"/>
      <c r="MMU99" s="769"/>
      <c r="MMV99" s="769"/>
      <c r="MMW99" s="769"/>
      <c r="MMX99" s="769"/>
      <c r="MMY99" s="769"/>
      <c r="MMZ99" s="769"/>
      <c r="MNA99" s="769"/>
      <c r="MNB99" s="769"/>
      <c r="MNC99" s="769"/>
      <c r="MND99" s="769"/>
      <c r="MNE99" s="769"/>
      <c r="MNF99" s="769"/>
      <c r="MNG99" s="769"/>
      <c r="MNH99" s="769"/>
      <c r="MNI99" s="769"/>
      <c r="MNJ99" s="769"/>
      <c r="MNK99" s="769"/>
      <c r="MNL99" s="769"/>
      <c r="MNM99" s="769"/>
      <c r="MNN99" s="769"/>
      <c r="MNO99" s="769"/>
      <c r="MNP99" s="769"/>
      <c r="MNQ99" s="769"/>
      <c r="MNR99" s="769"/>
      <c r="MNS99" s="769"/>
      <c r="MNT99" s="769"/>
      <c r="MNU99" s="769"/>
      <c r="MNV99" s="769"/>
      <c r="MNW99" s="769"/>
      <c r="MNX99" s="769"/>
      <c r="MNY99" s="769"/>
      <c r="MNZ99" s="769"/>
      <c r="MOA99" s="769"/>
      <c r="MOB99" s="769"/>
      <c r="MOC99" s="769"/>
      <c r="MOD99" s="769"/>
      <c r="MOE99" s="769"/>
      <c r="MOF99" s="769"/>
      <c r="MOG99" s="769"/>
      <c r="MOH99" s="769"/>
      <c r="MOI99" s="769"/>
      <c r="MOJ99" s="769"/>
      <c r="MOK99" s="769"/>
      <c r="MOL99" s="769"/>
      <c r="MOM99" s="769"/>
      <c r="MON99" s="769"/>
      <c r="MOO99" s="769"/>
      <c r="MOP99" s="769"/>
      <c r="MOQ99" s="769"/>
      <c r="MOR99" s="769"/>
      <c r="MOS99" s="769"/>
      <c r="MOT99" s="769"/>
      <c r="MOU99" s="769"/>
      <c r="MOV99" s="769"/>
      <c r="MOW99" s="769"/>
      <c r="MOX99" s="769"/>
      <c r="MOY99" s="769"/>
      <c r="MOZ99" s="769"/>
      <c r="MPA99" s="769"/>
      <c r="MPB99" s="769"/>
      <c r="MPC99" s="769"/>
      <c r="MPD99" s="769"/>
      <c r="MPE99" s="769"/>
      <c r="MPF99" s="769"/>
      <c r="MPG99" s="769"/>
      <c r="MPH99" s="769"/>
      <c r="MPI99" s="769"/>
      <c r="MPJ99" s="769"/>
      <c r="MPK99" s="769"/>
      <c r="MPL99" s="769"/>
      <c r="MPM99" s="769"/>
      <c r="MPN99" s="769"/>
      <c r="MPO99" s="769"/>
      <c r="MPP99" s="769"/>
      <c r="MPQ99" s="769"/>
      <c r="MPR99" s="769"/>
      <c r="MPS99" s="769"/>
      <c r="MPT99" s="769"/>
      <c r="MPU99" s="769"/>
      <c r="MPV99" s="769"/>
      <c r="MPW99" s="769"/>
      <c r="MPX99" s="769"/>
      <c r="MPY99" s="769"/>
      <c r="MPZ99" s="769"/>
      <c r="MQA99" s="769"/>
      <c r="MQB99" s="769"/>
      <c r="MQC99" s="769"/>
      <c r="MQD99" s="769"/>
      <c r="MQE99" s="769"/>
      <c r="MQF99" s="769"/>
      <c r="MQG99" s="769"/>
      <c r="MQH99" s="769"/>
      <c r="MQI99" s="769"/>
      <c r="MQJ99" s="769"/>
      <c r="MQK99" s="769"/>
      <c r="MQL99" s="769"/>
      <c r="MQM99" s="769"/>
      <c r="MQN99" s="769"/>
      <c r="MQO99" s="769"/>
      <c r="MQP99" s="769"/>
      <c r="MQQ99" s="769"/>
      <c r="MQR99" s="769"/>
      <c r="MQS99" s="769"/>
      <c r="MQT99" s="769"/>
      <c r="MQU99" s="769"/>
      <c r="MQV99" s="769"/>
      <c r="MQW99" s="769"/>
      <c r="MQX99" s="769"/>
      <c r="MQY99" s="769"/>
      <c r="MQZ99" s="769"/>
      <c r="MRA99" s="769"/>
      <c r="MRB99" s="769"/>
      <c r="MRC99" s="769"/>
      <c r="MRD99" s="769"/>
      <c r="MRE99" s="769"/>
      <c r="MRF99" s="769"/>
      <c r="MRG99" s="769"/>
      <c r="MRH99" s="769"/>
      <c r="MRI99" s="769"/>
      <c r="MRJ99" s="769"/>
      <c r="MRK99" s="769"/>
      <c r="MRL99" s="769"/>
      <c r="MRM99" s="769"/>
      <c r="MRN99" s="769"/>
      <c r="MRO99" s="769"/>
      <c r="MRP99" s="769"/>
      <c r="MRQ99" s="769"/>
      <c r="MRR99" s="769"/>
      <c r="MRS99" s="769"/>
      <c r="MRT99" s="769"/>
      <c r="MRU99" s="769"/>
      <c r="MRV99" s="769"/>
      <c r="MRW99" s="769"/>
      <c r="MRX99" s="769"/>
      <c r="MRY99" s="769"/>
      <c r="MRZ99" s="769"/>
      <c r="MSA99" s="769"/>
      <c r="MSB99" s="769"/>
      <c r="MSC99" s="769"/>
      <c r="MSD99" s="769"/>
      <c r="MSE99" s="769"/>
      <c r="MSF99" s="769"/>
      <c r="MSG99" s="769"/>
      <c r="MSH99" s="769"/>
      <c r="MSI99" s="769"/>
      <c r="MSJ99" s="769"/>
      <c r="MSK99" s="769"/>
      <c r="MSL99" s="769"/>
      <c r="MSM99" s="769"/>
      <c r="MSN99" s="769"/>
      <c r="MSO99" s="769"/>
      <c r="MSP99" s="769"/>
      <c r="MSQ99" s="769"/>
      <c r="MSR99" s="769"/>
      <c r="MSS99" s="769"/>
      <c r="MST99" s="769"/>
      <c r="MSU99" s="769"/>
      <c r="MSV99" s="769"/>
      <c r="MSW99" s="769"/>
      <c r="MSX99" s="769"/>
      <c r="MSY99" s="769"/>
      <c r="MSZ99" s="769"/>
      <c r="MTA99" s="769"/>
      <c r="MTB99" s="769"/>
      <c r="MTC99" s="769"/>
      <c r="MTD99" s="769"/>
      <c r="MTE99" s="769"/>
      <c r="MTF99" s="769"/>
      <c r="MTG99" s="769"/>
      <c r="MTH99" s="769"/>
      <c r="MTI99" s="769"/>
      <c r="MTJ99" s="769"/>
      <c r="MTK99" s="769"/>
      <c r="MTL99" s="769"/>
      <c r="MTM99" s="769"/>
      <c r="MTN99" s="769"/>
      <c r="MTO99" s="769"/>
      <c r="MTP99" s="769"/>
      <c r="MTQ99" s="769"/>
      <c r="MTR99" s="769"/>
      <c r="MTS99" s="769"/>
      <c r="MTT99" s="769"/>
      <c r="MTU99" s="769"/>
      <c r="MTV99" s="769"/>
      <c r="MTW99" s="769"/>
      <c r="MTX99" s="769"/>
      <c r="MTY99" s="769"/>
      <c r="MTZ99" s="769"/>
      <c r="MUA99" s="769"/>
      <c r="MUB99" s="769"/>
      <c r="MUC99" s="769"/>
      <c r="MUD99" s="769"/>
      <c r="MUE99" s="769"/>
      <c r="MUF99" s="769"/>
      <c r="MUG99" s="769"/>
      <c r="MUH99" s="769"/>
      <c r="MUI99" s="769"/>
      <c r="MUJ99" s="769"/>
      <c r="MUK99" s="769"/>
      <c r="MUL99" s="769"/>
      <c r="MUM99" s="769"/>
      <c r="MUN99" s="769"/>
      <c r="MUO99" s="769"/>
      <c r="MUP99" s="769"/>
      <c r="MUQ99" s="769"/>
      <c r="MUR99" s="769"/>
      <c r="MUS99" s="769"/>
      <c r="MUT99" s="769"/>
      <c r="MUU99" s="769"/>
      <c r="MUV99" s="769"/>
      <c r="MUW99" s="769"/>
      <c r="MUX99" s="769"/>
      <c r="MUY99" s="769"/>
      <c r="MUZ99" s="769"/>
      <c r="MVA99" s="769"/>
      <c r="MVB99" s="769"/>
      <c r="MVC99" s="769"/>
      <c r="MVD99" s="769"/>
      <c r="MVE99" s="769"/>
      <c r="MVF99" s="769"/>
      <c r="MVG99" s="769"/>
      <c r="MVH99" s="769"/>
      <c r="MVI99" s="769"/>
      <c r="MVJ99" s="769"/>
      <c r="MVK99" s="769"/>
      <c r="MVL99" s="769"/>
      <c r="MVM99" s="769"/>
      <c r="MVN99" s="769"/>
      <c r="MVO99" s="769"/>
      <c r="MVP99" s="769"/>
      <c r="MVQ99" s="769"/>
      <c r="MVR99" s="769"/>
      <c r="MVS99" s="769"/>
      <c r="MVT99" s="769"/>
      <c r="MVU99" s="769"/>
      <c r="MVV99" s="769"/>
      <c r="MVW99" s="769"/>
      <c r="MVX99" s="769"/>
      <c r="MVY99" s="769"/>
      <c r="MVZ99" s="769"/>
      <c r="MWA99" s="769"/>
      <c r="MWB99" s="769"/>
      <c r="MWC99" s="769"/>
      <c r="MWD99" s="769"/>
      <c r="MWE99" s="769"/>
      <c r="MWF99" s="769"/>
      <c r="MWG99" s="769"/>
      <c r="MWH99" s="769"/>
      <c r="MWI99" s="769"/>
      <c r="MWJ99" s="769"/>
      <c r="MWK99" s="769"/>
      <c r="MWL99" s="769"/>
      <c r="MWM99" s="769"/>
      <c r="MWN99" s="769"/>
      <c r="MWO99" s="769"/>
      <c r="MWP99" s="769"/>
      <c r="MWQ99" s="769"/>
      <c r="MWR99" s="769"/>
      <c r="MWS99" s="769"/>
      <c r="MWT99" s="769"/>
      <c r="MWU99" s="769"/>
      <c r="MWV99" s="769"/>
      <c r="MWW99" s="769"/>
      <c r="MWX99" s="769"/>
      <c r="MWY99" s="769"/>
      <c r="MWZ99" s="769"/>
      <c r="MXA99" s="769"/>
      <c r="MXB99" s="769"/>
      <c r="MXC99" s="769"/>
      <c r="MXD99" s="769"/>
      <c r="MXE99" s="769"/>
      <c r="MXF99" s="769"/>
      <c r="MXG99" s="769"/>
      <c r="MXH99" s="769"/>
      <c r="MXI99" s="769"/>
      <c r="MXJ99" s="769"/>
      <c r="MXK99" s="769"/>
      <c r="MXL99" s="769"/>
      <c r="MXM99" s="769"/>
      <c r="MXN99" s="769"/>
      <c r="MXO99" s="769"/>
      <c r="MXP99" s="769"/>
      <c r="MXQ99" s="769"/>
      <c r="MXR99" s="769"/>
      <c r="MXS99" s="769"/>
      <c r="MXT99" s="769"/>
      <c r="MXU99" s="769"/>
      <c r="MXV99" s="769"/>
      <c r="MXW99" s="769"/>
      <c r="MXX99" s="769"/>
      <c r="MXY99" s="769"/>
      <c r="MXZ99" s="769"/>
      <c r="MYA99" s="769"/>
      <c r="MYB99" s="769"/>
      <c r="MYC99" s="769"/>
      <c r="MYD99" s="769"/>
      <c r="MYE99" s="769"/>
      <c r="MYF99" s="769"/>
      <c r="MYG99" s="769"/>
      <c r="MYH99" s="769"/>
      <c r="MYI99" s="769"/>
      <c r="MYJ99" s="769"/>
      <c r="MYK99" s="769"/>
      <c r="MYL99" s="769"/>
      <c r="MYM99" s="769"/>
      <c r="MYN99" s="769"/>
      <c r="MYO99" s="769"/>
      <c r="MYP99" s="769"/>
      <c r="MYQ99" s="769"/>
      <c r="MYR99" s="769"/>
      <c r="MYS99" s="769"/>
      <c r="MYT99" s="769"/>
      <c r="MYU99" s="769"/>
      <c r="MYV99" s="769"/>
      <c r="MYW99" s="769"/>
      <c r="MYX99" s="769"/>
      <c r="MYY99" s="769"/>
      <c r="MYZ99" s="769"/>
      <c r="MZA99" s="769"/>
      <c r="MZB99" s="769"/>
      <c r="MZC99" s="769"/>
      <c r="MZD99" s="769"/>
      <c r="MZE99" s="769"/>
      <c r="MZF99" s="769"/>
      <c r="MZG99" s="769"/>
      <c r="MZH99" s="769"/>
      <c r="MZI99" s="769"/>
      <c r="MZJ99" s="769"/>
      <c r="MZK99" s="769"/>
      <c r="MZL99" s="769"/>
      <c r="MZM99" s="769"/>
      <c r="MZN99" s="769"/>
      <c r="MZO99" s="769"/>
      <c r="MZP99" s="769"/>
      <c r="MZQ99" s="769"/>
      <c r="MZR99" s="769"/>
      <c r="MZS99" s="769"/>
      <c r="MZT99" s="769"/>
      <c r="MZU99" s="769"/>
      <c r="MZV99" s="769"/>
      <c r="MZW99" s="769"/>
      <c r="MZX99" s="769"/>
      <c r="MZY99" s="769"/>
      <c r="MZZ99" s="769"/>
      <c r="NAA99" s="769"/>
      <c r="NAB99" s="769"/>
      <c r="NAC99" s="769"/>
      <c r="NAD99" s="769"/>
      <c r="NAE99" s="769"/>
      <c r="NAF99" s="769"/>
      <c r="NAG99" s="769"/>
      <c r="NAH99" s="769"/>
      <c r="NAI99" s="769"/>
      <c r="NAJ99" s="769"/>
      <c r="NAK99" s="769"/>
      <c r="NAL99" s="769"/>
      <c r="NAM99" s="769"/>
      <c r="NAN99" s="769"/>
      <c r="NAO99" s="769"/>
      <c r="NAP99" s="769"/>
      <c r="NAQ99" s="769"/>
      <c r="NAR99" s="769"/>
      <c r="NAS99" s="769"/>
      <c r="NAT99" s="769"/>
      <c r="NAU99" s="769"/>
      <c r="NAV99" s="769"/>
      <c r="NAW99" s="769"/>
      <c r="NAX99" s="769"/>
      <c r="NAY99" s="769"/>
      <c r="NAZ99" s="769"/>
      <c r="NBA99" s="769"/>
      <c r="NBB99" s="769"/>
      <c r="NBC99" s="769"/>
      <c r="NBD99" s="769"/>
      <c r="NBE99" s="769"/>
      <c r="NBF99" s="769"/>
      <c r="NBG99" s="769"/>
      <c r="NBH99" s="769"/>
      <c r="NBI99" s="769"/>
      <c r="NBJ99" s="769"/>
      <c r="NBK99" s="769"/>
      <c r="NBL99" s="769"/>
      <c r="NBM99" s="769"/>
      <c r="NBN99" s="769"/>
      <c r="NBO99" s="769"/>
      <c r="NBP99" s="769"/>
      <c r="NBQ99" s="769"/>
      <c r="NBR99" s="769"/>
      <c r="NBS99" s="769"/>
      <c r="NBT99" s="769"/>
      <c r="NBU99" s="769"/>
      <c r="NBV99" s="769"/>
      <c r="NBW99" s="769"/>
      <c r="NBX99" s="769"/>
      <c r="NBY99" s="769"/>
      <c r="NBZ99" s="769"/>
      <c r="NCA99" s="769"/>
      <c r="NCB99" s="769"/>
      <c r="NCC99" s="769"/>
      <c r="NCD99" s="769"/>
      <c r="NCE99" s="769"/>
      <c r="NCF99" s="769"/>
      <c r="NCG99" s="769"/>
      <c r="NCH99" s="769"/>
      <c r="NCI99" s="769"/>
      <c r="NCJ99" s="769"/>
      <c r="NCK99" s="769"/>
      <c r="NCL99" s="769"/>
      <c r="NCM99" s="769"/>
      <c r="NCN99" s="769"/>
      <c r="NCO99" s="769"/>
      <c r="NCP99" s="769"/>
      <c r="NCQ99" s="769"/>
      <c r="NCR99" s="769"/>
      <c r="NCS99" s="769"/>
      <c r="NCT99" s="769"/>
      <c r="NCU99" s="769"/>
      <c r="NCV99" s="769"/>
      <c r="NCW99" s="769"/>
      <c r="NCX99" s="769"/>
      <c r="NCY99" s="769"/>
      <c r="NCZ99" s="769"/>
      <c r="NDA99" s="769"/>
      <c r="NDB99" s="769"/>
      <c r="NDC99" s="769"/>
      <c r="NDD99" s="769"/>
      <c r="NDE99" s="769"/>
      <c r="NDF99" s="769"/>
      <c r="NDG99" s="769"/>
      <c r="NDH99" s="769"/>
      <c r="NDI99" s="769"/>
      <c r="NDJ99" s="769"/>
      <c r="NDK99" s="769"/>
      <c r="NDL99" s="769"/>
      <c r="NDM99" s="769"/>
      <c r="NDN99" s="769"/>
      <c r="NDO99" s="769"/>
      <c r="NDP99" s="769"/>
      <c r="NDQ99" s="769"/>
      <c r="NDR99" s="769"/>
      <c r="NDS99" s="769"/>
      <c r="NDT99" s="769"/>
      <c r="NDU99" s="769"/>
      <c r="NDV99" s="769"/>
      <c r="NDW99" s="769"/>
      <c r="NDX99" s="769"/>
      <c r="NDY99" s="769"/>
      <c r="NDZ99" s="769"/>
      <c r="NEA99" s="769"/>
      <c r="NEB99" s="769"/>
      <c r="NEC99" s="769"/>
      <c r="NED99" s="769"/>
      <c r="NEE99" s="769"/>
      <c r="NEF99" s="769"/>
      <c r="NEG99" s="769"/>
      <c r="NEH99" s="769"/>
      <c r="NEI99" s="769"/>
      <c r="NEJ99" s="769"/>
      <c r="NEK99" s="769"/>
      <c r="NEL99" s="769"/>
      <c r="NEM99" s="769"/>
      <c r="NEN99" s="769"/>
      <c r="NEO99" s="769"/>
      <c r="NEP99" s="769"/>
      <c r="NEQ99" s="769"/>
      <c r="NER99" s="769"/>
      <c r="NES99" s="769"/>
      <c r="NET99" s="769"/>
      <c r="NEU99" s="769"/>
      <c r="NEV99" s="769"/>
      <c r="NEW99" s="769"/>
      <c r="NEX99" s="769"/>
      <c r="NEY99" s="769"/>
      <c r="NEZ99" s="769"/>
      <c r="NFA99" s="769"/>
      <c r="NFB99" s="769"/>
      <c r="NFC99" s="769"/>
      <c r="NFD99" s="769"/>
      <c r="NFE99" s="769"/>
      <c r="NFF99" s="769"/>
      <c r="NFG99" s="769"/>
      <c r="NFH99" s="769"/>
      <c r="NFI99" s="769"/>
      <c r="NFJ99" s="769"/>
      <c r="NFK99" s="769"/>
      <c r="NFL99" s="769"/>
      <c r="NFM99" s="769"/>
      <c r="NFN99" s="769"/>
      <c r="NFO99" s="769"/>
      <c r="NFP99" s="769"/>
      <c r="NFQ99" s="769"/>
      <c r="NFR99" s="769"/>
      <c r="NFS99" s="769"/>
      <c r="NFT99" s="769"/>
      <c r="NFU99" s="769"/>
      <c r="NFV99" s="769"/>
      <c r="NFW99" s="769"/>
      <c r="NFX99" s="769"/>
      <c r="NFY99" s="769"/>
      <c r="NFZ99" s="769"/>
      <c r="NGA99" s="769"/>
      <c r="NGB99" s="769"/>
      <c r="NGC99" s="769"/>
      <c r="NGD99" s="769"/>
      <c r="NGE99" s="769"/>
      <c r="NGF99" s="769"/>
      <c r="NGG99" s="769"/>
      <c r="NGH99" s="769"/>
      <c r="NGI99" s="769"/>
      <c r="NGJ99" s="769"/>
      <c r="NGK99" s="769"/>
      <c r="NGL99" s="769"/>
      <c r="NGM99" s="769"/>
      <c r="NGN99" s="769"/>
      <c r="NGO99" s="769"/>
      <c r="NGP99" s="769"/>
      <c r="NGQ99" s="769"/>
      <c r="NGR99" s="769"/>
      <c r="NGS99" s="769"/>
      <c r="NGT99" s="769"/>
      <c r="NGU99" s="769"/>
      <c r="NGV99" s="769"/>
      <c r="NGW99" s="769"/>
      <c r="NGX99" s="769"/>
      <c r="NGY99" s="769"/>
      <c r="NGZ99" s="769"/>
      <c r="NHA99" s="769"/>
      <c r="NHB99" s="769"/>
      <c r="NHC99" s="769"/>
      <c r="NHD99" s="769"/>
      <c r="NHE99" s="769"/>
      <c r="NHF99" s="769"/>
      <c r="NHG99" s="769"/>
      <c r="NHH99" s="769"/>
      <c r="NHI99" s="769"/>
      <c r="NHJ99" s="769"/>
      <c r="NHK99" s="769"/>
      <c r="NHL99" s="769"/>
      <c r="NHM99" s="769"/>
      <c r="NHN99" s="769"/>
      <c r="NHO99" s="769"/>
      <c r="NHP99" s="769"/>
      <c r="NHQ99" s="769"/>
      <c r="NHR99" s="769"/>
      <c r="NHS99" s="769"/>
      <c r="NHT99" s="769"/>
      <c r="NHU99" s="769"/>
      <c r="NHV99" s="769"/>
      <c r="NHW99" s="769"/>
      <c r="NHX99" s="769"/>
      <c r="NHY99" s="769"/>
      <c r="NHZ99" s="769"/>
      <c r="NIA99" s="769"/>
      <c r="NIB99" s="769"/>
      <c r="NIC99" s="769"/>
      <c r="NID99" s="769"/>
      <c r="NIE99" s="769"/>
      <c r="NIF99" s="769"/>
      <c r="NIG99" s="769"/>
      <c r="NIH99" s="769"/>
      <c r="NII99" s="769"/>
      <c r="NIJ99" s="769"/>
      <c r="NIK99" s="769"/>
      <c r="NIL99" s="769"/>
      <c r="NIM99" s="769"/>
      <c r="NIN99" s="769"/>
      <c r="NIO99" s="769"/>
      <c r="NIP99" s="769"/>
      <c r="NIQ99" s="769"/>
      <c r="NIR99" s="769"/>
      <c r="NIS99" s="769"/>
      <c r="NIT99" s="769"/>
      <c r="NIU99" s="769"/>
      <c r="NIV99" s="769"/>
      <c r="NIW99" s="769"/>
      <c r="NIX99" s="769"/>
      <c r="NIY99" s="769"/>
      <c r="NIZ99" s="769"/>
      <c r="NJA99" s="769"/>
      <c r="NJB99" s="769"/>
      <c r="NJC99" s="769"/>
      <c r="NJD99" s="769"/>
      <c r="NJE99" s="769"/>
      <c r="NJF99" s="769"/>
      <c r="NJG99" s="769"/>
      <c r="NJH99" s="769"/>
      <c r="NJI99" s="769"/>
      <c r="NJJ99" s="769"/>
      <c r="NJK99" s="769"/>
      <c r="NJL99" s="769"/>
      <c r="NJM99" s="769"/>
      <c r="NJN99" s="769"/>
      <c r="NJO99" s="769"/>
      <c r="NJP99" s="769"/>
      <c r="NJQ99" s="769"/>
      <c r="NJR99" s="769"/>
      <c r="NJS99" s="769"/>
      <c r="NJT99" s="769"/>
      <c r="NJU99" s="769"/>
      <c r="NJV99" s="769"/>
      <c r="NJW99" s="769"/>
      <c r="NJX99" s="769"/>
      <c r="NJY99" s="769"/>
      <c r="NJZ99" s="769"/>
      <c r="NKA99" s="769"/>
      <c r="NKB99" s="769"/>
      <c r="NKC99" s="769"/>
      <c r="NKD99" s="769"/>
      <c r="NKE99" s="769"/>
      <c r="NKF99" s="769"/>
      <c r="NKG99" s="769"/>
      <c r="NKH99" s="769"/>
      <c r="NKI99" s="769"/>
      <c r="NKJ99" s="769"/>
      <c r="NKK99" s="769"/>
      <c r="NKL99" s="769"/>
      <c r="NKM99" s="769"/>
      <c r="NKN99" s="769"/>
      <c r="NKO99" s="769"/>
      <c r="NKP99" s="769"/>
      <c r="NKQ99" s="769"/>
      <c r="NKR99" s="769"/>
      <c r="NKS99" s="769"/>
      <c r="NKT99" s="769"/>
      <c r="NKU99" s="769"/>
      <c r="NKV99" s="769"/>
      <c r="NKW99" s="769"/>
      <c r="NKX99" s="769"/>
      <c r="NKY99" s="769"/>
      <c r="NKZ99" s="769"/>
      <c r="NLA99" s="769"/>
      <c r="NLB99" s="769"/>
      <c r="NLC99" s="769"/>
      <c r="NLD99" s="769"/>
      <c r="NLE99" s="769"/>
      <c r="NLF99" s="769"/>
      <c r="NLG99" s="769"/>
      <c r="NLH99" s="769"/>
      <c r="NLI99" s="769"/>
      <c r="NLJ99" s="769"/>
      <c r="NLK99" s="769"/>
      <c r="NLL99" s="769"/>
      <c r="NLM99" s="769"/>
      <c r="NLN99" s="769"/>
      <c r="NLO99" s="769"/>
      <c r="NLP99" s="769"/>
      <c r="NLQ99" s="769"/>
      <c r="NLR99" s="769"/>
      <c r="NLS99" s="769"/>
      <c r="NLT99" s="769"/>
      <c r="NLU99" s="769"/>
      <c r="NLV99" s="769"/>
      <c r="NLW99" s="769"/>
      <c r="NLX99" s="769"/>
      <c r="NLY99" s="769"/>
      <c r="NLZ99" s="769"/>
      <c r="NMA99" s="769"/>
      <c r="NMB99" s="769"/>
      <c r="NMC99" s="769"/>
      <c r="NMD99" s="769"/>
      <c r="NME99" s="769"/>
      <c r="NMF99" s="769"/>
      <c r="NMG99" s="769"/>
      <c r="NMH99" s="769"/>
      <c r="NMI99" s="769"/>
      <c r="NMJ99" s="769"/>
      <c r="NMK99" s="769"/>
      <c r="NML99" s="769"/>
      <c r="NMM99" s="769"/>
      <c r="NMN99" s="769"/>
      <c r="NMO99" s="769"/>
      <c r="NMP99" s="769"/>
      <c r="NMQ99" s="769"/>
      <c r="NMR99" s="769"/>
      <c r="NMS99" s="769"/>
      <c r="NMT99" s="769"/>
      <c r="NMU99" s="769"/>
      <c r="NMV99" s="769"/>
      <c r="NMW99" s="769"/>
      <c r="NMX99" s="769"/>
      <c r="NMY99" s="769"/>
      <c r="NMZ99" s="769"/>
      <c r="NNA99" s="769"/>
      <c r="NNB99" s="769"/>
      <c r="NNC99" s="769"/>
      <c r="NND99" s="769"/>
      <c r="NNE99" s="769"/>
      <c r="NNF99" s="769"/>
      <c r="NNG99" s="769"/>
      <c r="NNH99" s="769"/>
      <c r="NNI99" s="769"/>
      <c r="NNJ99" s="769"/>
      <c r="NNK99" s="769"/>
      <c r="NNL99" s="769"/>
      <c r="NNM99" s="769"/>
      <c r="NNN99" s="769"/>
      <c r="NNO99" s="769"/>
      <c r="NNP99" s="769"/>
      <c r="NNQ99" s="769"/>
      <c r="NNR99" s="769"/>
      <c r="NNS99" s="769"/>
      <c r="NNT99" s="769"/>
      <c r="NNU99" s="769"/>
      <c r="NNV99" s="769"/>
      <c r="NNW99" s="769"/>
      <c r="NNX99" s="769"/>
      <c r="NNY99" s="769"/>
      <c r="NNZ99" s="769"/>
      <c r="NOA99" s="769"/>
      <c r="NOB99" s="769"/>
      <c r="NOC99" s="769"/>
      <c r="NOD99" s="769"/>
      <c r="NOE99" s="769"/>
      <c r="NOF99" s="769"/>
      <c r="NOG99" s="769"/>
      <c r="NOH99" s="769"/>
      <c r="NOI99" s="769"/>
      <c r="NOJ99" s="769"/>
      <c r="NOK99" s="769"/>
      <c r="NOL99" s="769"/>
      <c r="NOM99" s="769"/>
      <c r="NON99" s="769"/>
      <c r="NOO99" s="769"/>
      <c r="NOP99" s="769"/>
      <c r="NOQ99" s="769"/>
      <c r="NOR99" s="769"/>
      <c r="NOS99" s="769"/>
      <c r="NOT99" s="769"/>
      <c r="NOU99" s="769"/>
      <c r="NOV99" s="769"/>
      <c r="NOW99" s="769"/>
      <c r="NOX99" s="769"/>
      <c r="NOY99" s="769"/>
      <c r="NOZ99" s="769"/>
      <c r="NPA99" s="769"/>
      <c r="NPB99" s="769"/>
      <c r="NPC99" s="769"/>
      <c r="NPD99" s="769"/>
      <c r="NPE99" s="769"/>
      <c r="NPF99" s="769"/>
      <c r="NPG99" s="769"/>
      <c r="NPH99" s="769"/>
      <c r="NPI99" s="769"/>
      <c r="NPJ99" s="769"/>
      <c r="NPK99" s="769"/>
      <c r="NPL99" s="769"/>
      <c r="NPM99" s="769"/>
      <c r="NPN99" s="769"/>
      <c r="NPO99" s="769"/>
      <c r="NPP99" s="769"/>
      <c r="NPQ99" s="769"/>
      <c r="NPR99" s="769"/>
      <c r="NPS99" s="769"/>
      <c r="NPT99" s="769"/>
      <c r="NPU99" s="769"/>
      <c r="NPV99" s="769"/>
      <c r="NPW99" s="769"/>
      <c r="NPX99" s="769"/>
      <c r="NPY99" s="769"/>
      <c r="NPZ99" s="769"/>
      <c r="NQA99" s="769"/>
      <c r="NQB99" s="769"/>
      <c r="NQC99" s="769"/>
      <c r="NQD99" s="769"/>
      <c r="NQE99" s="769"/>
      <c r="NQF99" s="769"/>
      <c r="NQG99" s="769"/>
      <c r="NQH99" s="769"/>
      <c r="NQI99" s="769"/>
      <c r="NQJ99" s="769"/>
      <c r="NQK99" s="769"/>
      <c r="NQL99" s="769"/>
      <c r="NQM99" s="769"/>
      <c r="NQN99" s="769"/>
      <c r="NQO99" s="769"/>
      <c r="NQP99" s="769"/>
      <c r="NQQ99" s="769"/>
      <c r="NQR99" s="769"/>
      <c r="NQS99" s="769"/>
      <c r="NQT99" s="769"/>
      <c r="NQU99" s="769"/>
      <c r="NQV99" s="769"/>
      <c r="NQW99" s="769"/>
      <c r="NQX99" s="769"/>
      <c r="NQY99" s="769"/>
      <c r="NQZ99" s="769"/>
      <c r="NRA99" s="769"/>
      <c r="NRB99" s="769"/>
      <c r="NRC99" s="769"/>
      <c r="NRD99" s="769"/>
      <c r="NRE99" s="769"/>
      <c r="NRF99" s="769"/>
      <c r="NRG99" s="769"/>
      <c r="NRH99" s="769"/>
      <c r="NRI99" s="769"/>
      <c r="NRJ99" s="769"/>
      <c r="NRK99" s="769"/>
      <c r="NRL99" s="769"/>
      <c r="NRM99" s="769"/>
      <c r="NRN99" s="769"/>
      <c r="NRO99" s="769"/>
      <c r="NRP99" s="769"/>
      <c r="NRQ99" s="769"/>
      <c r="NRR99" s="769"/>
      <c r="NRS99" s="769"/>
      <c r="NRT99" s="769"/>
      <c r="NRU99" s="769"/>
      <c r="NRV99" s="769"/>
      <c r="NRW99" s="769"/>
      <c r="NRX99" s="769"/>
      <c r="NRY99" s="769"/>
      <c r="NRZ99" s="769"/>
      <c r="NSA99" s="769"/>
      <c r="NSB99" s="769"/>
      <c r="NSC99" s="769"/>
      <c r="NSD99" s="769"/>
      <c r="NSE99" s="769"/>
      <c r="NSF99" s="769"/>
      <c r="NSG99" s="769"/>
      <c r="NSH99" s="769"/>
      <c r="NSI99" s="769"/>
      <c r="NSJ99" s="769"/>
      <c r="NSK99" s="769"/>
      <c r="NSL99" s="769"/>
      <c r="NSM99" s="769"/>
      <c r="NSN99" s="769"/>
      <c r="NSO99" s="769"/>
      <c r="NSP99" s="769"/>
      <c r="NSQ99" s="769"/>
      <c r="NSR99" s="769"/>
      <c r="NSS99" s="769"/>
      <c r="NST99" s="769"/>
      <c r="NSU99" s="769"/>
      <c r="NSV99" s="769"/>
      <c r="NSW99" s="769"/>
      <c r="NSX99" s="769"/>
      <c r="NSY99" s="769"/>
      <c r="NSZ99" s="769"/>
      <c r="NTA99" s="769"/>
      <c r="NTB99" s="769"/>
      <c r="NTC99" s="769"/>
      <c r="NTD99" s="769"/>
      <c r="NTE99" s="769"/>
      <c r="NTF99" s="769"/>
      <c r="NTG99" s="769"/>
      <c r="NTH99" s="769"/>
      <c r="NTI99" s="769"/>
      <c r="NTJ99" s="769"/>
      <c r="NTK99" s="769"/>
      <c r="NTL99" s="769"/>
      <c r="NTM99" s="769"/>
      <c r="NTN99" s="769"/>
      <c r="NTO99" s="769"/>
      <c r="NTP99" s="769"/>
      <c r="NTQ99" s="769"/>
      <c r="NTR99" s="769"/>
      <c r="NTS99" s="769"/>
      <c r="NTT99" s="769"/>
      <c r="NTU99" s="769"/>
      <c r="NTV99" s="769"/>
      <c r="NTW99" s="769"/>
      <c r="NTX99" s="769"/>
      <c r="NTY99" s="769"/>
      <c r="NTZ99" s="769"/>
      <c r="NUA99" s="769"/>
      <c r="NUB99" s="769"/>
      <c r="NUC99" s="769"/>
      <c r="NUD99" s="769"/>
      <c r="NUE99" s="769"/>
      <c r="NUF99" s="769"/>
      <c r="NUG99" s="769"/>
      <c r="NUH99" s="769"/>
      <c r="NUI99" s="769"/>
      <c r="NUJ99" s="769"/>
      <c r="NUK99" s="769"/>
      <c r="NUL99" s="769"/>
      <c r="NUM99" s="769"/>
      <c r="NUN99" s="769"/>
      <c r="NUO99" s="769"/>
      <c r="NUP99" s="769"/>
      <c r="NUQ99" s="769"/>
      <c r="NUR99" s="769"/>
      <c r="NUS99" s="769"/>
      <c r="NUT99" s="769"/>
      <c r="NUU99" s="769"/>
      <c r="NUV99" s="769"/>
      <c r="NUW99" s="769"/>
      <c r="NUX99" s="769"/>
      <c r="NUY99" s="769"/>
      <c r="NUZ99" s="769"/>
      <c r="NVA99" s="769"/>
      <c r="NVB99" s="769"/>
      <c r="NVC99" s="769"/>
      <c r="NVD99" s="769"/>
      <c r="NVE99" s="769"/>
      <c r="NVF99" s="769"/>
      <c r="NVG99" s="769"/>
      <c r="NVH99" s="769"/>
      <c r="NVI99" s="769"/>
      <c r="NVJ99" s="769"/>
      <c r="NVK99" s="769"/>
      <c r="NVL99" s="769"/>
      <c r="NVM99" s="769"/>
      <c r="NVN99" s="769"/>
      <c r="NVO99" s="769"/>
      <c r="NVP99" s="769"/>
      <c r="NVQ99" s="769"/>
      <c r="NVR99" s="769"/>
      <c r="NVS99" s="769"/>
      <c r="NVT99" s="769"/>
      <c r="NVU99" s="769"/>
      <c r="NVV99" s="769"/>
      <c r="NVW99" s="769"/>
      <c r="NVX99" s="769"/>
      <c r="NVY99" s="769"/>
      <c r="NVZ99" s="769"/>
      <c r="NWA99" s="769"/>
      <c r="NWB99" s="769"/>
      <c r="NWC99" s="769"/>
      <c r="NWD99" s="769"/>
      <c r="NWE99" s="769"/>
      <c r="NWF99" s="769"/>
      <c r="NWG99" s="769"/>
      <c r="NWH99" s="769"/>
      <c r="NWI99" s="769"/>
      <c r="NWJ99" s="769"/>
      <c r="NWK99" s="769"/>
      <c r="NWL99" s="769"/>
      <c r="NWM99" s="769"/>
      <c r="NWN99" s="769"/>
      <c r="NWO99" s="769"/>
      <c r="NWP99" s="769"/>
      <c r="NWQ99" s="769"/>
      <c r="NWR99" s="769"/>
      <c r="NWS99" s="769"/>
      <c r="NWT99" s="769"/>
      <c r="NWU99" s="769"/>
      <c r="NWV99" s="769"/>
      <c r="NWW99" s="769"/>
      <c r="NWX99" s="769"/>
      <c r="NWY99" s="769"/>
      <c r="NWZ99" s="769"/>
      <c r="NXA99" s="769"/>
      <c r="NXB99" s="769"/>
      <c r="NXC99" s="769"/>
      <c r="NXD99" s="769"/>
      <c r="NXE99" s="769"/>
      <c r="NXF99" s="769"/>
      <c r="NXG99" s="769"/>
      <c r="NXH99" s="769"/>
      <c r="NXI99" s="769"/>
      <c r="NXJ99" s="769"/>
      <c r="NXK99" s="769"/>
      <c r="NXL99" s="769"/>
      <c r="NXM99" s="769"/>
      <c r="NXN99" s="769"/>
      <c r="NXO99" s="769"/>
      <c r="NXP99" s="769"/>
      <c r="NXQ99" s="769"/>
      <c r="NXR99" s="769"/>
      <c r="NXS99" s="769"/>
      <c r="NXT99" s="769"/>
      <c r="NXU99" s="769"/>
      <c r="NXV99" s="769"/>
      <c r="NXW99" s="769"/>
      <c r="NXX99" s="769"/>
      <c r="NXY99" s="769"/>
      <c r="NXZ99" s="769"/>
      <c r="NYA99" s="769"/>
      <c r="NYB99" s="769"/>
      <c r="NYC99" s="769"/>
      <c r="NYD99" s="769"/>
      <c r="NYE99" s="769"/>
      <c r="NYF99" s="769"/>
      <c r="NYG99" s="769"/>
      <c r="NYH99" s="769"/>
      <c r="NYI99" s="769"/>
      <c r="NYJ99" s="769"/>
      <c r="NYK99" s="769"/>
      <c r="NYL99" s="769"/>
      <c r="NYM99" s="769"/>
      <c r="NYN99" s="769"/>
      <c r="NYO99" s="769"/>
      <c r="NYP99" s="769"/>
      <c r="NYQ99" s="769"/>
      <c r="NYR99" s="769"/>
      <c r="NYS99" s="769"/>
      <c r="NYT99" s="769"/>
      <c r="NYU99" s="769"/>
      <c r="NYV99" s="769"/>
      <c r="NYW99" s="769"/>
      <c r="NYX99" s="769"/>
      <c r="NYY99" s="769"/>
      <c r="NYZ99" s="769"/>
      <c r="NZA99" s="769"/>
      <c r="NZB99" s="769"/>
      <c r="NZC99" s="769"/>
      <c r="NZD99" s="769"/>
      <c r="NZE99" s="769"/>
      <c r="NZF99" s="769"/>
      <c r="NZG99" s="769"/>
      <c r="NZH99" s="769"/>
      <c r="NZI99" s="769"/>
      <c r="NZJ99" s="769"/>
      <c r="NZK99" s="769"/>
      <c r="NZL99" s="769"/>
      <c r="NZM99" s="769"/>
      <c r="NZN99" s="769"/>
      <c r="NZO99" s="769"/>
      <c r="NZP99" s="769"/>
      <c r="NZQ99" s="769"/>
      <c r="NZR99" s="769"/>
      <c r="NZS99" s="769"/>
      <c r="NZT99" s="769"/>
      <c r="NZU99" s="769"/>
      <c r="NZV99" s="769"/>
      <c r="NZW99" s="769"/>
      <c r="NZX99" s="769"/>
      <c r="NZY99" s="769"/>
      <c r="NZZ99" s="769"/>
      <c r="OAA99" s="769"/>
      <c r="OAB99" s="769"/>
      <c r="OAC99" s="769"/>
      <c r="OAD99" s="769"/>
      <c r="OAE99" s="769"/>
      <c r="OAF99" s="769"/>
      <c r="OAG99" s="769"/>
      <c r="OAH99" s="769"/>
      <c r="OAI99" s="769"/>
      <c r="OAJ99" s="769"/>
      <c r="OAK99" s="769"/>
      <c r="OAL99" s="769"/>
      <c r="OAM99" s="769"/>
      <c r="OAN99" s="769"/>
      <c r="OAO99" s="769"/>
      <c r="OAP99" s="769"/>
      <c r="OAQ99" s="769"/>
      <c r="OAR99" s="769"/>
      <c r="OAS99" s="769"/>
      <c r="OAT99" s="769"/>
      <c r="OAU99" s="769"/>
      <c r="OAV99" s="769"/>
      <c r="OAW99" s="769"/>
      <c r="OAX99" s="769"/>
      <c r="OAY99" s="769"/>
      <c r="OAZ99" s="769"/>
      <c r="OBA99" s="769"/>
      <c r="OBB99" s="769"/>
      <c r="OBC99" s="769"/>
      <c r="OBD99" s="769"/>
      <c r="OBE99" s="769"/>
      <c r="OBF99" s="769"/>
      <c r="OBG99" s="769"/>
      <c r="OBH99" s="769"/>
      <c r="OBI99" s="769"/>
      <c r="OBJ99" s="769"/>
      <c r="OBK99" s="769"/>
      <c r="OBL99" s="769"/>
      <c r="OBM99" s="769"/>
      <c r="OBN99" s="769"/>
      <c r="OBO99" s="769"/>
      <c r="OBP99" s="769"/>
      <c r="OBQ99" s="769"/>
      <c r="OBR99" s="769"/>
      <c r="OBS99" s="769"/>
      <c r="OBT99" s="769"/>
      <c r="OBU99" s="769"/>
      <c r="OBV99" s="769"/>
      <c r="OBW99" s="769"/>
      <c r="OBX99" s="769"/>
      <c r="OBY99" s="769"/>
      <c r="OBZ99" s="769"/>
      <c r="OCA99" s="769"/>
      <c r="OCB99" s="769"/>
      <c r="OCC99" s="769"/>
      <c r="OCD99" s="769"/>
      <c r="OCE99" s="769"/>
      <c r="OCF99" s="769"/>
      <c r="OCG99" s="769"/>
      <c r="OCH99" s="769"/>
      <c r="OCI99" s="769"/>
      <c r="OCJ99" s="769"/>
      <c r="OCK99" s="769"/>
      <c r="OCL99" s="769"/>
      <c r="OCM99" s="769"/>
      <c r="OCN99" s="769"/>
      <c r="OCO99" s="769"/>
      <c r="OCP99" s="769"/>
      <c r="OCQ99" s="769"/>
      <c r="OCR99" s="769"/>
      <c r="OCS99" s="769"/>
      <c r="OCT99" s="769"/>
      <c r="OCU99" s="769"/>
      <c r="OCV99" s="769"/>
      <c r="OCW99" s="769"/>
      <c r="OCX99" s="769"/>
      <c r="OCY99" s="769"/>
      <c r="OCZ99" s="769"/>
      <c r="ODA99" s="769"/>
      <c r="ODB99" s="769"/>
      <c r="ODC99" s="769"/>
      <c r="ODD99" s="769"/>
      <c r="ODE99" s="769"/>
      <c r="ODF99" s="769"/>
      <c r="ODG99" s="769"/>
      <c r="ODH99" s="769"/>
      <c r="ODI99" s="769"/>
      <c r="ODJ99" s="769"/>
      <c r="ODK99" s="769"/>
      <c r="ODL99" s="769"/>
      <c r="ODM99" s="769"/>
      <c r="ODN99" s="769"/>
      <c r="ODO99" s="769"/>
      <c r="ODP99" s="769"/>
      <c r="ODQ99" s="769"/>
      <c r="ODR99" s="769"/>
      <c r="ODS99" s="769"/>
      <c r="ODT99" s="769"/>
      <c r="ODU99" s="769"/>
      <c r="ODV99" s="769"/>
      <c r="ODW99" s="769"/>
      <c r="ODX99" s="769"/>
      <c r="ODY99" s="769"/>
      <c r="ODZ99" s="769"/>
      <c r="OEA99" s="769"/>
      <c r="OEB99" s="769"/>
      <c r="OEC99" s="769"/>
      <c r="OED99" s="769"/>
      <c r="OEE99" s="769"/>
      <c r="OEF99" s="769"/>
      <c r="OEG99" s="769"/>
      <c r="OEH99" s="769"/>
      <c r="OEI99" s="769"/>
      <c r="OEJ99" s="769"/>
      <c r="OEK99" s="769"/>
      <c r="OEL99" s="769"/>
      <c r="OEM99" s="769"/>
      <c r="OEN99" s="769"/>
      <c r="OEO99" s="769"/>
      <c r="OEP99" s="769"/>
      <c r="OEQ99" s="769"/>
      <c r="OER99" s="769"/>
      <c r="OES99" s="769"/>
      <c r="OET99" s="769"/>
      <c r="OEU99" s="769"/>
      <c r="OEV99" s="769"/>
      <c r="OEW99" s="769"/>
      <c r="OEX99" s="769"/>
      <c r="OEY99" s="769"/>
      <c r="OEZ99" s="769"/>
      <c r="OFA99" s="769"/>
      <c r="OFB99" s="769"/>
      <c r="OFC99" s="769"/>
      <c r="OFD99" s="769"/>
      <c r="OFE99" s="769"/>
      <c r="OFF99" s="769"/>
      <c r="OFG99" s="769"/>
      <c r="OFH99" s="769"/>
      <c r="OFI99" s="769"/>
      <c r="OFJ99" s="769"/>
      <c r="OFK99" s="769"/>
      <c r="OFL99" s="769"/>
      <c r="OFM99" s="769"/>
      <c r="OFN99" s="769"/>
      <c r="OFO99" s="769"/>
      <c r="OFP99" s="769"/>
      <c r="OFQ99" s="769"/>
      <c r="OFR99" s="769"/>
      <c r="OFS99" s="769"/>
      <c r="OFT99" s="769"/>
      <c r="OFU99" s="769"/>
      <c r="OFV99" s="769"/>
      <c r="OFW99" s="769"/>
      <c r="OFX99" s="769"/>
      <c r="OFY99" s="769"/>
      <c r="OFZ99" s="769"/>
      <c r="OGA99" s="769"/>
      <c r="OGB99" s="769"/>
      <c r="OGC99" s="769"/>
      <c r="OGD99" s="769"/>
      <c r="OGE99" s="769"/>
      <c r="OGF99" s="769"/>
      <c r="OGG99" s="769"/>
      <c r="OGH99" s="769"/>
      <c r="OGI99" s="769"/>
      <c r="OGJ99" s="769"/>
      <c r="OGK99" s="769"/>
      <c r="OGL99" s="769"/>
      <c r="OGM99" s="769"/>
      <c r="OGN99" s="769"/>
      <c r="OGO99" s="769"/>
      <c r="OGP99" s="769"/>
      <c r="OGQ99" s="769"/>
      <c r="OGR99" s="769"/>
      <c r="OGS99" s="769"/>
      <c r="OGT99" s="769"/>
      <c r="OGU99" s="769"/>
      <c r="OGV99" s="769"/>
      <c r="OGW99" s="769"/>
      <c r="OGX99" s="769"/>
      <c r="OGY99" s="769"/>
      <c r="OGZ99" s="769"/>
      <c r="OHA99" s="769"/>
      <c r="OHB99" s="769"/>
      <c r="OHC99" s="769"/>
      <c r="OHD99" s="769"/>
      <c r="OHE99" s="769"/>
      <c r="OHF99" s="769"/>
      <c r="OHG99" s="769"/>
      <c r="OHH99" s="769"/>
      <c r="OHI99" s="769"/>
      <c r="OHJ99" s="769"/>
      <c r="OHK99" s="769"/>
      <c r="OHL99" s="769"/>
      <c r="OHM99" s="769"/>
      <c r="OHN99" s="769"/>
      <c r="OHO99" s="769"/>
      <c r="OHP99" s="769"/>
      <c r="OHQ99" s="769"/>
      <c r="OHR99" s="769"/>
      <c r="OHS99" s="769"/>
      <c r="OHT99" s="769"/>
      <c r="OHU99" s="769"/>
      <c r="OHV99" s="769"/>
      <c r="OHW99" s="769"/>
      <c r="OHX99" s="769"/>
      <c r="OHY99" s="769"/>
      <c r="OHZ99" s="769"/>
      <c r="OIA99" s="769"/>
      <c r="OIB99" s="769"/>
      <c r="OIC99" s="769"/>
      <c r="OID99" s="769"/>
      <c r="OIE99" s="769"/>
      <c r="OIF99" s="769"/>
      <c r="OIG99" s="769"/>
      <c r="OIH99" s="769"/>
      <c r="OII99" s="769"/>
      <c r="OIJ99" s="769"/>
      <c r="OIK99" s="769"/>
      <c r="OIL99" s="769"/>
      <c r="OIM99" s="769"/>
      <c r="OIN99" s="769"/>
      <c r="OIO99" s="769"/>
      <c r="OIP99" s="769"/>
      <c r="OIQ99" s="769"/>
      <c r="OIR99" s="769"/>
      <c r="OIS99" s="769"/>
      <c r="OIT99" s="769"/>
      <c r="OIU99" s="769"/>
      <c r="OIV99" s="769"/>
      <c r="OIW99" s="769"/>
      <c r="OIX99" s="769"/>
      <c r="OIY99" s="769"/>
      <c r="OIZ99" s="769"/>
      <c r="OJA99" s="769"/>
      <c r="OJB99" s="769"/>
      <c r="OJC99" s="769"/>
      <c r="OJD99" s="769"/>
      <c r="OJE99" s="769"/>
      <c r="OJF99" s="769"/>
      <c r="OJG99" s="769"/>
      <c r="OJH99" s="769"/>
      <c r="OJI99" s="769"/>
      <c r="OJJ99" s="769"/>
      <c r="OJK99" s="769"/>
      <c r="OJL99" s="769"/>
      <c r="OJM99" s="769"/>
      <c r="OJN99" s="769"/>
      <c r="OJO99" s="769"/>
      <c r="OJP99" s="769"/>
      <c r="OJQ99" s="769"/>
      <c r="OJR99" s="769"/>
      <c r="OJS99" s="769"/>
      <c r="OJT99" s="769"/>
      <c r="OJU99" s="769"/>
      <c r="OJV99" s="769"/>
      <c r="OJW99" s="769"/>
      <c r="OJX99" s="769"/>
      <c r="OJY99" s="769"/>
      <c r="OJZ99" s="769"/>
      <c r="OKA99" s="769"/>
      <c r="OKB99" s="769"/>
      <c r="OKC99" s="769"/>
      <c r="OKD99" s="769"/>
      <c r="OKE99" s="769"/>
      <c r="OKF99" s="769"/>
      <c r="OKG99" s="769"/>
      <c r="OKH99" s="769"/>
      <c r="OKI99" s="769"/>
      <c r="OKJ99" s="769"/>
      <c r="OKK99" s="769"/>
      <c r="OKL99" s="769"/>
      <c r="OKM99" s="769"/>
      <c r="OKN99" s="769"/>
      <c r="OKO99" s="769"/>
      <c r="OKP99" s="769"/>
      <c r="OKQ99" s="769"/>
      <c r="OKR99" s="769"/>
      <c r="OKS99" s="769"/>
      <c r="OKT99" s="769"/>
      <c r="OKU99" s="769"/>
      <c r="OKV99" s="769"/>
      <c r="OKW99" s="769"/>
      <c r="OKX99" s="769"/>
      <c r="OKY99" s="769"/>
      <c r="OKZ99" s="769"/>
      <c r="OLA99" s="769"/>
      <c r="OLB99" s="769"/>
      <c r="OLC99" s="769"/>
      <c r="OLD99" s="769"/>
      <c r="OLE99" s="769"/>
      <c r="OLF99" s="769"/>
      <c r="OLG99" s="769"/>
      <c r="OLH99" s="769"/>
      <c r="OLI99" s="769"/>
      <c r="OLJ99" s="769"/>
      <c r="OLK99" s="769"/>
      <c r="OLL99" s="769"/>
      <c r="OLM99" s="769"/>
      <c r="OLN99" s="769"/>
      <c r="OLO99" s="769"/>
      <c r="OLP99" s="769"/>
      <c r="OLQ99" s="769"/>
      <c r="OLR99" s="769"/>
      <c r="OLS99" s="769"/>
      <c r="OLT99" s="769"/>
      <c r="OLU99" s="769"/>
      <c r="OLV99" s="769"/>
      <c r="OLW99" s="769"/>
      <c r="OLX99" s="769"/>
      <c r="OLY99" s="769"/>
      <c r="OLZ99" s="769"/>
      <c r="OMA99" s="769"/>
      <c r="OMB99" s="769"/>
      <c r="OMC99" s="769"/>
      <c r="OMD99" s="769"/>
      <c r="OME99" s="769"/>
      <c r="OMF99" s="769"/>
      <c r="OMG99" s="769"/>
      <c r="OMH99" s="769"/>
      <c r="OMI99" s="769"/>
      <c r="OMJ99" s="769"/>
      <c r="OMK99" s="769"/>
      <c r="OML99" s="769"/>
      <c r="OMM99" s="769"/>
      <c r="OMN99" s="769"/>
      <c r="OMO99" s="769"/>
      <c r="OMP99" s="769"/>
      <c r="OMQ99" s="769"/>
      <c r="OMR99" s="769"/>
      <c r="OMS99" s="769"/>
      <c r="OMT99" s="769"/>
      <c r="OMU99" s="769"/>
      <c r="OMV99" s="769"/>
      <c r="OMW99" s="769"/>
      <c r="OMX99" s="769"/>
      <c r="OMY99" s="769"/>
      <c r="OMZ99" s="769"/>
      <c r="ONA99" s="769"/>
      <c r="ONB99" s="769"/>
      <c r="ONC99" s="769"/>
      <c r="OND99" s="769"/>
      <c r="ONE99" s="769"/>
      <c r="ONF99" s="769"/>
      <c r="ONG99" s="769"/>
      <c r="ONH99" s="769"/>
      <c r="ONI99" s="769"/>
      <c r="ONJ99" s="769"/>
      <c r="ONK99" s="769"/>
      <c r="ONL99" s="769"/>
      <c r="ONM99" s="769"/>
      <c r="ONN99" s="769"/>
      <c r="ONO99" s="769"/>
      <c r="ONP99" s="769"/>
      <c r="ONQ99" s="769"/>
      <c r="ONR99" s="769"/>
      <c r="ONS99" s="769"/>
      <c r="ONT99" s="769"/>
      <c r="ONU99" s="769"/>
      <c r="ONV99" s="769"/>
      <c r="ONW99" s="769"/>
      <c r="ONX99" s="769"/>
      <c r="ONY99" s="769"/>
      <c r="ONZ99" s="769"/>
      <c r="OOA99" s="769"/>
      <c r="OOB99" s="769"/>
      <c r="OOC99" s="769"/>
      <c r="OOD99" s="769"/>
      <c r="OOE99" s="769"/>
      <c r="OOF99" s="769"/>
      <c r="OOG99" s="769"/>
      <c r="OOH99" s="769"/>
      <c r="OOI99" s="769"/>
      <c r="OOJ99" s="769"/>
      <c r="OOK99" s="769"/>
      <c r="OOL99" s="769"/>
      <c r="OOM99" s="769"/>
      <c r="OON99" s="769"/>
      <c r="OOO99" s="769"/>
      <c r="OOP99" s="769"/>
      <c r="OOQ99" s="769"/>
      <c r="OOR99" s="769"/>
      <c r="OOS99" s="769"/>
      <c r="OOT99" s="769"/>
      <c r="OOU99" s="769"/>
      <c r="OOV99" s="769"/>
      <c r="OOW99" s="769"/>
      <c r="OOX99" s="769"/>
      <c r="OOY99" s="769"/>
      <c r="OOZ99" s="769"/>
      <c r="OPA99" s="769"/>
      <c r="OPB99" s="769"/>
      <c r="OPC99" s="769"/>
      <c r="OPD99" s="769"/>
      <c r="OPE99" s="769"/>
      <c r="OPF99" s="769"/>
      <c r="OPG99" s="769"/>
      <c r="OPH99" s="769"/>
      <c r="OPI99" s="769"/>
      <c r="OPJ99" s="769"/>
      <c r="OPK99" s="769"/>
      <c r="OPL99" s="769"/>
      <c r="OPM99" s="769"/>
      <c r="OPN99" s="769"/>
      <c r="OPO99" s="769"/>
      <c r="OPP99" s="769"/>
      <c r="OPQ99" s="769"/>
      <c r="OPR99" s="769"/>
      <c r="OPS99" s="769"/>
      <c r="OPT99" s="769"/>
      <c r="OPU99" s="769"/>
      <c r="OPV99" s="769"/>
      <c r="OPW99" s="769"/>
      <c r="OPX99" s="769"/>
      <c r="OPY99" s="769"/>
      <c r="OPZ99" s="769"/>
      <c r="OQA99" s="769"/>
      <c r="OQB99" s="769"/>
      <c r="OQC99" s="769"/>
      <c r="OQD99" s="769"/>
      <c r="OQE99" s="769"/>
      <c r="OQF99" s="769"/>
      <c r="OQG99" s="769"/>
      <c r="OQH99" s="769"/>
      <c r="OQI99" s="769"/>
      <c r="OQJ99" s="769"/>
      <c r="OQK99" s="769"/>
      <c r="OQL99" s="769"/>
      <c r="OQM99" s="769"/>
      <c r="OQN99" s="769"/>
      <c r="OQO99" s="769"/>
      <c r="OQP99" s="769"/>
      <c r="OQQ99" s="769"/>
      <c r="OQR99" s="769"/>
      <c r="OQS99" s="769"/>
      <c r="OQT99" s="769"/>
      <c r="OQU99" s="769"/>
      <c r="OQV99" s="769"/>
      <c r="OQW99" s="769"/>
      <c r="OQX99" s="769"/>
      <c r="OQY99" s="769"/>
      <c r="OQZ99" s="769"/>
      <c r="ORA99" s="769"/>
      <c r="ORB99" s="769"/>
      <c r="ORC99" s="769"/>
      <c r="ORD99" s="769"/>
      <c r="ORE99" s="769"/>
      <c r="ORF99" s="769"/>
      <c r="ORG99" s="769"/>
      <c r="ORH99" s="769"/>
      <c r="ORI99" s="769"/>
      <c r="ORJ99" s="769"/>
      <c r="ORK99" s="769"/>
      <c r="ORL99" s="769"/>
      <c r="ORM99" s="769"/>
      <c r="ORN99" s="769"/>
      <c r="ORO99" s="769"/>
      <c r="ORP99" s="769"/>
      <c r="ORQ99" s="769"/>
      <c r="ORR99" s="769"/>
      <c r="ORS99" s="769"/>
      <c r="ORT99" s="769"/>
      <c r="ORU99" s="769"/>
      <c r="ORV99" s="769"/>
      <c r="ORW99" s="769"/>
      <c r="ORX99" s="769"/>
      <c r="ORY99" s="769"/>
      <c r="ORZ99" s="769"/>
      <c r="OSA99" s="769"/>
      <c r="OSB99" s="769"/>
      <c r="OSC99" s="769"/>
      <c r="OSD99" s="769"/>
      <c r="OSE99" s="769"/>
      <c r="OSF99" s="769"/>
      <c r="OSG99" s="769"/>
      <c r="OSH99" s="769"/>
      <c r="OSI99" s="769"/>
      <c r="OSJ99" s="769"/>
      <c r="OSK99" s="769"/>
      <c r="OSL99" s="769"/>
      <c r="OSM99" s="769"/>
      <c r="OSN99" s="769"/>
      <c r="OSO99" s="769"/>
      <c r="OSP99" s="769"/>
      <c r="OSQ99" s="769"/>
      <c r="OSR99" s="769"/>
      <c r="OSS99" s="769"/>
      <c r="OST99" s="769"/>
      <c r="OSU99" s="769"/>
      <c r="OSV99" s="769"/>
      <c r="OSW99" s="769"/>
      <c r="OSX99" s="769"/>
      <c r="OSY99" s="769"/>
      <c r="OSZ99" s="769"/>
      <c r="OTA99" s="769"/>
      <c r="OTB99" s="769"/>
      <c r="OTC99" s="769"/>
      <c r="OTD99" s="769"/>
      <c r="OTE99" s="769"/>
      <c r="OTF99" s="769"/>
      <c r="OTG99" s="769"/>
      <c r="OTH99" s="769"/>
      <c r="OTI99" s="769"/>
      <c r="OTJ99" s="769"/>
      <c r="OTK99" s="769"/>
      <c r="OTL99" s="769"/>
      <c r="OTM99" s="769"/>
      <c r="OTN99" s="769"/>
      <c r="OTO99" s="769"/>
      <c r="OTP99" s="769"/>
      <c r="OTQ99" s="769"/>
      <c r="OTR99" s="769"/>
      <c r="OTS99" s="769"/>
      <c r="OTT99" s="769"/>
      <c r="OTU99" s="769"/>
      <c r="OTV99" s="769"/>
      <c r="OTW99" s="769"/>
      <c r="OTX99" s="769"/>
      <c r="OTY99" s="769"/>
      <c r="OTZ99" s="769"/>
      <c r="OUA99" s="769"/>
      <c r="OUB99" s="769"/>
      <c r="OUC99" s="769"/>
      <c r="OUD99" s="769"/>
      <c r="OUE99" s="769"/>
      <c r="OUF99" s="769"/>
      <c r="OUG99" s="769"/>
      <c r="OUH99" s="769"/>
      <c r="OUI99" s="769"/>
      <c r="OUJ99" s="769"/>
      <c r="OUK99" s="769"/>
      <c r="OUL99" s="769"/>
      <c r="OUM99" s="769"/>
      <c r="OUN99" s="769"/>
      <c r="OUO99" s="769"/>
      <c r="OUP99" s="769"/>
      <c r="OUQ99" s="769"/>
      <c r="OUR99" s="769"/>
      <c r="OUS99" s="769"/>
      <c r="OUT99" s="769"/>
      <c r="OUU99" s="769"/>
      <c r="OUV99" s="769"/>
      <c r="OUW99" s="769"/>
      <c r="OUX99" s="769"/>
      <c r="OUY99" s="769"/>
      <c r="OUZ99" s="769"/>
      <c r="OVA99" s="769"/>
      <c r="OVB99" s="769"/>
      <c r="OVC99" s="769"/>
      <c r="OVD99" s="769"/>
      <c r="OVE99" s="769"/>
      <c r="OVF99" s="769"/>
      <c r="OVG99" s="769"/>
      <c r="OVH99" s="769"/>
      <c r="OVI99" s="769"/>
      <c r="OVJ99" s="769"/>
      <c r="OVK99" s="769"/>
      <c r="OVL99" s="769"/>
      <c r="OVM99" s="769"/>
      <c r="OVN99" s="769"/>
      <c r="OVO99" s="769"/>
      <c r="OVP99" s="769"/>
      <c r="OVQ99" s="769"/>
      <c r="OVR99" s="769"/>
      <c r="OVS99" s="769"/>
      <c r="OVT99" s="769"/>
      <c r="OVU99" s="769"/>
      <c r="OVV99" s="769"/>
      <c r="OVW99" s="769"/>
      <c r="OVX99" s="769"/>
      <c r="OVY99" s="769"/>
      <c r="OVZ99" s="769"/>
      <c r="OWA99" s="769"/>
      <c r="OWB99" s="769"/>
      <c r="OWC99" s="769"/>
      <c r="OWD99" s="769"/>
      <c r="OWE99" s="769"/>
      <c r="OWF99" s="769"/>
      <c r="OWG99" s="769"/>
      <c r="OWH99" s="769"/>
      <c r="OWI99" s="769"/>
      <c r="OWJ99" s="769"/>
      <c r="OWK99" s="769"/>
      <c r="OWL99" s="769"/>
      <c r="OWM99" s="769"/>
      <c r="OWN99" s="769"/>
      <c r="OWO99" s="769"/>
      <c r="OWP99" s="769"/>
      <c r="OWQ99" s="769"/>
      <c r="OWR99" s="769"/>
      <c r="OWS99" s="769"/>
      <c r="OWT99" s="769"/>
      <c r="OWU99" s="769"/>
      <c r="OWV99" s="769"/>
      <c r="OWW99" s="769"/>
      <c r="OWX99" s="769"/>
      <c r="OWY99" s="769"/>
      <c r="OWZ99" s="769"/>
      <c r="OXA99" s="769"/>
      <c r="OXB99" s="769"/>
      <c r="OXC99" s="769"/>
      <c r="OXD99" s="769"/>
      <c r="OXE99" s="769"/>
      <c r="OXF99" s="769"/>
      <c r="OXG99" s="769"/>
      <c r="OXH99" s="769"/>
      <c r="OXI99" s="769"/>
      <c r="OXJ99" s="769"/>
      <c r="OXK99" s="769"/>
      <c r="OXL99" s="769"/>
      <c r="OXM99" s="769"/>
      <c r="OXN99" s="769"/>
      <c r="OXO99" s="769"/>
      <c r="OXP99" s="769"/>
      <c r="OXQ99" s="769"/>
      <c r="OXR99" s="769"/>
      <c r="OXS99" s="769"/>
      <c r="OXT99" s="769"/>
      <c r="OXU99" s="769"/>
      <c r="OXV99" s="769"/>
      <c r="OXW99" s="769"/>
      <c r="OXX99" s="769"/>
      <c r="OXY99" s="769"/>
      <c r="OXZ99" s="769"/>
      <c r="OYA99" s="769"/>
      <c r="OYB99" s="769"/>
      <c r="OYC99" s="769"/>
      <c r="OYD99" s="769"/>
      <c r="OYE99" s="769"/>
      <c r="OYF99" s="769"/>
      <c r="OYG99" s="769"/>
      <c r="OYH99" s="769"/>
      <c r="OYI99" s="769"/>
      <c r="OYJ99" s="769"/>
      <c r="OYK99" s="769"/>
      <c r="OYL99" s="769"/>
      <c r="OYM99" s="769"/>
      <c r="OYN99" s="769"/>
      <c r="OYO99" s="769"/>
      <c r="OYP99" s="769"/>
      <c r="OYQ99" s="769"/>
      <c r="OYR99" s="769"/>
      <c r="OYS99" s="769"/>
      <c r="OYT99" s="769"/>
      <c r="OYU99" s="769"/>
      <c r="OYV99" s="769"/>
      <c r="OYW99" s="769"/>
      <c r="OYX99" s="769"/>
      <c r="OYY99" s="769"/>
      <c r="OYZ99" s="769"/>
      <c r="OZA99" s="769"/>
      <c r="OZB99" s="769"/>
      <c r="OZC99" s="769"/>
      <c r="OZD99" s="769"/>
      <c r="OZE99" s="769"/>
      <c r="OZF99" s="769"/>
      <c r="OZG99" s="769"/>
      <c r="OZH99" s="769"/>
      <c r="OZI99" s="769"/>
      <c r="OZJ99" s="769"/>
      <c r="OZK99" s="769"/>
      <c r="OZL99" s="769"/>
      <c r="OZM99" s="769"/>
      <c r="OZN99" s="769"/>
      <c r="OZO99" s="769"/>
      <c r="OZP99" s="769"/>
      <c r="OZQ99" s="769"/>
      <c r="OZR99" s="769"/>
      <c r="OZS99" s="769"/>
      <c r="OZT99" s="769"/>
      <c r="OZU99" s="769"/>
      <c r="OZV99" s="769"/>
      <c r="OZW99" s="769"/>
      <c r="OZX99" s="769"/>
      <c r="OZY99" s="769"/>
      <c r="OZZ99" s="769"/>
      <c r="PAA99" s="769"/>
      <c r="PAB99" s="769"/>
      <c r="PAC99" s="769"/>
      <c r="PAD99" s="769"/>
      <c r="PAE99" s="769"/>
      <c r="PAF99" s="769"/>
      <c r="PAG99" s="769"/>
      <c r="PAH99" s="769"/>
      <c r="PAI99" s="769"/>
      <c r="PAJ99" s="769"/>
      <c r="PAK99" s="769"/>
      <c r="PAL99" s="769"/>
      <c r="PAM99" s="769"/>
      <c r="PAN99" s="769"/>
      <c r="PAO99" s="769"/>
      <c r="PAP99" s="769"/>
      <c r="PAQ99" s="769"/>
      <c r="PAR99" s="769"/>
      <c r="PAS99" s="769"/>
      <c r="PAT99" s="769"/>
      <c r="PAU99" s="769"/>
      <c r="PAV99" s="769"/>
      <c r="PAW99" s="769"/>
      <c r="PAX99" s="769"/>
      <c r="PAY99" s="769"/>
      <c r="PAZ99" s="769"/>
      <c r="PBA99" s="769"/>
      <c r="PBB99" s="769"/>
      <c r="PBC99" s="769"/>
      <c r="PBD99" s="769"/>
      <c r="PBE99" s="769"/>
      <c r="PBF99" s="769"/>
      <c r="PBG99" s="769"/>
      <c r="PBH99" s="769"/>
      <c r="PBI99" s="769"/>
      <c r="PBJ99" s="769"/>
      <c r="PBK99" s="769"/>
      <c r="PBL99" s="769"/>
      <c r="PBM99" s="769"/>
      <c r="PBN99" s="769"/>
      <c r="PBO99" s="769"/>
      <c r="PBP99" s="769"/>
      <c r="PBQ99" s="769"/>
      <c r="PBR99" s="769"/>
      <c r="PBS99" s="769"/>
      <c r="PBT99" s="769"/>
      <c r="PBU99" s="769"/>
      <c r="PBV99" s="769"/>
      <c r="PBW99" s="769"/>
      <c r="PBX99" s="769"/>
      <c r="PBY99" s="769"/>
      <c r="PBZ99" s="769"/>
      <c r="PCA99" s="769"/>
      <c r="PCB99" s="769"/>
      <c r="PCC99" s="769"/>
      <c r="PCD99" s="769"/>
      <c r="PCE99" s="769"/>
      <c r="PCF99" s="769"/>
      <c r="PCG99" s="769"/>
      <c r="PCH99" s="769"/>
      <c r="PCI99" s="769"/>
      <c r="PCJ99" s="769"/>
      <c r="PCK99" s="769"/>
      <c r="PCL99" s="769"/>
      <c r="PCM99" s="769"/>
      <c r="PCN99" s="769"/>
      <c r="PCO99" s="769"/>
      <c r="PCP99" s="769"/>
      <c r="PCQ99" s="769"/>
      <c r="PCR99" s="769"/>
      <c r="PCS99" s="769"/>
      <c r="PCT99" s="769"/>
      <c r="PCU99" s="769"/>
      <c r="PCV99" s="769"/>
      <c r="PCW99" s="769"/>
      <c r="PCX99" s="769"/>
      <c r="PCY99" s="769"/>
      <c r="PCZ99" s="769"/>
      <c r="PDA99" s="769"/>
      <c r="PDB99" s="769"/>
      <c r="PDC99" s="769"/>
      <c r="PDD99" s="769"/>
      <c r="PDE99" s="769"/>
      <c r="PDF99" s="769"/>
      <c r="PDG99" s="769"/>
      <c r="PDH99" s="769"/>
      <c r="PDI99" s="769"/>
      <c r="PDJ99" s="769"/>
      <c r="PDK99" s="769"/>
      <c r="PDL99" s="769"/>
      <c r="PDM99" s="769"/>
      <c r="PDN99" s="769"/>
      <c r="PDO99" s="769"/>
      <c r="PDP99" s="769"/>
      <c r="PDQ99" s="769"/>
      <c r="PDR99" s="769"/>
      <c r="PDS99" s="769"/>
      <c r="PDT99" s="769"/>
      <c r="PDU99" s="769"/>
      <c r="PDV99" s="769"/>
      <c r="PDW99" s="769"/>
      <c r="PDX99" s="769"/>
      <c r="PDY99" s="769"/>
      <c r="PDZ99" s="769"/>
      <c r="PEA99" s="769"/>
      <c r="PEB99" s="769"/>
      <c r="PEC99" s="769"/>
      <c r="PED99" s="769"/>
      <c r="PEE99" s="769"/>
      <c r="PEF99" s="769"/>
      <c r="PEG99" s="769"/>
      <c r="PEH99" s="769"/>
      <c r="PEI99" s="769"/>
      <c r="PEJ99" s="769"/>
      <c r="PEK99" s="769"/>
      <c r="PEL99" s="769"/>
      <c r="PEM99" s="769"/>
      <c r="PEN99" s="769"/>
      <c r="PEO99" s="769"/>
      <c r="PEP99" s="769"/>
      <c r="PEQ99" s="769"/>
      <c r="PER99" s="769"/>
      <c r="PES99" s="769"/>
      <c r="PET99" s="769"/>
      <c r="PEU99" s="769"/>
      <c r="PEV99" s="769"/>
      <c r="PEW99" s="769"/>
      <c r="PEX99" s="769"/>
      <c r="PEY99" s="769"/>
      <c r="PEZ99" s="769"/>
      <c r="PFA99" s="769"/>
      <c r="PFB99" s="769"/>
      <c r="PFC99" s="769"/>
      <c r="PFD99" s="769"/>
      <c r="PFE99" s="769"/>
      <c r="PFF99" s="769"/>
      <c r="PFG99" s="769"/>
      <c r="PFH99" s="769"/>
      <c r="PFI99" s="769"/>
      <c r="PFJ99" s="769"/>
      <c r="PFK99" s="769"/>
      <c r="PFL99" s="769"/>
      <c r="PFM99" s="769"/>
      <c r="PFN99" s="769"/>
      <c r="PFO99" s="769"/>
      <c r="PFP99" s="769"/>
      <c r="PFQ99" s="769"/>
      <c r="PFR99" s="769"/>
      <c r="PFS99" s="769"/>
      <c r="PFT99" s="769"/>
      <c r="PFU99" s="769"/>
      <c r="PFV99" s="769"/>
      <c r="PFW99" s="769"/>
      <c r="PFX99" s="769"/>
      <c r="PFY99" s="769"/>
      <c r="PFZ99" s="769"/>
      <c r="PGA99" s="769"/>
      <c r="PGB99" s="769"/>
      <c r="PGC99" s="769"/>
      <c r="PGD99" s="769"/>
      <c r="PGE99" s="769"/>
      <c r="PGF99" s="769"/>
      <c r="PGG99" s="769"/>
      <c r="PGH99" s="769"/>
      <c r="PGI99" s="769"/>
      <c r="PGJ99" s="769"/>
      <c r="PGK99" s="769"/>
      <c r="PGL99" s="769"/>
      <c r="PGM99" s="769"/>
      <c r="PGN99" s="769"/>
      <c r="PGO99" s="769"/>
      <c r="PGP99" s="769"/>
      <c r="PGQ99" s="769"/>
      <c r="PGR99" s="769"/>
      <c r="PGS99" s="769"/>
      <c r="PGT99" s="769"/>
      <c r="PGU99" s="769"/>
      <c r="PGV99" s="769"/>
      <c r="PGW99" s="769"/>
      <c r="PGX99" s="769"/>
      <c r="PGY99" s="769"/>
      <c r="PGZ99" s="769"/>
      <c r="PHA99" s="769"/>
      <c r="PHB99" s="769"/>
      <c r="PHC99" s="769"/>
      <c r="PHD99" s="769"/>
      <c r="PHE99" s="769"/>
      <c r="PHF99" s="769"/>
      <c r="PHG99" s="769"/>
      <c r="PHH99" s="769"/>
      <c r="PHI99" s="769"/>
      <c r="PHJ99" s="769"/>
      <c r="PHK99" s="769"/>
      <c r="PHL99" s="769"/>
      <c r="PHM99" s="769"/>
      <c r="PHN99" s="769"/>
      <c r="PHO99" s="769"/>
      <c r="PHP99" s="769"/>
      <c r="PHQ99" s="769"/>
      <c r="PHR99" s="769"/>
      <c r="PHS99" s="769"/>
      <c r="PHT99" s="769"/>
      <c r="PHU99" s="769"/>
      <c r="PHV99" s="769"/>
      <c r="PHW99" s="769"/>
      <c r="PHX99" s="769"/>
      <c r="PHY99" s="769"/>
      <c r="PHZ99" s="769"/>
      <c r="PIA99" s="769"/>
      <c r="PIB99" s="769"/>
      <c r="PIC99" s="769"/>
      <c r="PID99" s="769"/>
      <c r="PIE99" s="769"/>
      <c r="PIF99" s="769"/>
      <c r="PIG99" s="769"/>
      <c r="PIH99" s="769"/>
      <c r="PII99" s="769"/>
      <c r="PIJ99" s="769"/>
      <c r="PIK99" s="769"/>
      <c r="PIL99" s="769"/>
      <c r="PIM99" s="769"/>
      <c r="PIN99" s="769"/>
      <c r="PIO99" s="769"/>
      <c r="PIP99" s="769"/>
      <c r="PIQ99" s="769"/>
      <c r="PIR99" s="769"/>
      <c r="PIS99" s="769"/>
      <c r="PIT99" s="769"/>
      <c r="PIU99" s="769"/>
      <c r="PIV99" s="769"/>
      <c r="PIW99" s="769"/>
      <c r="PIX99" s="769"/>
      <c r="PIY99" s="769"/>
      <c r="PIZ99" s="769"/>
      <c r="PJA99" s="769"/>
      <c r="PJB99" s="769"/>
      <c r="PJC99" s="769"/>
      <c r="PJD99" s="769"/>
      <c r="PJE99" s="769"/>
      <c r="PJF99" s="769"/>
      <c r="PJG99" s="769"/>
      <c r="PJH99" s="769"/>
      <c r="PJI99" s="769"/>
      <c r="PJJ99" s="769"/>
      <c r="PJK99" s="769"/>
      <c r="PJL99" s="769"/>
      <c r="PJM99" s="769"/>
      <c r="PJN99" s="769"/>
      <c r="PJO99" s="769"/>
      <c r="PJP99" s="769"/>
      <c r="PJQ99" s="769"/>
      <c r="PJR99" s="769"/>
      <c r="PJS99" s="769"/>
      <c r="PJT99" s="769"/>
      <c r="PJU99" s="769"/>
      <c r="PJV99" s="769"/>
      <c r="PJW99" s="769"/>
      <c r="PJX99" s="769"/>
      <c r="PJY99" s="769"/>
      <c r="PJZ99" s="769"/>
      <c r="PKA99" s="769"/>
      <c r="PKB99" s="769"/>
      <c r="PKC99" s="769"/>
      <c r="PKD99" s="769"/>
      <c r="PKE99" s="769"/>
      <c r="PKF99" s="769"/>
      <c r="PKG99" s="769"/>
      <c r="PKH99" s="769"/>
      <c r="PKI99" s="769"/>
      <c r="PKJ99" s="769"/>
      <c r="PKK99" s="769"/>
      <c r="PKL99" s="769"/>
      <c r="PKM99" s="769"/>
      <c r="PKN99" s="769"/>
      <c r="PKO99" s="769"/>
      <c r="PKP99" s="769"/>
      <c r="PKQ99" s="769"/>
      <c r="PKR99" s="769"/>
      <c r="PKS99" s="769"/>
      <c r="PKT99" s="769"/>
      <c r="PKU99" s="769"/>
      <c r="PKV99" s="769"/>
      <c r="PKW99" s="769"/>
      <c r="PKX99" s="769"/>
      <c r="PKY99" s="769"/>
      <c r="PKZ99" s="769"/>
      <c r="PLA99" s="769"/>
      <c r="PLB99" s="769"/>
      <c r="PLC99" s="769"/>
      <c r="PLD99" s="769"/>
      <c r="PLE99" s="769"/>
      <c r="PLF99" s="769"/>
      <c r="PLG99" s="769"/>
      <c r="PLH99" s="769"/>
      <c r="PLI99" s="769"/>
      <c r="PLJ99" s="769"/>
      <c r="PLK99" s="769"/>
      <c r="PLL99" s="769"/>
      <c r="PLM99" s="769"/>
      <c r="PLN99" s="769"/>
      <c r="PLO99" s="769"/>
      <c r="PLP99" s="769"/>
      <c r="PLQ99" s="769"/>
      <c r="PLR99" s="769"/>
      <c r="PLS99" s="769"/>
      <c r="PLT99" s="769"/>
      <c r="PLU99" s="769"/>
      <c r="PLV99" s="769"/>
      <c r="PLW99" s="769"/>
      <c r="PLX99" s="769"/>
      <c r="PLY99" s="769"/>
      <c r="PLZ99" s="769"/>
      <c r="PMA99" s="769"/>
      <c r="PMB99" s="769"/>
      <c r="PMC99" s="769"/>
      <c r="PMD99" s="769"/>
      <c r="PME99" s="769"/>
      <c r="PMF99" s="769"/>
      <c r="PMG99" s="769"/>
      <c r="PMH99" s="769"/>
      <c r="PMI99" s="769"/>
      <c r="PMJ99" s="769"/>
      <c r="PMK99" s="769"/>
      <c r="PML99" s="769"/>
      <c r="PMM99" s="769"/>
      <c r="PMN99" s="769"/>
      <c r="PMO99" s="769"/>
      <c r="PMP99" s="769"/>
      <c r="PMQ99" s="769"/>
      <c r="PMR99" s="769"/>
      <c r="PMS99" s="769"/>
      <c r="PMT99" s="769"/>
      <c r="PMU99" s="769"/>
      <c r="PMV99" s="769"/>
      <c r="PMW99" s="769"/>
      <c r="PMX99" s="769"/>
      <c r="PMY99" s="769"/>
      <c r="PMZ99" s="769"/>
      <c r="PNA99" s="769"/>
      <c r="PNB99" s="769"/>
      <c r="PNC99" s="769"/>
      <c r="PND99" s="769"/>
      <c r="PNE99" s="769"/>
      <c r="PNF99" s="769"/>
      <c r="PNG99" s="769"/>
      <c r="PNH99" s="769"/>
      <c r="PNI99" s="769"/>
      <c r="PNJ99" s="769"/>
      <c r="PNK99" s="769"/>
      <c r="PNL99" s="769"/>
      <c r="PNM99" s="769"/>
      <c r="PNN99" s="769"/>
      <c r="PNO99" s="769"/>
      <c r="PNP99" s="769"/>
      <c r="PNQ99" s="769"/>
      <c r="PNR99" s="769"/>
      <c r="PNS99" s="769"/>
      <c r="PNT99" s="769"/>
      <c r="PNU99" s="769"/>
      <c r="PNV99" s="769"/>
      <c r="PNW99" s="769"/>
      <c r="PNX99" s="769"/>
      <c r="PNY99" s="769"/>
      <c r="PNZ99" s="769"/>
      <c r="POA99" s="769"/>
      <c r="POB99" s="769"/>
      <c r="POC99" s="769"/>
      <c r="POD99" s="769"/>
      <c r="POE99" s="769"/>
      <c r="POF99" s="769"/>
      <c r="POG99" s="769"/>
      <c r="POH99" s="769"/>
      <c r="POI99" s="769"/>
      <c r="POJ99" s="769"/>
      <c r="POK99" s="769"/>
      <c r="POL99" s="769"/>
      <c r="POM99" s="769"/>
      <c r="PON99" s="769"/>
      <c r="POO99" s="769"/>
      <c r="POP99" s="769"/>
      <c r="POQ99" s="769"/>
      <c r="POR99" s="769"/>
      <c r="POS99" s="769"/>
      <c r="POT99" s="769"/>
      <c r="POU99" s="769"/>
      <c r="POV99" s="769"/>
      <c r="POW99" s="769"/>
      <c r="POX99" s="769"/>
      <c r="POY99" s="769"/>
      <c r="POZ99" s="769"/>
      <c r="PPA99" s="769"/>
      <c r="PPB99" s="769"/>
      <c r="PPC99" s="769"/>
      <c r="PPD99" s="769"/>
      <c r="PPE99" s="769"/>
      <c r="PPF99" s="769"/>
      <c r="PPG99" s="769"/>
      <c r="PPH99" s="769"/>
      <c r="PPI99" s="769"/>
      <c r="PPJ99" s="769"/>
      <c r="PPK99" s="769"/>
      <c r="PPL99" s="769"/>
      <c r="PPM99" s="769"/>
      <c r="PPN99" s="769"/>
      <c r="PPO99" s="769"/>
      <c r="PPP99" s="769"/>
      <c r="PPQ99" s="769"/>
      <c r="PPR99" s="769"/>
      <c r="PPS99" s="769"/>
      <c r="PPT99" s="769"/>
      <c r="PPU99" s="769"/>
      <c r="PPV99" s="769"/>
      <c r="PPW99" s="769"/>
      <c r="PPX99" s="769"/>
      <c r="PPY99" s="769"/>
      <c r="PPZ99" s="769"/>
      <c r="PQA99" s="769"/>
      <c r="PQB99" s="769"/>
      <c r="PQC99" s="769"/>
      <c r="PQD99" s="769"/>
      <c r="PQE99" s="769"/>
      <c r="PQF99" s="769"/>
      <c r="PQG99" s="769"/>
      <c r="PQH99" s="769"/>
      <c r="PQI99" s="769"/>
      <c r="PQJ99" s="769"/>
      <c r="PQK99" s="769"/>
      <c r="PQL99" s="769"/>
      <c r="PQM99" s="769"/>
      <c r="PQN99" s="769"/>
      <c r="PQO99" s="769"/>
      <c r="PQP99" s="769"/>
      <c r="PQQ99" s="769"/>
      <c r="PQR99" s="769"/>
      <c r="PQS99" s="769"/>
      <c r="PQT99" s="769"/>
      <c r="PQU99" s="769"/>
      <c r="PQV99" s="769"/>
      <c r="PQW99" s="769"/>
      <c r="PQX99" s="769"/>
      <c r="PQY99" s="769"/>
      <c r="PQZ99" s="769"/>
      <c r="PRA99" s="769"/>
      <c r="PRB99" s="769"/>
      <c r="PRC99" s="769"/>
      <c r="PRD99" s="769"/>
      <c r="PRE99" s="769"/>
      <c r="PRF99" s="769"/>
      <c r="PRG99" s="769"/>
      <c r="PRH99" s="769"/>
      <c r="PRI99" s="769"/>
      <c r="PRJ99" s="769"/>
      <c r="PRK99" s="769"/>
      <c r="PRL99" s="769"/>
      <c r="PRM99" s="769"/>
      <c r="PRN99" s="769"/>
      <c r="PRO99" s="769"/>
      <c r="PRP99" s="769"/>
      <c r="PRQ99" s="769"/>
      <c r="PRR99" s="769"/>
      <c r="PRS99" s="769"/>
      <c r="PRT99" s="769"/>
      <c r="PRU99" s="769"/>
      <c r="PRV99" s="769"/>
      <c r="PRW99" s="769"/>
      <c r="PRX99" s="769"/>
      <c r="PRY99" s="769"/>
      <c r="PRZ99" s="769"/>
      <c r="PSA99" s="769"/>
      <c r="PSB99" s="769"/>
      <c r="PSC99" s="769"/>
      <c r="PSD99" s="769"/>
      <c r="PSE99" s="769"/>
      <c r="PSF99" s="769"/>
      <c r="PSG99" s="769"/>
      <c r="PSH99" s="769"/>
      <c r="PSI99" s="769"/>
      <c r="PSJ99" s="769"/>
      <c r="PSK99" s="769"/>
      <c r="PSL99" s="769"/>
      <c r="PSM99" s="769"/>
      <c r="PSN99" s="769"/>
      <c r="PSO99" s="769"/>
      <c r="PSP99" s="769"/>
      <c r="PSQ99" s="769"/>
      <c r="PSR99" s="769"/>
      <c r="PSS99" s="769"/>
      <c r="PST99" s="769"/>
      <c r="PSU99" s="769"/>
      <c r="PSV99" s="769"/>
      <c r="PSW99" s="769"/>
      <c r="PSX99" s="769"/>
      <c r="PSY99" s="769"/>
      <c r="PSZ99" s="769"/>
      <c r="PTA99" s="769"/>
      <c r="PTB99" s="769"/>
      <c r="PTC99" s="769"/>
      <c r="PTD99" s="769"/>
      <c r="PTE99" s="769"/>
      <c r="PTF99" s="769"/>
      <c r="PTG99" s="769"/>
      <c r="PTH99" s="769"/>
      <c r="PTI99" s="769"/>
      <c r="PTJ99" s="769"/>
      <c r="PTK99" s="769"/>
      <c r="PTL99" s="769"/>
      <c r="PTM99" s="769"/>
      <c r="PTN99" s="769"/>
      <c r="PTO99" s="769"/>
      <c r="PTP99" s="769"/>
      <c r="PTQ99" s="769"/>
      <c r="PTR99" s="769"/>
      <c r="PTS99" s="769"/>
      <c r="PTT99" s="769"/>
      <c r="PTU99" s="769"/>
      <c r="PTV99" s="769"/>
      <c r="PTW99" s="769"/>
      <c r="PTX99" s="769"/>
      <c r="PTY99" s="769"/>
      <c r="PTZ99" s="769"/>
      <c r="PUA99" s="769"/>
      <c r="PUB99" s="769"/>
      <c r="PUC99" s="769"/>
      <c r="PUD99" s="769"/>
      <c r="PUE99" s="769"/>
      <c r="PUF99" s="769"/>
      <c r="PUG99" s="769"/>
      <c r="PUH99" s="769"/>
      <c r="PUI99" s="769"/>
      <c r="PUJ99" s="769"/>
      <c r="PUK99" s="769"/>
      <c r="PUL99" s="769"/>
      <c r="PUM99" s="769"/>
      <c r="PUN99" s="769"/>
      <c r="PUO99" s="769"/>
      <c r="PUP99" s="769"/>
      <c r="PUQ99" s="769"/>
      <c r="PUR99" s="769"/>
      <c r="PUS99" s="769"/>
      <c r="PUT99" s="769"/>
      <c r="PUU99" s="769"/>
      <c r="PUV99" s="769"/>
      <c r="PUW99" s="769"/>
      <c r="PUX99" s="769"/>
      <c r="PUY99" s="769"/>
      <c r="PUZ99" s="769"/>
      <c r="PVA99" s="769"/>
      <c r="PVB99" s="769"/>
      <c r="PVC99" s="769"/>
      <c r="PVD99" s="769"/>
      <c r="PVE99" s="769"/>
      <c r="PVF99" s="769"/>
      <c r="PVG99" s="769"/>
      <c r="PVH99" s="769"/>
      <c r="PVI99" s="769"/>
      <c r="PVJ99" s="769"/>
      <c r="PVK99" s="769"/>
      <c r="PVL99" s="769"/>
      <c r="PVM99" s="769"/>
      <c r="PVN99" s="769"/>
      <c r="PVO99" s="769"/>
      <c r="PVP99" s="769"/>
      <c r="PVQ99" s="769"/>
      <c r="PVR99" s="769"/>
      <c r="PVS99" s="769"/>
      <c r="PVT99" s="769"/>
      <c r="PVU99" s="769"/>
      <c r="PVV99" s="769"/>
      <c r="PVW99" s="769"/>
      <c r="PVX99" s="769"/>
      <c r="PVY99" s="769"/>
      <c r="PVZ99" s="769"/>
      <c r="PWA99" s="769"/>
      <c r="PWB99" s="769"/>
      <c r="PWC99" s="769"/>
      <c r="PWD99" s="769"/>
      <c r="PWE99" s="769"/>
      <c r="PWF99" s="769"/>
      <c r="PWG99" s="769"/>
      <c r="PWH99" s="769"/>
      <c r="PWI99" s="769"/>
      <c r="PWJ99" s="769"/>
      <c r="PWK99" s="769"/>
      <c r="PWL99" s="769"/>
      <c r="PWM99" s="769"/>
      <c r="PWN99" s="769"/>
      <c r="PWO99" s="769"/>
      <c r="PWP99" s="769"/>
      <c r="PWQ99" s="769"/>
      <c r="PWR99" s="769"/>
      <c r="PWS99" s="769"/>
      <c r="PWT99" s="769"/>
      <c r="PWU99" s="769"/>
      <c r="PWV99" s="769"/>
      <c r="PWW99" s="769"/>
      <c r="PWX99" s="769"/>
      <c r="PWY99" s="769"/>
      <c r="PWZ99" s="769"/>
      <c r="PXA99" s="769"/>
      <c r="PXB99" s="769"/>
      <c r="PXC99" s="769"/>
      <c r="PXD99" s="769"/>
      <c r="PXE99" s="769"/>
      <c r="PXF99" s="769"/>
      <c r="PXG99" s="769"/>
      <c r="PXH99" s="769"/>
      <c r="PXI99" s="769"/>
      <c r="PXJ99" s="769"/>
      <c r="PXK99" s="769"/>
      <c r="PXL99" s="769"/>
      <c r="PXM99" s="769"/>
      <c r="PXN99" s="769"/>
      <c r="PXO99" s="769"/>
      <c r="PXP99" s="769"/>
      <c r="PXQ99" s="769"/>
      <c r="PXR99" s="769"/>
      <c r="PXS99" s="769"/>
      <c r="PXT99" s="769"/>
      <c r="PXU99" s="769"/>
      <c r="PXV99" s="769"/>
      <c r="PXW99" s="769"/>
      <c r="PXX99" s="769"/>
      <c r="PXY99" s="769"/>
      <c r="PXZ99" s="769"/>
      <c r="PYA99" s="769"/>
      <c r="PYB99" s="769"/>
      <c r="PYC99" s="769"/>
      <c r="PYD99" s="769"/>
      <c r="PYE99" s="769"/>
      <c r="PYF99" s="769"/>
      <c r="PYG99" s="769"/>
      <c r="PYH99" s="769"/>
      <c r="PYI99" s="769"/>
      <c r="PYJ99" s="769"/>
      <c r="PYK99" s="769"/>
      <c r="PYL99" s="769"/>
      <c r="PYM99" s="769"/>
      <c r="PYN99" s="769"/>
      <c r="PYO99" s="769"/>
      <c r="PYP99" s="769"/>
      <c r="PYQ99" s="769"/>
      <c r="PYR99" s="769"/>
      <c r="PYS99" s="769"/>
      <c r="PYT99" s="769"/>
      <c r="PYU99" s="769"/>
      <c r="PYV99" s="769"/>
      <c r="PYW99" s="769"/>
      <c r="PYX99" s="769"/>
      <c r="PYY99" s="769"/>
      <c r="PYZ99" s="769"/>
      <c r="PZA99" s="769"/>
      <c r="PZB99" s="769"/>
      <c r="PZC99" s="769"/>
      <c r="PZD99" s="769"/>
      <c r="PZE99" s="769"/>
      <c r="PZF99" s="769"/>
      <c r="PZG99" s="769"/>
      <c r="PZH99" s="769"/>
      <c r="PZI99" s="769"/>
      <c r="PZJ99" s="769"/>
      <c r="PZK99" s="769"/>
      <c r="PZL99" s="769"/>
      <c r="PZM99" s="769"/>
      <c r="PZN99" s="769"/>
      <c r="PZO99" s="769"/>
      <c r="PZP99" s="769"/>
      <c r="PZQ99" s="769"/>
      <c r="PZR99" s="769"/>
      <c r="PZS99" s="769"/>
      <c r="PZT99" s="769"/>
      <c r="PZU99" s="769"/>
      <c r="PZV99" s="769"/>
      <c r="PZW99" s="769"/>
      <c r="PZX99" s="769"/>
      <c r="PZY99" s="769"/>
      <c r="PZZ99" s="769"/>
      <c r="QAA99" s="769"/>
      <c r="QAB99" s="769"/>
      <c r="QAC99" s="769"/>
      <c r="QAD99" s="769"/>
      <c r="QAE99" s="769"/>
      <c r="QAF99" s="769"/>
      <c r="QAG99" s="769"/>
      <c r="QAH99" s="769"/>
      <c r="QAI99" s="769"/>
      <c r="QAJ99" s="769"/>
      <c r="QAK99" s="769"/>
      <c r="QAL99" s="769"/>
      <c r="QAM99" s="769"/>
      <c r="QAN99" s="769"/>
      <c r="QAO99" s="769"/>
      <c r="QAP99" s="769"/>
      <c r="QAQ99" s="769"/>
      <c r="QAR99" s="769"/>
      <c r="QAS99" s="769"/>
      <c r="QAT99" s="769"/>
      <c r="QAU99" s="769"/>
      <c r="QAV99" s="769"/>
      <c r="QAW99" s="769"/>
      <c r="QAX99" s="769"/>
      <c r="QAY99" s="769"/>
      <c r="QAZ99" s="769"/>
      <c r="QBA99" s="769"/>
      <c r="QBB99" s="769"/>
      <c r="QBC99" s="769"/>
      <c r="QBD99" s="769"/>
      <c r="QBE99" s="769"/>
      <c r="QBF99" s="769"/>
      <c r="QBG99" s="769"/>
      <c r="QBH99" s="769"/>
      <c r="QBI99" s="769"/>
      <c r="QBJ99" s="769"/>
      <c r="QBK99" s="769"/>
      <c r="QBL99" s="769"/>
      <c r="QBM99" s="769"/>
      <c r="QBN99" s="769"/>
      <c r="QBO99" s="769"/>
      <c r="QBP99" s="769"/>
      <c r="QBQ99" s="769"/>
      <c r="QBR99" s="769"/>
      <c r="QBS99" s="769"/>
      <c r="QBT99" s="769"/>
      <c r="QBU99" s="769"/>
      <c r="QBV99" s="769"/>
      <c r="QBW99" s="769"/>
      <c r="QBX99" s="769"/>
      <c r="QBY99" s="769"/>
      <c r="QBZ99" s="769"/>
      <c r="QCA99" s="769"/>
      <c r="QCB99" s="769"/>
      <c r="QCC99" s="769"/>
      <c r="QCD99" s="769"/>
      <c r="QCE99" s="769"/>
      <c r="QCF99" s="769"/>
      <c r="QCG99" s="769"/>
      <c r="QCH99" s="769"/>
      <c r="QCI99" s="769"/>
      <c r="QCJ99" s="769"/>
      <c r="QCK99" s="769"/>
      <c r="QCL99" s="769"/>
      <c r="QCM99" s="769"/>
      <c r="QCN99" s="769"/>
      <c r="QCO99" s="769"/>
      <c r="QCP99" s="769"/>
      <c r="QCQ99" s="769"/>
      <c r="QCR99" s="769"/>
      <c r="QCS99" s="769"/>
      <c r="QCT99" s="769"/>
      <c r="QCU99" s="769"/>
      <c r="QCV99" s="769"/>
      <c r="QCW99" s="769"/>
      <c r="QCX99" s="769"/>
      <c r="QCY99" s="769"/>
      <c r="QCZ99" s="769"/>
      <c r="QDA99" s="769"/>
      <c r="QDB99" s="769"/>
      <c r="QDC99" s="769"/>
      <c r="QDD99" s="769"/>
      <c r="QDE99" s="769"/>
      <c r="QDF99" s="769"/>
      <c r="QDG99" s="769"/>
      <c r="QDH99" s="769"/>
      <c r="QDI99" s="769"/>
      <c r="QDJ99" s="769"/>
      <c r="QDK99" s="769"/>
      <c r="QDL99" s="769"/>
      <c r="QDM99" s="769"/>
      <c r="QDN99" s="769"/>
      <c r="QDO99" s="769"/>
      <c r="QDP99" s="769"/>
      <c r="QDQ99" s="769"/>
      <c r="QDR99" s="769"/>
      <c r="QDS99" s="769"/>
      <c r="QDT99" s="769"/>
      <c r="QDU99" s="769"/>
      <c r="QDV99" s="769"/>
      <c r="QDW99" s="769"/>
      <c r="QDX99" s="769"/>
      <c r="QDY99" s="769"/>
      <c r="QDZ99" s="769"/>
      <c r="QEA99" s="769"/>
      <c r="QEB99" s="769"/>
      <c r="QEC99" s="769"/>
      <c r="QED99" s="769"/>
      <c r="QEE99" s="769"/>
      <c r="QEF99" s="769"/>
      <c r="QEG99" s="769"/>
      <c r="QEH99" s="769"/>
      <c r="QEI99" s="769"/>
      <c r="QEJ99" s="769"/>
      <c r="QEK99" s="769"/>
      <c r="QEL99" s="769"/>
      <c r="QEM99" s="769"/>
      <c r="QEN99" s="769"/>
      <c r="QEO99" s="769"/>
      <c r="QEP99" s="769"/>
      <c r="QEQ99" s="769"/>
      <c r="QER99" s="769"/>
      <c r="QES99" s="769"/>
      <c r="QET99" s="769"/>
      <c r="QEU99" s="769"/>
      <c r="QEV99" s="769"/>
      <c r="QEW99" s="769"/>
      <c r="QEX99" s="769"/>
      <c r="QEY99" s="769"/>
      <c r="QEZ99" s="769"/>
      <c r="QFA99" s="769"/>
      <c r="QFB99" s="769"/>
      <c r="QFC99" s="769"/>
      <c r="QFD99" s="769"/>
      <c r="QFE99" s="769"/>
      <c r="QFF99" s="769"/>
      <c r="QFG99" s="769"/>
      <c r="QFH99" s="769"/>
      <c r="QFI99" s="769"/>
      <c r="QFJ99" s="769"/>
      <c r="QFK99" s="769"/>
      <c r="QFL99" s="769"/>
      <c r="QFM99" s="769"/>
      <c r="QFN99" s="769"/>
      <c r="QFO99" s="769"/>
      <c r="QFP99" s="769"/>
      <c r="QFQ99" s="769"/>
      <c r="QFR99" s="769"/>
      <c r="QFS99" s="769"/>
      <c r="QFT99" s="769"/>
      <c r="QFU99" s="769"/>
      <c r="QFV99" s="769"/>
      <c r="QFW99" s="769"/>
      <c r="QFX99" s="769"/>
      <c r="QFY99" s="769"/>
      <c r="QFZ99" s="769"/>
      <c r="QGA99" s="769"/>
      <c r="QGB99" s="769"/>
      <c r="QGC99" s="769"/>
      <c r="QGD99" s="769"/>
      <c r="QGE99" s="769"/>
      <c r="QGF99" s="769"/>
      <c r="QGG99" s="769"/>
      <c r="QGH99" s="769"/>
      <c r="QGI99" s="769"/>
      <c r="QGJ99" s="769"/>
      <c r="QGK99" s="769"/>
      <c r="QGL99" s="769"/>
      <c r="QGM99" s="769"/>
      <c r="QGN99" s="769"/>
      <c r="QGO99" s="769"/>
      <c r="QGP99" s="769"/>
      <c r="QGQ99" s="769"/>
      <c r="QGR99" s="769"/>
      <c r="QGS99" s="769"/>
      <c r="QGT99" s="769"/>
      <c r="QGU99" s="769"/>
      <c r="QGV99" s="769"/>
      <c r="QGW99" s="769"/>
      <c r="QGX99" s="769"/>
      <c r="QGY99" s="769"/>
      <c r="QGZ99" s="769"/>
      <c r="QHA99" s="769"/>
      <c r="QHB99" s="769"/>
      <c r="QHC99" s="769"/>
      <c r="QHD99" s="769"/>
      <c r="QHE99" s="769"/>
      <c r="QHF99" s="769"/>
      <c r="QHG99" s="769"/>
      <c r="QHH99" s="769"/>
      <c r="QHI99" s="769"/>
      <c r="QHJ99" s="769"/>
      <c r="QHK99" s="769"/>
      <c r="QHL99" s="769"/>
      <c r="QHM99" s="769"/>
      <c r="QHN99" s="769"/>
      <c r="QHO99" s="769"/>
      <c r="QHP99" s="769"/>
      <c r="QHQ99" s="769"/>
      <c r="QHR99" s="769"/>
      <c r="QHS99" s="769"/>
      <c r="QHT99" s="769"/>
      <c r="QHU99" s="769"/>
      <c r="QHV99" s="769"/>
      <c r="QHW99" s="769"/>
      <c r="QHX99" s="769"/>
      <c r="QHY99" s="769"/>
      <c r="QHZ99" s="769"/>
      <c r="QIA99" s="769"/>
      <c r="QIB99" s="769"/>
      <c r="QIC99" s="769"/>
      <c r="QID99" s="769"/>
      <c r="QIE99" s="769"/>
      <c r="QIF99" s="769"/>
      <c r="QIG99" s="769"/>
      <c r="QIH99" s="769"/>
      <c r="QII99" s="769"/>
      <c r="QIJ99" s="769"/>
      <c r="QIK99" s="769"/>
      <c r="QIL99" s="769"/>
      <c r="QIM99" s="769"/>
      <c r="QIN99" s="769"/>
      <c r="QIO99" s="769"/>
      <c r="QIP99" s="769"/>
      <c r="QIQ99" s="769"/>
      <c r="QIR99" s="769"/>
      <c r="QIS99" s="769"/>
      <c r="QIT99" s="769"/>
      <c r="QIU99" s="769"/>
      <c r="QIV99" s="769"/>
      <c r="QIW99" s="769"/>
      <c r="QIX99" s="769"/>
      <c r="QIY99" s="769"/>
      <c r="QIZ99" s="769"/>
      <c r="QJA99" s="769"/>
      <c r="QJB99" s="769"/>
      <c r="QJC99" s="769"/>
      <c r="QJD99" s="769"/>
      <c r="QJE99" s="769"/>
      <c r="QJF99" s="769"/>
      <c r="QJG99" s="769"/>
      <c r="QJH99" s="769"/>
      <c r="QJI99" s="769"/>
      <c r="QJJ99" s="769"/>
      <c r="QJK99" s="769"/>
      <c r="QJL99" s="769"/>
      <c r="QJM99" s="769"/>
      <c r="QJN99" s="769"/>
      <c r="QJO99" s="769"/>
      <c r="QJP99" s="769"/>
      <c r="QJQ99" s="769"/>
      <c r="QJR99" s="769"/>
      <c r="QJS99" s="769"/>
      <c r="QJT99" s="769"/>
      <c r="QJU99" s="769"/>
      <c r="QJV99" s="769"/>
      <c r="QJW99" s="769"/>
      <c r="QJX99" s="769"/>
      <c r="QJY99" s="769"/>
      <c r="QJZ99" s="769"/>
      <c r="QKA99" s="769"/>
      <c r="QKB99" s="769"/>
      <c r="QKC99" s="769"/>
      <c r="QKD99" s="769"/>
      <c r="QKE99" s="769"/>
      <c r="QKF99" s="769"/>
      <c r="QKG99" s="769"/>
      <c r="QKH99" s="769"/>
      <c r="QKI99" s="769"/>
      <c r="QKJ99" s="769"/>
      <c r="QKK99" s="769"/>
      <c r="QKL99" s="769"/>
      <c r="QKM99" s="769"/>
      <c r="QKN99" s="769"/>
      <c r="QKO99" s="769"/>
      <c r="QKP99" s="769"/>
      <c r="QKQ99" s="769"/>
      <c r="QKR99" s="769"/>
      <c r="QKS99" s="769"/>
      <c r="QKT99" s="769"/>
      <c r="QKU99" s="769"/>
      <c r="QKV99" s="769"/>
      <c r="QKW99" s="769"/>
      <c r="QKX99" s="769"/>
      <c r="QKY99" s="769"/>
      <c r="QKZ99" s="769"/>
      <c r="QLA99" s="769"/>
      <c r="QLB99" s="769"/>
      <c r="QLC99" s="769"/>
      <c r="QLD99" s="769"/>
      <c r="QLE99" s="769"/>
      <c r="QLF99" s="769"/>
      <c r="QLG99" s="769"/>
      <c r="QLH99" s="769"/>
      <c r="QLI99" s="769"/>
      <c r="QLJ99" s="769"/>
      <c r="QLK99" s="769"/>
      <c r="QLL99" s="769"/>
      <c r="QLM99" s="769"/>
      <c r="QLN99" s="769"/>
      <c r="QLO99" s="769"/>
      <c r="QLP99" s="769"/>
      <c r="QLQ99" s="769"/>
      <c r="QLR99" s="769"/>
      <c r="QLS99" s="769"/>
      <c r="QLT99" s="769"/>
      <c r="QLU99" s="769"/>
      <c r="QLV99" s="769"/>
      <c r="QLW99" s="769"/>
      <c r="QLX99" s="769"/>
      <c r="QLY99" s="769"/>
      <c r="QLZ99" s="769"/>
      <c r="QMA99" s="769"/>
      <c r="QMB99" s="769"/>
      <c r="QMC99" s="769"/>
      <c r="QMD99" s="769"/>
      <c r="QME99" s="769"/>
      <c r="QMF99" s="769"/>
      <c r="QMG99" s="769"/>
      <c r="QMH99" s="769"/>
      <c r="QMI99" s="769"/>
      <c r="QMJ99" s="769"/>
      <c r="QMK99" s="769"/>
      <c r="QML99" s="769"/>
      <c r="QMM99" s="769"/>
      <c r="QMN99" s="769"/>
      <c r="QMO99" s="769"/>
      <c r="QMP99" s="769"/>
      <c r="QMQ99" s="769"/>
      <c r="QMR99" s="769"/>
      <c r="QMS99" s="769"/>
      <c r="QMT99" s="769"/>
      <c r="QMU99" s="769"/>
      <c r="QMV99" s="769"/>
      <c r="QMW99" s="769"/>
      <c r="QMX99" s="769"/>
      <c r="QMY99" s="769"/>
      <c r="QMZ99" s="769"/>
      <c r="QNA99" s="769"/>
      <c r="QNB99" s="769"/>
      <c r="QNC99" s="769"/>
      <c r="QND99" s="769"/>
      <c r="QNE99" s="769"/>
      <c r="QNF99" s="769"/>
      <c r="QNG99" s="769"/>
      <c r="QNH99" s="769"/>
      <c r="QNI99" s="769"/>
      <c r="QNJ99" s="769"/>
      <c r="QNK99" s="769"/>
      <c r="QNL99" s="769"/>
      <c r="QNM99" s="769"/>
      <c r="QNN99" s="769"/>
      <c r="QNO99" s="769"/>
      <c r="QNP99" s="769"/>
      <c r="QNQ99" s="769"/>
      <c r="QNR99" s="769"/>
      <c r="QNS99" s="769"/>
      <c r="QNT99" s="769"/>
      <c r="QNU99" s="769"/>
      <c r="QNV99" s="769"/>
      <c r="QNW99" s="769"/>
      <c r="QNX99" s="769"/>
      <c r="QNY99" s="769"/>
      <c r="QNZ99" s="769"/>
      <c r="QOA99" s="769"/>
      <c r="QOB99" s="769"/>
      <c r="QOC99" s="769"/>
      <c r="QOD99" s="769"/>
      <c r="QOE99" s="769"/>
      <c r="QOF99" s="769"/>
      <c r="QOG99" s="769"/>
      <c r="QOH99" s="769"/>
      <c r="QOI99" s="769"/>
      <c r="QOJ99" s="769"/>
      <c r="QOK99" s="769"/>
      <c r="QOL99" s="769"/>
      <c r="QOM99" s="769"/>
      <c r="QON99" s="769"/>
      <c r="QOO99" s="769"/>
      <c r="QOP99" s="769"/>
      <c r="QOQ99" s="769"/>
      <c r="QOR99" s="769"/>
      <c r="QOS99" s="769"/>
      <c r="QOT99" s="769"/>
      <c r="QOU99" s="769"/>
      <c r="QOV99" s="769"/>
      <c r="QOW99" s="769"/>
      <c r="QOX99" s="769"/>
      <c r="QOY99" s="769"/>
      <c r="QOZ99" s="769"/>
      <c r="QPA99" s="769"/>
      <c r="QPB99" s="769"/>
      <c r="QPC99" s="769"/>
      <c r="QPD99" s="769"/>
      <c r="QPE99" s="769"/>
      <c r="QPF99" s="769"/>
      <c r="QPG99" s="769"/>
      <c r="QPH99" s="769"/>
      <c r="QPI99" s="769"/>
      <c r="QPJ99" s="769"/>
      <c r="QPK99" s="769"/>
      <c r="QPL99" s="769"/>
      <c r="QPM99" s="769"/>
      <c r="QPN99" s="769"/>
      <c r="QPO99" s="769"/>
      <c r="QPP99" s="769"/>
      <c r="QPQ99" s="769"/>
      <c r="QPR99" s="769"/>
      <c r="QPS99" s="769"/>
      <c r="QPT99" s="769"/>
      <c r="QPU99" s="769"/>
      <c r="QPV99" s="769"/>
      <c r="QPW99" s="769"/>
      <c r="QPX99" s="769"/>
      <c r="QPY99" s="769"/>
      <c r="QPZ99" s="769"/>
      <c r="QQA99" s="769"/>
      <c r="QQB99" s="769"/>
      <c r="QQC99" s="769"/>
      <c r="QQD99" s="769"/>
      <c r="QQE99" s="769"/>
      <c r="QQF99" s="769"/>
      <c r="QQG99" s="769"/>
      <c r="QQH99" s="769"/>
      <c r="QQI99" s="769"/>
      <c r="QQJ99" s="769"/>
      <c r="QQK99" s="769"/>
      <c r="QQL99" s="769"/>
      <c r="QQM99" s="769"/>
      <c r="QQN99" s="769"/>
      <c r="QQO99" s="769"/>
      <c r="QQP99" s="769"/>
      <c r="QQQ99" s="769"/>
      <c r="QQR99" s="769"/>
      <c r="QQS99" s="769"/>
      <c r="QQT99" s="769"/>
      <c r="QQU99" s="769"/>
      <c r="QQV99" s="769"/>
      <c r="QQW99" s="769"/>
      <c r="QQX99" s="769"/>
      <c r="QQY99" s="769"/>
      <c r="QQZ99" s="769"/>
      <c r="QRA99" s="769"/>
      <c r="QRB99" s="769"/>
      <c r="QRC99" s="769"/>
      <c r="QRD99" s="769"/>
      <c r="QRE99" s="769"/>
      <c r="QRF99" s="769"/>
      <c r="QRG99" s="769"/>
      <c r="QRH99" s="769"/>
      <c r="QRI99" s="769"/>
      <c r="QRJ99" s="769"/>
      <c r="QRK99" s="769"/>
      <c r="QRL99" s="769"/>
      <c r="QRM99" s="769"/>
      <c r="QRN99" s="769"/>
      <c r="QRO99" s="769"/>
      <c r="QRP99" s="769"/>
      <c r="QRQ99" s="769"/>
      <c r="QRR99" s="769"/>
      <c r="QRS99" s="769"/>
      <c r="QRT99" s="769"/>
      <c r="QRU99" s="769"/>
      <c r="QRV99" s="769"/>
      <c r="QRW99" s="769"/>
      <c r="QRX99" s="769"/>
      <c r="QRY99" s="769"/>
      <c r="QRZ99" s="769"/>
      <c r="QSA99" s="769"/>
      <c r="QSB99" s="769"/>
      <c r="QSC99" s="769"/>
      <c r="QSD99" s="769"/>
      <c r="QSE99" s="769"/>
      <c r="QSF99" s="769"/>
      <c r="QSG99" s="769"/>
      <c r="QSH99" s="769"/>
      <c r="QSI99" s="769"/>
      <c r="QSJ99" s="769"/>
      <c r="QSK99" s="769"/>
      <c r="QSL99" s="769"/>
      <c r="QSM99" s="769"/>
      <c r="QSN99" s="769"/>
      <c r="QSO99" s="769"/>
      <c r="QSP99" s="769"/>
      <c r="QSQ99" s="769"/>
      <c r="QSR99" s="769"/>
      <c r="QSS99" s="769"/>
      <c r="QST99" s="769"/>
      <c r="QSU99" s="769"/>
      <c r="QSV99" s="769"/>
      <c r="QSW99" s="769"/>
      <c r="QSX99" s="769"/>
      <c r="QSY99" s="769"/>
      <c r="QSZ99" s="769"/>
      <c r="QTA99" s="769"/>
      <c r="QTB99" s="769"/>
      <c r="QTC99" s="769"/>
      <c r="QTD99" s="769"/>
      <c r="QTE99" s="769"/>
      <c r="QTF99" s="769"/>
      <c r="QTG99" s="769"/>
      <c r="QTH99" s="769"/>
      <c r="QTI99" s="769"/>
      <c r="QTJ99" s="769"/>
      <c r="QTK99" s="769"/>
      <c r="QTL99" s="769"/>
      <c r="QTM99" s="769"/>
      <c r="QTN99" s="769"/>
      <c r="QTO99" s="769"/>
      <c r="QTP99" s="769"/>
      <c r="QTQ99" s="769"/>
      <c r="QTR99" s="769"/>
      <c r="QTS99" s="769"/>
      <c r="QTT99" s="769"/>
      <c r="QTU99" s="769"/>
      <c r="QTV99" s="769"/>
      <c r="QTW99" s="769"/>
      <c r="QTX99" s="769"/>
      <c r="QTY99" s="769"/>
      <c r="QTZ99" s="769"/>
      <c r="QUA99" s="769"/>
      <c r="QUB99" s="769"/>
      <c r="QUC99" s="769"/>
      <c r="QUD99" s="769"/>
      <c r="QUE99" s="769"/>
      <c r="QUF99" s="769"/>
      <c r="QUG99" s="769"/>
      <c r="QUH99" s="769"/>
      <c r="QUI99" s="769"/>
      <c r="QUJ99" s="769"/>
      <c r="QUK99" s="769"/>
      <c r="QUL99" s="769"/>
      <c r="QUM99" s="769"/>
      <c r="QUN99" s="769"/>
      <c r="QUO99" s="769"/>
      <c r="QUP99" s="769"/>
      <c r="QUQ99" s="769"/>
      <c r="QUR99" s="769"/>
      <c r="QUS99" s="769"/>
      <c r="QUT99" s="769"/>
      <c r="QUU99" s="769"/>
      <c r="QUV99" s="769"/>
      <c r="QUW99" s="769"/>
      <c r="QUX99" s="769"/>
      <c r="QUY99" s="769"/>
      <c r="QUZ99" s="769"/>
      <c r="QVA99" s="769"/>
      <c r="QVB99" s="769"/>
      <c r="QVC99" s="769"/>
      <c r="QVD99" s="769"/>
      <c r="QVE99" s="769"/>
      <c r="QVF99" s="769"/>
      <c r="QVG99" s="769"/>
      <c r="QVH99" s="769"/>
      <c r="QVI99" s="769"/>
      <c r="QVJ99" s="769"/>
      <c r="QVK99" s="769"/>
      <c r="QVL99" s="769"/>
      <c r="QVM99" s="769"/>
      <c r="QVN99" s="769"/>
      <c r="QVO99" s="769"/>
      <c r="QVP99" s="769"/>
      <c r="QVQ99" s="769"/>
      <c r="QVR99" s="769"/>
      <c r="QVS99" s="769"/>
      <c r="QVT99" s="769"/>
      <c r="QVU99" s="769"/>
      <c r="QVV99" s="769"/>
      <c r="QVW99" s="769"/>
      <c r="QVX99" s="769"/>
      <c r="QVY99" s="769"/>
      <c r="QVZ99" s="769"/>
      <c r="QWA99" s="769"/>
      <c r="QWB99" s="769"/>
      <c r="QWC99" s="769"/>
      <c r="QWD99" s="769"/>
      <c r="QWE99" s="769"/>
      <c r="QWF99" s="769"/>
      <c r="QWG99" s="769"/>
      <c r="QWH99" s="769"/>
      <c r="QWI99" s="769"/>
      <c r="QWJ99" s="769"/>
      <c r="QWK99" s="769"/>
      <c r="QWL99" s="769"/>
      <c r="QWM99" s="769"/>
      <c r="QWN99" s="769"/>
      <c r="QWO99" s="769"/>
      <c r="QWP99" s="769"/>
      <c r="QWQ99" s="769"/>
      <c r="QWR99" s="769"/>
      <c r="QWS99" s="769"/>
      <c r="QWT99" s="769"/>
      <c r="QWU99" s="769"/>
      <c r="QWV99" s="769"/>
      <c r="QWW99" s="769"/>
      <c r="QWX99" s="769"/>
      <c r="QWY99" s="769"/>
      <c r="QWZ99" s="769"/>
      <c r="QXA99" s="769"/>
      <c r="QXB99" s="769"/>
      <c r="QXC99" s="769"/>
      <c r="QXD99" s="769"/>
      <c r="QXE99" s="769"/>
      <c r="QXF99" s="769"/>
      <c r="QXG99" s="769"/>
      <c r="QXH99" s="769"/>
      <c r="QXI99" s="769"/>
      <c r="QXJ99" s="769"/>
      <c r="QXK99" s="769"/>
      <c r="QXL99" s="769"/>
      <c r="QXM99" s="769"/>
      <c r="QXN99" s="769"/>
      <c r="QXO99" s="769"/>
      <c r="QXP99" s="769"/>
      <c r="QXQ99" s="769"/>
      <c r="QXR99" s="769"/>
      <c r="QXS99" s="769"/>
      <c r="QXT99" s="769"/>
      <c r="QXU99" s="769"/>
      <c r="QXV99" s="769"/>
      <c r="QXW99" s="769"/>
      <c r="QXX99" s="769"/>
      <c r="QXY99" s="769"/>
      <c r="QXZ99" s="769"/>
      <c r="QYA99" s="769"/>
      <c r="QYB99" s="769"/>
      <c r="QYC99" s="769"/>
      <c r="QYD99" s="769"/>
      <c r="QYE99" s="769"/>
      <c r="QYF99" s="769"/>
      <c r="QYG99" s="769"/>
      <c r="QYH99" s="769"/>
      <c r="QYI99" s="769"/>
      <c r="QYJ99" s="769"/>
      <c r="QYK99" s="769"/>
      <c r="QYL99" s="769"/>
      <c r="QYM99" s="769"/>
      <c r="QYN99" s="769"/>
      <c r="QYO99" s="769"/>
      <c r="QYP99" s="769"/>
      <c r="QYQ99" s="769"/>
      <c r="QYR99" s="769"/>
      <c r="QYS99" s="769"/>
      <c r="QYT99" s="769"/>
      <c r="QYU99" s="769"/>
      <c r="QYV99" s="769"/>
      <c r="QYW99" s="769"/>
      <c r="QYX99" s="769"/>
      <c r="QYY99" s="769"/>
      <c r="QYZ99" s="769"/>
      <c r="QZA99" s="769"/>
      <c r="QZB99" s="769"/>
      <c r="QZC99" s="769"/>
      <c r="QZD99" s="769"/>
      <c r="QZE99" s="769"/>
      <c r="QZF99" s="769"/>
      <c r="QZG99" s="769"/>
      <c r="QZH99" s="769"/>
      <c r="QZI99" s="769"/>
      <c r="QZJ99" s="769"/>
      <c r="QZK99" s="769"/>
      <c r="QZL99" s="769"/>
      <c r="QZM99" s="769"/>
      <c r="QZN99" s="769"/>
      <c r="QZO99" s="769"/>
      <c r="QZP99" s="769"/>
      <c r="QZQ99" s="769"/>
      <c r="QZR99" s="769"/>
      <c r="QZS99" s="769"/>
      <c r="QZT99" s="769"/>
      <c r="QZU99" s="769"/>
      <c r="QZV99" s="769"/>
      <c r="QZW99" s="769"/>
      <c r="QZX99" s="769"/>
      <c r="QZY99" s="769"/>
      <c r="QZZ99" s="769"/>
      <c r="RAA99" s="769"/>
      <c r="RAB99" s="769"/>
      <c r="RAC99" s="769"/>
      <c r="RAD99" s="769"/>
      <c r="RAE99" s="769"/>
      <c r="RAF99" s="769"/>
      <c r="RAG99" s="769"/>
      <c r="RAH99" s="769"/>
      <c r="RAI99" s="769"/>
      <c r="RAJ99" s="769"/>
      <c r="RAK99" s="769"/>
      <c r="RAL99" s="769"/>
      <c r="RAM99" s="769"/>
      <c r="RAN99" s="769"/>
      <c r="RAO99" s="769"/>
      <c r="RAP99" s="769"/>
      <c r="RAQ99" s="769"/>
      <c r="RAR99" s="769"/>
      <c r="RAS99" s="769"/>
      <c r="RAT99" s="769"/>
      <c r="RAU99" s="769"/>
      <c r="RAV99" s="769"/>
      <c r="RAW99" s="769"/>
      <c r="RAX99" s="769"/>
      <c r="RAY99" s="769"/>
      <c r="RAZ99" s="769"/>
      <c r="RBA99" s="769"/>
      <c r="RBB99" s="769"/>
      <c r="RBC99" s="769"/>
      <c r="RBD99" s="769"/>
      <c r="RBE99" s="769"/>
      <c r="RBF99" s="769"/>
      <c r="RBG99" s="769"/>
      <c r="RBH99" s="769"/>
      <c r="RBI99" s="769"/>
      <c r="RBJ99" s="769"/>
      <c r="RBK99" s="769"/>
      <c r="RBL99" s="769"/>
      <c r="RBM99" s="769"/>
      <c r="RBN99" s="769"/>
      <c r="RBO99" s="769"/>
      <c r="RBP99" s="769"/>
      <c r="RBQ99" s="769"/>
      <c r="RBR99" s="769"/>
      <c r="RBS99" s="769"/>
      <c r="RBT99" s="769"/>
      <c r="RBU99" s="769"/>
      <c r="RBV99" s="769"/>
      <c r="RBW99" s="769"/>
      <c r="RBX99" s="769"/>
      <c r="RBY99" s="769"/>
      <c r="RBZ99" s="769"/>
      <c r="RCA99" s="769"/>
      <c r="RCB99" s="769"/>
      <c r="RCC99" s="769"/>
      <c r="RCD99" s="769"/>
      <c r="RCE99" s="769"/>
      <c r="RCF99" s="769"/>
      <c r="RCG99" s="769"/>
      <c r="RCH99" s="769"/>
      <c r="RCI99" s="769"/>
      <c r="RCJ99" s="769"/>
      <c r="RCK99" s="769"/>
      <c r="RCL99" s="769"/>
      <c r="RCM99" s="769"/>
      <c r="RCN99" s="769"/>
      <c r="RCO99" s="769"/>
      <c r="RCP99" s="769"/>
      <c r="RCQ99" s="769"/>
      <c r="RCR99" s="769"/>
      <c r="RCS99" s="769"/>
      <c r="RCT99" s="769"/>
      <c r="RCU99" s="769"/>
      <c r="RCV99" s="769"/>
      <c r="RCW99" s="769"/>
      <c r="RCX99" s="769"/>
      <c r="RCY99" s="769"/>
      <c r="RCZ99" s="769"/>
      <c r="RDA99" s="769"/>
      <c r="RDB99" s="769"/>
      <c r="RDC99" s="769"/>
      <c r="RDD99" s="769"/>
      <c r="RDE99" s="769"/>
      <c r="RDF99" s="769"/>
      <c r="RDG99" s="769"/>
      <c r="RDH99" s="769"/>
      <c r="RDI99" s="769"/>
      <c r="RDJ99" s="769"/>
      <c r="RDK99" s="769"/>
      <c r="RDL99" s="769"/>
      <c r="RDM99" s="769"/>
      <c r="RDN99" s="769"/>
      <c r="RDO99" s="769"/>
      <c r="RDP99" s="769"/>
      <c r="RDQ99" s="769"/>
      <c r="RDR99" s="769"/>
      <c r="RDS99" s="769"/>
      <c r="RDT99" s="769"/>
      <c r="RDU99" s="769"/>
      <c r="RDV99" s="769"/>
      <c r="RDW99" s="769"/>
      <c r="RDX99" s="769"/>
      <c r="RDY99" s="769"/>
      <c r="RDZ99" s="769"/>
      <c r="REA99" s="769"/>
      <c r="REB99" s="769"/>
      <c r="REC99" s="769"/>
      <c r="RED99" s="769"/>
      <c r="REE99" s="769"/>
      <c r="REF99" s="769"/>
      <c r="REG99" s="769"/>
      <c r="REH99" s="769"/>
      <c r="REI99" s="769"/>
      <c r="REJ99" s="769"/>
      <c r="REK99" s="769"/>
      <c r="REL99" s="769"/>
      <c r="REM99" s="769"/>
      <c r="REN99" s="769"/>
      <c r="REO99" s="769"/>
      <c r="REP99" s="769"/>
      <c r="REQ99" s="769"/>
      <c r="RER99" s="769"/>
      <c r="RES99" s="769"/>
      <c r="RET99" s="769"/>
      <c r="REU99" s="769"/>
      <c r="REV99" s="769"/>
      <c r="REW99" s="769"/>
      <c r="REX99" s="769"/>
      <c r="REY99" s="769"/>
      <c r="REZ99" s="769"/>
      <c r="RFA99" s="769"/>
      <c r="RFB99" s="769"/>
      <c r="RFC99" s="769"/>
      <c r="RFD99" s="769"/>
      <c r="RFE99" s="769"/>
      <c r="RFF99" s="769"/>
      <c r="RFG99" s="769"/>
      <c r="RFH99" s="769"/>
      <c r="RFI99" s="769"/>
      <c r="RFJ99" s="769"/>
      <c r="RFK99" s="769"/>
      <c r="RFL99" s="769"/>
      <c r="RFM99" s="769"/>
      <c r="RFN99" s="769"/>
      <c r="RFO99" s="769"/>
      <c r="RFP99" s="769"/>
      <c r="RFQ99" s="769"/>
      <c r="RFR99" s="769"/>
      <c r="RFS99" s="769"/>
      <c r="RFT99" s="769"/>
      <c r="RFU99" s="769"/>
      <c r="RFV99" s="769"/>
      <c r="RFW99" s="769"/>
      <c r="RFX99" s="769"/>
      <c r="RFY99" s="769"/>
      <c r="RFZ99" s="769"/>
      <c r="RGA99" s="769"/>
      <c r="RGB99" s="769"/>
      <c r="RGC99" s="769"/>
      <c r="RGD99" s="769"/>
      <c r="RGE99" s="769"/>
      <c r="RGF99" s="769"/>
      <c r="RGG99" s="769"/>
      <c r="RGH99" s="769"/>
      <c r="RGI99" s="769"/>
      <c r="RGJ99" s="769"/>
      <c r="RGK99" s="769"/>
      <c r="RGL99" s="769"/>
      <c r="RGM99" s="769"/>
      <c r="RGN99" s="769"/>
      <c r="RGO99" s="769"/>
      <c r="RGP99" s="769"/>
      <c r="RGQ99" s="769"/>
      <c r="RGR99" s="769"/>
      <c r="RGS99" s="769"/>
      <c r="RGT99" s="769"/>
      <c r="RGU99" s="769"/>
      <c r="RGV99" s="769"/>
      <c r="RGW99" s="769"/>
      <c r="RGX99" s="769"/>
      <c r="RGY99" s="769"/>
      <c r="RGZ99" s="769"/>
      <c r="RHA99" s="769"/>
      <c r="RHB99" s="769"/>
      <c r="RHC99" s="769"/>
      <c r="RHD99" s="769"/>
      <c r="RHE99" s="769"/>
      <c r="RHF99" s="769"/>
      <c r="RHG99" s="769"/>
      <c r="RHH99" s="769"/>
      <c r="RHI99" s="769"/>
      <c r="RHJ99" s="769"/>
      <c r="RHK99" s="769"/>
      <c r="RHL99" s="769"/>
      <c r="RHM99" s="769"/>
      <c r="RHN99" s="769"/>
      <c r="RHO99" s="769"/>
      <c r="RHP99" s="769"/>
      <c r="RHQ99" s="769"/>
      <c r="RHR99" s="769"/>
      <c r="RHS99" s="769"/>
      <c r="RHT99" s="769"/>
      <c r="RHU99" s="769"/>
      <c r="RHV99" s="769"/>
      <c r="RHW99" s="769"/>
      <c r="RHX99" s="769"/>
      <c r="RHY99" s="769"/>
      <c r="RHZ99" s="769"/>
      <c r="RIA99" s="769"/>
      <c r="RIB99" s="769"/>
      <c r="RIC99" s="769"/>
      <c r="RID99" s="769"/>
      <c r="RIE99" s="769"/>
      <c r="RIF99" s="769"/>
      <c r="RIG99" s="769"/>
      <c r="RIH99" s="769"/>
      <c r="RII99" s="769"/>
      <c r="RIJ99" s="769"/>
      <c r="RIK99" s="769"/>
      <c r="RIL99" s="769"/>
      <c r="RIM99" s="769"/>
      <c r="RIN99" s="769"/>
      <c r="RIO99" s="769"/>
      <c r="RIP99" s="769"/>
      <c r="RIQ99" s="769"/>
      <c r="RIR99" s="769"/>
      <c r="RIS99" s="769"/>
      <c r="RIT99" s="769"/>
      <c r="RIU99" s="769"/>
      <c r="RIV99" s="769"/>
      <c r="RIW99" s="769"/>
      <c r="RIX99" s="769"/>
      <c r="RIY99" s="769"/>
      <c r="RIZ99" s="769"/>
      <c r="RJA99" s="769"/>
      <c r="RJB99" s="769"/>
      <c r="RJC99" s="769"/>
      <c r="RJD99" s="769"/>
      <c r="RJE99" s="769"/>
      <c r="RJF99" s="769"/>
      <c r="RJG99" s="769"/>
      <c r="RJH99" s="769"/>
      <c r="RJI99" s="769"/>
      <c r="RJJ99" s="769"/>
      <c r="RJK99" s="769"/>
      <c r="RJL99" s="769"/>
      <c r="RJM99" s="769"/>
      <c r="RJN99" s="769"/>
      <c r="RJO99" s="769"/>
      <c r="RJP99" s="769"/>
      <c r="RJQ99" s="769"/>
      <c r="RJR99" s="769"/>
      <c r="RJS99" s="769"/>
      <c r="RJT99" s="769"/>
      <c r="RJU99" s="769"/>
      <c r="RJV99" s="769"/>
      <c r="RJW99" s="769"/>
      <c r="RJX99" s="769"/>
      <c r="RJY99" s="769"/>
      <c r="RJZ99" s="769"/>
      <c r="RKA99" s="769"/>
      <c r="RKB99" s="769"/>
      <c r="RKC99" s="769"/>
      <c r="RKD99" s="769"/>
      <c r="RKE99" s="769"/>
      <c r="RKF99" s="769"/>
      <c r="RKG99" s="769"/>
      <c r="RKH99" s="769"/>
      <c r="RKI99" s="769"/>
      <c r="RKJ99" s="769"/>
      <c r="RKK99" s="769"/>
      <c r="RKL99" s="769"/>
      <c r="RKM99" s="769"/>
      <c r="RKN99" s="769"/>
      <c r="RKO99" s="769"/>
      <c r="RKP99" s="769"/>
      <c r="RKQ99" s="769"/>
      <c r="RKR99" s="769"/>
      <c r="RKS99" s="769"/>
      <c r="RKT99" s="769"/>
      <c r="RKU99" s="769"/>
      <c r="RKV99" s="769"/>
      <c r="RKW99" s="769"/>
      <c r="RKX99" s="769"/>
      <c r="RKY99" s="769"/>
      <c r="RKZ99" s="769"/>
      <c r="RLA99" s="769"/>
      <c r="RLB99" s="769"/>
      <c r="RLC99" s="769"/>
      <c r="RLD99" s="769"/>
      <c r="RLE99" s="769"/>
      <c r="RLF99" s="769"/>
      <c r="RLG99" s="769"/>
      <c r="RLH99" s="769"/>
      <c r="RLI99" s="769"/>
      <c r="RLJ99" s="769"/>
      <c r="RLK99" s="769"/>
      <c r="RLL99" s="769"/>
      <c r="RLM99" s="769"/>
      <c r="RLN99" s="769"/>
      <c r="RLO99" s="769"/>
      <c r="RLP99" s="769"/>
      <c r="RLQ99" s="769"/>
      <c r="RLR99" s="769"/>
      <c r="RLS99" s="769"/>
      <c r="RLT99" s="769"/>
      <c r="RLU99" s="769"/>
      <c r="RLV99" s="769"/>
      <c r="RLW99" s="769"/>
      <c r="RLX99" s="769"/>
      <c r="RLY99" s="769"/>
      <c r="RLZ99" s="769"/>
      <c r="RMA99" s="769"/>
      <c r="RMB99" s="769"/>
      <c r="RMC99" s="769"/>
      <c r="RMD99" s="769"/>
      <c r="RME99" s="769"/>
      <c r="RMF99" s="769"/>
      <c r="RMG99" s="769"/>
      <c r="RMH99" s="769"/>
      <c r="RMI99" s="769"/>
      <c r="RMJ99" s="769"/>
      <c r="RMK99" s="769"/>
      <c r="RML99" s="769"/>
      <c r="RMM99" s="769"/>
      <c r="RMN99" s="769"/>
      <c r="RMO99" s="769"/>
      <c r="RMP99" s="769"/>
      <c r="RMQ99" s="769"/>
      <c r="RMR99" s="769"/>
      <c r="RMS99" s="769"/>
      <c r="RMT99" s="769"/>
      <c r="RMU99" s="769"/>
      <c r="RMV99" s="769"/>
      <c r="RMW99" s="769"/>
      <c r="RMX99" s="769"/>
      <c r="RMY99" s="769"/>
      <c r="RMZ99" s="769"/>
      <c r="RNA99" s="769"/>
      <c r="RNB99" s="769"/>
      <c r="RNC99" s="769"/>
      <c r="RND99" s="769"/>
      <c r="RNE99" s="769"/>
      <c r="RNF99" s="769"/>
      <c r="RNG99" s="769"/>
      <c r="RNH99" s="769"/>
      <c r="RNI99" s="769"/>
      <c r="RNJ99" s="769"/>
      <c r="RNK99" s="769"/>
      <c r="RNL99" s="769"/>
      <c r="RNM99" s="769"/>
      <c r="RNN99" s="769"/>
      <c r="RNO99" s="769"/>
      <c r="RNP99" s="769"/>
      <c r="RNQ99" s="769"/>
      <c r="RNR99" s="769"/>
      <c r="RNS99" s="769"/>
      <c r="RNT99" s="769"/>
      <c r="RNU99" s="769"/>
      <c r="RNV99" s="769"/>
      <c r="RNW99" s="769"/>
      <c r="RNX99" s="769"/>
      <c r="RNY99" s="769"/>
      <c r="RNZ99" s="769"/>
      <c r="ROA99" s="769"/>
      <c r="ROB99" s="769"/>
      <c r="ROC99" s="769"/>
      <c r="ROD99" s="769"/>
      <c r="ROE99" s="769"/>
      <c r="ROF99" s="769"/>
      <c r="ROG99" s="769"/>
      <c r="ROH99" s="769"/>
      <c r="ROI99" s="769"/>
      <c r="ROJ99" s="769"/>
      <c r="ROK99" s="769"/>
      <c r="ROL99" s="769"/>
      <c r="ROM99" s="769"/>
      <c r="RON99" s="769"/>
      <c r="ROO99" s="769"/>
      <c r="ROP99" s="769"/>
      <c r="ROQ99" s="769"/>
      <c r="ROR99" s="769"/>
      <c r="ROS99" s="769"/>
      <c r="ROT99" s="769"/>
      <c r="ROU99" s="769"/>
      <c r="ROV99" s="769"/>
      <c r="ROW99" s="769"/>
      <c r="ROX99" s="769"/>
      <c r="ROY99" s="769"/>
      <c r="ROZ99" s="769"/>
      <c r="RPA99" s="769"/>
      <c r="RPB99" s="769"/>
      <c r="RPC99" s="769"/>
      <c r="RPD99" s="769"/>
      <c r="RPE99" s="769"/>
      <c r="RPF99" s="769"/>
      <c r="RPG99" s="769"/>
      <c r="RPH99" s="769"/>
      <c r="RPI99" s="769"/>
      <c r="RPJ99" s="769"/>
      <c r="RPK99" s="769"/>
      <c r="RPL99" s="769"/>
      <c r="RPM99" s="769"/>
      <c r="RPN99" s="769"/>
      <c r="RPO99" s="769"/>
      <c r="RPP99" s="769"/>
      <c r="RPQ99" s="769"/>
      <c r="RPR99" s="769"/>
      <c r="RPS99" s="769"/>
      <c r="RPT99" s="769"/>
      <c r="RPU99" s="769"/>
      <c r="RPV99" s="769"/>
      <c r="RPW99" s="769"/>
      <c r="RPX99" s="769"/>
      <c r="RPY99" s="769"/>
      <c r="RPZ99" s="769"/>
      <c r="RQA99" s="769"/>
      <c r="RQB99" s="769"/>
      <c r="RQC99" s="769"/>
      <c r="RQD99" s="769"/>
      <c r="RQE99" s="769"/>
      <c r="RQF99" s="769"/>
      <c r="RQG99" s="769"/>
      <c r="RQH99" s="769"/>
      <c r="RQI99" s="769"/>
      <c r="RQJ99" s="769"/>
      <c r="RQK99" s="769"/>
      <c r="RQL99" s="769"/>
      <c r="RQM99" s="769"/>
      <c r="RQN99" s="769"/>
      <c r="RQO99" s="769"/>
      <c r="RQP99" s="769"/>
      <c r="RQQ99" s="769"/>
      <c r="RQR99" s="769"/>
      <c r="RQS99" s="769"/>
      <c r="RQT99" s="769"/>
      <c r="RQU99" s="769"/>
      <c r="RQV99" s="769"/>
      <c r="RQW99" s="769"/>
      <c r="RQX99" s="769"/>
      <c r="RQY99" s="769"/>
      <c r="RQZ99" s="769"/>
      <c r="RRA99" s="769"/>
      <c r="RRB99" s="769"/>
      <c r="RRC99" s="769"/>
      <c r="RRD99" s="769"/>
      <c r="RRE99" s="769"/>
      <c r="RRF99" s="769"/>
      <c r="RRG99" s="769"/>
      <c r="RRH99" s="769"/>
      <c r="RRI99" s="769"/>
      <c r="RRJ99" s="769"/>
      <c r="RRK99" s="769"/>
      <c r="RRL99" s="769"/>
      <c r="RRM99" s="769"/>
      <c r="RRN99" s="769"/>
      <c r="RRO99" s="769"/>
      <c r="RRP99" s="769"/>
      <c r="RRQ99" s="769"/>
      <c r="RRR99" s="769"/>
      <c r="RRS99" s="769"/>
      <c r="RRT99" s="769"/>
      <c r="RRU99" s="769"/>
      <c r="RRV99" s="769"/>
      <c r="RRW99" s="769"/>
      <c r="RRX99" s="769"/>
      <c r="RRY99" s="769"/>
      <c r="RRZ99" s="769"/>
      <c r="RSA99" s="769"/>
      <c r="RSB99" s="769"/>
      <c r="RSC99" s="769"/>
      <c r="RSD99" s="769"/>
      <c r="RSE99" s="769"/>
      <c r="RSF99" s="769"/>
      <c r="RSG99" s="769"/>
      <c r="RSH99" s="769"/>
      <c r="RSI99" s="769"/>
      <c r="RSJ99" s="769"/>
      <c r="RSK99" s="769"/>
      <c r="RSL99" s="769"/>
      <c r="RSM99" s="769"/>
      <c r="RSN99" s="769"/>
      <c r="RSO99" s="769"/>
      <c r="RSP99" s="769"/>
      <c r="RSQ99" s="769"/>
      <c r="RSR99" s="769"/>
      <c r="RSS99" s="769"/>
      <c r="RST99" s="769"/>
      <c r="RSU99" s="769"/>
      <c r="RSV99" s="769"/>
      <c r="RSW99" s="769"/>
      <c r="RSX99" s="769"/>
      <c r="RSY99" s="769"/>
      <c r="RSZ99" s="769"/>
      <c r="RTA99" s="769"/>
      <c r="RTB99" s="769"/>
      <c r="RTC99" s="769"/>
      <c r="RTD99" s="769"/>
      <c r="RTE99" s="769"/>
      <c r="RTF99" s="769"/>
      <c r="RTG99" s="769"/>
      <c r="RTH99" s="769"/>
      <c r="RTI99" s="769"/>
      <c r="RTJ99" s="769"/>
      <c r="RTK99" s="769"/>
      <c r="RTL99" s="769"/>
      <c r="RTM99" s="769"/>
      <c r="RTN99" s="769"/>
      <c r="RTO99" s="769"/>
      <c r="RTP99" s="769"/>
      <c r="RTQ99" s="769"/>
      <c r="RTR99" s="769"/>
      <c r="RTS99" s="769"/>
      <c r="RTT99" s="769"/>
      <c r="RTU99" s="769"/>
      <c r="RTV99" s="769"/>
      <c r="RTW99" s="769"/>
      <c r="RTX99" s="769"/>
      <c r="RTY99" s="769"/>
      <c r="RTZ99" s="769"/>
      <c r="RUA99" s="769"/>
      <c r="RUB99" s="769"/>
      <c r="RUC99" s="769"/>
      <c r="RUD99" s="769"/>
      <c r="RUE99" s="769"/>
      <c r="RUF99" s="769"/>
      <c r="RUG99" s="769"/>
      <c r="RUH99" s="769"/>
      <c r="RUI99" s="769"/>
      <c r="RUJ99" s="769"/>
      <c r="RUK99" s="769"/>
      <c r="RUL99" s="769"/>
      <c r="RUM99" s="769"/>
      <c r="RUN99" s="769"/>
      <c r="RUO99" s="769"/>
      <c r="RUP99" s="769"/>
      <c r="RUQ99" s="769"/>
      <c r="RUR99" s="769"/>
      <c r="RUS99" s="769"/>
      <c r="RUT99" s="769"/>
      <c r="RUU99" s="769"/>
      <c r="RUV99" s="769"/>
      <c r="RUW99" s="769"/>
      <c r="RUX99" s="769"/>
      <c r="RUY99" s="769"/>
      <c r="RUZ99" s="769"/>
      <c r="RVA99" s="769"/>
      <c r="RVB99" s="769"/>
      <c r="RVC99" s="769"/>
      <c r="RVD99" s="769"/>
      <c r="RVE99" s="769"/>
      <c r="RVF99" s="769"/>
      <c r="RVG99" s="769"/>
      <c r="RVH99" s="769"/>
      <c r="RVI99" s="769"/>
      <c r="RVJ99" s="769"/>
      <c r="RVK99" s="769"/>
      <c r="RVL99" s="769"/>
      <c r="RVM99" s="769"/>
      <c r="RVN99" s="769"/>
      <c r="RVO99" s="769"/>
      <c r="RVP99" s="769"/>
      <c r="RVQ99" s="769"/>
      <c r="RVR99" s="769"/>
      <c r="RVS99" s="769"/>
      <c r="RVT99" s="769"/>
      <c r="RVU99" s="769"/>
      <c r="RVV99" s="769"/>
      <c r="RVW99" s="769"/>
      <c r="RVX99" s="769"/>
      <c r="RVY99" s="769"/>
      <c r="RVZ99" s="769"/>
      <c r="RWA99" s="769"/>
      <c r="RWB99" s="769"/>
      <c r="RWC99" s="769"/>
      <c r="RWD99" s="769"/>
      <c r="RWE99" s="769"/>
      <c r="RWF99" s="769"/>
      <c r="RWG99" s="769"/>
      <c r="RWH99" s="769"/>
      <c r="RWI99" s="769"/>
      <c r="RWJ99" s="769"/>
      <c r="RWK99" s="769"/>
      <c r="RWL99" s="769"/>
      <c r="RWM99" s="769"/>
      <c r="RWN99" s="769"/>
      <c r="RWO99" s="769"/>
      <c r="RWP99" s="769"/>
      <c r="RWQ99" s="769"/>
      <c r="RWR99" s="769"/>
      <c r="RWS99" s="769"/>
      <c r="RWT99" s="769"/>
      <c r="RWU99" s="769"/>
      <c r="RWV99" s="769"/>
      <c r="RWW99" s="769"/>
      <c r="RWX99" s="769"/>
      <c r="RWY99" s="769"/>
      <c r="RWZ99" s="769"/>
      <c r="RXA99" s="769"/>
      <c r="RXB99" s="769"/>
      <c r="RXC99" s="769"/>
      <c r="RXD99" s="769"/>
      <c r="RXE99" s="769"/>
      <c r="RXF99" s="769"/>
      <c r="RXG99" s="769"/>
      <c r="RXH99" s="769"/>
      <c r="RXI99" s="769"/>
      <c r="RXJ99" s="769"/>
      <c r="RXK99" s="769"/>
      <c r="RXL99" s="769"/>
      <c r="RXM99" s="769"/>
      <c r="RXN99" s="769"/>
      <c r="RXO99" s="769"/>
      <c r="RXP99" s="769"/>
      <c r="RXQ99" s="769"/>
      <c r="RXR99" s="769"/>
      <c r="RXS99" s="769"/>
      <c r="RXT99" s="769"/>
      <c r="RXU99" s="769"/>
      <c r="RXV99" s="769"/>
      <c r="RXW99" s="769"/>
      <c r="RXX99" s="769"/>
      <c r="RXY99" s="769"/>
      <c r="RXZ99" s="769"/>
      <c r="RYA99" s="769"/>
      <c r="RYB99" s="769"/>
      <c r="RYC99" s="769"/>
      <c r="RYD99" s="769"/>
      <c r="RYE99" s="769"/>
      <c r="RYF99" s="769"/>
      <c r="RYG99" s="769"/>
      <c r="RYH99" s="769"/>
      <c r="RYI99" s="769"/>
      <c r="RYJ99" s="769"/>
      <c r="RYK99" s="769"/>
      <c r="RYL99" s="769"/>
      <c r="RYM99" s="769"/>
      <c r="RYN99" s="769"/>
      <c r="RYO99" s="769"/>
      <c r="RYP99" s="769"/>
      <c r="RYQ99" s="769"/>
      <c r="RYR99" s="769"/>
      <c r="RYS99" s="769"/>
      <c r="RYT99" s="769"/>
      <c r="RYU99" s="769"/>
      <c r="RYV99" s="769"/>
      <c r="RYW99" s="769"/>
      <c r="RYX99" s="769"/>
      <c r="RYY99" s="769"/>
      <c r="RYZ99" s="769"/>
      <c r="RZA99" s="769"/>
      <c r="RZB99" s="769"/>
      <c r="RZC99" s="769"/>
      <c r="RZD99" s="769"/>
      <c r="RZE99" s="769"/>
      <c r="RZF99" s="769"/>
      <c r="RZG99" s="769"/>
      <c r="RZH99" s="769"/>
      <c r="RZI99" s="769"/>
      <c r="RZJ99" s="769"/>
      <c r="RZK99" s="769"/>
      <c r="RZL99" s="769"/>
      <c r="RZM99" s="769"/>
      <c r="RZN99" s="769"/>
      <c r="RZO99" s="769"/>
      <c r="RZP99" s="769"/>
      <c r="RZQ99" s="769"/>
      <c r="RZR99" s="769"/>
      <c r="RZS99" s="769"/>
      <c r="RZT99" s="769"/>
      <c r="RZU99" s="769"/>
      <c r="RZV99" s="769"/>
      <c r="RZW99" s="769"/>
      <c r="RZX99" s="769"/>
      <c r="RZY99" s="769"/>
      <c r="RZZ99" s="769"/>
      <c r="SAA99" s="769"/>
      <c r="SAB99" s="769"/>
      <c r="SAC99" s="769"/>
      <c r="SAD99" s="769"/>
      <c r="SAE99" s="769"/>
      <c r="SAF99" s="769"/>
      <c r="SAG99" s="769"/>
      <c r="SAH99" s="769"/>
      <c r="SAI99" s="769"/>
      <c r="SAJ99" s="769"/>
      <c r="SAK99" s="769"/>
      <c r="SAL99" s="769"/>
      <c r="SAM99" s="769"/>
      <c r="SAN99" s="769"/>
      <c r="SAO99" s="769"/>
      <c r="SAP99" s="769"/>
      <c r="SAQ99" s="769"/>
      <c r="SAR99" s="769"/>
      <c r="SAS99" s="769"/>
      <c r="SAT99" s="769"/>
      <c r="SAU99" s="769"/>
      <c r="SAV99" s="769"/>
      <c r="SAW99" s="769"/>
      <c r="SAX99" s="769"/>
      <c r="SAY99" s="769"/>
      <c r="SAZ99" s="769"/>
      <c r="SBA99" s="769"/>
      <c r="SBB99" s="769"/>
      <c r="SBC99" s="769"/>
      <c r="SBD99" s="769"/>
      <c r="SBE99" s="769"/>
      <c r="SBF99" s="769"/>
      <c r="SBG99" s="769"/>
      <c r="SBH99" s="769"/>
      <c r="SBI99" s="769"/>
      <c r="SBJ99" s="769"/>
      <c r="SBK99" s="769"/>
      <c r="SBL99" s="769"/>
      <c r="SBM99" s="769"/>
      <c r="SBN99" s="769"/>
      <c r="SBO99" s="769"/>
      <c r="SBP99" s="769"/>
      <c r="SBQ99" s="769"/>
      <c r="SBR99" s="769"/>
      <c r="SBS99" s="769"/>
      <c r="SBT99" s="769"/>
      <c r="SBU99" s="769"/>
      <c r="SBV99" s="769"/>
      <c r="SBW99" s="769"/>
      <c r="SBX99" s="769"/>
      <c r="SBY99" s="769"/>
      <c r="SBZ99" s="769"/>
      <c r="SCA99" s="769"/>
      <c r="SCB99" s="769"/>
      <c r="SCC99" s="769"/>
      <c r="SCD99" s="769"/>
      <c r="SCE99" s="769"/>
      <c r="SCF99" s="769"/>
      <c r="SCG99" s="769"/>
      <c r="SCH99" s="769"/>
      <c r="SCI99" s="769"/>
      <c r="SCJ99" s="769"/>
      <c r="SCK99" s="769"/>
      <c r="SCL99" s="769"/>
      <c r="SCM99" s="769"/>
      <c r="SCN99" s="769"/>
      <c r="SCO99" s="769"/>
      <c r="SCP99" s="769"/>
      <c r="SCQ99" s="769"/>
      <c r="SCR99" s="769"/>
      <c r="SCS99" s="769"/>
      <c r="SCT99" s="769"/>
      <c r="SCU99" s="769"/>
      <c r="SCV99" s="769"/>
      <c r="SCW99" s="769"/>
      <c r="SCX99" s="769"/>
      <c r="SCY99" s="769"/>
      <c r="SCZ99" s="769"/>
      <c r="SDA99" s="769"/>
      <c r="SDB99" s="769"/>
      <c r="SDC99" s="769"/>
      <c r="SDD99" s="769"/>
      <c r="SDE99" s="769"/>
      <c r="SDF99" s="769"/>
      <c r="SDG99" s="769"/>
      <c r="SDH99" s="769"/>
      <c r="SDI99" s="769"/>
      <c r="SDJ99" s="769"/>
      <c r="SDK99" s="769"/>
      <c r="SDL99" s="769"/>
      <c r="SDM99" s="769"/>
      <c r="SDN99" s="769"/>
      <c r="SDO99" s="769"/>
      <c r="SDP99" s="769"/>
      <c r="SDQ99" s="769"/>
      <c r="SDR99" s="769"/>
      <c r="SDS99" s="769"/>
      <c r="SDT99" s="769"/>
      <c r="SDU99" s="769"/>
      <c r="SDV99" s="769"/>
      <c r="SDW99" s="769"/>
      <c r="SDX99" s="769"/>
      <c r="SDY99" s="769"/>
      <c r="SDZ99" s="769"/>
      <c r="SEA99" s="769"/>
      <c r="SEB99" s="769"/>
      <c r="SEC99" s="769"/>
      <c r="SED99" s="769"/>
      <c r="SEE99" s="769"/>
      <c r="SEF99" s="769"/>
      <c r="SEG99" s="769"/>
      <c r="SEH99" s="769"/>
      <c r="SEI99" s="769"/>
      <c r="SEJ99" s="769"/>
      <c r="SEK99" s="769"/>
      <c r="SEL99" s="769"/>
      <c r="SEM99" s="769"/>
      <c r="SEN99" s="769"/>
      <c r="SEO99" s="769"/>
      <c r="SEP99" s="769"/>
      <c r="SEQ99" s="769"/>
      <c r="SER99" s="769"/>
      <c r="SES99" s="769"/>
      <c r="SET99" s="769"/>
      <c r="SEU99" s="769"/>
      <c r="SEV99" s="769"/>
      <c r="SEW99" s="769"/>
      <c r="SEX99" s="769"/>
      <c r="SEY99" s="769"/>
      <c r="SEZ99" s="769"/>
      <c r="SFA99" s="769"/>
      <c r="SFB99" s="769"/>
      <c r="SFC99" s="769"/>
      <c r="SFD99" s="769"/>
      <c r="SFE99" s="769"/>
      <c r="SFF99" s="769"/>
      <c r="SFG99" s="769"/>
      <c r="SFH99" s="769"/>
      <c r="SFI99" s="769"/>
      <c r="SFJ99" s="769"/>
      <c r="SFK99" s="769"/>
      <c r="SFL99" s="769"/>
      <c r="SFM99" s="769"/>
      <c r="SFN99" s="769"/>
      <c r="SFO99" s="769"/>
      <c r="SFP99" s="769"/>
      <c r="SFQ99" s="769"/>
      <c r="SFR99" s="769"/>
      <c r="SFS99" s="769"/>
      <c r="SFT99" s="769"/>
      <c r="SFU99" s="769"/>
      <c r="SFV99" s="769"/>
      <c r="SFW99" s="769"/>
      <c r="SFX99" s="769"/>
      <c r="SFY99" s="769"/>
      <c r="SFZ99" s="769"/>
      <c r="SGA99" s="769"/>
      <c r="SGB99" s="769"/>
      <c r="SGC99" s="769"/>
      <c r="SGD99" s="769"/>
      <c r="SGE99" s="769"/>
      <c r="SGF99" s="769"/>
      <c r="SGG99" s="769"/>
      <c r="SGH99" s="769"/>
      <c r="SGI99" s="769"/>
      <c r="SGJ99" s="769"/>
      <c r="SGK99" s="769"/>
      <c r="SGL99" s="769"/>
      <c r="SGM99" s="769"/>
      <c r="SGN99" s="769"/>
      <c r="SGO99" s="769"/>
      <c r="SGP99" s="769"/>
      <c r="SGQ99" s="769"/>
      <c r="SGR99" s="769"/>
      <c r="SGS99" s="769"/>
      <c r="SGT99" s="769"/>
      <c r="SGU99" s="769"/>
      <c r="SGV99" s="769"/>
      <c r="SGW99" s="769"/>
      <c r="SGX99" s="769"/>
      <c r="SGY99" s="769"/>
      <c r="SGZ99" s="769"/>
      <c r="SHA99" s="769"/>
      <c r="SHB99" s="769"/>
      <c r="SHC99" s="769"/>
      <c r="SHD99" s="769"/>
      <c r="SHE99" s="769"/>
      <c r="SHF99" s="769"/>
      <c r="SHG99" s="769"/>
      <c r="SHH99" s="769"/>
      <c r="SHI99" s="769"/>
      <c r="SHJ99" s="769"/>
      <c r="SHK99" s="769"/>
      <c r="SHL99" s="769"/>
      <c r="SHM99" s="769"/>
      <c r="SHN99" s="769"/>
      <c r="SHO99" s="769"/>
      <c r="SHP99" s="769"/>
      <c r="SHQ99" s="769"/>
      <c r="SHR99" s="769"/>
      <c r="SHS99" s="769"/>
      <c r="SHT99" s="769"/>
      <c r="SHU99" s="769"/>
      <c r="SHV99" s="769"/>
      <c r="SHW99" s="769"/>
      <c r="SHX99" s="769"/>
      <c r="SHY99" s="769"/>
      <c r="SHZ99" s="769"/>
      <c r="SIA99" s="769"/>
      <c r="SIB99" s="769"/>
      <c r="SIC99" s="769"/>
      <c r="SID99" s="769"/>
      <c r="SIE99" s="769"/>
      <c r="SIF99" s="769"/>
      <c r="SIG99" s="769"/>
      <c r="SIH99" s="769"/>
      <c r="SII99" s="769"/>
      <c r="SIJ99" s="769"/>
      <c r="SIK99" s="769"/>
      <c r="SIL99" s="769"/>
      <c r="SIM99" s="769"/>
      <c r="SIN99" s="769"/>
      <c r="SIO99" s="769"/>
      <c r="SIP99" s="769"/>
      <c r="SIQ99" s="769"/>
      <c r="SIR99" s="769"/>
      <c r="SIS99" s="769"/>
      <c r="SIT99" s="769"/>
      <c r="SIU99" s="769"/>
      <c r="SIV99" s="769"/>
      <c r="SIW99" s="769"/>
      <c r="SIX99" s="769"/>
      <c r="SIY99" s="769"/>
      <c r="SIZ99" s="769"/>
      <c r="SJA99" s="769"/>
      <c r="SJB99" s="769"/>
      <c r="SJC99" s="769"/>
      <c r="SJD99" s="769"/>
      <c r="SJE99" s="769"/>
      <c r="SJF99" s="769"/>
      <c r="SJG99" s="769"/>
      <c r="SJH99" s="769"/>
      <c r="SJI99" s="769"/>
      <c r="SJJ99" s="769"/>
      <c r="SJK99" s="769"/>
      <c r="SJL99" s="769"/>
      <c r="SJM99" s="769"/>
      <c r="SJN99" s="769"/>
      <c r="SJO99" s="769"/>
      <c r="SJP99" s="769"/>
      <c r="SJQ99" s="769"/>
      <c r="SJR99" s="769"/>
      <c r="SJS99" s="769"/>
      <c r="SJT99" s="769"/>
      <c r="SJU99" s="769"/>
      <c r="SJV99" s="769"/>
      <c r="SJW99" s="769"/>
      <c r="SJX99" s="769"/>
      <c r="SJY99" s="769"/>
      <c r="SJZ99" s="769"/>
      <c r="SKA99" s="769"/>
      <c r="SKB99" s="769"/>
      <c r="SKC99" s="769"/>
      <c r="SKD99" s="769"/>
      <c r="SKE99" s="769"/>
      <c r="SKF99" s="769"/>
      <c r="SKG99" s="769"/>
      <c r="SKH99" s="769"/>
      <c r="SKI99" s="769"/>
      <c r="SKJ99" s="769"/>
      <c r="SKK99" s="769"/>
      <c r="SKL99" s="769"/>
      <c r="SKM99" s="769"/>
      <c r="SKN99" s="769"/>
      <c r="SKO99" s="769"/>
      <c r="SKP99" s="769"/>
      <c r="SKQ99" s="769"/>
      <c r="SKR99" s="769"/>
      <c r="SKS99" s="769"/>
      <c r="SKT99" s="769"/>
      <c r="SKU99" s="769"/>
      <c r="SKV99" s="769"/>
      <c r="SKW99" s="769"/>
      <c r="SKX99" s="769"/>
      <c r="SKY99" s="769"/>
      <c r="SKZ99" s="769"/>
      <c r="SLA99" s="769"/>
      <c r="SLB99" s="769"/>
      <c r="SLC99" s="769"/>
      <c r="SLD99" s="769"/>
      <c r="SLE99" s="769"/>
      <c r="SLF99" s="769"/>
      <c r="SLG99" s="769"/>
      <c r="SLH99" s="769"/>
      <c r="SLI99" s="769"/>
      <c r="SLJ99" s="769"/>
      <c r="SLK99" s="769"/>
      <c r="SLL99" s="769"/>
      <c r="SLM99" s="769"/>
      <c r="SLN99" s="769"/>
      <c r="SLO99" s="769"/>
      <c r="SLP99" s="769"/>
      <c r="SLQ99" s="769"/>
      <c r="SLR99" s="769"/>
      <c r="SLS99" s="769"/>
      <c r="SLT99" s="769"/>
      <c r="SLU99" s="769"/>
      <c r="SLV99" s="769"/>
      <c r="SLW99" s="769"/>
      <c r="SLX99" s="769"/>
      <c r="SLY99" s="769"/>
      <c r="SLZ99" s="769"/>
      <c r="SMA99" s="769"/>
      <c r="SMB99" s="769"/>
      <c r="SMC99" s="769"/>
      <c r="SMD99" s="769"/>
      <c r="SME99" s="769"/>
      <c r="SMF99" s="769"/>
      <c r="SMG99" s="769"/>
      <c r="SMH99" s="769"/>
      <c r="SMI99" s="769"/>
      <c r="SMJ99" s="769"/>
      <c r="SMK99" s="769"/>
      <c r="SML99" s="769"/>
      <c r="SMM99" s="769"/>
      <c r="SMN99" s="769"/>
      <c r="SMO99" s="769"/>
      <c r="SMP99" s="769"/>
      <c r="SMQ99" s="769"/>
      <c r="SMR99" s="769"/>
      <c r="SMS99" s="769"/>
      <c r="SMT99" s="769"/>
      <c r="SMU99" s="769"/>
      <c r="SMV99" s="769"/>
      <c r="SMW99" s="769"/>
      <c r="SMX99" s="769"/>
      <c r="SMY99" s="769"/>
      <c r="SMZ99" s="769"/>
      <c r="SNA99" s="769"/>
      <c r="SNB99" s="769"/>
      <c r="SNC99" s="769"/>
      <c r="SND99" s="769"/>
      <c r="SNE99" s="769"/>
      <c r="SNF99" s="769"/>
      <c r="SNG99" s="769"/>
      <c r="SNH99" s="769"/>
      <c r="SNI99" s="769"/>
      <c r="SNJ99" s="769"/>
      <c r="SNK99" s="769"/>
      <c r="SNL99" s="769"/>
      <c r="SNM99" s="769"/>
      <c r="SNN99" s="769"/>
      <c r="SNO99" s="769"/>
      <c r="SNP99" s="769"/>
      <c r="SNQ99" s="769"/>
      <c r="SNR99" s="769"/>
      <c r="SNS99" s="769"/>
      <c r="SNT99" s="769"/>
      <c r="SNU99" s="769"/>
      <c r="SNV99" s="769"/>
      <c r="SNW99" s="769"/>
      <c r="SNX99" s="769"/>
      <c r="SNY99" s="769"/>
      <c r="SNZ99" s="769"/>
      <c r="SOA99" s="769"/>
      <c r="SOB99" s="769"/>
      <c r="SOC99" s="769"/>
      <c r="SOD99" s="769"/>
      <c r="SOE99" s="769"/>
      <c r="SOF99" s="769"/>
      <c r="SOG99" s="769"/>
      <c r="SOH99" s="769"/>
      <c r="SOI99" s="769"/>
      <c r="SOJ99" s="769"/>
      <c r="SOK99" s="769"/>
      <c r="SOL99" s="769"/>
      <c r="SOM99" s="769"/>
      <c r="SON99" s="769"/>
      <c r="SOO99" s="769"/>
      <c r="SOP99" s="769"/>
      <c r="SOQ99" s="769"/>
      <c r="SOR99" s="769"/>
      <c r="SOS99" s="769"/>
      <c r="SOT99" s="769"/>
      <c r="SOU99" s="769"/>
      <c r="SOV99" s="769"/>
      <c r="SOW99" s="769"/>
      <c r="SOX99" s="769"/>
      <c r="SOY99" s="769"/>
      <c r="SOZ99" s="769"/>
      <c r="SPA99" s="769"/>
      <c r="SPB99" s="769"/>
      <c r="SPC99" s="769"/>
      <c r="SPD99" s="769"/>
      <c r="SPE99" s="769"/>
      <c r="SPF99" s="769"/>
      <c r="SPG99" s="769"/>
      <c r="SPH99" s="769"/>
      <c r="SPI99" s="769"/>
      <c r="SPJ99" s="769"/>
      <c r="SPK99" s="769"/>
      <c r="SPL99" s="769"/>
      <c r="SPM99" s="769"/>
      <c r="SPN99" s="769"/>
      <c r="SPO99" s="769"/>
      <c r="SPP99" s="769"/>
      <c r="SPQ99" s="769"/>
      <c r="SPR99" s="769"/>
      <c r="SPS99" s="769"/>
      <c r="SPT99" s="769"/>
      <c r="SPU99" s="769"/>
      <c r="SPV99" s="769"/>
      <c r="SPW99" s="769"/>
      <c r="SPX99" s="769"/>
      <c r="SPY99" s="769"/>
      <c r="SPZ99" s="769"/>
      <c r="SQA99" s="769"/>
      <c r="SQB99" s="769"/>
      <c r="SQC99" s="769"/>
      <c r="SQD99" s="769"/>
      <c r="SQE99" s="769"/>
      <c r="SQF99" s="769"/>
      <c r="SQG99" s="769"/>
      <c r="SQH99" s="769"/>
      <c r="SQI99" s="769"/>
      <c r="SQJ99" s="769"/>
      <c r="SQK99" s="769"/>
      <c r="SQL99" s="769"/>
      <c r="SQM99" s="769"/>
      <c r="SQN99" s="769"/>
      <c r="SQO99" s="769"/>
      <c r="SQP99" s="769"/>
      <c r="SQQ99" s="769"/>
      <c r="SQR99" s="769"/>
      <c r="SQS99" s="769"/>
      <c r="SQT99" s="769"/>
      <c r="SQU99" s="769"/>
      <c r="SQV99" s="769"/>
      <c r="SQW99" s="769"/>
      <c r="SQX99" s="769"/>
      <c r="SQY99" s="769"/>
      <c r="SQZ99" s="769"/>
      <c r="SRA99" s="769"/>
      <c r="SRB99" s="769"/>
      <c r="SRC99" s="769"/>
      <c r="SRD99" s="769"/>
      <c r="SRE99" s="769"/>
      <c r="SRF99" s="769"/>
      <c r="SRG99" s="769"/>
      <c r="SRH99" s="769"/>
      <c r="SRI99" s="769"/>
      <c r="SRJ99" s="769"/>
      <c r="SRK99" s="769"/>
      <c r="SRL99" s="769"/>
      <c r="SRM99" s="769"/>
      <c r="SRN99" s="769"/>
      <c r="SRO99" s="769"/>
      <c r="SRP99" s="769"/>
      <c r="SRQ99" s="769"/>
      <c r="SRR99" s="769"/>
      <c r="SRS99" s="769"/>
      <c r="SRT99" s="769"/>
      <c r="SRU99" s="769"/>
      <c r="SRV99" s="769"/>
      <c r="SRW99" s="769"/>
      <c r="SRX99" s="769"/>
      <c r="SRY99" s="769"/>
      <c r="SRZ99" s="769"/>
      <c r="SSA99" s="769"/>
      <c r="SSB99" s="769"/>
      <c r="SSC99" s="769"/>
      <c r="SSD99" s="769"/>
      <c r="SSE99" s="769"/>
      <c r="SSF99" s="769"/>
      <c r="SSG99" s="769"/>
      <c r="SSH99" s="769"/>
      <c r="SSI99" s="769"/>
      <c r="SSJ99" s="769"/>
      <c r="SSK99" s="769"/>
      <c r="SSL99" s="769"/>
      <c r="SSM99" s="769"/>
      <c r="SSN99" s="769"/>
      <c r="SSO99" s="769"/>
      <c r="SSP99" s="769"/>
      <c r="SSQ99" s="769"/>
      <c r="SSR99" s="769"/>
      <c r="SSS99" s="769"/>
      <c r="SST99" s="769"/>
      <c r="SSU99" s="769"/>
      <c r="SSV99" s="769"/>
      <c r="SSW99" s="769"/>
      <c r="SSX99" s="769"/>
      <c r="SSY99" s="769"/>
      <c r="SSZ99" s="769"/>
      <c r="STA99" s="769"/>
      <c r="STB99" s="769"/>
      <c r="STC99" s="769"/>
      <c r="STD99" s="769"/>
      <c r="STE99" s="769"/>
      <c r="STF99" s="769"/>
      <c r="STG99" s="769"/>
      <c r="STH99" s="769"/>
      <c r="STI99" s="769"/>
      <c r="STJ99" s="769"/>
      <c r="STK99" s="769"/>
      <c r="STL99" s="769"/>
      <c r="STM99" s="769"/>
      <c r="STN99" s="769"/>
      <c r="STO99" s="769"/>
      <c r="STP99" s="769"/>
      <c r="STQ99" s="769"/>
      <c r="STR99" s="769"/>
      <c r="STS99" s="769"/>
      <c r="STT99" s="769"/>
      <c r="STU99" s="769"/>
      <c r="STV99" s="769"/>
      <c r="STW99" s="769"/>
      <c r="STX99" s="769"/>
      <c r="STY99" s="769"/>
      <c r="STZ99" s="769"/>
      <c r="SUA99" s="769"/>
      <c r="SUB99" s="769"/>
      <c r="SUC99" s="769"/>
      <c r="SUD99" s="769"/>
      <c r="SUE99" s="769"/>
      <c r="SUF99" s="769"/>
      <c r="SUG99" s="769"/>
      <c r="SUH99" s="769"/>
      <c r="SUI99" s="769"/>
      <c r="SUJ99" s="769"/>
      <c r="SUK99" s="769"/>
      <c r="SUL99" s="769"/>
      <c r="SUM99" s="769"/>
      <c r="SUN99" s="769"/>
      <c r="SUO99" s="769"/>
      <c r="SUP99" s="769"/>
      <c r="SUQ99" s="769"/>
      <c r="SUR99" s="769"/>
      <c r="SUS99" s="769"/>
      <c r="SUT99" s="769"/>
      <c r="SUU99" s="769"/>
      <c r="SUV99" s="769"/>
      <c r="SUW99" s="769"/>
      <c r="SUX99" s="769"/>
      <c r="SUY99" s="769"/>
      <c r="SUZ99" s="769"/>
      <c r="SVA99" s="769"/>
      <c r="SVB99" s="769"/>
      <c r="SVC99" s="769"/>
      <c r="SVD99" s="769"/>
      <c r="SVE99" s="769"/>
      <c r="SVF99" s="769"/>
      <c r="SVG99" s="769"/>
      <c r="SVH99" s="769"/>
      <c r="SVI99" s="769"/>
      <c r="SVJ99" s="769"/>
      <c r="SVK99" s="769"/>
      <c r="SVL99" s="769"/>
      <c r="SVM99" s="769"/>
      <c r="SVN99" s="769"/>
      <c r="SVO99" s="769"/>
      <c r="SVP99" s="769"/>
      <c r="SVQ99" s="769"/>
      <c r="SVR99" s="769"/>
      <c r="SVS99" s="769"/>
      <c r="SVT99" s="769"/>
      <c r="SVU99" s="769"/>
      <c r="SVV99" s="769"/>
      <c r="SVW99" s="769"/>
      <c r="SVX99" s="769"/>
      <c r="SVY99" s="769"/>
      <c r="SVZ99" s="769"/>
      <c r="SWA99" s="769"/>
      <c r="SWB99" s="769"/>
      <c r="SWC99" s="769"/>
      <c r="SWD99" s="769"/>
      <c r="SWE99" s="769"/>
      <c r="SWF99" s="769"/>
      <c r="SWG99" s="769"/>
      <c r="SWH99" s="769"/>
      <c r="SWI99" s="769"/>
      <c r="SWJ99" s="769"/>
      <c r="SWK99" s="769"/>
      <c r="SWL99" s="769"/>
      <c r="SWM99" s="769"/>
      <c r="SWN99" s="769"/>
      <c r="SWO99" s="769"/>
      <c r="SWP99" s="769"/>
      <c r="SWQ99" s="769"/>
      <c r="SWR99" s="769"/>
      <c r="SWS99" s="769"/>
      <c r="SWT99" s="769"/>
      <c r="SWU99" s="769"/>
      <c r="SWV99" s="769"/>
      <c r="SWW99" s="769"/>
      <c r="SWX99" s="769"/>
      <c r="SWY99" s="769"/>
      <c r="SWZ99" s="769"/>
      <c r="SXA99" s="769"/>
      <c r="SXB99" s="769"/>
      <c r="SXC99" s="769"/>
      <c r="SXD99" s="769"/>
      <c r="SXE99" s="769"/>
      <c r="SXF99" s="769"/>
      <c r="SXG99" s="769"/>
      <c r="SXH99" s="769"/>
      <c r="SXI99" s="769"/>
      <c r="SXJ99" s="769"/>
      <c r="SXK99" s="769"/>
      <c r="SXL99" s="769"/>
      <c r="SXM99" s="769"/>
      <c r="SXN99" s="769"/>
      <c r="SXO99" s="769"/>
      <c r="SXP99" s="769"/>
      <c r="SXQ99" s="769"/>
      <c r="SXR99" s="769"/>
      <c r="SXS99" s="769"/>
      <c r="SXT99" s="769"/>
      <c r="SXU99" s="769"/>
      <c r="SXV99" s="769"/>
      <c r="SXW99" s="769"/>
      <c r="SXX99" s="769"/>
      <c r="SXY99" s="769"/>
      <c r="SXZ99" s="769"/>
      <c r="SYA99" s="769"/>
      <c r="SYB99" s="769"/>
      <c r="SYC99" s="769"/>
      <c r="SYD99" s="769"/>
      <c r="SYE99" s="769"/>
      <c r="SYF99" s="769"/>
      <c r="SYG99" s="769"/>
      <c r="SYH99" s="769"/>
      <c r="SYI99" s="769"/>
      <c r="SYJ99" s="769"/>
      <c r="SYK99" s="769"/>
      <c r="SYL99" s="769"/>
      <c r="SYM99" s="769"/>
      <c r="SYN99" s="769"/>
      <c r="SYO99" s="769"/>
      <c r="SYP99" s="769"/>
      <c r="SYQ99" s="769"/>
      <c r="SYR99" s="769"/>
      <c r="SYS99" s="769"/>
      <c r="SYT99" s="769"/>
      <c r="SYU99" s="769"/>
      <c r="SYV99" s="769"/>
      <c r="SYW99" s="769"/>
      <c r="SYX99" s="769"/>
      <c r="SYY99" s="769"/>
      <c r="SYZ99" s="769"/>
      <c r="SZA99" s="769"/>
      <c r="SZB99" s="769"/>
      <c r="SZC99" s="769"/>
      <c r="SZD99" s="769"/>
      <c r="SZE99" s="769"/>
      <c r="SZF99" s="769"/>
      <c r="SZG99" s="769"/>
      <c r="SZH99" s="769"/>
      <c r="SZI99" s="769"/>
      <c r="SZJ99" s="769"/>
      <c r="SZK99" s="769"/>
      <c r="SZL99" s="769"/>
      <c r="SZM99" s="769"/>
      <c r="SZN99" s="769"/>
      <c r="SZO99" s="769"/>
      <c r="SZP99" s="769"/>
      <c r="SZQ99" s="769"/>
      <c r="SZR99" s="769"/>
      <c r="SZS99" s="769"/>
      <c r="SZT99" s="769"/>
      <c r="SZU99" s="769"/>
      <c r="SZV99" s="769"/>
      <c r="SZW99" s="769"/>
      <c r="SZX99" s="769"/>
      <c r="SZY99" s="769"/>
      <c r="SZZ99" s="769"/>
      <c r="TAA99" s="769"/>
      <c r="TAB99" s="769"/>
      <c r="TAC99" s="769"/>
      <c r="TAD99" s="769"/>
      <c r="TAE99" s="769"/>
      <c r="TAF99" s="769"/>
      <c r="TAG99" s="769"/>
      <c r="TAH99" s="769"/>
      <c r="TAI99" s="769"/>
      <c r="TAJ99" s="769"/>
      <c r="TAK99" s="769"/>
      <c r="TAL99" s="769"/>
      <c r="TAM99" s="769"/>
      <c r="TAN99" s="769"/>
      <c r="TAO99" s="769"/>
      <c r="TAP99" s="769"/>
      <c r="TAQ99" s="769"/>
      <c r="TAR99" s="769"/>
      <c r="TAS99" s="769"/>
      <c r="TAT99" s="769"/>
      <c r="TAU99" s="769"/>
      <c r="TAV99" s="769"/>
      <c r="TAW99" s="769"/>
      <c r="TAX99" s="769"/>
      <c r="TAY99" s="769"/>
      <c r="TAZ99" s="769"/>
      <c r="TBA99" s="769"/>
      <c r="TBB99" s="769"/>
      <c r="TBC99" s="769"/>
      <c r="TBD99" s="769"/>
      <c r="TBE99" s="769"/>
      <c r="TBF99" s="769"/>
      <c r="TBG99" s="769"/>
      <c r="TBH99" s="769"/>
      <c r="TBI99" s="769"/>
      <c r="TBJ99" s="769"/>
      <c r="TBK99" s="769"/>
      <c r="TBL99" s="769"/>
      <c r="TBM99" s="769"/>
      <c r="TBN99" s="769"/>
      <c r="TBO99" s="769"/>
      <c r="TBP99" s="769"/>
      <c r="TBQ99" s="769"/>
      <c r="TBR99" s="769"/>
      <c r="TBS99" s="769"/>
      <c r="TBT99" s="769"/>
      <c r="TBU99" s="769"/>
      <c r="TBV99" s="769"/>
      <c r="TBW99" s="769"/>
      <c r="TBX99" s="769"/>
      <c r="TBY99" s="769"/>
      <c r="TBZ99" s="769"/>
      <c r="TCA99" s="769"/>
      <c r="TCB99" s="769"/>
      <c r="TCC99" s="769"/>
      <c r="TCD99" s="769"/>
      <c r="TCE99" s="769"/>
      <c r="TCF99" s="769"/>
      <c r="TCG99" s="769"/>
      <c r="TCH99" s="769"/>
      <c r="TCI99" s="769"/>
      <c r="TCJ99" s="769"/>
      <c r="TCK99" s="769"/>
      <c r="TCL99" s="769"/>
      <c r="TCM99" s="769"/>
      <c r="TCN99" s="769"/>
      <c r="TCO99" s="769"/>
      <c r="TCP99" s="769"/>
      <c r="TCQ99" s="769"/>
      <c r="TCR99" s="769"/>
      <c r="TCS99" s="769"/>
      <c r="TCT99" s="769"/>
      <c r="TCU99" s="769"/>
      <c r="TCV99" s="769"/>
      <c r="TCW99" s="769"/>
      <c r="TCX99" s="769"/>
      <c r="TCY99" s="769"/>
      <c r="TCZ99" s="769"/>
      <c r="TDA99" s="769"/>
      <c r="TDB99" s="769"/>
      <c r="TDC99" s="769"/>
      <c r="TDD99" s="769"/>
      <c r="TDE99" s="769"/>
      <c r="TDF99" s="769"/>
      <c r="TDG99" s="769"/>
      <c r="TDH99" s="769"/>
      <c r="TDI99" s="769"/>
      <c r="TDJ99" s="769"/>
      <c r="TDK99" s="769"/>
      <c r="TDL99" s="769"/>
      <c r="TDM99" s="769"/>
      <c r="TDN99" s="769"/>
      <c r="TDO99" s="769"/>
      <c r="TDP99" s="769"/>
      <c r="TDQ99" s="769"/>
      <c r="TDR99" s="769"/>
      <c r="TDS99" s="769"/>
      <c r="TDT99" s="769"/>
      <c r="TDU99" s="769"/>
      <c r="TDV99" s="769"/>
      <c r="TDW99" s="769"/>
      <c r="TDX99" s="769"/>
      <c r="TDY99" s="769"/>
      <c r="TDZ99" s="769"/>
      <c r="TEA99" s="769"/>
      <c r="TEB99" s="769"/>
      <c r="TEC99" s="769"/>
      <c r="TED99" s="769"/>
      <c r="TEE99" s="769"/>
      <c r="TEF99" s="769"/>
      <c r="TEG99" s="769"/>
      <c r="TEH99" s="769"/>
      <c r="TEI99" s="769"/>
      <c r="TEJ99" s="769"/>
      <c r="TEK99" s="769"/>
      <c r="TEL99" s="769"/>
      <c r="TEM99" s="769"/>
      <c r="TEN99" s="769"/>
      <c r="TEO99" s="769"/>
      <c r="TEP99" s="769"/>
      <c r="TEQ99" s="769"/>
      <c r="TER99" s="769"/>
      <c r="TES99" s="769"/>
      <c r="TET99" s="769"/>
      <c r="TEU99" s="769"/>
      <c r="TEV99" s="769"/>
      <c r="TEW99" s="769"/>
      <c r="TEX99" s="769"/>
      <c r="TEY99" s="769"/>
      <c r="TEZ99" s="769"/>
      <c r="TFA99" s="769"/>
      <c r="TFB99" s="769"/>
      <c r="TFC99" s="769"/>
      <c r="TFD99" s="769"/>
      <c r="TFE99" s="769"/>
      <c r="TFF99" s="769"/>
      <c r="TFG99" s="769"/>
      <c r="TFH99" s="769"/>
      <c r="TFI99" s="769"/>
      <c r="TFJ99" s="769"/>
      <c r="TFK99" s="769"/>
      <c r="TFL99" s="769"/>
      <c r="TFM99" s="769"/>
      <c r="TFN99" s="769"/>
      <c r="TFO99" s="769"/>
      <c r="TFP99" s="769"/>
      <c r="TFQ99" s="769"/>
      <c r="TFR99" s="769"/>
      <c r="TFS99" s="769"/>
      <c r="TFT99" s="769"/>
      <c r="TFU99" s="769"/>
      <c r="TFV99" s="769"/>
      <c r="TFW99" s="769"/>
      <c r="TFX99" s="769"/>
      <c r="TFY99" s="769"/>
      <c r="TFZ99" s="769"/>
      <c r="TGA99" s="769"/>
      <c r="TGB99" s="769"/>
      <c r="TGC99" s="769"/>
      <c r="TGD99" s="769"/>
      <c r="TGE99" s="769"/>
      <c r="TGF99" s="769"/>
      <c r="TGG99" s="769"/>
      <c r="TGH99" s="769"/>
      <c r="TGI99" s="769"/>
      <c r="TGJ99" s="769"/>
      <c r="TGK99" s="769"/>
      <c r="TGL99" s="769"/>
      <c r="TGM99" s="769"/>
      <c r="TGN99" s="769"/>
      <c r="TGO99" s="769"/>
      <c r="TGP99" s="769"/>
      <c r="TGQ99" s="769"/>
      <c r="TGR99" s="769"/>
      <c r="TGS99" s="769"/>
      <c r="TGT99" s="769"/>
      <c r="TGU99" s="769"/>
      <c r="TGV99" s="769"/>
      <c r="TGW99" s="769"/>
      <c r="TGX99" s="769"/>
      <c r="TGY99" s="769"/>
      <c r="TGZ99" s="769"/>
      <c r="THA99" s="769"/>
      <c r="THB99" s="769"/>
      <c r="THC99" s="769"/>
      <c r="THD99" s="769"/>
      <c r="THE99" s="769"/>
      <c r="THF99" s="769"/>
      <c r="THG99" s="769"/>
      <c r="THH99" s="769"/>
      <c r="THI99" s="769"/>
      <c r="THJ99" s="769"/>
      <c r="THK99" s="769"/>
      <c r="THL99" s="769"/>
      <c r="THM99" s="769"/>
      <c r="THN99" s="769"/>
      <c r="THO99" s="769"/>
      <c r="THP99" s="769"/>
      <c r="THQ99" s="769"/>
      <c r="THR99" s="769"/>
      <c r="THS99" s="769"/>
      <c r="THT99" s="769"/>
      <c r="THU99" s="769"/>
      <c r="THV99" s="769"/>
      <c r="THW99" s="769"/>
      <c r="THX99" s="769"/>
      <c r="THY99" s="769"/>
      <c r="THZ99" s="769"/>
      <c r="TIA99" s="769"/>
      <c r="TIB99" s="769"/>
      <c r="TIC99" s="769"/>
      <c r="TID99" s="769"/>
      <c r="TIE99" s="769"/>
      <c r="TIF99" s="769"/>
      <c r="TIG99" s="769"/>
      <c r="TIH99" s="769"/>
      <c r="TII99" s="769"/>
      <c r="TIJ99" s="769"/>
      <c r="TIK99" s="769"/>
      <c r="TIL99" s="769"/>
      <c r="TIM99" s="769"/>
      <c r="TIN99" s="769"/>
      <c r="TIO99" s="769"/>
      <c r="TIP99" s="769"/>
      <c r="TIQ99" s="769"/>
      <c r="TIR99" s="769"/>
      <c r="TIS99" s="769"/>
      <c r="TIT99" s="769"/>
      <c r="TIU99" s="769"/>
      <c r="TIV99" s="769"/>
      <c r="TIW99" s="769"/>
      <c r="TIX99" s="769"/>
      <c r="TIY99" s="769"/>
      <c r="TIZ99" s="769"/>
      <c r="TJA99" s="769"/>
      <c r="TJB99" s="769"/>
      <c r="TJC99" s="769"/>
      <c r="TJD99" s="769"/>
      <c r="TJE99" s="769"/>
      <c r="TJF99" s="769"/>
      <c r="TJG99" s="769"/>
      <c r="TJH99" s="769"/>
      <c r="TJI99" s="769"/>
      <c r="TJJ99" s="769"/>
      <c r="TJK99" s="769"/>
      <c r="TJL99" s="769"/>
      <c r="TJM99" s="769"/>
      <c r="TJN99" s="769"/>
      <c r="TJO99" s="769"/>
      <c r="TJP99" s="769"/>
      <c r="TJQ99" s="769"/>
      <c r="TJR99" s="769"/>
      <c r="TJS99" s="769"/>
      <c r="TJT99" s="769"/>
      <c r="TJU99" s="769"/>
      <c r="TJV99" s="769"/>
      <c r="TJW99" s="769"/>
      <c r="TJX99" s="769"/>
      <c r="TJY99" s="769"/>
      <c r="TJZ99" s="769"/>
      <c r="TKA99" s="769"/>
      <c r="TKB99" s="769"/>
      <c r="TKC99" s="769"/>
      <c r="TKD99" s="769"/>
      <c r="TKE99" s="769"/>
      <c r="TKF99" s="769"/>
      <c r="TKG99" s="769"/>
      <c r="TKH99" s="769"/>
      <c r="TKI99" s="769"/>
      <c r="TKJ99" s="769"/>
      <c r="TKK99" s="769"/>
      <c r="TKL99" s="769"/>
      <c r="TKM99" s="769"/>
      <c r="TKN99" s="769"/>
      <c r="TKO99" s="769"/>
      <c r="TKP99" s="769"/>
      <c r="TKQ99" s="769"/>
      <c r="TKR99" s="769"/>
      <c r="TKS99" s="769"/>
      <c r="TKT99" s="769"/>
      <c r="TKU99" s="769"/>
      <c r="TKV99" s="769"/>
      <c r="TKW99" s="769"/>
      <c r="TKX99" s="769"/>
      <c r="TKY99" s="769"/>
      <c r="TKZ99" s="769"/>
      <c r="TLA99" s="769"/>
      <c r="TLB99" s="769"/>
      <c r="TLC99" s="769"/>
      <c r="TLD99" s="769"/>
      <c r="TLE99" s="769"/>
      <c r="TLF99" s="769"/>
      <c r="TLG99" s="769"/>
      <c r="TLH99" s="769"/>
      <c r="TLI99" s="769"/>
      <c r="TLJ99" s="769"/>
      <c r="TLK99" s="769"/>
      <c r="TLL99" s="769"/>
      <c r="TLM99" s="769"/>
      <c r="TLN99" s="769"/>
      <c r="TLO99" s="769"/>
      <c r="TLP99" s="769"/>
      <c r="TLQ99" s="769"/>
      <c r="TLR99" s="769"/>
      <c r="TLS99" s="769"/>
      <c r="TLT99" s="769"/>
      <c r="TLU99" s="769"/>
      <c r="TLV99" s="769"/>
      <c r="TLW99" s="769"/>
      <c r="TLX99" s="769"/>
      <c r="TLY99" s="769"/>
      <c r="TLZ99" s="769"/>
      <c r="TMA99" s="769"/>
      <c r="TMB99" s="769"/>
      <c r="TMC99" s="769"/>
      <c r="TMD99" s="769"/>
      <c r="TME99" s="769"/>
      <c r="TMF99" s="769"/>
      <c r="TMG99" s="769"/>
      <c r="TMH99" s="769"/>
      <c r="TMI99" s="769"/>
      <c r="TMJ99" s="769"/>
      <c r="TMK99" s="769"/>
      <c r="TML99" s="769"/>
      <c r="TMM99" s="769"/>
      <c r="TMN99" s="769"/>
      <c r="TMO99" s="769"/>
      <c r="TMP99" s="769"/>
      <c r="TMQ99" s="769"/>
      <c r="TMR99" s="769"/>
      <c r="TMS99" s="769"/>
      <c r="TMT99" s="769"/>
      <c r="TMU99" s="769"/>
      <c r="TMV99" s="769"/>
      <c r="TMW99" s="769"/>
      <c r="TMX99" s="769"/>
      <c r="TMY99" s="769"/>
      <c r="TMZ99" s="769"/>
      <c r="TNA99" s="769"/>
      <c r="TNB99" s="769"/>
      <c r="TNC99" s="769"/>
      <c r="TND99" s="769"/>
      <c r="TNE99" s="769"/>
      <c r="TNF99" s="769"/>
      <c r="TNG99" s="769"/>
      <c r="TNH99" s="769"/>
      <c r="TNI99" s="769"/>
      <c r="TNJ99" s="769"/>
      <c r="TNK99" s="769"/>
      <c r="TNL99" s="769"/>
      <c r="TNM99" s="769"/>
      <c r="TNN99" s="769"/>
      <c r="TNO99" s="769"/>
      <c r="TNP99" s="769"/>
      <c r="TNQ99" s="769"/>
      <c r="TNR99" s="769"/>
      <c r="TNS99" s="769"/>
      <c r="TNT99" s="769"/>
      <c r="TNU99" s="769"/>
      <c r="TNV99" s="769"/>
      <c r="TNW99" s="769"/>
      <c r="TNX99" s="769"/>
      <c r="TNY99" s="769"/>
      <c r="TNZ99" s="769"/>
      <c r="TOA99" s="769"/>
      <c r="TOB99" s="769"/>
      <c r="TOC99" s="769"/>
      <c r="TOD99" s="769"/>
      <c r="TOE99" s="769"/>
      <c r="TOF99" s="769"/>
      <c r="TOG99" s="769"/>
      <c r="TOH99" s="769"/>
      <c r="TOI99" s="769"/>
      <c r="TOJ99" s="769"/>
      <c r="TOK99" s="769"/>
      <c r="TOL99" s="769"/>
      <c r="TOM99" s="769"/>
      <c r="TON99" s="769"/>
      <c r="TOO99" s="769"/>
      <c r="TOP99" s="769"/>
      <c r="TOQ99" s="769"/>
      <c r="TOR99" s="769"/>
      <c r="TOS99" s="769"/>
      <c r="TOT99" s="769"/>
      <c r="TOU99" s="769"/>
      <c r="TOV99" s="769"/>
      <c r="TOW99" s="769"/>
      <c r="TOX99" s="769"/>
      <c r="TOY99" s="769"/>
      <c r="TOZ99" s="769"/>
      <c r="TPA99" s="769"/>
      <c r="TPB99" s="769"/>
      <c r="TPC99" s="769"/>
      <c r="TPD99" s="769"/>
      <c r="TPE99" s="769"/>
      <c r="TPF99" s="769"/>
      <c r="TPG99" s="769"/>
      <c r="TPH99" s="769"/>
      <c r="TPI99" s="769"/>
      <c r="TPJ99" s="769"/>
      <c r="TPK99" s="769"/>
      <c r="TPL99" s="769"/>
      <c r="TPM99" s="769"/>
      <c r="TPN99" s="769"/>
      <c r="TPO99" s="769"/>
      <c r="TPP99" s="769"/>
      <c r="TPQ99" s="769"/>
      <c r="TPR99" s="769"/>
      <c r="TPS99" s="769"/>
      <c r="TPT99" s="769"/>
      <c r="TPU99" s="769"/>
      <c r="TPV99" s="769"/>
      <c r="TPW99" s="769"/>
      <c r="TPX99" s="769"/>
      <c r="TPY99" s="769"/>
      <c r="TPZ99" s="769"/>
      <c r="TQA99" s="769"/>
      <c r="TQB99" s="769"/>
      <c r="TQC99" s="769"/>
      <c r="TQD99" s="769"/>
      <c r="TQE99" s="769"/>
      <c r="TQF99" s="769"/>
      <c r="TQG99" s="769"/>
      <c r="TQH99" s="769"/>
      <c r="TQI99" s="769"/>
      <c r="TQJ99" s="769"/>
      <c r="TQK99" s="769"/>
      <c r="TQL99" s="769"/>
      <c r="TQM99" s="769"/>
      <c r="TQN99" s="769"/>
      <c r="TQO99" s="769"/>
      <c r="TQP99" s="769"/>
      <c r="TQQ99" s="769"/>
      <c r="TQR99" s="769"/>
      <c r="TQS99" s="769"/>
      <c r="TQT99" s="769"/>
      <c r="TQU99" s="769"/>
      <c r="TQV99" s="769"/>
      <c r="TQW99" s="769"/>
      <c r="TQX99" s="769"/>
      <c r="TQY99" s="769"/>
      <c r="TQZ99" s="769"/>
      <c r="TRA99" s="769"/>
      <c r="TRB99" s="769"/>
      <c r="TRC99" s="769"/>
      <c r="TRD99" s="769"/>
      <c r="TRE99" s="769"/>
      <c r="TRF99" s="769"/>
      <c r="TRG99" s="769"/>
      <c r="TRH99" s="769"/>
      <c r="TRI99" s="769"/>
      <c r="TRJ99" s="769"/>
      <c r="TRK99" s="769"/>
      <c r="TRL99" s="769"/>
      <c r="TRM99" s="769"/>
      <c r="TRN99" s="769"/>
      <c r="TRO99" s="769"/>
      <c r="TRP99" s="769"/>
      <c r="TRQ99" s="769"/>
      <c r="TRR99" s="769"/>
      <c r="TRS99" s="769"/>
      <c r="TRT99" s="769"/>
      <c r="TRU99" s="769"/>
      <c r="TRV99" s="769"/>
      <c r="TRW99" s="769"/>
      <c r="TRX99" s="769"/>
      <c r="TRY99" s="769"/>
      <c r="TRZ99" s="769"/>
      <c r="TSA99" s="769"/>
      <c r="TSB99" s="769"/>
      <c r="TSC99" s="769"/>
      <c r="TSD99" s="769"/>
      <c r="TSE99" s="769"/>
      <c r="TSF99" s="769"/>
      <c r="TSG99" s="769"/>
      <c r="TSH99" s="769"/>
      <c r="TSI99" s="769"/>
      <c r="TSJ99" s="769"/>
      <c r="TSK99" s="769"/>
      <c r="TSL99" s="769"/>
      <c r="TSM99" s="769"/>
      <c r="TSN99" s="769"/>
      <c r="TSO99" s="769"/>
      <c r="TSP99" s="769"/>
      <c r="TSQ99" s="769"/>
      <c r="TSR99" s="769"/>
      <c r="TSS99" s="769"/>
      <c r="TST99" s="769"/>
      <c r="TSU99" s="769"/>
      <c r="TSV99" s="769"/>
      <c r="TSW99" s="769"/>
      <c r="TSX99" s="769"/>
      <c r="TSY99" s="769"/>
      <c r="TSZ99" s="769"/>
      <c r="TTA99" s="769"/>
      <c r="TTB99" s="769"/>
      <c r="TTC99" s="769"/>
      <c r="TTD99" s="769"/>
      <c r="TTE99" s="769"/>
      <c r="TTF99" s="769"/>
      <c r="TTG99" s="769"/>
      <c r="TTH99" s="769"/>
      <c r="TTI99" s="769"/>
      <c r="TTJ99" s="769"/>
      <c r="TTK99" s="769"/>
      <c r="TTL99" s="769"/>
      <c r="TTM99" s="769"/>
      <c r="TTN99" s="769"/>
      <c r="TTO99" s="769"/>
      <c r="TTP99" s="769"/>
      <c r="TTQ99" s="769"/>
      <c r="TTR99" s="769"/>
      <c r="TTS99" s="769"/>
      <c r="TTT99" s="769"/>
      <c r="TTU99" s="769"/>
      <c r="TTV99" s="769"/>
      <c r="TTW99" s="769"/>
      <c r="TTX99" s="769"/>
      <c r="TTY99" s="769"/>
      <c r="TTZ99" s="769"/>
      <c r="TUA99" s="769"/>
      <c r="TUB99" s="769"/>
      <c r="TUC99" s="769"/>
      <c r="TUD99" s="769"/>
      <c r="TUE99" s="769"/>
      <c r="TUF99" s="769"/>
      <c r="TUG99" s="769"/>
      <c r="TUH99" s="769"/>
      <c r="TUI99" s="769"/>
      <c r="TUJ99" s="769"/>
      <c r="TUK99" s="769"/>
      <c r="TUL99" s="769"/>
      <c r="TUM99" s="769"/>
      <c r="TUN99" s="769"/>
      <c r="TUO99" s="769"/>
      <c r="TUP99" s="769"/>
      <c r="TUQ99" s="769"/>
      <c r="TUR99" s="769"/>
      <c r="TUS99" s="769"/>
      <c r="TUT99" s="769"/>
      <c r="TUU99" s="769"/>
      <c r="TUV99" s="769"/>
      <c r="TUW99" s="769"/>
      <c r="TUX99" s="769"/>
      <c r="TUY99" s="769"/>
      <c r="TUZ99" s="769"/>
      <c r="TVA99" s="769"/>
      <c r="TVB99" s="769"/>
      <c r="TVC99" s="769"/>
      <c r="TVD99" s="769"/>
      <c r="TVE99" s="769"/>
      <c r="TVF99" s="769"/>
      <c r="TVG99" s="769"/>
      <c r="TVH99" s="769"/>
      <c r="TVI99" s="769"/>
      <c r="TVJ99" s="769"/>
      <c r="TVK99" s="769"/>
      <c r="TVL99" s="769"/>
      <c r="TVM99" s="769"/>
      <c r="TVN99" s="769"/>
      <c r="TVO99" s="769"/>
      <c r="TVP99" s="769"/>
      <c r="TVQ99" s="769"/>
      <c r="TVR99" s="769"/>
      <c r="TVS99" s="769"/>
      <c r="TVT99" s="769"/>
      <c r="TVU99" s="769"/>
      <c r="TVV99" s="769"/>
      <c r="TVW99" s="769"/>
      <c r="TVX99" s="769"/>
      <c r="TVY99" s="769"/>
      <c r="TVZ99" s="769"/>
      <c r="TWA99" s="769"/>
      <c r="TWB99" s="769"/>
      <c r="TWC99" s="769"/>
      <c r="TWD99" s="769"/>
      <c r="TWE99" s="769"/>
      <c r="TWF99" s="769"/>
      <c r="TWG99" s="769"/>
      <c r="TWH99" s="769"/>
      <c r="TWI99" s="769"/>
      <c r="TWJ99" s="769"/>
      <c r="TWK99" s="769"/>
      <c r="TWL99" s="769"/>
      <c r="TWM99" s="769"/>
      <c r="TWN99" s="769"/>
      <c r="TWO99" s="769"/>
      <c r="TWP99" s="769"/>
      <c r="TWQ99" s="769"/>
      <c r="TWR99" s="769"/>
      <c r="TWS99" s="769"/>
      <c r="TWT99" s="769"/>
      <c r="TWU99" s="769"/>
      <c r="TWV99" s="769"/>
      <c r="TWW99" s="769"/>
      <c r="TWX99" s="769"/>
      <c r="TWY99" s="769"/>
      <c r="TWZ99" s="769"/>
      <c r="TXA99" s="769"/>
      <c r="TXB99" s="769"/>
      <c r="TXC99" s="769"/>
      <c r="TXD99" s="769"/>
      <c r="TXE99" s="769"/>
      <c r="TXF99" s="769"/>
      <c r="TXG99" s="769"/>
      <c r="TXH99" s="769"/>
      <c r="TXI99" s="769"/>
      <c r="TXJ99" s="769"/>
      <c r="TXK99" s="769"/>
      <c r="TXL99" s="769"/>
      <c r="TXM99" s="769"/>
      <c r="TXN99" s="769"/>
      <c r="TXO99" s="769"/>
      <c r="TXP99" s="769"/>
      <c r="TXQ99" s="769"/>
      <c r="TXR99" s="769"/>
      <c r="TXS99" s="769"/>
      <c r="TXT99" s="769"/>
      <c r="TXU99" s="769"/>
      <c r="TXV99" s="769"/>
      <c r="TXW99" s="769"/>
      <c r="TXX99" s="769"/>
      <c r="TXY99" s="769"/>
      <c r="TXZ99" s="769"/>
      <c r="TYA99" s="769"/>
      <c r="TYB99" s="769"/>
      <c r="TYC99" s="769"/>
      <c r="TYD99" s="769"/>
      <c r="TYE99" s="769"/>
      <c r="TYF99" s="769"/>
      <c r="TYG99" s="769"/>
      <c r="TYH99" s="769"/>
      <c r="TYI99" s="769"/>
      <c r="TYJ99" s="769"/>
      <c r="TYK99" s="769"/>
      <c r="TYL99" s="769"/>
      <c r="TYM99" s="769"/>
      <c r="TYN99" s="769"/>
      <c r="TYO99" s="769"/>
      <c r="TYP99" s="769"/>
      <c r="TYQ99" s="769"/>
      <c r="TYR99" s="769"/>
      <c r="TYS99" s="769"/>
      <c r="TYT99" s="769"/>
      <c r="TYU99" s="769"/>
      <c r="TYV99" s="769"/>
      <c r="TYW99" s="769"/>
      <c r="TYX99" s="769"/>
      <c r="TYY99" s="769"/>
      <c r="TYZ99" s="769"/>
      <c r="TZA99" s="769"/>
      <c r="TZB99" s="769"/>
      <c r="TZC99" s="769"/>
      <c r="TZD99" s="769"/>
      <c r="TZE99" s="769"/>
      <c r="TZF99" s="769"/>
      <c r="TZG99" s="769"/>
      <c r="TZH99" s="769"/>
      <c r="TZI99" s="769"/>
      <c r="TZJ99" s="769"/>
      <c r="TZK99" s="769"/>
      <c r="TZL99" s="769"/>
      <c r="TZM99" s="769"/>
      <c r="TZN99" s="769"/>
      <c r="TZO99" s="769"/>
      <c r="TZP99" s="769"/>
      <c r="TZQ99" s="769"/>
      <c r="TZR99" s="769"/>
      <c r="TZS99" s="769"/>
      <c r="TZT99" s="769"/>
      <c r="TZU99" s="769"/>
      <c r="TZV99" s="769"/>
      <c r="TZW99" s="769"/>
      <c r="TZX99" s="769"/>
      <c r="TZY99" s="769"/>
      <c r="TZZ99" s="769"/>
      <c r="UAA99" s="769"/>
      <c r="UAB99" s="769"/>
      <c r="UAC99" s="769"/>
      <c r="UAD99" s="769"/>
      <c r="UAE99" s="769"/>
      <c r="UAF99" s="769"/>
      <c r="UAG99" s="769"/>
      <c r="UAH99" s="769"/>
      <c r="UAI99" s="769"/>
      <c r="UAJ99" s="769"/>
      <c r="UAK99" s="769"/>
      <c r="UAL99" s="769"/>
      <c r="UAM99" s="769"/>
      <c r="UAN99" s="769"/>
      <c r="UAO99" s="769"/>
      <c r="UAP99" s="769"/>
      <c r="UAQ99" s="769"/>
      <c r="UAR99" s="769"/>
      <c r="UAS99" s="769"/>
      <c r="UAT99" s="769"/>
      <c r="UAU99" s="769"/>
      <c r="UAV99" s="769"/>
      <c r="UAW99" s="769"/>
      <c r="UAX99" s="769"/>
      <c r="UAY99" s="769"/>
      <c r="UAZ99" s="769"/>
      <c r="UBA99" s="769"/>
      <c r="UBB99" s="769"/>
      <c r="UBC99" s="769"/>
      <c r="UBD99" s="769"/>
      <c r="UBE99" s="769"/>
      <c r="UBF99" s="769"/>
      <c r="UBG99" s="769"/>
      <c r="UBH99" s="769"/>
      <c r="UBI99" s="769"/>
      <c r="UBJ99" s="769"/>
      <c r="UBK99" s="769"/>
      <c r="UBL99" s="769"/>
      <c r="UBM99" s="769"/>
      <c r="UBN99" s="769"/>
      <c r="UBO99" s="769"/>
      <c r="UBP99" s="769"/>
      <c r="UBQ99" s="769"/>
      <c r="UBR99" s="769"/>
      <c r="UBS99" s="769"/>
      <c r="UBT99" s="769"/>
      <c r="UBU99" s="769"/>
      <c r="UBV99" s="769"/>
      <c r="UBW99" s="769"/>
      <c r="UBX99" s="769"/>
      <c r="UBY99" s="769"/>
      <c r="UBZ99" s="769"/>
      <c r="UCA99" s="769"/>
      <c r="UCB99" s="769"/>
      <c r="UCC99" s="769"/>
      <c r="UCD99" s="769"/>
      <c r="UCE99" s="769"/>
      <c r="UCF99" s="769"/>
      <c r="UCG99" s="769"/>
      <c r="UCH99" s="769"/>
      <c r="UCI99" s="769"/>
      <c r="UCJ99" s="769"/>
      <c r="UCK99" s="769"/>
      <c r="UCL99" s="769"/>
      <c r="UCM99" s="769"/>
      <c r="UCN99" s="769"/>
      <c r="UCO99" s="769"/>
      <c r="UCP99" s="769"/>
      <c r="UCQ99" s="769"/>
      <c r="UCR99" s="769"/>
      <c r="UCS99" s="769"/>
      <c r="UCT99" s="769"/>
      <c r="UCU99" s="769"/>
      <c r="UCV99" s="769"/>
      <c r="UCW99" s="769"/>
      <c r="UCX99" s="769"/>
      <c r="UCY99" s="769"/>
      <c r="UCZ99" s="769"/>
      <c r="UDA99" s="769"/>
      <c r="UDB99" s="769"/>
      <c r="UDC99" s="769"/>
      <c r="UDD99" s="769"/>
      <c r="UDE99" s="769"/>
      <c r="UDF99" s="769"/>
      <c r="UDG99" s="769"/>
      <c r="UDH99" s="769"/>
      <c r="UDI99" s="769"/>
      <c r="UDJ99" s="769"/>
      <c r="UDK99" s="769"/>
      <c r="UDL99" s="769"/>
      <c r="UDM99" s="769"/>
      <c r="UDN99" s="769"/>
      <c r="UDO99" s="769"/>
      <c r="UDP99" s="769"/>
      <c r="UDQ99" s="769"/>
      <c r="UDR99" s="769"/>
      <c r="UDS99" s="769"/>
      <c r="UDT99" s="769"/>
      <c r="UDU99" s="769"/>
      <c r="UDV99" s="769"/>
      <c r="UDW99" s="769"/>
      <c r="UDX99" s="769"/>
      <c r="UDY99" s="769"/>
      <c r="UDZ99" s="769"/>
      <c r="UEA99" s="769"/>
      <c r="UEB99" s="769"/>
      <c r="UEC99" s="769"/>
      <c r="UED99" s="769"/>
      <c r="UEE99" s="769"/>
      <c r="UEF99" s="769"/>
      <c r="UEG99" s="769"/>
      <c r="UEH99" s="769"/>
      <c r="UEI99" s="769"/>
      <c r="UEJ99" s="769"/>
      <c r="UEK99" s="769"/>
      <c r="UEL99" s="769"/>
      <c r="UEM99" s="769"/>
      <c r="UEN99" s="769"/>
      <c r="UEO99" s="769"/>
      <c r="UEP99" s="769"/>
      <c r="UEQ99" s="769"/>
      <c r="UER99" s="769"/>
      <c r="UES99" s="769"/>
      <c r="UET99" s="769"/>
      <c r="UEU99" s="769"/>
      <c r="UEV99" s="769"/>
      <c r="UEW99" s="769"/>
      <c r="UEX99" s="769"/>
      <c r="UEY99" s="769"/>
      <c r="UEZ99" s="769"/>
      <c r="UFA99" s="769"/>
      <c r="UFB99" s="769"/>
      <c r="UFC99" s="769"/>
      <c r="UFD99" s="769"/>
      <c r="UFE99" s="769"/>
      <c r="UFF99" s="769"/>
      <c r="UFG99" s="769"/>
      <c r="UFH99" s="769"/>
      <c r="UFI99" s="769"/>
      <c r="UFJ99" s="769"/>
      <c r="UFK99" s="769"/>
      <c r="UFL99" s="769"/>
      <c r="UFM99" s="769"/>
      <c r="UFN99" s="769"/>
      <c r="UFO99" s="769"/>
      <c r="UFP99" s="769"/>
      <c r="UFQ99" s="769"/>
      <c r="UFR99" s="769"/>
      <c r="UFS99" s="769"/>
      <c r="UFT99" s="769"/>
      <c r="UFU99" s="769"/>
      <c r="UFV99" s="769"/>
      <c r="UFW99" s="769"/>
      <c r="UFX99" s="769"/>
      <c r="UFY99" s="769"/>
      <c r="UFZ99" s="769"/>
      <c r="UGA99" s="769"/>
      <c r="UGB99" s="769"/>
      <c r="UGC99" s="769"/>
      <c r="UGD99" s="769"/>
      <c r="UGE99" s="769"/>
      <c r="UGF99" s="769"/>
      <c r="UGG99" s="769"/>
      <c r="UGH99" s="769"/>
      <c r="UGI99" s="769"/>
      <c r="UGJ99" s="769"/>
      <c r="UGK99" s="769"/>
      <c r="UGL99" s="769"/>
      <c r="UGM99" s="769"/>
      <c r="UGN99" s="769"/>
      <c r="UGO99" s="769"/>
      <c r="UGP99" s="769"/>
      <c r="UGQ99" s="769"/>
      <c r="UGR99" s="769"/>
      <c r="UGS99" s="769"/>
      <c r="UGT99" s="769"/>
      <c r="UGU99" s="769"/>
      <c r="UGV99" s="769"/>
      <c r="UGW99" s="769"/>
      <c r="UGX99" s="769"/>
      <c r="UGY99" s="769"/>
      <c r="UGZ99" s="769"/>
      <c r="UHA99" s="769"/>
      <c r="UHB99" s="769"/>
      <c r="UHC99" s="769"/>
      <c r="UHD99" s="769"/>
      <c r="UHE99" s="769"/>
      <c r="UHF99" s="769"/>
      <c r="UHG99" s="769"/>
      <c r="UHH99" s="769"/>
      <c r="UHI99" s="769"/>
      <c r="UHJ99" s="769"/>
      <c r="UHK99" s="769"/>
      <c r="UHL99" s="769"/>
      <c r="UHM99" s="769"/>
      <c r="UHN99" s="769"/>
      <c r="UHO99" s="769"/>
      <c r="UHP99" s="769"/>
      <c r="UHQ99" s="769"/>
      <c r="UHR99" s="769"/>
      <c r="UHS99" s="769"/>
      <c r="UHT99" s="769"/>
      <c r="UHU99" s="769"/>
      <c r="UHV99" s="769"/>
      <c r="UHW99" s="769"/>
      <c r="UHX99" s="769"/>
      <c r="UHY99" s="769"/>
      <c r="UHZ99" s="769"/>
      <c r="UIA99" s="769"/>
      <c r="UIB99" s="769"/>
      <c r="UIC99" s="769"/>
      <c r="UID99" s="769"/>
      <c r="UIE99" s="769"/>
      <c r="UIF99" s="769"/>
      <c r="UIG99" s="769"/>
      <c r="UIH99" s="769"/>
      <c r="UII99" s="769"/>
      <c r="UIJ99" s="769"/>
      <c r="UIK99" s="769"/>
      <c r="UIL99" s="769"/>
      <c r="UIM99" s="769"/>
      <c r="UIN99" s="769"/>
      <c r="UIO99" s="769"/>
      <c r="UIP99" s="769"/>
      <c r="UIQ99" s="769"/>
      <c r="UIR99" s="769"/>
      <c r="UIS99" s="769"/>
      <c r="UIT99" s="769"/>
      <c r="UIU99" s="769"/>
      <c r="UIV99" s="769"/>
      <c r="UIW99" s="769"/>
      <c r="UIX99" s="769"/>
      <c r="UIY99" s="769"/>
      <c r="UIZ99" s="769"/>
      <c r="UJA99" s="769"/>
      <c r="UJB99" s="769"/>
      <c r="UJC99" s="769"/>
      <c r="UJD99" s="769"/>
      <c r="UJE99" s="769"/>
      <c r="UJF99" s="769"/>
      <c r="UJG99" s="769"/>
      <c r="UJH99" s="769"/>
      <c r="UJI99" s="769"/>
      <c r="UJJ99" s="769"/>
      <c r="UJK99" s="769"/>
      <c r="UJL99" s="769"/>
      <c r="UJM99" s="769"/>
      <c r="UJN99" s="769"/>
      <c r="UJO99" s="769"/>
      <c r="UJP99" s="769"/>
      <c r="UJQ99" s="769"/>
      <c r="UJR99" s="769"/>
      <c r="UJS99" s="769"/>
      <c r="UJT99" s="769"/>
      <c r="UJU99" s="769"/>
      <c r="UJV99" s="769"/>
      <c r="UJW99" s="769"/>
      <c r="UJX99" s="769"/>
      <c r="UJY99" s="769"/>
      <c r="UJZ99" s="769"/>
      <c r="UKA99" s="769"/>
      <c r="UKB99" s="769"/>
      <c r="UKC99" s="769"/>
      <c r="UKD99" s="769"/>
      <c r="UKE99" s="769"/>
      <c r="UKF99" s="769"/>
      <c r="UKG99" s="769"/>
      <c r="UKH99" s="769"/>
      <c r="UKI99" s="769"/>
      <c r="UKJ99" s="769"/>
      <c r="UKK99" s="769"/>
      <c r="UKL99" s="769"/>
      <c r="UKM99" s="769"/>
      <c r="UKN99" s="769"/>
      <c r="UKO99" s="769"/>
      <c r="UKP99" s="769"/>
      <c r="UKQ99" s="769"/>
      <c r="UKR99" s="769"/>
      <c r="UKS99" s="769"/>
      <c r="UKT99" s="769"/>
      <c r="UKU99" s="769"/>
      <c r="UKV99" s="769"/>
      <c r="UKW99" s="769"/>
      <c r="UKX99" s="769"/>
      <c r="UKY99" s="769"/>
      <c r="UKZ99" s="769"/>
      <c r="ULA99" s="769"/>
      <c r="ULB99" s="769"/>
      <c r="ULC99" s="769"/>
      <c r="ULD99" s="769"/>
      <c r="ULE99" s="769"/>
      <c r="ULF99" s="769"/>
      <c r="ULG99" s="769"/>
      <c r="ULH99" s="769"/>
      <c r="ULI99" s="769"/>
      <c r="ULJ99" s="769"/>
      <c r="ULK99" s="769"/>
      <c r="ULL99" s="769"/>
      <c r="ULM99" s="769"/>
      <c r="ULN99" s="769"/>
      <c r="ULO99" s="769"/>
      <c r="ULP99" s="769"/>
      <c r="ULQ99" s="769"/>
      <c r="ULR99" s="769"/>
      <c r="ULS99" s="769"/>
      <c r="ULT99" s="769"/>
      <c r="ULU99" s="769"/>
      <c r="ULV99" s="769"/>
      <c r="ULW99" s="769"/>
      <c r="ULX99" s="769"/>
      <c r="ULY99" s="769"/>
      <c r="ULZ99" s="769"/>
      <c r="UMA99" s="769"/>
      <c r="UMB99" s="769"/>
      <c r="UMC99" s="769"/>
      <c r="UMD99" s="769"/>
      <c r="UME99" s="769"/>
      <c r="UMF99" s="769"/>
      <c r="UMG99" s="769"/>
      <c r="UMH99" s="769"/>
      <c r="UMI99" s="769"/>
      <c r="UMJ99" s="769"/>
      <c r="UMK99" s="769"/>
      <c r="UML99" s="769"/>
      <c r="UMM99" s="769"/>
      <c r="UMN99" s="769"/>
      <c r="UMO99" s="769"/>
      <c r="UMP99" s="769"/>
      <c r="UMQ99" s="769"/>
      <c r="UMR99" s="769"/>
      <c r="UMS99" s="769"/>
      <c r="UMT99" s="769"/>
      <c r="UMU99" s="769"/>
      <c r="UMV99" s="769"/>
      <c r="UMW99" s="769"/>
      <c r="UMX99" s="769"/>
      <c r="UMY99" s="769"/>
      <c r="UMZ99" s="769"/>
      <c r="UNA99" s="769"/>
      <c r="UNB99" s="769"/>
      <c r="UNC99" s="769"/>
      <c r="UND99" s="769"/>
      <c r="UNE99" s="769"/>
      <c r="UNF99" s="769"/>
      <c r="UNG99" s="769"/>
      <c r="UNH99" s="769"/>
      <c r="UNI99" s="769"/>
      <c r="UNJ99" s="769"/>
      <c r="UNK99" s="769"/>
      <c r="UNL99" s="769"/>
      <c r="UNM99" s="769"/>
      <c r="UNN99" s="769"/>
      <c r="UNO99" s="769"/>
      <c r="UNP99" s="769"/>
      <c r="UNQ99" s="769"/>
      <c r="UNR99" s="769"/>
      <c r="UNS99" s="769"/>
      <c r="UNT99" s="769"/>
      <c r="UNU99" s="769"/>
      <c r="UNV99" s="769"/>
      <c r="UNW99" s="769"/>
      <c r="UNX99" s="769"/>
      <c r="UNY99" s="769"/>
      <c r="UNZ99" s="769"/>
      <c r="UOA99" s="769"/>
      <c r="UOB99" s="769"/>
      <c r="UOC99" s="769"/>
      <c r="UOD99" s="769"/>
      <c r="UOE99" s="769"/>
      <c r="UOF99" s="769"/>
      <c r="UOG99" s="769"/>
      <c r="UOH99" s="769"/>
      <c r="UOI99" s="769"/>
      <c r="UOJ99" s="769"/>
      <c r="UOK99" s="769"/>
      <c r="UOL99" s="769"/>
      <c r="UOM99" s="769"/>
      <c r="UON99" s="769"/>
      <c r="UOO99" s="769"/>
      <c r="UOP99" s="769"/>
      <c r="UOQ99" s="769"/>
      <c r="UOR99" s="769"/>
      <c r="UOS99" s="769"/>
      <c r="UOT99" s="769"/>
      <c r="UOU99" s="769"/>
      <c r="UOV99" s="769"/>
      <c r="UOW99" s="769"/>
      <c r="UOX99" s="769"/>
      <c r="UOY99" s="769"/>
      <c r="UOZ99" s="769"/>
      <c r="UPA99" s="769"/>
      <c r="UPB99" s="769"/>
      <c r="UPC99" s="769"/>
      <c r="UPD99" s="769"/>
      <c r="UPE99" s="769"/>
      <c r="UPF99" s="769"/>
      <c r="UPG99" s="769"/>
      <c r="UPH99" s="769"/>
      <c r="UPI99" s="769"/>
      <c r="UPJ99" s="769"/>
      <c r="UPK99" s="769"/>
      <c r="UPL99" s="769"/>
      <c r="UPM99" s="769"/>
      <c r="UPN99" s="769"/>
      <c r="UPO99" s="769"/>
      <c r="UPP99" s="769"/>
      <c r="UPQ99" s="769"/>
      <c r="UPR99" s="769"/>
      <c r="UPS99" s="769"/>
      <c r="UPT99" s="769"/>
      <c r="UPU99" s="769"/>
      <c r="UPV99" s="769"/>
      <c r="UPW99" s="769"/>
      <c r="UPX99" s="769"/>
      <c r="UPY99" s="769"/>
      <c r="UPZ99" s="769"/>
      <c r="UQA99" s="769"/>
      <c r="UQB99" s="769"/>
      <c r="UQC99" s="769"/>
      <c r="UQD99" s="769"/>
      <c r="UQE99" s="769"/>
      <c r="UQF99" s="769"/>
      <c r="UQG99" s="769"/>
      <c r="UQH99" s="769"/>
      <c r="UQI99" s="769"/>
      <c r="UQJ99" s="769"/>
      <c r="UQK99" s="769"/>
      <c r="UQL99" s="769"/>
      <c r="UQM99" s="769"/>
      <c r="UQN99" s="769"/>
      <c r="UQO99" s="769"/>
      <c r="UQP99" s="769"/>
      <c r="UQQ99" s="769"/>
      <c r="UQR99" s="769"/>
      <c r="UQS99" s="769"/>
      <c r="UQT99" s="769"/>
      <c r="UQU99" s="769"/>
      <c r="UQV99" s="769"/>
      <c r="UQW99" s="769"/>
      <c r="UQX99" s="769"/>
      <c r="UQY99" s="769"/>
      <c r="UQZ99" s="769"/>
      <c r="URA99" s="769"/>
      <c r="URB99" s="769"/>
      <c r="URC99" s="769"/>
      <c r="URD99" s="769"/>
      <c r="URE99" s="769"/>
      <c r="URF99" s="769"/>
      <c r="URG99" s="769"/>
      <c r="URH99" s="769"/>
      <c r="URI99" s="769"/>
      <c r="URJ99" s="769"/>
      <c r="URK99" s="769"/>
      <c r="URL99" s="769"/>
      <c r="URM99" s="769"/>
      <c r="URN99" s="769"/>
      <c r="URO99" s="769"/>
      <c r="URP99" s="769"/>
      <c r="URQ99" s="769"/>
      <c r="URR99" s="769"/>
      <c r="URS99" s="769"/>
      <c r="URT99" s="769"/>
      <c r="URU99" s="769"/>
      <c r="URV99" s="769"/>
      <c r="URW99" s="769"/>
      <c r="URX99" s="769"/>
      <c r="URY99" s="769"/>
      <c r="URZ99" s="769"/>
      <c r="USA99" s="769"/>
      <c r="USB99" s="769"/>
      <c r="USC99" s="769"/>
      <c r="USD99" s="769"/>
      <c r="USE99" s="769"/>
      <c r="USF99" s="769"/>
      <c r="USG99" s="769"/>
      <c r="USH99" s="769"/>
      <c r="USI99" s="769"/>
      <c r="USJ99" s="769"/>
      <c r="USK99" s="769"/>
      <c r="USL99" s="769"/>
      <c r="USM99" s="769"/>
      <c r="USN99" s="769"/>
      <c r="USO99" s="769"/>
      <c r="USP99" s="769"/>
      <c r="USQ99" s="769"/>
      <c r="USR99" s="769"/>
      <c r="USS99" s="769"/>
      <c r="UST99" s="769"/>
      <c r="USU99" s="769"/>
      <c r="USV99" s="769"/>
      <c r="USW99" s="769"/>
      <c r="USX99" s="769"/>
      <c r="USY99" s="769"/>
      <c r="USZ99" s="769"/>
      <c r="UTA99" s="769"/>
      <c r="UTB99" s="769"/>
      <c r="UTC99" s="769"/>
      <c r="UTD99" s="769"/>
      <c r="UTE99" s="769"/>
      <c r="UTF99" s="769"/>
      <c r="UTG99" s="769"/>
      <c r="UTH99" s="769"/>
      <c r="UTI99" s="769"/>
      <c r="UTJ99" s="769"/>
      <c r="UTK99" s="769"/>
      <c r="UTL99" s="769"/>
      <c r="UTM99" s="769"/>
      <c r="UTN99" s="769"/>
      <c r="UTO99" s="769"/>
      <c r="UTP99" s="769"/>
      <c r="UTQ99" s="769"/>
      <c r="UTR99" s="769"/>
      <c r="UTS99" s="769"/>
      <c r="UTT99" s="769"/>
      <c r="UTU99" s="769"/>
      <c r="UTV99" s="769"/>
      <c r="UTW99" s="769"/>
      <c r="UTX99" s="769"/>
      <c r="UTY99" s="769"/>
      <c r="UTZ99" s="769"/>
      <c r="UUA99" s="769"/>
      <c r="UUB99" s="769"/>
      <c r="UUC99" s="769"/>
      <c r="UUD99" s="769"/>
      <c r="UUE99" s="769"/>
      <c r="UUF99" s="769"/>
      <c r="UUG99" s="769"/>
      <c r="UUH99" s="769"/>
      <c r="UUI99" s="769"/>
      <c r="UUJ99" s="769"/>
      <c r="UUK99" s="769"/>
      <c r="UUL99" s="769"/>
      <c r="UUM99" s="769"/>
      <c r="UUN99" s="769"/>
      <c r="UUO99" s="769"/>
      <c r="UUP99" s="769"/>
      <c r="UUQ99" s="769"/>
      <c r="UUR99" s="769"/>
      <c r="UUS99" s="769"/>
      <c r="UUT99" s="769"/>
      <c r="UUU99" s="769"/>
      <c r="UUV99" s="769"/>
      <c r="UUW99" s="769"/>
      <c r="UUX99" s="769"/>
      <c r="UUY99" s="769"/>
      <c r="UUZ99" s="769"/>
      <c r="UVA99" s="769"/>
      <c r="UVB99" s="769"/>
      <c r="UVC99" s="769"/>
      <c r="UVD99" s="769"/>
      <c r="UVE99" s="769"/>
      <c r="UVF99" s="769"/>
      <c r="UVG99" s="769"/>
      <c r="UVH99" s="769"/>
      <c r="UVI99" s="769"/>
      <c r="UVJ99" s="769"/>
      <c r="UVK99" s="769"/>
      <c r="UVL99" s="769"/>
      <c r="UVM99" s="769"/>
      <c r="UVN99" s="769"/>
      <c r="UVO99" s="769"/>
      <c r="UVP99" s="769"/>
      <c r="UVQ99" s="769"/>
      <c r="UVR99" s="769"/>
      <c r="UVS99" s="769"/>
      <c r="UVT99" s="769"/>
      <c r="UVU99" s="769"/>
      <c r="UVV99" s="769"/>
      <c r="UVW99" s="769"/>
      <c r="UVX99" s="769"/>
      <c r="UVY99" s="769"/>
      <c r="UVZ99" s="769"/>
      <c r="UWA99" s="769"/>
      <c r="UWB99" s="769"/>
      <c r="UWC99" s="769"/>
      <c r="UWD99" s="769"/>
      <c r="UWE99" s="769"/>
      <c r="UWF99" s="769"/>
      <c r="UWG99" s="769"/>
      <c r="UWH99" s="769"/>
      <c r="UWI99" s="769"/>
      <c r="UWJ99" s="769"/>
      <c r="UWK99" s="769"/>
      <c r="UWL99" s="769"/>
      <c r="UWM99" s="769"/>
      <c r="UWN99" s="769"/>
      <c r="UWO99" s="769"/>
      <c r="UWP99" s="769"/>
      <c r="UWQ99" s="769"/>
      <c r="UWR99" s="769"/>
      <c r="UWS99" s="769"/>
      <c r="UWT99" s="769"/>
      <c r="UWU99" s="769"/>
      <c r="UWV99" s="769"/>
      <c r="UWW99" s="769"/>
      <c r="UWX99" s="769"/>
      <c r="UWY99" s="769"/>
      <c r="UWZ99" s="769"/>
      <c r="UXA99" s="769"/>
      <c r="UXB99" s="769"/>
      <c r="UXC99" s="769"/>
      <c r="UXD99" s="769"/>
      <c r="UXE99" s="769"/>
      <c r="UXF99" s="769"/>
      <c r="UXG99" s="769"/>
      <c r="UXH99" s="769"/>
      <c r="UXI99" s="769"/>
      <c r="UXJ99" s="769"/>
      <c r="UXK99" s="769"/>
      <c r="UXL99" s="769"/>
      <c r="UXM99" s="769"/>
      <c r="UXN99" s="769"/>
      <c r="UXO99" s="769"/>
      <c r="UXP99" s="769"/>
      <c r="UXQ99" s="769"/>
      <c r="UXR99" s="769"/>
      <c r="UXS99" s="769"/>
      <c r="UXT99" s="769"/>
      <c r="UXU99" s="769"/>
      <c r="UXV99" s="769"/>
      <c r="UXW99" s="769"/>
      <c r="UXX99" s="769"/>
      <c r="UXY99" s="769"/>
      <c r="UXZ99" s="769"/>
      <c r="UYA99" s="769"/>
      <c r="UYB99" s="769"/>
      <c r="UYC99" s="769"/>
      <c r="UYD99" s="769"/>
      <c r="UYE99" s="769"/>
      <c r="UYF99" s="769"/>
      <c r="UYG99" s="769"/>
      <c r="UYH99" s="769"/>
      <c r="UYI99" s="769"/>
      <c r="UYJ99" s="769"/>
      <c r="UYK99" s="769"/>
      <c r="UYL99" s="769"/>
      <c r="UYM99" s="769"/>
      <c r="UYN99" s="769"/>
      <c r="UYO99" s="769"/>
      <c r="UYP99" s="769"/>
      <c r="UYQ99" s="769"/>
      <c r="UYR99" s="769"/>
      <c r="UYS99" s="769"/>
      <c r="UYT99" s="769"/>
      <c r="UYU99" s="769"/>
      <c r="UYV99" s="769"/>
      <c r="UYW99" s="769"/>
      <c r="UYX99" s="769"/>
      <c r="UYY99" s="769"/>
      <c r="UYZ99" s="769"/>
      <c r="UZA99" s="769"/>
      <c r="UZB99" s="769"/>
      <c r="UZC99" s="769"/>
      <c r="UZD99" s="769"/>
      <c r="UZE99" s="769"/>
      <c r="UZF99" s="769"/>
      <c r="UZG99" s="769"/>
      <c r="UZH99" s="769"/>
      <c r="UZI99" s="769"/>
      <c r="UZJ99" s="769"/>
      <c r="UZK99" s="769"/>
      <c r="UZL99" s="769"/>
      <c r="UZM99" s="769"/>
      <c r="UZN99" s="769"/>
      <c r="UZO99" s="769"/>
      <c r="UZP99" s="769"/>
      <c r="UZQ99" s="769"/>
      <c r="UZR99" s="769"/>
      <c r="UZS99" s="769"/>
      <c r="UZT99" s="769"/>
      <c r="UZU99" s="769"/>
      <c r="UZV99" s="769"/>
      <c r="UZW99" s="769"/>
      <c r="UZX99" s="769"/>
      <c r="UZY99" s="769"/>
      <c r="UZZ99" s="769"/>
      <c r="VAA99" s="769"/>
      <c r="VAB99" s="769"/>
      <c r="VAC99" s="769"/>
      <c r="VAD99" s="769"/>
      <c r="VAE99" s="769"/>
      <c r="VAF99" s="769"/>
      <c r="VAG99" s="769"/>
      <c r="VAH99" s="769"/>
      <c r="VAI99" s="769"/>
      <c r="VAJ99" s="769"/>
      <c r="VAK99" s="769"/>
      <c r="VAL99" s="769"/>
      <c r="VAM99" s="769"/>
      <c r="VAN99" s="769"/>
      <c r="VAO99" s="769"/>
      <c r="VAP99" s="769"/>
      <c r="VAQ99" s="769"/>
      <c r="VAR99" s="769"/>
      <c r="VAS99" s="769"/>
      <c r="VAT99" s="769"/>
      <c r="VAU99" s="769"/>
      <c r="VAV99" s="769"/>
      <c r="VAW99" s="769"/>
      <c r="VAX99" s="769"/>
      <c r="VAY99" s="769"/>
      <c r="VAZ99" s="769"/>
      <c r="VBA99" s="769"/>
      <c r="VBB99" s="769"/>
      <c r="VBC99" s="769"/>
      <c r="VBD99" s="769"/>
      <c r="VBE99" s="769"/>
      <c r="VBF99" s="769"/>
      <c r="VBG99" s="769"/>
      <c r="VBH99" s="769"/>
      <c r="VBI99" s="769"/>
      <c r="VBJ99" s="769"/>
      <c r="VBK99" s="769"/>
      <c r="VBL99" s="769"/>
      <c r="VBM99" s="769"/>
      <c r="VBN99" s="769"/>
      <c r="VBO99" s="769"/>
      <c r="VBP99" s="769"/>
      <c r="VBQ99" s="769"/>
      <c r="VBR99" s="769"/>
      <c r="VBS99" s="769"/>
      <c r="VBT99" s="769"/>
      <c r="VBU99" s="769"/>
      <c r="VBV99" s="769"/>
      <c r="VBW99" s="769"/>
      <c r="VBX99" s="769"/>
      <c r="VBY99" s="769"/>
      <c r="VBZ99" s="769"/>
      <c r="VCA99" s="769"/>
      <c r="VCB99" s="769"/>
      <c r="VCC99" s="769"/>
      <c r="VCD99" s="769"/>
      <c r="VCE99" s="769"/>
      <c r="VCF99" s="769"/>
      <c r="VCG99" s="769"/>
      <c r="VCH99" s="769"/>
      <c r="VCI99" s="769"/>
      <c r="VCJ99" s="769"/>
      <c r="VCK99" s="769"/>
      <c r="VCL99" s="769"/>
      <c r="VCM99" s="769"/>
      <c r="VCN99" s="769"/>
      <c r="VCO99" s="769"/>
      <c r="VCP99" s="769"/>
      <c r="VCQ99" s="769"/>
      <c r="VCR99" s="769"/>
      <c r="VCS99" s="769"/>
      <c r="VCT99" s="769"/>
      <c r="VCU99" s="769"/>
      <c r="VCV99" s="769"/>
      <c r="VCW99" s="769"/>
      <c r="VCX99" s="769"/>
      <c r="VCY99" s="769"/>
      <c r="VCZ99" s="769"/>
      <c r="VDA99" s="769"/>
      <c r="VDB99" s="769"/>
      <c r="VDC99" s="769"/>
      <c r="VDD99" s="769"/>
      <c r="VDE99" s="769"/>
      <c r="VDF99" s="769"/>
      <c r="VDG99" s="769"/>
      <c r="VDH99" s="769"/>
      <c r="VDI99" s="769"/>
      <c r="VDJ99" s="769"/>
      <c r="VDK99" s="769"/>
      <c r="VDL99" s="769"/>
      <c r="VDM99" s="769"/>
      <c r="VDN99" s="769"/>
      <c r="VDO99" s="769"/>
      <c r="VDP99" s="769"/>
      <c r="VDQ99" s="769"/>
      <c r="VDR99" s="769"/>
      <c r="VDS99" s="769"/>
      <c r="VDT99" s="769"/>
      <c r="VDU99" s="769"/>
      <c r="VDV99" s="769"/>
      <c r="VDW99" s="769"/>
      <c r="VDX99" s="769"/>
      <c r="VDY99" s="769"/>
      <c r="VDZ99" s="769"/>
      <c r="VEA99" s="769"/>
      <c r="VEB99" s="769"/>
      <c r="VEC99" s="769"/>
      <c r="VED99" s="769"/>
      <c r="VEE99" s="769"/>
      <c r="VEF99" s="769"/>
      <c r="VEG99" s="769"/>
      <c r="VEH99" s="769"/>
      <c r="VEI99" s="769"/>
      <c r="VEJ99" s="769"/>
      <c r="VEK99" s="769"/>
      <c r="VEL99" s="769"/>
      <c r="VEM99" s="769"/>
      <c r="VEN99" s="769"/>
      <c r="VEO99" s="769"/>
      <c r="VEP99" s="769"/>
      <c r="VEQ99" s="769"/>
      <c r="VER99" s="769"/>
      <c r="VES99" s="769"/>
      <c r="VET99" s="769"/>
      <c r="VEU99" s="769"/>
      <c r="VEV99" s="769"/>
      <c r="VEW99" s="769"/>
      <c r="VEX99" s="769"/>
      <c r="VEY99" s="769"/>
      <c r="VEZ99" s="769"/>
      <c r="VFA99" s="769"/>
      <c r="VFB99" s="769"/>
      <c r="VFC99" s="769"/>
      <c r="VFD99" s="769"/>
      <c r="VFE99" s="769"/>
      <c r="VFF99" s="769"/>
      <c r="VFG99" s="769"/>
      <c r="VFH99" s="769"/>
      <c r="VFI99" s="769"/>
      <c r="VFJ99" s="769"/>
      <c r="VFK99" s="769"/>
      <c r="VFL99" s="769"/>
      <c r="VFM99" s="769"/>
      <c r="VFN99" s="769"/>
      <c r="VFO99" s="769"/>
      <c r="VFP99" s="769"/>
      <c r="VFQ99" s="769"/>
      <c r="VFR99" s="769"/>
      <c r="VFS99" s="769"/>
      <c r="VFT99" s="769"/>
      <c r="VFU99" s="769"/>
      <c r="VFV99" s="769"/>
      <c r="VFW99" s="769"/>
      <c r="VFX99" s="769"/>
      <c r="VFY99" s="769"/>
      <c r="VFZ99" s="769"/>
      <c r="VGA99" s="769"/>
      <c r="VGB99" s="769"/>
      <c r="VGC99" s="769"/>
      <c r="VGD99" s="769"/>
      <c r="VGE99" s="769"/>
      <c r="VGF99" s="769"/>
      <c r="VGG99" s="769"/>
      <c r="VGH99" s="769"/>
      <c r="VGI99" s="769"/>
      <c r="VGJ99" s="769"/>
      <c r="VGK99" s="769"/>
      <c r="VGL99" s="769"/>
      <c r="VGM99" s="769"/>
      <c r="VGN99" s="769"/>
      <c r="VGO99" s="769"/>
      <c r="VGP99" s="769"/>
      <c r="VGQ99" s="769"/>
      <c r="VGR99" s="769"/>
      <c r="VGS99" s="769"/>
      <c r="VGT99" s="769"/>
      <c r="VGU99" s="769"/>
      <c r="VGV99" s="769"/>
      <c r="VGW99" s="769"/>
      <c r="VGX99" s="769"/>
      <c r="VGY99" s="769"/>
      <c r="VGZ99" s="769"/>
      <c r="VHA99" s="769"/>
      <c r="VHB99" s="769"/>
      <c r="VHC99" s="769"/>
      <c r="VHD99" s="769"/>
      <c r="VHE99" s="769"/>
      <c r="VHF99" s="769"/>
      <c r="VHG99" s="769"/>
      <c r="VHH99" s="769"/>
      <c r="VHI99" s="769"/>
      <c r="VHJ99" s="769"/>
      <c r="VHK99" s="769"/>
      <c r="VHL99" s="769"/>
      <c r="VHM99" s="769"/>
      <c r="VHN99" s="769"/>
      <c r="VHO99" s="769"/>
      <c r="VHP99" s="769"/>
      <c r="VHQ99" s="769"/>
      <c r="VHR99" s="769"/>
      <c r="VHS99" s="769"/>
      <c r="VHT99" s="769"/>
      <c r="VHU99" s="769"/>
      <c r="VHV99" s="769"/>
      <c r="VHW99" s="769"/>
      <c r="VHX99" s="769"/>
      <c r="VHY99" s="769"/>
      <c r="VHZ99" s="769"/>
      <c r="VIA99" s="769"/>
      <c r="VIB99" s="769"/>
      <c r="VIC99" s="769"/>
      <c r="VID99" s="769"/>
      <c r="VIE99" s="769"/>
      <c r="VIF99" s="769"/>
      <c r="VIG99" s="769"/>
      <c r="VIH99" s="769"/>
      <c r="VII99" s="769"/>
      <c r="VIJ99" s="769"/>
      <c r="VIK99" s="769"/>
      <c r="VIL99" s="769"/>
      <c r="VIM99" s="769"/>
      <c r="VIN99" s="769"/>
      <c r="VIO99" s="769"/>
      <c r="VIP99" s="769"/>
      <c r="VIQ99" s="769"/>
      <c r="VIR99" s="769"/>
      <c r="VIS99" s="769"/>
      <c r="VIT99" s="769"/>
      <c r="VIU99" s="769"/>
      <c r="VIV99" s="769"/>
      <c r="VIW99" s="769"/>
      <c r="VIX99" s="769"/>
      <c r="VIY99" s="769"/>
      <c r="VIZ99" s="769"/>
      <c r="VJA99" s="769"/>
      <c r="VJB99" s="769"/>
      <c r="VJC99" s="769"/>
      <c r="VJD99" s="769"/>
      <c r="VJE99" s="769"/>
      <c r="VJF99" s="769"/>
      <c r="VJG99" s="769"/>
      <c r="VJH99" s="769"/>
      <c r="VJI99" s="769"/>
      <c r="VJJ99" s="769"/>
      <c r="VJK99" s="769"/>
      <c r="VJL99" s="769"/>
      <c r="VJM99" s="769"/>
      <c r="VJN99" s="769"/>
      <c r="VJO99" s="769"/>
      <c r="VJP99" s="769"/>
      <c r="VJQ99" s="769"/>
      <c r="VJR99" s="769"/>
      <c r="VJS99" s="769"/>
      <c r="VJT99" s="769"/>
      <c r="VJU99" s="769"/>
      <c r="VJV99" s="769"/>
      <c r="VJW99" s="769"/>
      <c r="VJX99" s="769"/>
      <c r="VJY99" s="769"/>
      <c r="VJZ99" s="769"/>
      <c r="VKA99" s="769"/>
      <c r="VKB99" s="769"/>
      <c r="VKC99" s="769"/>
      <c r="VKD99" s="769"/>
      <c r="VKE99" s="769"/>
      <c r="VKF99" s="769"/>
      <c r="VKG99" s="769"/>
      <c r="VKH99" s="769"/>
      <c r="VKI99" s="769"/>
      <c r="VKJ99" s="769"/>
      <c r="VKK99" s="769"/>
      <c r="VKL99" s="769"/>
      <c r="VKM99" s="769"/>
      <c r="VKN99" s="769"/>
      <c r="VKO99" s="769"/>
      <c r="VKP99" s="769"/>
      <c r="VKQ99" s="769"/>
      <c r="VKR99" s="769"/>
      <c r="VKS99" s="769"/>
      <c r="VKT99" s="769"/>
      <c r="VKU99" s="769"/>
      <c r="VKV99" s="769"/>
      <c r="VKW99" s="769"/>
      <c r="VKX99" s="769"/>
      <c r="VKY99" s="769"/>
      <c r="VKZ99" s="769"/>
      <c r="VLA99" s="769"/>
      <c r="VLB99" s="769"/>
      <c r="VLC99" s="769"/>
      <c r="VLD99" s="769"/>
      <c r="VLE99" s="769"/>
      <c r="VLF99" s="769"/>
      <c r="VLG99" s="769"/>
      <c r="VLH99" s="769"/>
      <c r="VLI99" s="769"/>
      <c r="VLJ99" s="769"/>
      <c r="VLK99" s="769"/>
      <c r="VLL99" s="769"/>
      <c r="VLM99" s="769"/>
      <c r="VLN99" s="769"/>
      <c r="VLO99" s="769"/>
      <c r="VLP99" s="769"/>
      <c r="VLQ99" s="769"/>
      <c r="VLR99" s="769"/>
      <c r="VLS99" s="769"/>
      <c r="VLT99" s="769"/>
      <c r="VLU99" s="769"/>
      <c r="VLV99" s="769"/>
      <c r="VLW99" s="769"/>
      <c r="VLX99" s="769"/>
      <c r="VLY99" s="769"/>
      <c r="VLZ99" s="769"/>
      <c r="VMA99" s="769"/>
      <c r="VMB99" s="769"/>
      <c r="VMC99" s="769"/>
      <c r="VMD99" s="769"/>
      <c r="VME99" s="769"/>
      <c r="VMF99" s="769"/>
      <c r="VMG99" s="769"/>
      <c r="VMH99" s="769"/>
      <c r="VMI99" s="769"/>
      <c r="VMJ99" s="769"/>
      <c r="VMK99" s="769"/>
      <c r="VML99" s="769"/>
      <c r="VMM99" s="769"/>
      <c r="VMN99" s="769"/>
      <c r="VMO99" s="769"/>
      <c r="VMP99" s="769"/>
      <c r="VMQ99" s="769"/>
      <c r="VMR99" s="769"/>
      <c r="VMS99" s="769"/>
      <c r="VMT99" s="769"/>
      <c r="VMU99" s="769"/>
      <c r="VMV99" s="769"/>
      <c r="VMW99" s="769"/>
      <c r="VMX99" s="769"/>
      <c r="VMY99" s="769"/>
      <c r="VMZ99" s="769"/>
      <c r="VNA99" s="769"/>
      <c r="VNB99" s="769"/>
      <c r="VNC99" s="769"/>
      <c r="VND99" s="769"/>
      <c r="VNE99" s="769"/>
      <c r="VNF99" s="769"/>
      <c r="VNG99" s="769"/>
      <c r="VNH99" s="769"/>
      <c r="VNI99" s="769"/>
      <c r="VNJ99" s="769"/>
      <c r="VNK99" s="769"/>
      <c r="VNL99" s="769"/>
      <c r="VNM99" s="769"/>
      <c r="VNN99" s="769"/>
      <c r="VNO99" s="769"/>
      <c r="VNP99" s="769"/>
      <c r="VNQ99" s="769"/>
      <c r="VNR99" s="769"/>
      <c r="VNS99" s="769"/>
      <c r="VNT99" s="769"/>
      <c r="VNU99" s="769"/>
      <c r="VNV99" s="769"/>
      <c r="VNW99" s="769"/>
      <c r="VNX99" s="769"/>
      <c r="VNY99" s="769"/>
      <c r="VNZ99" s="769"/>
      <c r="VOA99" s="769"/>
      <c r="VOB99" s="769"/>
      <c r="VOC99" s="769"/>
      <c r="VOD99" s="769"/>
      <c r="VOE99" s="769"/>
      <c r="VOF99" s="769"/>
      <c r="VOG99" s="769"/>
      <c r="VOH99" s="769"/>
      <c r="VOI99" s="769"/>
      <c r="VOJ99" s="769"/>
      <c r="VOK99" s="769"/>
      <c r="VOL99" s="769"/>
      <c r="VOM99" s="769"/>
      <c r="VON99" s="769"/>
      <c r="VOO99" s="769"/>
      <c r="VOP99" s="769"/>
      <c r="VOQ99" s="769"/>
      <c r="VOR99" s="769"/>
      <c r="VOS99" s="769"/>
      <c r="VOT99" s="769"/>
      <c r="VOU99" s="769"/>
      <c r="VOV99" s="769"/>
      <c r="VOW99" s="769"/>
      <c r="VOX99" s="769"/>
      <c r="VOY99" s="769"/>
      <c r="VOZ99" s="769"/>
      <c r="VPA99" s="769"/>
      <c r="VPB99" s="769"/>
      <c r="VPC99" s="769"/>
      <c r="VPD99" s="769"/>
      <c r="VPE99" s="769"/>
      <c r="VPF99" s="769"/>
      <c r="VPG99" s="769"/>
      <c r="VPH99" s="769"/>
      <c r="VPI99" s="769"/>
      <c r="VPJ99" s="769"/>
      <c r="VPK99" s="769"/>
      <c r="VPL99" s="769"/>
      <c r="VPM99" s="769"/>
      <c r="VPN99" s="769"/>
      <c r="VPO99" s="769"/>
      <c r="VPP99" s="769"/>
      <c r="VPQ99" s="769"/>
      <c r="VPR99" s="769"/>
      <c r="VPS99" s="769"/>
      <c r="VPT99" s="769"/>
      <c r="VPU99" s="769"/>
      <c r="VPV99" s="769"/>
      <c r="VPW99" s="769"/>
      <c r="VPX99" s="769"/>
      <c r="VPY99" s="769"/>
      <c r="VPZ99" s="769"/>
      <c r="VQA99" s="769"/>
      <c r="VQB99" s="769"/>
      <c r="VQC99" s="769"/>
      <c r="VQD99" s="769"/>
      <c r="VQE99" s="769"/>
      <c r="VQF99" s="769"/>
      <c r="VQG99" s="769"/>
      <c r="VQH99" s="769"/>
      <c r="VQI99" s="769"/>
      <c r="VQJ99" s="769"/>
      <c r="VQK99" s="769"/>
      <c r="VQL99" s="769"/>
      <c r="VQM99" s="769"/>
      <c r="VQN99" s="769"/>
      <c r="VQO99" s="769"/>
      <c r="VQP99" s="769"/>
      <c r="VQQ99" s="769"/>
      <c r="VQR99" s="769"/>
      <c r="VQS99" s="769"/>
      <c r="VQT99" s="769"/>
      <c r="VQU99" s="769"/>
      <c r="VQV99" s="769"/>
      <c r="VQW99" s="769"/>
      <c r="VQX99" s="769"/>
      <c r="VQY99" s="769"/>
      <c r="VQZ99" s="769"/>
      <c r="VRA99" s="769"/>
      <c r="VRB99" s="769"/>
      <c r="VRC99" s="769"/>
      <c r="VRD99" s="769"/>
      <c r="VRE99" s="769"/>
      <c r="VRF99" s="769"/>
      <c r="VRG99" s="769"/>
      <c r="VRH99" s="769"/>
      <c r="VRI99" s="769"/>
      <c r="VRJ99" s="769"/>
      <c r="VRK99" s="769"/>
      <c r="VRL99" s="769"/>
      <c r="VRM99" s="769"/>
      <c r="VRN99" s="769"/>
      <c r="VRO99" s="769"/>
      <c r="VRP99" s="769"/>
      <c r="VRQ99" s="769"/>
      <c r="VRR99" s="769"/>
      <c r="VRS99" s="769"/>
      <c r="VRT99" s="769"/>
      <c r="VRU99" s="769"/>
      <c r="VRV99" s="769"/>
      <c r="VRW99" s="769"/>
      <c r="VRX99" s="769"/>
      <c r="VRY99" s="769"/>
      <c r="VRZ99" s="769"/>
      <c r="VSA99" s="769"/>
      <c r="VSB99" s="769"/>
      <c r="VSC99" s="769"/>
      <c r="VSD99" s="769"/>
      <c r="VSE99" s="769"/>
      <c r="VSF99" s="769"/>
      <c r="VSG99" s="769"/>
      <c r="VSH99" s="769"/>
      <c r="VSI99" s="769"/>
      <c r="VSJ99" s="769"/>
      <c r="VSK99" s="769"/>
      <c r="VSL99" s="769"/>
      <c r="VSM99" s="769"/>
      <c r="VSN99" s="769"/>
      <c r="VSO99" s="769"/>
      <c r="VSP99" s="769"/>
      <c r="VSQ99" s="769"/>
      <c r="VSR99" s="769"/>
      <c r="VSS99" s="769"/>
      <c r="VST99" s="769"/>
      <c r="VSU99" s="769"/>
      <c r="VSV99" s="769"/>
      <c r="VSW99" s="769"/>
      <c r="VSX99" s="769"/>
      <c r="VSY99" s="769"/>
      <c r="VSZ99" s="769"/>
      <c r="VTA99" s="769"/>
      <c r="VTB99" s="769"/>
      <c r="VTC99" s="769"/>
      <c r="VTD99" s="769"/>
      <c r="VTE99" s="769"/>
      <c r="VTF99" s="769"/>
      <c r="VTG99" s="769"/>
      <c r="VTH99" s="769"/>
      <c r="VTI99" s="769"/>
      <c r="VTJ99" s="769"/>
      <c r="VTK99" s="769"/>
      <c r="VTL99" s="769"/>
      <c r="VTM99" s="769"/>
      <c r="VTN99" s="769"/>
      <c r="VTO99" s="769"/>
      <c r="VTP99" s="769"/>
      <c r="VTQ99" s="769"/>
      <c r="VTR99" s="769"/>
      <c r="VTS99" s="769"/>
      <c r="VTT99" s="769"/>
      <c r="VTU99" s="769"/>
      <c r="VTV99" s="769"/>
      <c r="VTW99" s="769"/>
      <c r="VTX99" s="769"/>
      <c r="VTY99" s="769"/>
      <c r="VTZ99" s="769"/>
      <c r="VUA99" s="769"/>
      <c r="VUB99" s="769"/>
      <c r="VUC99" s="769"/>
      <c r="VUD99" s="769"/>
      <c r="VUE99" s="769"/>
      <c r="VUF99" s="769"/>
      <c r="VUG99" s="769"/>
      <c r="VUH99" s="769"/>
      <c r="VUI99" s="769"/>
      <c r="VUJ99" s="769"/>
      <c r="VUK99" s="769"/>
      <c r="VUL99" s="769"/>
      <c r="VUM99" s="769"/>
      <c r="VUN99" s="769"/>
      <c r="VUO99" s="769"/>
      <c r="VUP99" s="769"/>
      <c r="VUQ99" s="769"/>
      <c r="VUR99" s="769"/>
      <c r="VUS99" s="769"/>
      <c r="VUT99" s="769"/>
      <c r="VUU99" s="769"/>
      <c r="VUV99" s="769"/>
      <c r="VUW99" s="769"/>
      <c r="VUX99" s="769"/>
      <c r="VUY99" s="769"/>
      <c r="VUZ99" s="769"/>
      <c r="VVA99" s="769"/>
      <c r="VVB99" s="769"/>
      <c r="VVC99" s="769"/>
      <c r="VVD99" s="769"/>
      <c r="VVE99" s="769"/>
      <c r="VVF99" s="769"/>
      <c r="VVG99" s="769"/>
      <c r="VVH99" s="769"/>
      <c r="VVI99" s="769"/>
      <c r="VVJ99" s="769"/>
      <c r="VVK99" s="769"/>
      <c r="VVL99" s="769"/>
      <c r="VVM99" s="769"/>
      <c r="VVN99" s="769"/>
      <c r="VVO99" s="769"/>
      <c r="VVP99" s="769"/>
      <c r="VVQ99" s="769"/>
      <c r="VVR99" s="769"/>
      <c r="VVS99" s="769"/>
      <c r="VVT99" s="769"/>
      <c r="VVU99" s="769"/>
      <c r="VVV99" s="769"/>
      <c r="VVW99" s="769"/>
      <c r="VVX99" s="769"/>
      <c r="VVY99" s="769"/>
      <c r="VVZ99" s="769"/>
      <c r="VWA99" s="769"/>
      <c r="VWB99" s="769"/>
      <c r="VWC99" s="769"/>
      <c r="VWD99" s="769"/>
      <c r="VWE99" s="769"/>
      <c r="VWF99" s="769"/>
      <c r="VWG99" s="769"/>
      <c r="VWH99" s="769"/>
      <c r="VWI99" s="769"/>
      <c r="VWJ99" s="769"/>
      <c r="VWK99" s="769"/>
      <c r="VWL99" s="769"/>
      <c r="VWM99" s="769"/>
      <c r="VWN99" s="769"/>
      <c r="VWO99" s="769"/>
      <c r="VWP99" s="769"/>
      <c r="VWQ99" s="769"/>
      <c r="VWR99" s="769"/>
      <c r="VWS99" s="769"/>
      <c r="VWT99" s="769"/>
      <c r="VWU99" s="769"/>
      <c r="VWV99" s="769"/>
      <c r="VWW99" s="769"/>
      <c r="VWX99" s="769"/>
      <c r="VWY99" s="769"/>
      <c r="VWZ99" s="769"/>
      <c r="VXA99" s="769"/>
      <c r="VXB99" s="769"/>
      <c r="VXC99" s="769"/>
      <c r="VXD99" s="769"/>
      <c r="VXE99" s="769"/>
      <c r="VXF99" s="769"/>
      <c r="VXG99" s="769"/>
      <c r="VXH99" s="769"/>
      <c r="VXI99" s="769"/>
      <c r="VXJ99" s="769"/>
      <c r="VXK99" s="769"/>
      <c r="VXL99" s="769"/>
      <c r="VXM99" s="769"/>
      <c r="VXN99" s="769"/>
      <c r="VXO99" s="769"/>
      <c r="VXP99" s="769"/>
      <c r="VXQ99" s="769"/>
      <c r="VXR99" s="769"/>
      <c r="VXS99" s="769"/>
      <c r="VXT99" s="769"/>
      <c r="VXU99" s="769"/>
      <c r="VXV99" s="769"/>
      <c r="VXW99" s="769"/>
      <c r="VXX99" s="769"/>
      <c r="VXY99" s="769"/>
      <c r="VXZ99" s="769"/>
      <c r="VYA99" s="769"/>
      <c r="VYB99" s="769"/>
      <c r="VYC99" s="769"/>
      <c r="VYD99" s="769"/>
      <c r="VYE99" s="769"/>
      <c r="VYF99" s="769"/>
      <c r="VYG99" s="769"/>
      <c r="VYH99" s="769"/>
      <c r="VYI99" s="769"/>
      <c r="VYJ99" s="769"/>
      <c r="VYK99" s="769"/>
      <c r="VYL99" s="769"/>
      <c r="VYM99" s="769"/>
      <c r="VYN99" s="769"/>
      <c r="VYO99" s="769"/>
      <c r="VYP99" s="769"/>
      <c r="VYQ99" s="769"/>
      <c r="VYR99" s="769"/>
      <c r="VYS99" s="769"/>
      <c r="VYT99" s="769"/>
      <c r="VYU99" s="769"/>
      <c r="VYV99" s="769"/>
      <c r="VYW99" s="769"/>
      <c r="VYX99" s="769"/>
      <c r="VYY99" s="769"/>
      <c r="VYZ99" s="769"/>
      <c r="VZA99" s="769"/>
      <c r="VZB99" s="769"/>
      <c r="VZC99" s="769"/>
      <c r="VZD99" s="769"/>
      <c r="VZE99" s="769"/>
      <c r="VZF99" s="769"/>
      <c r="VZG99" s="769"/>
      <c r="VZH99" s="769"/>
      <c r="VZI99" s="769"/>
      <c r="VZJ99" s="769"/>
      <c r="VZK99" s="769"/>
      <c r="VZL99" s="769"/>
      <c r="VZM99" s="769"/>
      <c r="VZN99" s="769"/>
      <c r="VZO99" s="769"/>
      <c r="VZP99" s="769"/>
      <c r="VZQ99" s="769"/>
      <c r="VZR99" s="769"/>
      <c r="VZS99" s="769"/>
      <c r="VZT99" s="769"/>
      <c r="VZU99" s="769"/>
      <c r="VZV99" s="769"/>
      <c r="VZW99" s="769"/>
      <c r="VZX99" s="769"/>
      <c r="VZY99" s="769"/>
      <c r="VZZ99" s="769"/>
      <c r="WAA99" s="769"/>
      <c r="WAB99" s="769"/>
      <c r="WAC99" s="769"/>
      <c r="WAD99" s="769"/>
      <c r="WAE99" s="769"/>
      <c r="WAF99" s="769"/>
      <c r="WAG99" s="769"/>
      <c r="WAH99" s="769"/>
      <c r="WAI99" s="769"/>
      <c r="WAJ99" s="769"/>
      <c r="WAK99" s="769"/>
      <c r="WAL99" s="769"/>
      <c r="WAM99" s="769"/>
      <c r="WAN99" s="769"/>
      <c r="WAO99" s="769"/>
      <c r="WAP99" s="769"/>
      <c r="WAQ99" s="769"/>
      <c r="WAR99" s="769"/>
      <c r="WAS99" s="769"/>
      <c r="WAT99" s="769"/>
      <c r="WAU99" s="769"/>
      <c r="WAV99" s="769"/>
      <c r="WAW99" s="769"/>
      <c r="WAX99" s="769"/>
      <c r="WAY99" s="769"/>
      <c r="WAZ99" s="769"/>
      <c r="WBA99" s="769"/>
      <c r="WBB99" s="769"/>
      <c r="WBC99" s="769"/>
      <c r="WBD99" s="769"/>
      <c r="WBE99" s="769"/>
      <c r="WBF99" s="769"/>
      <c r="WBG99" s="769"/>
      <c r="WBH99" s="769"/>
      <c r="WBI99" s="769"/>
      <c r="WBJ99" s="769"/>
      <c r="WBK99" s="769"/>
      <c r="WBL99" s="769"/>
      <c r="WBM99" s="769"/>
      <c r="WBN99" s="769"/>
      <c r="WBO99" s="769"/>
      <c r="WBP99" s="769"/>
      <c r="WBQ99" s="769"/>
      <c r="WBR99" s="769"/>
      <c r="WBS99" s="769"/>
      <c r="WBT99" s="769"/>
      <c r="WBU99" s="769"/>
      <c r="WBV99" s="769"/>
      <c r="WBW99" s="769"/>
      <c r="WBX99" s="769"/>
      <c r="WBY99" s="769"/>
      <c r="WBZ99" s="769"/>
      <c r="WCA99" s="769"/>
      <c r="WCB99" s="769"/>
      <c r="WCC99" s="769"/>
      <c r="WCD99" s="769"/>
      <c r="WCE99" s="769"/>
      <c r="WCF99" s="769"/>
      <c r="WCG99" s="769"/>
      <c r="WCH99" s="769"/>
      <c r="WCI99" s="769"/>
      <c r="WCJ99" s="769"/>
      <c r="WCK99" s="769"/>
      <c r="WCL99" s="769"/>
      <c r="WCM99" s="769"/>
      <c r="WCN99" s="769"/>
      <c r="WCO99" s="769"/>
      <c r="WCP99" s="769"/>
      <c r="WCQ99" s="769"/>
      <c r="WCR99" s="769"/>
      <c r="WCS99" s="769"/>
      <c r="WCT99" s="769"/>
      <c r="WCU99" s="769"/>
      <c r="WCV99" s="769"/>
      <c r="WCW99" s="769"/>
      <c r="WCX99" s="769"/>
      <c r="WCY99" s="769"/>
      <c r="WCZ99" s="769"/>
      <c r="WDA99" s="769"/>
      <c r="WDB99" s="769"/>
      <c r="WDC99" s="769"/>
      <c r="WDD99" s="769"/>
      <c r="WDE99" s="769"/>
      <c r="WDF99" s="769"/>
      <c r="WDG99" s="769"/>
      <c r="WDH99" s="769"/>
      <c r="WDI99" s="769"/>
      <c r="WDJ99" s="769"/>
      <c r="WDK99" s="769"/>
      <c r="WDL99" s="769"/>
      <c r="WDM99" s="769"/>
      <c r="WDN99" s="769"/>
      <c r="WDO99" s="769"/>
      <c r="WDP99" s="769"/>
      <c r="WDQ99" s="769"/>
      <c r="WDR99" s="769"/>
      <c r="WDS99" s="769"/>
      <c r="WDT99" s="769"/>
      <c r="WDU99" s="769"/>
      <c r="WDV99" s="769"/>
      <c r="WDW99" s="769"/>
      <c r="WDX99" s="769"/>
      <c r="WDY99" s="769"/>
      <c r="WDZ99" s="769"/>
      <c r="WEA99" s="769"/>
      <c r="WEB99" s="769"/>
      <c r="WEC99" s="769"/>
      <c r="WED99" s="769"/>
      <c r="WEE99" s="769"/>
      <c r="WEF99" s="769"/>
      <c r="WEG99" s="769"/>
      <c r="WEH99" s="769"/>
      <c r="WEI99" s="769"/>
      <c r="WEJ99" s="769"/>
      <c r="WEK99" s="769"/>
      <c r="WEL99" s="769"/>
      <c r="WEM99" s="769"/>
      <c r="WEN99" s="769"/>
      <c r="WEO99" s="769"/>
      <c r="WEP99" s="769"/>
      <c r="WEQ99" s="769"/>
      <c r="WER99" s="769"/>
      <c r="WES99" s="769"/>
      <c r="WET99" s="769"/>
      <c r="WEU99" s="769"/>
      <c r="WEV99" s="769"/>
      <c r="WEW99" s="769"/>
      <c r="WEX99" s="769"/>
      <c r="WEY99" s="769"/>
      <c r="WEZ99" s="769"/>
      <c r="WFA99" s="769"/>
      <c r="WFB99" s="769"/>
      <c r="WFC99" s="769"/>
      <c r="WFD99" s="769"/>
      <c r="WFE99" s="769"/>
      <c r="WFF99" s="769"/>
      <c r="WFG99" s="769"/>
      <c r="WFH99" s="769"/>
      <c r="WFI99" s="769"/>
      <c r="WFJ99" s="769"/>
      <c r="WFK99" s="769"/>
      <c r="WFL99" s="769"/>
      <c r="WFM99" s="769"/>
      <c r="WFN99" s="769"/>
      <c r="WFO99" s="769"/>
      <c r="WFP99" s="769"/>
      <c r="WFQ99" s="769"/>
      <c r="WFR99" s="769"/>
      <c r="WFS99" s="769"/>
      <c r="WFT99" s="769"/>
      <c r="WFU99" s="769"/>
      <c r="WFV99" s="769"/>
      <c r="WFW99" s="769"/>
      <c r="WFX99" s="769"/>
      <c r="WFY99" s="769"/>
      <c r="WFZ99" s="769"/>
      <c r="WGA99" s="769"/>
      <c r="WGB99" s="769"/>
      <c r="WGC99" s="769"/>
      <c r="WGD99" s="769"/>
      <c r="WGE99" s="769"/>
      <c r="WGF99" s="769"/>
      <c r="WGG99" s="769"/>
      <c r="WGH99" s="769"/>
      <c r="WGI99" s="769"/>
      <c r="WGJ99" s="769"/>
      <c r="WGK99" s="769"/>
      <c r="WGL99" s="769"/>
      <c r="WGM99" s="769"/>
      <c r="WGN99" s="769"/>
      <c r="WGO99" s="769"/>
      <c r="WGP99" s="769"/>
      <c r="WGQ99" s="769"/>
      <c r="WGR99" s="769"/>
      <c r="WGS99" s="769"/>
      <c r="WGT99" s="769"/>
      <c r="WGU99" s="769"/>
      <c r="WGV99" s="769"/>
      <c r="WGW99" s="769"/>
      <c r="WGX99" s="769"/>
      <c r="WGY99" s="769"/>
      <c r="WGZ99" s="769"/>
      <c r="WHA99" s="769"/>
      <c r="WHB99" s="769"/>
      <c r="WHC99" s="769"/>
      <c r="WHD99" s="769"/>
      <c r="WHE99" s="769"/>
      <c r="WHF99" s="769"/>
      <c r="WHG99" s="769"/>
      <c r="WHH99" s="769"/>
      <c r="WHI99" s="769"/>
      <c r="WHJ99" s="769"/>
      <c r="WHK99" s="769"/>
      <c r="WHL99" s="769"/>
      <c r="WHM99" s="769"/>
      <c r="WHN99" s="769"/>
      <c r="WHO99" s="769"/>
      <c r="WHP99" s="769"/>
      <c r="WHQ99" s="769"/>
      <c r="WHR99" s="769"/>
      <c r="WHS99" s="769"/>
      <c r="WHT99" s="769"/>
      <c r="WHU99" s="769"/>
      <c r="WHV99" s="769"/>
      <c r="WHW99" s="769"/>
      <c r="WHX99" s="769"/>
      <c r="WHY99" s="769"/>
      <c r="WHZ99" s="769"/>
      <c r="WIA99" s="769"/>
      <c r="WIB99" s="769"/>
      <c r="WIC99" s="769"/>
      <c r="WID99" s="769"/>
      <c r="WIE99" s="769"/>
      <c r="WIF99" s="769"/>
      <c r="WIG99" s="769"/>
      <c r="WIH99" s="769"/>
      <c r="WII99" s="769"/>
      <c r="WIJ99" s="769"/>
      <c r="WIK99" s="769"/>
      <c r="WIL99" s="769"/>
      <c r="WIM99" s="769"/>
      <c r="WIN99" s="769"/>
      <c r="WIO99" s="769"/>
      <c r="WIP99" s="769"/>
      <c r="WIQ99" s="769"/>
      <c r="WIR99" s="769"/>
      <c r="WIS99" s="769"/>
      <c r="WIT99" s="769"/>
      <c r="WIU99" s="769"/>
      <c r="WIV99" s="769"/>
      <c r="WIW99" s="769"/>
      <c r="WIX99" s="769"/>
      <c r="WIY99" s="769"/>
      <c r="WIZ99" s="769"/>
      <c r="WJA99" s="769"/>
      <c r="WJB99" s="769"/>
      <c r="WJC99" s="769"/>
      <c r="WJD99" s="769"/>
      <c r="WJE99" s="769"/>
      <c r="WJF99" s="769"/>
      <c r="WJG99" s="769"/>
      <c r="WJH99" s="769"/>
      <c r="WJI99" s="769"/>
      <c r="WJJ99" s="769"/>
      <c r="WJK99" s="769"/>
      <c r="WJL99" s="769"/>
      <c r="WJM99" s="769"/>
      <c r="WJN99" s="769"/>
      <c r="WJO99" s="769"/>
      <c r="WJP99" s="769"/>
      <c r="WJQ99" s="769"/>
      <c r="WJR99" s="769"/>
      <c r="WJS99" s="769"/>
      <c r="WJT99" s="769"/>
      <c r="WJU99" s="769"/>
      <c r="WJV99" s="769"/>
      <c r="WJW99" s="769"/>
      <c r="WJX99" s="769"/>
      <c r="WJY99" s="769"/>
      <c r="WJZ99" s="769"/>
      <c r="WKA99" s="769"/>
      <c r="WKB99" s="769"/>
      <c r="WKC99" s="769"/>
      <c r="WKD99" s="769"/>
      <c r="WKE99" s="769"/>
      <c r="WKF99" s="769"/>
      <c r="WKG99" s="769"/>
      <c r="WKH99" s="769"/>
      <c r="WKI99" s="769"/>
      <c r="WKJ99" s="769"/>
      <c r="WKK99" s="769"/>
      <c r="WKL99" s="769"/>
      <c r="WKM99" s="769"/>
      <c r="WKN99" s="769"/>
      <c r="WKO99" s="769"/>
      <c r="WKP99" s="769"/>
      <c r="WKQ99" s="769"/>
      <c r="WKR99" s="769"/>
      <c r="WKS99" s="769"/>
      <c r="WKT99" s="769"/>
      <c r="WKU99" s="769"/>
      <c r="WKV99" s="769"/>
      <c r="WKW99" s="769"/>
      <c r="WKX99" s="769"/>
      <c r="WKY99" s="769"/>
      <c r="WKZ99" s="769"/>
      <c r="WLA99" s="769"/>
      <c r="WLB99" s="769"/>
      <c r="WLC99" s="769"/>
      <c r="WLD99" s="769"/>
      <c r="WLE99" s="769"/>
      <c r="WLF99" s="769"/>
      <c r="WLG99" s="769"/>
      <c r="WLH99" s="769"/>
      <c r="WLI99" s="769"/>
      <c r="WLJ99" s="769"/>
      <c r="WLK99" s="769"/>
      <c r="WLL99" s="769"/>
      <c r="WLM99" s="769"/>
      <c r="WLN99" s="769"/>
      <c r="WLO99" s="769"/>
      <c r="WLP99" s="769"/>
      <c r="WLQ99" s="769"/>
      <c r="WLR99" s="769"/>
      <c r="WLS99" s="769"/>
      <c r="WLT99" s="769"/>
      <c r="WLU99" s="769"/>
      <c r="WLV99" s="769"/>
      <c r="WLW99" s="769"/>
      <c r="WLX99" s="769"/>
      <c r="WLY99" s="769"/>
      <c r="WLZ99" s="769"/>
      <c r="WMA99" s="769"/>
      <c r="WMB99" s="769"/>
      <c r="WMC99" s="769"/>
      <c r="WMD99" s="769"/>
      <c r="WME99" s="769"/>
      <c r="WMF99" s="769"/>
      <c r="WMG99" s="769"/>
      <c r="WMH99" s="769"/>
      <c r="WMI99" s="769"/>
      <c r="WMJ99" s="769"/>
      <c r="WMK99" s="769"/>
      <c r="WML99" s="769"/>
      <c r="WMM99" s="769"/>
      <c r="WMN99" s="769"/>
      <c r="WMO99" s="769"/>
      <c r="WMP99" s="769"/>
      <c r="WMQ99" s="769"/>
      <c r="WMR99" s="769"/>
      <c r="WMS99" s="769"/>
      <c r="WMT99" s="769"/>
      <c r="WMU99" s="769"/>
      <c r="WMV99" s="769"/>
      <c r="WMW99" s="769"/>
      <c r="WMX99" s="769"/>
      <c r="WMY99" s="769"/>
      <c r="WMZ99" s="769"/>
      <c r="WNA99" s="769"/>
      <c r="WNB99" s="769"/>
      <c r="WNC99" s="769"/>
      <c r="WND99" s="769"/>
      <c r="WNE99" s="769"/>
      <c r="WNF99" s="769"/>
      <c r="WNG99" s="769"/>
      <c r="WNH99" s="769"/>
      <c r="WNI99" s="769"/>
      <c r="WNJ99" s="769"/>
      <c r="WNK99" s="769"/>
      <c r="WNL99" s="769"/>
      <c r="WNM99" s="769"/>
      <c r="WNN99" s="769"/>
      <c r="WNO99" s="769"/>
      <c r="WNP99" s="769"/>
      <c r="WNQ99" s="769"/>
      <c r="WNR99" s="769"/>
      <c r="WNS99" s="769"/>
      <c r="WNT99" s="769"/>
      <c r="WNU99" s="769"/>
      <c r="WNV99" s="769"/>
      <c r="WNW99" s="769"/>
      <c r="WNX99" s="769"/>
      <c r="WNY99" s="769"/>
      <c r="WNZ99" s="769"/>
      <c r="WOA99" s="769"/>
      <c r="WOB99" s="769"/>
      <c r="WOC99" s="769"/>
      <c r="WOD99" s="769"/>
      <c r="WOE99" s="769"/>
      <c r="WOF99" s="769"/>
      <c r="WOG99" s="769"/>
      <c r="WOH99" s="769"/>
      <c r="WOI99" s="769"/>
      <c r="WOJ99" s="769"/>
      <c r="WOK99" s="769"/>
      <c r="WOL99" s="769"/>
      <c r="WOM99" s="769"/>
      <c r="WON99" s="769"/>
      <c r="WOO99" s="769"/>
      <c r="WOP99" s="769"/>
      <c r="WOQ99" s="769"/>
      <c r="WOR99" s="769"/>
      <c r="WOS99" s="769"/>
      <c r="WOT99" s="769"/>
      <c r="WOU99" s="769"/>
      <c r="WOV99" s="769"/>
      <c r="WOW99" s="769"/>
      <c r="WOX99" s="769"/>
      <c r="WOY99" s="769"/>
      <c r="WOZ99" s="769"/>
      <c r="WPA99" s="769"/>
      <c r="WPB99" s="769"/>
      <c r="WPC99" s="769"/>
      <c r="WPD99" s="769"/>
      <c r="WPE99" s="769"/>
      <c r="WPF99" s="769"/>
      <c r="WPG99" s="769"/>
      <c r="WPH99" s="769"/>
      <c r="WPI99" s="769"/>
      <c r="WPJ99" s="769"/>
      <c r="WPK99" s="769"/>
      <c r="WPL99" s="769"/>
      <c r="WPM99" s="769"/>
      <c r="WPN99" s="769"/>
      <c r="WPO99" s="769"/>
      <c r="WPP99" s="769"/>
      <c r="WPQ99" s="769"/>
      <c r="WPR99" s="769"/>
      <c r="WPS99" s="769"/>
      <c r="WPT99" s="769"/>
      <c r="WPU99" s="769"/>
      <c r="WPV99" s="769"/>
      <c r="WPW99" s="769"/>
      <c r="WPX99" s="769"/>
      <c r="WPY99" s="769"/>
      <c r="WPZ99" s="769"/>
      <c r="WQA99" s="769"/>
      <c r="WQB99" s="769"/>
      <c r="WQC99" s="769"/>
      <c r="WQD99" s="769"/>
      <c r="WQE99" s="769"/>
      <c r="WQF99" s="769"/>
      <c r="WQG99" s="769"/>
      <c r="WQH99" s="769"/>
      <c r="WQI99" s="769"/>
      <c r="WQJ99" s="769"/>
      <c r="WQK99" s="769"/>
      <c r="WQL99" s="769"/>
      <c r="WQM99" s="769"/>
      <c r="WQN99" s="769"/>
      <c r="WQO99" s="769"/>
      <c r="WQP99" s="769"/>
      <c r="WQQ99" s="769"/>
      <c r="WQR99" s="769"/>
      <c r="WQS99" s="769"/>
      <c r="WQT99" s="769"/>
      <c r="WQU99" s="769"/>
      <c r="WQV99" s="769"/>
      <c r="WQW99" s="769"/>
      <c r="WQX99" s="769"/>
      <c r="WQY99" s="769"/>
      <c r="WQZ99" s="769"/>
      <c r="WRA99" s="769"/>
      <c r="WRB99" s="769"/>
      <c r="WRC99" s="769"/>
      <c r="WRD99" s="769"/>
      <c r="WRE99" s="769"/>
      <c r="WRF99" s="769"/>
      <c r="WRG99" s="769"/>
      <c r="WRH99" s="769"/>
      <c r="WRI99" s="769"/>
      <c r="WRJ99" s="769"/>
      <c r="WRK99" s="769"/>
      <c r="WRL99" s="769"/>
      <c r="WRM99" s="769"/>
      <c r="WRN99" s="769"/>
      <c r="WRO99" s="769"/>
      <c r="WRP99" s="769"/>
      <c r="WRQ99" s="769"/>
      <c r="WRR99" s="769"/>
      <c r="WRS99" s="769"/>
      <c r="WRT99" s="769"/>
      <c r="WRU99" s="769"/>
      <c r="WRV99" s="769"/>
      <c r="WRW99" s="769"/>
      <c r="WRX99" s="769"/>
      <c r="WRY99" s="769"/>
      <c r="WRZ99" s="769"/>
      <c r="WSA99" s="769"/>
      <c r="WSB99" s="769"/>
      <c r="WSC99" s="769"/>
      <c r="WSD99" s="769"/>
      <c r="WSE99" s="769"/>
      <c r="WSF99" s="769"/>
      <c r="WSG99" s="769"/>
      <c r="WSH99" s="769"/>
      <c r="WSI99" s="769"/>
      <c r="WSJ99" s="769"/>
      <c r="WSK99" s="769"/>
      <c r="WSL99" s="769"/>
      <c r="WSM99" s="769"/>
      <c r="WSN99" s="769"/>
      <c r="WSO99" s="769"/>
      <c r="WSP99" s="769"/>
      <c r="WSQ99" s="769"/>
      <c r="WSR99" s="769"/>
      <c r="WSS99" s="769"/>
      <c r="WST99" s="769"/>
      <c r="WSU99" s="769"/>
      <c r="WSV99" s="769"/>
      <c r="WSW99" s="769"/>
      <c r="WSX99" s="769"/>
      <c r="WSY99" s="769"/>
      <c r="WSZ99" s="769"/>
      <c r="WTA99" s="769"/>
      <c r="WTB99" s="769"/>
      <c r="WTC99" s="769"/>
      <c r="WTD99" s="769"/>
      <c r="WTE99" s="769"/>
      <c r="WTF99" s="769"/>
      <c r="WTG99" s="769"/>
      <c r="WTH99" s="769"/>
      <c r="WTI99" s="769"/>
      <c r="WTJ99" s="769"/>
      <c r="WTK99" s="769"/>
      <c r="WTL99" s="769"/>
      <c r="WTM99" s="769"/>
      <c r="WTN99" s="769"/>
      <c r="WTO99" s="769"/>
      <c r="WTP99" s="769"/>
      <c r="WTQ99" s="769"/>
      <c r="WTR99" s="769"/>
      <c r="WTS99" s="769"/>
      <c r="WTT99" s="769"/>
      <c r="WTU99" s="769"/>
      <c r="WTV99" s="769"/>
      <c r="WTW99" s="769"/>
      <c r="WTX99" s="769"/>
      <c r="WTY99" s="769"/>
      <c r="WTZ99" s="769"/>
      <c r="WUA99" s="769"/>
      <c r="WUB99" s="769"/>
      <c r="WUC99" s="769"/>
      <c r="WUD99" s="769"/>
      <c r="WUE99" s="769"/>
      <c r="WUF99" s="769"/>
      <c r="WUG99" s="769"/>
      <c r="WUH99" s="769"/>
      <c r="WUI99" s="769"/>
      <c r="WUJ99" s="769"/>
      <c r="WUK99" s="769"/>
      <c r="WUL99" s="769"/>
      <c r="WUM99" s="769"/>
      <c r="WUN99" s="769"/>
      <c r="WUO99" s="769"/>
      <c r="WUP99" s="769"/>
      <c r="WUQ99" s="769"/>
      <c r="WUR99" s="769"/>
      <c r="WUS99" s="769"/>
      <c r="WUT99" s="769"/>
      <c r="WUU99" s="769"/>
      <c r="WUV99" s="769"/>
      <c r="WUW99" s="769"/>
      <c r="WUX99" s="769"/>
      <c r="WUY99" s="769"/>
      <c r="WUZ99" s="769"/>
      <c r="WVA99" s="769"/>
      <c r="WVB99" s="769"/>
      <c r="WVC99" s="769"/>
      <c r="WVD99" s="769"/>
      <c r="WVE99" s="769"/>
      <c r="WVF99" s="769"/>
      <c r="WVG99" s="769"/>
      <c r="WVH99" s="769"/>
      <c r="WVI99" s="769"/>
      <c r="WVJ99" s="769"/>
      <c r="WVK99" s="769"/>
      <c r="WVL99" s="769"/>
      <c r="WVM99" s="769"/>
      <c r="WVN99" s="769"/>
      <c r="WVO99" s="769"/>
      <c r="WVP99" s="769"/>
      <c r="WVQ99" s="769"/>
      <c r="WVR99" s="769"/>
      <c r="WVS99" s="769"/>
      <c r="WVT99" s="769"/>
      <c r="WVU99" s="769"/>
      <c r="WVV99" s="769"/>
      <c r="WVW99" s="769"/>
      <c r="WVX99" s="769"/>
      <c r="WVY99" s="769"/>
      <c r="WVZ99" s="769"/>
      <c r="WWA99" s="769"/>
      <c r="WWB99" s="769"/>
      <c r="WWC99" s="769"/>
      <c r="WWD99" s="769"/>
      <c r="WWE99" s="769"/>
      <c r="WWF99" s="769"/>
      <c r="WWG99" s="769"/>
      <c r="WWH99" s="769"/>
      <c r="WWI99" s="769"/>
      <c r="WWJ99" s="769"/>
      <c r="WWK99" s="769"/>
      <c r="WWL99" s="769"/>
      <c r="WWM99" s="769"/>
      <c r="WWN99" s="769"/>
      <c r="WWO99" s="769"/>
      <c r="WWP99" s="769"/>
      <c r="WWQ99" s="769"/>
      <c r="WWR99" s="769"/>
      <c r="WWS99" s="769"/>
      <c r="WWT99" s="769"/>
      <c r="WWU99" s="769"/>
      <c r="WWV99" s="769"/>
      <c r="WWW99" s="769"/>
      <c r="WWX99" s="769"/>
      <c r="WWY99" s="769"/>
      <c r="WWZ99" s="769"/>
      <c r="WXA99" s="769"/>
      <c r="WXB99" s="769"/>
      <c r="WXC99" s="769"/>
      <c r="WXD99" s="769"/>
      <c r="WXE99" s="769"/>
      <c r="WXF99" s="769"/>
      <c r="WXG99" s="769"/>
      <c r="WXH99" s="769"/>
      <c r="WXI99" s="769"/>
      <c r="WXJ99" s="769"/>
      <c r="WXK99" s="769"/>
      <c r="WXL99" s="769"/>
      <c r="WXM99" s="769"/>
      <c r="WXN99" s="769"/>
      <c r="WXO99" s="769"/>
      <c r="WXP99" s="769"/>
      <c r="WXQ99" s="769"/>
      <c r="WXR99" s="769"/>
      <c r="WXS99" s="769"/>
      <c r="WXT99" s="769"/>
      <c r="WXU99" s="769"/>
      <c r="WXV99" s="769"/>
      <c r="WXW99" s="769"/>
      <c r="WXX99" s="769"/>
      <c r="WXY99" s="769"/>
      <c r="WXZ99" s="769"/>
      <c r="WYA99" s="769"/>
      <c r="WYB99" s="769"/>
      <c r="WYC99" s="769"/>
      <c r="WYD99" s="769"/>
      <c r="WYE99" s="769"/>
      <c r="WYF99" s="769"/>
      <c r="WYG99" s="769"/>
      <c r="WYH99" s="769"/>
      <c r="WYI99" s="769"/>
      <c r="WYJ99" s="769"/>
      <c r="WYK99" s="769"/>
      <c r="WYL99" s="769"/>
      <c r="WYM99" s="769"/>
      <c r="WYN99" s="769"/>
      <c r="WYO99" s="769"/>
      <c r="WYP99" s="769"/>
      <c r="WYQ99" s="769"/>
      <c r="WYR99" s="769"/>
      <c r="WYS99" s="769"/>
      <c r="WYT99" s="769"/>
      <c r="WYU99" s="769"/>
      <c r="WYV99" s="769"/>
      <c r="WYW99" s="769"/>
      <c r="WYX99" s="769"/>
      <c r="WYY99" s="769"/>
      <c r="WYZ99" s="769"/>
      <c r="WZA99" s="769"/>
      <c r="WZB99" s="769"/>
      <c r="WZC99" s="769"/>
      <c r="WZD99" s="769"/>
      <c r="WZE99" s="769"/>
      <c r="WZF99" s="769"/>
      <c r="WZG99" s="769"/>
      <c r="WZH99" s="769"/>
      <c r="WZI99" s="769"/>
      <c r="WZJ99" s="769"/>
      <c r="WZK99" s="769"/>
      <c r="WZL99" s="769"/>
      <c r="WZM99" s="769"/>
      <c r="WZN99" s="769"/>
      <c r="WZO99" s="769"/>
      <c r="WZP99" s="769"/>
      <c r="WZQ99" s="769"/>
      <c r="WZR99" s="769"/>
      <c r="WZS99" s="769"/>
      <c r="WZT99" s="769"/>
      <c r="WZU99" s="769"/>
      <c r="WZV99" s="769"/>
      <c r="WZW99" s="769"/>
      <c r="WZX99" s="769"/>
      <c r="WZY99" s="769"/>
      <c r="WZZ99" s="769"/>
      <c r="XAA99" s="769"/>
      <c r="XAB99" s="769"/>
      <c r="XAC99" s="769"/>
      <c r="XAD99" s="769"/>
      <c r="XAE99" s="769"/>
      <c r="XAF99" s="769"/>
      <c r="XAG99" s="769"/>
      <c r="XAH99" s="769"/>
      <c r="XAI99" s="769"/>
      <c r="XAJ99" s="769"/>
      <c r="XAK99" s="769"/>
      <c r="XAL99" s="769"/>
      <c r="XAM99" s="769"/>
      <c r="XAN99" s="769"/>
      <c r="XAO99" s="769"/>
      <c r="XAP99" s="769"/>
      <c r="XAQ99" s="769"/>
      <c r="XAR99" s="769"/>
      <c r="XAS99" s="769"/>
      <c r="XAT99" s="769"/>
      <c r="XAU99" s="769"/>
      <c r="XAV99" s="769"/>
      <c r="XAW99" s="769"/>
      <c r="XAX99" s="769"/>
      <c r="XAY99" s="769"/>
      <c r="XAZ99" s="769"/>
      <c r="XBA99" s="769"/>
      <c r="XBB99" s="769"/>
      <c r="XBC99" s="769"/>
      <c r="XBD99" s="769"/>
      <c r="XBE99" s="769"/>
      <c r="XBF99" s="769"/>
      <c r="XBG99" s="769"/>
      <c r="XBH99" s="769"/>
      <c r="XBI99" s="769"/>
      <c r="XBJ99" s="769"/>
      <c r="XBK99" s="769"/>
      <c r="XBL99" s="769"/>
      <c r="XBM99" s="769"/>
      <c r="XBN99" s="769"/>
      <c r="XBO99" s="769"/>
      <c r="XBP99" s="769"/>
      <c r="XBQ99" s="769"/>
      <c r="XBR99" s="769"/>
      <c r="XBS99" s="769"/>
      <c r="XBT99" s="769"/>
      <c r="XBU99" s="769"/>
      <c r="XBV99" s="769"/>
      <c r="XBW99" s="769"/>
      <c r="XBX99" s="769"/>
      <c r="XBY99" s="769"/>
      <c r="XBZ99" s="769"/>
      <c r="XCA99" s="769"/>
      <c r="XCB99" s="769"/>
      <c r="XCC99" s="769"/>
      <c r="XCD99" s="769"/>
      <c r="XCE99" s="769"/>
      <c r="XCF99" s="769"/>
      <c r="XCG99" s="769"/>
      <c r="XCH99" s="769"/>
      <c r="XCI99" s="769"/>
      <c r="XCJ99" s="769"/>
      <c r="XCK99" s="769"/>
      <c r="XCL99" s="769"/>
      <c r="XCM99" s="769"/>
      <c r="XCN99" s="769"/>
      <c r="XCO99" s="769"/>
      <c r="XCP99" s="769"/>
      <c r="XCQ99" s="769"/>
      <c r="XCR99" s="769"/>
      <c r="XCS99" s="769"/>
      <c r="XCT99" s="769"/>
      <c r="XCU99" s="769"/>
      <c r="XCV99" s="769"/>
      <c r="XCW99" s="769"/>
      <c r="XCX99" s="769"/>
      <c r="XCY99" s="769"/>
      <c r="XCZ99" s="769"/>
      <c r="XDA99" s="769"/>
      <c r="XDB99" s="769"/>
      <c r="XDC99" s="769"/>
      <c r="XDD99" s="769"/>
      <c r="XDE99" s="769"/>
      <c r="XDF99" s="769"/>
      <c r="XDG99" s="769"/>
      <c r="XDH99" s="769"/>
      <c r="XDI99" s="769"/>
      <c r="XDJ99" s="769"/>
      <c r="XDK99" s="769"/>
      <c r="XDL99" s="769"/>
      <c r="XDM99" s="769"/>
      <c r="XDN99" s="769"/>
      <c r="XDO99" s="769"/>
      <c r="XDP99" s="769"/>
      <c r="XDQ99" s="769"/>
      <c r="XDR99" s="769"/>
      <c r="XDS99" s="769"/>
      <c r="XDT99" s="769"/>
      <c r="XDU99" s="769"/>
      <c r="XDV99" s="769"/>
      <c r="XDW99" s="769"/>
      <c r="XDX99" s="769"/>
      <c r="XDY99" s="769"/>
      <c r="XDZ99" s="769"/>
      <c r="XEA99" s="769"/>
      <c r="XEB99" s="769"/>
      <c r="XEC99" s="769"/>
      <c r="XED99" s="769"/>
      <c r="XEE99" s="769"/>
      <c r="XEF99" s="769"/>
      <c r="XEG99" s="769"/>
      <c r="XEH99" s="769"/>
      <c r="XEI99" s="769"/>
      <c r="XEJ99" s="769"/>
      <c r="XEK99" s="769"/>
      <c r="XEL99" s="769"/>
      <c r="XEM99" s="769"/>
      <c r="XEN99" s="769"/>
      <c r="XEO99" s="769"/>
      <c r="XEP99" s="769"/>
      <c r="XEQ99" s="769"/>
      <c r="XER99" s="769"/>
      <c r="XES99" s="769"/>
      <c r="XET99" s="769"/>
      <c r="XEU99" s="769"/>
      <c r="XEV99" s="769"/>
      <c r="XEW99" s="769"/>
      <c r="XEX99" s="769"/>
      <c r="XEY99" s="769"/>
      <c r="XEZ99" s="769"/>
      <c r="XFA99" s="769"/>
      <c r="XFB99" s="769"/>
    </row>
    <row r="100" spans="1:16382" hidden="1" x14ac:dyDescent="0.25">
      <c r="A100" s="769"/>
      <c r="B100" s="2186"/>
      <c r="C100" s="2206"/>
      <c r="D100" s="2236"/>
      <c r="E100" s="2236"/>
      <c r="F100" s="2236"/>
      <c r="G100" s="2236"/>
      <c r="H100" s="2236"/>
      <c r="I100" s="2236"/>
      <c r="J100" s="2236"/>
      <c r="K100" s="2236"/>
      <c r="L100" s="2237"/>
      <c r="M100" s="2237"/>
      <c r="N100" s="2237"/>
      <c r="O100" s="2237"/>
      <c r="P100" s="2238"/>
      <c r="Q100" s="2239"/>
      <c r="R100" s="769"/>
      <c r="S100" s="769"/>
      <c r="T100" s="769"/>
      <c r="U100" s="769"/>
      <c r="V100" s="769"/>
      <c r="W100" s="769"/>
      <c r="X100" s="769"/>
      <c r="Y100" s="769"/>
      <c r="Z100" s="769"/>
      <c r="AA100" s="769"/>
      <c r="AB100" s="769"/>
      <c r="AC100" s="769"/>
      <c r="AD100" s="769"/>
      <c r="AE100" s="769"/>
      <c r="AF100" s="769"/>
      <c r="AG100" s="769"/>
      <c r="AH100" s="769"/>
      <c r="AI100" s="769"/>
      <c r="AJ100" s="769"/>
      <c r="AK100" s="769"/>
      <c r="AL100" s="769"/>
      <c r="AM100" s="769"/>
      <c r="AN100" s="769"/>
      <c r="AO100" s="769"/>
      <c r="AP100" s="769"/>
      <c r="AQ100" s="769"/>
      <c r="AR100" s="769"/>
      <c r="AS100" s="769"/>
      <c r="AT100" s="769"/>
      <c r="AU100" s="769"/>
      <c r="AV100" s="769"/>
      <c r="AW100" s="769"/>
      <c r="AX100" s="769"/>
      <c r="AY100" s="769"/>
      <c r="AZ100" s="769"/>
      <c r="BA100" s="769"/>
      <c r="BB100" s="769"/>
      <c r="BC100" s="769"/>
      <c r="BD100" s="769"/>
      <c r="BE100" s="769"/>
      <c r="BF100" s="769"/>
      <c r="BG100" s="769"/>
      <c r="BH100" s="769"/>
      <c r="BI100" s="769"/>
      <c r="BJ100" s="769"/>
      <c r="BK100" s="769"/>
      <c r="BL100" s="769"/>
      <c r="BM100" s="769"/>
      <c r="BN100" s="769"/>
      <c r="BO100" s="769"/>
      <c r="BP100" s="769"/>
      <c r="BQ100" s="769"/>
      <c r="BR100" s="769"/>
      <c r="BS100" s="769"/>
      <c r="BT100" s="769"/>
      <c r="BU100" s="769"/>
      <c r="BV100" s="769"/>
      <c r="BW100" s="769"/>
      <c r="BX100" s="769"/>
      <c r="BY100" s="769"/>
      <c r="BZ100" s="769"/>
      <c r="CA100" s="769"/>
      <c r="CB100" s="769"/>
      <c r="CC100" s="769"/>
      <c r="CD100" s="769"/>
      <c r="CE100" s="769"/>
      <c r="CF100" s="769"/>
      <c r="CG100" s="769"/>
      <c r="CH100" s="769"/>
      <c r="CI100" s="769"/>
      <c r="CJ100" s="769"/>
      <c r="CK100" s="769"/>
      <c r="CL100" s="769"/>
      <c r="CM100" s="769"/>
      <c r="CN100" s="769"/>
      <c r="CO100" s="769"/>
      <c r="CP100" s="769"/>
      <c r="CQ100" s="769"/>
      <c r="CR100" s="769"/>
      <c r="CS100" s="769"/>
      <c r="CT100" s="769"/>
      <c r="CU100" s="769"/>
      <c r="CV100" s="769"/>
      <c r="CW100" s="769"/>
      <c r="CX100" s="769"/>
      <c r="CY100" s="769"/>
      <c r="CZ100" s="769"/>
      <c r="DA100" s="769"/>
      <c r="DB100" s="769"/>
      <c r="DC100" s="769"/>
      <c r="DD100" s="769"/>
      <c r="DE100" s="769"/>
      <c r="DF100" s="769"/>
      <c r="DG100" s="769"/>
      <c r="DH100" s="769"/>
      <c r="DI100" s="769"/>
      <c r="DJ100" s="769"/>
      <c r="DK100" s="769"/>
      <c r="DL100" s="769"/>
      <c r="DM100" s="769"/>
      <c r="DN100" s="769"/>
      <c r="DO100" s="769"/>
      <c r="DP100" s="769"/>
      <c r="DQ100" s="769"/>
      <c r="DR100" s="769"/>
      <c r="DS100" s="769"/>
      <c r="DT100" s="769"/>
      <c r="DU100" s="769"/>
      <c r="DV100" s="769"/>
      <c r="DW100" s="769"/>
      <c r="DX100" s="769"/>
      <c r="DY100" s="769"/>
      <c r="DZ100" s="769"/>
      <c r="EA100" s="769"/>
      <c r="EB100" s="769"/>
      <c r="EC100" s="769"/>
      <c r="ED100" s="769"/>
      <c r="EE100" s="769"/>
      <c r="EF100" s="769"/>
      <c r="EG100" s="769"/>
      <c r="EH100" s="769"/>
      <c r="EI100" s="769"/>
      <c r="EJ100" s="769"/>
      <c r="EK100" s="769"/>
      <c r="EL100" s="769"/>
      <c r="EM100" s="769"/>
      <c r="EN100" s="769"/>
      <c r="EO100" s="769"/>
      <c r="EP100" s="769"/>
      <c r="EQ100" s="769"/>
      <c r="ER100" s="769"/>
      <c r="ES100" s="769"/>
      <c r="ET100" s="769"/>
      <c r="EU100" s="769"/>
      <c r="EV100" s="769"/>
      <c r="EW100" s="769"/>
      <c r="EX100" s="769"/>
      <c r="EY100" s="769"/>
      <c r="EZ100" s="769"/>
      <c r="FA100" s="769"/>
      <c r="FB100" s="769"/>
      <c r="FC100" s="769"/>
      <c r="FD100" s="769"/>
      <c r="FE100" s="769"/>
      <c r="FF100" s="769"/>
      <c r="FG100" s="769"/>
      <c r="FH100" s="769"/>
      <c r="FI100" s="769"/>
      <c r="FJ100" s="769"/>
      <c r="FK100" s="769"/>
      <c r="FL100" s="769"/>
      <c r="FM100" s="769"/>
      <c r="FN100" s="769"/>
      <c r="FO100" s="769"/>
      <c r="FP100" s="769"/>
      <c r="FQ100" s="769"/>
      <c r="FR100" s="769"/>
      <c r="FS100" s="769"/>
      <c r="FT100" s="769"/>
      <c r="FU100" s="769"/>
      <c r="FV100" s="769"/>
      <c r="FW100" s="769"/>
      <c r="FX100" s="769"/>
      <c r="FY100" s="769"/>
      <c r="FZ100" s="769"/>
      <c r="GA100" s="769"/>
      <c r="GB100" s="769"/>
      <c r="GC100" s="769"/>
      <c r="GD100" s="769"/>
      <c r="GE100" s="769"/>
      <c r="GF100" s="769"/>
      <c r="GG100" s="769"/>
      <c r="GH100" s="769"/>
      <c r="GI100" s="769"/>
      <c r="GJ100" s="769"/>
      <c r="GK100" s="769"/>
      <c r="GL100" s="769"/>
      <c r="GM100" s="769"/>
      <c r="GN100" s="769"/>
      <c r="GO100" s="769"/>
      <c r="GP100" s="769"/>
      <c r="GQ100" s="769"/>
      <c r="GR100" s="769"/>
      <c r="GS100" s="769"/>
      <c r="GT100" s="769"/>
      <c r="GU100" s="769"/>
      <c r="GV100" s="769"/>
      <c r="GW100" s="769"/>
      <c r="GX100" s="769"/>
      <c r="GY100" s="769"/>
      <c r="GZ100" s="769"/>
      <c r="HA100" s="769"/>
      <c r="HB100" s="769"/>
      <c r="HC100" s="769"/>
      <c r="HD100" s="769"/>
      <c r="HE100" s="769"/>
      <c r="HF100" s="769"/>
      <c r="HG100" s="769"/>
      <c r="HH100" s="769"/>
      <c r="HI100" s="769"/>
      <c r="HJ100" s="769"/>
      <c r="HK100" s="769"/>
      <c r="HL100" s="769"/>
      <c r="HM100" s="769"/>
      <c r="HN100" s="769"/>
      <c r="HO100" s="769"/>
      <c r="HP100" s="769"/>
      <c r="HQ100" s="769"/>
      <c r="HR100" s="769"/>
      <c r="HS100" s="769"/>
      <c r="HT100" s="769"/>
      <c r="HU100" s="769"/>
      <c r="HV100" s="769"/>
      <c r="HW100" s="769"/>
      <c r="HX100" s="769"/>
      <c r="HY100" s="769"/>
      <c r="HZ100" s="769"/>
      <c r="IA100" s="769"/>
      <c r="IB100" s="769"/>
      <c r="IC100" s="769"/>
      <c r="ID100" s="769"/>
      <c r="IE100" s="769"/>
      <c r="IF100" s="769"/>
      <c r="IG100" s="769"/>
      <c r="IH100" s="769"/>
      <c r="II100" s="769"/>
      <c r="IJ100" s="769"/>
      <c r="IK100" s="769"/>
      <c r="IL100" s="769"/>
      <c r="IM100" s="769"/>
      <c r="IN100" s="769"/>
      <c r="IO100" s="769"/>
      <c r="IP100" s="769"/>
      <c r="IQ100" s="769"/>
      <c r="IR100" s="769"/>
      <c r="IS100" s="769"/>
      <c r="IT100" s="769"/>
      <c r="IU100" s="769"/>
      <c r="IV100" s="769"/>
      <c r="IW100" s="769"/>
      <c r="IX100" s="769"/>
      <c r="IY100" s="769"/>
      <c r="IZ100" s="769"/>
      <c r="JA100" s="769"/>
      <c r="JB100" s="769"/>
      <c r="JC100" s="769"/>
      <c r="JD100" s="769"/>
      <c r="JE100" s="769"/>
      <c r="JF100" s="769"/>
      <c r="JG100" s="769"/>
      <c r="JH100" s="769"/>
      <c r="JI100" s="769"/>
      <c r="JJ100" s="769"/>
      <c r="JK100" s="769"/>
      <c r="JL100" s="769"/>
      <c r="JM100" s="769"/>
      <c r="JN100" s="769"/>
      <c r="JO100" s="769"/>
      <c r="JP100" s="769"/>
      <c r="JQ100" s="769"/>
      <c r="JR100" s="769"/>
      <c r="JS100" s="769"/>
      <c r="JT100" s="769"/>
      <c r="JU100" s="769"/>
      <c r="JV100" s="769"/>
      <c r="JW100" s="769"/>
      <c r="JX100" s="769"/>
      <c r="JY100" s="769"/>
      <c r="JZ100" s="769"/>
      <c r="KA100" s="769"/>
      <c r="KB100" s="769"/>
      <c r="KC100" s="769"/>
      <c r="KD100" s="769"/>
      <c r="KE100" s="769"/>
      <c r="KF100" s="769"/>
      <c r="KG100" s="769"/>
      <c r="KH100" s="769"/>
      <c r="KI100" s="769"/>
      <c r="KJ100" s="769"/>
      <c r="KK100" s="769"/>
      <c r="KL100" s="769"/>
      <c r="KM100" s="769"/>
      <c r="KN100" s="769"/>
      <c r="KO100" s="769"/>
      <c r="KP100" s="769"/>
      <c r="KQ100" s="769"/>
      <c r="KR100" s="769"/>
      <c r="KS100" s="769"/>
      <c r="KT100" s="769"/>
      <c r="KU100" s="769"/>
      <c r="KV100" s="769"/>
      <c r="KW100" s="769"/>
      <c r="KX100" s="769"/>
      <c r="KY100" s="769"/>
      <c r="KZ100" s="769"/>
      <c r="LA100" s="769"/>
      <c r="LB100" s="769"/>
      <c r="LC100" s="769"/>
      <c r="LD100" s="769"/>
      <c r="LE100" s="769"/>
      <c r="LF100" s="769"/>
      <c r="LG100" s="769"/>
      <c r="LH100" s="769"/>
      <c r="LI100" s="769"/>
      <c r="LJ100" s="769"/>
      <c r="LK100" s="769"/>
      <c r="LL100" s="769"/>
      <c r="LM100" s="769"/>
      <c r="LN100" s="769"/>
      <c r="LO100" s="769"/>
      <c r="LP100" s="769"/>
      <c r="LQ100" s="769"/>
      <c r="LR100" s="769"/>
      <c r="LS100" s="769"/>
      <c r="LT100" s="769"/>
      <c r="LU100" s="769"/>
      <c r="LV100" s="769"/>
      <c r="LW100" s="769"/>
      <c r="LX100" s="769"/>
      <c r="LY100" s="769"/>
      <c r="LZ100" s="769"/>
      <c r="MA100" s="769"/>
      <c r="MB100" s="769"/>
      <c r="MC100" s="769"/>
      <c r="MD100" s="769"/>
      <c r="ME100" s="769"/>
      <c r="MF100" s="769"/>
      <c r="MG100" s="769"/>
      <c r="MH100" s="769"/>
      <c r="MI100" s="769"/>
      <c r="MJ100" s="769"/>
      <c r="MK100" s="769"/>
      <c r="ML100" s="769"/>
      <c r="MM100" s="769"/>
      <c r="MN100" s="769"/>
      <c r="MO100" s="769"/>
      <c r="MP100" s="769"/>
      <c r="MQ100" s="769"/>
      <c r="MR100" s="769"/>
      <c r="MS100" s="769"/>
      <c r="MT100" s="769"/>
      <c r="MU100" s="769"/>
      <c r="MV100" s="769"/>
      <c r="MW100" s="769"/>
      <c r="MX100" s="769"/>
      <c r="MY100" s="769"/>
      <c r="MZ100" s="769"/>
      <c r="NA100" s="769"/>
      <c r="NB100" s="769"/>
      <c r="NC100" s="769"/>
      <c r="ND100" s="769"/>
      <c r="NE100" s="769"/>
      <c r="NF100" s="769"/>
      <c r="NG100" s="769"/>
      <c r="NH100" s="769"/>
      <c r="NI100" s="769"/>
      <c r="NJ100" s="769"/>
      <c r="NK100" s="769"/>
      <c r="NL100" s="769"/>
      <c r="NM100" s="769"/>
      <c r="NN100" s="769"/>
      <c r="NO100" s="769"/>
      <c r="NP100" s="769"/>
      <c r="NQ100" s="769"/>
      <c r="NR100" s="769"/>
      <c r="NS100" s="769"/>
      <c r="NT100" s="769"/>
      <c r="NU100" s="769"/>
      <c r="NV100" s="769"/>
      <c r="NW100" s="769"/>
      <c r="NX100" s="769"/>
      <c r="NY100" s="769"/>
      <c r="NZ100" s="769"/>
      <c r="OA100" s="769"/>
      <c r="OB100" s="769"/>
      <c r="OC100" s="769"/>
      <c r="OD100" s="769"/>
      <c r="OE100" s="769"/>
      <c r="OF100" s="769"/>
      <c r="OG100" s="769"/>
      <c r="OH100" s="769"/>
      <c r="OI100" s="769"/>
      <c r="OJ100" s="769"/>
      <c r="OK100" s="769"/>
      <c r="OL100" s="769"/>
      <c r="OM100" s="769"/>
      <c r="ON100" s="769"/>
      <c r="OO100" s="769"/>
      <c r="OP100" s="769"/>
      <c r="OQ100" s="769"/>
      <c r="OR100" s="769"/>
      <c r="OS100" s="769"/>
      <c r="OT100" s="769"/>
      <c r="OU100" s="769"/>
      <c r="OV100" s="769"/>
      <c r="OW100" s="769"/>
      <c r="OX100" s="769"/>
      <c r="OY100" s="769"/>
      <c r="OZ100" s="769"/>
      <c r="PA100" s="769"/>
      <c r="PB100" s="769"/>
      <c r="PC100" s="769"/>
      <c r="PD100" s="769"/>
      <c r="PE100" s="769"/>
      <c r="PF100" s="769"/>
      <c r="PG100" s="769"/>
      <c r="PH100" s="769"/>
      <c r="PI100" s="769"/>
      <c r="PJ100" s="769"/>
      <c r="PK100" s="769"/>
      <c r="PL100" s="769"/>
      <c r="PM100" s="769"/>
      <c r="PN100" s="769"/>
      <c r="PO100" s="769"/>
      <c r="PP100" s="769"/>
      <c r="PQ100" s="769"/>
      <c r="PR100" s="769"/>
      <c r="PS100" s="769"/>
      <c r="PT100" s="769"/>
      <c r="PU100" s="769"/>
      <c r="PV100" s="769"/>
      <c r="PW100" s="769"/>
      <c r="PX100" s="769"/>
      <c r="PY100" s="769"/>
      <c r="PZ100" s="769"/>
      <c r="QA100" s="769"/>
      <c r="QB100" s="769"/>
      <c r="QC100" s="769"/>
      <c r="QD100" s="769"/>
      <c r="QE100" s="769"/>
      <c r="QF100" s="769"/>
      <c r="QG100" s="769"/>
      <c r="QH100" s="769"/>
      <c r="QI100" s="769"/>
      <c r="QJ100" s="769"/>
      <c r="QK100" s="769"/>
      <c r="QL100" s="769"/>
      <c r="QM100" s="769"/>
      <c r="QN100" s="769"/>
      <c r="QO100" s="769"/>
      <c r="QP100" s="769"/>
      <c r="QQ100" s="769"/>
      <c r="QR100" s="769"/>
      <c r="QS100" s="769"/>
      <c r="QT100" s="769"/>
      <c r="QU100" s="769"/>
      <c r="QV100" s="769"/>
      <c r="QW100" s="769"/>
      <c r="QX100" s="769"/>
      <c r="QY100" s="769"/>
      <c r="QZ100" s="769"/>
      <c r="RA100" s="769"/>
      <c r="RB100" s="769"/>
      <c r="RC100" s="769"/>
      <c r="RD100" s="769"/>
      <c r="RE100" s="769"/>
      <c r="RF100" s="769"/>
      <c r="RG100" s="769"/>
      <c r="RH100" s="769"/>
      <c r="RI100" s="769"/>
      <c r="RJ100" s="769"/>
      <c r="RK100" s="769"/>
      <c r="RL100" s="769"/>
      <c r="RM100" s="769"/>
      <c r="RN100" s="769"/>
      <c r="RO100" s="769"/>
      <c r="RP100" s="769"/>
      <c r="RQ100" s="769"/>
      <c r="RR100" s="769"/>
      <c r="RS100" s="769"/>
      <c r="RT100" s="769"/>
      <c r="RU100" s="769"/>
      <c r="RV100" s="769"/>
      <c r="RW100" s="769"/>
      <c r="RX100" s="769"/>
      <c r="RY100" s="769"/>
      <c r="RZ100" s="769"/>
      <c r="SA100" s="769"/>
      <c r="SB100" s="769"/>
      <c r="SC100" s="769"/>
      <c r="SD100" s="769"/>
      <c r="SE100" s="769"/>
      <c r="SF100" s="769"/>
      <c r="SG100" s="769"/>
      <c r="SH100" s="769"/>
      <c r="SI100" s="769"/>
      <c r="SJ100" s="769"/>
      <c r="SK100" s="769"/>
      <c r="SL100" s="769"/>
      <c r="SM100" s="769"/>
      <c r="SN100" s="769"/>
      <c r="SO100" s="769"/>
      <c r="SP100" s="769"/>
      <c r="SQ100" s="769"/>
      <c r="SR100" s="769"/>
      <c r="SS100" s="769"/>
      <c r="ST100" s="769"/>
      <c r="SU100" s="769"/>
      <c r="SV100" s="769"/>
      <c r="SW100" s="769"/>
      <c r="SX100" s="769"/>
      <c r="SY100" s="769"/>
      <c r="SZ100" s="769"/>
      <c r="TA100" s="769"/>
      <c r="TB100" s="769"/>
      <c r="TC100" s="769"/>
      <c r="TD100" s="769"/>
      <c r="TE100" s="769"/>
      <c r="TF100" s="769"/>
      <c r="TG100" s="769"/>
      <c r="TH100" s="769"/>
      <c r="TI100" s="769"/>
      <c r="TJ100" s="769"/>
      <c r="TK100" s="769"/>
      <c r="TL100" s="769"/>
      <c r="TM100" s="769"/>
      <c r="TN100" s="769"/>
      <c r="TO100" s="769"/>
      <c r="TP100" s="769"/>
      <c r="TQ100" s="769"/>
      <c r="TR100" s="769"/>
      <c r="TS100" s="769"/>
      <c r="TT100" s="769"/>
      <c r="TU100" s="769"/>
      <c r="TV100" s="769"/>
      <c r="TW100" s="769"/>
      <c r="TX100" s="769"/>
      <c r="TY100" s="769"/>
      <c r="TZ100" s="769"/>
      <c r="UA100" s="769"/>
      <c r="UB100" s="769"/>
      <c r="UC100" s="769"/>
      <c r="UD100" s="769"/>
      <c r="UE100" s="769"/>
      <c r="UF100" s="769"/>
      <c r="UG100" s="769"/>
      <c r="UH100" s="769"/>
      <c r="UI100" s="769"/>
      <c r="UJ100" s="769"/>
      <c r="UK100" s="769"/>
      <c r="UL100" s="769"/>
      <c r="UM100" s="769"/>
      <c r="UN100" s="769"/>
      <c r="UO100" s="769"/>
      <c r="UP100" s="769"/>
      <c r="UQ100" s="769"/>
      <c r="UR100" s="769"/>
      <c r="US100" s="769"/>
      <c r="UT100" s="769"/>
      <c r="UU100" s="769"/>
      <c r="UV100" s="769"/>
      <c r="UW100" s="769"/>
      <c r="UX100" s="769"/>
      <c r="UY100" s="769"/>
      <c r="UZ100" s="769"/>
      <c r="VA100" s="769"/>
      <c r="VB100" s="769"/>
      <c r="VC100" s="769"/>
      <c r="VD100" s="769"/>
      <c r="VE100" s="769"/>
      <c r="VF100" s="769"/>
      <c r="VG100" s="769"/>
      <c r="VH100" s="769"/>
      <c r="VI100" s="769"/>
      <c r="VJ100" s="769"/>
      <c r="VK100" s="769"/>
      <c r="VL100" s="769"/>
      <c r="VM100" s="769"/>
      <c r="VN100" s="769"/>
      <c r="VO100" s="769"/>
      <c r="VP100" s="769"/>
      <c r="VQ100" s="769"/>
      <c r="VR100" s="769"/>
      <c r="VS100" s="769"/>
      <c r="VT100" s="769"/>
      <c r="VU100" s="769"/>
      <c r="VV100" s="769"/>
      <c r="VW100" s="769"/>
      <c r="VX100" s="769"/>
      <c r="VY100" s="769"/>
      <c r="VZ100" s="769"/>
      <c r="WA100" s="769"/>
      <c r="WB100" s="769"/>
      <c r="WC100" s="769"/>
      <c r="WD100" s="769"/>
      <c r="WE100" s="769"/>
      <c r="WF100" s="769"/>
      <c r="WG100" s="769"/>
      <c r="WH100" s="769"/>
      <c r="WI100" s="769"/>
      <c r="WJ100" s="769"/>
      <c r="WK100" s="769"/>
      <c r="WL100" s="769"/>
      <c r="WM100" s="769"/>
      <c r="WN100" s="769"/>
      <c r="WO100" s="769"/>
      <c r="WP100" s="769"/>
      <c r="WQ100" s="769"/>
      <c r="WR100" s="769"/>
      <c r="WS100" s="769"/>
      <c r="WT100" s="769"/>
      <c r="WU100" s="769"/>
      <c r="WV100" s="769"/>
      <c r="WW100" s="769"/>
      <c r="WX100" s="769"/>
      <c r="WY100" s="769"/>
      <c r="WZ100" s="769"/>
      <c r="XA100" s="769"/>
      <c r="XB100" s="769"/>
      <c r="XC100" s="769"/>
      <c r="XD100" s="769"/>
      <c r="XE100" s="769"/>
      <c r="XF100" s="769"/>
      <c r="XG100" s="769"/>
      <c r="XH100" s="769"/>
      <c r="XI100" s="769"/>
      <c r="XJ100" s="769"/>
      <c r="XK100" s="769"/>
      <c r="XL100" s="769"/>
      <c r="XM100" s="769"/>
      <c r="XN100" s="769"/>
      <c r="XO100" s="769"/>
      <c r="XP100" s="769"/>
      <c r="XQ100" s="769"/>
      <c r="XR100" s="769"/>
      <c r="XS100" s="769"/>
      <c r="XT100" s="769"/>
      <c r="XU100" s="769"/>
      <c r="XV100" s="769"/>
      <c r="XW100" s="769"/>
      <c r="XX100" s="769"/>
      <c r="XY100" s="769"/>
      <c r="XZ100" s="769"/>
      <c r="YA100" s="769"/>
      <c r="YB100" s="769"/>
      <c r="YC100" s="769"/>
      <c r="YD100" s="769"/>
      <c r="YE100" s="769"/>
      <c r="YF100" s="769"/>
      <c r="YG100" s="769"/>
      <c r="YH100" s="769"/>
      <c r="YI100" s="769"/>
      <c r="YJ100" s="769"/>
      <c r="YK100" s="769"/>
      <c r="YL100" s="769"/>
      <c r="YM100" s="769"/>
      <c r="YN100" s="769"/>
      <c r="YO100" s="769"/>
      <c r="YP100" s="769"/>
      <c r="YQ100" s="769"/>
      <c r="YR100" s="769"/>
      <c r="YS100" s="769"/>
      <c r="YT100" s="769"/>
      <c r="YU100" s="769"/>
      <c r="YV100" s="769"/>
      <c r="YW100" s="769"/>
      <c r="YX100" s="769"/>
      <c r="YY100" s="769"/>
      <c r="YZ100" s="769"/>
      <c r="ZA100" s="769"/>
      <c r="ZB100" s="769"/>
      <c r="ZC100" s="769"/>
      <c r="ZD100" s="769"/>
      <c r="ZE100" s="769"/>
      <c r="ZF100" s="769"/>
      <c r="ZG100" s="769"/>
      <c r="ZH100" s="769"/>
      <c r="ZI100" s="769"/>
      <c r="ZJ100" s="769"/>
      <c r="ZK100" s="769"/>
      <c r="ZL100" s="769"/>
      <c r="ZM100" s="769"/>
      <c r="ZN100" s="769"/>
      <c r="ZO100" s="769"/>
      <c r="ZP100" s="769"/>
      <c r="ZQ100" s="769"/>
      <c r="ZR100" s="769"/>
      <c r="ZS100" s="769"/>
      <c r="ZT100" s="769"/>
      <c r="ZU100" s="769"/>
      <c r="ZV100" s="769"/>
      <c r="ZW100" s="769"/>
      <c r="ZX100" s="769"/>
      <c r="ZY100" s="769"/>
      <c r="ZZ100" s="769"/>
      <c r="AAA100" s="769"/>
      <c r="AAB100" s="769"/>
      <c r="AAC100" s="769"/>
      <c r="AAD100" s="769"/>
      <c r="AAE100" s="769"/>
      <c r="AAF100" s="769"/>
      <c r="AAG100" s="769"/>
      <c r="AAH100" s="769"/>
      <c r="AAI100" s="769"/>
      <c r="AAJ100" s="769"/>
      <c r="AAK100" s="769"/>
      <c r="AAL100" s="769"/>
      <c r="AAM100" s="769"/>
      <c r="AAN100" s="769"/>
      <c r="AAO100" s="769"/>
      <c r="AAP100" s="769"/>
      <c r="AAQ100" s="769"/>
      <c r="AAR100" s="769"/>
      <c r="AAS100" s="769"/>
      <c r="AAT100" s="769"/>
      <c r="AAU100" s="769"/>
      <c r="AAV100" s="769"/>
      <c r="AAW100" s="769"/>
      <c r="AAX100" s="769"/>
      <c r="AAY100" s="769"/>
      <c r="AAZ100" s="769"/>
      <c r="ABA100" s="769"/>
      <c r="ABB100" s="769"/>
      <c r="ABC100" s="769"/>
      <c r="ABD100" s="769"/>
      <c r="ABE100" s="769"/>
      <c r="ABF100" s="769"/>
      <c r="ABG100" s="769"/>
      <c r="ABH100" s="769"/>
      <c r="ABI100" s="769"/>
      <c r="ABJ100" s="769"/>
      <c r="ABK100" s="769"/>
      <c r="ABL100" s="769"/>
      <c r="ABM100" s="769"/>
      <c r="ABN100" s="769"/>
      <c r="ABO100" s="769"/>
      <c r="ABP100" s="769"/>
      <c r="ABQ100" s="769"/>
      <c r="ABR100" s="769"/>
      <c r="ABS100" s="769"/>
      <c r="ABT100" s="769"/>
      <c r="ABU100" s="769"/>
      <c r="ABV100" s="769"/>
      <c r="ABW100" s="769"/>
      <c r="ABX100" s="769"/>
      <c r="ABY100" s="769"/>
      <c r="ABZ100" s="769"/>
      <c r="ACA100" s="769"/>
      <c r="ACB100" s="769"/>
      <c r="ACC100" s="769"/>
      <c r="ACD100" s="769"/>
      <c r="ACE100" s="769"/>
      <c r="ACF100" s="769"/>
      <c r="ACG100" s="769"/>
      <c r="ACH100" s="769"/>
      <c r="ACI100" s="769"/>
      <c r="ACJ100" s="769"/>
      <c r="ACK100" s="769"/>
      <c r="ACL100" s="769"/>
      <c r="ACM100" s="769"/>
      <c r="ACN100" s="769"/>
      <c r="ACO100" s="769"/>
      <c r="ACP100" s="769"/>
      <c r="ACQ100" s="769"/>
      <c r="ACR100" s="769"/>
      <c r="ACS100" s="769"/>
      <c r="ACT100" s="769"/>
      <c r="ACU100" s="769"/>
      <c r="ACV100" s="769"/>
      <c r="ACW100" s="769"/>
      <c r="ACX100" s="769"/>
      <c r="ACY100" s="769"/>
      <c r="ACZ100" s="769"/>
      <c r="ADA100" s="769"/>
      <c r="ADB100" s="769"/>
      <c r="ADC100" s="769"/>
      <c r="ADD100" s="769"/>
      <c r="ADE100" s="769"/>
      <c r="ADF100" s="769"/>
      <c r="ADG100" s="769"/>
      <c r="ADH100" s="769"/>
      <c r="ADI100" s="769"/>
      <c r="ADJ100" s="769"/>
      <c r="ADK100" s="769"/>
      <c r="ADL100" s="769"/>
      <c r="ADM100" s="769"/>
      <c r="ADN100" s="769"/>
      <c r="ADO100" s="769"/>
      <c r="ADP100" s="769"/>
      <c r="ADQ100" s="769"/>
      <c r="ADR100" s="769"/>
      <c r="ADS100" s="769"/>
      <c r="ADT100" s="769"/>
      <c r="ADU100" s="769"/>
      <c r="ADV100" s="769"/>
      <c r="ADW100" s="769"/>
      <c r="ADX100" s="769"/>
      <c r="ADY100" s="769"/>
      <c r="ADZ100" s="769"/>
      <c r="AEA100" s="769"/>
      <c r="AEB100" s="769"/>
      <c r="AEC100" s="769"/>
      <c r="AED100" s="769"/>
      <c r="AEE100" s="769"/>
      <c r="AEF100" s="769"/>
      <c r="AEG100" s="769"/>
      <c r="AEH100" s="769"/>
      <c r="AEI100" s="769"/>
      <c r="AEJ100" s="769"/>
      <c r="AEK100" s="769"/>
      <c r="AEL100" s="769"/>
      <c r="AEM100" s="769"/>
      <c r="AEN100" s="769"/>
      <c r="AEO100" s="769"/>
      <c r="AEP100" s="769"/>
      <c r="AEQ100" s="769"/>
      <c r="AER100" s="769"/>
      <c r="AES100" s="769"/>
      <c r="AET100" s="769"/>
      <c r="AEU100" s="769"/>
      <c r="AEV100" s="769"/>
      <c r="AEW100" s="769"/>
      <c r="AEX100" s="769"/>
      <c r="AEY100" s="769"/>
      <c r="AEZ100" s="769"/>
      <c r="AFA100" s="769"/>
      <c r="AFB100" s="769"/>
      <c r="AFC100" s="769"/>
      <c r="AFD100" s="769"/>
      <c r="AFE100" s="769"/>
      <c r="AFF100" s="769"/>
      <c r="AFG100" s="769"/>
      <c r="AFH100" s="769"/>
      <c r="AFI100" s="769"/>
      <c r="AFJ100" s="769"/>
      <c r="AFK100" s="769"/>
      <c r="AFL100" s="769"/>
      <c r="AFM100" s="769"/>
      <c r="AFN100" s="769"/>
      <c r="AFO100" s="769"/>
      <c r="AFP100" s="769"/>
      <c r="AFQ100" s="769"/>
      <c r="AFR100" s="769"/>
      <c r="AFS100" s="769"/>
      <c r="AFT100" s="769"/>
      <c r="AFU100" s="769"/>
      <c r="AFV100" s="769"/>
      <c r="AFW100" s="769"/>
      <c r="AFX100" s="769"/>
      <c r="AFY100" s="769"/>
      <c r="AFZ100" s="769"/>
      <c r="AGA100" s="769"/>
      <c r="AGB100" s="769"/>
      <c r="AGC100" s="769"/>
      <c r="AGD100" s="769"/>
      <c r="AGE100" s="769"/>
      <c r="AGF100" s="769"/>
      <c r="AGG100" s="769"/>
      <c r="AGH100" s="769"/>
      <c r="AGI100" s="769"/>
      <c r="AGJ100" s="769"/>
      <c r="AGK100" s="769"/>
      <c r="AGL100" s="769"/>
      <c r="AGM100" s="769"/>
      <c r="AGN100" s="769"/>
      <c r="AGO100" s="769"/>
      <c r="AGP100" s="769"/>
      <c r="AGQ100" s="769"/>
      <c r="AGR100" s="769"/>
      <c r="AGS100" s="769"/>
      <c r="AGT100" s="769"/>
      <c r="AGU100" s="769"/>
      <c r="AGV100" s="769"/>
      <c r="AGW100" s="769"/>
      <c r="AGX100" s="769"/>
      <c r="AGY100" s="769"/>
      <c r="AGZ100" s="769"/>
      <c r="AHA100" s="769"/>
      <c r="AHB100" s="769"/>
      <c r="AHC100" s="769"/>
      <c r="AHD100" s="769"/>
      <c r="AHE100" s="769"/>
      <c r="AHF100" s="769"/>
      <c r="AHG100" s="769"/>
      <c r="AHH100" s="769"/>
      <c r="AHI100" s="769"/>
      <c r="AHJ100" s="769"/>
      <c r="AHK100" s="769"/>
      <c r="AHL100" s="769"/>
      <c r="AHM100" s="769"/>
      <c r="AHN100" s="769"/>
      <c r="AHO100" s="769"/>
      <c r="AHP100" s="769"/>
      <c r="AHQ100" s="769"/>
      <c r="AHR100" s="769"/>
      <c r="AHS100" s="769"/>
      <c r="AHT100" s="769"/>
      <c r="AHU100" s="769"/>
      <c r="AHV100" s="769"/>
      <c r="AHW100" s="769"/>
      <c r="AHX100" s="769"/>
      <c r="AHY100" s="769"/>
      <c r="AHZ100" s="769"/>
      <c r="AIA100" s="769"/>
      <c r="AIB100" s="769"/>
      <c r="AIC100" s="769"/>
      <c r="AID100" s="769"/>
      <c r="AIE100" s="769"/>
      <c r="AIF100" s="769"/>
      <c r="AIG100" s="769"/>
      <c r="AIH100" s="769"/>
      <c r="AII100" s="769"/>
      <c r="AIJ100" s="769"/>
      <c r="AIK100" s="769"/>
      <c r="AIL100" s="769"/>
      <c r="AIM100" s="769"/>
      <c r="AIN100" s="769"/>
      <c r="AIO100" s="769"/>
      <c r="AIP100" s="769"/>
      <c r="AIQ100" s="769"/>
      <c r="AIR100" s="769"/>
      <c r="AIS100" s="769"/>
      <c r="AIT100" s="769"/>
      <c r="AIU100" s="769"/>
      <c r="AIV100" s="769"/>
      <c r="AIW100" s="769"/>
      <c r="AIX100" s="769"/>
      <c r="AIY100" s="769"/>
      <c r="AIZ100" s="769"/>
      <c r="AJA100" s="769"/>
      <c r="AJB100" s="769"/>
      <c r="AJC100" s="769"/>
      <c r="AJD100" s="769"/>
      <c r="AJE100" s="769"/>
      <c r="AJF100" s="769"/>
      <c r="AJG100" s="769"/>
      <c r="AJH100" s="769"/>
      <c r="AJI100" s="769"/>
      <c r="AJJ100" s="769"/>
      <c r="AJK100" s="769"/>
      <c r="AJL100" s="769"/>
      <c r="AJM100" s="769"/>
      <c r="AJN100" s="769"/>
      <c r="AJO100" s="769"/>
      <c r="AJP100" s="769"/>
      <c r="AJQ100" s="769"/>
      <c r="AJR100" s="769"/>
      <c r="AJS100" s="769"/>
      <c r="AJT100" s="769"/>
      <c r="AJU100" s="769"/>
      <c r="AJV100" s="769"/>
      <c r="AJW100" s="769"/>
      <c r="AJX100" s="769"/>
      <c r="AJY100" s="769"/>
      <c r="AJZ100" s="769"/>
      <c r="AKA100" s="769"/>
      <c r="AKB100" s="769"/>
      <c r="AKC100" s="769"/>
      <c r="AKD100" s="769"/>
      <c r="AKE100" s="769"/>
      <c r="AKF100" s="769"/>
      <c r="AKG100" s="769"/>
      <c r="AKH100" s="769"/>
      <c r="AKI100" s="769"/>
      <c r="AKJ100" s="769"/>
      <c r="AKK100" s="769"/>
      <c r="AKL100" s="769"/>
      <c r="AKM100" s="769"/>
      <c r="AKN100" s="769"/>
      <c r="AKO100" s="769"/>
      <c r="AKP100" s="769"/>
      <c r="AKQ100" s="769"/>
      <c r="AKR100" s="769"/>
      <c r="AKS100" s="769"/>
      <c r="AKT100" s="769"/>
      <c r="AKU100" s="769"/>
      <c r="AKV100" s="769"/>
      <c r="AKW100" s="769"/>
      <c r="AKX100" s="769"/>
      <c r="AKY100" s="769"/>
      <c r="AKZ100" s="769"/>
      <c r="ALA100" s="769"/>
      <c r="ALB100" s="769"/>
      <c r="ALC100" s="769"/>
      <c r="ALD100" s="769"/>
      <c r="ALE100" s="769"/>
      <c r="ALF100" s="769"/>
      <c r="ALG100" s="769"/>
      <c r="ALH100" s="769"/>
      <c r="ALI100" s="769"/>
      <c r="ALJ100" s="769"/>
      <c r="ALK100" s="769"/>
      <c r="ALL100" s="769"/>
      <c r="ALM100" s="769"/>
      <c r="ALN100" s="769"/>
      <c r="ALO100" s="769"/>
      <c r="ALP100" s="769"/>
      <c r="ALQ100" s="769"/>
      <c r="ALR100" s="769"/>
      <c r="ALS100" s="769"/>
      <c r="ALT100" s="769"/>
      <c r="ALU100" s="769"/>
      <c r="ALV100" s="769"/>
      <c r="ALW100" s="769"/>
      <c r="ALX100" s="769"/>
      <c r="ALY100" s="769"/>
      <c r="ALZ100" s="769"/>
      <c r="AMA100" s="769"/>
      <c r="AMB100" s="769"/>
      <c r="AMC100" s="769"/>
      <c r="AMD100" s="769"/>
      <c r="AME100" s="769"/>
      <c r="AMF100" s="769"/>
      <c r="AMG100" s="769"/>
      <c r="AMH100" s="769"/>
      <c r="AMI100" s="769"/>
      <c r="AMJ100" s="769"/>
      <c r="AMK100" s="769"/>
      <c r="AML100" s="769"/>
      <c r="AMM100" s="769"/>
      <c r="AMN100" s="769"/>
      <c r="AMO100" s="769"/>
      <c r="AMP100" s="769"/>
      <c r="AMQ100" s="769"/>
      <c r="AMR100" s="769"/>
      <c r="AMS100" s="769"/>
      <c r="AMT100" s="769"/>
      <c r="AMU100" s="769"/>
      <c r="AMV100" s="769"/>
      <c r="AMW100" s="769"/>
      <c r="AMX100" s="769"/>
      <c r="AMY100" s="769"/>
      <c r="AMZ100" s="769"/>
      <c r="ANA100" s="769"/>
      <c r="ANB100" s="769"/>
      <c r="ANC100" s="769"/>
      <c r="AND100" s="769"/>
      <c r="ANE100" s="769"/>
      <c r="ANF100" s="769"/>
      <c r="ANG100" s="769"/>
      <c r="ANH100" s="769"/>
      <c r="ANI100" s="769"/>
      <c r="ANJ100" s="769"/>
      <c r="ANK100" s="769"/>
      <c r="ANL100" s="769"/>
      <c r="ANM100" s="769"/>
      <c r="ANN100" s="769"/>
      <c r="ANO100" s="769"/>
      <c r="ANP100" s="769"/>
      <c r="ANQ100" s="769"/>
      <c r="ANR100" s="769"/>
      <c r="ANS100" s="769"/>
      <c r="ANT100" s="769"/>
      <c r="ANU100" s="769"/>
      <c r="ANV100" s="769"/>
      <c r="ANW100" s="769"/>
      <c r="ANX100" s="769"/>
      <c r="ANY100" s="769"/>
      <c r="ANZ100" s="769"/>
      <c r="AOA100" s="769"/>
      <c r="AOB100" s="769"/>
      <c r="AOC100" s="769"/>
      <c r="AOD100" s="769"/>
      <c r="AOE100" s="769"/>
      <c r="AOF100" s="769"/>
      <c r="AOG100" s="769"/>
      <c r="AOH100" s="769"/>
      <c r="AOI100" s="769"/>
      <c r="AOJ100" s="769"/>
      <c r="AOK100" s="769"/>
      <c r="AOL100" s="769"/>
      <c r="AOM100" s="769"/>
      <c r="AON100" s="769"/>
      <c r="AOO100" s="769"/>
      <c r="AOP100" s="769"/>
      <c r="AOQ100" s="769"/>
      <c r="AOR100" s="769"/>
      <c r="AOS100" s="769"/>
      <c r="AOT100" s="769"/>
      <c r="AOU100" s="769"/>
      <c r="AOV100" s="769"/>
      <c r="AOW100" s="769"/>
      <c r="AOX100" s="769"/>
      <c r="AOY100" s="769"/>
      <c r="AOZ100" s="769"/>
      <c r="APA100" s="769"/>
      <c r="APB100" s="769"/>
      <c r="APC100" s="769"/>
      <c r="APD100" s="769"/>
      <c r="APE100" s="769"/>
      <c r="APF100" s="769"/>
      <c r="APG100" s="769"/>
      <c r="APH100" s="769"/>
      <c r="API100" s="769"/>
      <c r="APJ100" s="769"/>
      <c r="APK100" s="769"/>
      <c r="APL100" s="769"/>
      <c r="APM100" s="769"/>
      <c r="APN100" s="769"/>
      <c r="APO100" s="769"/>
      <c r="APP100" s="769"/>
      <c r="APQ100" s="769"/>
      <c r="APR100" s="769"/>
      <c r="APS100" s="769"/>
      <c r="APT100" s="769"/>
      <c r="APU100" s="769"/>
      <c r="APV100" s="769"/>
      <c r="APW100" s="769"/>
      <c r="APX100" s="769"/>
      <c r="APY100" s="769"/>
      <c r="APZ100" s="769"/>
      <c r="AQA100" s="769"/>
      <c r="AQB100" s="769"/>
      <c r="AQC100" s="769"/>
      <c r="AQD100" s="769"/>
      <c r="AQE100" s="769"/>
      <c r="AQF100" s="769"/>
      <c r="AQG100" s="769"/>
      <c r="AQH100" s="769"/>
      <c r="AQI100" s="769"/>
      <c r="AQJ100" s="769"/>
      <c r="AQK100" s="769"/>
      <c r="AQL100" s="769"/>
      <c r="AQM100" s="769"/>
      <c r="AQN100" s="769"/>
      <c r="AQO100" s="769"/>
      <c r="AQP100" s="769"/>
      <c r="AQQ100" s="769"/>
      <c r="AQR100" s="769"/>
      <c r="AQS100" s="769"/>
      <c r="AQT100" s="769"/>
      <c r="AQU100" s="769"/>
      <c r="AQV100" s="769"/>
      <c r="AQW100" s="769"/>
      <c r="AQX100" s="769"/>
      <c r="AQY100" s="769"/>
      <c r="AQZ100" s="769"/>
      <c r="ARA100" s="769"/>
      <c r="ARB100" s="769"/>
      <c r="ARC100" s="769"/>
      <c r="ARD100" s="769"/>
      <c r="ARE100" s="769"/>
      <c r="ARF100" s="769"/>
      <c r="ARG100" s="769"/>
      <c r="ARH100" s="769"/>
      <c r="ARI100" s="769"/>
      <c r="ARJ100" s="769"/>
      <c r="ARK100" s="769"/>
      <c r="ARL100" s="769"/>
      <c r="ARM100" s="769"/>
      <c r="ARN100" s="769"/>
      <c r="ARO100" s="769"/>
      <c r="ARP100" s="769"/>
      <c r="ARQ100" s="769"/>
      <c r="ARR100" s="769"/>
      <c r="ARS100" s="769"/>
      <c r="ART100" s="769"/>
      <c r="ARU100" s="769"/>
      <c r="ARV100" s="769"/>
      <c r="ARW100" s="769"/>
      <c r="ARX100" s="769"/>
      <c r="ARY100" s="769"/>
      <c r="ARZ100" s="769"/>
      <c r="ASA100" s="769"/>
      <c r="ASB100" s="769"/>
      <c r="ASC100" s="769"/>
      <c r="ASD100" s="769"/>
      <c r="ASE100" s="769"/>
      <c r="ASF100" s="769"/>
      <c r="ASG100" s="769"/>
      <c r="ASH100" s="769"/>
      <c r="ASI100" s="769"/>
      <c r="ASJ100" s="769"/>
      <c r="ASK100" s="769"/>
      <c r="ASL100" s="769"/>
      <c r="ASM100" s="769"/>
      <c r="ASN100" s="769"/>
      <c r="ASO100" s="769"/>
      <c r="ASP100" s="769"/>
      <c r="ASQ100" s="769"/>
      <c r="ASR100" s="769"/>
      <c r="ASS100" s="769"/>
      <c r="AST100" s="769"/>
      <c r="ASU100" s="769"/>
      <c r="ASV100" s="769"/>
      <c r="ASW100" s="769"/>
      <c r="ASX100" s="769"/>
      <c r="ASY100" s="769"/>
      <c r="ASZ100" s="769"/>
      <c r="ATA100" s="769"/>
      <c r="ATB100" s="769"/>
      <c r="ATC100" s="769"/>
      <c r="ATD100" s="769"/>
      <c r="ATE100" s="769"/>
      <c r="ATF100" s="769"/>
      <c r="ATG100" s="769"/>
      <c r="ATH100" s="769"/>
      <c r="ATI100" s="769"/>
      <c r="ATJ100" s="769"/>
      <c r="ATK100" s="769"/>
      <c r="ATL100" s="769"/>
      <c r="ATM100" s="769"/>
      <c r="ATN100" s="769"/>
      <c r="ATO100" s="769"/>
      <c r="ATP100" s="769"/>
      <c r="ATQ100" s="769"/>
      <c r="ATR100" s="769"/>
      <c r="ATS100" s="769"/>
      <c r="ATT100" s="769"/>
      <c r="ATU100" s="769"/>
      <c r="ATV100" s="769"/>
      <c r="ATW100" s="769"/>
      <c r="ATX100" s="769"/>
      <c r="ATY100" s="769"/>
      <c r="ATZ100" s="769"/>
      <c r="AUA100" s="769"/>
      <c r="AUB100" s="769"/>
      <c r="AUC100" s="769"/>
      <c r="AUD100" s="769"/>
      <c r="AUE100" s="769"/>
      <c r="AUF100" s="769"/>
      <c r="AUG100" s="769"/>
      <c r="AUH100" s="769"/>
      <c r="AUI100" s="769"/>
      <c r="AUJ100" s="769"/>
      <c r="AUK100" s="769"/>
      <c r="AUL100" s="769"/>
      <c r="AUM100" s="769"/>
      <c r="AUN100" s="769"/>
      <c r="AUO100" s="769"/>
      <c r="AUP100" s="769"/>
      <c r="AUQ100" s="769"/>
      <c r="AUR100" s="769"/>
      <c r="AUS100" s="769"/>
      <c r="AUT100" s="769"/>
      <c r="AUU100" s="769"/>
      <c r="AUV100" s="769"/>
      <c r="AUW100" s="769"/>
      <c r="AUX100" s="769"/>
      <c r="AUY100" s="769"/>
      <c r="AUZ100" s="769"/>
      <c r="AVA100" s="769"/>
      <c r="AVB100" s="769"/>
      <c r="AVC100" s="769"/>
      <c r="AVD100" s="769"/>
      <c r="AVE100" s="769"/>
      <c r="AVF100" s="769"/>
      <c r="AVG100" s="769"/>
      <c r="AVH100" s="769"/>
      <c r="AVI100" s="769"/>
      <c r="AVJ100" s="769"/>
      <c r="AVK100" s="769"/>
      <c r="AVL100" s="769"/>
      <c r="AVM100" s="769"/>
      <c r="AVN100" s="769"/>
      <c r="AVO100" s="769"/>
      <c r="AVP100" s="769"/>
      <c r="AVQ100" s="769"/>
      <c r="AVR100" s="769"/>
      <c r="AVS100" s="769"/>
      <c r="AVT100" s="769"/>
      <c r="AVU100" s="769"/>
      <c r="AVV100" s="769"/>
      <c r="AVW100" s="769"/>
      <c r="AVX100" s="769"/>
      <c r="AVY100" s="769"/>
      <c r="AVZ100" s="769"/>
      <c r="AWA100" s="769"/>
      <c r="AWB100" s="769"/>
      <c r="AWC100" s="769"/>
      <c r="AWD100" s="769"/>
      <c r="AWE100" s="769"/>
      <c r="AWF100" s="769"/>
      <c r="AWG100" s="769"/>
      <c r="AWH100" s="769"/>
      <c r="AWI100" s="769"/>
      <c r="AWJ100" s="769"/>
      <c r="AWK100" s="769"/>
      <c r="AWL100" s="769"/>
      <c r="AWM100" s="769"/>
      <c r="AWN100" s="769"/>
      <c r="AWO100" s="769"/>
      <c r="AWP100" s="769"/>
      <c r="AWQ100" s="769"/>
      <c r="AWR100" s="769"/>
      <c r="AWS100" s="769"/>
      <c r="AWT100" s="769"/>
      <c r="AWU100" s="769"/>
      <c r="AWV100" s="769"/>
      <c r="AWW100" s="769"/>
      <c r="AWX100" s="769"/>
      <c r="AWY100" s="769"/>
      <c r="AWZ100" s="769"/>
      <c r="AXA100" s="769"/>
      <c r="AXB100" s="769"/>
      <c r="AXC100" s="769"/>
      <c r="AXD100" s="769"/>
      <c r="AXE100" s="769"/>
      <c r="AXF100" s="769"/>
      <c r="AXG100" s="769"/>
      <c r="AXH100" s="769"/>
      <c r="AXI100" s="769"/>
      <c r="AXJ100" s="769"/>
      <c r="AXK100" s="769"/>
      <c r="AXL100" s="769"/>
      <c r="AXM100" s="769"/>
      <c r="AXN100" s="769"/>
      <c r="AXO100" s="769"/>
      <c r="AXP100" s="769"/>
      <c r="AXQ100" s="769"/>
      <c r="AXR100" s="769"/>
      <c r="AXS100" s="769"/>
      <c r="AXT100" s="769"/>
      <c r="AXU100" s="769"/>
      <c r="AXV100" s="769"/>
      <c r="AXW100" s="769"/>
      <c r="AXX100" s="769"/>
      <c r="AXY100" s="769"/>
      <c r="AXZ100" s="769"/>
      <c r="AYA100" s="769"/>
      <c r="AYB100" s="769"/>
      <c r="AYC100" s="769"/>
      <c r="AYD100" s="769"/>
      <c r="AYE100" s="769"/>
      <c r="AYF100" s="769"/>
      <c r="AYG100" s="769"/>
      <c r="AYH100" s="769"/>
      <c r="AYI100" s="769"/>
      <c r="AYJ100" s="769"/>
      <c r="AYK100" s="769"/>
      <c r="AYL100" s="769"/>
      <c r="AYM100" s="769"/>
      <c r="AYN100" s="769"/>
      <c r="AYO100" s="769"/>
      <c r="AYP100" s="769"/>
      <c r="AYQ100" s="769"/>
      <c r="AYR100" s="769"/>
      <c r="AYS100" s="769"/>
      <c r="AYT100" s="769"/>
      <c r="AYU100" s="769"/>
      <c r="AYV100" s="769"/>
      <c r="AYW100" s="769"/>
      <c r="AYX100" s="769"/>
      <c r="AYY100" s="769"/>
      <c r="AYZ100" s="769"/>
      <c r="AZA100" s="769"/>
      <c r="AZB100" s="769"/>
      <c r="AZC100" s="769"/>
      <c r="AZD100" s="769"/>
      <c r="AZE100" s="769"/>
      <c r="AZF100" s="769"/>
      <c r="AZG100" s="769"/>
      <c r="AZH100" s="769"/>
      <c r="AZI100" s="769"/>
      <c r="AZJ100" s="769"/>
      <c r="AZK100" s="769"/>
      <c r="AZL100" s="769"/>
      <c r="AZM100" s="769"/>
      <c r="AZN100" s="769"/>
      <c r="AZO100" s="769"/>
      <c r="AZP100" s="769"/>
      <c r="AZQ100" s="769"/>
      <c r="AZR100" s="769"/>
      <c r="AZS100" s="769"/>
      <c r="AZT100" s="769"/>
      <c r="AZU100" s="769"/>
      <c r="AZV100" s="769"/>
      <c r="AZW100" s="769"/>
      <c r="AZX100" s="769"/>
      <c r="AZY100" s="769"/>
      <c r="AZZ100" s="769"/>
      <c r="BAA100" s="769"/>
      <c r="BAB100" s="769"/>
      <c r="BAC100" s="769"/>
      <c r="BAD100" s="769"/>
      <c r="BAE100" s="769"/>
      <c r="BAF100" s="769"/>
      <c r="BAG100" s="769"/>
      <c r="BAH100" s="769"/>
      <c r="BAI100" s="769"/>
      <c r="BAJ100" s="769"/>
      <c r="BAK100" s="769"/>
      <c r="BAL100" s="769"/>
      <c r="BAM100" s="769"/>
      <c r="BAN100" s="769"/>
      <c r="BAO100" s="769"/>
      <c r="BAP100" s="769"/>
      <c r="BAQ100" s="769"/>
      <c r="BAR100" s="769"/>
      <c r="BAS100" s="769"/>
      <c r="BAT100" s="769"/>
      <c r="BAU100" s="769"/>
      <c r="BAV100" s="769"/>
      <c r="BAW100" s="769"/>
      <c r="BAX100" s="769"/>
      <c r="BAY100" s="769"/>
      <c r="BAZ100" s="769"/>
      <c r="BBA100" s="769"/>
      <c r="BBB100" s="769"/>
      <c r="BBC100" s="769"/>
      <c r="BBD100" s="769"/>
      <c r="BBE100" s="769"/>
      <c r="BBF100" s="769"/>
      <c r="BBG100" s="769"/>
      <c r="BBH100" s="769"/>
      <c r="BBI100" s="769"/>
      <c r="BBJ100" s="769"/>
      <c r="BBK100" s="769"/>
      <c r="BBL100" s="769"/>
      <c r="BBM100" s="769"/>
      <c r="BBN100" s="769"/>
      <c r="BBO100" s="769"/>
      <c r="BBP100" s="769"/>
      <c r="BBQ100" s="769"/>
      <c r="BBR100" s="769"/>
      <c r="BBS100" s="769"/>
      <c r="BBT100" s="769"/>
      <c r="BBU100" s="769"/>
      <c r="BBV100" s="769"/>
      <c r="BBW100" s="769"/>
      <c r="BBX100" s="769"/>
      <c r="BBY100" s="769"/>
      <c r="BBZ100" s="769"/>
      <c r="BCA100" s="769"/>
      <c r="BCB100" s="769"/>
      <c r="BCC100" s="769"/>
      <c r="BCD100" s="769"/>
      <c r="BCE100" s="769"/>
      <c r="BCF100" s="769"/>
      <c r="BCG100" s="769"/>
      <c r="BCH100" s="769"/>
      <c r="BCI100" s="769"/>
      <c r="BCJ100" s="769"/>
      <c r="BCK100" s="769"/>
      <c r="BCL100" s="769"/>
      <c r="BCM100" s="769"/>
      <c r="BCN100" s="769"/>
      <c r="BCO100" s="769"/>
      <c r="BCP100" s="769"/>
      <c r="BCQ100" s="769"/>
      <c r="BCR100" s="769"/>
      <c r="BCS100" s="769"/>
      <c r="BCT100" s="769"/>
      <c r="BCU100" s="769"/>
      <c r="BCV100" s="769"/>
      <c r="BCW100" s="769"/>
      <c r="BCX100" s="769"/>
      <c r="BCY100" s="769"/>
      <c r="BCZ100" s="769"/>
      <c r="BDA100" s="769"/>
      <c r="BDB100" s="769"/>
      <c r="BDC100" s="769"/>
      <c r="BDD100" s="769"/>
      <c r="BDE100" s="769"/>
      <c r="BDF100" s="769"/>
      <c r="BDG100" s="769"/>
      <c r="BDH100" s="769"/>
      <c r="BDI100" s="769"/>
      <c r="BDJ100" s="769"/>
      <c r="BDK100" s="769"/>
      <c r="BDL100" s="769"/>
      <c r="BDM100" s="769"/>
      <c r="BDN100" s="769"/>
      <c r="BDO100" s="769"/>
      <c r="BDP100" s="769"/>
      <c r="BDQ100" s="769"/>
      <c r="BDR100" s="769"/>
      <c r="BDS100" s="769"/>
      <c r="BDT100" s="769"/>
      <c r="BDU100" s="769"/>
      <c r="BDV100" s="769"/>
      <c r="BDW100" s="769"/>
      <c r="BDX100" s="769"/>
      <c r="BDY100" s="769"/>
      <c r="BDZ100" s="769"/>
      <c r="BEA100" s="769"/>
      <c r="BEB100" s="769"/>
      <c r="BEC100" s="769"/>
      <c r="BED100" s="769"/>
      <c r="BEE100" s="769"/>
      <c r="BEF100" s="769"/>
      <c r="BEG100" s="769"/>
      <c r="BEH100" s="769"/>
      <c r="BEI100" s="769"/>
      <c r="BEJ100" s="769"/>
      <c r="BEK100" s="769"/>
      <c r="BEL100" s="769"/>
      <c r="BEM100" s="769"/>
      <c r="BEN100" s="769"/>
      <c r="BEO100" s="769"/>
      <c r="BEP100" s="769"/>
      <c r="BEQ100" s="769"/>
      <c r="BER100" s="769"/>
      <c r="BES100" s="769"/>
      <c r="BET100" s="769"/>
      <c r="BEU100" s="769"/>
      <c r="BEV100" s="769"/>
      <c r="BEW100" s="769"/>
      <c r="BEX100" s="769"/>
      <c r="BEY100" s="769"/>
      <c r="BEZ100" s="769"/>
      <c r="BFA100" s="769"/>
      <c r="BFB100" s="769"/>
      <c r="BFC100" s="769"/>
      <c r="BFD100" s="769"/>
      <c r="BFE100" s="769"/>
      <c r="BFF100" s="769"/>
      <c r="BFG100" s="769"/>
      <c r="BFH100" s="769"/>
      <c r="BFI100" s="769"/>
      <c r="BFJ100" s="769"/>
      <c r="BFK100" s="769"/>
      <c r="BFL100" s="769"/>
      <c r="BFM100" s="769"/>
      <c r="BFN100" s="769"/>
      <c r="BFO100" s="769"/>
      <c r="BFP100" s="769"/>
      <c r="BFQ100" s="769"/>
      <c r="BFR100" s="769"/>
      <c r="BFS100" s="769"/>
      <c r="BFT100" s="769"/>
      <c r="BFU100" s="769"/>
      <c r="BFV100" s="769"/>
      <c r="BFW100" s="769"/>
      <c r="BFX100" s="769"/>
      <c r="BFY100" s="769"/>
      <c r="BFZ100" s="769"/>
      <c r="BGA100" s="769"/>
      <c r="BGB100" s="769"/>
      <c r="BGC100" s="769"/>
      <c r="BGD100" s="769"/>
      <c r="BGE100" s="769"/>
      <c r="BGF100" s="769"/>
      <c r="BGG100" s="769"/>
      <c r="BGH100" s="769"/>
      <c r="BGI100" s="769"/>
      <c r="BGJ100" s="769"/>
      <c r="BGK100" s="769"/>
      <c r="BGL100" s="769"/>
      <c r="BGM100" s="769"/>
      <c r="BGN100" s="769"/>
      <c r="BGO100" s="769"/>
      <c r="BGP100" s="769"/>
      <c r="BGQ100" s="769"/>
      <c r="BGR100" s="769"/>
      <c r="BGS100" s="769"/>
      <c r="BGT100" s="769"/>
      <c r="BGU100" s="769"/>
      <c r="BGV100" s="769"/>
      <c r="BGW100" s="769"/>
      <c r="BGX100" s="769"/>
      <c r="BGY100" s="769"/>
      <c r="BGZ100" s="769"/>
      <c r="BHA100" s="769"/>
      <c r="BHB100" s="769"/>
      <c r="BHC100" s="769"/>
      <c r="BHD100" s="769"/>
      <c r="BHE100" s="769"/>
      <c r="BHF100" s="769"/>
      <c r="BHG100" s="769"/>
      <c r="BHH100" s="769"/>
      <c r="BHI100" s="769"/>
      <c r="BHJ100" s="769"/>
      <c r="BHK100" s="769"/>
      <c r="BHL100" s="769"/>
      <c r="BHM100" s="769"/>
      <c r="BHN100" s="769"/>
      <c r="BHO100" s="769"/>
      <c r="BHP100" s="769"/>
      <c r="BHQ100" s="769"/>
      <c r="BHR100" s="769"/>
      <c r="BHS100" s="769"/>
      <c r="BHT100" s="769"/>
      <c r="BHU100" s="769"/>
      <c r="BHV100" s="769"/>
      <c r="BHW100" s="769"/>
      <c r="BHX100" s="769"/>
      <c r="BHY100" s="769"/>
      <c r="BHZ100" s="769"/>
      <c r="BIA100" s="769"/>
      <c r="BIB100" s="769"/>
      <c r="BIC100" s="769"/>
      <c r="BID100" s="769"/>
      <c r="BIE100" s="769"/>
      <c r="BIF100" s="769"/>
      <c r="BIG100" s="769"/>
      <c r="BIH100" s="769"/>
      <c r="BII100" s="769"/>
      <c r="BIJ100" s="769"/>
      <c r="BIK100" s="769"/>
      <c r="BIL100" s="769"/>
      <c r="BIM100" s="769"/>
      <c r="BIN100" s="769"/>
      <c r="BIO100" s="769"/>
      <c r="BIP100" s="769"/>
      <c r="BIQ100" s="769"/>
      <c r="BIR100" s="769"/>
      <c r="BIS100" s="769"/>
      <c r="BIT100" s="769"/>
      <c r="BIU100" s="769"/>
      <c r="BIV100" s="769"/>
      <c r="BIW100" s="769"/>
      <c r="BIX100" s="769"/>
      <c r="BIY100" s="769"/>
      <c r="BIZ100" s="769"/>
      <c r="BJA100" s="769"/>
      <c r="BJB100" s="769"/>
      <c r="BJC100" s="769"/>
      <c r="BJD100" s="769"/>
      <c r="BJE100" s="769"/>
      <c r="BJF100" s="769"/>
      <c r="BJG100" s="769"/>
      <c r="BJH100" s="769"/>
      <c r="BJI100" s="769"/>
      <c r="BJJ100" s="769"/>
      <c r="BJK100" s="769"/>
      <c r="BJL100" s="769"/>
      <c r="BJM100" s="769"/>
      <c r="BJN100" s="769"/>
      <c r="BJO100" s="769"/>
      <c r="BJP100" s="769"/>
      <c r="BJQ100" s="769"/>
      <c r="BJR100" s="769"/>
      <c r="BJS100" s="769"/>
      <c r="BJT100" s="769"/>
      <c r="BJU100" s="769"/>
      <c r="BJV100" s="769"/>
      <c r="BJW100" s="769"/>
      <c r="BJX100" s="769"/>
      <c r="BJY100" s="769"/>
      <c r="BJZ100" s="769"/>
      <c r="BKA100" s="769"/>
      <c r="BKB100" s="769"/>
      <c r="BKC100" s="769"/>
      <c r="BKD100" s="769"/>
      <c r="BKE100" s="769"/>
      <c r="BKF100" s="769"/>
      <c r="BKG100" s="769"/>
      <c r="BKH100" s="769"/>
      <c r="BKI100" s="769"/>
      <c r="BKJ100" s="769"/>
      <c r="BKK100" s="769"/>
      <c r="BKL100" s="769"/>
      <c r="BKM100" s="769"/>
      <c r="BKN100" s="769"/>
      <c r="BKO100" s="769"/>
      <c r="BKP100" s="769"/>
      <c r="BKQ100" s="769"/>
      <c r="BKR100" s="769"/>
      <c r="BKS100" s="769"/>
      <c r="BKT100" s="769"/>
      <c r="BKU100" s="769"/>
      <c r="BKV100" s="769"/>
      <c r="BKW100" s="769"/>
      <c r="BKX100" s="769"/>
      <c r="BKY100" s="769"/>
      <c r="BKZ100" s="769"/>
      <c r="BLA100" s="769"/>
      <c r="BLB100" s="769"/>
      <c r="BLC100" s="769"/>
      <c r="BLD100" s="769"/>
      <c r="BLE100" s="769"/>
      <c r="BLF100" s="769"/>
      <c r="BLG100" s="769"/>
      <c r="BLH100" s="769"/>
      <c r="BLI100" s="769"/>
      <c r="BLJ100" s="769"/>
      <c r="BLK100" s="769"/>
      <c r="BLL100" s="769"/>
      <c r="BLM100" s="769"/>
      <c r="BLN100" s="769"/>
      <c r="BLO100" s="769"/>
      <c r="BLP100" s="769"/>
      <c r="BLQ100" s="769"/>
      <c r="BLR100" s="769"/>
      <c r="BLS100" s="769"/>
      <c r="BLT100" s="769"/>
      <c r="BLU100" s="769"/>
      <c r="BLV100" s="769"/>
      <c r="BLW100" s="769"/>
      <c r="BLX100" s="769"/>
      <c r="BLY100" s="769"/>
      <c r="BLZ100" s="769"/>
      <c r="BMA100" s="769"/>
      <c r="BMB100" s="769"/>
      <c r="BMC100" s="769"/>
      <c r="BMD100" s="769"/>
      <c r="BME100" s="769"/>
      <c r="BMF100" s="769"/>
      <c r="BMG100" s="769"/>
      <c r="BMH100" s="769"/>
      <c r="BMI100" s="769"/>
      <c r="BMJ100" s="769"/>
      <c r="BMK100" s="769"/>
      <c r="BML100" s="769"/>
      <c r="BMM100" s="769"/>
      <c r="BMN100" s="769"/>
      <c r="BMO100" s="769"/>
      <c r="BMP100" s="769"/>
      <c r="BMQ100" s="769"/>
      <c r="BMR100" s="769"/>
      <c r="BMS100" s="769"/>
      <c r="BMT100" s="769"/>
      <c r="BMU100" s="769"/>
      <c r="BMV100" s="769"/>
      <c r="BMW100" s="769"/>
      <c r="BMX100" s="769"/>
      <c r="BMY100" s="769"/>
      <c r="BMZ100" s="769"/>
      <c r="BNA100" s="769"/>
      <c r="BNB100" s="769"/>
      <c r="BNC100" s="769"/>
      <c r="BND100" s="769"/>
      <c r="BNE100" s="769"/>
      <c r="BNF100" s="769"/>
      <c r="BNG100" s="769"/>
      <c r="BNH100" s="769"/>
      <c r="BNI100" s="769"/>
      <c r="BNJ100" s="769"/>
      <c r="BNK100" s="769"/>
      <c r="BNL100" s="769"/>
      <c r="BNM100" s="769"/>
      <c r="BNN100" s="769"/>
      <c r="BNO100" s="769"/>
      <c r="BNP100" s="769"/>
      <c r="BNQ100" s="769"/>
      <c r="BNR100" s="769"/>
      <c r="BNS100" s="769"/>
      <c r="BNT100" s="769"/>
      <c r="BNU100" s="769"/>
      <c r="BNV100" s="769"/>
      <c r="BNW100" s="769"/>
      <c r="BNX100" s="769"/>
      <c r="BNY100" s="769"/>
      <c r="BNZ100" s="769"/>
      <c r="BOA100" s="769"/>
      <c r="BOB100" s="769"/>
      <c r="BOC100" s="769"/>
      <c r="BOD100" s="769"/>
      <c r="BOE100" s="769"/>
      <c r="BOF100" s="769"/>
      <c r="BOG100" s="769"/>
      <c r="BOH100" s="769"/>
      <c r="BOI100" s="769"/>
      <c r="BOJ100" s="769"/>
      <c r="BOK100" s="769"/>
      <c r="BOL100" s="769"/>
      <c r="BOM100" s="769"/>
      <c r="BON100" s="769"/>
      <c r="BOO100" s="769"/>
      <c r="BOP100" s="769"/>
      <c r="BOQ100" s="769"/>
      <c r="BOR100" s="769"/>
      <c r="BOS100" s="769"/>
      <c r="BOT100" s="769"/>
      <c r="BOU100" s="769"/>
      <c r="BOV100" s="769"/>
      <c r="BOW100" s="769"/>
      <c r="BOX100" s="769"/>
      <c r="BOY100" s="769"/>
      <c r="BOZ100" s="769"/>
      <c r="BPA100" s="769"/>
      <c r="BPB100" s="769"/>
      <c r="BPC100" s="769"/>
      <c r="BPD100" s="769"/>
      <c r="BPE100" s="769"/>
      <c r="BPF100" s="769"/>
      <c r="BPG100" s="769"/>
      <c r="BPH100" s="769"/>
      <c r="BPI100" s="769"/>
      <c r="BPJ100" s="769"/>
      <c r="BPK100" s="769"/>
      <c r="BPL100" s="769"/>
      <c r="BPM100" s="769"/>
      <c r="BPN100" s="769"/>
      <c r="BPO100" s="769"/>
      <c r="BPP100" s="769"/>
      <c r="BPQ100" s="769"/>
      <c r="BPR100" s="769"/>
      <c r="BPS100" s="769"/>
      <c r="BPT100" s="769"/>
      <c r="BPU100" s="769"/>
      <c r="BPV100" s="769"/>
      <c r="BPW100" s="769"/>
      <c r="BPX100" s="769"/>
      <c r="BPY100" s="769"/>
      <c r="BPZ100" s="769"/>
      <c r="BQA100" s="769"/>
      <c r="BQB100" s="769"/>
      <c r="BQC100" s="769"/>
      <c r="BQD100" s="769"/>
      <c r="BQE100" s="769"/>
      <c r="BQF100" s="769"/>
      <c r="BQG100" s="769"/>
      <c r="BQH100" s="769"/>
      <c r="BQI100" s="769"/>
      <c r="BQJ100" s="769"/>
      <c r="BQK100" s="769"/>
      <c r="BQL100" s="769"/>
      <c r="BQM100" s="769"/>
      <c r="BQN100" s="769"/>
      <c r="BQO100" s="769"/>
      <c r="BQP100" s="769"/>
      <c r="BQQ100" s="769"/>
      <c r="BQR100" s="769"/>
      <c r="BQS100" s="769"/>
      <c r="BQT100" s="769"/>
      <c r="BQU100" s="769"/>
      <c r="BQV100" s="769"/>
      <c r="BQW100" s="769"/>
      <c r="BQX100" s="769"/>
      <c r="BQY100" s="769"/>
      <c r="BQZ100" s="769"/>
      <c r="BRA100" s="769"/>
      <c r="BRB100" s="769"/>
      <c r="BRC100" s="769"/>
      <c r="BRD100" s="769"/>
      <c r="BRE100" s="769"/>
      <c r="BRF100" s="769"/>
      <c r="BRG100" s="769"/>
      <c r="BRH100" s="769"/>
      <c r="BRI100" s="769"/>
      <c r="BRJ100" s="769"/>
      <c r="BRK100" s="769"/>
      <c r="BRL100" s="769"/>
      <c r="BRM100" s="769"/>
      <c r="BRN100" s="769"/>
      <c r="BRO100" s="769"/>
      <c r="BRP100" s="769"/>
      <c r="BRQ100" s="769"/>
      <c r="BRR100" s="769"/>
      <c r="BRS100" s="769"/>
      <c r="BRT100" s="769"/>
      <c r="BRU100" s="769"/>
      <c r="BRV100" s="769"/>
      <c r="BRW100" s="769"/>
      <c r="BRX100" s="769"/>
      <c r="BRY100" s="769"/>
      <c r="BRZ100" s="769"/>
      <c r="BSA100" s="769"/>
      <c r="BSB100" s="769"/>
      <c r="BSC100" s="769"/>
      <c r="BSD100" s="769"/>
      <c r="BSE100" s="769"/>
      <c r="BSF100" s="769"/>
      <c r="BSG100" s="769"/>
      <c r="BSH100" s="769"/>
      <c r="BSI100" s="769"/>
      <c r="BSJ100" s="769"/>
      <c r="BSK100" s="769"/>
      <c r="BSL100" s="769"/>
      <c r="BSM100" s="769"/>
      <c r="BSN100" s="769"/>
      <c r="BSO100" s="769"/>
      <c r="BSP100" s="769"/>
      <c r="BSQ100" s="769"/>
      <c r="BSR100" s="769"/>
      <c r="BSS100" s="769"/>
      <c r="BST100" s="769"/>
      <c r="BSU100" s="769"/>
      <c r="BSV100" s="769"/>
      <c r="BSW100" s="769"/>
      <c r="BSX100" s="769"/>
      <c r="BSY100" s="769"/>
      <c r="BSZ100" s="769"/>
      <c r="BTA100" s="769"/>
      <c r="BTB100" s="769"/>
      <c r="BTC100" s="769"/>
      <c r="BTD100" s="769"/>
      <c r="BTE100" s="769"/>
      <c r="BTF100" s="769"/>
      <c r="BTG100" s="769"/>
      <c r="BTH100" s="769"/>
      <c r="BTI100" s="769"/>
      <c r="BTJ100" s="769"/>
      <c r="BTK100" s="769"/>
      <c r="BTL100" s="769"/>
      <c r="BTM100" s="769"/>
      <c r="BTN100" s="769"/>
      <c r="BTO100" s="769"/>
      <c r="BTP100" s="769"/>
      <c r="BTQ100" s="769"/>
      <c r="BTR100" s="769"/>
      <c r="BTS100" s="769"/>
      <c r="BTT100" s="769"/>
      <c r="BTU100" s="769"/>
      <c r="BTV100" s="769"/>
      <c r="BTW100" s="769"/>
      <c r="BTX100" s="769"/>
      <c r="BTY100" s="769"/>
      <c r="BTZ100" s="769"/>
      <c r="BUA100" s="769"/>
      <c r="BUB100" s="769"/>
      <c r="BUC100" s="769"/>
      <c r="BUD100" s="769"/>
      <c r="BUE100" s="769"/>
      <c r="BUF100" s="769"/>
      <c r="BUG100" s="769"/>
      <c r="BUH100" s="769"/>
      <c r="BUI100" s="769"/>
      <c r="BUJ100" s="769"/>
      <c r="BUK100" s="769"/>
      <c r="BUL100" s="769"/>
      <c r="BUM100" s="769"/>
      <c r="BUN100" s="769"/>
      <c r="BUO100" s="769"/>
      <c r="BUP100" s="769"/>
      <c r="BUQ100" s="769"/>
      <c r="BUR100" s="769"/>
      <c r="BUS100" s="769"/>
      <c r="BUT100" s="769"/>
      <c r="BUU100" s="769"/>
      <c r="BUV100" s="769"/>
      <c r="BUW100" s="769"/>
      <c r="BUX100" s="769"/>
      <c r="BUY100" s="769"/>
      <c r="BUZ100" s="769"/>
      <c r="BVA100" s="769"/>
      <c r="BVB100" s="769"/>
      <c r="BVC100" s="769"/>
      <c r="BVD100" s="769"/>
      <c r="BVE100" s="769"/>
      <c r="BVF100" s="769"/>
      <c r="BVG100" s="769"/>
      <c r="BVH100" s="769"/>
      <c r="BVI100" s="769"/>
      <c r="BVJ100" s="769"/>
      <c r="BVK100" s="769"/>
      <c r="BVL100" s="769"/>
      <c r="BVM100" s="769"/>
      <c r="BVN100" s="769"/>
      <c r="BVO100" s="769"/>
      <c r="BVP100" s="769"/>
      <c r="BVQ100" s="769"/>
      <c r="BVR100" s="769"/>
      <c r="BVS100" s="769"/>
      <c r="BVT100" s="769"/>
      <c r="BVU100" s="769"/>
      <c r="BVV100" s="769"/>
      <c r="BVW100" s="769"/>
      <c r="BVX100" s="769"/>
      <c r="BVY100" s="769"/>
      <c r="BVZ100" s="769"/>
      <c r="BWA100" s="769"/>
      <c r="BWB100" s="769"/>
      <c r="BWC100" s="769"/>
      <c r="BWD100" s="769"/>
      <c r="BWE100" s="769"/>
      <c r="BWF100" s="769"/>
      <c r="BWG100" s="769"/>
      <c r="BWH100" s="769"/>
      <c r="BWI100" s="769"/>
      <c r="BWJ100" s="769"/>
      <c r="BWK100" s="769"/>
      <c r="BWL100" s="769"/>
      <c r="BWM100" s="769"/>
      <c r="BWN100" s="769"/>
      <c r="BWO100" s="769"/>
      <c r="BWP100" s="769"/>
      <c r="BWQ100" s="769"/>
      <c r="BWR100" s="769"/>
      <c r="BWS100" s="769"/>
      <c r="BWT100" s="769"/>
      <c r="BWU100" s="769"/>
      <c r="BWV100" s="769"/>
      <c r="BWW100" s="769"/>
      <c r="BWX100" s="769"/>
      <c r="BWY100" s="769"/>
      <c r="BWZ100" s="769"/>
      <c r="BXA100" s="769"/>
      <c r="BXB100" s="769"/>
      <c r="BXC100" s="769"/>
      <c r="BXD100" s="769"/>
      <c r="BXE100" s="769"/>
      <c r="BXF100" s="769"/>
      <c r="BXG100" s="769"/>
      <c r="BXH100" s="769"/>
      <c r="BXI100" s="769"/>
      <c r="BXJ100" s="769"/>
      <c r="BXK100" s="769"/>
      <c r="BXL100" s="769"/>
      <c r="BXM100" s="769"/>
      <c r="BXN100" s="769"/>
      <c r="BXO100" s="769"/>
      <c r="BXP100" s="769"/>
      <c r="BXQ100" s="769"/>
      <c r="BXR100" s="769"/>
      <c r="BXS100" s="769"/>
      <c r="BXT100" s="769"/>
      <c r="BXU100" s="769"/>
      <c r="BXV100" s="769"/>
      <c r="BXW100" s="769"/>
      <c r="BXX100" s="769"/>
      <c r="BXY100" s="769"/>
      <c r="BXZ100" s="769"/>
      <c r="BYA100" s="769"/>
      <c r="BYB100" s="769"/>
      <c r="BYC100" s="769"/>
      <c r="BYD100" s="769"/>
      <c r="BYE100" s="769"/>
      <c r="BYF100" s="769"/>
      <c r="BYG100" s="769"/>
      <c r="BYH100" s="769"/>
      <c r="BYI100" s="769"/>
      <c r="BYJ100" s="769"/>
      <c r="BYK100" s="769"/>
      <c r="BYL100" s="769"/>
      <c r="BYM100" s="769"/>
      <c r="BYN100" s="769"/>
      <c r="BYO100" s="769"/>
      <c r="BYP100" s="769"/>
      <c r="BYQ100" s="769"/>
      <c r="BYR100" s="769"/>
      <c r="BYS100" s="769"/>
      <c r="BYT100" s="769"/>
      <c r="BYU100" s="769"/>
      <c r="BYV100" s="769"/>
      <c r="BYW100" s="769"/>
      <c r="BYX100" s="769"/>
      <c r="BYY100" s="769"/>
      <c r="BYZ100" s="769"/>
      <c r="BZA100" s="769"/>
      <c r="BZB100" s="769"/>
      <c r="BZC100" s="769"/>
      <c r="BZD100" s="769"/>
      <c r="BZE100" s="769"/>
      <c r="BZF100" s="769"/>
      <c r="BZG100" s="769"/>
      <c r="BZH100" s="769"/>
      <c r="BZI100" s="769"/>
      <c r="BZJ100" s="769"/>
      <c r="BZK100" s="769"/>
      <c r="BZL100" s="769"/>
      <c r="BZM100" s="769"/>
      <c r="BZN100" s="769"/>
      <c r="BZO100" s="769"/>
      <c r="BZP100" s="769"/>
      <c r="BZQ100" s="769"/>
      <c r="BZR100" s="769"/>
      <c r="BZS100" s="769"/>
      <c r="BZT100" s="769"/>
      <c r="BZU100" s="769"/>
      <c r="BZV100" s="769"/>
      <c r="BZW100" s="769"/>
      <c r="BZX100" s="769"/>
      <c r="BZY100" s="769"/>
      <c r="BZZ100" s="769"/>
      <c r="CAA100" s="769"/>
      <c r="CAB100" s="769"/>
      <c r="CAC100" s="769"/>
      <c r="CAD100" s="769"/>
      <c r="CAE100" s="769"/>
      <c r="CAF100" s="769"/>
      <c r="CAG100" s="769"/>
      <c r="CAH100" s="769"/>
      <c r="CAI100" s="769"/>
      <c r="CAJ100" s="769"/>
      <c r="CAK100" s="769"/>
      <c r="CAL100" s="769"/>
      <c r="CAM100" s="769"/>
      <c r="CAN100" s="769"/>
      <c r="CAO100" s="769"/>
      <c r="CAP100" s="769"/>
      <c r="CAQ100" s="769"/>
      <c r="CAR100" s="769"/>
      <c r="CAS100" s="769"/>
      <c r="CAT100" s="769"/>
      <c r="CAU100" s="769"/>
      <c r="CAV100" s="769"/>
      <c r="CAW100" s="769"/>
      <c r="CAX100" s="769"/>
      <c r="CAY100" s="769"/>
      <c r="CAZ100" s="769"/>
      <c r="CBA100" s="769"/>
      <c r="CBB100" s="769"/>
      <c r="CBC100" s="769"/>
      <c r="CBD100" s="769"/>
      <c r="CBE100" s="769"/>
      <c r="CBF100" s="769"/>
      <c r="CBG100" s="769"/>
      <c r="CBH100" s="769"/>
      <c r="CBI100" s="769"/>
      <c r="CBJ100" s="769"/>
      <c r="CBK100" s="769"/>
      <c r="CBL100" s="769"/>
      <c r="CBM100" s="769"/>
      <c r="CBN100" s="769"/>
      <c r="CBO100" s="769"/>
      <c r="CBP100" s="769"/>
      <c r="CBQ100" s="769"/>
      <c r="CBR100" s="769"/>
      <c r="CBS100" s="769"/>
      <c r="CBT100" s="769"/>
      <c r="CBU100" s="769"/>
      <c r="CBV100" s="769"/>
      <c r="CBW100" s="769"/>
      <c r="CBX100" s="769"/>
      <c r="CBY100" s="769"/>
      <c r="CBZ100" s="769"/>
      <c r="CCA100" s="769"/>
      <c r="CCB100" s="769"/>
      <c r="CCC100" s="769"/>
      <c r="CCD100" s="769"/>
      <c r="CCE100" s="769"/>
      <c r="CCF100" s="769"/>
      <c r="CCG100" s="769"/>
      <c r="CCH100" s="769"/>
      <c r="CCI100" s="769"/>
      <c r="CCJ100" s="769"/>
      <c r="CCK100" s="769"/>
      <c r="CCL100" s="769"/>
      <c r="CCM100" s="769"/>
      <c r="CCN100" s="769"/>
      <c r="CCO100" s="769"/>
      <c r="CCP100" s="769"/>
      <c r="CCQ100" s="769"/>
      <c r="CCR100" s="769"/>
      <c r="CCS100" s="769"/>
      <c r="CCT100" s="769"/>
      <c r="CCU100" s="769"/>
      <c r="CCV100" s="769"/>
      <c r="CCW100" s="769"/>
      <c r="CCX100" s="769"/>
      <c r="CCY100" s="769"/>
      <c r="CCZ100" s="769"/>
      <c r="CDA100" s="769"/>
      <c r="CDB100" s="769"/>
      <c r="CDC100" s="769"/>
      <c r="CDD100" s="769"/>
      <c r="CDE100" s="769"/>
      <c r="CDF100" s="769"/>
      <c r="CDG100" s="769"/>
      <c r="CDH100" s="769"/>
      <c r="CDI100" s="769"/>
      <c r="CDJ100" s="769"/>
      <c r="CDK100" s="769"/>
      <c r="CDL100" s="769"/>
      <c r="CDM100" s="769"/>
      <c r="CDN100" s="769"/>
      <c r="CDO100" s="769"/>
      <c r="CDP100" s="769"/>
      <c r="CDQ100" s="769"/>
      <c r="CDR100" s="769"/>
      <c r="CDS100" s="769"/>
      <c r="CDT100" s="769"/>
      <c r="CDU100" s="769"/>
      <c r="CDV100" s="769"/>
      <c r="CDW100" s="769"/>
      <c r="CDX100" s="769"/>
      <c r="CDY100" s="769"/>
      <c r="CDZ100" s="769"/>
      <c r="CEA100" s="769"/>
      <c r="CEB100" s="769"/>
      <c r="CEC100" s="769"/>
      <c r="CED100" s="769"/>
      <c r="CEE100" s="769"/>
      <c r="CEF100" s="769"/>
      <c r="CEG100" s="769"/>
      <c r="CEH100" s="769"/>
      <c r="CEI100" s="769"/>
      <c r="CEJ100" s="769"/>
      <c r="CEK100" s="769"/>
      <c r="CEL100" s="769"/>
      <c r="CEM100" s="769"/>
      <c r="CEN100" s="769"/>
      <c r="CEO100" s="769"/>
      <c r="CEP100" s="769"/>
      <c r="CEQ100" s="769"/>
      <c r="CER100" s="769"/>
      <c r="CES100" s="769"/>
      <c r="CET100" s="769"/>
      <c r="CEU100" s="769"/>
      <c r="CEV100" s="769"/>
      <c r="CEW100" s="769"/>
      <c r="CEX100" s="769"/>
      <c r="CEY100" s="769"/>
      <c r="CEZ100" s="769"/>
      <c r="CFA100" s="769"/>
      <c r="CFB100" s="769"/>
      <c r="CFC100" s="769"/>
      <c r="CFD100" s="769"/>
      <c r="CFE100" s="769"/>
      <c r="CFF100" s="769"/>
      <c r="CFG100" s="769"/>
      <c r="CFH100" s="769"/>
      <c r="CFI100" s="769"/>
      <c r="CFJ100" s="769"/>
      <c r="CFK100" s="769"/>
      <c r="CFL100" s="769"/>
      <c r="CFM100" s="769"/>
      <c r="CFN100" s="769"/>
      <c r="CFO100" s="769"/>
      <c r="CFP100" s="769"/>
      <c r="CFQ100" s="769"/>
      <c r="CFR100" s="769"/>
      <c r="CFS100" s="769"/>
      <c r="CFT100" s="769"/>
      <c r="CFU100" s="769"/>
      <c r="CFV100" s="769"/>
      <c r="CFW100" s="769"/>
      <c r="CFX100" s="769"/>
      <c r="CFY100" s="769"/>
      <c r="CFZ100" s="769"/>
      <c r="CGA100" s="769"/>
      <c r="CGB100" s="769"/>
      <c r="CGC100" s="769"/>
      <c r="CGD100" s="769"/>
      <c r="CGE100" s="769"/>
      <c r="CGF100" s="769"/>
      <c r="CGG100" s="769"/>
      <c r="CGH100" s="769"/>
      <c r="CGI100" s="769"/>
      <c r="CGJ100" s="769"/>
      <c r="CGK100" s="769"/>
      <c r="CGL100" s="769"/>
      <c r="CGM100" s="769"/>
      <c r="CGN100" s="769"/>
      <c r="CGO100" s="769"/>
      <c r="CGP100" s="769"/>
      <c r="CGQ100" s="769"/>
      <c r="CGR100" s="769"/>
      <c r="CGS100" s="769"/>
      <c r="CGT100" s="769"/>
      <c r="CGU100" s="769"/>
      <c r="CGV100" s="769"/>
      <c r="CGW100" s="769"/>
      <c r="CGX100" s="769"/>
      <c r="CGY100" s="769"/>
      <c r="CGZ100" s="769"/>
      <c r="CHA100" s="769"/>
      <c r="CHB100" s="769"/>
      <c r="CHC100" s="769"/>
      <c r="CHD100" s="769"/>
      <c r="CHE100" s="769"/>
      <c r="CHF100" s="769"/>
      <c r="CHG100" s="769"/>
      <c r="CHH100" s="769"/>
      <c r="CHI100" s="769"/>
      <c r="CHJ100" s="769"/>
      <c r="CHK100" s="769"/>
      <c r="CHL100" s="769"/>
      <c r="CHM100" s="769"/>
      <c r="CHN100" s="769"/>
      <c r="CHO100" s="769"/>
      <c r="CHP100" s="769"/>
      <c r="CHQ100" s="769"/>
      <c r="CHR100" s="769"/>
      <c r="CHS100" s="769"/>
      <c r="CHT100" s="769"/>
      <c r="CHU100" s="769"/>
      <c r="CHV100" s="769"/>
      <c r="CHW100" s="769"/>
      <c r="CHX100" s="769"/>
      <c r="CHY100" s="769"/>
      <c r="CHZ100" s="769"/>
      <c r="CIA100" s="769"/>
      <c r="CIB100" s="769"/>
      <c r="CIC100" s="769"/>
      <c r="CID100" s="769"/>
      <c r="CIE100" s="769"/>
      <c r="CIF100" s="769"/>
      <c r="CIG100" s="769"/>
      <c r="CIH100" s="769"/>
      <c r="CII100" s="769"/>
      <c r="CIJ100" s="769"/>
      <c r="CIK100" s="769"/>
      <c r="CIL100" s="769"/>
      <c r="CIM100" s="769"/>
      <c r="CIN100" s="769"/>
      <c r="CIO100" s="769"/>
      <c r="CIP100" s="769"/>
      <c r="CIQ100" s="769"/>
      <c r="CIR100" s="769"/>
      <c r="CIS100" s="769"/>
      <c r="CIT100" s="769"/>
      <c r="CIU100" s="769"/>
      <c r="CIV100" s="769"/>
      <c r="CIW100" s="769"/>
      <c r="CIX100" s="769"/>
      <c r="CIY100" s="769"/>
      <c r="CIZ100" s="769"/>
      <c r="CJA100" s="769"/>
      <c r="CJB100" s="769"/>
      <c r="CJC100" s="769"/>
      <c r="CJD100" s="769"/>
      <c r="CJE100" s="769"/>
      <c r="CJF100" s="769"/>
      <c r="CJG100" s="769"/>
      <c r="CJH100" s="769"/>
      <c r="CJI100" s="769"/>
      <c r="CJJ100" s="769"/>
      <c r="CJK100" s="769"/>
      <c r="CJL100" s="769"/>
      <c r="CJM100" s="769"/>
      <c r="CJN100" s="769"/>
      <c r="CJO100" s="769"/>
      <c r="CJP100" s="769"/>
      <c r="CJQ100" s="769"/>
      <c r="CJR100" s="769"/>
      <c r="CJS100" s="769"/>
      <c r="CJT100" s="769"/>
      <c r="CJU100" s="769"/>
      <c r="CJV100" s="769"/>
      <c r="CJW100" s="769"/>
      <c r="CJX100" s="769"/>
      <c r="CJY100" s="769"/>
      <c r="CJZ100" s="769"/>
      <c r="CKA100" s="769"/>
      <c r="CKB100" s="769"/>
      <c r="CKC100" s="769"/>
      <c r="CKD100" s="769"/>
      <c r="CKE100" s="769"/>
      <c r="CKF100" s="769"/>
      <c r="CKG100" s="769"/>
      <c r="CKH100" s="769"/>
      <c r="CKI100" s="769"/>
      <c r="CKJ100" s="769"/>
      <c r="CKK100" s="769"/>
      <c r="CKL100" s="769"/>
      <c r="CKM100" s="769"/>
      <c r="CKN100" s="769"/>
      <c r="CKO100" s="769"/>
      <c r="CKP100" s="769"/>
      <c r="CKQ100" s="769"/>
      <c r="CKR100" s="769"/>
      <c r="CKS100" s="769"/>
      <c r="CKT100" s="769"/>
      <c r="CKU100" s="769"/>
      <c r="CKV100" s="769"/>
      <c r="CKW100" s="769"/>
      <c r="CKX100" s="769"/>
      <c r="CKY100" s="769"/>
      <c r="CKZ100" s="769"/>
      <c r="CLA100" s="769"/>
      <c r="CLB100" s="769"/>
      <c r="CLC100" s="769"/>
      <c r="CLD100" s="769"/>
      <c r="CLE100" s="769"/>
      <c r="CLF100" s="769"/>
      <c r="CLG100" s="769"/>
      <c r="CLH100" s="769"/>
      <c r="CLI100" s="769"/>
      <c r="CLJ100" s="769"/>
      <c r="CLK100" s="769"/>
      <c r="CLL100" s="769"/>
      <c r="CLM100" s="769"/>
      <c r="CLN100" s="769"/>
      <c r="CLO100" s="769"/>
      <c r="CLP100" s="769"/>
      <c r="CLQ100" s="769"/>
      <c r="CLR100" s="769"/>
      <c r="CLS100" s="769"/>
      <c r="CLT100" s="769"/>
      <c r="CLU100" s="769"/>
      <c r="CLV100" s="769"/>
      <c r="CLW100" s="769"/>
      <c r="CLX100" s="769"/>
      <c r="CLY100" s="769"/>
      <c r="CLZ100" s="769"/>
      <c r="CMA100" s="769"/>
      <c r="CMB100" s="769"/>
      <c r="CMC100" s="769"/>
      <c r="CMD100" s="769"/>
      <c r="CME100" s="769"/>
      <c r="CMF100" s="769"/>
      <c r="CMG100" s="769"/>
      <c r="CMH100" s="769"/>
      <c r="CMI100" s="769"/>
      <c r="CMJ100" s="769"/>
      <c r="CMK100" s="769"/>
      <c r="CML100" s="769"/>
      <c r="CMM100" s="769"/>
      <c r="CMN100" s="769"/>
      <c r="CMO100" s="769"/>
      <c r="CMP100" s="769"/>
      <c r="CMQ100" s="769"/>
      <c r="CMR100" s="769"/>
      <c r="CMS100" s="769"/>
      <c r="CMT100" s="769"/>
      <c r="CMU100" s="769"/>
      <c r="CMV100" s="769"/>
      <c r="CMW100" s="769"/>
      <c r="CMX100" s="769"/>
      <c r="CMY100" s="769"/>
      <c r="CMZ100" s="769"/>
      <c r="CNA100" s="769"/>
      <c r="CNB100" s="769"/>
      <c r="CNC100" s="769"/>
      <c r="CND100" s="769"/>
      <c r="CNE100" s="769"/>
      <c r="CNF100" s="769"/>
      <c r="CNG100" s="769"/>
      <c r="CNH100" s="769"/>
      <c r="CNI100" s="769"/>
      <c r="CNJ100" s="769"/>
      <c r="CNK100" s="769"/>
      <c r="CNL100" s="769"/>
      <c r="CNM100" s="769"/>
      <c r="CNN100" s="769"/>
      <c r="CNO100" s="769"/>
      <c r="CNP100" s="769"/>
      <c r="CNQ100" s="769"/>
      <c r="CNR100" s="769"/>
      <c r="CNS100" s="769"/>
      <c r="CNT100" s="769"/>
      <c r="CNU100" s="769"/>
      <c r="CNV100" s="769"/>
      <c r="CNW100" s="769"/>
      <c r="CNX100" s="769"/>
      <c r="CNY100" s="769"/>
      <c r="CNZ100" s="769"/>
      <c r="COA100" s="769"/>
      <c r="COB100" s="769"/>
      <c r="COC100" s="769"/>
      <c r="COD100" s="769"/>
      <c r="COE100" s="769"/>
      <c r="COF100" s="769"/>
      <c r="COG100" s="769"/>
      <c r="COH100" s="769"/>
      <c r="COI100" s="769"/>
      <c r="COJ100" s="769"/>
      <c r="COK100" s="769"/>
      <c r="COL100" s="769"/>
      <c r="COM100" s="769"/>
      <c r="CON100" s="769"/>
      <c r="COO100" s="769"/>
      <c r="COP100" s="769"/>
      <c r="COQ100" s="769"/>
      <c r="COR100" s="769"/>
      <c r="COS100" s="769"/>
      <c r="COT100" s="769"/>
      <c r="COU100" s="769"/>
      <c r="COV100" s="769"/>
      <c r="COW100" s="769"/>
      <c r="COX100" s="769"/>
      <c r="COY100" s="769"/>
      <c r="COZ100" s="769"/>
      <c r="CPA100" s="769"/>
      <c r="CPB100" s="769"/>
      <c r="CPC100" s="769"/>
      <c r="CPD100" s="769"/>
      <c r="CPE100" s="769"/>
      <c r="CPF100" s="769"/>
      <c r="CPG100" s="769"/>
      <c r="CPH100" s="769"/>
      <c r="CPI100" s="769"/>
      <c r="CPJ100" s="769"/>
      <c r="CPK100" s="769"/>
      <c r="CPL100" s="769"/>
      <c r="CPM100" s="769"/>
      <c r="CPN100" s="769"/>
      <c r="CPO100" s="769"/>
      <c r="CPP100" s="769"/>
      <c r="CPQ100" s="769"/>
      <c r="CPR100" s="769"/>
      <c r="CPS100" s="769"/>
      <c r="CPT100" s="769"/>
      <c r="CPU100" s="769"/>
      <c r="CPV100" s="769"/>
      <c r="CPW100" s="769"/>
      <c r="CPX100" s="769"/>
      <c r="CPY100" s="769"/>
      <c r="CPZ100" s="769"/>
      <c r="CQA100" s="769"/>
      <c r="CQB100" s="769"/>
      <c r="CQC100" s="769"/>
      <c r="CQD100" s="769"/>
      <c r="CQE100" s="769"/>
      <c r="CQF100" s="769"/>
      <c r="CQG100" s="769"/>
      <c r="CQH100" s="769"/>
      <c r="CQI100" s="769"/>
      <c r="CQJ100" s="769"/>
      <c r="CQK100" s="769"/>
      <c r="CQL100" s="769"/>
      <c r="CQM100" s="769"/>
      <c r="CQN100" s="769"/>
      <c r="CQO100" s="769"/>
      <c r="CQP100" s="769"/>
      <c r="CQQ100" s="769"/>
      <c r="CQR100" s="769"/>
      <c r="CQS100" s="769"/>
      <c r="CQT100" s="769"/>
      <c r="CQU100" s="769"/>
      <c r="CQV100" s="769"/>
      <c r="CQW100" s="769"/>
      <c r="CQX100" s="769"/>
      <c r="CQY100" s="769"/>
      <c r="CQZ100" s="769"/>
      <c r="CRA100" s="769"/>
      <c r="CRB100" s="769"/>
      <c r="CRC100" s="769"/>
      <c r="CRD100" s="769"/>
      <c r="CRE100" s="769"/>
      <c r="CRF100" s="769"/>
      <c r="CRG100" s="769"/>
      <c r="CRH100" s="769"/>
      <c r="CRI100" s="769"/>
      <c r="CRJ100" s="769"/>
      <c r="CRK100" s="769"/>
      <c r="CRL100" s="769"/>
      <c r="CRM100" s="769"/>
      <c r="CRN100" s="769"/>
      <c r="CRO100" s="769"/>
      <c r="CRP100" s="769"/>
      <c r="CRQ100" s="769"/>
      <c r="CRR100" s="769"/>
      <c r="CRS100" s="769"/>
      <c r="CRT100" s="769"/>
      <c r="CRU100" s="769"/>
      <c r="CRV100" s="769"/>
      <c r="CRW100" s="769"/>
      <c r="CRX100" s="769"/>
      <c r="CRY100" s="769"/>
      <c r="CRZ100" s="769"/>
      <c r="CSA100" s="769"/>
      <c r="CSB100" s="769"/>
      <c r="CSC100" s="769"/>
      <c r="CSD100" s="769"/>
      <c r="CSE100" s="769"/>
      <c r="CSF100" s="769"/>
      <c r="CSG100" s="769"/>
      <c r="CSH100" s="769"/>
      <c r="CSI100" s="769"/>
      <c r="CSJ100" s="769"/>
      <c r="CSK100" s="769"/>
      <c r="CSL100" s="769"/>
      <c r="CSM100" s="769"/>
      <c r="CSN100" s="769"/>
      <c r="CSO100" s="769"/>
      <c r="CSP100" s="769"/>
      <c r="CSQ100" s="769"/>
      <c r="CSR100" s="769"/>
      <c r="CSS100" s="769"/>
      <c r="CST100" s="769"/>
      <c r="CSU100" s="769"/>
      <c r="CSV100" s="769"/>
      <c r="CSW100" s="769"/>
      <c r="CSX100" s="769"/>
      <c r="CSY100" s="769"/>
      <c r="CSZ100" s="769"/>
      <c r="CTA100" s="769"/>
      <c r="CTB100" s="769"/>
      <c r="CTC100" s="769"/>
      <c r="CTD100" s="769"/>
      <c r="CTE100" s="769"/>
      <c r="CTF100" s="769"/>
      <c r="CTG100" s="769"/>
      <c r="CTH100" s="769"/>
      <c r="CTI100" s="769"/>
      <c r="CTJ100" s="769"/>
      <c r="CTK100" s="769"/>
      <c r="CTL100" s="769"/>
      <c r="CTM100" s="769"/>
      <c r="CTN100" s="769"/>
      <c r="CTO100" s="769"/>
      <c r="CTP100" s="769"/>
      <c r="CTQ100" s="769"/>
      <c r="CTR100" s="769"/>
      <c r="CTS100" s="769"/>
      <c r="CTT100" s="769"/>
      <c r="CTU100" s="769"/>
      <c r="CTV100" s="769"/>
      <c r="CTW100" s="769"/>
      <c r="CTX100" s="769"/>
      <c r="CTY100" s="769"/>
      <c r="CTZ100" s="769"/>
      <c r="CUA100" s="769"/>
      <c r="CUB100" s="769"/>
      <c r="CUC100" s="769"/>
      <c r="CUD100" s="769"/>
      <c r="CUE100" s="769"/>
      <c r="CUF100" s="769"/>
      <c r="CUG100" s="769"/>
      <c r="CUH100" s="769"/>
      <c r="CUI100" s="769"/>
      <c r="CUJ100" s="769"/>
      <c r="CUK100" s="769"/>
      <c r="CUL100" s="769"/>
      <c r="CUM100" s="769"/>
      <c r="CUN100" s="769"/>
      <c r="CUO100" s="769"/>
      <c r="CUP100" s="769"/>
      <c r="CUQ100" s="769"/>
      <c r="CUR100" s="769"/>
      <c r="CUS100" s="769"/>
      <c r="CUT100" s="769"/>
      <c r="CUU100" s="769"/>
      <c r="CUV100" s="769"/>
      <c r="CUW100" s="769"/>
      <c r="CUX100" s="769"/>
      <c r="CUY100" s="769"/>
      <c r="CUZ100" s="769"/>
      <c r="CVA100" s="769"/>
      <c r="CVB100" s="769"/>
      <c r="CVC100" s="769"/>
      <c r="CVD100" s="769"/>
      <c r="CVE100" s="769"/>
      <c r="CVF100" s="769"/>
      <c r="CVG100" s="769"/>
      <c r="CVH100" s="769"/>
      <c r="CVI100" s="769"/>
      <c r="CVJ100" s="769"/>
      <c r="CVK100" s="769"/>
      <c r="CVL100" s="769"/>
      <c r="CVM100" s="769"/>
      <c r="CVN100" s="769"/>
      <c r="CVO100" s="769"/>
      <c r="CVP100" s="769"/>
      <c r="CVQ100" s="769"/>
      <c r="CVR100" s="769"/>
      <c r="CVS100" s="769"/>
      <c r="CVT100" s="769"/>
      <c r="CVU100" s="769"/>
      <c r="CVV100" s="769"/>
      <c r="CVW100" s="769"/>
      <c r="CVX100" s="769"/>
      <c r="CVY100" s="769"/>
      <c r="CVZ100" s="769"/>
      <c r="CWA100" s="769"/>
      <c r="CWB100" s="769"/>
      <c r="CWC100" s="769"/>
      <c r="CWD100" s="769"/>
      <c r="CWE100" s="769"/>
      <c r="CWF100" s="769"/>
      <c r="CWG100" s="769"/>
      <c r="CWH100" s="769"/>
      <c r="CWI100" s="769"/>
      <c r="CWJ100" s="769"/>
      <c r="CWK100" s="769"/>
      <c r="CWL100" s="769"/>
      <c r="CWM100" s="769"/>
      <c r="CWN100" s="769"/>
      <c r="CWO100" s="769"/>
      <c r="CWP100" s="769"/>
      <c r="CWQ100" s="769"/>
      <c r="CWR100" s="769"/>
      <c r="CWS100" s="769"/>
      <c r="CWT100" s="769"/>
      <c r="CWU100" s="769"/>
      <c r="CWV100" s="769"/>
      <c r="CWW100" s="769"/>
      <c r="CWX100" s="769"/>
      <c r="CWY100" s="769"/>
      <c r="CWZ100" s="769"/>
      <c r="CXA100" s="769"/>
      <c r="CXB100" s="769"/>
      <c r="CXC100" s="769"/>
      <c r="CXD100" s="769"/>
      <c r="CXE100" s="769"/>
      <c r="CXF100" s="769"/>
      <c r="CXG100" s="769"/>
      <c r="CXH100" s="769"/>
      <c r="CXI100" s="769"/>
      <c r="CXJ100" s="769"/>
      <c r="CXK100" s="769"/>
      <c r="CXL100" s="769"/>
      <c r="CXM100" s="769"/>
      <c r="CXN100" s="769"/>
      <c r="CXO100" s="769"/>
      <c r="CXP100" s="769"/>
      <c r="CXQ100" s="769"/>
      <c r="CXR100" s="769"/>
      <c r="CXS100" s="769"/>
      <c r="CXT100" s="769"/>
      <c r="CXU100" s="769"/>
      <c r="CXV100" s="769"/>
      <c r="CXW100" s="769"/>
      <c r="CXX100" s="769"/>
      <c r="CXY100" s="769"/>
      <c r="CXZ100" s="769"/>
      <c r="CYA100" s="769"/>
      <c r="CYB100" s="769"/>
      <c r="CYC100" s="769"/>
      <c r="CYD100" s="769"/>
      <c r="CYE100" s="769"/>
      <c r="CYF100" s="769"/>
      <c r="CYG100" s="769"/>
      <c r="CYH100" s="769"/>
      <c r="CYI100" s="769"/>
      <c r="CYJ100" s="769"/>
      <c r="CYK100" s="769"/>
      <c r="CYL100" s="769"/>
      <c r="CYM100" s="769"/>
      <c r="CYN100" s="769"/>
      <c r="CYO100" s="769"/>
      <c r="CYP100" s="769"/>
      <c r="CYQ100" s="769"/>
      <c r="CYR100" s="769"/>
      <c r="CYS100" s="769"/>
      <c r="CYT100" s="769"/>
      <c r="CYU100" s="769"/>
      <c r="CYV100" s="769"/>
      <c r="CYW100" s="769"/>
      <c r="CYX100" s="769"/>
      <c r="CYY100" s="769"/>
      <c r="CYZ100" s="769"/>
      <c r="CZA100" s="769"/>
      <c r="CZB100" s="769"/>
      <c r="CZC100" s="769"/>
      <c r="CZD100" s="769"/>
      <c r="CZE100" s="769"/>
      <c r="CZF100" s="769"/>
      <c r="CZG100" s="769"/>
      <c r="CZH100" s="769"/>
      <c r="CZI100" s="769"/>
      <c r="CZJ100" s="769"/>
      <c r="CZK100" s="769"/>
      <c r="CZL100" s="769"/>
      <c r="CZM100" s="769"/>
      <c r="CZN100" s="769"/>
      <c r="CZO100" s="769"/>
      <c r="CZP100" s="769"/>
      <c r="CZQ100" s="769"/>
      <c r="CZR100" s="769"/>
      <c r="CZS100" s="769"/>
      <c r="CZT100" s="769"/>
      <c r="CZU100" s="769"/>
      <c r="CZV100" s="769"/>
      <c r="CZW100" s="769"/>
      <c r="CZX100" s="769"/>
      <c r="CZY100" s="769"/>
      <c r="CZZ100" s="769"/>
      <c r="DAA100" s="769"/>
      <c r="DAB100" s="769"/>
      <c r="DAC100" s="769"/>
      <c r="DAD100" s="769"/>
      <c r="DAE100" s="769"/>
      <c r="DAF100" s="769"/>
      <c r="DAG100" s="769"/>
      <c r="DAH100" s="769"/>
      <c r="DAI100" s="769"/>
      <c r="DAJ100" s="769"/>
      <c r="DAK100" s="769"/>
      <c r="DAL100" s="769"/>
      <c r="DAM100" s="769"/>
      <c r="DAN100" s="769"/>
      <c r="DAO100" s="769"/>
      <c r="DAP100" s="769"/>
      <c r="DAQ100" s="769"/>
      <c r="DAR100" s="769"/>
      <c r="DAS100" s="769"/>
      <c r="DAT100" s="769"/>
      <c r="DAU100" s="769"/>
      <c r="DAV100" s="769"/>
      <c r="DAW100" s="769"/>
      <c r="DAX100" s="769"/>
      <c r="DAY100" s="769"/>
      <c r="DAZ100" s="769"/>
      <c r="DBA100" s="769"/>
      <c r="DBB100" s="769"/>
      <c r="DBC100" s="769"/>
      <c r="DBD100" s="769"/>
      <c r="DBE100" s="769"/>
      <c r="DBF100" s="769"/>
      <c r="DBG100" s="769"/>
      <c r="DBH100" s="769"/>
      <c r="DBI100" s="769"/>
      <c r="DBJ100" s="769"/>
      <c r="DBK100" s="769"/>
      <c r="DBL100" s="769"/>
      <c r="DBM100" s="769"/>
      <c r="DBN100" s="769"/>
      <c r="DBO100" s="769"/>
      <c r="DBP100" s="769"/>
      <c r="DBQ100" s="769"/>
      <c r="DBR100" s="769"/>
      <c r="DBS100" s="769"/>
      <c r="DBT100" s="769"/>
      <c r="DBU100" s="769"/>
      <c r="DBV100" s="769"/>
      <c r="DBW100" s="769"/>
      <c r="DBX100" s="769"/>
      <c r="DBY100" s="769"/>
      <c r="DBZ100" s="769"/>
      <c r="DCA100" s="769"/>
      <c r="DCB100" s="769"/>
      <c r="DCC100" s="769"/>
      <c r="DCD100" s="769"/>
      <c r="DCE100" s="769"/>
      <c r="DCF100" s="769"/>
      <c r="DCG100" s="769"/>
      <c r="DCH100" s="769"/>
      <c r="DCI100" s="769"/>
      <c r="DCJ100" s="769"/>
      <c r="DCK100" s="769"/>
      <c r="DCL100" s="769"/>
      <c r="DCM100" s="769"/>
      <c r="DCN100" s="769"/>
      <c r="DCO100" s="769"/>
      <c r="DCP100" s="769"/>
      <c r="DCQ100" s="769"/>
      <c r="DCR100" s="769"/>
      <c r="DCS100" s="769"/>
      <c r="DCT100" s="769"/>
      <c r="DCU100" s="769"/>
      <c r="DCV100" s="769"/>
      <c r="DCW100" s="769"/>
      <c r="DCX100" s="769"/>
      <c r="DCY100" s="769"/>
      <c r="DCZ100" s="769"/>
      <c r="DDA100" s="769"/>
      <c r="DDB100" s="769"/>
      <c r="DDC100" s="769"/>
      <c r="DDD100" s="769"/>
      <c r="DDE100" s="769"/>
      <c r="DDF100" s="769"/>
      <c r="DDG100" s="769"/>
      <c r="DDH100" s="769"/>
      <c r="DDI100" s="769"/>
      <c r="DDJ100" s="769"/>
      <c r="DDK100" s="769"/>
      <c r="DDL100" s="769"/>
      <c r="DDM100" s="769"/>
      <c r="DDN100" s="769"/>
      <c r="DDO100" s="769"/>
      <c r="DDP100" s="769"/>
      <c r="DDQ100" s="769"/>
      <c r="DDR100" s="769"/>
      <c r="DDS100" s="769"/>
      <c r="DDT100" s="769"/>
      <c r="DDU100" s="769"/>
      <c r="DDV100" s="769"/>
      <c r="DDW100" s="769"/>
      <c r="DDX100" s="769"/>
      <c r="DDY100" s="769"/>
      <c r="DDZ100" s="769"/>
      <c r="DEA100" s="769"/>
      <c r="DEB100" s="769"/>
      <c r="DEC100" s="769"/>
      <c r="DED100" s="769"/>
      <c r="DEE100" s="769"/>
      <c r="DEF100" s="769"/>
      <c r="DEG100" s="769"/>
      <c r="DEH100" s="769"/>
      <c r="DEI100" s="769"/>
      <c r="DEJ100" s="769"/>
      <c r="DEK100" s="769"/>
      <c r="DEL100" s="769"/>
      <c r="DEM100" s="769"/>
      <c r="DEN100" s="769"/>
      <c r="DEO100" s="769"/>
      <c r="DEP100" s="769"/>
      <c r="DEQ100" s="769"/>
      <c r="DER100" s="769"/>
      <c r="DES100" s="769"/>
      <c r="DET100" s="769"/>
      <c r="DEU100" s="769"/>
      <c r="DEV100" s="769"/>
      <c r="DEW100" s="769"/>
      <c r="DEX100" s="769"/>
      <c r="DEY100" s="769"/>
      <c r="DEZ100" s="769"/>
      <c r="DFA100" s="769"/>
      <c r="DFB100" s="769"/>
      <c r="DFC100" s="769"/>
      <c r="DFD100" s="769"/>
      <c r="DFE100" s="769"/>
      <c r="DFF100" s="769"/>
      <c r="DFG100" s="769"/>
      <c r="DFH100" s="769"/>
      <c r="DFI100" s="769"/>
      <c r="DFJ100" s="769"/>
      <c r="DFK100" s="769"/>
      <c r="DFL100" s="769"/>
      <c r="DFM100" s="769"/>
      <c r="DFN100" s="769"/>
      <c r="DFO100" s="769"/>
      <c r="DFP100" s="769"/>
      <c r="DFQ100" s="769"/>
      <c r="DFR100" s="769"/>
      <c r="DFS100" s="769"/>
      <c r="DFT100" s="769"/>
      <c r="DFU100" s="769"/>
      <c r="DFV100" s="769"/>
      <c r="DFW100" s="769"/>
      <c r="DFX100" s="769"/>
      <c r="DFY100" s="769"/>
      <c r="DFZ100" s="769"/>
      <c r="DGA100" s="769"/>
      <c r="DGB100" s="769"/>
      <c r="DGC100" s="769"/>
      <c r="DGD100" s="769"/>
      <c r="DGE100" s="769"/>
      <c r="DGF100" s="769"/>
      <c r="DGG100" s="769"/>
      <c r="DGH100" s="769"/>
      <c r="DGI100" s="769"/>
      <c r="DGJ100" s="769"/>
      <c r="DGK100" s="769"/>
      <c r="DGL100" s="769"/>
      <c r="DGM100" s="769"/>
      <c r="DGN100" s="769"/>
      <c r="DGO100" s="769"/>
      <c r="DGP100" s="769"/>
      <c r="DGQ100" s="769"/>
      <c r="DGR100" s="769"/>
      <c r="DGS100" s="769"/>
      <c r="DGT100" s="769"/>
      <c r="DGU100" s="769"/>
      <c r="DGV100" s="769"/>
      <c r="DGW100" s="769"/>
      <c r="DGX100" s="769"/>
      <c r="DGY100" s="769"/>
      <c r="DGZ100" s="769"/>
      <c r="DHA100" s="769"/>
      <c r="DHB100" s="769"/>
      <c r="DHC100" s="769"/>
      <c r="DHD100" s="769"/>
      <c r="DHE100" s="769"/>
      <c r="DHF100" s="769"/>
      <c r="DHG100" s="769"/>
      <c r="DHH100" s="769"/>
      <c r="DHI100" s="769"/>
      <c r="DHJ100" s="769"/>
      <c r="DHK100" s="769"/>
      <c r="DHL100" s="769"/>
      <c r="DHM100" s="769"/>
      <c r="DHN100" s="769"/>
      <c r="DHO100" s="769"/>
      <c r="DHP100" s="769"/>
      <c r="DHQ100" s="769"/>
      <c r="DHR100" s="769"/>
      <c r="DHS100" s="769"/>
      <c r="DHT100" s="769"/>
      <c r="DHU100" s="769"/>
      <c r="DHV100" s="769"/>
      <c r="DHW100" s="769"/>
      <c r="DHX100" s="769"/>
      <c r="DHY100" s="769"/>
      <c r="DHZ100" s="769"/>
      <c r="DIA100" s="769"/>
      <c r="DIB100" s="769"/>
      <c r="DIC100" s="769"/>
      <c r="DID100" s="769"/>
      <c r="DIE100" s="769"/>
      <c r="DIF100" s="769"/>
      <c r="DIG100" s="769"/>
      <c r="DIH100" s="769"/>
      <c r="DII100" s="769"/>
      <c r="DIJ100" s="769"/>
      <c r="DIK100" s="769"/>
      <c r="DIL100" s="769"/>
      <c r="DIM100" s="769"/>
      <c r="DIN100" s="769"/>
      <c r="DIO100" s="769"/>
      <c r="DIP100" s="769"/>
      <c r="DIQ100" s="769"/>
      <c r="DIR100" s="769"/>
      <c r="DIS100" s="769"/>
      <c r="DIT100" s="769"/>
      <c r="DIU100" s="769"/>
      <c r="DIV100" s="769"/>
      <c r="DIW100" s="769"/>
      <c r="DIX100" s="769"/>
      <c r="DIY100" s="769"/>
      <c r="DIZ100" s="769"/>
      <c r="DJA100" s="769"/>
      <c r="DJB100" s="769"/>
      <c r="DJC100" s="769"/>
      <c r="DJD100" s="769"/>
      <c r="DJE100" s="769"/>
      <c r="DJF100" s="769"/>
      <c r="DJG100" s="769"/>
      <c r="DJH100" s="769"/>
      <c r="DJI100" s="769"/>
      <c r="DJJ100" s="769"/>
      <c r="DJK100" s="769"/>
      <c r="DJL100" s="769"/>
      <c r="DJM100" s="769"/>
      <c r="DJN100" s="769"/>
      <c r="DJO100" s="769"/>
      <c r="DJP100" s="769"/>
      <c r="DJQ100" s="769"/>
      <c r="DJR100" s="769"/>
      <c r="DJS100" s="769"/>
      <c r="DJT100" s="769"/>
      <c r="DJU100" s="769"/>
      <c r="DJV100" s="769"/>
      <c r="DJW100" s="769"/>
      <c r="DJX100" s="769"/>
      <c r="DJY100" s="769"/>
      <c r="DJZ100" s="769"/>
      <c r="DKA100" s="769"/>
      <c r="DKB100" s="769"/>
      <c r="DKC100" s="769"/>
      <c r="DKD100" s="769"/>
      <c r="DKE100" s="769"/>
      <c r="DKF100" s="769"/>
      <c r="DKG100" s="769"/>
      <c r="DKH100" s="769"/>
      <c r="DKI100" s="769"/>
      <c r="DKJ100" s="769"/>
      <c r="DKK100" s="769"/>
      <c r="DKL100" s="769"/>
      <c r="DKM100" s="769"/>
      <c r="DKN100" s="769"/>
      <c r="DKO100" s="769"/>
      <c r="DKP100" s="769"/>
      <c r="DKQ100" s="769"/>
      <c r="DKR100" s="769"/>
      <c r="DKS100" s="769"/>
      <c r="DKT100" s="769"/>
      <c r="DKU100" s="769"/>
      <c r="DKV100" s="769"/>
      <c r="DKW100" s="769"/>
      <c r="DKX100" s="769"/>
      <c r="DKY100" s="769"/>
      <c r="DKZ100" s="769"/>
      <c r="DLA100" s="769"/>
      <c r="DLB100" s="769"/>
      <c r="DLC100" s="769"/>
      <c r="DLD100" s="769"/>
      <c r="DLE100" s="769"/>
      <c r="DLF100" s="769"/>
      <c r="DLG100" s="769"/>
      <c r="DLH100" s="769"/>
      <c r="DLI100" s="769"/>
      <c r="DLJ100" s="769"/>
      <c r="DLK100" s="769"/>
      <c r="DLL100" s="769"/>
      <c r="DLM100" s="769"/>
      <c r="DLN100" s="769"/>
      <c r="DLO100" s="769"/>
      <c r="DLP100" s="769"/>
      <c r="DLQ100" s="769"/>
      <c r="DLR100" s="769"/>
      <c r="DLS100" s="769"/>
      <c r="DLT100" s="769"/>
      <c r="DLU100" s="769"/>
      <c r="DLV100" s="769"/>
      <c r="DLW100" s="769"/>
      <c r="DLX100" s="769"/>
      <c r="DLY100" s="769"/>
      <c r="DLZ100" s="769"/>
      <c r="DMA100" s="769"/>
      <c r="DMB100" s="769"/>
      <c r="DMC100" s="769"/>
      <c r="DMD100" s="769"/>
      <c r="DME100" s="769"/>
      <c r="DMF100" s="769"/>
      <c r="DMG100" s="769"/>
      <c r="DMH100" s="769"/>
      <c r="DMI100" s="769"/>
      <c r="DMJ100" s="769"/>
      <c r="DMK100" s="769"/>
      <c r="DML100" s="769"/>
      <c r="DMM100" s="769"/>
      <c r="DMN100" s="769"/>
      <c r="DMO100" s="769"/>
      <c r="DMP100" s="769"/>
      <c r="DMQ100" s="769"/>
      <c r="DMR100" s="769"/>
      <c r="DMS100" s="769"/>
      <c r="DMT100" s="769"/>
      <c r="DMU100" s="769"/>
      <c r="DMV100" s="769"/>
      <c r="DMW100" s="769"/>
      <c r="DMX100" s="769"/>
      <c r="DMY100" s="769"/>
      <c r="DMZ100" s="769"/>
      <c r="DNA100" s="769"/>
      <c r="DNB100" s="769"/>
      <c r="DNC100" s="769"/>
      <c r="DND100" s="769"/>
      <c r="DNE100" s="769"/>
      <c r="DNF100" s="769"/>
      <c r="DNG100" s="769"/>
      <c r="DNH100" s="769"/>
      <c r="DNI100" s="769"/>
      <c r="DNJ100" s="769"/>
      <c r="DNK100" s="769"/>
      <c r="DNL100" s="769"/>
      <c r="DNM100" s="769"/>
      <c r="DNN100" s="769"/>
      <c r="DNO100" s="769"/>
      <c r="DNP100" s="769"/>
      <c r="DNQ100" s="769"/>
      <c r="DNR100" s="769"/>
      <c r="DNS100" s="769"/>
      <c r="DNT100" s="769"/>
      <c r="DNU100" s="769"/>
      <c r="DNV100" s="769"/>
      <c r="DNW100" s="769"/>
      <c r="DNX100" s="769"/>
      <c r="DNY100" s="769"/>
      <c r="DNZ100" s="769"/>
      <c r="DOA100" s="769"/>
      <c r="DOB100" s="769"/>
      <c r="DOC100" s="769"/>
      <c r="DOD100" s="769"/>
      <c r="DOE100" s="769"/>
      <c r="DOF100" s="769"/>
      <c r="DOG100" s="769"/>
      <c r="DOH100" s="769"/>
      <c r="DOI100" s="769"/>
      <c r="DOJ100" s="769"/>
      <c r="DOK100" s="769"/>
      <c r="DOL100" s="769"/>
      <c r="DOM100" s="769"/>
      <c r="DON100" s="769"/>
      <c r="DOO100" s="769"/>
      <c r="DOP100" s="769"/>
      <c r="DOQ100" s="769"/>
      <c r="DOR100" s="769"/>
      <c r="DOS100" s="769"/>
      <c r="DOT100" s="769"/>
      <c r="DOU100" s="769"/>
      <c r="DOV100" s="769"/>
      <c r="DOW100" s="769"/>
      <c r="DOX100" s="769"/>
      <c r="DOY100" s="769"/>
      <c r="DOZ100" s="769"/>
      <c r="DPA100" s="769"/>
      <c r="DPB100" s="769"/>
      <c r="DPC100" s="769"/>
      <c r="DPD100" s="769"/>
      <c r="DPE100" s="769"/>
      <c r="DPF100" s="769"/>
      <c r="DPG100" s="769"/>
      <c r="DPH100" s="769"/>
      <c r="DPI100" s="769"/>
      <c r="DPJ100" s="769"/>
      <c r="DPK100" s="769"/>
      <c r="DPL100" s="769"/>
      <c r="DPM100" s="769"/>
      <c r="DPN100" s="769"/>
      <c r="DPO100" s="769"/>
      <c r="DPP100" s="769"/>
      <c r="DPQ100" s="769"/>
      <c r="DPR100" s="769"/>
      <c r="DPS100" s="769"/>
      <c r="DPT100" s="769"/>
      <c r="DPU100" s="769"/>
      <c r="DPV100" s="769"/>
      <c r="DPW100" s="769"/>
      <c r="DPX100" s="769"/>
      <c r="DPY100" s="769"/>
      <c r="DPZ100" s="769"/>
      <c r="DQA100" s="769"/>
      <c r="DQB100" s="769"/>
      <c r="DQC100" s="769"/>
      <c r="DQD100" s="769"/>
      <c r="DQE100" s="769"/>
      <c r="DQF100" s="769"/>
      <c r="DQG100" s="769"/>
      <c r="DQH100" s="769"/>
      <c r="DQI100" s="769"/>
      <c r="DQJ100" s="769"/>
      <c r="DQK100" s="769"/>
      <c r="DQL100" s="769"/>
      <c r="DQM100" s="769"/>
      <c r="DQN100" s="769"/>
      <c r="DQO100" s="769"/>
      <c r="DQP100" s="769"/>
      <c r="DQQ100" s="769"/>
      <c r="DQR100" s="769"/>
      <c r="DQS100" s="769"/>
      <c r="DQT100" s="769"/>
      <c r="DQU100" s="769"/>
      <c r="DQV100" s="769"/>
      <c r="DQW100" s="769"/>
      <c r="DQX100" s="769"/>
      <c r="DQY100" s="769"/>
      <c r="DQZ100" s="769"/>
      <c r="DRA100" s="769"/>
      <c r="DRB100" s="769"/>
      <c r="DRC100" s="769"/>
      <c r="DRD100" s="769"/>
      <c r="DRE100" s="769"/>
      <c r="DRF100" s="769"/>
      <c r="DRG100" s="769"/>
      <c r="DRH100" s="769"/>
      <c r="DRI100" s="769"/>
      <c r="DRJ100" s="769"/>
      <c r="DRK100" s="769"/>
      <c r="DRL100" s="769"/>
      <c r="DRM100" s="769"/>
      <c r="DRN100" s="769"/>
      <c r="DRO100" s="769"/>
      <c r="DRP100" s="769"/>
      <c r="DRQ100" s="769"/>
      <c r="DRR100" s="769"/>
      <c r="DRS100" s="769"/>
      <c r="DRT100" s="769"/>
      <c r="DRU100" s="769"/>
      <c r="DRV100" s="769"/>
      <c r="DRW100" s="769"/>
      <c r="DRX100" s="769"/>
      <c r="DRY100" s="769"/>
      <c r="DRZ100" s="769"/>
      <c r="DSA100" s="769"/>
      <c r="DSB100" s="769"/>
      <c r="DSC100" s="769"/>
      <c r="DSD100" s="769"/>
      <c r="DSE100" s="769"/>
      <c r="DSF100" s="769"/>
      <c r="DSG100" s="769"/>
      <c r="DSH100" s="769"/>
      <c r="DSI100" s="769"/>
      <c r="DSJ100" s="769"/>
      <c r="DSK100" s="769"/>
      <c r="DSL100" s="769"/>
      <c r="DSM100" s="769"/>
      <c r="DSN100" s="769"/>
      <c r="DSO100" s="769"/>
      <c r="DSP100" s="769"/>
      <c r="DSQ100" s="769"/>
      <c r="DSR100" s="769"/>
      <c r="DSS100" s="769"/>
      <c r="DST100" s="769"/>
      <c r="DSU100" s="769"/>
      <c r="DSV100" s="769"/>
      <c r="DSW100" s="769"/>
      <c r="DSX100" s="769"/>
      <c r="DSY100" s="769"/>
      <c r="DSZ100" s="769"/>
      <c r="DTA100" s="769"/>
      <c r="DTB100" s="769"/>
      <c r="DTC100" s="769"/>
      <c r="DTD100" s="769"/>
      <c r="DTE100" s="769"/>
      <c r="DTF100" s="769"/>
      <c r="DTG100" s="769"/>
      <c r="DTH100" s="769"/>
      <c r="DTI100" s="769"/>
      <c r="DTJ100" s="769"/>
      <c r="DTK100" s="769"/>
      <c r="DTL100" s="769"/>
      <c r="DTM100" s="769"/>
      <c r="DTN100" s="769"/>
      <c r="DTO100" s="769"/>
      <c r="DTP100" s="769"/>
      <c r="DTQ100" s="769"/>
      <c r="DTR100" s="769"/>
      <c r="DTS100" s="769"/>
      <c r="DTT100" s="769"/>
      <c r="DTU100" s="769"/>
      <c r="DTV100" s="769"/>
      <c r="DTW100" s="769"/>
      <c r="DTX100" s="769"/>
      <c r="DTY100" s="769"/>
      <c r="DTZ100" s="769"/>
      <c r="DUA100" s="769"/>
      <c r="DUB100" s="769"/>
      <c r="DUC100" s="769"/>
      <c r="DUD100" s="769"/>
      <c r="DUE100" s="769"/>
      <c r="DUF100" s="769"/>
      <c r="DUG100" s="769"/>
      <c r="DUH100" s="769"/>
      <c r="DUI100" s="769"/>
      <c r="DUJ100" s="769"/>
      <c r="DUK100" s="769"/>
      <c r="DUL100" s="769"/>
      <c r="DUM100" s="769"/>
      <c r="DUN100" s="769"/>
      <c r="DUO100" s="769"/>
      <c r="DUP100" s="769"/>
      <c r="DUQ100" s="769"/>
      <c r="DUR100" s="769"/>
      <c r="DUS100" s="769"/>
      <c r="DUT100" s="769"/>
      <c r="DUU100" s="769"/>
      <c r="DUV100" s="769"/>
      <c r="DUW100" s="769"/>
      <c r="DUX100" s="769"/>
      <c r="DUY100" s="769"/>
      <c r="DUZ100" s="769"/>
      <c r="DVA100" s="769"/>
      <c r="DVB100" s="769"/>
      <c r="DVC100" s="769"/>
      <c r="DVD100" s="769"/>
      <c r="DVE100" s="769"/>
      <c r="DVF100" s="769"/>
      <c r="DVG100" s="769"/>
      <c r="DVH100" s="769"/>
      <c r="DVI100" s="769"/>
      <c r="DVJ100" s="769"/>
      <c r="DVK100" s="769"/>
      <c r="DVL100" s="769"/>
      <c r="DVM100" s="769"/>
      <c r="DVN100" s="769"/>
      <c r="DVO100" s="769"/>
      <c r="DVP100" s="769"/>
      <c r="DVQ100" s="769"/>
      <c r="DVR100" s="769"/>
      <c r="DVS100" s="769"/>
      <c r="DVT100" s="769"/>
      <c r="DVU100" s="769"/>
      <c r="DVV100" s="769"/>
      <c r="DVW100" s="769"/>
      <c r="DVX100" s="769"/>
      <c r="DVY100" s="769"/>
      <c r="DVZ100" s="769"/>
      <c r="DWA100" s="769"/>
      <c r="DWB100" s="769"/>
      <c r="DWC100" s="769"/>
      <c r="DWD100" s="769"/>
      <c r="DWE100" s="769"/>
      <c r="DWF100" s="769"/>
      <c r="DWG100" s="769"/>
      <c r="DWH100" s="769"/>
      <c r="DWI100" s="769"/>
      <c r="DWJ100" s="769"/>
      <c r="DWK100" s="769"/>
      <c r="DWL100" s="769"/>
      <c r="DWM100" s="769"/>
      <c r="DWN100" s="769"/>
      <c r="DWO100" s="769"/>
      <c r="DWP100" s="769"/>
      <c r="DWQ100" s="769"/>
      <c r="DWR100" s="769"/>
      <c r="DWS100" s="769"/>
      <c r="DWT100" s="769"/>
      <c r="DWU100" s="769"/>
      <c r="DWV100" s="769"/>
      <c r="DWW100" s="769"/>
      <c r="DWX100" s="769"/>
      <c r="DWY100" s="769"/>
      <c r="DWZ100" s="769"/>
      <c r="DXA100" s="769"/>
      <c r="DXB100" s="769"/>
      <c r="DXC100" s="769"/>
      <c r="DXD100" s="769"/>
      <c r="DXE100" s="769"/>
      <c r="DXF100" s="769"/>
      <c r="DXG100" s="769"/>
      <c r="DXH100" s="769"/>
      <c r="DXI100" s="769"/>
      <c r="DXJ100" s="769"/>
      <c r="DXK100" s="769"/>
      <c r="DXL100" s="769"/>
      <c r="DXM100" s="769"/>
      <c r="DXN100" s="769"/>
      <c r="DXO100" s="769"/>
      <c r="DXP100" s="769"/>
      <c r="DXQ100" s="769"/>
      <c r="DXR100" s="769"/>
      <c r="DXS100" s="769"/>
      <c r="DXT100" s="769"/>
      <c r="DXU100" s="769"/>
      <c r="DXV100" s="769"/>
      <c r="DXW100" s="769"/>
      <c r="DXX100" s="769"/>
      <c r="DXY100" s="769"/>
      <c r="DXZ100" s="769"/>
      <c r="DYA100" s="769"/>
      <c r="DYB100" s="769"/>
      <c r="DYC100" s="769"/>
      <c r="DYD100" s="769"/>
      <c r="DYE100" s="769"/>
      <c r="DYF100" s="769"/>
      <c r="DYG100" s="769"/>
      <c r="DYH100" s="769"/>
      <c r="DYI100" s="769"/>
      <c r="DYJ100" s="769"/>
      <c r="DYK100" s="769"/>
      <c r="DYL100" s="769"/>
      <c r="DYM100" s="769"/>
      <c r="DYN100" s="769"/>
      <c r="DYO100" s="769"/>
      <c r="DYP100" s="769"/>
      <c r="DYQ100" s="769"/>
      <c r="DYR100" s="769"/>
      <c r="DYS100" s="769"/>
      <c r="DYT100" s="769"/>
      <c r="DYU100" s="769"/>
      <c r="DYV100" s="769"/>
      <c r="DYW100" s="769"/>
      <c r="DYX100" s="769"/>
      <c r="DYY100" s="769"/>
      <c r="DYZ100" s="769"/>
      <c r="DZA100" s="769"/>
      <c r="DZB100" s="769"/>
      <c r="DZC100" s="769"/>
      <c r="DZD100" s="769"/>
      <c r="DZE100" s="769"/>
      <c r="DZF100" s="769"/>
      <c r="DZG100" s="769"/>
      <c r="DZH100" s="769"/>
      <c r="DZI100" s="769"/>
      <c r="DZJ100" s="769"/>
      <c r="DZK100" s="769"/>
      <c r="DZL100" s="769"/>
      <c r="DZM100" s="769"/>
      <c r="DZN100" s="769"/>
      <c r="DZO100" s="769"/>
      <c r="DZP100" s="769"/>
      <c r="DZQ100" s="769"/>
      <c r="DZR100" s="769"/>
      <c r="DZS100" s="769"/>
      <c r="DZT100" s="769"/>
      <c r="DZU100" s="769"/>
      <c r="DZV100" s="769"/>
      <c r="DZW100" s="769"/>
      <c r="DZX100" s="769"/>
      <c r="DZY100" s="769"/>
      <c r="DZZ100" s="769"/>
      <c r="EAA100" s="769"/>
      <c r="EAB100" s="769"/>
      <c r="EAC100" s="769"/>
      <c r="EAD100" s="769"/>
      <c r="EAE100" s="769"/>
      <c r="EAF100" s="769"/>
      <c r="EAG100" s="769"/>
      <c r="EAH100" s="769"/>
      <c r="EAI100" s="769"/>
      <c r="EAJ100" s="769"/>
      <c r="EAK100" s="769"/>
      <c r="EAL100" s="769"/>
      <c r="EAM100" s="769"/>
      <c r="EAN100" s="769"/>
      <c r="EAO100" s="769"/>
      <c r="EAP100" s="769"/>
      <c r="EAQ100" s="769"/>
      <c r="EAR100" s="769"/>
      <c r="EAS100" s="769"/>
      <c r="EAT100" s="769"/>
      <c r="EAU100" s="769"/>
      <c r="EAV100" s="769"/>
      <c r="EAW100" s="769"/>
      <c r="EAX100" s="769"/>
      <c r="EAY100" s="769"/>
      <c r="EAZ100" s="769"/>
      <c r="EBA100" s="769"/>
      <c r="EBB100" s="769"/>
      <c r="EBC100" s="769"/>
      <c r="EBD100" s="769"/>
      <c r="EBE100" s="769"/>
      <c r="EBF100" s="769"/>
      <c r="EBG100" s="769"/>
      <c r="EBH100" s="769"/>
      <c r="EBI100" s="769"/>
      <c r="EBJ100" s="769"/>
      <c r="EBK100" s="769"/>
      <c r="EBL100" s="769"/>
      <c r="EBM100" s="769"/>
      <c r="EBN100" s="769"/>
      <c r="EBO100" s="769"/>
      <c r="EBP100" s="769"/>
      <c r="EBQ100" s="769"/>
      <c r="EBR100" s="769"/>
      <c r="EBS100" s="769"/>
      <c r="EBT100" s="769"/>
      <c r="EBU100" s="769"/>
      <c r="EBV100" s="769"/>
      <c r="EBW100" s="769"/>
      <c r="EBX100" s="769"/>
      <c r="EBY100" s="769"/>
      <c r="EBZ100" s="769"/>
      <c r="ECA100" s="769"/>
      <c r="ECB100" s="769"/>
      <c r="ECC100" s="769"/>
      <c r="ECD100" s="769"/>
      <c r="ECE100" s="769"/>
      <c r="ECF100" s="769"/>
      <c r="ECG100" s="769"/>
      <c r="ECH100" s="769"/>
      <c r="ECI100" s="769"/>
      <c r="ECJ100" s="769"/>
      <c r="ECK100" s="769"/>
      <c r="ECL100" s="769"/>
      <c r="ECM100" s="769"/>
      <c r="ECN100" s="769"/>
      <c r="ECO100" s="769"/>
      <c r="ECP100" s="769"/>
      <c r="ECQ100" s="769"/>
      <c r="ECR100" s="769"/>
      <c r="ECS100" s="769"/>
      <c r="ECT100" s="769"/>
      <c r="ECU100" s="769"/>
      <c r="ECV100" s="769"/>
      <c r="ECW100" s="769"/>
      <c r="ECX100" s="769"/>
      <c r="ECY100" s="769"/>
      <c r="ECZ100" s="769"/>
      <c r="EDA100" s="769"/>
      <c r="EDB100" s="769"/>
      <c r="EDC100" s="769"/>
      <c r="EDD100" s="769"/>
      <c r="EDE100" s="769"/>
      <c r="EDF100" s="769"/>
      <c r="EDG100" s="769"/>
      <c r="EDH100" s="769"/>
      <c r="EDI100" s="769"/>
      <c r="EDJ100" s="769"/>
      <c r="EDK100" s="769"/>
      <c r="EDL100" s="769"/>
      <c r="EDM100" s="769"/>
      <c r="EDN100" s="769"/>
      <c r="EDO100" s="769"/>
      <c r="EDP100" s="769"/>
      <c r="EDQ100" s="769"/>
      <c r="EDR100" s="769"/>
      <c r="EDS100" s="769"/>
      <c r="EDT100" s="769"/>
      <c r="EDU100" s="769"/>
      <c r="EDV100" s="769"/>
      <c r="EDW100" s="769"/>
      <c r="EDX100" s="769"/>
      <c r="EDY100" s="769"/>
      <c r="EDZ100" s="769"/>
      <c r="EEA100" s="769"/>
      <c r="EEB100" s="769"/>
      <c r="EEC100" s="769"/>
      <c r="EED100" s="769"/>
      <c r="EEE100" s="769"/>
      <c r="EEF100" s="769"/>
      <c r="EEG100" s="769"/>
      <c r="EEH100" s="769"/>
      <c r="EEI100" s="769"/>
      <c r="EEJ100" s="769"/>
      <c r="EEK100" s="769"/>
      <c r="EEL100" s="769"/>
      <c r="EEM100" s="769"/>
      <c r="EEN100" s="769"/>
      <c r="EEO100" s="769"/>
      <c r="EEP100" s="769"/>
      <c r="EEQ100" s="769"/>
      <c r="EER100" s="769"/>
      <c r="EES100" s="769"/>
      <c r="EET100" s="769"/>
      <c r="EEU100" s="769"/>
      <c r="EEV100" s="769"/>
      <c r="EEW100" s="769"/>
      <c r="EEX100" s="769"/>
      <c r="EEY100" s="769"/>
      <c r="EEZ100" s="769"/>
      <c r="EFA100" s="769"/>
      <c r="EFB100" s="769"/>
      <c r="EFC100" s="769"/>
      <c r="EFD100" s="769"/>
      <c r="EFE100" s="769"/>
      <c r="EFF100" s="769"/>
      <c r="EFG100" s="769"/>
      <c r="EFH100" s="769"/>
      <c r="EFI100" s="769"/>
      <c r="EFJ100" s="769"/>
      <c r="EFK100" s="769"/>
      <c r="EFL100" s="769"/>
      <c r="EFM100" s="769"/>
      <c r="EFN100" s="769"/>
      <c r="EFO100" s="769"/>
      <c r="EFP100" s="769"/>
      <c r="EFQ100" s="769"/>
      <c r="EFR100" s="769"/>
      <c r="EFS100" s="769"/>
      <c r="EFT100" s="769"/>
      <c r="EFU100" s="769"/>
      <c r="EFV100" s="769"/>
      <c r="EFW100" s="769"/>
      <c r="EFX100" s="769"/>
      <c r="EFY100" s="769"/>
      <c r="EFZ100" s="769"/>
      <c r="EGA100" s="769"/>
      <c r="EGB100" s="769"/>
      <c r="EGC100" s="769"/>
      <c r="EGD100" s="769"/>
      <c r="EGE100" s="769"/>
      <c r="EGF100" s="769"/>
      <c r="EGG100" s="769"/>
      <c r="EGH100" s="769"/>
      <c r="EGI100" s="769"/>
      <c r="EGJ100" s="769"/>
      <c r="EGK100" s="769"/>
      <c r="EGL100" s="769"/>
      <c r="EGM100" s="769"/>
      <c r="EGN100" s="769"/>
      <c r="EGO100" s="769"/>
      <c r="EGP100" s="769"/>
      <c r="EGQ100" s="769"/>
      <c r="EGR100" s="769"/>
      <c r="EGS100" s="769"/>
      <c r="EGT100" s="769"/>
      <c r="EGU100" s="769"/>
      <c r="EGV100" s="769"/>
      <c r="EGW100" s="769"/>
      <c r="EGX100" s="769"/>
      <c r="EGY100" s="769"/>
      <c r="EGZ100" s="769"/>
      <c r="EHA100" s="769"/>
      <c r="EHB100" s="769"/>
      <c r="EHC100" s="769"/>
      <c r="EHD100" s="769"/>
      <c r="EHE100" s="769"/>
      <c r="EHF100" s="769"/>
      <c r="EHG100" s="769"/>
      <c r="EHH100" s="769"/>
      <c r="EHI100" s="769"/>
      <c r="EHJ100" s="769"/>
      <c r="EHK100" s="769"/>
      <c r="EHL100" s="769"/>
      <c r="EHM100" s="769"/>
      <c r="EHN100" s="769"/>
      <c r="EHO100" s="769"/>
      <c r="EHP100" s="769"/>
      <c r="EHQ100" s="769"/>
      <c r="EHR100" s="769"/>
      <c r="EHS100" s="769"/>
      <c r="EHT100" s="769"/>
      <c r="EHU100" s="769"/>
      <c r="EHV100" s="769"/>
      <c r="EHW100" s="769"/>
      <c r="EHX100" s="769"/>
      <c r="EHY100" s="769"/>
      <c r="EHZ100" s="769"/>
      <c r="EIA100" s="769"/>
      <c r="EIB100" s="769"/>
      <c r="EIC100" s="769"/>
      <c r="EID100" s="769"/>
      <c r="EIE100" s="769"/>
      <c r="EIF100" s="769"/>
      <c r="EIG100" s="769"/>
      <c r="EIH100" s="769"/>
      <c r="EII100" s="769"/>
      <c r="EIJ100" s="769"/>
      <c r="EIK100" s="769"/>
      <c r="EIL100" s="769"/>
      <c r="EIM100" s="769"/>
      <c r="EIN100" s="769"/>
      <c r="EIO100" s="769"/>
      <c r="EIP100" s="769"/>
      <c r="EIQ100" s="769"/>
      <c r="EIR100" s="769"/>
      <c r="EIS100" s="769"/>
      <c r="EIT100" s="769"/>
      <c r="EIU100" s="769"/>
      <c r="EIV100" s="769"/>
      <c r="EIW100" s="769"/>
      <c r="EIX100" s="769"/>
      <c r="EIY100" s="769"/>
      <c r="EIZ100" s="769"/>
      <c r="EJA100" s="769"/>
      <c r="EJB100" s="769"/>
      <c r="EJC100" s="769"/>
      <c r="EJD100" s="769"/>
      <c r="EJE100" s="769"/>
      <c r="EJF100" s="769"/>
      <c r="EJG100" s="769"/>
      <c r="EJH100" s="769"/>
      <c r="EJI100" s="769"/>
      <c r="EJJ100" s="769"/>
      <c r="EJK100" s="769"/>
      <c r="EJL100" s="769"/>
      <c r="EJM100" s="769"/>
      <c r="EJN100" s="769"/>
      <c r="EJO100" s="769"/>
      <c r="EJP100" s="769"/>
      <c r="EJQ100" s="769"/>
      <c r="EJR100" s="769"/>
      <c r="EJS100" s="769"/>
      <c r="EJT100" s="769"/>
      <c r="EJU100" s="769"/>
      <c r="EJV100" s="769"/>
      <c r="EJW100" s="769"/>
      <c r="EJX100" s="769"/>
      <c r="EJY100" s="769"/>
      <c r="EJZ100" s="769"/>
      <c r="EKA100" s="769"/>
      <c r="EKB100" s="769"/>
      <c r="EKC100" s="769"/>
      <c r="EKD100" s="769"/>
      <c r="EKE100" s="769"/>
      <c r="EKF100" s="769"/>
      <c r="EKG100" s="769"/>
      <c r="EKH100" s="769"/>
      <c r="EKI100" s="769"/>
      <c r="EKJ100" s="769"/>
      <c r="EKK100" s="769"/>
      <c r="EKL100" s="769"/>
      <c r="EKM100" s="769"/>
      <c r="EKN100" s="769"/>
      <c r="EKO100" s="769"/>
      <c r="EKP100" s="769"/>
      <c r="EKQ100" s="769"/>
      <c r="EKR100" s="769"/>
      <c r="EKS100" s="769"/>
      <c r="EKT100" s="769"/>
      <c r="EKU100" s="769"/>
      <c r="EKV100" s="769"/>
      <c r="EKW100" s="769"/>
      <c r="EKX100" s="769"/>
      <c r="EKY100" s="769"/>
      <c r="EKZ100" s="769"/>
      <c r="ELA100" s="769"/>
      <c r="ELB100" s="769"/>
      <c r="ELC100" s="769"/>
      <c r="ELD100" s="769"/>
      <c r="ELE100" s="769"/>
      <c r="ELF100" s="769"/>
      <c r="ELG100" s="769"/>
      <c r="ELH100" s="769"/>
      <c r="ELI100" s="769"/>
      <c r="ELJ100" s="769"/>
      <c r="ELK100" s="769"/>
      <c r="ELL100" s="769"/>
      <c r="ELM100" s="769"/>
      <c r="ELN100" s="769"/>
      <c r="ELO100" s="769"/>
      <c r="ELP100" s="769"/>
      <c r="ELQ100" s="769"/>
      <c r="ELR100" s="769"/>
      <c r="ELS100" s="769"/>
      <c r="ELT100" s="769"/>
      <c r="ELU100" s="769"/>
      <c r="ELV100" s="769"/>
      <c r="ELW100" s="769"/>
      <c r="ELX100" s="769"/>
      <c r="ELY100" s="769"/>
      <c r="ELZ100" s="769"/>
      <c r="EMA100" s="769"/>
      <c r="EMB100" s="769"/>
      <c r="EMC100" s="769"/>
      <c r="EMD100" s="769"/>
      <c r="EME100" s="769"/>
      <c r="EMF100" s="769"/>
      <c r="EMG100" s="769"/>
      <c r="EMH100" s="769"/>
      <c r="EMI100" s="769"/>
      <c r="EMJ100" s="769"/>
      <c r="EMK100" s="769"/>
      <c r="EML100" s="769"/>
      <c r="EMM100" s="769"/>
      <c r="EMN100" s="769"/>
      <c r="EMO100" s="769"/>
      <c r="EMP100" s="769"/>
      <c r="EMQ100" s="769"/>
      <c r="EMR100" s="769"/>
      <c r="EMS100" s="769"/>
      <c r="EMT100" s="769"/>
      <c r="EMU100" s="769"/>
      <c r="EMV100" s="769"/>
      <c r="EMW100" s="769"/>
      <c r="EMX100" s="769"/>
      <c r="EMY100" s="769"/>
      <c r="EMZ100" s="769"/>
      <c r="ENA100" s="769"/>
      <c r="ENB100" s="769"/>
      <c r="ENC100" s="769"/>
      <c r="END100" s="769"/>
      <c r="ENE100" s="769"/>
      <c r="ENF100" s="769"/>
      <c r="ENG100" s="769"/>
      <c r="ENH100" s="769"/>
      <c r="ENI100" s="769"/>
      <c r="ENJ100" s="769"/>
      <c r="ENK100" s="769"/>
      <c r="ENL100" s="769"/>
      <c r="ENM100" s="769"/>
      <c r="ENN100" s="769"/>
      <c r="ENO100" s="769"/>
      <c r="ENP100" s="769"/>
      <c r="ENQ100" s="769"/>
      <c r="ENR100" s="769"/>
      <c r="ENS100" s="769"/>
      <c r="ENT100" s="769"/>
      <c r="ENU100" s="769"/>
      <c r="ENV100" s="769"/>
      <c r="ENW100" s="769"/>
      <c r="ENX100" s="769"/>
      <c r="ENY100" s="769"/>
      <c r="ENZ100" s="769"/>
      <c r="EOA100" s="769"/>
      <c r="EOB100" s="769"/>
      <c r="EOC100" s="769"/>
      <c r="EOD100" s="769"/>
      <c r="EOE100" s="769"/>
      <c r="EOF100" s="769"/>
      <c r="EOG100" s="769"/>
      <c r="EOH100" s="769"/>
      <c r="EOI100" s="769"/>
      <c r="EOJ100" s="769"/>
      <c r="EOK100" s="769"/>
      <c r="EOL100" s="769"/>
      <c r="EOM100" s="769"/>
      <c r="EON100" s="769"/>
      <c r="EOO100" s="769"/>
      <c r="EOP100" s="769"/>
      <c r="EOQ100" s="769"/>
      <c r="EOR100" s="769"/>
      <c r="EOS100" s="769"/>
      <c r="EOT100" s="769"/>
      <c r="EOU100" s="769"/>
      <c r="EOV100" s="769"/>
      <c r="EOW100" s="769"/>
      <c r="EOX100" s="769"/>
      <c r="EOY100" s="769"/>
      <c r="EOZ100" s="769"/>
      <c r="EPA100" s="769"/>
      <c r="EPB100" s="769"/>
      <c r="EPC100" s="769"/>
      <c r="EPD100" s="769"/>
      <c r="EPE100" s="769"/>
      <c r="EPF100" s="769"/>
      <c r="EPG100" s="769"/>
      <c r="EPH100" s="769"/>
      <c r="EPI100" s="769"/>
      <c r="EPJ100" s="769"/>
      <c r="EPK100" s="769"/>
      <c r="EPL100" s="769"/>
      <c r="EPM100" s="769"/>
      <c r="EPN100" s="769"/>
      <c r="EPO100" s="769"/>
      <c r="EPP100" s="769"/>
      <c r="EPQ100" s="769"/>
      <c r="EPR100" s="769"/>
      <c r="EPS100" s="769"/>
      <c r="EPT100" s="769"/>
      <c r="EPU100" s="769"/>
      <c r="EPV100" s="769"/>
      <c r="EPW100" s="769"/>
      <c r="EPX100" s="769"/>
      <c r="EPY100" s="769"/>
      <c r="EPZ100" s="769"/>
      <c r="EQA100" s="769"/>
      <c r="EQB100" s="769"/>
      <c r="EQC100" s="769"/>
      <c r="EQD100" s="769"/>
      <c r="EQE100" s="769"/>
      <c r="EQF100" s="769"/>
      <c r="EQG100" s="769"/>
      <c r="EQH100" s="769"/>
      <c r="EQI100" s="769"/>
      <c r="EQJ100" s="769"/>
      <c r="EQK100" s="769"/>
      <c r="EQL100" s="769"/>
      <c r="EQM100" s="769"/>
      <c r="EQN100" s="769"/>
      <c r="EQO100" s="769"/>
      <c r="EQP100" s="769"/>
      <c r="EQQ100" s="769"/>
      <c r="EQR100" s="769"/>
      <c r="EQS100" s="769"/>
      <c r="EQT100" s="769"/>
      <c r="EQU100" s="769"/>
      <c r="EQV100" s="769"/>
      <c r="EQW100" s="769"/>
      <c r="EQX100" s="769"/>
      <c r="EQY100" s="769"/>
      <c r="EQZ100" s="769"/>
      <c r="ERA100" s="769"/>
      <c r="ERB100" s="769"/>
      <c r="ERC100" s="769"/>
      <c r="ERD100" s="769"/>
      <c r="ERE100" s="769"/>
      <c r="ERF100" s="769"/>
      <c r="ERG100" s="769"/>
      <c r="ERH100" s="769"/>
      <c r="ERI100" s="769"/>
      <c r="ERJ100" s="769"/>
      <c r="ERK100" s="769"/>
      <c r="ERL100" s="769"/>
      <c r="ERM100" s="769"/>
      <c r="ERN100" s="769"/>
      <c r="ERO100" s="769"/>
      <c r="ERP100" s="769"/>
      <c r="ERQ100" s="769"/>
      <c r="ERR100" s="769"/>
      <c r="ERS100" s="769"/>
      <c r="ERT100" s="769"/>
      <c r="ERU100" s="769"/>
      <c r="ERV100" s="769"/>
      <c r="ERW100" s="769"/>
      <c r="ERX100" s="769"/>
      <c r="ERY100" s="769"/>
      <c r="ERZ100" s="769"/>
      <c r="ESA100" s="769"/>
      <c r="ESB100" s="769"/>
      <c r="ESC100" s="769"/>
      <c r="ESD100" s="769"/>
      <c r="ESE100" s="769"/>
      <c r="ESF100" s="769"/>
      <c r="ESG100" s="769"/>
      <c r="ESH100" s="769"/>
      <c r="ESI100" s="769"/>
      <c r="ESJ100" s="769"/>
      <c r="ESK100" s="769"/>
      <c r="ESL100" s="769"/>
      <c r="ESM100" s="769"/>
      <c r="ESN100" s="769"/>
      <c r="ESO100" s="769"/>
      <c r="ESP100" s="769"/>
      <c r="ESQ100" s="769"/>
      <c r="ESR100" s="769"/>
      <c r="ESS100" s="769"/>
      <c r="EST100" s="769"/>
      <c r="ESU100" s="769"/>
      <c r="ESV100" s="769"/>
      <c r="ESW100" s="769"/>
      <c r="ESX100" s="769"/>
      <c r="ESY100" s="769"/>
      <c r="ESZ100" s="769"/>
      <c r="ETA100" s="769"/>
      <c r="ETB100" s="769"/>
      <c r="ETC100" s="769"/>
      <c r="ETD100" s="769"/>
      <c r="ETE100" s="769"/>
      <c r="ETF100" s="769"/>
      <c r="ETG100" s="769"/>
      <c r="ETH100" s="769"/>
      <c r="ETI100" s="769"/>
      <c r="ETJ100" s="769"/>
      <c r="ETK100" s="769"/>
      <c r="ETL100" s="769"/>
      <c r="ETM100" s="769"/>
      <c r="ETN100" s="769"/>
      <c r="ETO100" s="769"/>
      <c r="ETP100" s="769"/>
      <c r="ETQ100" s="769"/>
      <c r="ETR100" s="769"/>
      <c r="ETS100" s="769"/>
      <c r="ETT100" s="769"/>
      <c r="ETU100" s="769"/>
      <c r="ETV100" s="769"/>
      <c r="ETW100" s="769"/>
      <c r="ETX100" s="769"/>
      <c r="ETY100" s="769"/>
      <c r="ETZ100" s="769"/>
      <c r="EUA100" s="769"/>
      <c r="EUB100" s="769"/>
      <c r="EUC100" s="769"/>
      <c r="EUD100" s="769"/>
      <c r="EUE100" s="769"/>
      <c r="EUF100" s="769"/>
      <c r="EUG100" s="769"/>
      <c r="EUH100" s="769"/>
      <c r="EUI100" s="769"/>
      <c r="EUJ100" s="769"/>
      <c r="EUK100" s="769"/>
      <c r="EUL100" s="769"/>
      <c r="EUM100" s="769"/>
      <c r="EUN100" s="769"/>
      <c r="EUO100" s="769"/>
      <c r="EUP100" s="769"/>
      <c r="EUQ100" s="769"/>
      <c r="EUR100" s="769"/>
      <c r="EUS100" s="769"/>
      <c r="EUT100" s="769"/>
      <c r="EUU100" s="769"/>
      <c r="EUV100" s="769"/>
      <c r="EUW100" s="769"/>
      <c r="EUX100" s="769"/>
      <c r="EUY100" s="769"/>
      <c r="EUZ100" s="769"/>
      <c r="EVA100" s="769"/>
      <c r="EVB100" s="769"/>
      <c r="EVC100" s="769"/>
      <c r="EVD100" s="769"/>
      <c r="EVE100" s="769"/>
      <c r="EVF100" s="769"/>
      <c r="EVG100" s="769"/>
      <c r="EVH100" s="769"/>
      <c r="EVI100" s="769"/>
      <c r="EVJ100" s="769"/>
      <c r="EVK100" s="769"/>
      <c r="EVL100" s="769"/>
      <c r="EVM100" s="769"/>
      <c r="EVN100" s="769"/>
      <c r="EVO100" s="769"/>
      <c r="EVP100" s="769"/>
      <c r="EVQ100" s="769"/>
      <c r="EVR100" s="769"/>
      <c r="EVS100" s="769"/>
      <c r="EVT100" s="769"/>
      <c r="EVU100" s="769"/>
      <c r="EVV100" s="769"/>
      <c r="EVW100" s="769"/>
      <c r="EVX100" s="769"/>
      <c r="EVY100" s="769"/>
      <c r="EVZ100" s="769"/>
      <c r="EWA100" s="769"/>
      <c r="EWB100" s="769"/>
      <c r="EWC100" s="769"/>
      <c r="EWD100" s="769"/>
      <c r="EWE100" s="769"/>
      <c r="EWF100" s="769"/>
      <c r="EWG100" s="769"/>
      <c r="EWH100" s="769"/>
      <c r="EWI100" s="769"/>
      <c r="EWJ100" s="769"/>
      <c r="EWK100" s="769"/>
      <c r="EWL100" s="769"/>
      <c r="EWM100" s="769"/>
      <c r="EWN100" s="769"/>
      <c r="EWO100" s="769"/>
      <c r="EWP100" s="769"/>
      <c r="EWQ100" s="769"/>
      <c r="EWR100" s="769"/>
      <c r="EWS100" s="769"/>
      <c r="EWT100" s="769"/>
      <c r="EWU100" s="769"/>
      <c r="EWV100" s="769"/>
      <c r="EWW100" s="769"/>
      <c r="EWX100" s="769"/>
      <c r="EWY100" s="769"/>
      <c r="EWZ100" s="769"/>
      <c r="EXA100" s="769"/>
      <c r="EXB100" s="769"/>
      <c r="EXC100" s="769"/>
      <c r="EXD100" s="769"/>
      <c r="EXE100" s="769"/>
      <c r="EXF100" s="769"/>
      <c r="EXG100" s="769"/>
      <c r="EXH100" s="769"/>
      <c r="EXI100" s="769"/>
      <c r="EXJ100" s="769"/>
      <c r="EXK100" s="769"/>
      <c r="EXL100" s="769"/>
      <c r="EXM100" s="769"/>
      <c r="EXN100" s="769"/>
      <c r="EXO100" s="769"/>
      <c r="EXP100" s="769"/>
      <c r="EXQ100" s="769"/>
      <c r="EXR100" s="769"/>
      <c r="EXS100" s="769"/>
      <c r="EXT100" s="769"/>
      <c r="EXU100" s="769"/>
      <c r="EXV100" s="769"/>
      <c r="EXW100" s="769"/>
      <c r="EXX100" s="769"/>
      <c r="EXY100" s="769"/>
      <c r="EXZ100" s="769"/>
      <c r="EYA100" s="769"/>
      <c r="EYB100" s="769"/>
      <c r="EYC100" s="769"/>
      <c r="EYD100" s="769"/>
      <c r="EYE100" s="769"/>
      <c r="EYF100" s="769"/>
      <c r="EYG100" s="769"/>
      <c r="EYH100" s="769"/>
      <c r="EYI100" s="769"/>
      <c r="EYJ100" s="769"/>
      <c r="EYK100" s="769"/>
      <c r="EYL100" s="769"/>
      <c r="EYM100" s="769"/>
      <c r="EYN100" s="769"/>
      <c r="EYO100" s="769"/>
      <c r="EYP100" s="769"/>
      <c r="EYQ100" s="769"/>
      <c r="EYR100" s="769"/>
      <c r="EYS100" s="769"/>
      <c r="EYT100" s="769"/>
      <c r="EYU100" s="769"/>
      <c r="EYV100" s="769"/>
      <c r="EYW100" s="769"/>
      <c r="EYX100" s="769"/>
      <c r="EYY100" s="769"/>
      <c r="EYZ100" s="769"/>
      <c r="EZA100" s="769"/>
      <c r="EZB100" s="769"/>
      <c r="EZC100" s="769"/>
      <c r="EZD100" s="769"/>
      <c r="EZE100" s="769"/>
      <c r="EZF100" s="769"/>
      <c r="EZG100" s="769"/>
      <c r="EZH100" s="769"/>
      <c r="EZI100" s="769"/>
      <c r="EZJ100" s="769"/>
      <c r="EZK100" s="769"/>
      <c r="EZL100" s="769"/>
      <c r="EZM100" s="769"/>
      <c r="EZN100" s="769"/>
      <c r="EZO100" s="769"/>
      <c r="EZP100" s="769"/>
      <c r="EZQ100" s="769"/>
      <c r="EZR100" s="769"/>
      <c r="EZS100" s="769"/>
      <c r="EZT100" s="769"/>
      <c r="EZU100" s="769"/>
      <c r="EZV100" s="769"/>
      <c r="EZW100" s="769"/>
      <c r="EZX100" s="769"/>
      <c r="EZY100" s="769"/>
      <c r="EZZ100" s="769"/>
      <c r="FAA100" s="769"/>
      <c r="FAB100" s="769"/>
      <c r="FAC100" s="769"/>
      <c r="FAD100" s="769"/>
      <c r="FAE100" s="769"/>
      <c r="FAF100" s="769"/>
      <c r="FAG100" s="769"/>
      <c r="FAH100" s="769"/>
      <c r="FAI100" s="769"/>
      <c r="FAJ100" s="769"/>
      <c r="FAK100" s="769"/>
      <c r="FAL100" s="769"/>
      <c r="FAM100" s="769"/>
      <c r="FAN100" s="769"/>
      <c r="FAO100" s="769"/>
      <c r="FAP100" s="769"/>
      <c r="FAQ100" s="769"/>
      <c r="FAR100" s="769"/>
      <c r="FAS100" s="769"/>
      <c r="FAT100" s="769"/>
      <c r="FAU100" s="769"/>
      <c r="FAV100" s="769"/>
      <c r="FAW100" s="769"/>
      <c r="FAX100" s="769"/>
      <c r="FAY100" s="769"/>
      <c r="FAZ100" s="769"/>
      <c r="FBA100" s="769"/>
      <c r="FBB100" s="769"/>
      <c r="FBC100" s="769"/>
      <c r="FBD100" s="769"/>
      <c r="FBE100" s="769"/>
      <c r="FBF100" s="769"/>
      <c r="FBG100" s="769"/>
      <c r="FBH100" s="769"/>
      <c r="FBI100" s="769"/>
      <c r="FBJ100" s="769"/>
      <c r="FBK100" s="769"/>
      <c r="FBL100" s="769"/>
      <c r="FBM100" s="769"/>
      <c r="FBN100" s="769"/>
      <c r="FBO100" s="769"/>
      <c r="FBP100" s="769"/>
      <c r="FBQ100" s="769"/>
      <c r="FBR100" s="769"/>
      <c r="FBS100" s="769"/>
      <c r="FBT100" s="769"/>
      <c r="FBU100" s="769"/>
      <c r="FBV100" s="769"/>
      <c r="FBW100" s="769"/>
      <c r="FBX100" s="769"/>
      <c r="FBY100" s="769"/>
      <c r="FBZ100" s="769"/>
      <c r="FCA100" s="769"/>
      <c r="FCB100" s="769"/>
      <c r="FCC100" s="769"/>
      <c r="FCD100" s="769"/>
      <c r="FCE100" s="769"/>
      <c r="FCF100" s="769"/>
      <c r="FCG100" s="769"/>
      <c r="FCH100" s="769"/>
      <c r="FCI100" s="769"/>
      <c r="FCJ100" s="769"/>
      <c r="FCK100" s="769"/>
      <c r="FCL100" s="769"/>
      <c r="FCM100" s="769"/>
      <c r="FCN100" s="769"/>
      <c r="FCO100" s="769"/>
      <c r="FCP100" s="769"/>
      <c r="FCQ100" s="769"/>
      <c r="FCR100" s="769"/>
      <c r="FCS100" s="769"/>
      <c r="FCT100" s="769"/>
      <c r="FCU100" s="769"/>
      <c r="FCV100" s="769"/>
      <c r="FCW100" s="769"/>
      <c r="FCX100" s="769"/>
      <c r="FCY100" s="769"/>
      <c r="FCZ100" s="769"/>
      <c r="FDA100" s="769"/>
      <c r="FDB100" s="769"/>
      <c r="FDC100" s="769"/>
      <c r="FDD100" s="769"/>
      <c r="FDE100" s="769"/>
      <c r="FDF100" s="769"/>
      <c r="FDG100" s="769"/>
      <c r="FDH100" s="769"/>
      <c r="FDI100" s="769"/>
      <c r="FDJ100" s="769"/>
      <c r="FDK100" s="769"/>
      <c r="FDL100" s="769"/>
      <c r="FDM100" s="769"/>
      <c r="FDN100" s="769"/>
      <c r="FDO100" s="769"/>
      <c r="FDP100" s="769"/>
      <c r="FDQ100" s="769"/>
      <c r="FDR100" s="769"/>
      <c r="FDS100" s="769"/>
      <c r="FDT100" s="769"/>
      <c r="FDU100" s="769"/>
      <c r="FDV100" s="769"/>
      <c r="FDW100" s="769"/>
      <c r="FDX100" s="769"/>
      <c r="FDY100" s="769"/>
      <c r="FDZ100" s="769"/>
      <c r="FEA100" s="769"/>
      <c r="FEB100" s="769"/>
      <c r="FEC100" s="769"/>
      <c r="FED100" s="769"/>
      <c r="FEE100" s="769"/>
      <c r="FEF100" s="769"/>
      <c r="FEG100" s="769"/>
      <c r="FEH100" s="769"/>
      <c r="FEI100" s="769"/>
      <c r="FEJ100" s="769"/>
      <c r="FEK100" s="769"/>
      <c r="FEL100" s="769"/>
      <c r="FEM100" s="769"/>
      <c r="FEN100" s="769"/>
      <c r="FEO100" s="769"/>
      <c r="FEP100" s="769"/>
      <c r="FEQ100" s="769"/>
      <c r="FER100" s="769"/>
      <c r="FES100" s="769"/>
      <c r="FET100" s="769"/>
      <c r="FEU100" s="769"/>
      <c r="FEV100" s="769"/>
      <c r="FEW100" s="769"/>
      <c r="FEX100" s="769"/>
      <c r="FEY100" s="769"/>
      <c r="FEZ100" s="769"/>
      <c r="FFA100" s="769"/>
      <c r="FFB100" s="769"/>
      <c r="FFC100" s="769"/>
      <c r="FFD100" s="769"/>
      <c r="FFE100" s="769"/>
      <c r="FFF100" s="769"/>
      <c r="FFG100" s="769"/>
      <c r="FFH100" s="769"/>
      <c r="FFI100" s="769"/>
      <c r="FFJ100" s="769"/>
      <c r="FFK100" s="769"/>
      <c r="FFL100" s="769"/>
      <c r="FFM100" s="769"/>
      <c r="FFN100" s="769"/>
      <c r="FFO100" s="769"/>
      <c r="FFP100" s="769"/>
      <c r="FFQ100" s="769"/>
      <c r="FFR100" s="769"/>
      <c r="FFS100" s="769"/>
      <c r="FFT100" s="769"/>
      <c r="FFU100" s="769"/>
      <c r="FFV100" s="769"/>
      <c r="FFW100" s="769"/>
      <c r="FFX100" s="769"/>
      <c r="FFY100" s="769"/>
      <c r="FFZ100" s="769"/>
      <c r="FGA100" s="769"/>
      <c r="FGB100" s="769"/>
      <c r="FGC100" s="769"/>
      <c r="FGD100" s="769"/>
      <c r="FGE100" s="769"/>
      <c r="FGF100" s="769"/>
      <c r="FGG100" s="769"/>
      <c r="FGH100" s="769"/>
      <c r="FGI100" s="769"/>
      <c r="FGJ100" s="769"/>
      <c r="FGK100" s="769"/>
      <c r="FGL100" s="769"/>
      <c r="FGM100" s="769"/>
      <c r="FGN100" s="769"/>
      <c r="FGO100" s="769"/>
      <c r="FGP100" s="769"/>
      <c r="FGQ100" s="769"/>
      <c r="FGR100" s="769"/>
      <c r="FGS100" s="769"/>
      <c r="FGT100" s="769"/>
      <c r="FGU100" s="769"/>
      <c r="FGV100" s="769"/>
      <c r="FGW100" s="769"/>
      <c r="FGX100" s="769"/>
      <c r="FGY100" s="769"/>
      <c r="FGZ100" s="769"/>
      <c r="FHA100" s="769"/>
      <c r="FHB100" s="769"/>
      <c r="FHC100" s="769"/>
      <c r="FHD100" s="769"/>
      <c r="FHE100" s="769"/>
      <c r="FHF100" s="769"/>
      <c r="FHG100" s="769"/>
      <c r="FHH100" s="769"/>
      <c r="FHI100" s="769"/>
      <c r="FHJ100" s="769"/>
      <c r="FHK100" s="769"/>
      <c r="FHL100" s="769"/>
      <c r="FHM100" s="769"/>
      <c r="FHN100" s="769"/>
      <c r="FHO100" s="769"/>
      <c r="FHP100" s="769"/>
      <c r="FHQ100" s="769"/>
      <c r="FHR100" s="769"/>
      <c r="FHS100" s="769"/>
      <c r="FHT100" s="769"/>
      <c r="FHU100" s="769"/>
      <c r="FHV100" s="769"/>
      <c r="FHW100" s="769"/>
      <c r="FHX100" s="769"/>
      <c r="FHY100" s="769"/>
      <c r="FHZ100" s="769"/>
      <c r="FIA100" s="769"/>
      <c r="FIB100" s="769"/>
      <c r="FIC100" s="769"/>
      <c r="FID100" s="769"/>
      <c r="FIE100" s="769"/>
      <c r="FIF100" s="769"/>
      <c r="FIG100" s="769"/>
      <c r="FIH100" s="769"/>
      <c r="FII100" s="769"/>
      <c r="FIJ100" s="769"/>
      <c r="FIK100" s="769"/>
      <c r="FIL100" s="769"/>
      <c r="FIM100" s="769"/>
      <c r="FIN100" s="769"/>
      <c r="FIO100" s="769"/>
      <c r="FIP100" s="769"/>
      <c r="FIQ100" s="769"/>
      <c r="FIR100" s="769"/>
      <c r="FIS100" s="769"/>
      <c r="FIT100" s="769"/>
      <c r="FIU100" s="769"/>
      <c r="FIV100" s="769"/>
      <c r="FIW100" s="769"/>
      <c r="FIX100" s="769"/>
      <c r="FIY100" s="769"/>
      <c r="FIZ100" s="769"/>
      <c r="FJA100" s="769"/>
      <c r="FJB100" s="769"/>
      <c r="FJC100" s="769"/>
      <c r="FJD100" s="769"/>
      <c r="FJE100" s="769"/>
      <c r="FJF100" s="769"/>
      <c r="FJG100" s="769"/>
      <c r="FJH100" s="769"/>
      <c r="FJI100" s="769"/>
      <c r="FJJ100" s="769"/>
      <c r="FJK100" s="769"/>
      <c r="FJL100" s="769"/>
      <c r="FJM100" s="769"/>
      <c r="FJN100" s="769"/>
      <c r="FJO100" s="769"/>
      <c r="FJP100" s="769"/>
      <c r="FJQ100" s="769"/>
      <c r="FJR100" s="769"/>
      <c r="FJS100" s="769"/>
      <c r="FJT100" s="769"/>
      <c r="FJU100" s="769"/>
      <c r="FJV100" s="769"/>
      <c r="FJW100" s="769"/>
      <c r="FJX100" s="769"/>
      <c r="FJY100" s="769"/>
      <c r="FJZ100" s="769"/>
      <c r="FKA100" s="769"/>
      <c r="FKB100" s="769"/>
      <c r="FKC100" s="769"/>
      <c r="FKD100" s="769"/>
      <c r="FKE100" s="769"/>
      <c r="FKF100" s="769"/>
      <c r="FKG100" s="769"/>
      <c r="FKH100" s="769"/>
      <c r="FKI100" s="769"/>
      <c r="FKJ100" s="769"/>
      <c r="FKK100" s="769"/>
      <c r="FKL100" s="769"/>
      <c r="FKM100" s="769"/>
      <c r="FKN100" s="769"/>
      <c r="FKO100" s="769"/>
      <c r="FKP100" s="769"/>
      <c r="FKQ100" s="769"/>
      <c r="FKR100" s="769"/>
      <c r="FKS100" s="769"/>
      <c r="FKT100" s="769"/>
      <c r="FKU100" s="769"/>
      <c r="FKV100" s="769"/>
      <c r="FKW100" s="769"/>
      <c r="FKX100" s="769"/>
      <c r="FKY100" s="769"/>
      <c r="FKZ100" s="769"/>
      <c r="FLA100" s="769"/>
      <c r="FLB100" s="769"/>
      <c r="FLC100" s="769"/>
      <c r="FLD100" s="769"/>
      <c r="FLE100" s="769"/>
      <c r="FLF100" s="769"/>
      <c r="FLG100" s="769"/>
      <c r="FLH100" s="769"/>
      <c r="FLI100" s="769"/>
      <c r="FLJ100" s="769"/>
      <c r="FLK100" s="769"/>
      <c r="FLL100" s="769"/>
      <c r="FLM100" s="769"/>
      <c r="FLN100" s="769"/>
      <c r="FLO100" s="769"/>
      <c r="FLP100" s="769"/>
      <c r="FLQ100" s="769"/>
      <c r="FLR100" s="769"/>
      <c r="FLS100" s="769"/>
      <c r="FLT100" s="769"/>
      <c r="FLU100" s="769"/>
      <c r="FLV100" s="769"/>
      <c r="FLW100" s="769"/>
      <c r="FLX100" s="769"/>
      <c r="FLY100" s="769"/>
      <c r="FLZ100" s="769"/>
      <c r="FMA100" s="769"/>
      <c r="FMB100" s="769"/>
      <c r="FMC100" s="769"/>
      <c r="FMD100" s="769"/>
      <c r="FME100" s="769"/>
      <c r="FMF100" s="769"/>
      <c r="FMG100" s="769"/>
      <c r="FMH100" s="769"/>
      <c r="FMI100" s="769"/>
      <c r="FMJ100" s="769"/>
      <c r="FMK100" s="769"/>
      <c r="FML100" s="769"/>
      <c r="FMM100" s="769"/>
      <c r="FMN100" s="769"/>
      <c r="FMO100" s="769"/>
      <c r="FMP100" s="769"/>
      <c r="FMQ100" s="769"/>
      <c r="FMR100" s="769"/>
      <c r="FMS100" s="769"/>
      <c r="FMT100" s="769"/>
      <c r="FMU100" s="769"/>
      <c r="FMV100" s="769"/>
      <c r="FMW100" s="769"/>
      <c r="FMX100" s="769"/>
      <c r="FMY100" s="769"/>
      <c r="FMZ100" s="769"/>
      <c r="FNA100" s="769"/>
      <c r="FNB100" s="769"/>
      <c r="FNC100" s="769"/>
      <c r="FND100" s="769"/>
      <c r="FNE100" s="769"/>
      <c r="FNF100" s="769"/>
      <c r="FNG100" s="769"/>
      <c r="FNH100" s="769"/>
      <c r="FNI100" s="769"/>
      <c r="FNJ100" s="769"/>
      <c r="FNK100" s="769"/>
      <c r="FNL100" s="769"/>
      <c r="FNM100" s="769"/>
      <c r="FNN100" s="769"/>
      <c r="FNO100" s="769"/>
      <c r="FNP100" s="769"/>
      <c r="FNQ100" s="769"/>
      <c r="FNR100" s="769"/>
      <c r="FNS100" s="769"/>
      <c r="FNT100" s="769"/>
      <c r="FNU100" s="769"/>
      <c r="FNV100" s="769"/>
      <c r="FNW100" s="769"/>
      <c r="FNX100" s="769"/>
      <c r="FNY100" s="769"/>
      <c r="FNZ100" s="769"/>
      <c r="FOA100" s="769"/>
      <c r="FOB100" s="769"/>
      <c r="FOC100" s="769"/>
      <c r="FOD100" s="769"/>
      <c r="FOE100" s="769"/>
      <c r="FOF100" s="769"/>
      <c r="FOG100" s="769"/>
      <c r="FOH100" s="769"/>
      <c r="FOI100" s="769"/>
      <c r="FOJ100" s="769"/>
      <c r="FOK100" s="769"/>
      <c r="FOL100" s="769"/>
      <c r="FOM100" s="769"/>
      <c r="FON100" s="769"/>
      <c r="FOO100" s="769"/>
      <c r="FOP100" s="769"/>
      <c r="FOQ100" s="769"/>
      <c r="FOR100" s="769"/>
      <c r="FOS100" s="769"/>
      <c r="FOT100" s="769"/>
      <c r="FOU100" s="769"/>
      <c r="FOV100" s="769"/>
      <c r="FOW100" s="769"/>
      <c r="FOX100" s="769"/>
      <c r="FOY100" s="769"/>
      <c r="FOZ100" s="769"/>
      <c r="FPA100" s="769"/>
      <c r="FPB100" s="769"/>
      <c r="FPC100" s="769"/>
      <c r="FPD100" s="769"/>
      <c r="FPE100" s="769"/>
      <c r="FPF100" s="769"/>
      <c r="FPG100" s="769"/>
      <c r="FPH100" s="769"/>
      <c r="FPI100" s="769"/>
      <c r="FPJ100" s="769"/>
      <c r="FPK100" s="769"/>
      <c r="FPL100" s="769"/>
      <c r="FPM100" s="769"/>
      <c r="FPN100" s="769"/>
      <c r="FPO100" s="769"/>
      <c r="FPP100" s="769"/>
      <c r="FPQ100" s="769"/>
      <c r="FPR100" s="769"/>
      <c r="FPS100" s="769"/>
      <c r="FPT100" s="769"/>
      <c r="FPU100" s="769"/>
      <c r="FPV100" s="769"/>
      <c r="FPW100" s="769"/>
      <c r="FPX100" s="769"/>
      <c r="FPY100" s="769"/>
      <c r="FPZ100" s="769"/>
      <c r="FQA100" s="769"/>
      <c r="FQB100" s="769"/>
      <c r="FQC100" s="769"/>
      <c r="FQD100" s="769"/>
      <c r="FQE100" s="769"/>
      <c r="FQF100" s="769"/>
      <c r="FQG100" s="769"/>
      <c r="FQH100" s="769"/>
      <c r="FQI100" s="769"/>
      <c r="FQJ100" s="769"/>
      <c r="FQK100" s="769"/>
      <c r="FQL100" s="769"/>
      <c r="FQM100" s="769"/>
      <c r="FQN100" s="769"/>
      <c r="FQO100" s="769"/>
      <c r="FQP100" s="769"/>
      <c r="FQQ100" s="769"/>
      <c r="FQR100" s="769"/>
      <c r="FQS100" s="769"/>
      <c r="FQT100" s="769"/>
      <c r="FQU100" s="769"/>
      <c r="FQV100" s="769"/>
      <c r="FQW100" s="769"/>
      <c r="FQX100" s="769"/>
      <c r="FQY100" s="769"/>
      <c r="FQZ100" s="769"/>
      <c r="FRA100" s="769"/>
      <c r="FRB100" s="769"/>
      <c r="FRC100" s="769"/>
      <c r="FRD100" s="769"/>
      <c r="FRE100" s="769"/>
      <c r="FRF100" s="769"/>
      <c r="FRG100" s="769"/>
      <c r="FRH100" s="769"/>
      <c r="FRI100" s="769"/>
      <c r="FRJ100" s="769"/>
      <c r="FRK100" s="769"/>
      <c r="FRL100" s="769"/>
      <c r="FRM100" s="769"/>
      <c r="FRN100" s="769"/>
      <c r="FRO100" s="769"/>
      <c r="FRP100" s="769"/>
      <c r="FRQ100" s="769"/>
      <c r="FRR100" s="769"/>
      <c r="FRS100" s="769"/>
      <c r="FRT100" s="769"/>
      <c r="FRU100" s="769"/>
      <c r="FRV100" s="769"/>
      <c r="FRW100" s="769"/>
      <c r="FRX100" s="769"/>
      <c r="FRY100" s="769"/>
      <c r="FRZ100" s="769"/>
      <c r="FSA100" s="769"/>
      <c r="FSB100" s="769"/>
      <c r="FSC100" s="769"/>
      <c r="FSD100" s="769"/>
      <c r="FSE100" s="769"/>
      <c r="FSF100" s="769"/>
      <c r="FSG100" s="769"/>
      <c r="FSH100" s="769"/>
      <c r="FSI100" s="769"/>
      <c r="FSJ100" s="769"/>
      <c r="FSK100" s="769"/>
      <c r="FSL100" s="769"/>
      <c r="FSM100" s="769"/>
      <c r="FSN100" s="769"/>
      <c r="FSO100" s="769"/>
      <c r="FSP100" s="769"/>
      <c r="FSQ100" s="769"/>
      <c r="FSR100" s="769"/>
      <c r="FSS100" s="769"/>
      <c r="FST100" s="769"/>
      <c r="FSU100" s="769"/>
      <c r="FSV100" s="769"/>
      <c r="FSW100" s="769"/>
      <c r="FSX100" s="769"/>
      <c r="FSY100" s="769"/>
      <c r="FSZ100" s="769"/>
      <c r="FTA100" s="769"/>
      <c r="FTB100" s="769"/>
      <c r="FTC100" s="769"/>
      <c r="FTD100" s="769"/>
      <c r="FTE100" s="769"/>
      <c r="FTF100" s="769"/>
      <c r="FTG100" s="769"/>
      <c r="FTH100" s="769"/>
      <c r="FTI100" s="769"/>
      <c r="FTJ100" s="769"/>
      <c r="FTK100" s="769"/>
      <c r="FTL100" s="769"/>
      <c r="FTM100" s="769"/>
      <c r="FTN100" s="769"/>
      <c r="FTO100" s="769"/>
      <c r="FTP100" s="769"/>
      <c r="FTQ100" s="769"/>
      <c r="FTR100" s="769"/>
      <c r="FTS100" s="769"/>
      <c r="FTT100" s="769"/>
      <c r="FTU100" s="769"/>
      <c r="FTV100" s="769"/>
      <c r="FTW100" s="769"/>
      <c r="FTX100" s="769"/>
      <c r="FTY100" s="769"/>
      <c r="FTZ100" s="769"/>
      <c r="FUA100" s="769"/>
      <c r="FUB100" s="769"/>
      <c r="FUC100" s="769"/>
      <c r="FUD100" s="769"/>
      <c r="FUE100" s="769"/>
      <c r="FUF100" s="769"/>
      <c r="FUG100" s="769"/>
      <c r="FUH100" s="769"/>
      <c r="FUI100" s="769"/>
      <c r="FUJ100" s="769"/>
      <c r="FUK100" s="769"/>
      <c r="FUL100" s="769"/>
      <c r="FUM100" s="769"/>
      <c r="FUN100" s="769"/>
      <c r="FUO100" s="769"/>
      <c r="FUP100" s="769"/>
      <c r="FUQ100" s="769"/>
      <c r="FUR100" s="769"/>
      <c r="FUS100" s="769"/>
      <c r="FUT100" s="769"/>
      <c r="FUU100" s="769"/>
      <c r="FUV100" s="769"/>
      <c r="FUW100" s="769"/>
      <c r="FUX100" s="769"/>
      <c r="FUY100" s="769"/>
      <c r="FUZ100" s="769"/>
      <c r="FVA100" s="769"/>
      <c r="FVB100" s="769"/>
      <c r="FVC100" s="769"/>
      <c r="FVD100" s="769"/>
      <c r="FVE100" s="769"/>
      <c r="FVF100" s="769"/>
      <c r="FVG100" s="769"/>
      <c r="FVH100" s="769"/>
      <c r="FVI100" s="769"/>
      <c r="FVJ100" s="769"/>
      <c r="FVK100" s="769"/>
      <c r="FVL100" s="769"/>
      <c r="FVM100" s="769"/>
      <c r="FVN100" s="769"/>
      <c r="FVO100" s="769"/>
      <c r="FVP100" s="769"/>
      <c r="FVQ100" s="769"/>
      <c r="FVR100" s="769"/>
      <c r="FVS100" s="769"/>
      <c r="FVT100" s="769"/>
      <c r="FVU100" s="769"/>
      <c r="FVV100" s="769"/>
      <c r="FVW100" s="769"/>
      <c r="FVX100" s="769"/>
      <c r="FVY100" s="769"/>
      <c r="FVZ100" s="769"/>
      <c r="FWA100" s="769"/>
      <c r="FWB100" s="769"/>
      <c r="FWC100" s="769"/>
      <c r="FWD100" s="769"/>
      <c r="FWE100" s="769"/>
      <c r="FWF100" s="769"/>
      <c r="FWG100" s="769"/>
      <c r="FWH100" s="769"/>
      <c r="FWI100" s="769"/>
      <c r="FWJ100" s="769"/>
      <c r="FWK100" s="769"/>
      <c r="FWL100" s="769"/>
      <c r="FWM100" s="769"/>
      <c r="FWN100" s="769"/>
      <c r="FWO100" s="769"/>
      <c r="FWP100" s="769"/>
      <c r="FWQ100" s="769"/>
      <c r="FWR100" s="769"/>
      <c r="FWS100" s="769"/>
      <c r="FWT100" s="769"/>
      <c r="FWU100" s="769"/>
      <c r="FWV100" s="769"/>
      <c r="FWW100" s="769"/>
      <c r="FWX100" s="769"/>
      <c r="FWY100" s="769"/>
      <c r="FWZ100" s="769"/>
      <c r="FXA100" s="769"/>
      <c r="FXB100" s="769"/>
      <c r="FXC100" s="769"/>
      <c r="FXD100" s="769"/>
      <c r="FXE100" s="769"/>
      <c r="FXF100" s="769"/>
      <c r="FXG100" s="769"/>
      <c r="FXH100" s="769"/>
      <c r="FXI100" s="769"/>
      <c r="FXJ100" s="769"/>
      <c r="FXK100" s="769"/>
      <c r="FXL100" s="769"/>
      <c r="FXM100" s="769"/>
      <c r="FXN100" s="769"/>
      <c r="FXO100" s="769"/>
      <c r="FXP100" s="769"/>
      <c r="FXQ100" s="769"/>
      <c r="FXR100" s="769"/>
      <c r="FXS100" s="769"/>
      <c r="FXT100" s="769"/>
      <c r="FXU100" s="769"/>
      <c r="FXV100" s="769"/>
      <c r="FXW100" s="769"/>
      <c r="FXX100" s="769"/>
      <c r="FXY100" s="769"/>
      <c r="FXZ100" s="769"/>
      <c r="FYA100" s="769"/>
      <c r="FYB100" s="769"/>
      <c r="FYC100" s="769"/>
      <c r="FYD100" s="769"/>
      <c r="FYE100" s="769"/>
      <c r="FYF100" s="769"/>
      <c r="FYG100" s="769"/>
      <c r="FYH100" s="769"/>
      <c r="FYI100" s="769"/>
      <c r="FYJ100" s="769"/>
      <c r="FYK100" s="769"/>
      <c r="FYL100" s="769"/>
      <c r="FYM100" s="769"/>
      <c r="FYN100" s="769"/>
      <c r="FYO100" s="769"/>
      <c r="FYP100" s="769"/>
      <c r="FYQ100" s="769"/>
      <c r="FYR100" s="769"/>
      <c r="FYS100" s="769"/>
      <c r="FYT100" s="769"/>
      <c r="FYU100" s="769"/>
      <c r="FYV100" s="769"/>
      <c r="FYW100" s="769"/>
      <c r="FYX100" s="769"/>
      <c r="FYY100" s="769"/>
      <c r="FYZ100" s="769"/>
      <c r="FZA100" s="769"/>
      <c r="FZB100" s="769"/>
      <c r="FZC100" s="769"/>
      <c r="FZD100" s="769"/>
      <c r="FZE100" s="769"/>
      <c r="FZF100" s="769"/>
      <c r="FZG100" s="769"/>
      <c r="FZH100" s="769"/>
      <c r="FZI100" s="769"/>
      <c r="FZJ100" s="769"/>
      <c r="FZK100" s="769"/>
      <c r="FZL100" s="769"/>
      <c r="FZM100" s="769"/>
      <c r="FZN100" s="769"/>
      <c r="FZO100" s="769"/>
      <c r="FZP100" s="769"/>
      <c r="FZQ100" s="769"/>
      <c r="FZR100" s="769"/>
      <c r="FZS100" s="769"/>
      <c r="FZT100" s="769"/>
      <c r="FZU100" s="769"/>
      <c r="FZV100" s="769"/>
      <c r="FZW100" s="769"/>
      <c r="FZX100" s="769"/>
      <c r="FZY100" s="769"/>
      <c r="FZZ100" s="769"/>
      <c r="GAA100" s="769"/>
      <c r="GAB100" s="769"/>
      <c r="GAC100" s="769"/>
      <c r="GAD100" s="769"/>
      <c r="GAE100" s="769"/>
      <c r="GAF100" s="769"/>
      <c r="GAG100" s="769"/>
      <c r="GAH100" s="769"/>
      <c r="GAI100" s="769"/>
      <c r="GAJ100" s="769"/>
      <c r="GAK100" s="769"/>
      <c r="GAL100" s="769"/>
      <c r="GAM100" s="769"/>
      <c r="GAN100" s="769"/>
      <c r="GAO100" s="769"/>
      <c r="GAP100" s="769"/>
      <c r="GAQ100" s="769"/>
      <c r="GAR100" s="769"/>
      <c r="GAS100" s="769"/>
      <c r="GAT100" s="769"/>
      <c r="GAU100" s="769"/>
      <c r="GAV100" s="769"/>
      <c r="GAW100" s="769"/>
      <c r="GAX100" s="769"/>
      <c r="GAY100" s="769"/>
      <c r="GAZ100" s="769"/>
      <c r="GBA100" s="769"/>
      <c r="GBB100" s="769"/>
      <c r="GBC100" s="769"/>
      <c r="GBD100" s="769"/>
      <c r="GBE100" s="769"/>
      <c r="GBF100" s="769"/>
      <c r="GBG100" s="769"/>
      <c r="GBH100" s="769"/>
      <c r="GBI100" s="769"/>
      <c r="GBJ100" s="769"/>
      <c r="GBK100" s="769"/>
      <c r="GBL100" s="769"/>
      <c r="GBM100" s="769"/>
      <c r="GBN100" s="769"/>
      <c r="GBO100" s="769"/>
      <c r="GBP100" s="769"/>
      <c r="GBQ100" s="769"/>
      <c r="GBR100" s="769"/>
      <c r="GBS100" s="769"/>
      <c r="GBT100" s="769"/>
      <c r="GBU100" s="769"/>
      <c r="GBV100" s="769"/>
      <c r="GBW100" s="769"/>
      <c r="GBX100" s="769"/>
      <c r="GBY100" s="769"/>
      <c r="GBZ100" s="769"/>
      <c r="GCA100" s="769"/>
      <c r="GCB100" s="769"/>
      <c r="GCC100" s="769"/>
      <c r="GCD100" s="769"/>
      <c r="GCE100" s="769"/>
      <c r="GCF100" s="769"/>
      <c r="GCG100" s="769"/>
      <c r="GCH100" s="769"/>
      <c r="GCI100" s="769"/>
      <c r="GCJ100" s="769"/>
      <c r="GCK100" s="769"/>
      <c r="GCL100" s="769"/>
      <c r="GCM100" s="769"/>
      <c r="GCN100" s="769"/>
      <c r="GCO100" s="769"/>
      <c r="GCP100" s="769"/>
      <c r="GCQ100" s="769"/>
      <c r="GCR100" s="769"/>
      <c r="GCS100" s="769"/>
      <c r="GCT100" s="769"/>
      <c r="GCU100" s="769"/>
      <c r="GCV100" s="769"/>
      <c r="GCW100" s="769"/>
      <c r="GCX100" s="769"/>
      <c r="GCY100" s="769"/>
      <c r="GCZ100" s="769"/>
      <c r="GDA100" s="769"/>
      <c r="GDB100" s="769"/>
      <c r="GDC100" s="769"/>
      <c r="GDD100" s="769"/>
      <c r="GDE100" s="769"/>
      <c r="GDF100" s="769"/>
      <c r="GDG100" s="769"/>
      <c r="GDH100" s="769"/>
      <c r="GDI100" s="769"/>
      <c r="GDJ100" s="769"/>
      <c r="GDK100" s="769"/>
      <c r="GDL100" s="769"/>
      <c r="GDM100" s="769"/>
      <c r="GDN100" s="769"/>
      <c r="GDO100" s="769"/>
      <c r="GDP100" s="769"/>
      <c r="GDQ100" s="769"/>
      <c r="GDR100" s="769"/>
      <c r="GDS100" s="769"/>
      <c r="GDT100" s="769"/>
      <c r="GDU100" s="769"/>
      <c r="GDV100" s="769"/>
      <c r="GDW100" s="769"/>
      <c r="GDX100" s="769"/>
      <c r="GDY100" s="769"/>
      <c r="GDZ100" s="769"/>
      <c r="GEA100" s="769"/>
      <c r="GEB100" s="769"/>
      <c r="GEC100" s="769"/>
      <c r="GED100" s="769"/>
      <c r="GEE100" s="769"/>
      <c r="GEF100" s="769"/>
      <c r="GEG100" s="769"/>
      <c r="GEH100" s="769"/>
      <c r="GEI100" s="769"/>
      <c r="GEJ100" s="769"/>
      <c r="GEK100" s="769"/>
      <c r="GEL100" s="769"/>
      <c r="GEM100" s="769"/>
      <c r="GEN100" s="769"/>
      <c r="GEO100" s="769"/>
      <c r="GEP100" s="769"/>
      <c r="GEQ100" s="769"/>
      <c r="GER100" s="769"/>
      <c r="GES100" s="769"/>
      <c r="GET100" s="769"/>
      <c r="GEU100" s="769"/>
      <c r="GEV100" s="769"/>
      <c r="GEW100" s="769"/>
      <c r="GEX100" s="769"/>
      <c r="GEY100" s="769"/>
      <c r="GEZ100" s="769"/>
      <c r="GFA100" s="769"/>
      <c r="GFB100" s="769"/>
      <c r="GFC100" s="769"/>
      <c r="GFD100" s="769"/>
      <c r="GFE100" s="769"/>
      <c r="GFF100" s="769"/>
      <c r="GFG100" s="769"/>
      <c r="GFH100" s="769"/>
      <c r="GFI100" s="769"/>
      <c r="GFJ100" s="769"/>
      <c r="GFK100" s="769"/>
      <c r="GFL100" s="769"/>
      <c r="GFM100" s="769"/>
      <c r="GFN100" s="769"/>
      <c r="GFO100" s="769"/>
      <c r="GFP100" s="769"/>
      <c r="GFQ100" s="769"/>
      <c r="GFR100" s="769"/>
      <c r="GFS100" s="769"/>
      <c r="GFT100" s="769"/>
      <c r="GFU100" s="769"/>
      <c r="GFV100" s="769"/>
      <c r="GFW100" s="769"/>
      <c r="GFX100" s="769"/>
      <c r="GFY100" s="769"/>
      <c r="GFZ100" s="769"/>
      <c r="GGA100" s="769"/>
      <c r="GGB100" s="769"/>
      <c r="GGC100" s="769"/>
      <c r="GGD100" s="769"/>
      <c r="GGE100" s="769"/>
      <c r="GGF100" s="769"/>
      <c r="GGG100" s="769"/>
      <c r="GGH100" s="769"/>
      <c r="GGI100" s="769"/>
      <c r="GGJ100" s="769"/>
      <c r="GGK100" s="769"/>
      <c r="GGL100" s="769"/>
      <c r="GGM100" s="769"/>
      <c r="GGN100" s="769"/>
      <c r="GGO100" s="769"/>
      <c r="GGP100" s="769"/>
      <c r="GGQ100" s="769"/>
      <c r="GGR100" s="769"/>
      <c r="GGS100" s="769"/>
      <c r="GGT100" s="769"/>
      <c r="GGU100" s="769"/>
      <c r="GGV100" s="769"/>
      <c r="GGW100" s="769"/>
      <c r="GGX100" s="769"/>
      <c r="GGY100" s="769"/>
      <c r="GGZ100" s="769"/>
      <c r="GHA100" s="769"/>
      <c r="GHB100" s="769"/>
      <c r="GHC100" s="769"/>
      <c r="GHD100" s="769"/>
      <c r="GHE100" s="769"/>
      <c r="GHF100" s="769"/>
      <c r="GHG100" s="769"/>
      <c r="GHH100" s="769"/>
      <c r="GHI100" s="769"/>
      <c r="GHJ100" s="769"/>
      <c r="GHK100" s="769"/>
      <c r="GHL100" s="769"/>
      <c r="GHM100" s="769"/>
      <c r="GHN100" s="769"/>
      <c r="GHO100" s="769"/>
      <c r="GHP100" s="769"/>
      <c r="GHQ100" s="769"/>
      <c r="GHR100" s="769"/>
      <c r="GHS100" s="769"/>
      <c r="GHT100" s="769"/>
      <c r="GHU100" s="769"/>
      <c r="GHV100" s="769"/>
      <c r="GHW100" s="769"/>
      <c r="GHX100" s="769"/>
      <c r="GHY100" s="769"/>
      <c r="GHZ100" s="769"/>
      <c r="GIA100" s="769"/>
      <c r="GIB100" s="769"/>
      <c r="GIC100" s="769"/>
      <c r="GID100" s="769"/>
      <c r="GIE100" s="769"/>
      <c r="GIF100" s="769"/>
      <c r="GIG100" s="769"/>
      <c r="GIH100" s="769"/>
      <c r="GII100" s="769"/>
      <c r="GIJ100" s="769"/>
      <c r="GIK100" s="769"/>
      <c r="GIL100" s="769"/>
      <c r="GIM100" s="769"/>
      <c r="GIN100" s="769"/>
      <c r="GIO100" s="769"/>
      <c r="GIP100" s="769"/>
      <c r="GIQ100" s="769"/>
      <c r="GIR100" s="769"/>
      <c r="GIS100" s="769"/>
      <c r="GIT100" s="769"/>
      <c r="GIU100" s="769"/>
      <c r="GIV100" s="769"/>
      <c r="GIW100" s="769"/>
      <c r="GIX100" s="769"/>
      <c r="GIY100" s="769"/>
      <c r="GIZ100" s="769"/>
      <c r="GJA100" s="769"/>
      <c r="GJB100" s="769"/>
      <c r="GJC100" s="769"/>
      <c r="GJD100" s="769"/>
      <c r="GJE100" s="769"/>
      <c r="GJF100" s="769"/>
      <c r="GJG100" s="769"/>
      <c r="GJH100" s="769"/>
      <c r="GJI100" s="769"/>
      <c r="GJJ100" s="769"/>
      <c r="GJK100" s="769"/>
      <c r="GJL100" s="769"/>
      <c r="GJM100" s="769"/>
      <c r="GJN100" s="769"/>
      <c r="GJO100" s="769"/>
      <c r="GJP100" s="769"/>
      <c r="GJQ100" s="769"/>
      <c r="GJR100" s="769"/>
      <c r="GJS100" s="769"/>
      <c r="GJT100" s="769"/>
      <c r="GJU100" s="769"/>
      <c r="GJV100" s="769"/>
      <c r="GJW100" s="769"/>
      <c r="GJX100" s="769"/>
      <c r="GJY100" s="769"/>
      <c r="GJZ100" s="769"/>
      <c r="GKA100" s="769"/>
      <c r="GKB100" s="769"/>
      <c r="GKC100" s="769"/>
      <c r="GKD100" s="769"/>
      <c r="GKE100" s="769"/>
      <c r="GKF100" s="769"/>
      <c r="GKG100" s="769"/>
      <c r="GKH100" s="769"/>
      <c r="GKI100" s="769"/>
      <c r="GKJ100" s="769"/>
      <c r="GKK100" s="769"/>
      <c r="GKL100" s="769"/>
      <c r="GKM100" s="769"/>
      <c r="GKN100" s="769"/>
      <c r="GKO100" s="769"/>
      <c r="GKP100" s="769"/>
      <c r="GKQ100" s="769"/>
      <c r="GKR100" s="769"/>
      <c r="GKS100" s="769"/>
      <c r="GKT100" s="769"/>
      <c r="GKU100" s="769"/>
      <c r="GKV100" s="769"/>
      <c r="GKW100" s="769"/>
      <c r="GKX100" s="769"/>
      <c r="GKY100" s="769"/>
      <c r="GKZ100" s="769"/>
      <c r="GLA100" s="769"/>
      <c r="GLB100" s="769"/>
      <c r="GLC100" s="769"/>
      <c r="GLD100" s="769"/>
      <c r="GLE100" s="769"/>
      <c r="GLF100" s="769"/>
      <c r="GLG100" s="769"/>
      <c r="GLH100" s="769"/>
      <c r="GLI100" s="769"/>
      <c r="GLJ100" s="769"/>
      <c r="GLK100" s="769"/>
      <c r="GLL100" s="769"/>
      <c r="GLM100" s="769"/>
      <c r="GLN100" s="769"/>
      <c r="GLO100" s="769"/>
      <c r="GLP100" s="769"/>
      <c r="GLQ100" s="769"/>
      <c r="GLR100" s="769"/>
      <c r="GLS100" s="769"/>
      <c r="GLT100" s="769"/>
      <c r="GLU100" s="769"/>
      <c r="GLV100" s="769"/>
      <c r="GLW100" s="769"/>
      <c r="GLX100" s="769"/>
      <c r="GLY100" s="769"/>
      <c r="GLZ100" s="769"/>
      <c r="GMA100" s="769"/>
      <c r="GMB100" s="769"/>
      <c r="GMC100" s="769"/>
      <c r="GMD100" s="769"/>
      <c r="GME100" s="769"/>
      <c r="GMF100" s="769"/>
      <c r="GMG100" s="769"/>
      <c r="GMH100" s="769"/>
      <c r="GMI100" s="769"/>
      <c r="GMJ100" s="769"/>
      <c r="GMK100" s="769"/>
      <c r="GML100" s="769"/>
      <c r="GMM100" s="769"/>
      <c r="GMN100" s="769"/>
      <c r="GMO100" s="769"/>
      <c r="GMP100" s="769"/>
      <c r="GMQ100" s="769"/>
      <c r="GMR100" s="769"/>
      <c r="GMS100" s="769"/>
      <c r="GMT100" s="769"/>
      <c r="GMU100" s="769"/>
      <c r="GMV100" s="769"/>
      <c r="GMW100" s="769"/>
      <c r="GMX100" s="769"/>
      <c r="GMY100" s="769"/>
      <c r="GMZ100" s="769"/>
      <c r="GNA100" s="769"/>
      <c r="GNB100" s="769"/>
      <c r="GNC100" s="769"/>
      <c r="GND100" s="769"/>
      <c r="GNE100" s="769"/>
      <c r="GNF100" s="769"/>
      <c r="GNG100" s="769"/>
      <c r="GNH100" s="769"/>
      <c r="GNI100" s="769"/>
      <c r="GNJ100" s="769"/>
      <c r="GNK100" s="769"/>
      <c r="GNL100" s="769"/>
      <c r="GNM100" s="769"/>
      <c r="GNN100" s="769"/>
      <c r="GNO100" s="769"/>
      <c r="GNP100" s="769"/>
      <c r="GNQ100" s="769"/>
      <c r="GNR100" s="769"/>
      <c r="GNS100" s="769"/>
      <c r="GNT100" s="769"/>
      <c r="GNU100" s="769"/>
      <c r="GNV100" s="769"/>
      <c r="GNW100" s="769"/>
      <c r="GNX100" s="769"/>
      <c r="GNY100" s="769"/>
      <c r="GNZ100" s="769"/>
      <c r="GOA100" s="769"/>
      <c r="GOB100" s="769"/>
      <c r="GOC100" s="769"/>
      <c r="GOD100" s="769"/>
      <c r="GOE100" s="769"/>
      <c r="GOF100" s="769"/>
      <c r="GOG100" s="769"/>
      <c r="GOH100" s="769"/>
      <c r="GOI100" s="769"/>
      <c r="GOJ100" s="769"/>
      <c r="GOK100" s="769"/>
      <c r="GOL100" s="769"/>
      <c r="GOM100" s="769"/>
      <c r="GON100" s="769"/>
      <c r="GOO100" s="769"/>
      <c r="GOP100" s="769"/>
      <c r="GOQ100" s="769"/>
      <c r="GOR100" s="769"/>
      <c r="GOS100" s="769"/>
      <c r="GOT100" s="769"/>
      <c r="GOU100" s="769"/>
      <c r="GOV100" s="769"/>
      <c r="GOW100" s="769"/>
      <c r="GOX100" s="769"/>
      <c r="GOY100" s="769"/>
      <c r="GOZ100" s="769"/>
      <c r="GPA100" s="769"/>
      <c r="GPB100" s="769"/>
      <c r="GPC100" s="769"/>
      <c r="GPD100" s="769"/>
      <c r="GPE100" s="769"/>
      <c r="GPF100" s="769"/>
      <c r="GPG100" s="769"/>
      <c r="GPH100" s="769"/>
      <c r="GPI100" s="769"/>
      <c r="GPJ100" s="769"/>
      <c r="GPK100" s="769"/>
      <c r="GPL100" s="769"/>
      <c r="GPM100" s="769"/>
      <c r="GPN100" s="769"/>
      <c r="GPO100" s="769"/>
      <c r="GPP100" s="769"/>
      <c r="GPQ100" s="769"/>
      <c r="GPR100" s="769"/>
      <c r="GPS100" s="769"/>
      <c r="GPT100" s="769"/>
      <c r="GPU100" s="769"/>
      <c r="GPV100" s="769"/>
      <c r="GPW100" s="769"/>
      <c r="GPX100" s="769"/>
      <c r="GPY100" s="769"/>
      <c r="GPZ100" s="769"/>
      <c r="GQA100" s="769"/>
      <c r="GQB100" s="769"/>
      <c r="GQC100" s="769"/>
      <c r="GQD100" s="769"/>
      <c r="GQE100" s="769"/>
      <c r="GQF100" s="769"/>
      <c r="GQG100" s="769"/>
      <c r="GQH100" s="769"/>
      <c r="GQI100" s="769"/>
      <c r="GQJ100" s="769"/>
      <c r="GQK100" s="769"/>
      <c r="GQL100" s="769"/>
      <c r="GQM100" s="769"/>
      <c r="GQN100" s="769"/>
      <c r="GQO100" s="769"/>
      <c r="GQP100" s="769"/>
      <c r="GQQ100" s="769"/>
      <c r="GQR100" s="769"/>
      <c r="GQS100" s="769"/>
      <c r="GQT100" s="769"/>
      <c r="GQU100" s="769"/>
      <c r="GQV100" s="769"/>
      <c r="GQW100" s="769"/>
      <c r="GQX100" s="769"/>
      <c r="GQY100" s="769"/>
      <c r="GQZ100" s="769"/>
      <c r="GRA100" s="769"/>
      <c r="GRB100" s="769"/>
      <c r="GRC100" s="769"/>
      <c r="GRD100" s="769"/>
      <c r="GRE100" s="769"/>
      <c r="GRF100" s="769"/>
      <c r="GRG100" s="769"/>
      <c r="GRH100" s="769"/>
      <c r="GRI100" s="769"/>
      <c r="GRJ100" s="769"/>
      <c r="GRK100" s="769"/>
      <c r="GRL100" s="769"/>
      <c r="GRM100" s="769"/>
      <c r="GRN100" s="769"/>
      <c r="GRO100" s="769"/>
      <c r="GRP100" s="769"/>
      <c r="GRQ100" s="769"/>
      <c r="GRR100" s="769"/>
      <c r="GRS100" s="769"/>
      <c r="GRT100" s="769"/>
      <c r="GRU100" s="769"/>
      <c r="GRV100" s="769"/>
      <c r="GRW100" s="769"/>
      <c r="GRX100" s="769"/>
      <c r="GRY100" s="769"/>
      <c r="GRZ100" s="769"/>
      <c r="GSA100" s="769"/>
      <c r="GSB100" s="769"/>
      <c r="GSC100" s="769"/>
      <c r="GSD100" s="769"/>
      <c r="GSE100" s="769"/>
      <c r="GSF100" s="769"/>
      <c r="GSG100" s="769"/>
      <c r="GSH100" s="769"/>
      <c r="GSI100" s="769"/>
      <c r="GSJ100" s="769"/>
      <c r="GSK100" s="769"/>
      <c r="GSL100" s="769"/>
      <c r="GSM100" s="769"/>
      <c r="GSN100" s="769"/>
      <c r="GSO100" s="769"/>
      <c r="GSP100" s="769"/>
      <c r="GSQ100" s="769"/>
      <c r="GSR100" s="769"/>
      <c r="GSS100" s="769"/>
      <c r="GST100" s="769"/>
      <c r="GSU100" s="769"/>
      <c r="GSV100" s="769"/>
      <c r="GSW100" s="769"/>
      <c r="GSX100" s="769"/>
      <c r="GSY100" s="769"/>
      <c r="GSZ100" s="769"/>
      <c r="GTA100" s="769"/>
      <c r="GTB100" s="769"/>
      <c r="GTC100" s="769"/>
      <c r="GTD100" s="769"/>
      <c r="GTE100" s="769"/>
      <c r="GTF100" s="769"/>
      <c r="GTG100" s="769"/>
      <c r="GTH100" s="769"/>
      <c r="GTI100" s="769"/>
      <c r="GTJ100" s="769"/>
      <c r="GTK100" s="769"/>
      <c r="GTL100" s="769"/>
      <c r="GTM100" s="769"/>
      <c r="GTN100" s="769"/>
      <c r="GTO100" s="769"/>
      <c r="GTP100" s="769"/>
      <c r="GTQ100" s="769"/>
      <c r="GTR100" s="769"/>
      <c r="GTS100" s="769"/>
      <c r="GTT100" s="769"/>
      <c r="GTU100" s="769"/>
      <c r="GTV100" s="769"/>
      <c r="GTW100" s="769"/>
      <c r="GTX100" s="769"/>
      <c r="GTY100" s="769"/>
      <c r="GTZ100" s="769"/>
      <c r="GUA100" s="769"/>
      <c r="GUB100" s="769"/>
      <c r="GUC100" s="769"/>
      <c r="GUD100" s="769"/>
      <c r="GUE100" s="769"/>
      <c r="GUF100" s="769"/>
      <c r="GUG100" s="769"/>
      <c r="GUH100" s="769"/>
      <c r="GUI100" s="769"/>
      <c r="GUJ100" s="769"/>
      <c r="GUK100" s="769"/>
      <c r="GUL100" s="769"/>
      <c r="GUM100" s="769"/>
      <c r="GUN100" s="769"/>
      <c r="GUO100" s="769"/>
      <c r="GUP100" s="769"/>
      <c r="GUQ100" s="769"/>
      <c r="GUR100" s="769"/>
      <c r="GUS100" s="769"/>
      <c r="GUT100" s="769"/>
      <c r="GUU100" s="769"/>
      <c r="GUV100" s="769"/>
      <c r="GUW100" s="769"/>
      <c r="GUX100" s="769"/>
      <c r="GUY100" s="769"/>
      <c r="GUZ100" s="769"/>
      <c r="GVA100" s="769"/>
      <c r="GVB100" s="769"/>
      <c r="GVC100" s="769"/>
      <c r="GVD100" s="769"/>
      <c r="GVE100" s="769"/>
      <c r="GVF100" s="769"/>
      <c r="GVG100" s="769"/>
      <c r="GVH100" s="769"/>
      <c r="GVI100" s="769"/>
      <c r="GVJ100" s="769"/>
      <c r="GVK100" s="769"/>
      <c r="GVL100" s="769"/>
      <c r="GVM100" s="769"/>
      <c r="GVN100" s="769"/>
      <c r="GVO100" s="769"/>
      <c r="GVP100" s="769"/>
      <c r="GVQ100" s="769"/>
      <c r="GVR100" s="769"/>
      <c r="GVS100" s="769"/>
      <c r="GVT100" s="769"/>
      <c r="GVU100" s="769"/>
      <c r="GVV100" s="769"/>
      <c r="GVW100" s="769"/>
      <c r="GVX100" s="769"/>
      <c r="GVY100" s="769"/>
      <c r="GVZ100" s="769"/>
      <c r="GWA100" s="769"/>
      <c r="GWB100" s="769"/>
      <c r="GWC100" s="769"/>
      <c r="GWD100" s="769"/>
      <c r="GWE100" s="769"/>
      <c r="GWF100" s="769"/>
      <c r="GWG100" s="769"/>
      <c r="GWH100" s="769"/>
      <c r="GWI100" s="769"/>
      <c r="GWJ100" s="769"/>
      <c r="GWK100" s="769"/>
      <c r="GWL100" s="769"/>
      <c r="GWM100" s="769"/>
      <c r="GWN100" s="769"/>
      <c r="GWO100" s="769"/>
      <c r="GWP100" s="769"/>
      <c r="GWQ100" s="769"/>
      <c r="GWR100" s="769"/>
      <c r="GWS100" s="769"/>
      <c r="GWT100" s="769"/>
      <c r="GWU100" s="769"/>
      <c r="GWV100" s="769"/>
      <c r="GWW100" s="769"/>
      <c r="GWX100" s="769"/>
      <c r="GWY100" s="769"/>
      <c r="GWZ100" s="769"/>
      <c r="GXA100" s="769"/>
      <c r="GXB100" s="769"/>
      <c r="GXC100" s="769"/>
      <c r="GXD100" s="769"/>
      <c r="GXE100" s="769"/>
      <c r="GXF100" s="769"/>
      <c r="GXG100" s="769"/>
      <c r="GXH100" s="769"/>
      <c r="GXI100" s="769"/>
      <c r="GXJ100" s="769"/>
      <c r="GXK100" s="769"/>
      <c r="GXL100" s="769"/>
      <c r="GXM100" s="769"/>
      <c r="GXN100" s="769"/>
      <c r="GXO100" s="769"/>
      <c r="GXP100" s="769"/>
      <c r="GXQ100" s="769"/>
      <c r="GXR100" s="769"/>
      <c r="GXS100" s="769"/>
      <c r="GXT100" s="769"/>
      <c r="GXU100" s="769"/>
      <c r="GXV100" s="769"/>
      <c r="GXW100" s="769"/>
      <c r="GXX100" s="769"/>
      <c r="GXY100" s="769"/>
      <c r="GXZ100" s="769"/>
      <c r="GYA100" s="769"/>
      <c r="GYB100" s="769"/>
      <c r="GYC100" s="769"/>
      <c r="GYD100" s="769"/>
      <c r="GYE100" s="769"/>
      <c r="GYF100" s="769"/>
      <c r="GYG100" s="769"/>
      <c r="GYH100" s="769"/>
      <c r="GYI100" s="769"/>
      <c r="GYJ100" s="769"/>
      <c r="GYK100" s="769"/>
      <c r="GYL100" s="769"/>
      <c r="GYM100" s="769"/>
      <c r="GYN100" s="769"/>
      <c r="GYO100" s="769"/>
      <c r="GYP100" s="769"/>
      <c r="GYQ100" s="769"/>
      <c r="GYR100" s="769"/>
      <c r="GYS100" s="769"/>
      <c r="GYT100" s="769"/>
      <c r="GYU100" s="769"/>
      <c r="GYV100" s="769"/>
      <c r="GYW100" s="769"/>
      <c r="GYX100" s="769"/>
      <c r="GYY100" s="769"/>
      <c r="GYZ100" s="769"/>
      <c r="GZA100" s="769"/>
      <c r="GZB100" s="769"/>
      <c r="GZC100" s="769"/>
      <c r="GZD100" s="769"/>
      <c r="GZE100" s="769"/>
      <c r="GZF100" s="769"/>
      <c r="GZG100" s="769"/>
      <c r="GZH100" s="769"/>
      <c r="GZI100" s="769"/>
      <c r="GZJ100" s="769"/>
      <c r="GZK100" s="769"/>
      <c r="GZL100" s="769"/>
      <c r="GZM100" s="769"/>
      <c r="GZN100" s="769"/>
      <c r="GZO100" s="769"/>
      <c r="GZP100" s="769"/>
      <c r="GZQ100" s="769"/>
      <c r="GZR100" s="769"/>
      <c r="GZS100" s="769"/>
      <c r="GZT100" s="769"/>
      <c r="GZU100" s="769"/>
      <c r="GZV100" s="769"/>
      <c r="GZW100" s="769"/>
      <c r="GZX100" s="769"/>
      <c r="GZY100" s="769"/>
      <c r="GZZ100" s="769"/>
      <c r="HAA100" s="769"/>
      <c r="HAB100" s="769"/>
      <c r="HAC100" s="769"/>
      <c r="HAD100" s="769"/>
      <c r="HAE100" s="769"/>
      <c r="HAF100" s="769"/>
      <c r="HAG100" s="769"/>
      <c r="HAH100" s="769"/>
      <c r="HAI100" s="769"/>
      <c r="HAJ100" s="769"/>
      <c r="HAK100" s="769"/>
      <c r="HAL100" s="769"/>
      <c r="HAM100" s="769"/>
      <c r="HAN100" s="769"/>
      <c r="HAO100" s="769"/>
      <c r="HAP100" s="769"/>
      <c r="HAQ100" s="769"/>
      <c r="HAR100" s="769"/>
      <c r="HAS100" s="769"/>
      <c r="HAT100" s="769"/>
      <c r="HAU100" s="769"/>
      <c r="HAV100" s="769"/>
      <c r="HAW100" s="769"/>
      <c r="HAX100" s="769"/>
      <c r="HAY100" s="769"/>
      <c r="HAZ100" s="769"/>
      <c r="HBA100" s="769"/>
      <c r="HBB100" s="769"/>
      <c r="HBC100" s="769"/>
      <c r="HBD100" s="769"/>
      <c r="HBE100" s="769"/>
      <c r="HBF100" s="769"/>
      <c r="HBG100" s="769"/>
      <c r="HBH100" s="769"/>
      <c r="HBI100" s="769"/>
      <c r="HBJ100" s="769"/>
      <c r="HBK100" s="769"/>
      <c r="HBL100" s="769"/>
      <c r="HBM100" s="769"/>
      <c r="HBN100" s="769"/>
      <c r="HBO100" s="769"/>
      <c r="HBP100" s="769"/>
      <c r="HBQ100" s="769"/>
      <c r="HBR100" s="769"/>
      <c r="HBS100" s="769"/>
      <c r="HBT100" s="769"/>
      <c r="HBU100" s="769"/>
      <c r="HBV100" s="769"/>
      <c r="HBW100" s="769"/>
      <c r="HBX100" s="769"/>
      <c r="HBY100" s="769"/>
      <c r="HBZ100" s="769"/>
      <c r="HCA100" s="769"/>
      <c r="HCB100" s="769"/>
      <c r="HCC100" s="769"/>
      <c r="HCD100" s="769"/>
      <c r="HCE100" s="769"/>
      <c r="HCF100" s="769"/>
      <c r="HCG100" s="769"/>
      <c r="HCH100" s="769"/>
      <c r="HCI100" s="769"/>
      <c r="HCJ100" s="769"/>
      <c r="HCK100" s="769"/>
      <c r="HCL100" s="769"/>
      <c r="HCM100" s="769"/>
      <c r="HCN100" s="769"/>
      <c r="HCO100" s="769"/>
      <c r="HCP100" s="769"/>
      <c r="HCQ100" s="769"/>
      <c r="HCR100" s="769"/>
      <c r="HCS100" s="769"/>
      <c r="HCT100" s="769"/>
      <c r="HCU100" s="769"/>
      <c r="HCV100" s="769"/>
      <c r="HCW100" s="769"/>
      <c r="HCX100" s="769"/>
      <c r="HCY100" s="769"/>
      <c r="HCZ100" s="769"/>
      <c r="HDA100" s="769"/>
      <c r="HDB100" s="769"/>
      <c r="HDC100" s="769"/>
      <c r="HDD100" s="769"/>
      <c r="HDE100" s="769"/>
      <c r="HDF100" s="769"/>
      <c r="HDG100" s="769"/>
      <c r="HDH100" s="769"/>
      <c r="HDI100" s="769"/>
      <c r="HDJ100" s="769"/>
      <c r="HDK100" s="769"/>
      <c r="HDL100" s="769"/>
      <c r="HDM100" s="769"/>
      <c r="HDN100" s="769"/>
      <c r="HDO100" s="769"/>
      <c r="HDP100" s="769"/>
      <c r="HDQ100" s="769"/>
      <c r="HDR100" s="769"/>
      <c r="HDS100" s="769"/>
      <c r="HDT100" s="769"/>
      <c r="HDU100" s="769"/>
      <c r="HDV100" s="769"/>
      <c r="HDW100" s="769"/>
      <c r="HDX100" s="769"/>
      <c r="HDY100" s="769"/>
      <c r="HDZ100" s="769"/>
      <c r="HEA100" s="769"/>
      <c r="HEB100" s="769"/>
      <c r="HEC100" s="769"/>
      <c r="HED100" s="769"/>
      <c r="HEE100" s="769"/>
      <c r="HEF100" s="769"/>
      <c r="HEG100" s="769"/>
      <c r="HEH100" s="769"/>
      <c r="HEI100" s="769"/>
      <c r="HEJ100" s="769"/>
      <c r="HEK100" s="769"/>
      <c r="HEL100" s="769"/>
      <c r="HEM100" s="769"/>
      <c r="HEN100" s="769"/>
      <c r="HEO100" s="769"/>
      <c r="HEP100" s="769"/>
      <c r="HEQ100" s="769"/>
      <c r="HER100" s="769"/>
      <c r="HES100" s="769"/>
      <c r="HET100" s="769"/>
      <c r="HEU100" s="769"/>
      <c r="HEV100" s="769"/>
      <c r="HEW100" s="769"/>
      <c r="HEX100" s="769"/>
      <c r="HEY100" s="769"/>
      <c r="HEZ100" s="769"/>
      <c r="HFA100" s="769"/>
      <c r="HFB100" s="769"/>
      <c r="HFC100" s="769"/>
      <c r="HFD100" s="769"/>
      <c r="HFE100" s="769"/>
      <c r="HFF100" s="769"/>
      <c r="HFG100" s="769"/>
      <c r="HFH100" s="769"/>
      <c r="HFI100" s="769"/>
      <c r="HFJ100" s="769"/>
      <c r="HFK100" s="769"/>
      <c r="HFL100" s="769"/>
      <c r="HFM100" s="769"/>
      <c r="HFN100" s="769"/>
      <c r="HFO100" s="769"/>
      <c r="HFP100" s="769"/>
      <c r="HFQ100" s="769"/>
      <c r="HFR100" s="769"/>
      <c r="HFS100" s="769"/>
      <c r="HFT100" s="769"/>
      <c r="HFU100" s="769"/>
      <c r="HFV100" s="769"/>
      <c r="HFW100" s="769"/>
      <c r="HFX100" s="769"/>
      <c r="HFY100" s="769"/>
      <c r="HFZ100" s="769"/>
      <c r="HGA100" s="769"/>
      <c r="HGB100" s="769"/>
      <c r="HGC100" s="769"/>
      <c r="HGD100" s="769"/>
      <c r="HGE100" s="769"/>
      <c r="HGF100" s="769"/>
      <c r="HGG100" s="769"/>
      <c r="HGH100" s="769"/>
      <c r="HGI100" s="769"/>
      <c r="HGJ100" s="769"/>
      <c r="HGK100" s="769"/>
      <c r="HGL100" s="769"/>
      <c r="HGM100" s="769"/>
      <c r="HGN100" s="769"/>
      <c r="HGO100" s="769"/>
      <c r="HGP100" s="769"/>
      <c r="HGQ100" s="769"/>
      <c r="HGR100" s="769"/>
      <c r="HGS100" s="769"/>
      <c r="HGT100" s="769"/>
      <c r="HGU100" s="769"/>
      <c r="HGV100" s="769"/>
      <c r="HGW100" s="769"/>
      <c r="HGX100" s="769"/>
      <c r="HGY100" s="769"/>
      <c r="HGZ100" s="769"/>
      <c r="HHA100" s="769"/>
      <c r="HHB100" s="769"/>
      <c r="HHC100" s="769"/>
      <c r="HHD100" s="769"/>
      <c r="HHE100" s="769"/>
      <c r="HHF100" s="769"/>
      <c r="HHG100" s="769"/>
      <c r="HHH100" s="769"/>
      <c r="HHI100" s="769"/>
      <c r="HHJ100" s="769"/>
      <c r="HHK100" s="769"/>
      <c r="HHL100" s="769"/>
      <c r="HHM100" s="769"/>
      <c r="HHN100" s="769"/>
      <c r="HHO100" s="769"/>
      <c r="HHP100" s="769"/>
      <c r="HHQ100" s="769"/>
      <c r="HHR100" s="769"/>
      <c r="HHS100" s="769"/>
      <c r="HHT100" s="769"/>
      <c r="HHU100" s="769"/>
      <c r="HHV100" s="769"/>
      <c r="HHW100" s="769"/>
      <c r="HHX100" s="769"/>
      <c r="HHY100" s="769"/>
      <c r="HHZ100" s="769"/>
      <c r="HIA100" s="769"/>
      <c r="HIB100" s="769"/>
      <c r="HIC100" s="769"/>
      <c r="HID100" s="769"/>
      <c r="HIE100" s="769"/>
      <c r="HIF100" s="769"/>
      <c r="HIG100" s="769"/>
      <c r="HIH100" s="769"/>
      <c r="HII100" s="769"/>
      <c r="HIJ100" s="769"/>
      <c r="HIK100" s="769"/>
      <c r="HIL100" s="769"/>
      <c r="HIM100" s="769"/>
      <c r="HIN100" s="769"/>
      <c r="HIO100" s="769"/>
      <c r="HIP100" s="769"/>
      <c r="HIQ100" s="769"/>
      <c r="HIR100" s="769"/>
      <c r="HIS100" s="769"/>
      <c r="HIT100" s="769"/>
      <c r="HIU100" s="769"/>
      <c r="HIV100" s="769"/>
      <c r="HIW100" s="769"/>
      <c r="HIX100" s="769"/>
      <c r="HIY100" s="769"/>
      <c r="HIZ100" s="769"/>
      <c r="HJA100" s="769"/>
      <c r="HJB100" s="769"/>
      <c r="HJC100" s="769"/>
      <c r="HJD100" s="769"/>
      <c r="HJE100" s="769"/>
      <c r="HJF100" s="769"/>
      <c r="HJG100" s="769"/>
      <c r="HJH100" s="769"/>
      <c r="HJI100" s="769"/>
      <c r="HJJ100" s="769"/>
      <c r="HJK100" s="769"/>
      <c r="HJL100" s="769"/>
      <c r="HJM100" s="769"/>
      <c r="HJN100" s="769"/>
      <c r="HJO100" s="769"/>
      <c r="HJP100" s="769"/>
      <c r="HJQ100" s="769"/>
      <c r="HJR100" s="769"/>
      <c r="HJS100" s="769"/>
      <c r="HJT100" s="769"/>
      <c r="HJU100" s="769"/>
      <c r="HJV100" s="769"/>
      <c r="HJW100" s="769"/>
      <c r="HJX100" s="769"/>
      <c r="HJY100" s="769"/>
      <c r="HJZ100" s="769"/>
      <c r="HKA100" s="769"/>
      <c r="HKB100" s="769"/>
      <c r="HKC100" s="769"/>
      <c r="HKD100" s="769"/>
      <c r="HKE100" s="769"/>
      <c r="HKF100" s="769"/>
      <c r="HKG100" s="769"/>
      <c r="HKH100" s="769"/>
      <c r="HKI100" s="769"/>
      <c r="HKJ100" s="769"/>
      <c r="HKK100" s="769"/>
      <c r="HKL100" s="769"/>
      <c r="HKM100" s="769"/>
      <c r="HKN100" s="769"/>
      <c r="HKO100" s="769"/>
      <c r="HKP100" s="769"/>
      <c r="HKQ100" s="769"/>
      <c r="HKR100" s="769"/>
      <c r="HKS100" s="769"/>
      <c r="HKT100" s="769"/>
      <c r="HKU100" s="769"/>
      <c r="HKV100" s="769"/>
      <c r="HKW100" s="769"/>
      <c r="HKX100" s="769"/>
      <c r="HKY100" s="769"/>
      <c r="HKZ100" s="769"/>
      <c r="HLA100" s="769"/>
      <c r="HLB100" s="769"/>
      <c r="HLC100" s="769"/>
      <c r="HLD100" s="769"/>
      <c r="HLE100" s="769"/>
      <c r="HLF100" s="769"/>
      <c r="HLG100" s="769"/>
      <c r="HLH100" s="769"/>
      <c r="HLI100" s="769"/>
      <c r="HLJ100" s="769"/>
      <c r="HLK100" s="769"/>
      <c r="HLL100" s="769"/>
      <c r="HLM100" s="769"/>
      <c r="HLN100" s="769"/>
      <c r="HLO100" s="769"/>
      <c r="HLP100" s="769"/>
      <c r="HLQ100" s="769"/>
      <c r="HLR100" s="769"/>
      <c r="HLS100" s="769"/>
      <c r="HLT100" s="769"/>
      <c r="HLU100" s="769"/>
      <c r="HLV100" s="769"/>
      <c r="HLW100" s="769"/>
      <c r="HLX100" s="769"/>
      <c r="HLY100" s="769"/>
      <c r="HLZ100" s="769"/>
      <c r="HMA100" s="769"/>
      <c r="HMB100" s="769"/>
      <c r="HMC100" s="769"/>
      <c r="HMD100" s="769"/>
      <c r="HME100" s="769"/>
      <c r="HMF100" s="769"/>
      <c r="HMG100" s="769"/>
      <c r="HMH100" s="769"/>
      <c r="HMI100" s="769"/>
      <c r="HMJ100" s="769"/>
      <c r="HMK100" s="769"/>
      <c r="HML100" s="769"/>
      <c r="HMM100" s="769"/>
      <c r="HMN100" s="769"/>
      <c r="HMO100" s="769"/>
      <c r="HMP100" s="769"/>
      <c r="HMQ100" s="769"/>
      <c r="HMR100" s="769"/>
      <c r="HMS100" s="769"/>
      <c r="HMT100" s="769"/>
      <c r="HMU100" s="769"/>
      <c r="HMV100" s="769"/>
      <c r="HMW100" s="769"/>
      <c r="HMX100" s="769"/>
      <c r="HMY100" s="769"/>
      <c r="HMZ100" s="769"/>
      <c r="HNA100" s="769"/>
      <c r="HNB100" s="769"/>
      <c r="HNC100" s="769"/>
      <c r="HND100" s="769"/>
      <c r="HNE100" s="769"/>
      <c r="HNF100" s="769"/>
      <c r="HNG100" s="769"/>
      <c r="HNH100" s="769"/>
      <c r="HNI100" s="769"/>
      <c r="HNJ100" s="769"/>
      <c r="HNK100" s="769"/>
      <c r="HNL100" s="769"/>
      <c r="HNM100" s="769"/>
      <c r="HNN100" s="769"/>
      <c r="HNO100" s="769"/>
      <c r="HNP100" s="769"/>
      <c r="HNQ100" s="769"/>
      <c r="HNR100" s="769"/>
      <c r="HNS100" s="769"/>
      <c r="HNT100" s="769"/>
      <c r="HNU100" s="769"/>
      <c r="HNV100" s="769"/>
      <c r="HNW100" s="769"/>
      <c r="HNX100" s="769"/>
      <c r="HNY100" s="769"/>
      <c r="HNZ100" s="769"/>
      <c r="HOA100" s="769"/>
      <c r="HOB100" s="769"/>
      <c r="HOC100" s="769"/>
      <c r="HOD100" s="769"/>
      <c r="HOE100" s="769"/>
      <c r="HOF100" s="769"/>
      <c r="HOG100" s="769"/>
      <c r="HOH100" s="769"/>
      <c r="HOI100" s="769"/>
      <c r="HOJ100" s="769"/>
      <c r="HOK100" s="769"/>
      <c r="HOL100" s="769"/>
      <c r="HOM100" s="769"/>
      <c r="HON100" s="769"/>
      <c r="HOO100" s="769"/>
      <c r="HOP100" s="769"/>
      <c r="HOQ100" s="769"/>
      <c r="HOR100" s="769"/>
      <c r="HOS100" s="769"/>
      <c r="HOT100" s="769"/>
      <c r="HOU100" s="769"/>
      <c r="HOV100" s="769"/>
      <c r="HOW100" s="769"/>
      <c r="HOX100" s="769"/>
      <c r="HOY100" s="769"/>
      <c r="HOZ100" s="769"/>
      <c r="HPA100" s="769"/>
      <c r="HPB100" s="769"/>
      <c r="HPC100" s="769"/>
      <c r="HPD100" s="769"/>
      <c r="HPE100" s="769"/>
      <c r="HPF100" s="769"/>
      <c r="HPG100" s="769"/>
      <c r="HPH100" s="769"/>
      <c r="HPI100" s="769"/>
      <c r="HPJ100" s="769"/>
      <c r="HPK100" s="769"/>
      <c r="HPL100" s="769"/>
      <c r="HPM100" s="769"/>
      <c r="HPN100" s="769"/>
      <c r="HPO100" s="769"/>
      <c r="HPP100" s="769"/>
      <c r="HPQ100" s="769"/>
      <c r="HPR100" s="769"/>
      <c r="HPS100" s="769"/>
      <c r="HPT100" s="769"/>
      <c r="HPU100" s="769"/>
      <c r="HPV100" s="769"/>
      <c r="HPW100" s="769"/>
      <c r="HPX100" s="769"/>
      <c r="HPY100" s="769"/>
      <c r="HPZ100" s="769"/>
      <c r="HQA100" s="769"/>
      <c r="HQB100" s="769"/>
      <c r="HQC100" s="769"/>
      <c r="HQD100" s="769"/>
      <c r="HQE100" s="769"/>
      <c r="HQF100" s="769"/>
      <c r="HQG100" s="769"/>
      <c r="HQH100" s="769"/>
      <c r="HQI100" s="769"/>
      <c r="HQJ100" s="769"/>
      <c r="HQK100" s="769"/>
      <c r="HQL100" s="769"/>
      <c r="HQM100" s="769"/>
      <c r="HQN100" s="769"/>
      <c r="HQO100" s="769"/>
      <c r="HQP100" s="769"/>
      <c r="HQQ100" s="769"/>
      <c r="HQR100" s="769"/>
      <c r="HQS100" s="769"/>
      <c r="HQT100" s="769"/>
      <c r="HQU100" s="769"/>
      <c r="HQV100" s="769"/>
      <c r="HQW100" s="769"/>
      <c r="HQX100" s="769"/>
      <c r="HQY100" s="769"/>
      <c r="HQZ100" s="769"/>
      <c r="HRA100" s="769"/>
      <c r="HRB100" s="769"/>
      <c r="HRC100" s="769"/>
      <c r="HRD100" s="769"/>
      <c r="HRE100" s="769"/>
      <c r="HRF100" s="769"/>
      <c r="HRG100" s="769"/>
      <c r="HRH100" s="769"/>
      <c r="HRI100" s="769"/>
      <c r="HRJ100" s="769"/>
      <c r="HRK100" s="769"/>
      <c r="HRL100" s="769"/>
      <c r="HRM100" s="769"/>
      <c r="HRN100" s="769"/>
      <c r="HRO100" s="769"/>
      <c r="HRP100" s="769"/>
      <c r="HRQ100" s="769"/>
      <c r="HRR100" s="769"/>
      <c r="HRS100" s="769"/>
      <c r="HRT100" s="769"/>
      <c r="HRU100" s="769"/>
      <c r="HRV100" s="769"/>
      <c r="HRW100" s="769"/>
      <c r="HRX100" s="769"/>
      <c r="HRY100" s="769"/>
      <c r="HRZ100" s="769"/>
      <c r="HSA100" s="769"/>
      <c r="HSB100" s="769"/>
      <c r="HSC100" s="769"/>
      <c r="HSD100" s="769"/>
      <c r="HSE100" s="769"/>
      <c r="HSF100" s="769"/>
      <c r="HSG100" s="769"/>
      <c r="HSH100" s="769"/>
      <c r="HSI100" s="769"/>
      <c r="HSJ100" s="769"/>
      <c r="HSK100" s="769"/>
      <c r="HSL100" s="769"/>
      <c r="HSM100" s="769"/>
      <c r="HSN100" s="769"/>
      <c r="HSO100" s="769"/>
      <c r="HSP100" s="769"/>
      <c r="HSQ100" s="769"/>
      <c r="HSR100" s="769"/>
      <c r="HSS100" s="769"/>
      <c r="HST100" s="769"/>
      <c r="HSU100" s="769"/>
      <c r="HSV100" s="769"/>
      <c r="HSW100" s="769"/>
      <c r="HSX100" s="769"/>
      <c r="HSY100" s="769"/>
      <c r="HSZ100" s="769"/>
      <c r="HTA100" s="769"/>
      <c r="HTB100" s="769"/>
      <c r="HTC100" s="769"/>
      <c r="HTD100" s="769"/>
      <c r="HTE100" s="769"/>
      <c r="HTF100" s="769"/>
      <c r="HTG100" s="769"/>
      <c r="HTH100" s="769"/>
      <c r="HTI100" s="769"/>
      <c r="HTJ100" s="769"/>
      <c r="HTK100" s="769"/>
      <c r="HTL100" s="769"/>
      <c r="HTM100" s="769"/>
      <c r="HTN100" s="769"/>
      <c r="HTO100" s="769"/>
      <c r="HTP100" s="769"/>
      <c r="HTQ100" s="769"/>
      <c r="HTR100" s="769"/>
      <c r="HTS100" s="769"/>
      <c r="HTT100" s="769"/>
      <c r="HTU100" s="769"/>
      <c r="HTV100" s="769"/>
      <c r="HTW100" s="769"/>
      <c r="HTX100" s="769"/>
      <c r="HTY100" s="769"/>
      <c r="HTZ100" s="769"/>
      <c r="HUA100" s="769"/>
      <c r="HUB100" s="769"/>
      <c r="HUC100" s="769"/>
      <c r="HUD100" s="769"/>
      <c r="HUE100" s="769"/>
      <c r="HUF100" s="769"/>
      <c r="HUG100" s="769"/>
      <c r="HUH100" s="769"/>
      <c r="HUI100" s="769"/>
      <c r="HUJ100" s="769"/>
      <c r="HUK100" s="769"/>
      <c r="HUL100" s="769"/>
      <c r="HUM100" s="769"/>
      <c r="HUN100" s="769"/>
      <c r="HUO100" s="769"/>
      <c r="HUP100" s="769"/>
      <c r="HUQ100" s="769"/>
      <c r="HUR100" s="769"/>
      <c r="HUS100" s="769"/>
      <c r="HUT100" s="769"/>
      <c r="HUU100" s="769"/>
      <c r="HUV100" s="769"/>
      <c r="HUW100" s="769"/>
      <c r="HUX100" s="769"/>
      <c r="HUY100" s="769"/>
      <c r="HUZ100" s="769"/>
      <c r="HVA100" s="769"/>
      <c r="HVB100" s="769"/>
      <c r="HVC100" s="769"/>
      <c r="HVD100" s="769"/>
      <c r="HVE100" s="769"/>
      <c r="HVF100" s="769"/>
      <c r="HVG100" s="769"/>
      <c r="HVH100" s="769"/>
      <c r="HVI100" s="769"/>
      <c r="HVJ100" s="769"/>
      <c r="HVK100" s="769"/>
      <c r="HVL100" s="769"/>
      <c r="HVM100" s="769"/>
      <c r="HVN100" s="769"/>
      <c r="HVO100" s="769"/>
      <c r="HVP100" s="769"/>
      <c r="HVQ100" s="769"/>
      <c r="HVR100" s="769"/>
      <c r="HVS100" s="769"/>
      <c r="HVT100" s="769"/>
      <c r="HVU100" s="769"/>
      <c r="HVV100" s="769"/>
      <c r="HVW100" s="769"/>
      <c r="HVX100" s="769"/>
      <c r="HVY100" s="769"/>
      <c r="HVZ100" s="769"/>
      <c r="HWA100" s="769"/>
      <c r="HWB100" s="769"/>
      <c r="HWC100" s="769"/>
      <c r="HWD100" s="769"/>
      <c r="HWE100" s="769"/>
      <c r="HWF100" s="769"/>
      <c r="HWG100" s="769"/>
      <c r="HWH100" s="769"/>
      <c r="HWI100" s="769"/>
      <c r="HWJ100" s="769"/>
      <c r="HWK100" s="769"/>
      <c r="HWL100" s="769"/>
      <c r="HWM100" s="769"/>
      <c r="HWN100" s="769"/>
      <c r="HWO100" s="769"/>
      <c r="HWP100" s="769"/>
      <c r="HWQ100" s="769"/>
      <c r="HWR100" s="769"/>
      <c r="HWS100" s="769"/>
      <c r="HWT100" s="769"/>
      <c r="HWU100" s="769"/>
      <c r="HWV100" s="769"/>
      <c r="HWW100" s="769"/>
      <c r="HWX100" s="769"/>
      <c r="HWY100" s="769"/>
      <c r="HWZ100" s="769"/>
      <c r="HXA100" s="769"/>
      <c r="HXB100" s="769"/>
      <c r="HXC100" s="769"/>
      <c r="HXD100" s="769"/>
      <c r="HXE100" s="769"/>
      <c r="HXF100" s="769"/>
      <c r="HXG100" s="769"/>
      <c r="HXH100" s="769"/>
      <c r="HXI100" s="769"/>
      <c r="HXJ100" s="769"/>
      <c r="HXK100" s="769"/>
      <c r="HXL100" s="769"/>
      <c r="HXM100" s="769"/>
      <c r="HXN100" s="769"/>
      <c r="HXO100" s="769"/>
      <c r="HXP100" s="769"/>
      <c r="HXQ100" s="769"/>
      <c r="HXR100" s="769"/>
      <c r="HXS100" s="769"/>
      <c r="HXT100" s="769"/>
      <c r="HXU100" s="769"/>
      <c r="HXV100" s="769"/>
      <c r="HXW100" s="769"/>
      <c r="HXX100" s="769"/>
      <c r="HXY100" s="769"/>
      <c r="HXZ100" s="769"/>
      <c r="HYA100" s="769"/>
      <c r="HYB100" s="769"/>
      <c r="HYC100" s="769"/>
      <c r="HYD100" s="769"/>
      <c r="HYE100" s="769"/>
      <c r="HYF100" s="769"/>
      <c r="HYG100" s="769"/>
      <c r="HYH100" s="769"/>
      <c r="HYI100" s="769"/>
      <c r="HYJ100" s="769"/>
      <c r="HYK100" s="769"/>
      <c r="HYL100" s="769"/>
      <c r="HYM100" s="769"/>
      <c r="HYN100" s="769"/>
      <c r="HYO100" s="769"/>
      <c r="HYP100" s="769"/>
      <c r="HYQ100" s="769"/>
      <c r="HYR100" s="769"/>
      <c r="HYS100" s="769"/>
      <c r="HYT100" s="769"/>
      <c r="HYU100" s="769"/>
      <c r="HYV100" s="769"/>
      <c r="HYW100" s="769"/>
      <c r="HYX100" s="769"/>
      <c r="HYY100" s="769"/>
      <c r="HYZ100" s="769"/>
      <c r="HZA100" s="769"/>
      <c r="HZB100" s="769"/>
      <c r="HZC100" s="769"/>
      <c r="HZD100" s="769"/>
      <c r="HZE100" s="769"/>
      <c r="HZF100" s="769"/>
      <c r="HZG100" s="769"/>
      <c r="HZH100" s="769"/>
      <c r="HZI100" s="769"/>
      <c r="HZJ100" s="769"/>
      <c r="HZK100" s="769"/>
      <c r="HZL100" s="769"/>
      <c r="HZM100" s="769"/>
      <c r="HZN100" s="769"/>
      <c r="HZO100" s="769"/>
      <c r="HZP100" s="769"/>
      <c r="HZQ100" s="769"/>
      <c r="HZR100" s="769"/>
      <c r="HZS100" s="769"/>
      <c r="HZT100" s="769"/>
      <c r="HZU100" s="769"/>
      <c r="HZV100" s="769"/>
      <c r="HZW100" s="769"/>
      <c r="HZX100" s="769"/>
      <c r="HZY100" s="769"/>
      <c r="HZZ100" s="769"/>
      <c r="IAA100" s="769"/>
      <c r="IAB100" s="769"/>
      <c r="IAC100" s="769"/>
      <c r="IAD100" s="769"/>
      <c r="IAE100" s="769"/>
      <c r="IAF100" s="769"/>
      <c r="IAG100" s="769"/>
      <c r="IAH100" s="769"/>
      <c r="IAI100" s="769"/>
      <c r="IAJ100" s="769"/>
      <c r="IAK100" s="769"/>
      <c r="IAL100" s="769"/>
      <c r="IAM100" s="769"/>
      <c r="IAN100" s="769"/>
      <c r="IAO100" s="769"/>
      <c r="IAP100" s="769"/>
      <c r="IAQ100" s="769"/>
      <c r="IAR100" s="769"/>
      <c r="IAS100" s="769"/>
      <c r="IAT100" s="769"/>
      <c r="IAU100" s="769"/>
      <c r="IAV100" s="769"/>
      <c r="IAW100" s="769"/>
      <c r="IAX100" s="769"/>
      <c r="IAY100" s="769"/>
      <c r="IAZ100" s="769"/>
      <c r="IBA100" s="769"/>
      <c r="IBB100" s="769"/>
      <c r="IBC100" s="769"/>
      <c r="IBD100" s="769"/>
      <c r="IBE100" s="769"/>
      <c r="IBF100" s="769"/>
      <c r="IBG100" s="769"/>
      <c r="IBH100" s="769"/>
      <c r="IBI100" s="769"/>
      <c r="IBJ100" s="769"/>
      <c r="IBK100" s="769"/>
      <c r="IBL100" s="769"/>
      <c r="IBM100" s="769"/>
      <c r="IBN100" s="769"/>
      <c r="IBO100" s="769"/>
      <c r="IBP100" s="769"/>
      <c r="IBQ100" s="769"/>
      <c r="IBR100" s="769"/>
      <c r="IBS100" s="769"/>
      <c r="IBT100" s="769"/>
      <c r="IBU100" s="769"/>
      <c r="IBV100" s="769"/>
      <c r="IBW100" s="769"/>
      <c r="IBX100" s="769"/>
      <c r="IBY100" s="769"/>
      <c r="IBZ100" s="769"/>
      <c r="ICA100" s="769"/>
      <c r="ICB100" s="769"/>
      <c r="ICC100" s="769"/>
      <c r="ICD100" s="769"/>
      <c r="ICE100" s="769"/>
      <c r="ICF100" s="769"/>
      <c r="ICG100" s="769"/>
      <c r="ICH100" s="769"/>
      <c r="ICI100" s="769"/>
      <c r="ICJ100" s="769"/>
      <c r="ICK100" s="769"/>
      <c r="ICL100" s="769"/>
      <c r="ICM100" s="769"/>
      <c r="ICN100" s="769"/>
      <c r="ICO100" s="769"/>
      <c r="ICP100" s="769"/>
      <c r="ICQ100" s="769"/>
      <c r="ICR100" s="769"/>
      <c r="ICS100" s="769"/>
      <c r="ICT100" s="769"/>
      <c r="ICU100" s="769"/>
      <c r="ICV100" s="769"/>
      <c r="ICW100" s="769"/>
      <c r="ICX100" s="769"/>
      <c r="ICY100" s="769"/>
      <c r="ICZ100" s="769"/>
      <c r="IDA100" s="769"/>
      <c r="IDB100" s="769"/>
      <c r="IDC100" s="769"/>
      <c r="IDD100" s="769"/>
      <c r="IDE100" s="769"/>
      <c r="IDF100" s="769"/>
      <c r="IDG100" s="769"/>
      <c r="IDH100" s="769"/>
      <c r="IDI100" s="769"/>
      <c r="IDJ100" s="769"/>
      <c r="IDK100" s="769"/>
      <c r="IDL100" s="769"/>
      <c r="IDM100" s="769"/>
      <c r="IDN100" s="769"/>
      <c r="IDO100" s="769"/>
      <c r="IDP100" s="769"/>
      <c r="IDQ100" s="769"/>
      <c r="IDR100" s="769"/>
      <c r="IDS100" s="769"/>
      <c r="IDT100" s="769"/>
      <c r="IDU100" s="769"/>
      <c r="IDV100" s="769"/>
      <c r="IDW100" s="769"/>
      <c r="IDX100" s="769"/>
      <c r="IDY100" s="769"/>
      <c r="IDZ100" s="769"/>
      <c r="IEA100" s="769"/>
      <c r="IEB100" s="769"/>
      <c r="IEC100" s="769"/>
      <c r="IED100" s="769"/>
      <c r="IEE100" s="769"/>
      <c r="IEF100" s="769"/>
      <c r="IEG100" s="769"/>
      <c r="IEH100" s="769"/>
      <c r="IEI100" s="769"/>
      <c r="IEJ100" s="769"/>
      <c r="IEK100" s="769"/>
      <c r="IEL100" s="769"/>
      <c r="IEM100" s="769"/>
      <c r="IEN100" s="769"/>
      <c r="IEO100" s="769"/>
      <c r="IEP100" s="769"/>
      <c r="IEQ100" s="769"/>
      <c r="IER100" s="769"/>
      <c r="IES100" s="769"/>
      <c r="IET100" s="769"/>
      <c r="IEU100" s="769"/>
      <c r="IEV100" s="769"/>
      <c r="IEW100" s="769"/>
      <c r="IEX100" s="769"/>
      <c r="IEY100" s="769"/>
      <c r="IEZ100" s="769"/>
      <c r="IFA100" s="769"/>
      <c r="IFB100" s="769"/>
      <c r="IFC100" s="769"/>
      <c r="IFD100" s="769"/>
      <c r="IFE100" s="769"/>
      <c r="IFF100" s="769"/>
      <c r="IFG100" s="769"/>
      <c r="IFH100" s="769"/>
      <c r="IFI100" s="769"/>
      <c r="IFJ100" s="769"/>
      <c r="IFK100" s="769"/>
      <c r="IFL100" s="769"/>
      <c r="IFM100" s="769"/>
      <c r="IFN100" s="769"/>
      <c r="IFO100" s="769"/>
      <c r="IFP100" s="769"/>
      <c r="IFQ100" s="769"/>
      <c r="IFR100" s="769"/>
      <c r="IFS100" s="769"/>
      <c r="IFT100" s="769"/>
      <c r="IFU100" s="769"/>
      <c r="IFV100" s="769"/>
      <c r="IFW100" s="769"/>
      <c r="IFX100" s="769"/>
      <c r="IFY100" s="769"/>
      <c r="IFZ100" s="769"/>
      <c r="IGA100" s="769"/>
      <c r="IGB100" s="769"/>
      <c r="IGC100" s="769"/>
      <c r="IGD100" s="769"/>
      <c r="IGE100" s="769"/>
      <c r="IGF100" s="769"/>
      <c r="IGG100" s="769"/>
      <c r="IGH100" s="769"/>
      <c r="IGI100" s="769"/>
      <c r="IGJ100" s="769"/>
      <c r="IGK100" s="769"/>
      <c r="IGL100" s="769"/>
      <c r="IGM100" s="769"/>
      <c r="IGN100" s="769"/>
      <c r="IGO100" s="769"/>
      <c r="IGP100" s="769"/>
      <c r="IGQ100" s="769"/>
      <c r="IGR100" s="769"/>
      <c r="IGS100" s="769"/>
      <c r="IGT100" s="769"/>
      <c r="IGU100" s="769"/>
      <c r="IGV100" s="769"/>
      <c r="IGW100" s="769"/>
      <c r="IGX100" s="769"/>
      <c r="IGY100" s="769"/>
      <c r="IGZ100" s="769"/>
      <c r="IHA100" s="769"/>
      <c r="IHB100" s="769"/>
      <c r="IHC100" s="769"/>
      <c r="IHD100" s="769"/>
      <c r="IHE100" s="769"/>
      <c r="IHF100" s="769"/>
      <c r="IHG100" s="769"/>
      <c r="IHH100" s="769"/>
      <c r="IHI100" s="769"/>
      <c r="IHJ100" s="769"/>
      <c r="IHK100" s="769"/>
      <c r="IHL100" s="769"/>
      <c r="IHM100" s="769"/>
      <c r="IHN100" s="769"/>
      <c r="IHO100" s="769"/>
      <c r="IHP100" s="769"/>
      <c r="IHQ100" s="769"/>
      <c r="IHR100" s="769"/>
      <c r="IHS100" s="769"/>
      <c r="IHT100" s="769"/>
      <c r="IHU100" s="769"/>
      <c r="IHV100" s="769"/>
      <c r="IHW100" s="769"/>
      <c r="IHX100" s="769"/>
      <c r="IHY100" s="769"/>
      <c r="IHZ100" s="769"/>
      <c r="IIA100" s="769"/>
      <c r="IIB100" s="769"/>
      <c r="IIC100" s="769"/>
      <c r="IID100" s="769"/>
      <c r="IIE100" s="769"/>
      <c r="IIF100" s="769"/>
      <c r="IIG100" s="769"/>
      <c r="IIH100" s="769"/>
      <c r="III100" s="769"/>
      <c r="IIJ100" s="769"/>
      <c r="IIK100" s="769"/>
      <c r="IIL100" s="769"/>
      <c r="IIM100" s="769"/>
      <c r="IIN100" s="769"/>
      <c r="IIO100" s="769"/>
      <c r="IIP100" s="769"/>
      <c r="IIQ100" s="769"/>
      <c r="IIR100" s="769"/>
      <c r="IIS100" s="769"/>
      <c r="IIT100" s="769"/>
      <c r="IIU100" s="769"/>
      <c r="IIV100" s="769"/>
      <c r="IIW100" s="769"/>
      <c r="IIX100" s="769"/>
      <c r="IIY100" s="769"/>
      <c r="IIZ100" s="769"/>
      <c r="IJA100" s="769"/>
      <c r="IJB100" s="769"/>
      <c r="IJC100" s="769"/>
      <c r="IJD100" s="769"/>
      <c r="IJE100" s="769"/>
      <c r="IJF100" s="769"/>
      <c r="IJG100" s="769"/>
      <c r="IJH100" s="769"/>
      <c r="IJI100" s="769"/>
      <c r="IJJ100" s="769"/>
      <c r="IJK100" s="769"/>
      <c r="IJL100" s="769"/>
      <c r="IJM100" s="769"/>
      <c r="IJN100" s="769"/>
      <c r="IJO100" s="769"/>
      <c r="IJP100" s="769"/>
      <c r="IJQ100" s="769"/>
      <c r="IJR100" s="769"/>
      <c r="IJS100" s="769"/>
      <c r="IJT100" s="769"/>
      <c r="IJU100" s="769"/>
      <c r="IJV100" s="769"/>
      <c r="IJW100" s="769"/>
      <c r="IJX100" s="769"/>
      <c r="IJY100" s="769"/>
      <c r="IJZ100" s="769"/>
      <c r="IKA100" s="769"/>
      <c r="IKB100" s="769"/>
      <c r="IKC100" s="769"/>
      <c r="IKD100" s="769"/>
      <c r="IKE100" s="769"/>
      <c r="IKF100" s="769"/>
      <c r="IKG100" s="769"/>
      <c r="IKH100" s="769"/>
      <c r="IKI100" s="769"/>
      <c r="IKJ100" s="769"/>
      <c r="IKK100" s="769"/>
      <c r="IKL100" s="769"/>
      <c r="IKM100" s="769"/>
      <c r="IKN100" s="769"/>
      <c r="IKO100" s="769"/>
      <c r="IKP100" s="769"/>
      <c r="IKQ100" s="769"/>
      <c r="IKR100" s="769"/>
      <c r="IKS100" s="769"/>
      <c r="IKT100" s="769"/>
      <c r="IKU100" s="769"/>
      <c r="IKV100" s="769"/>
      <c r="IKW100" s="769"/>
      <c r="IKX100" s="769"/>
      <c r="IKY100" s="769"/>
      <c r="IKZ100" s="769"/>
      <c r="ILA100" s="769"/>
      <c r="ILB100" s="769"/>
      <c r="ILC100" s="769"/>
      <c r="ILD100" s="769"/>
      <c r="ILE100" s="769"/>
      <c r="ILF100" s="769"/>
      <c r="ILG100" s="769"/>
      <c r="ILH100" s="769"/>
      <c r="ILI100" s="769"/>
      <c r="ILJ100" s="769"/>
      <c r="ILK100" s="769"/>
      <c r="ILL100" s="769"/>
      <c r="ILM100" s="769"/>
      <c r="ILN100" s="769"/>
      <c r="ILO100" s="769"/>
      <c r="ILP100" s="769"/>
      <c r="ILQ100" s="769"/>
      <c r="ILR100" s="769"/>
      <c r="ILS100" s="769"/>
      <c r="ILT100" s="769"/>
      <c r="ILU100" s="769"/>
      <c r="ILV100" s="769"/>
      <c r="ILW100" s="769"/>
      <c r="ILX100" s="769"/>
      <c r="ILY100" s="769"/>
      <c r="ILZ100" s="769"/>
      <c r="IMA100" s="769"/>
      <c r="IMB100" s="769"/>
      <c r="IMC100" s="769"/>
      <c r="IMD100" s="769"/>
      <c r="IME100" s="769"/>
      <c r="IMF100" s="769"/>
      <c r="IMG100" s="769"/>
      <c r="IMH100" s="769"/>
      <c r="IMI100" s="769"/>
      <c r="IMJ100" s="769"/>
      <c r="IMK100" s="769"/>
      <c r="IML100" s="769"/>
      <c r="IMM100" s="769"/>
      <c r="IMN100" s="769"/>
      <c r="IMO100" s="769"/>
      <c r="IMP100" s="769"/>
      <c r="IMQ100" s="769"/>
      <c r="IMR100" s="769"/>
      <c r="IMS100" s="769"/>
      <c r="IMT100" s="769"/>
      <c r="IMU100" s="769"/>
      <c r="IMV100" s="769"/>
      <c r="IMW100" s="769"/>
      <c r="IMX100" s="769"/>
      <c r="IMY100" s="769"/>
      <c r="IMZ100" s="769"/>
      <c r="INA100" s="769"/>
      <c r="INB100" s="769"/>
      <c r="INC100" s="769"/>
      <c r="IND100" s="769"/>
      <c r="INE100" s="769"/>
      <c r="INF100" s="769"/>
      <c r="ING100" s="769"/>
      <c r="INH100" s="769"/>
      <c r="INI100" s="769"/>
      <c r="INJ100" s="769"/>
      <c r="INK100" s="769"/>
      <c r="INL100" s="769"/>
      <c r="INM100" s="769"/>
      <c r="INN100" s="769"/>
      <c r="INO100" s="769"/>
      <c r="INP100" s="769"/>
      <c r="INQ100" s="769"/>
      <c r="INR100" s="769"/>
      <c r="INS100" s="769"/>
      <c r="INT100" s="769"/>
      <c r="INU100" s="769"/>
      <c r="INV100" s="769"/>
      <c r="INW100" s="769"/>
      <c r="INX100" s="769"/>
      <c r="INY100" s="769"/>
      <c r="INZ100" s="769"/>
      <c r="IOA100" s="769"/>
      <c r="IOB100" s="769"/>
      <c r="IOC100" s="769"/>
      <c r="IOD100" s="769"/>
      <c r="IOE100" s="769"/>
      <c r="IOF100" s="769"/>
      <c r="IOG100" s="769"/>
      <c r="IOH100" s="769"/>
      <c r="IOI100" s="769"/>
      <c r="IOJ100" s="769"/>
      <c r="IOK100" s="769"/>
      <c r="IOL100" s="769"/>
      <c r="IOM100" s="769"/>
      <c r="ION100" s="769"/>
      <c r="IOO100" s="769"/>
      <c r="IOP100" s="769"/>
      <c r="IOQ100" s="769"/>
      <c r="IOR100" s="769"/>
      <c r="IOS100" s="769"/>
      <c r="IOT100" s="769"/>
      <c r="IOU100" s="769"/>
      <c r="IOV100" s="769"/>
      <c r="IOW100" s="769"/>
      <c r="IOX100" s="769"/>
      <c r="IOY100" s="769"/>
      <c r="IOZ100" s="769"/>
      <c r="IPA100" s="769"/>
      <c r="IPB100" s="769"/>
      <c r="IPC100" s="769"/>
      <c r="IPD100" s="769"/>
      <c r="IPE100" s="769"/>
      <c r="IPF100" s="769"/>
      <c r="IPG100" s="769"/>
      <c r="IPH100" s="769"/>
      <c r="IPI100" s="769"/>
      <c r="IPJ100" s="769"/>
      <c r="IPK100" s="769"/>
      <c r="IPL100" s="769"/>
      <c r="IPM100" s="769"/>
      <c r="IPN100" s="769"/>
      <c r="IPO100" s="769"/>
      <c r="IPP100" s="769"/>
      <c r="IPQ100" s="769"/>
      <c r="IPR100" s="769"/>
      <c r="IPS100" s="769"/>
      <c r="IPT100" s="769"/>
      <c r="IPU100" s="769"/>
      <c r="IPV100" s="769"/>
      <c r="IPW100" s="769"/>
      <c r="IPX100" s="769"/>
      <c r="IPY100" s="769"/>
      <c r="IPZ100" s="769"/>
      <c r="IQA100" s="769"/>
      <c r="IQB100" s="769"/>
      <c r="IQC100" s="769"/>
      <c r="IQD100" s="769"/>
      <c r="IQE100" s="769"/>
      <c r="IQF100" s="769"/>
      <c r="IQG100" s="769"/>
      <c r="IQH100" s="769"/>
      <c r="IQI100" s="769"/>
      <c r="IQJ100" s="769"/>
      <c r="IQK100" s="769"/>
      <c r="IQL100" s="769"/>
      <c r="IQM100" s="769"/>
      <c r="IQN100" s="769"/>
      <c r="IQO100" s="769"/>
      <c r="IQP100" s="769"/>
      <c r="IQQ100" s="769"/>
      <c r="IQR100" s="769"/>
      <c r="IQS100" s="769"/>
      <c r="IQT100" s="769"/>
      <c r="IQU100" s="769"/>
      <c r="IQV100" s="769"/>
      <c r="IQW100" s="769"/>
      <c r="IQX100" s="769"/>
      <c r="IQY100" s="769"/>
      <c r="IQZ100" s="769"/>
      <c r="IRA100" s="769"/>
      <c r="IRB100" s="769"/>
      <c r="IRC100" s="769"/>
      <c r="IRD100" s="769"/>
      <c r="IRE100" s="769"/>
      <c r="IRF100" s="769"/>
      <c r="IRG100" s="769"/>
      <c r="IRH100" s="769"/>
      <c r="IRI100" s="769"/>
      <c r="IRJ100" s="769"/>
      <c r="IRK100" s="769"/>
      <c r="IRL100" s="769"/>
      <c r="IRM100" s="769"/>
      <c r="IRN100" s="769"/>
      <c r="IRO100" s="769"/>
      <c r="IRP100" s="769"/>
      <c r="IRQ100" s="769"/>
      <c r="IRR100" s="769"/>
      <c r="IRS100" s="769"/>
      <c r="IRT100" s="769"/>
      <c r="IRU100" s="769"/>
      <c r="IRV100" s="769"/>
      <c r="IRW100" s="769"/>
      <c r="IRX100" s="769"/>
      <c r="IRY100" s="769"/>
      <c r="IRZ100" s="769"/>
      <c r="ISA100" s="769"/>
      <c r="ISB100" s="769"/>
      <c r="ISC100" s="769"/>
      <c r="ISD100" s="769"/>
      <c r="ISE100" s="769"/>
      <c r="ISF100" s="769"/>
      <c r="ISG100" s="769"/>
      <c r="ISH100" s="769"/>
      <c r="ISI100" s="769"/>
      <c r="ISJ100" s="769"/>
      <c r="ISK100" s="769"/>
      <c r="ISL100" s="769"/>
      <c r="ISM100" s="769"/>
      <c r="ISN100" s="769"/>
      <c r="ISO100" s="769"/>
      <c r="ISP100" s="769"/>
      <c r="ISQ100" s="769"/>
      <c r="ISR100" s="769"/>
      <c r="ISS100" s="769"/>
      <c r="IST100" s="769"/>
      <c r="ISU100" s="769"/>
      <c r="ISV100" s="769"/>
      <c r="ISW100" s="769"/>
      <c r="ISX100" s="769"/>
      <c r="ISY100" s="769"/>
      <c r="ISZ100" s="769"/>
      <c r="ITA100" s="769"/>
      <c r="ITB100" s="769"/>
      <c r="ITC100" s="769"/>
      <c r="ITD100" s="769"/>
      <c r="ITE100" s="769"/>
      <c r="ITF100" s="769"/>
      <c r="ITG100" s="769"/>
      <c r="ITH100" s="769"/>
      <c r="ITI100" s="769"/>
      <c r="ITJ100" s="769"/>
      <c r="ITK100" s="769"/>
      <c r="ITL100" s="769"/>
      <c r="ITM100" s="769"/>
      <c r="ITN100" s="769"/>
      <c r="ITO100" s="769"/>
      <c r="ITP100" s="769"/>
      <c r="ITQ100" s="769"/>
      <c r="ITR100" s="769"/>
      <c r="ITS100" s="769"/>
      <c r="ITT100" s="769"/>
      <c r="ITU100" s="769"/>
      <c r="ITV100" s="769"/>
      <c r="ITW100" s="769"/>
      <c r="ITX100" s="769"/>
      <c r="ITY100" s="769"/>
      <c r="ITZ100" s="769"/>
      <c r="IUA100" s="769"/>
      <c r="IUB100" s="769"/>
      <c r="IUC100" s="769"/>
      <c r="IUD100" s="769"/>
      <c r="IUE100" s="769"/>
      <c r="IUF100" s="769"/>
      <c r="IUG100" s="769"/>
      <c r="IUH100" s="769"/>
      <c r="IUI100" s="769"/>
      <c r="IUJ100" s="769"/>
      <c r="IUK100" s="769"/>
      <c r="IUL100" s="769"/>
      <c r="IUM100" s="769"/>
      <c r="IUN100" s="769"/>
      <c r="IUO100" s="769"/>
      <c r="IUP100" s="769"/>
      <c r="IUQ100" s="769"/>
      <c r="IUR100" s="769"/>
      <c r="IUS100" s="769"/>
      <c r="IUT100" s="769"/>
      <c r="IUU100" s="769"/>
      <c r="IUV100" s="769"/>
      <c r="IUW100" s="769"/>
      <c r="IUX100" s="769"/>
      <c r="IUY100" s="769"/>
      <c r="IUZ100" s="769"/>
      <c r="IVA100" s="769"/>
      <c r="IVB100" s="769"/>
      <c r="IVC100" s="769"/>
      <c r="IVD100" s="769"/>
      <c r="IVE100" s="769"/>
      <c r="IVF100" s="769"/>
      <c r="IVG100" s="769"/>
      <c r="IVH100" s="769"/>
      <c r="IVI100" s="769"/>
      <c r="IVJ100" s="769"/>
      <c r="IVK100" s="769"/>
      <c r="IVL100" s="769"/>
      <c r="IVM100" s="769"/>
      <c r="IVN100" s="769"/>
      <c r="IVO100" s="769"/>
      <c r="IVP100" s="769"/>
      <c r="IVQ100" s="769"/>
      <c r="IVR100" s="769"/>
      <c r="IVS100" s="769"/>
      <c r="IVT100" s="769"/>
      <c r="IVU100" s="769"/>
      <c r="IVV100" s="769"/>
      <c r="IVW100" s="769"/>
      <c r="IVX100" s="769"/>
      <c r="IVY100" s="769"/>
      <c r="IVZ100" s="769"/>
      <c r="IWA100" s="769"/>
      <c r="IWB100" s="769"/>
      <c r="IWC100" s="769"/>
      <c r="IWD100" s="769"/>
      <c r="IWE100" s="769"/>
      <c r="IWF100" s="769"/>
      <c r="IWG100" s="769"/>
      <c r="IWH100" s="769"/>
      <c r="IWI100" s="769"/>
      <c r="IWJ100" s="769"/>
      <c r="IWK100" s="769"/>
      <c r="IWL100" s="769"/>
      <c r="IWM100" s="769"/>
      <c r="IWN100" s="769"/>
      <c r="IWO100" s="769"/>
      <c r="IWP100" s="769"/>
      <c r="IWQ100" s="769"/>
      <c r="IWR100" s="769"/>
      <c r="IWS100" s="769"/>
      <c r="IWT100" s="769"/>
      <c r="IWU100" s="769"/>
      <c r="IWV100" s="769"/>
      <c r="IWW100" s="769"/>
      <c r="IWX100" s="769"/>
      <c r="IWY100" s="769"/>
      <c r="IWZ100" s="769"/>
      <c r="IXA100" s="769"/>
      <c r="IXB100" s="769"/>
      <c r="IXC100" s="769"/>
      <c r="IXD100" s="769"/>
      <c r="IXE100" s="769"/>
      <c r="IXF100" s="769"/>
      <c r="IXG100" s="769"/>
      <c r="IXH100" s="769"/>
      <c r="IXI100" s="769"/>
      <c r="IXJ100" s="769"/>
      <c r="IXK100" s="769"/>
      <c r="IXL100" s="769"/>
      <c r="IXM100" s="769"/>
      <c r="IXN100" s="769"/>
      <c r="IXO100" s="769"/>
      <c r="IXP100" s="769"/>
      <c r="IXQ100" s="769"/>
      <c r="IXR100" s="769"/>
      <c r="IXS100" s="769"/>
      <c r="IXT100" s="769"/>
      <c r="IXU100" s="769"/>
      <c r="IXV100" s="769"/>
      <c r="IXW100" s="769"/>
      <c r="IXX100" s="769"/>
      <c r="IXY100" s="769"/>
      <c r="IXZ100" s="769"/>
      <c r="IYA100" s="769"/>
      <c r="IYB100" s="769"/>
      <c r="IYC100" s="769"/>
      <c r="IYD100" s="769"/>
      <c r="IYE100" s="769"/>
      <c r="IYF100" s="769"/>
      <c r="IYG100" s="769"/>
      <c r="IYH100" s="769"/>
      <c r="IYI100" s="769"/>
      <c r="IYJ100" s="769"/>
      <c r="IYK100" s="769"/>
      <c r="IYL100" s="769"/>
      <c r="IYM100" s="769"/>
      <c r="IYN100" s="769"/>
      <c r="IYO100" s="769"/>
      <c r="IYP100" s="769"/>
      <c r="IYQ100" s="769"/>
      <c r="IYR100" s="769"/>
      <c r="IYS100" s="769"/>
      <c r="IYT100" s="769"/>
      <c r="IYU100" s="769"/>
      <c r="IYV100" s="769"/>
      <c r="IYW100" s="769"/>
      <c r="IYX100" s="769"/>
      <c r="IYY100" s="769"/>
      <c r="IYZ100" s="769"/>
      <c r="IZA100" s="769"/>
      <c r="IZB100" s="769"/>
      <c r="IZC100" s="769"/>
      <c r="IZD100" s="769"/>
      <c r="IZE100" s="769"/>
      <c r="IZF100" s="769"/>
      <c r="IZG100" s="769"/>
      <c r="IZH100" s="769"/>
      <c r="IZI100" s="769"/>
      <c r="IZJ100" s="769"/>
      <c r="IZK100" s="769"/>
      <c r="IZL100" s="769"/>
      <c r="IZM100" s="769"/>
      <c r="IZN100" s="769"/>
      <c r="IZO100" s="769"/>
      <c r="IZP100" s="769"/>
      <c r="IZQ100" s="769"/>
      <c r="IZR100" s="769"/>
      <c r="IZS100" s="769"/>
      <c r="IZT100" s="769"/>
      <c r="IZU100" s="769"/>
      <c r="IZV100" s="769"/>
      <c r="IZW100" s="769"/>
      <c r="IZX100" s="769"/>
      <c r="IZY100" s="769"/>
      <c r="IZZ100" s="769"/>
      <c r="JAA100" s="769"/>
      <c r="JAB100" s="769"/>
      <c r="JAC100" s="769"/>
      <c r="JAD100" s="769"/>
      <c r="JAE100" s="769"/>
      <c r="JAF100" s="769"/>
      <c r="JAG100" s="769"/>
      <c r="JAH100" s="769"/>
      <c r="JAI100" s="769"/>
      <c r="JAJ100" s="769"/>
      <c r="JAK100" s="769"/>
      <c r="JAL100" s="769"/>
      <c r="JAM100" s="769"/>
      <c r="JAN100" s="769"/>
      <c r="JAO100" s="769"/>
      <c r="JAP100" s="769"/>
      <c r="JAQ100" s="769"/>
      <c r="JAR100" s="769"/>
      <c r="JAS100" s="769"/>
      <c r="JAT100" s="769"/>
      <c r="JAU100" s="769"/>
      <c r="JAV100" s="769"/>
      <c r="JAW100" s="769"/>
      <c r="JAX100" s="769"/>
      <c r="JAY100" s="769"/>
      <c r="JAZ100" s="769"/>
      <c r="JBA100" s="769"/>
      <c r="JBB100" s="769"/>
      <c r="JBC100" s="769"/>
      <c r="JBD100" s="769"/>
      <c r="JBE100" s="769"/>
      <c r="JBF100" s="769"/>
      <c r="JBG100" s="769"/>
      <c r="JBH100" s="769"/>
      <c r="JBI100" s="769"/>
      <c r="JBJ100" s="769"/>
      <c r="JBK100" s="769"/>
      <c r="JBL100" s="769"/>
      <c r="JBM100" s="769"/>
      <c r="JBN100" s="769"/>
      <c r="JBO100" s="769"/>
      <c r="JBP100" s="769"/>
      <c r="JBQ100" s="769"/>
      <c r="JBR100" s="769"/>
      <c r="JBS100" s="769"/>
      <c r="JBT100" s="769"/>
      <c r="JBU100" s="769"/>
      <c r="JBV100" s="769"/>
      <c r="JBW100" s="769"/>
      <c r="JBX100" s="769"/>
      <c r="JBY100" s="769"/>
      <c r="JBZ100" s="769"/>
      <c r="JCA100" s="769"/>
      <c r="JCB100" s="769"/>
      <c r="JCC100" s="769"/>
      <c r="JCD100" s="769"/>
      <c r="JCE100" s="769"/>
      <c r="JCF100" s="769"/>
      <c r="JCG100" s="769"/>
      <c r="JCH100" s="769"/>
      <c r="JCI100" s="769"/>
      <c r="JCJ100" s="769"/>
      <c r="JCK100" s="769"/>
      <c r="JCL100" s="769"/>
      <c r="JCM100" s="769"/>
      <c r="JCN100" s="769"/>
      <c r="JCO100" s="769"/>
      <c r="JCP100" s="769"/>
      <c r="JCQ100" s="769"/>
      <c r="JCR100" s="769"/>
      <c r="JCS100" s="769"/>
      <c r="JCT100" s="769"/>
      <c r="JCU100" s="769"/>
      <c r="JCV100" s="769"/>
      <c r="JCW100" s="769"/>
      <c r="JCX100" s="769"/>
      <c r="JCY100" s="769"/>
      <c r="JCZ100" s="769"/>
      <c r="JDA100" s="769"/>
      <c r="JDB100" s="769"/>
      <c r="JDC100" s="769"/>
      <c r="JDD100" s="769"/>
      <c r="JDE100" s="769"/>
      <c r="JDF100" s="769"/>
      <c r="JDG100" s="769"/>
      <c r="JDH100" s="769"/>
      <c r="JDI100" s="769"/>
      <c r="JDJ100" s="769"/>
      <c r="JDK100" s="769"/>
      <c r="JDL100" s="769"/>
      <c r="JDM100" s="769"/>
      <c r="JDN100" s="769"/>
      <c r="JDO100" s="769"/>
      <c r="JDP100" s="769"/>
      <c r="JDQ100" s="769"/>
      <c r="JDR100" s="769"/>
      <c r="JDS100" s="769"/>
      <c r="JDT100" s="769"/>
      <c r="JDU100" s="769"/>
      <c r="JDV100" s="769"/>
      <c r="JDW100" s="769"/>
      <c r="JDX100" s="769"/>
      <c r="JDY100" s="769"/>
      <c r="JDZ100" s="769"/>
      <c r="JEA100" s="769"/>
      <c r="JEB100" s="769"/>
      <c r="JEC100" s="769"/>
      <c r="JED100" s="769"/>
      <c r="JEE100" s="769"/>
      <c r="JEF100" s="769"/>
      <c r="JEG100" s="769"/>
      <c r="JEH100" s="769"/>
      <c r="JEI100" s="769"/>
      <c r="JEJ100" s="769"/>
      <c r="JEK100" s="769"/>
      <c r="JEL100" s="769"/>
      <c r="JEM100" s="769"/>
      <c r="JEN100" s="769"/>
      <c r="JEO100" s="769"/>
      <c r="JEP100" s="769"/>
      <c r="JEQ100" s="769"/>
      <c r="JER100" s="769"/>
      <c r="JES100" s="769"/>
      <c r="JET100" s="769"/>
      <c r="JEU100" s="769"/>
      <c r="JEV100" s="769"/>
      <c r="JEW100" s="769"/>
      <c r="JEX100" s="769"/>
      <c r="JEY100" s="769"/>
      <c r="JEZ100" s="769"/>
      <c r="JFA100" s="769"/>
      <c r="JFB100" s="769"/>
      <c r="JFC100" s="769"/>
      <c r="JFD100" s="769"/>
      <c r="JFE100" s="769"/>
      <c r="JFF100" s="769"/>
      <c r="JFG100" s="769"/>
      <c r="JFH100" s="769"/>
      <c r="JFI100" s="769"/>
      <c r="JFJ100" s="769"/>
      <c r="JFK100" s="769"/>
      <c r="JFL100" s="769"/>
      <c r="JFM100" s="769"/>
      <c r="JFN100" s="769"/>
      <c r="JFO100" s="769"/>
      <c r="JFP100" s="769"/>
      <c r="JFQ100" s="769"/>
      <c r="JFR100" s="769"/>
      <c r="JFS100" s="769"/>
      <c r="JFT100" s="769"/>
      <c r="JFU100" s="769"/>
      <c r="JFV100" s="769"/>
      <c r="JFW100" s="769"/>
      <c r="JFX100" s="769"/>
      <c r="JFY100" s="769"/>
      <c r="JFZ100" s="769"/>
      <c r="JGA100" s="769"/>
      <c r="JGB100" s="769"/>
      <c r="JGC100" s="769"/>
      <c r="JGD100" s="769"/>
      <c r="JGE100" s="769"/>
      <c r="JGF100" s="769"/>
      <c r="JGG100" s="769"/>
      <c r="JGH100" s="769"/>
      <c r="JGI100" s="769"/>
      <c r="JGJ100" s="769"/>
      <c r="JGK100" s="769"/>
      <c r="JGL100" s="769"/>
      <c r="JGM100" s="769"/>
      <c r="JGN100" s="769"/>
      <c r="JGO100" s="769"/>
      <c r="JGP100" s="769"/>
      <c r="JGQ100" s="769"/>
      <c r="JGR100" s="769"/>
      <c r="JGS100" s="769"/>
      <c r="JGT100" s="769"/>
      <c r="JGU100" s="769"/>
      <c r="JGV100" s="769"/>
      <c r="JGW100" s="769"/>
      <c r="JGX100" s="769"/>
      <c r="JGY100" s="769"/>
      <c r="JGZ100" s="769"/>
      <c r="JHA100" s="769"/>
      <c r="JHB100" s="769"/>
      <c r="JHC100" s="769"/>
      <c r="JHD100" s="769"/>
      <c r="JHE100" s="769"/>
      <c r="JHF100" s="769"/>
      <c r="JHG100" s="769"/>
      <c r="JHH100" s="769"/>
      <c r="JHI100" s="769"/>
      <c r="JHJ100" s="769"/>
      <c r="JHK100" s="769"/>
      <c r="JHL100" s="769"/>
      <c r="JHM100" s="769"/>
      <c r="JHN100" s="769"/>
      <c r="JHO100" s="769"/>
      <c r="JHP100" s="769"/>
      <c r="JHQ100" s="769"/>
      <c r="JHR100" s="769"/>
      <c r="JHS100" s="769"/>
      <c r="JHT100" s="769"/>
      <c r="JHU100" s="769"/>
      <c r="JHV100" s="769"/>
      <c r="JHW100" s="769"/>
      <c r="JHX100" s="769"/>
      <c r="JHY100" s="769"/>
      <c r="JHZ100" s="769"/>
      <c r="JIA100" s="769"/>
      <c r="JIB100" s="769"/>
      <c r="JIC100" s="769"/>
      <c r="JID100" s="769"/>
      <c r="JIE100" s="769"/>
      <c r="JIF100" s="769"/>
      <c r="JIG100" s="769"/>
      <c r="JIH100" s="769"/>
      <c r="JII100" s="769"/>
      <c r="JIJ100" s="769"/>
      <c r="JIK100" s="769"/>
      <c r="JIL100" s="769"/>
      <c r="JIM100" s="769"/>
      <c r="JIN100" s="769"/>
      <c r="JIO100" s="769"/>
      <c r="JIP100" s="769"/>
      <c r="JIQ100" s="769"/>
      <c r="JIR100" s="769"/>
      <c r="JIS100" s="769"/>
      <c r="JIT100" s="769"/>
      <c r="JIU100" s="769"/>
      <c r="JIV100" s="769"/>
      <c r="JIW100" s="769"/>
      <c r="JIX100" s="769"/>
      <c r="JIY100" s="769"/>
      <c r="JIZ100" s="769"/>
      <c r="JJA100" s="769"/>
      <c r="JJB100" s="769"/>
      <c r="JJC100" s="769"/>
      <c r="JJD100" s="769"/>
      <c r="JJE100" s="769"/>
      <c r="JJF100" s="769"/>
      <c r="JJG100" s="769"/>
      <c r="JJH100" s="769"/>
      <c r="JJI100" s="769"/>
      <c r="JJJ100" s="769"/>
      <c r="JJK100" s="769"/>
      <c r="JJL100" s="769"/>
      <c r="JJM100" s="769"/>
      <c r="JJN100" s="769"/>
      <c r="JJO100" s="769"/>
      <c r="JJP100" s="769"/>
      <c r="JJQ100" s="769"/>
      <c r="JJR100" s="769"/>
      <c r="JJS100" s="769"/>
      <c r="JJT100" s="769"/>
      <c r="JJU100" s="769"/>
      <c r="JJV100" s="769"/>
      <c r="JJW100" s="769"/>
      <c r="JJX100" s="769"/>
      <c r="JJY100" s="769"/>
      <c r="JJZ100" s="769"/>
      <c r="JKA100" s="769"/>
      <c r="JKB100" s="769"/>
      <c r="JKC100" s="769"/>
      <c r="JKD100" s="769"/>
      <c r="JKE100" s="769"/>
      <c r="JKF100" s="769"/>
      <c r="JKG100" s="769"/>
      <c r="JKH100" s="769"/>
      <c r="JKI100" s="769"/>
      <c r="JKJ100" s="769"/>
      <c r="JKK100" s="769"/>
      <c r="JKL100" s="769"/>
      <c r="JKM100" s="769"/>
      <c r="JKN100" s="769"/>
      <c r="JKO100" s="769"/>
      <c r="JKP100" s="769"/>
      <c r="JKQ100" s="769"/>
      <c r="JKR100" s="769"/>
      <c r="JKS100" s="769"/>
      <c r="JKT100" s="769"/>
      <c r="JKU100" s="769"/>
      <c r="JKV100" s="769"/>
      <c r="JKW100" s="769"/>
      <c r="JKX100" s="769"/>
      <c r="JKY100" s="769"/>
      <c r="JKZ100" s="769"/>
      <c r="JLA100" s="769"/>
      <c r="JLB100" s="769"/>
      <c r="JLC100" s="769"/>
      <c r="JLD100" s="769"/>
      <c r="JLE100" s="769"/>
      <c r="JLF100" s="769"/>
      <c r="JLG100" s="769"/>
      <c r="JLH100" s="769"/>
      <c r="JLI100" s="769"/>
      <c r="JLJ100" s="769"/>
      <c r="JLK100" s="769"/>
      <c r="JLL100" s="769"/>
      <c r="JLM100" s="769"/>
      <c r="JLN100" s="769"/>
      <c r="JLO100" s="769"/>
      <c r="JLP100" s="769"/>
      <c r="JLQ100" s="769"/>
      <c r="JLR100" s="769"/>
      <c r="JLS100" s="769"/>
      <c r="JLT100" s="769"/>
      <c r="JLU100" s="769"/>
      <c r="JLV100" s="769"/>
      <c r="JLW100" s="769"/>
      <c r="JLX100" s="769"/>
      <c r="JLY100" s="769"/>
      <c r="JLZ100" s="769"/>
      <c r="JMA100" s="769"/>
      <c r="JMB100" s="769"/>
      <c r="JMC100" s="769"/>
      <c r="JMD100" s="769"/>
      <c r="JME100" s="769"/>
      <c r="JMF100" s="769"/>
      <c r="JMG100" s="769"/>
      <c r="JMH100" s="769"/>
      <c r="JMI100" s="769"/>
      <c r="JMJ100" s="769"/>
      <c r="JMK100" s="769"/>
      <c r="JML100" s="769"/>
      <c r="JMM100" s="769"/>
      <c r="JMN100" s="769"/>
      <c r="JMO100" s="769"/>
      <c r="JMP100" s="769"/>
      <c r="JMQ100" s="769"/>
      <c r="JMR100" s="769"/>
      <c r="JMS100" s="769"/>
      <c r="JMT100" s="769"/>
      <c r="JMU100" s="769"/>
      <c r="JMV100" s="769"/>
      <c r="JMW100" s="769"/>
      <c r="JMX100" s="769"/>
      <c r="JMY100" s="769"/>
      <c r="JMZ100" s="769"/>
      <c r="JNA100" s="769"/>
      <c r="JNB100" s="769"/>
      <c r="JNC100" s="769"/>
      <c r="JND100" s="769"/>
      <c r="JNE100" s="769"/>
      <c r="JNF100" s="769"/>
      <c r="JNG100" s="769"/>
      <c r="JNH100" s="769"/>
      <c r="JNI100" s="769"/>
      <c r="JNJ100" s="769"/>
      <c r="JNK100" s="769"/>
      <c r="JNL100" s="769"/>
      <c r="JNM100" s="769"/>
      <c r="JNN100" s="769"/>
      <c r="JNO100" s="769"/>
      <c r="JNP100" s="769"/>
      <c r="JNQ100" s="769"/>
      <c r="JNR100" s="769"/>
      <c r="JNS100" s="769"/>
      <c r="JNT100" s="769"/>
      <c r="JNU100" s="769"/>
      <c r="JNV100" s="769"/>
      <c r="JNW100" s="769"/>
      <c r="JNX100" s="769"/>
      <c r="JNY100" s="769"/>
      <c r="JNZ100" s="769"/>
      <c r="JOA100" s="769"/>
      <c r="JOB100" s="769"/>
      <c r="JOC100" s="769"/>
      <c r="JOD100" s="769"/>
      <c r="JOE100" s="769"/>
      <c r="JOF100" s="769"/>
      <c r="JOG100" s="769"/>
      <c r="JOH100" s="769"/>
      <c r="JOI100" s="769"/>
      <c r="JOJ100" s="769"/>
      <c r="JOK100" s="769"/>
      <c r="JOL100" s="769"/>
      <c r="JOM100" s="769"/>
      <c r="JON100" s="769"/>
      <c r="JOO100" s="769"/>
      <c r="JOP100" s="769"/>
      <c r="JOQ100" s="769"/>
      <c r="JOR100" s="769"/>
      <c r="JOS100" s="769"/>
      <c r="JOT100" s="769"/>
      <c r="JOU100" s="769"/>
      <c r="JOV100" s="769"/>
      <c r="JOW100" s="769"/>
      <c r="JOX100" s="769"/>
      <c r="JOY100" s="769"/>
      <c r="JOZ100" s="769"/>
      <c r="JPA100" s="769"/>
      <c r="JPB100" s="769"/>
      <c r="JPC100" s="769"/>
      <c r="JPD100" s="769"/>
      <c r="JPE100" s="769"/>
      <c r="JPF100" s="769"/>
      <c r="JPG100" s="769"/>
      <c r="JPH100" s="769"/>
      <c r="JPI100" s="769"/>
      <c r="JPJ100" s="769"/>
      <c r="JPK100" s="769"/>
      <c r="JPL100" s="769"/>
      <c r="JPM100" s="769"/>
      <c r="JPN100" s="769"/>
      <c r="JPO100" s="769"/>
      <c r="JPP100" s="769"/>
      <c r="JPQ100" s="769"/>
      <c r="JPR100" s="769"/>
      <c r="JPS100" s="769"/>
      <c r="JPT100" s="769"/>
      <c r="JPU100" s="769"/>
      <c r="JPV100" s="769"/>
      <c r="JPW100" s="769"/>
      <c r="JPX100" s="769"/>
      <c r="JPY100" s="769"/>
      <c r="JPZ100" s="769"/>
      <c r="JQA100" s="769"/>
      <c r="JQB100" s="769"/>
      <c r="JQC100" s="769"/>
      <c r="JQD100" s="769"/>
      <c r="JQE100" s="769"/>
      <c r="JQF100" s="769"/>
      <c r="JQG100" s="769"/>
      <c r="JQH100" s="769"/>
      <c r="JQI100" s="769"/>
      <c r="JQJ100" s="769"/>
      <c r="JQK100" s="769"/>
      <c r="JQL100" s="769"/>
      <c r="JQM100" s="769"/>
      <c r="JQN100" s="769"/>
      <c r="JQO100" s="769"/>
      <c r="JQP100" s="769"/>
      <c r="JQQ100" s="769"/>
      <c r="JQR100" s="769"/>
      <c r="JQS100" s="769"/>
      <c r="JQT100" s="769"/>
      <c r="JQU100" s="769"/>
      <c r="JQV100" s="769"/>
      <c r="JQW100" s="769"/>
      <c r="JQX100" s="769"/>
      <c r="JQY100" s="769"/>
      <c r="JQZ100" s="769"/>
      <c r="JRA100" s="769"/>
      <c r="JRB100" s="769"/>
      <c r="JRC100" s="769"/>
      <c r="JRD100" s="769"/>
      <c r="JRE100" s="769"/>
      <c r="JRF100" s="769"/>
      <c r="JRG100" s="769"/>
      <c r="JRH100" s="769"/>
      <c r="JRI100" s="769"/>
      <c r="JRJ100" s="769"/>
      <c r="JRK100" s="769"/>
      <c r="JRL100" s="769"/>
      <c r="JRM100" s="769"/>
      <c r="JRN100" s="769"/>
      <c r="JRO100" s="769"/>
      <c r="JRP100" s="769"/>
      <c r="JRQ100" s="769"/>
      <c r="JRR100" s="769"/>
      <c r="JRS100" s="769"/>
      <c r="JRT100" s="769"/>
      <c r="JRU100" s="769"/>
      <c r="JRV100" s="769"/>
      <c r="JRW100" s="769"/>
      <c r="JRX100" s="769"/>
      <c r="JRY100" s="769"/>
      <c r="JRZ100" s="769"/>
      <c r="JSA100" s="769"/>
      <c r="JSB100" s="769"/>
      <c r="JSC100" s="769"/>
      <c r="JSD100" s="769"/>
      <c r="JSE100" s="769"/>
      <c r="JSF100" s="769"/>
      <c r="JSG100" s="769"/>
      <c r="JSH100" s="769"/>
      <c r="JSI100" s="769"/>
      <c r="JSJ100" s="769"/>
      <c r="JSK100" s="769"/>
      <c r="JSL100" s="769"/>
      <c r="JSM100" s="769"/>
      <c r="JSN100" s="769"/>
      <c r="JSO100" s="769"/>
      <c r="JSP100" s="769"/>
      <c r="JSQ100" s="769"/>
      <c r="JSR100" s="769"/>
      <c r="JSS100" s="769"/>
      <c r="JST100" s="769"/>
      <c r="JSU100" s="769"/>
      <c r="JSV100" s="769"/>
      <c r="JSW100" s="769"/>
      <c r="JSX100" s="769"/>
      <c r="JSY100" s="769"/>
      <c r="JSZ100" s="769"/>
      <c r="JTA100" s="769"/>
      <c r="JTB100" s="769"/>
      <c r="JTC100" s="769"/>
      <c r="JTD100" s="769"/>
      <c r="JTE100" s="769"/>
      <c r="JTF100" s="769"/>
      <c r="JTG100" s="769"/>
      <c r="JTH100" s="769"/>
      <c r="JTI100" s="769"/>
      <c r="JTJ100" s="769"/>
      <c r="JTK100" s="769"/>
      <c r="JTL100" s="769"/>
      <c r="JTM100" s="769"/>
      <c r="JTN100" s="769"/>
      <c r="JTO100" s="769"/>
      <c r="JTP100" s="769"/>
      <c r="JTQ100" s="769"/>
      <c r="JTR100" s="769"/>
      <c r="JTS100" s="769"/>
      <c r="JTT100" s="769"/>
      <c r="JTU100" s="769"/>
      <c r="JTV100" s="769"/>
      <c r="JTW100" s="769"/>
      <c r="JTX100" s="769"/>
      <c r="JTY100" s="769"/>
      <c r="JTZ100" s="769"/>
      <c r="JUA100" s="769"/>
      <c r="JUB100" s="769"/>
      <c r="JUC100" s="769"/>
      <c r="JUD100" s="769"/>
      <c r="JUE100" s="769"/>
      <c r="JUF100" s="769"/>
      <c r="JUG100" s="769"/>
      <c r="JUH100" s="769"/>
      <c r="JUI100" s="769"/>
      <c r="JUJ100" s="769"/>
      <c r="JUK100" s="769"/>
      <c r="JUL100" s="769"/>
      <c r="JUM100" s="769"/>
      <c r="JUN100" s="769"/>
      <c r="JUO100" s="769"/>
      <c r="JUP100" s="769"/>
      <c r="JUQ100" s="769"/>
      <c r="JUR100" s="769"/>
      <c r="JUS100" s="769"/>
      <c r="JUT100" s="769"/>
      <c r="JUU100" s="769"/>
      <c r="JUV100" s="769"/>
      <c r="JUW100" s="769"/>
      <c r="JUX100" s="769"/>
      <c r="JUY100" s="769"/>
      <c r="JUZ100" s="769"/>
      <c r="JVA100" s="769"/>
      <c r="JVB100" s="769"/>
      <c r="JVC100" s="769"/>
      <c r="JVD100" s="769"/>
      <c r="JVE100" s="769"/>
      <c r="JVF100" s="769"/>
      <c r="JVG100" s="769"/>
      <c r="JVH100" s="769"/>
      <c r="JVI100" s="769"/>
      <c r="JVJ100" s="769"/>
      <c r="JVK100" s="769"/>
      <c r="JVL100" s="769"/>
      <c r="JVM100" s="769"/>
      <c r="JVN100" s="769"/>
      <c r="JVO100" s="769"/>
      <c r="JVP100" s="769"/>
      <c r="JVQ100" s="769"/>
      <c r="JVR100" s="769"/>
      <c r="JVS100" s="769"/>
      <c r="JVT100" s="769"/>
      <c r="JVU100" s="769"/>
      <c r="JVV100" s="769"/>
      <c r="JVW100" s="769"/>
      <c r="JVX100" s="769"/>
      <c r="JVY100" s="769"/>
      <c r="JVZ100" s="769"/>
      <c r="JWA100" s="769"/>
      <c r="JWB100" s="769"/>
      <c r="JWC100" s="769"/>
      <c r="JWD100" s="769"/>
      <c r="JWE100" s="769"/>
      <c r="JWF100" s="769"/>
      <c r="JWG100" s="769"/>
      <c r="JWH100" s="769"/>
      <c r="JWI100" s="769"/>
      <c r="JWJ100" s="769"/>
      <c r="JWK100" s="769"/>
      <c r="JWL100" s="769"/>
      <c r="JWM100" s="769"/>
      <c r="JWN100" s="769"/>
      <c r="JWO100" s="769"/>
      <c r="JWP100" s="769"/>
      <c r="JWQ100" s="769"/>
      <c r="JWR100" s="769"/>
      <c r="JWS100" s="769"/>
      <c r="JWT100" s="769"/>
      <c r="JWU100" s="769"/>
      <c r="JWV100" s="769"/>
      <c r="JWW100" s="769"/>
      <c r="JWX100" s="769"/>
      <c r="JWY100" s="769"/>
      <c r="JWZ100" s="769"/>
      <c r="JXA100" s="769"/>
      <c r="JXB100" s="769"/>
      <c r="JXC100" s="769"/>
      <c r="JXD100" s="769"/>
      <c r="JXE100" s="769"/>
      <c r="JXF100" s="769"/>
      <c r="JXG100" s="769"/>
      <c r="JXH100" s="769"/>
      <c r="JXI100" s="769"/>
      <c r="JXJ100" s="769"/>
      <c r="JXK100" s="769"/>
      <c r="JXL100" s="769"/>
      <c r="JXM100" s="769"/>
      <c r="JXN100" s="769"/>
      <c r="JXO100" s="769"/>
      <c r="JXP100" s="769"/>
      <c r="JXQ100" s="769"/>
      <c r="JXR100" s="769"/>
      <c r="JXS100" s="769"/>
      <c r="JXT100" s="769"/>
      <c r="JXU100" s="769"/>
      <c r="JXV100" s="769"/>
      <c r="JXW100" s="769"/>
      <c r="JXX100" s="769"/>
      <c r="JXY100" s="769"/>
      <c r="JXZ100" s="769"/>
      <c r="JYA100" s="769"/>
      <c r="JYB100" s="769"/>
      <c r="JYC100" s="769"/>
      <c r="JYD100" s="769"/>
      <c r="JYE100" s="769"/>
      <c r="JYF100" s="769"/>
      <c r="JYG100" s="769"/>
      <c r="JYH100" s="769"/>
      <c r="JYI100" s="769"/>
      <c r="JYJ100" s="769"/>
      <c r="JYK100" s="769"/>
      <c r="JYL100" s="769"/>
      <c r="JYM100" s="769"/>
      <c r="JYN100" s="769"/>
      <c r="JYO100" s="769"/>
      <c r="JYP100" s="769"/>
      <c r="JYQ100" s="769"/>
      <c r="JYR100" s="769"/>
      <c r="JYS100" s="769"/>
      <c r="JYT100" s="769"/>
      <c r="JYU100" s="769"/>
      <c r="JYV100" s="769"/>
      <c r="JYW100" s="769"/>
      <c r="JYX100" s="769"/>
      <c r="JYY100" s="769"/>
      <c r="JYZ100" s="769"/>
      <c r="JZA100" s="769"/>
      <c r="JZB100" s="769"/>
      <c r="JZC100" s="769"/>
      <c r="JZD100" s="769"/>
      <c r="JZE100" s="769"/>
      <c r="JZF100" s="769"/>
      <c r="JZG100" s="769"/>
      <c r="JZH100" s="769"/>
      <c r="JZI100" s="769"/>
      <c r="JZJ100" s="769"/>
      <c r="JZK100" s="769"/>
      <c r="JZL100" s="769"/>
      <c r="JZM100" s="769"/>
      <c r="JZN100" s="769"/>
      <c r="JZO100" s="769"/>
      <c r="JZP100" s="769"/>
      <c r="JZQ100" s="769"/>
      <c r="JZR100" s="769"/>
      <c r="JZS100" s="769"/>
      <c r="JZT100" s="769"/>
      <c r="JZU100" s="769"/>
      <c r="JZV100" s="769"/>
      <c r="JZW100" s="769"/>
      <c r="JZX100" s="769"/>
      <c r="JZY100" s="769"/>
      <c r="JZZ100" s="769"/>
      <c r="KAA100" s="769"/>
      <c r="KAB100" s="769"/>
      <c r="KAC100" s="769"/>
      <c r="KAD100" s="769"/>
      <c r="KAE100" s="769"/>
      <c r="KAF100" s="769"/>
      <c r="KAG100" s="769"/>
      <c r="KAH100" s="769"/>
      <c r="KAI100" s="769"/>
      <c r="KAJ100" s="769"/>
      <c r="KAK100" s="769"/>
      <c r="KAL100" s="769"/>
      <c r="KAM100" s="769"/>
      <c r="KAN100" s="769"/>
      <c r="KAO100" s="769"/>
      <c r="KAP100" s="769"/>
      <c r="KAQ100" s="769"/>
      <c r="KAR100" s="769"/>
      <c r="KAS100" s="769"/>
      <c r="KAT100" s="769"/>
      <c r="KAU100" s="769"/>
      <c r="KAV100" s="769"/>
      <c r="KAW100" s="769"/>
      <c r="KAX100" s="769"/>
      <c r="KAY100" s="769"/>
      <c r="KAZ100" s="769"/>
      <c r="KBA100" s="769"/>
      <c r="KBB100" s="769"/>
      <c r="KBC100" s="769"/>
      <c r="KBD100" s="769"/>
      <c r="KBE100" s="769"/>
      <c r="KBF100" s="769"/>
      <c r="KBG100" s="769"/>
      <c r="KBH100" s="769"/>
      <c r="KBI100" s="769"/>
      <c r="KBJ100" s="769"/>
      <c r="KBK100" s="769"/>
      <c r="KBL100" s="769"/>
      <c r="KBM100" s="769"/>
      <c r="KBN100" s="769"/>
      <c r="KBO100" s="769"/>
      <c r="KBP100" s="769"/>
      <c r="KBQ100" s="769"/>
      <c r="KBR100" s="769"/>
      <c r="KBS100" s="769"/>
      <c r="KBT100" s="769"/>
      <c r="KBU100" s="769"/>
      <c r="KBV100" s="769"/>
      <c r="KBW100" s="769"/>
      <c r="KBX100" s="769"/>
      <c r="KBY100" s="769"/>
      <c r="KBZ100" s="769"/>
      <c r="KCA100" s="769"/>
      <c r="KCB100" s="769"/>
      <c r="KCC100" s="769"/>
      <c r="KCD100" s="769"/>
      <c r="KCE100" s="769"/>
      <c r="KCF100" s="769"/>
      <c r="KCG100" s="769"/>
      <c r="KCH100" s="769"/>
      <c r="KCI100" s="769"/>
      <c r="KCJ100" s="769"/>
      <c r="KCK100" s="769"/>
      <c r="KCL100" s="769"/>
      <c r="KCM100" s="769"/>
      <c r="KCN100" s="769"/>
      <c r="KCO100" s="769"/>
      <c r="KCP100" s="769"/>
      <c r="KCQ100" s="769"/>
      <c r="KCR100" s="769"/>
      <c r="KCS100" s="769"/>
      <c r="KCT100" s="769"/>
      <c r="KCU100" s="769"/>
      <c r="KCV100" s="769"/>
      <c r="KCW100" s="769"/>
      <c r="KCX100" s="769"/>
      <c r="KCY100" s="769"/>
      <c r="KCZ100" s="769"/>
      <c r="KDA100" s="769"/>
      <c r="KDB100" s="769"/>
      <c r="KDC100" s="769"/>
      <c r="KDD100" s="769"/>
      <c r="KDE100" s="769"/>
      <c r="KDF100" s="769"/>
      <c r="KDG100" s="769"/>
      <c r="KDH100" s="769"/>
      <c r="KDI100" s="769"/>
      <c r="KDJ100" s="769"/>
      <c r="KDK100" s="769"/>
      <c r="KDL100" s="769"/>
      <c r="KDM100" s="769"/>
      <c r="KDN100" s="769"/>
      <c r="KDO100" s="769"/>
      <c r="KDP100" s="769"/>
      <c r="KDQ100" s="769"/>
      <c r="KDR100" s="769"/>
      <c r="KDS100" s="769"/>
      <c r="KDT100" s="769"/>
      <c r="KDU100" s="769"/>
      <c r="KDV100" s="769"/>
      <c r="KDW100" s="769"/>
      <c r="KDX100" s="769"/>
      <c r="KDY100" s="769"/>
      <c r="KDZ100" s="769"/>
      <c r="KEA100" s="769"/>
      <c r="KEB100" s="769"/>
      <c r="KEC100" s="769"/>
      <c r="KED100" s="769"/>
      <c r="KEE100" s="769"/>
      <c r="KEF100" s="769"/>
      <c r="KEG100" s="769"/>
      <c r="KEH100" s="769"/>
      <c r="KEI100" s="769"/>
      <c r="KEJ100" s="769"/>
      <c r="KEK100" s="769"/>
      <c r="KEL100" s="769"/>
      <c r="KEM100" s="769"/>
      <c r="KEN100" s="769"/>
      <c r="KEO100" s="769"/>
      <c r="KEP100" s="769"/>
      <c r="KEQ100" s="769"/>
      <c r="KER100" s="769"/>
      <c r="KES100" s="769"/>
      <c r="KET100" s="769"/>
      <c r="KEU100" s="769"/>
      <c r="KEV100" s="769"/>
      <c r="KEW100" s="769"/>
      <c r="KEX100" s="769"/>
      <c r="KEY100" s="769"/>
      <c r="KEZ100" s="769"/>
      <c r="KFA100" s="769"/>
      <c r="KFB100" s="769"/>
      <c r="KFC100" s="769"/>
      <c r="KFD100" s="769"/>
      <c r="KFE100" s="769"/>
      <c r="KFF100" s="769"/>
      <c r="KFG100" s="769"/>
      <c r="KFH100" s="769"/>
      <c r="KFI100" s="769"/>
      <c r="KFJ100" s="769"/>
      <c r="KFK100" s="769"/>
      <c r="KFL100" s="769"/>
      <c r="KFM100" s="769"/>
      <c r="KFN100" s="769"/>
      <c r="KFO100" s="769"/>
      <c r="KFP100" s="769"/>
      <c r="KFQ100" s="769"/>
      <c r="KFR100" s="769"/>
      <c r="KFS100" s="769"/>
      <c r="KFT100" s="769"/>
      <c r="KFU100" s="769"/>
      <c r="KFV100" s="769"/>
      <c r="KFW100" s="769"/>
      <c r="KFX100" s="769"/>
      <c r="KFY100" s="769"/>
      <c r="KFZ100" s="769"/>
      <c r="KGA100" s="769"/>
      <c r="KGB100" s="769"/>
      <c r="KGC100" s="769"/>
      <c r="KGD100" s="769"/>
      <c r="KGE100" s="769"/>
      <c r="KGF100" s="769"/>
      <c r="KGG100" s="769"/>
      <c r="KGH100" s="769"/>
      <c r="KGI100" s="769"/>
      <c r="KGJ100" s="769"/>
      <c r="KGK100" s="769"/>
      <c r="KGL100" s="769"/>
      <c r="KGM100" s="769"/>
      <c r="KGN100" s="769"/>
      <c r="KGO100" s="769"/>
      <c r="KGP100" s="769"/>
      <c r="KGQ100" s="769"/>
      <c r="KGR100" s="769"/>
      <c r="KGS100" s="769"/>
      <c r="KGT100" s="769"/>
      <c r="KGU100" s="769"/>
      <c r="KGV100" s="769"/>
      <c r="KGW100" s="769"/>
      <c r="KGX100" s="769"/>
      <c r="KGY100" s="769"/>
      <c r="KGZ100" s="769"/>
      <c r="KHA100" s="769"/>
      <c r="KHB100" s="769"/>
      <c r="KHC100" s="769"/>
      <c r="KHD100" s="769"/>
      <c r="KHE100" s="769"/>
      <c r="KHF100" s="769"/>
      <c r="KHG100" s="769"/>
      <c r="KHH100" s="769"/>
      <c r="KHI100" s="769"/>
      <c r="KHJ100" s="769"/>
      <c r="KHK100" s="769"/>
      <c r="KHL100" s="769"/>
      <c r="KHM100" s="769"/>
      <c r="KHN100" s="769"/>
      <c r="KHO100" s="769"/>
      <c r="KHP100" s="769"/>
      <c r="KHQ100" s="769"/>
      <c r="KHR100" s="769"/>
      <c r="KHS100" s="769"/>
      <c r="KHT100" s="769"/>
      <c r="KHU100" s="769"/>
      <c r="KHV100" s="769"/>
      <c r="KHW100" s="769"/>
      <c r="KHX100" s="769"/>
      <c r="KHY100" s="769"/>
      <c r="KHZ100" s="769"/>
      <c r="KIA100" s="769"/>
      <c r="KIB100" s="769"/>
      <c r="KIC100" s="769"/>
      <c r="KID100" s="769"/>
      <c r="KIE100" s="769"/>
      <c r="KIF100" s="769"/>
      <c r="KIG100" s="769"/>
      <c r="KIH100" s="769"/>
      <c r="KII100" s="769"/>
      <c r="KIJ100" s="769"/>
      <c r="KIK100" s="769"/>
      <c r="KIL100" s="769"/>
      <c r="KIM100" s="769"/>
      <c r="KIN100" s="769"/>
      <c r="KIO100" s="769"/>
      <c r="KIP100" s="769"/>
      <c r="KIQ100" s="769"/>
      <c r="KIR100" s="769"/>
      <c r="KIS100" s="769"/>
      <c r="KIT100" s="769"/>
      <c r="KIU100" s="769"/>
      <c r="KIV100" s="769"/>
      <c r="KIW100" s="769"/>
      <c r="KIX100" s="769"/>
      <c r="KIY100" s="769"/>
      <c r="KIZ100" s="769"/>
      <c r="KJA100" s="769"/>
      <c r="KJB100" s="769"/>
      <c r="KJC100" s="769"/>
      <c r="KJD100" s="769"/>
      <c r="KJE100" s="769"/>
      <c r="KJF100" s="769"/>
      <c r="KJG100" s="769"/>
      <c r="KJH100" s="769"/>
      <c r="KJI100" s="769"/>
      <c r="KJJ100" s="769"/>
      <c r="KJK100" s="769"/>
      <c r="KJL100" s="769"/>
      <c r="KJM100" s="769"/>
      <c r="KJN100" s="769"/>
      <c r="KJO100" s="769"/>
      <c r="KJP100" s="769"/>
      <c r="KJQ100" s="769"/>
      <c r="KJR100" s="769"/>
      <c r="KJS100" s="769"/>
      <c r="KJT100" s="769"/>
      <c r="KJU100" s="769"/>
      <c r="KJV100" s="769"/>
      <c r="KJW100" s="769"/>
      <c r="KJX100" s="769"/>
      <c r="KJY100" s="769"/>
      <c r="KJZ100" s="769"/>
      <c r="KKA100" s="769"/>
      <c r="KKB100" s="769"/>
      <c r="KKC100" s="769"/>
      <c r="KKD100" s="769"/>
      <c r="KKE100" s="769"/>
      <c r="KKF100" s="769"/>
      <c r="KKG100" s="769"/>
      <c r="KKH100" s="769"/>
      <c r="KKI100" s="769"/>
      <c r="KKJ100" s="769"/>
      <c r="KKK100" s="769"/>
      <c r="KKL100" s="769"/>
      <c r="KKM100" s="769"/>
      <c r="KKN100" s="769"/>
      <c r="KKO100" s="769"/>
      <c r="KKP100" s="769"/>
      <c r="KKQ100" s="769"/>
      <c r="KKR100" s="769"/>
      <c r="KKS100" s="769"/>
      <c r="KKT100" s="769"/>
      <c r="KKU100" s="769"/>
      <c r="KKV100" s="769"/>
      <c r="KKW100" s="769"/>
      <c r="KKX100" s="769"/>
      <c r="KKY100" s="769"/>
      <c r="KKZ100" s="769"/>
      <c r="KLA100" s="769"/>
      <c r="KLB100" s="769"/>
      <c r="KLC100" s="769"/>
      <c r="KLD100" s="769"/>
      <c r="KLE100" s="769"/>
      <c r="KLF100" s="769"/>
      <c r="KLG100" s="769"/>
      <c r="KLH100" s="769"/>
      <c r="KLI100" s="769"/>
      <c r="KLJ100" s="769"/>
      <c r="KLK100" s="769"/>
      <c r="KLL100" s="769"/>
      <c r="KLM100" s="769"/>
      <c r="KLN100" s="769"/>
      <c r="KLO100" s="769"/>
      <c r="KLP100" s="769"/>
      <c r="KLQ100" s="769"/>
      <c r="KLR100" s="769"/>
      <c r="KLS100" s="769"/>
      <c r="KLT100" s="769"/>
      <c r="KLU100" s="769"/>
      <c r="KLV100" s="769"/>
      <c r="KLW100" s="769"/>
      <c r="KLX100" s="769"/>
      <c r="KLY100" s="769"/>
      <c r="KLZ100" s="769"/>
      <c r="KMA100" s="769"/>
      <c r="KMB100" s="769"/>
      <c r="KMC100" s="769"/>
      <c r="KMD100" s="769"/>
      <c r="KME100" s="769"/>
      <c r="KMF100" s="769"/>
      <c r="KMG100" s="769"/>
      <c r="KMH100" s="769"/>
      <c r="KMI100" s="769"/>
      <c r="KMJ100" s="769"/>
      <c r="KMK100" s="769"/>
      <c r="KML100" s="769"/>
      <c r="KMM100" s="769"/>
      <c r="KMN100" s="769"/>
      <c r="KMO100" s="769"/>
      <c r="KMP100" s="769"/>
      <c r="KMQ100" s="769"/>
      <c r="KMR100" s="769"/>
      <c r="KMS100" s="769"/>
      <c r="KMT100" s="769"/>
      <c r="KMU100" s="769"/>
      <c r="KMV100" s="769"/>
      <c r="KMW100" s="769"/>
      <c r="KMX100" s="769"/>
      <c r="KMY100" s="769"/>
      <c r="KMZ100" s="769"/>
      <c r="KNA100" s="769"/>
      <c r="KNB100" s="769"/>
      <c r="KNC100" s="769"/>
      <c r="KND100" s="769"/>
      <c r="KNE100" s="769"/>
      <c r="KNF100" s="769"/>
      <c r="KNG100" s="769"/>
      <c r="KNH100" s="769"/>
      <c r="KNI100" s="769"/>
      <c r="KNJ100" s="769"/>
      <c r="KNK100" s="769"/>
      <c r="KNL100" s="769"/>
      <c r="KNM100" s="769"/>
      <c r="KNN100" s="769"/>
      <c r="KNO100" s="769"/>
      <c r="KNP100" s="769"/>
      <c r="KNQ100" s="769"/>
      <c r="KNR100" s="769"/>
      <c r="KNS100" s="769"/>
      <c r="KNT100" s="769"/>
      <c r="KNU100" s="769"/>
      <c r="KNV100" s="769"/>
      <c r="KNW100" s="769"/>
      <c r="KNX100" s="769"/>
      <c r="KNY100" s="769"/>
      <c r="KNZ100" s="769"/>
      <c r="KOA100" s="769"/>
      <c r="KOB100" s="769"/>
      <c r="KOC100" s="769"/>
      <c r="KOD100" s="769"/>
      <c r="KOE100" s="769"/>
      <c r="KOF100" s="769"/>
      <c r="KOG100" s="769"/>
      <c r="KOH100" s="769"/>
      <c r="KOI100" s="769"/>
      <c r="KOJ100" s="769"/>
      <c r="KOK100" s="769"/>
      <c r="KOL100" s="769"/>
      <c r="KOM100" s="769"/>
      <c r="KON100" s="769"/>
      <c r="KOO100" s="769"/>
      <c r="KOP100" s="769"/>
      <c r="KOQ100" s="769"/>
      <c r="KOR100" s="769"/>
      <c r="KOS100" s="769"/>
      <c r="KOT100" s="769"/>
      <c r="KOU100" s="769"/>
      <c r="KOV100" s="769"/>
      <c r="KOW100" s="769"/>
      <c r="KOX100" s="769"/>
      <c r="KOY100" s="769"/>
      <c r="KOZ100" s="769"/>
      <c r="KPA100" s="769"/>
      <c r="KPB100" s="769"/>
      <c r="KPC100" s="769"/>
      <c r="KPD100" s="769"/>
      <c r="KPE100" s="769"/>
      <c r="KPF100" s="769"/>
      <c r="KPG100" s="769"/>
      <c r="KPH100" s="769"/>
      <c r="KPI100" s="769"/>
      <c r="KPJ100" s="769"/>
      <c r="KPK100" s="769"/>
      <c r="KPL100" s="769"/>
      <c r="KPM100" s="769"/>
      <c r="KPN100" s="769"/>
      <c r="KPO100" s="769"/>
      <c r="KPP100" s="769"/>
      <c r="KPQ100" s="769"/>
      <c r="KPR100" s="769"/>
      <c r="KPS100" s="769"/>
      <c r="KPT100" s="769"/>
      <c r="KPU100" s="769"/>
      <c r="KPV100" s="769"/>
      <c r="KPW100" s="769"/>
      <c r="KPX100" s="769"/>
      <c r="KPY100" s="769"/>
      <c r="KPZ100" s="769"/>
      <c r="KQA100" s="769"/>
      <c r="KQB100" s="769"/>
      <c r="KQC100" s="769"/>
      <c r="KQD100" s="769"/>
      <c r="KQE100" s="769"/>
      <c r="KQF100" s="769"/>
      <c r="KQG100" s="769"/>
      <c r="KQH100" s="769"/>
      <c r="KQI100" s="769"/>
      <c r="KQJ100" s="769"/>
      <c r="KQK100" s="769"/>
      <c r="KQL100" s="769"/>
      <c r="KQM100" s="769"/>
      <c r="KQN100" s="769"/>
      <c r="KQO100" s="769"/>
      <c r="KQP100" s="769"/>
      <c r="KQQ100" s="769"/>
      <c r="KQR100" s="769"/>
      <c r="KQS100" s="769"/>
      <c r="KQT100" s="769"/>
      <c r="KQU100" s="769"/>
      <c r="KQV100" s="769"/>
      <c r="KQW100" s="769"/>
      <c r="KQX100" s="769"/>
      <c r="KQY100" s="769"/>
      <c r="KQZ100" s="769"/>
      <c r="KRA100" s="769"/>
      <c r="KRB100" s="769"/>
      <c r="KRC100" s="769"/>
      <c r="KRD100" s="769"/>
      <c r="KRE100" s="769"/>
      <c r="KRF100" s="769"/>
      <c r="KRG100" s="769"/>
      <c r="KRH100" s="769"/>
      <c r="KRI100" s="769"/>
      <c r="KRJ100" s="769"/>
      <c r="KRK100" s="769"/>
      <c r="KRL100" s="769"/>
      <c r="KRM100" s="769"/>
      <c r="KRN100" s="769"/>
      <c r="KRO100" s="769"/>
      <c r="KRP100" s="769"/>
      <c r="KRQ100" s="769"/>
      <c r="KRR100" s="769"/>
      <c r="KRS100" s="769"/>
      <c r="KRT100" s="769"/>
      <c r="KRU100" s="769"/>
      <c r="KRV100" s="769"/>
      <c r="KRW100" s="769"/>
      <c r="KRX100" s="769"/>
      <c r="KRY100" s="769"/>
      <c r="KRZ100" s="769"/>
      <c r="KSA100" s="769"/>
      <c r="KSB100" s="769"/>
      <c r="KSC100" s="769"/>
      <c r="KSD100" s="769"/>
      <c r="KSE100" s="769"/>
      <c r="KSF100" s="769"/>
      <c r="KSG100" s="769"/>
      <c r="KSH100" s="769"/>
      <c r="KSI100" s="769"/>
      <c r="KSJ100" s="769"/>
      <c r="KSK100" s="769"/>
      <c r="KSL100" s="769"/>
      <c r="KSM100" s="769"/>
      <c r="KSN100" s="769"/>
      <c r="KSO100" s="769"/>
      <c r="KSP100" s="769"/>
      <c r="KSQ100" s="769"/>
      <c r="KSR100" s="769"/>
      <c r="KSS100" s="769"/>
      <c r="KST100" s="769"/>
      <c r="KSU100" s="769"/>
      <c r="KSV100" s="769"/>
      <c r="KSW100" s="769"/>
      <c r="KSX100" s="769"/>
      <c r="KSY100" s="769"/>
      <c r="KSZ100" s="769"/>
      <c r="KTA100" s="769"/>
      <c r="KTB100" s="769"/>
      <c r="KTC100" s="769"/>
      <c r="KTD100" s="769"/>
      <c r="KTE100" s="769"/>
      <c r="KTF100" s="769"/>
      <c r="KTG100" s="769"/>
      <c r="KTH100" s="769"/>
      <c r="KTI100" s="769"/>
      <c r="KTJ100" s="769"/>
      <c r="KTK100" s="769"/>
      <c r="KTL100" s="769"/>
      <c r="KTM100" s="769"/>
      <c r="KTN100" s="769"/>
      <c r="KTO100" s="769"/>
      <c r="KTP100" s="769"/>
      <c r="KTQ100" s="769"/>
      <c r="KTR100" s="769"/>
      <c r="KTS100" s="769"/>
      <c r="KTT100" s="769"/>
      <c r="KTU100" s="769"/>
      <c r="KTV100" s="769"/>
      <c r="KTW100" s="769"/>
      <c r="KTX100" s="769"/>
      <c r="KTY100" s="769"/>
      <c r="KTZ100" s="769"/>
      <c r="KUA100" s="769"/>
      <c r="KUB100" s="769"/>
      <c r="KUC100" s="769"/>
      <c r="KUD100" s="769"/>
      <c r="KUE100" s="769"/>
      <c r="KUF100" s="769"/>
      <c r="KUG100" s="769"/>
      <c r="KUH100" s="769"/>
      <c r="KUI100" s="769"/>
      <c r="KUJ100" s="769"/>
      <c r="KUK100" s="769"/>
      <c r="KUL100" s="769"/>
      <c r="KUM100" s="769"/>
      <c r="KUN100" s="769"/>
      <c r="KUO100" s="769"/>
      <c r="KUP100" s="769"/>
      <c r="KUQ100" s="769"/>
      <c r="KUR100" s="769"/>
      <c r="KUS100" s="769"/>
      <c r="KUT100" s="769"/>
      <c r="KUU100" s="769"/>
      <c r="KUV100" s="769"/>
      <c r="KUW100" s="769"/>
      <c r="KUX100" s="769"/>
      <c r="KUY100" s="769"/>
      <c r="KUZ100" s="769"/>
      <c r="KVA100" s="769"/>
      <c r="KVB100" s="769"/>
      <c r="KVC100" s="769"/>
      <c r="KVD100" s="769"/>
      <c r="KVE100" s="769"/>
      <c r="KVF100" s="769"/>
      <c r="KVG100" s="769"/>
      <c r="KVH100" s="769"/>
      <c r="KVI100" s="769"/>
      <c r="KVJ100" s="769"/>
      <c r="KVK100" s="769"/>
      <c r="KVL100" s="769"/>
      <c r="KVM100" s="769"/>
      <c r="KVN100" s="769"/>
      <c r="KVO100" s="769"/>
      <c r="KVP100" s="769"/>
      <c r="KVQ100" s="769"/>
      <c r="KVR100" s="769"/>
      <c r="KVS100" s="769"/>
      <c r="KVT100" s="769"/>
      <c r="KVU100" s="769"/>
      <c r="KVV100" s="769"/>
      <c r="KVW100" s="769"/>
      <c r="KVX100" s="769"/>
      <c r="KVY100" s="769"/>
      <c r="KVZ100" s="769"/>
      <c r="KWA100" s="769"/>
      <c r="KWB100" s="769"/>
      <c r="KWC100" s="769"/>
      <c r="KWD100" s="769"/>
      <c r="KWE100" s="769"/>
      <c r="KWF100" s="769"/>
      <c r="KWG100" s="769"/>
      <c r="KWH100" s="769"/>
      <c r="KWI100" s="769"/>
      <c r="KWJ100" s="769"/>
      <c r="KWK100" s="769"/>
      <c r="KWL100" s="769"/>
      <c r="KWM100" s="769"/>
      <c r="KWN100" s="769"/>
      <c r="KWO100" s="769"/>
      <c r="KWP100" s="769"/>
      <c r="KWQ100" s="769"/>
      <c r="KWR100" s="769"/>
      <c r="KWS100" s="769"/>
      <c r="KWT100" s="769"/>
      <c r="KWU100" s="769"/>
      <c r="KWV100" s="769"/>
      <c r="KWW100" s="769"/>
      <c r="KWX100" s="769"/>
      <c r="KWY100" s="769"/>
      <c r="KWZ100" s="769"/>
      <c r="KXA100" s="769"/>
      <c r="KXB100" s="769"/>
      <c r="KXC100" s="769"/>
      <c r="KXD100" s="769"/>
      <c r="KXE100" s="769"/>
      <c r="KXF100" s="769"/>
      <c r="KXG100" s="769"/>
      <c r="KXH100" s="769"/>
      <c r="KXI100" s="769"/>
      <c r="KXJ100" s="769"/>
      <c r="KXK100" s="769"/>
      <c r="KXL100" s="769"/>
      <c r="KXM100" s="769"/>
      <c r="KXN100" s="769"/>
      <c r="KXO100" s="769"/>
      <c r="KXP100" s="769"/>
      <c r="KXQ100" s="769"/>
      <c r="KXR100" s="769"/>
      <c r="KXS100" s="769"/>
      <c r="KXT100" s="769"/>
      <c r="KXU100" s="769"/>
      <c r="KXV100" s="769"/>
      <c r="KXW100" s="769"/>
      <c r="KXX100" s="769"/>
      <c r="KXY100" s="769"/>
      <c r="KXZ100" s="769"/>
      <c r="KYA100" s="769"/>
      <c r="KYB100" s="769"/>
      <c r="KYC100" s="769"/>
      <c r="KYD100" s="769"/>
      <c r="KYE100" s="769"/>
      <c r="KYF100" s="769"/>
      <c r="KYG100" s="769"/>
      <c r="KYH100" s="769"/>
      <c r="KYI100" s="769"/>
      <c r="KYJ100" s="769"/>
      <c r="KYK100" s="769"/>
      <c r="KYL100" s="769"/>
      <c r="KYM100" s="769"/>
      <c r="KYN100" s="769"/>
      <c r="KYO100" s="769"/>
      <c r="KYP100" s="769"/>
      <c r="KYQ100" s="769"/>
      <c r="KYR100" s="769"/>
      <c r="KYS100" s="769"/>
      <c r="KYT100" s="769"/>
      <c r="KYU100" s="769"/>
      <c r="KYV100" s="769"/>
      <c r="KYW100" s="769"/>
      <c r="KYX100" s="769"/>
      <c r="KYY100" s="769"/>
      <c r="KYZ100" s="769"/>
      <c r="KZA100" s="769"/>
      <c r="KZB100" s="769"/>
      <c r="KZC100" s="769"/>
      <c r="KZD100" s="769"/>
      <c r="KZE100" s="769"/>
      <c r="KZF100" s="769"/>
      <c r="KZG100" s="769"/>
      <c r="KZH100" s="769"/>
      <c r="KZI100" s="769"/>
      <c r="KZJ100" s="769"/>
      <c r="KZK100" s="769"/>
      <c r="KZL100" s="769"/>
      <c r="KZM100" s="769"/>
      <c r="KZN100" s="769"/>
      <c r="KZO100" s="769"/>
      <c r="KZP100" s="769"/>
      <c r="KZQ100" s="769"/>
      <c r="KZR100" s="769"/>
      <c r="KZS100" s="769"/>
      <c r="KZT100" s="769"/>
      <c r="KZU100" s="769"/>
      <c r="KZV100" s="769"/>
      <c r="KZW100" s="769"/>
      <c r="KZX100" s="769"/>
      <c r="KZY100" s="769"/>
      <c r="KZZ100" s="769"/>
      <c r="LAA100" s="769"/>
      <c r="LAB100" s="769"/>
      <c r="LAC100" s="769"/>
      <c r="LAD100" s="769"/>
      <c r="LAE100" s="769"/>
      <c r="LAF100" s="769"/>
      <c r="LAG100" s="769"/>
      <c r="LAH100" s="769"/>
      <c r="LAI100" s="769"/>
      <c r="LAJ100" s="769"/>
      <c r="LAK100" s="769"/>
      <c r="LAL100" s="769"/>
      <c r="LAM100" s="769"/>
      <c r="LAN100" s="769"/>
      <c r="LAO100" s="769"/>
      <c r="LAP100" s="769"/>
      <c r="LAQ100" s="769"/>
      <c r="LAR100" s="769"/>
      <c r="LAS100" s="769"/>
      <c r="LAT100" s="769"/>
      <c r="LAU100" s="769"/>
      <c r="LAV100" s="769"/>
      <c r="LAW100" s="769"/>
      <c r="LAX100" s="769"/>
      <c r="LAY100" s="769"/>
      <c r="LAZ100" s="769"/>
      <c r="LBA100" s="769"/>
      <c r="LBB100" s="769"/>
      <c r="LBC100" s="769"/>
      <c r="LBD100" s="769"/>
      <c r="LBE100" s="769"/>
      <c r="LBF100" s="769"/>
      <c r="LBG100" s="769"/>
      <c r="LBH100" s="769"/>
      <c r="LBI100" s="769"/>
      <c r="LBJ100" s="769"/>
      <c r="LBK100" s="769"/>
      <c r="LBL100" s="769"/>
      <c r="LBM100" s="769"/>
      <c r="LBN100" s="769"/>
      <c r="LBO100" s="769"/>
      <c r="LBP100" s="769"/>
      <c r="LBQ100" s="769"/>
      <c r="LBR100" s="769"/>
      <c r="LBS100" s="769"/>
      <c r="LBT100" s="769"/>
      <c r="LBU100" s="769"/>
      <c r="LBV100" s="769"/>
      <c r="LBW100" s="769"/>
      <c r="LBX100" s="769"/>
      <c r="LBY100" s="769"/>
      <c r="LBZ100" s="769"/>
      <c r="LCA100" s="769"/>
      <c r="LCB100" s="769"/>
      <c r="LCC100" s="769"/>
      <c r="LCD100" s="769"/>
      <c r="LCE100" s="769"/>
      <c r="LCF100" s="769"/>
      <c r="LCG100" s="769"/>
      <c r="LCH100" s="769"/>
      <c r="LCI100" s="769"/>
      <c r="LCJ100" s="769"/>
      <c r="LCK100" s="769"/>
      <c r="LCL100" s="769"/>
      <c r="LCM100" s="769"/>
      <c r="LCN100" s="769"/>
      <c r="LCO100" s="769"/>
      <c r="LCP100" s="769"/>
      <c r="LCQ100" s="769"/>
      <c r="LCR100" s="769"/>
      <c r="LCS100" s="769"/>
      <c r="LCT100" s="769"/>
      <c r="LCU100" s="769"/>
      <c r="LCV100" s="769"/>
      <c r="LCW100" s="769"/>
      <c r="LCX100" s="769"/>
      <c r="LCY100" s="769"/>
      <c r="LCZ100" s="769"/>
      <c r="LDA100" s="769"/>
      <c r="LDB100" s="769"/>
      <c r="LDC100" s="769"/>
      <c r="LDD100" s="769"/>
      <c r="LDE100" s="769"/>
      <c r="LDF100" s="769"/>
      <c r="LDG100" s="769"/>
      <c r="LDH100" s="769"/>
      <c r="LDI100" s="769"/>
      <c r="LDJ100" s="769"/>
      <c r="LDK100" s="769"/>
      <c r="LDL100" s="769"/>
      <c r="LDM100" s="769"/>
      <c r="LDN100" s="769"/>
      <c r="LDO100" s="769"/>
      <c r="LDP100" s="769"/>
      <c r="LDQ100" s="769"/>
      <c r="LDR100" s="769"/>
      <c r="LDS100" s="769"/>
      <c r="LDT100" s="769"/>
      <c r="LDU100" s="769"/>
      <c r="LDV100" s="769"/>
      <c r="LDW100" s="769"/>
      <c r="LDX100" s="769"/>
      <c r="LDY100" s="769"/>
      <c r="LDZ100" s="769"/>
      <c r="LEA100" s="769"/>
      <c r="LEB100" s="769"/>
      <c r="LEC100" s="769"/>
      <c r="LED100" s="769"/>
      <c r="LEE100" s="769"/>
      <c r="LEF100" s="769"/>
      <c r="LEG100" s="769"/>
      <c r="LEH100" s="769"/>
      <c r="LEI100" s="769"/>
      <c r="LEJ100" s="769"/>
      <c r="LEK100" s="769"/>
      <c r="LEL100" s="769"/>
      <c r="LEM100" s="769"/>
      <c r="LEN100" s="769"/>
      <c r="LEO100" s="769"/>
      <c r="LEP100" s="769"/>
      <c r="LEQ100" s="769"/>
      <c r="LER100" s="769"/>
      <c r="LES100" s="769"/>
      <c r="LET100" s="769"/>
      <c r="LEU100" s="769"/>
      <c r="LEV100" s="769"/>
      <c r="LEW100" s="769"/>
      <c r="LEX100" s="769"/>
      <c r="LEY100" s="769"/>
      <c r="LEZ100" s="769"/>
      <c r="LFA100" s="769"/>
      <c r="LFB100" s="769"/>
      <c r="LFC100" s="769"/>
      <c r="LFD100" s="769"/>
      <c r="LFE100" s="769"/>
      <c r="LFF100" s="769"/>
      <c r="LFG100" s="769"/>
      <c r="LFH100" s="769"/>
      <c r="LFI100" s="769"/>
      <c r="LFJ100" s="769"/>
      <c r="LFK100" s="769"/>
      <c r="LFL100" s="769"/>
      <c r="LFM100" s="769"/>
      <c r="LFN100" s="769"/>
      <c r="LFO100" s="769"/>
      <c r="LFP100" s="769"/>
      <c r="LFQ100" s="769"/>
      <c r="LFR100" s="769"/>
      <c r="LFS100" s="769"/>
      <c r="LFT100" s="769"/>
      <c r="LFU100" s="769"/>
      <c r="LFV100" s="769"/>
      <c r="LFW100" s="769"/>
      <c r="LFX100" s="769"/>
      <c r="LFY100" s="769"/>
      <c r="LFZ100" s="769"/>
      <c r="LGA100" s="769"/>
      <c r="LGB100" s="769"/>
      <c r="LGC100" s="769"/>
      <c r="LGD100" s="769"/>
      <c r="LGE100" s="769"/>
      <c r="LGF100" s="769"/>
      <c r="LGG100" s="769"/>
      <c r="LGH100" s="769"/>
      <c r="LGI100" s="769"/>
      <c r="LGJ100" s="769"/>
      <c r="LGK100" s="769"/>
      <c r="LGL100" s="769"/>
      <c r="LGM100" s="769"/>
      <c r="LGN100" s="769"/>
      <c r="LGO100" s="769"/>
      <c r="LGP100" s="769"/>
      <c r="LGQ100" s="769"/>
      <c r="LGR100" s="769"/>
      <c r="LGS100" s="769"/>
      <c r="LGT100" s="769"/>
      <c r="LGU100" s="769"/>
      <c r="LGV100" s="769"/>
      <c r="LGW100" s="769"/>
      <c r="LGX100" s="769"/>
      <c r="LGY100" s="769"/>
      <c r="LGZ100" s="769"/>
      <c r="LHA100" s="769"/>
      <c r="LHB100" s="769"/>
      <c r="LHC100" s="769"/>
      <c r="LHD100" s="769"/>
      <c r="LHE100" s="769"/>
      <c r="LHF100" s="769"/>
      <c r="LHG100" s="769"/>
      <c r="LHH100" s="769"/>
      <c r="LHI100" s="769"/>
      <c r="LHJ100" s="769"/>
      <c r="LHK100" s="769"/>
      <c r="LHL100" s="769"/>
      <c r="LHM100" s="769"/>
      <c r="LHN100" s="769"/>
      <c r="LHO100" s="769"/>
      <c r="LHP100" s="769"/>
      <c r="LHQ100" s="769"/>
      <c r="LHR100" s="769"/>
      <c r="LHS100" s="769"/>
      <c r="LHT100" s="769"/>
      <c r="LHU100" s="769"/>
      <c r="LHV100" s="769"/>
      <c r="LHW100" s="769"/>
      <c r="LHX100" s="769"/>
      <c r="LHY100" s="769"/>
      <c r="LHZ100" s="769"/>
      <c r="LIA100" s="769"/>
      <c r="LIB100" s="769"/>
      <c r="LIC100" s="769"/>
      <c r="LID100" s="769"/>
      <c r="LIE100" s="769"/>
      <c r="LIF100" s="769"/>
      <c r="LIG100" s="769"/>
      <c r="LIH100" s="769"/>
      <c r="LII100" s="769"/>
      <c r="LIJ100" s="769"/>
      <c r="LIK100" s="769"/>
      <c r="LIL100" s="769"/>
      <c r="LIM100" s="769"/>
      <c r="LIN100" s="769"/>
      <c r="LIO100" s="769"/>
      <c r="LIP100" s="769"/>
      <c r="LIQ100" s="769"/>
      <c r="LIR100" s="769"/>
      <c r="LIS100" s="769"/>
      <c r="LIT100" s="769"/>
      <c r="LIU100" s="769"/>
      <c r="LIV100" s="769"/>
      <c r="LIW100" s="769"/>
      <c r="LIX100" s="769"/>
      <c r="LIY100" s="769"/>
      <c r="LIZ100" s="769"/>
      <c r="LJA100" s="769"/>
      <c r="LJB100" s="769"/>
      <c r="LJC100" s="769"/>
      <c r="LJD100" s="769"/>
      <c r="LJE100" s="769"/>
      <c r="LJF100" s="769"/>
      <c r="LJG100" s="769"/>
      <c r="LJH100" s="769"/>
      <c r="LJI100" s="769"/>
      <c r="LJJ100" s="769"/>
      <c r="LJK100" s="769"/>
      <c r="LJL100" s="769"/>
      <c r="LJM100" s="769"/>
      <c r="LJN100" s="769"/>
      <c r="LJO100" s="769"/>
      <c r="LJP100" s="769"/>
      <c r="LJQ100" s="769"/>
      <c r="LJR100" s="769"/>
      <c r="LJS100" s="769"/>
      <c r="LJT100" s="769"/>
      <c r="LJU100" s="769"/>
      <c r="LJV100" s="769"/>
      <c r="LJW100" s="769"/>
      <c r="LJX100" s="769"/>
      <c r="LJY100" s="769"/>
      <c r="LJZ100" s="769"/>
      <c r="LKA100" s="769"/>
      <c r="LKB100" s="769"/>
      <c r="LKC100" s="769"/>
      <c r="LKD100" s="769"/>
      <c r="LKE100" s="769"/>
      <c r="LKF100" s="769"/>
      <c r="LKG100" s="769"/>
      <c r="LKH100" s="769"/>
      <c r="LKI100" s="769"/>
      <c r="LKJ100" s="769"/>
      <c r="LKK100" s="769"/>
      <c r="LKL100" s="769"/>
      <c r="LKM100" s="769"/>
      <c r="LKN100" s="769"/>
      <c r="LKO100" s="769"/>
      <c r="LKP100" s="769"/>
      <c r="LKQ100" s="769"/>
      <c r="LKR100" s="769"/>
      <c r="LKS100" s="769"/>
      <c r="LKT100" s="769"/>
      <c r="LKU100" s="769"/>
      <c r="LKV100" s="769"/>
      <c r="LKW100" s="769"/>
      <c r="LKX100" s="769"/>
      <c r="LKY100" s="769"/>
      <c r="LKZ100" s="769"/>
      <c r="LLA100" s="769"/>
      <c r="LLB100" s="769"/>
      <c r="LLC100" s="769"/>
      <c r="LLD100" s="769"/>
      <c r="LLE100" s="769"/>
      <c r="LLF100" s="769"/>
      <c r="LLG100" s="769"/>
      <c r="LLH100" s="769"/>
      <c r="LLI100" s="769"/>
      <c r="LLJ100" s="769"/>
      <c r="LLK100" s="769"/>
      <c r="LLL100" s="769"/>
      <c r="LLM100" s="769"/>
      <c r="LLN100" s="769"/>
      <c r="LLO100" s="769"/>
      <c r="LLP100" s="769"/>
      <c r="LLQ100" s="769"/>
      <c r="LLR100" s="769"/>
      <c r="LLS100" s="769"/>
      <c r="LLT100" s="769"/>
      <c r="LLU100" s="769"/>
      <c r="LLV100" s="769"/>
      <c r="LLW100" s="769"/>
      <c r="LLX100" s="769"/>
      <c r="LLY100" s="769"/>
      <c r="LLZ100" s="769"/>
      <c r="LMA100" s="769"/>
      <c r="LMB100" s="769"/>
      <c r="LMC100" s="769"/>
      <c r="LMD100" s="769"/>
      <c r="LME100" s="769"/>
      <c r="LMF100" s="769"/>
      <c r="LMG100" s="769"/>
      <c r="LMH100" s="769"/>
      <c r="LMI100" s="769"/>
      <c r="LMJ100" s="769"/>
      <c r="LMK100" s="769"/>
      <c r="LML100" s="769"/>
      <c r="LMM100" s="769"/>
      <c r="LMN100" s="769"/>
      <c r="LMO100" s="769"/>
      <c r="LMP100" s="769"/>
      <c r="LMQ100" s="769"/>
      <c r="LMR100" s="769"/>
      <c r="LMS100" s="769"/>
      <c r="LMT100" s="769"/>
      <c r="LMU100" s="769"/>
      <c r="LMV100" s="769"/>
      <c r="LMW100" s="769"/>
      <c r="LMX100" s="769"/>
      <c r="LMY100" s="769"/>
      <c r="LMZ100" s="769"/>
      <c r="LNA100" s="769"/>
      <c r="LNB100" s="769"/>
      <c r="LNC100" s="769"/>
      <c r="LND100" s="769"/>
      <c r="LNE100" s="769"/>
      <c r="LNF100" s="769"/>
      <c r="LNG100" s="769"/>
      <c r="LNH100" s="769"/>
      <c r="LNI100" s="769"/>
      <c r="LNJ100" s="769"/>
      <c r="LNK100" s="769"/>
      <c r="LNL100" s="769"/>
      <c r="LNM100" s="769"/>
      <c r="LNN100" s="769"/>
      <c r="LNO100" s="769"/>
      <c r="LNP100" s="769"/>
      <c r="LNQ100" s="769"/>
      <c r="LNR100" s="769"/>
      <c r="LNS100" s="769"/>
      <c r="LNT100" s="769"/>
      <c r="LNU100" s="769"/>
      <c r="LNV100" s="769"/>
      <c r="LNW100" s="769"/>
      <c r="LNX100" s="769"/>
      <c r="LNY100" s="769"/>
      <c r="LNZ100" s="769"/>
      <c r="LOA100" s="769"/>
      <c r="LOB100" s="769"/>
      <c r="LOC100" s="769"/>
      <c r="LOD100" s="769"/>
      <c r="LOE100" s="769"/>
      <c r="LOF100" s="769"/>
      <c r="LOG100" s="769"/>
      <c r="LOH100" s="769"/>
      <c r="LOI100" s="769"/>
      <c r="LOJ100" s="769"/>
      <c r="LOK100" s="769"/>
      <c r="LOL100" s="769"/>
      <c r="LOM100" s="769"/>
      <c r="LON100" s="769"/>
      <c r="LOO100" s="769"/>
      <c r="LOP100" s="769"/>
      <c r="LOQ100" s="769"/>
      <c r="LOR100" s="769"/>
      <c r="LOS100" s="769"/>
      <c r="LOT100" s="769"/>
      <c r="LOU100" s="769"/>
      <c r="LOV100" s="769"/>
      <c r="LOW100" s="769"/>
      <c r="LOX100" s="769"/>
      <c r="LOY100" s="769"/>
      <c r="LOZ100" s="769"/>
      <c r="LPA100" s="769"/>
      <c r="LPB100" s="769"/>
      <c r="LPC100" s="769"/>
      <c r="LPD100" s="769"/>
      <c r="LPE100" s="769"/>
      <c r="LPF100" s="769"/>
      <c r="LPG100" s="769"/>
      <c r="LPH100" s="769"/>
      <c r="LPI100" s="769"/>
      <c r="LPJ100" s="769"/>
      <c r="LPK100" s="769"/>
      <c r="LPL100" s="769"/>
      <c r="LPM100" s="769"/>
      <c r="LPN100" s="769"/>
      <c r="LPO100" s="769"/>
      <c r="LPP100" s="769"/>
      <c r="LPQ100" s="769"/>
      <c r="LPR100" s="769"/>
      <c r="LPS100" s="769"/>
      <c r="LPT100" s="769"/>
      <c r="LPU100" s="769"/>
      <c r="LPV100" s="769"/>
      <c r="LPW100" s="769"/>
      <c r="LPX100" s="769"/>
      <c r="LPY100" s="769"/>
      <c r="LPZ100" s="769"/>
      <c r="LQA100" s="769"/>
      <c r="LQB100" s="769"/>
      <c r="LQC100" s="769"/>
      <c r="LQD100" s="769"/>
      <c r="LQE100" s="769"/>
      <c r="LQF100" s="769"/>
      <c r="LQG100" s="769"/>
      <c r="LQH100" s="769"/>
      <c r="LQI100" s="769"/>
      <c r="LQJ100" s="769"/>
      <c r="LQK100" s="769"/>
      <c r="LQL100" s="769"/>
      <c r="LQM100" s="769"/>
      <c r="LQN100" s="769"/>
      <c r="LQO100" s="769"/>
      <c r="LQP100" s="769"/>
      <c r="LQQ100" s="769"/>
      <c r="LQR100" s="769"/>
      <c r="LQS100" s="769"/>
      <c r="LQT100" s="769"/>
      <c r="LQU100" s="769"/>
      <c r="LQV100" s="769"/>
      <c r="LQW100" s="769"/>
      <c r="LQX100" s="769"/>
      <c r="LQY100" s="769"/>
      <c r="LQZ100" s="769"/>
      <c r="LRA100" s="769"/>
      <c r="LRB100" s="769"/>
      <c r="LRC100" s="769"/>
      <c r="LRD100" s="769"/>
      <c r="LRE100" s="769"/>
      <c r="LRF100" s="769"/>
      <c r="LRG100" s="769"/>
      <c r="LRH100" s="769"/>
      <c r="LRI100" s="769"/>
      <c r="LRJ100" s="769"/>
      <c r="LRK100" s="769"/>
      <c r="LRL100" s="769"/>
      <c r="LRM100" s="769"/>
      <c r="LRN100" s="769"/>
      <c r="LRO100" s="769"/>
      <c r="LRP100" s="769"/>
      <c r="LRQ100" s="769"/>
      <c r="LRR100" s="769"/>
      <c r="LRS100" s="769"/>
      <c r="LRT100" s="769"/>
      <c r="LRU100" s="769"/>
      <c r="LRV100" s="769"/>
      <c r="LRW100" s="769"/>
      <c r="LRX100" s="769"/>
      <c r="LRY100" s="769"/>
      <c r="LRZ100" s="769"/>
      <c r="LSA100" s="769"/>
      <c r="LSB100" s="769"/>
      <c r="LSC100" s="769"/>
      <c r="LSD100" s="769"/>
      <c r="LSE100" s="769"/>
      <c r="LSF100" s="769"/>
      <c r="LSG100" s="769"/>
      <c r="LSH100" s="769"/>
      <c r="LSI100" s="769"/>
      <c r="LSJ100" s="769"/>
      <c r="LSK100" s="769"/>
      <c r="LSL100" s="769"/>
      <c r="LSM100" s="769"/>
      <c r="LSN100" s="769"/>
      <c r="LSO100" s="769"/>
      <c r="LSP100" s="769"/>
      <c r="LSQ100" s="769"/>
      <c r="LSR100" s="769"/>
      <c r="LSS100" s="769"/>
      <c r="LST100" s="769"/>
      <c r="LSU100" s="769"/>
      <c r="LSV100" s="769"/>
      <c r="LSW100" s="769"/>
      <c r="LSX100" s="769"/>
      <c r="LSY100" s="769"/>
      <c r="LSZ100" s="769"/>
      <c r="LTA100" s="769"/>
      <c r="LTB100" s="769"/>
      <c r="LTC100" s="769"/>
      <c r="LTD100" s="769"/>
      <c r="LTE100" s="769"/>
      <c r="LTF100" s="769"/>
      <c r="LTG100" s="769"/>
      <c r="LTH100" s="769"/>
      <c r="LTI100" s="769"/>
      <c r="LTJ100" s="769"/>
      <c r="LTK100" s="769"/>
      <c r="LTL100" s="769"/>
      <c r="LTM100" s="769"/>
      <c r="LTN100" s="769"/>
      <c r="LTO100" s="769"/>
      <c r="LTP100" s="769"/>
      <c r="LTQ100" s="769"/>
      <c r="LTR100" s="769"/>
      <c r="LTS100" s="769"/>
      <c r="LTT100" s="769"/>
      <c r="LTU100" s="769"/>
      <c r="LTV100" s="769"/>
      <c r="LTW100" s="769"/>
      <c r="LTX100" s="769"/>
      <c r="LTY100" s="769"/>
      <c r="LTZ100" s="769"/>
      <c r="LUA100" s="769"/>
      <c r="LUB100" s="769"/>
      <c r="LUC100" s="769"/>
      <c r="LUD100" s="769"/>
      <c r="LUE100" s="769"/>
      <c r="LUF100" s="769"/>
      <c r="LUG100" s="769"/>
      <c r="LUH100" s="769"/>
      <c r="LUI100" s="769"/>
      <c r="LUJ100" s="769"/>
      <c r="LUK100" s="769"/>
      <c r="LUL100" s="769"/>
      <c r="LUM100" s="769"/>
      <c r="LUN100" s="769"/>
      <c r="LUO100" s="769"/>
      <c r="LUP100" s="769"/>
      <c r="LUQ100" s="769"/>
      <c r="LUR100" s="769"/>
      <c r="LUS100" s="769"/>
      <c r="LUT100" s="769"/>
      <c r="LUU100" s="769"/>
      <c r="LUV100" s="769"/>
      <c r="LUW100" s="769"/>
      <c r="LUX100" s="769"/>
      <c r="LUY100" s="769"/>
      <c r="LUZ100" s="769"/>
      <c r="LVA100" s="769"/>
      <c r="LVB100" s="769"/>
      <c r="LVC100" s="769"/>
      <c r="LVD100" s="769"/>
      <c r="LVE100" s="769"/>
      <c r="LVF100" s="769"/>
      <c r="LVG100" s="769"/>
      <c r="LVH100" s="769"/>
      <c r="LVI100" s="769"/>
      <c r="LVJ100" s="769"/>
      <c r="LVK100" s="769"/>
      <c r="LVL100" s="769"/>
      <c r="LVM100" s="769"/>
      <c r="LVN100" s="769"/>
      <c r="LVO100" s="769"/>
      <c r="LVP100" s="769"/>
      <c r="LVQ100" s="769"/>
      <c r="LVR100" s="769"/>
      <c r="LVS100" s="769"/>
      <c r="LVT100" s="769"/>
      <c r="LVU100" s="769"/>
      <c r="LVV100" s="769"/>
      <c r="LVW100" s="769"/>
      <c r="LVX100" s="769"/>
      <c r="LVY100" s="769"/>
      <c r="LVZ100" s="769"/>
      <c r="LWA100" s="769"/>
      <c r="LWB100" s="769"/>
      <c r="LWC100" s="769"/>
      <c r="LWD100" s="769"/>
      <c r="LWE100" s="769"/>
      <c r="LWF100" s="769"/>
      <c r="LWG100" s="769"/>
      <c r="LWH100" s="769"/>
      <c r="LWI100" s="769"/>
      <c r="LWJ100" s="769"/>
      <c r="LWK100" s="769"/>
      <c r="LWL100" s="769"/>
      <c r="LWM100" s="769"/>
      <c r="LWN100" s="769"/>
      <c r="LWO100" s="769"/>
      <c r="LWP100" s="769"/>
      <c r="LWQ100" s="769"/>
      <c r="LWR100" s="769"/>
      <c r="LWS100" s="769"/>
      <c r="LWT100" s="769"/>
      <c r="LWU100" s="769"/>
      <c r="LWV100" s="769"/>
      <c r="LWW100" s="769"/>
      <c r="LWX100" s="769"/>
      <c r="LWY100" s="769"/>
      <c r="LWZ100" s="769"/>
      <c r="LXA100" s="769"/>
      <c r="LXB100" s="769"/>
      <c r="LXC100" s="769"/>
      <c r="LXD100" s="769"/>
      <c r="LXE100" s="769"/>
      <c r="LXF100" s="769"/>
      <c r="LXG100" s="769"/>
      <c r="LXH100" s="769"/>
      <c r="LXI100" s="769"/>
      <c r="LXJ100" s="769"/>
      <c r="LXK100" s="769"/>
      <c r="LXL100" s="769"/>
      <c r="LXM100" s="769"/>
      <c r="LXN100" s="769"/>
      <c r="LXO100" s="769"/>
      <c r="LXP100" s="769"/>
      <c r="LXQ100" s="769"/>
      <c r="LXR100" s="769"/>
      <c r="LXS100" s="769"/>
      <c r="LXT100" s="769"/>
      <c r="LXU100" s="769"/>
      <c r="LXV100" s="769"/>
      <c r="LXW100" s="769"/>
      <c r="LXX100" s="769"/>
      <c r="LXY100" s="769"/>
      <c r="LXZ100" s="769"/>
      <c r="LYA100" s="769"/>
      <c r="LYB100" s="769"/>
      <c r="LYC100" s="769"/>
      <c r="LYD100" s="769"/>
      <c r="LYE100" s="769"/>
      <c r="LYF100" s="769"/>
      <c r="LYG100" s="769"/>
      <c r="LYH100" s="769"/>
      <c r="LYI100" s="769"/>
      <c r="LYJ100" s="769"/>
      <c r="LYK100" s="769"/>
      <c r="LYL100" s="769"/>
      <c r="LYM100" s="769"/>
      <c r="LYN100" s="769"/>
      <c r="LYO100" s="769"/>
      <c r="LYP100" s="769"/>
      <c r="LYQ100" s="769"/>
      <c r="LYR100" s="769"/>
      <c r="LYS100" s="769"/>
      <c r="LYT100" s="769"/>
      <c r="LYU100" s="769"/>
      <c r="LYV100" s="769"/>
      <c r="LYW100" s="769"/>
      <c r="LYX100" s="769"/>
      <c r="LYY100" s="769"/>
      <c r="LYZ100" s="769"/>
      <c r="LZA100" s="769"/>
      <c r="LZB100" s="769"/>
      <c r="LZC100" s="769"/>
      <c r="LZD100" s="769"/>
      <c r="LZE100" s="769"/>
      <c r="LZF100" s="769"/>
      <c r="LZG100" s="769"/>
      <c r="LZH100" s="769"/>
      <c r="LZI100" s="769"/>
      <c r="LZJ100" s="769"/>
      <c r="LZK100" s="769"/>
      <c r="LZL100" s="769"/>
      <c r="LZM100" s="769"/>
      <c r="LZN100" s="769"/>
      <c r="LZO100" s="769"/>
      <c r="LZP100" s="769"/>
      <c r="LZQ100" s="769"/>
      <c r="LZR100" s="769"/>
      <c r="LZS100" s="769"/>
      <c r="LZT100" s="769"/>
      <c r="LZU100" s="769"/>
      <c r="LZV100" s="769"/>
      <c r="LZW100" s="769"/>
      <c r="LZX100" s="769"/>
      <c r="LZY100" s="769"/>
      <c r="LZZ100" s="769"/>
      <c r="MAA100" s="769"/>
      <c r="MAB100" s="769"/>
      <c r="MAC100" s="769"/>
      <c r="MAD100" s="769"/>
      <c r="MAE100" s="769"/>
      <c r="MAF100" s="769"/>
      <c r="MAG100" s="769"/>
      <c r="MAH100" s="769"/>
      <c r="MAI100" s="769"/>
      <c r="MAJ100" s="769"/>
      <c r="MAK100" s="769"/>
      <c r="MAL100" s="769"/>
      <c r="MAM100" s="769"/>
      <c r="MAN100" s="769"/>
      <c r="MAO100" s="769"/>
      <c r="MAP100" s="769"/>
      <c r="MAQ100" s="769"/>
      <c r="MAR100" s="769"/>
      <c r="MAS100" s="769"/>
      <c r="MAT100" s="769"/>
      <c r="MAU100" s="769"/>
      <c r="MAV100" s="769"/>
      <c r="MAW100" s="769"/>
      <c r="MAX100" s="769"/>
      <c r="MAY100" s="769"/>
      <c r="MAZ100" s="769"/>
      <c r="MBA100" s="769"/>
      <c r="MBB100" s="769"/>
      <c r="MBC100" s="769"/>
      <c r="MBD100" s="769"/>
      <c r="MBE100" s="769"/>
      <c r="MBF100" s="769"/>
      <c r="MBG100" s="769"/>
      <c r="MBH100" s="769"/>
      <c r="MBI100" s="769"/>
      <c r="MBJ100" s="769"/>
      <c r="MBK100" s="769"/>
      <c r="MBL100" s="769"/>
      <c r="MBM100" s="769"/>
      <c r="MBN100" s="769"/>
      <c r="MBO100" s="769"/>
      <c r="MBP100" s="769"/>
      <c r="MBQ100" s="769"/>
      <c r="MBR100" s="769"/>
      <c r="MBS100" s="769"/>
      <c r="MBT100" s="769"/>
      <c r="MBU100" s="769"/>
      <c r="MBV100" s="769"/>
      <c r="MBW100" s="769"/>
      <c r="MBX100" s="769"/>
      <c r="MBY100" s="769"/>
      <c r="MBZ100" s="769"/>
      <c r="MCA100" s="769"/>
      <c r="MCB100" s="769"/>
      <c r="MCC100" s="769"/>
      <c r="MCD100" s="769"/>
      <c r="MCE100" s="769"/>
      <c r="MCF100" s="769"/>
      <c r="MCG100" s="769"/>
      <c r="MCH100" s="769"/>
      <c r="MCI100" s="769"/>
      <c r="MCJ100" s="769"/>
      <c r="MCK100" s="769"/>
      <c r="MCL100" s="769"/>
      <c r="MCM100" s="769"/>
      <c r="MCN100" s="769"/>
      <c r="MCO100" s="769"/>
      <c r="MCP100" s="769"/>
      <c r="MCQ100" s="769"/>
      <c r="MCR100" s="769"/>
      <c r="MCS100" s="769"/>
      <c r="MCT100" s="769"/>
      <c r="MCU100" s="769"/>
      <c r="MCV100" s="769"/>
      <c r="MCW100" s="769"/>
      <c r="MCX100" s="769"/>
      <c r="MCY100" s="769"/>
      <c r="MCZ100" s="769"/>
      <c r="MDA100" s="769"/>
      <c r="MDB100" s="769"/>
      <c r="MDC100" s="769"/>
      <c r="MDD100" s="769"/>
      <c r="MDE100" s="769"/>
      <c r="MDF100" s="769"/>
      <c r="MDG100" s="769"/>
      <c r="MDH100" s="769"/>
      <c r="MDI100" s="769"/>
      <c r="MDJ100" s="769"/>
      <c r="MDK100" s="769"/>
      <c r="MDL100" s="769"/>
      <c r="MDM100" s="769"/>
      <c r="MDN100" s="769"/>
      <c r="MDO100" s="769"/>
      <c r="MDP100" s="769"/>
      <c r="MDQ100" s="769"/>
      <c r="MDR100" s="769"/>
      <c r="MDS100" s="769"/>
      <c r="MDT100" s="769"/>
      <c r="MDU100" s="769"/>
      <c r="MDV100" s="769"/>
      <c r="MDW100" s="769"/>
      <c r="MDX100" s="769"/>
      <c r="MDY100" s="769"/>
      <c r="MDZ100" s="769"/>
      <c r="MEA100" s="769"/>
      <c r="MEB100" s="769"/>
      <c r="MEC100" s="769"/>
      <c r="MED100" s="769"/>
      <c r="MEE100" s="769"/>
      <c r="MEF100" s="769"/>
      <c r="MEG100" s="769"/>
      <c r="MEH100" s="769"/>
      <c r="MEI100" s="769"/>
      <c r="MEJ100" s="769"/>
      <c r="MEK100" s="769"/>
      <c r="MEL100" s="769"/>
      <c r="MEM100" s="769"/>
      <c r="MEN100" s="769"/>
      <c r="MEO100" s="769"/>
      <c r="MEP100" s="769"/>
      <c r="MEQ100" s="769"/>
      <c r="MER100" s="769"/>
      <c r="MES100" s="769"/>
      <c r="MET100" s="769"/>
      <c r="MEU100" s="769"/>
      <c r="MEV100" s="769"/>
      <c r="MEW100" s="769"/>
      <c r="MEX100" s="769"/>
      <c r="MEY100" s="769"/>
      <c r="MEZ100" s="769"/>
      <c r="MFA100" s="769"/>
      <c r="MFB100" s="769"/>
      <c r="MFC100" s="769"/>
      <c r="MFD100" s="769"/>
      <c r="MFE100" s="769"/>
      <c r="MFF100" s="769"/>
      <c r="MFG100" s="769"/>
      <c r="MFH100" s="769"/>
      <c r="MFI100" s="769"/>
      <c r="MFJ100" s="769"/>
      <c r="MFK100" s="769"/>
      <c r="MFL100" s="769"/>
      <c r="MFM100" s="769"/>
      <c r="MFN100" s="769"/>
      <c r="MFO100" s="769"/>
      <c r="MFP100" s="769"/>
      <c r="MFQ100" s="769"/>
      <c r="MFR100" s="769"/>
      <c r="MFS100" s="769"/>
      <c r="MFT100" s="769"/>
      <c r="MFU100" s="769"/>
      <c r="MFV100" s="769"/>
      <c r="MFW100" s="769"/>
      <c r="MFX100" s="769"/>
      <c r="MFY100" s="769"/>
      <c r="MFZ100" s="769"/>
      <c r="MGA100" s="769"/>
      <c r="MGB100" s="769"/>
      <c r="MGC100" s="769"/>
      <c r="MGD100" s="769"/>
      <c r="MGE100" s="769"/>
      <c r="MGF100" s="769"/>
      <c r="MGG100" s="769"/>
      <c r="MGH100" s="769"/>
      <c r="MGI100" s="769"/>
      <c r="MGJ100" s="769"/>
      <c r="MGK100" s="769"/>
      <c r="MGL100" s="769"/>
      <c r="MGM100" s="769"/>
      <c r="MGN100" s="769"/>
      <c r="MGO100" s="769"/>
      <c r="MGP100" s="769"/>
      <c r="MGQ100" s="769"/>
      <c r="MGR100" s="769"/>
      <c r="MGS100" s="769"/>
      <c r="MGT100" s="769"/>
      <c r="MGU100" s="769"/>
      <c r="MGV100" s="769"/>
      <c r="MGW100" s="769"/>
      <c r="MGX100" s="769"/>
      <c r="MGY100" s="769"/>
      <c r="MGZ100" s="769"/>
      <c r="MHA100" s="769"/>
      <c r="MHB100" s="769"/>
      <c r="MHC100" s="769"/>
      <c r="MHD100" s="769"/>
      <c r="MHE100" s="769"/>
      <c r="MHF100" s="769"/>
      <c r="MHG100" s="769"/>
      <c r="MHH100" s="769"/>
      <c r="MHI100" s="769"/>
      <c r="MHJ100" s="769"/>
      <c r="MHK100" s="769"/>
      <c r="MHL100" s="769"/>
      <c r="MHM100" s="769"/>
      <c r="MHN100" s="769"/>
      <c r="MHO100" s="769"/>
      <c r="MHP100" s="769"/>
      <c r="MHQ100" s="769"/>
      <c r="MHR100" s="769"/>
      <c r="MHS100" s="769"/>
      <c r="MHT100" s="769"/>
      <c r="MHU100" s="769"/>
      <c r="MHV100" s="769"/>
      <c r="MHW100" s="769"/>
      <c r="MHX100" s="769"/>
      <c r="MHY100" s="769"/>
      <c r="MHZ100" s="769"/>
      <c r="MIA100" s="769"/>
      <c r="MIB100" s="769"/>
      <c r="MIC100" s="769"/>
      <c r="MID100" s="769"/>
      <c r="MIE100" s="769"/>
      <c r="MIF100" s="769"/>
      <c r="MIG100" s="769"/>
      <c r="MIH100" s="769"/>
      <c r="MII100" s="769"/>
      <c r="MIJ100" s="769"/>
      <c r="MIK100" s="769"/>
      <c r="MIL100" s="769"/>
      <c r="MIM100" s="769"/>
      <c r="MIN100" s="769"/>
      <c r="MIO100" s="769"/>
      <c r="MIP100" s="769"/>
      <c r="MIQ100" s="769"/>
      <c r="MIR100" s="769"/>
      <c r="MIS100" s="769"/>
      <c r="MIT100" s="769"/>
      <c r="MIU100" s="769"/>
      <c r="MIV100" s="769"/>
      <c r="MIW100" s="769"/>
      <c r="MIX100" s="769"/>
      <c r="MIY100" s="769"/>
      <c r="MIZ100" s="769"/>
      <c r="MJA100" s="769"/>
      <c r="MJB100" s="769"/>
      <c r="MJC100" s="769"/>
      <c r="MJD100" s="769"/>
      <c r="MJE100" s="769"/>
      <c r="MJF100" s="769"/>
      <c r="MJG100" s="769"/>
      <c r="MJH100" s="769"/>
      <c r="MJI100" s="769"/>
      <c r="MJJ100" s="769"/>
      <c r="MJK100" s="769"/>
      <c r="MJL100" s="769"/>
      <c r="MJM100" s="769"/>
      <c r="MJN100" s="769"/>
      <c r="MJO100" s="769"/>
      <c r="MJP100" s="769"/>
      <c r="MJQ100" s="769"/>
      <c r="MJR100" s="769"/>
      <c r="MJS100" s="769"/>
      <c r="MJT100" s="769"/>
      <c r="MJU100" s="769"/>
      <c r="MJV100" s="769"/>
      <c r="MJW100" s="769"/>
      <c r="MJX100" s="769"/>
      <c r="MJY100" s="769"/>
      <c r="MJZ100" s="769"/>
      <c r="MKA100" s="769"/>
      <c r="MKB100" s="769"/>
      <c r="MKC100" s="769"/>
      <c r="MKD100" s="769"/>
      <c r="MKE100" s="769"/>
      <c r="MKF100" s="769"/>
      <c r="MKG100" s="769"/>
      <c r="MKH100" s="769"/>
      <c r="MKI100" s="769"/>
      <c r="MKJ100" s="769"/>
      <c r="MKK100" s="769"/>
      <c r="MKL100" s="769"/>
      <c r="MKM100" s="769"/>
      <c r="MKN100" s="769"/>
      <c r="MKO100" s="769"/>
      <c r="MKP100" s="769"/>
      <c r="MKQ100" s="769"/>
      <c r="MKR100" s="769"/>
      <c r="MKS100" s="769"/>
      <c r="MKT100" s="769"/>
      <c r="MKU100" s="769"/>
      <c r="MKV100" s="769"/>
      <c r="MKW100" s="769"/>
      <c r="MKX100" s="769"/>
      <c r="MKY100" s="769"/>
      <c r="MKZ100" s="769"/>
      <c r="MLA100" s="769"/>
      <c r="MLB100" s="769"/>
      <c r="MLC100" s="769"/>
      <c r="MLD100" s="769"/>
      <c r="MLE100" s="769"/>
      <c r="MLF100" s="769"/>
      <c r="MLG100" s="769"/>
      <c r="MLH100" s="769"/>
      <c r="MLI100" s="769"/>
      <c r="MLJ100" s="769"/>
      <c r="MLK100" s="769"/>
      <c r="MLL100" s="769"/>
      <c r="MLM100" s="769"/>
      <c r="MLN100" s="769"/>
      <c r="MLO100" s="769"/>
      <c r="MLP100" s="769"/>
      <c r="MLQ100" s="769"/>
      <c r="MLR100" s="769"/>
      <c r="MLS100" s="769"/>
      <c r="MLT100" s="769"/>
      <c r="MLU100" s="769"/>
      <c r="MLV100" s="769"/>
      <c r="MLW100" s="769"/>
      <c r="MLX100" s="769"/>
      <c r="MLY100" s="769"/>
      <c r="MLZ100" s="769"/>
      <c r="MMA100" s="769"/>
      <c r="MMB100" s="769"/>
      <c r="MMC100" s="769"/>
      <c r="MMD100" s="769"/>
      <c r="MME100" s="769"/>
      <c r="MMF100" s="769"/>
      <c r="MMG100" s="769"/>
      <c r="MMH100" s="769"/>
      <c r="MMI100" s="769"/>
      <c r="MMJ100" s="769"/>
      <c r="MMK100" s="769"/>
      <c r="MML100" s="769"/>
      <c r="MMM100" s="769"/>
      <c r="MMN100" s="769"/>
      <c r="MMO100" s="769"/>
      <c r="MMP100" s="769"/>
      <c r="MMQ100" s="769"/>
      <c r="MMR100" s="769"/>
      <c r="MMS100" s="769"/>
      <c r="MMT100" s="769"/>
      <c r="MMU100" s="769"/>
      <c r="MMV100" s="769"/>
      <c r="MMW100" s="769"/>
      <c r="MMX100" s="769"/>
      <c r="MMY100" s="769"/>
      <c r="MMZ100" s="769"/>
      <c r="MNA100" s="769"/>
      <c r="MNB100" s="769"/>
      <c r="MNC100" s="769"/>
      <c r="MND100" s="769"/>
      <c r="MNE100" s="769"/>
      <c r="MNF100" s="769"/>
      <c r="MNG100" s="769"/>
      <c r="MNH100" s="769"/>
      <c r="MNI100" s="769"/>
      <c r="MNJ100" s="769"/>
      <c r="MNK100" s="769"/>
      <c r="MNL100" s="769"/>
      <c r="MNM100" s="769"/>
      <c r="MNN100" s="769"/>
      <c r="MNO100" s="769"/>
      <c r="MNP100" s="769"/>
      <c r="MNQ100" s="769"/>
      <c r="MNR100" s="769"/>
      <c r="MNS100" s="769"/>
      <c r="MNT100" s="769"/>
      <c r="MNU100" s="769"/>
      <c r="MNV100" s="769"/>
      <c r="MNW100" s="769"/>
      <c r="MNX100" s="769"/>
      <c r="MNY100" s="769"/>
      <c r="MNZ100" s="769"/>
      <c r="MOA100" s="769"/>
      <c r="MOB100" s="769"/>
      <c r="MOC100" s="769"/>
      <c r="MOD100" s="769"/>
      <c r="MOE100" s="769"/>
      <c r="MOF100" s="769"/>
      <c r="MOG100" s="769"/>
      <c r="MOH100" s="769"/>
      <c r="MOI100" s="769"/>
      <c r="MOJ100" s="769"/>
      <c r="MOK100" s="769"/>
      <c r="MOL100" s="769"/>
      <c r="MOM100" s="769"/>
      <c r="MON100" s="769"/>
      <c r="MOO100" s="769"/>
      <c r="MOP100" s="769"/>
      <c r="MOQ100" s="769"/>
      <c r="MOR100" s="769"/>
      <c r="MOS100" s="769"/>
      <c r="MOT100" s="769"/>
      <c r="MOU100" s="769"/>
      <c r="MOV100" s="769"/>
      <c r="MOW100" s="769"/>
      <c r="MOX100" s="769"/>
      <c r="MOY100" s="769"/>
      <c r="MOZ100" s="769"/>
      <c r="MPA100" s="769"/>
      <c r="MPB100" s="769"/>
      <c r="MPC100" s="769"/>
      <c r="MPD100" s="769"/>
      <c r="MPE100" s="769"/>
      <c r="MPF100" s="769"/>
      <c r="MPG100" s="769"/>
      <c r="MPH100" s="769"/>
      <c r="MPI100" s="769"/>
      <c r="MPJ100" s="769"/>
      <c r="MPK100" s="769"/>
      <c r="MPL100" s="769"/>
      <c r="MPM100" s="769"/>
      <c r="MPN100" s="769"/>
      <c r="MPO100" s="769"/>
      <c r="MPP100" s="769"/>
      <c r="MPQ100" s="769"/>
      <c r="MPR100" s="769"/>
      <c r="MPS100" s="769"/>
      <c r="MPT100" s="769"/>
      <c r="MPU100" s="769"/>
      <c r="MPV100" s="769"/>
      <c r="MPW100" s="769"/>
      <c r="MPX100" s="769"/>
      <c r="MPY100" s="769"/>
      <c r="MPZ100" s="769"/>
      <c r="MQA100" s="769"/>
      <c r="MQB100" s="769"/>
      <c r="MQC100" s="769"/>
      <c r="MQD100" s="769"/>
      <c r="MQE100" s="769"/>
      <c r="MQF100" s="769"/>
      <c r="MQG100" s="769"/>
      <c r="MQH100" s="769"/>
      <c r="MQI100" s="769"/>
      <c r="MQJ100" s="769"/>
      <c r="MQK100" s="769"/>
      <c r="MQL100" s="769"/>
      <c r="MQM100" s="769"/>
      <c r="MQN100" s="769"/>
      <c r="MQO100" s="769"/>
      <c r="MQP100" s="769"/>
      <c r="MQQ100" s="769"/>
      <c r="MQR100" s="769"/>
      <c r="MQS100" s="769"/>
      <c r="MQT100" s="769"/>
      <c r="MQU100" s="769"/>
      <c r="MQV100" s="769"/>
      <c r="MQW100" s="769"/>
      <c r="MQX100" s="769"/>
      <c r="MQY100" s="769"/>
      <c r="MQZ100" s="769"/>
      <c r="MRA100" s="769"/>
      <c r="MRB100" s="769"/>
      <c r="MRC100" s="769"/>
      <c r="MRD100" s="769"/>
      <c r="MRE100" s="769"/>
      <c r="MRF100" s="769"/>
      <c r="MRG100" s="769"/>
      <c r="MRH100" s="769"/>
      <c r="MRI100" s="769"/>
      <c r="MRJ100" s="769"/>
      <c r="MRK100" s="769"/>
      <c r="MRL100" s="769"/>
      <c r="MRM100" s="769"/>
      <c r="MRN100" s="769"/>
      <c r="MRO100" s="769"/>
      <c r="MRP100" s="769"/>
      <c r="MRQ100" s="769"/>
      <c r="MRR100" s="769"/>
      <c r="MRS100" s="769"/>
      <c r="MRT100" s="769"/>
      <c r="MRU100" s="769"/>
      <c r="MRV100" s="769"/>
      <c r="MRW100" s="769"/>
      <c r="MRX100" s="769"/>
      <c r="MRY100" s="769"/>
      <c r="MRZ100" s="769"/>
      <c r="MSA100" s="769"/>
      <c r="MSB100" s="769"/>
      <c r="MSC100" s="769"/>
      <c r="MSD100" s="769"/>
      <c r="MSE100" s="769"/>
      <c r="MSF100" s="769"/>
      <c r="MSG100" s="769"/>
      <c r="MSH100" s="769"/>
      <c r="MSI100" s="769"/>
      <c r="MSJ100" s="769"/>
      <c r="MSK100" s="769"/>
      <c r="MSL100" s="769"/>
      <c r="MSM100" s="769"/>
      <c r="MSN100" s="769"/>
      <c r="MSO100" s="769"/>
      <c r="MSP100" s="769"/>
      <c r="MSQ100" s="769"/>
      <c r="MSR100" s="769"/>
      <c r="MSS100" s="769"/>
      <c r="MST100" s="769"/>
      <c r="MSU100" s="769"/>
      <c r="MSV100" s="769"/>
      <c r="MSW100" s="769"/>
      <c r="MSX100" s="769"/>
      <c r="MSY100" s="769"/>
      <c r="MSZ100" s="769"/>
      <c r="MTA100" s="769"/>
      <c r="MTB100" s="769"/>
      <c r="MTC100" s="769"/>
      <c r="MTD100" s="769"/>
      <c r="MTE100" s="769"/>
      <c r="MTF100" s="769"/>
      <c r="MTG100" s="769"/>
      <c r="MTH100" s="769"/>
      <c r="MTI100" s="769"/>
      <c r="MTJ100" s="769"/>
      <c r="MTK100" s="769"/>
      <c r="MTL100" s="769"/>
      <c r="MTM100" s="769"/>
      <c r="MTN100" s="769"/>
      <c r="MTO100" s="769"/>
      <c r="MTP100" s="769"/>
      <c r="MTQ100" s="769"/>
      <c r="MTR100" s="769"/>
      <c r="MTS100" s="769"/>
      <c r="MTT100" s="769"/>
      <c r="MTU100" s="769"/>
      <c r="MTV100" s="769"/>
      <c r="MTW100" s="769"/>
      <c r="MTX100" s="769"/>
      <c r="MTY100" s="769"/>
      <c r="MTZ100" s="769"/>
      <c r="MUA100" s="769"/>
      <c r="MUB100" s="769"/>
      <c r="MUC100" s="769"/>
      <c r="MUD100" s="769"/>
      <c r="MUE100" s="769"/>
      <c r="MUF100" s="769"/>
      <c r="MUG100" s="769"/>
      <c r="MUH100" s="769"/>
      <c r="MUI100" s="769"/>
      <c r="MUJ100" s="769"/>
      <c r="MUK100" s="769"/>
      <c r="MUL100" s="769"/>
      <c r="MUM100" s="769"/>
      <c r="MUN100" s="769"/>
      <c r="MUO100" s="769"/>
      <c r="MUP100" s="769"/>
      <c r="MUQ100" s="769"/>
      <c r="MUR100" s="769"/>
      <c r="MUS100" s="769"/>
      <c r="MUT100" s="769"/>
      <c r="MUU100" s="769"/>
      <c r="MUV100" s="769"/>
      <c r="MUW100" s="769"/>
      <c r="MUX100" s="769"/>
      <c r="MUY100" s="769"/>
      <c r="MUZ100" s="769"/>
      <c r="MVA100" s="769"/>
      <c r="MVB100" s="769"/>
      <c r="MVC100" s="769"/>
      <c r="MVD100" s="769"/>
      <c r="MVE100" s="769"/>
      <c r="MVF100" s="769"/>
      <c r="MVG100" s="769"/>
      <c r="MVH100" s="769"/>
      <c r="MVI100" s="769"/>
      <c r="MVJ100" s="769"/>
      <c r="MVK100" s="769"/>
      <c r="MVL100" s="769"/>
      <c r="MVM100" s="769"/>
      <c r="MVN100" s="769"/>
      <c r="MVO100" s="769"/>
      <c r="MVP100" s="769"/>
      <c r="MVQ100" s="769"/>
      <c r="MVR100" s="769"/>
      <c r="MVS100" s="769"/>
      <c r="MVT100" s="769"/>
      <c r="MVU100" s="769"/>
      <c r="MVV100" s="769"/>
      <c r="MVW100" s="769"/>
      <c r="MVX100" s="769"/>
      <c r="MVY100" s="769"/>
      <c r="MVZ100" s="769"/>
      <c r="MWA100" s="769"/>
      <c r="MWB100" s="769"/>
      <c r="MWC100" s="769"/>
      <c r="MWD100" s="769"/>
      <c r="MWE100" s="769"/>
      <c r="MWF100" s="769"/>
      <c r="MWG100" s="769"/>
      <c r="MWH100" s="769"/>
      <c r="MWI100" s="769"/>
      <c r="MWJ100" s="769"/>
      <c r="MWK100" s="769"/>
      <c r="MWL100" s="769"/>
      <c r="MWM100" s="769"/>
      <c r="MWN100" s="769"/>
      <c r="MWO100" s="769"/>
      <c r="MWP100" s="769"/>
      <c r="MWQ100" s="769"/>
      <c r="MWR100" s="769"/>
      <c r="MWS100" s="769"/>
      <c r="MWT100" s="769"/>
      <c r="MWU100" s="769"/>
      <c r="MWV100" s="769"/>
      <c r="MWW100" s="769"/>
      <c r="MWX100" s="769"/>
      <c r="MWY100" s="769"/>
      <c r="MWZ100" s="769"/>
      <c r="MXA100" s="769"/>
      <c r="MXB100" s="769"/>
      <c r="MXC100" s="769"/>
      <c r="MXD100" s="769"/>
      <c r="MXE100" s="769"/>
      <c r="MXF100" s="769"/>
      <c r="MXG100" s="769"/>
      <c r="MXH100" s="769"/>
      <c r="MXI100" s="769"/>
      <c r="MXJ100" s="769"/>
      <c r="MXK100" s="769"/>
      <c r="MXL100" s="769"/>
      <c r="MXM100" s="769"/>
      <c r="MXN100" s="769"/>
      <c r="MXO100" s="769"/>
      <c r="MXP100" s="769"/>
      <c r="MXQ100" s="769"/>
      <c r="MXR100" s="769"/>
      <c r="MXS100" s="769"/>
      <c r="MXT100" s="769"/>
      <c r="MXU100" s="769"/>
      <c r="MXV100" s="769"/>
      <c r="MXW100" s="769"/>
      <c r="MXX100" s="769"/>
      <c r="MXY100" s="769"/>
      <c r="MXZ100" s="769"/>
      <c r="MYA100" s="769"/>
      <c r="MYB100" s="769"/>
      <c r="MYC100" s="769"/>
      <c r="MYD100" s="769"/>
      <c r="MYE100" s="769"/>
      <c r="MYF100" s="769"/>
      <c r="MYG100" s="769"/>
      <c r="MYH100" s="769"/>
      <c r="MYI100" s="769"/>
      <c r="MYJ100" s="769"/>
      <c r="MYK100" s="769"/>
      <c r="MYL100" s="769"/>
      <c r="MYM100" s="769"/>
      <c r="MYN100" s="769"/>
      <c r="MYO100" s="769"/>
      <c r="MYP100" s="769"/>
      <c r="MYQ100" s="769"/>
      <c r="MYR100" s="769"/>
      <c r="MYS100" s="769"/>
      <c r="MYT100" s="769"/>
      <c r="MYU100" s="769"/>
      <c r="MYV100" s="769"/>
      <c r="MYW100" s="769"/>
      <c r="MYX100" s="769"/>
      <c r="MYY100" s="769"/>
      <c r="MYZ100" s="769"/>
      <c r="MZA100" s="769"/>
      <c r="MZB100" s="769"/>
      <c r="MZC100" s="769"/>
      <c r="MZD100" s="769"/>
      <c r="MZE100" s="769"/>
      <c r="MZF100" s="769"/>
      <c r="MZG100" s="769"/>
      <c r="MZH100" s="769"/>
      <c r="MZI100" s="769"/>
      <c r="MZJ100" s="769"/>
      <c r="MZK100" s="769"/>
      <c r="MZL100" s="769"/>
      <c r="MZM100" s="769"/>
      <c r="MZN100" s="769"/>
      <c r="MZO100" s="769"/>
      <c r="MZP100" s="769"/>
      <c r="MZQ100" s="769"/>
      <c r="MZR100" s="769"/>
      <c r="MZS100" s="769"/>
      <c r="MZT100" s="769"/>
      <c r="MZU100" s="769"/>
      <c r="MZV100" s="769"/>
      <c r="MZW100" s="769"/>
      <c r="MZX100" s="769"/>
      <c r="MZY100" s="769"/>
      <c r="MZZ100" s="769"/>
      <c r="NAA100" s="769"/>
      <c r="NAB100" s="769"/>
      <c r="NAC100" s="769"/>
      <c r="NAD100" s="769"/>
      <c r="NAE100" s="769"/>
      <c r="NAF100" s="769"/>
      <c r="NAG100" s="769"/>
      <c r="NAH100" s="769"/>
      <c r="NAI100" s="769"/>
      <c r="NAJ100" s="769"/>
      <c r="NAK100" s="769"/>
      <c r="NAL100" s="769"/>
      <c r="NAM100" s="769"/>
      <c r="NAN100" s="769"/>
      <c r="NAO100" s="769"/>
      <c r="NAP100" s="769"/>
      <c r="NAQ100" s="769"/>
      <c r="NAR100" s="769"/>
      <c r="NAS100" s="769"/>
      <c r="NAT100" s="769"/>
      <c r="NAU100" s="769"/>
      <c r="NAV100" s="769"/>
      <c r="NAW100" s="769"/>
      <c r="NAX100" s="769"/>
      <c r="NAY100" s="769"/>
      <c r="NAZ100" s="769"/>
      <c r="NBA100" s="769"/>
      <c r="NBB100" s="769"/>
      <c r="NBC100" s="769"/>
      <c r="NBD100" s="769"/>
      <c r="NBE100" s="769"/>
      <c r="NBF100" s="769"/>
      <c r="NBG100" s="769"/>
      <c r="NBH100" s="769"/>
      <c r="NBI100" s="769"/>
      <c r="NBJ100" s="769"/>
      <c r="NBK100" s="769"/>
      <c r="NBL100" s="769"/>
      <c r="NBM100" s="769"/>
      <c r="NBN100" s="769"/>
      <c r="NBO100" s="769"/>
      <c r="NBP100" s="769"/>
      <c r="NBQ100" s="769"/>
      <c r="NBR100" s="769"/>
      <c r="NBS100" s="769"/>
      <c r="NBT100" s="769"/>
      <c r="NBU100" s="769"/>
      <c r="NBV100" s="769"/>
      <c r="NBW100" s="769"/>
      <c r="NBX100" s="769"/>
      <c r="NBY100" s="769"/>
      <c r="NBZ100" s="769"/>
      <c r="NCA100" s="769"/>
      <c r="NCB100" s="769"/>
      <c r="NCC100" s="769"/>
      <c r="NCD100" s="769"/>
      <c r="NCE100" s="769"/>
      <c r="NCF100" s="769"/>
      <c r="NCG100" s="769"/>
      <c r="NCH100" s="769"/>
      <c r="NCI100" s="769"/>
      <c r="NCJ100" s="769"/>
      <c r="NCK100" s="769"/>
      <c r="NCL100" s="769"/>
      <c r="NCM100" s="769"/>
      <c r="NCN100" s="769"/>
      <c r="NCO100" s="769"/>
      <c r="NCP100" s="769"/>
      <c r="NCQ100" s="769"/>
      <c r="NCR100" s="769"/>
      <c r="NCS100" s="769"/>
      <c r="NCT100" s="769"/>
      <c r="NCU100" s="769"/>
      <c r="NCV100" s="769"/>
      <c r="NCW100" s="769"/>
      <c r="NCX100" s="769"/>
      <c r="NCY100" s="769"/>
      <c r="NCZ100" s="769"/>
      <c r="NDA100" s="769"/>
      <c r="NDB100" s="769"/>
      <c r="NDC100" s="769"/>
      <c r="NDD100" s="769"/>
      <c r="NDE100" s="769"/>
      <c r="NDF100" s="769"/>
      <c r="NDG100" s="769"/>
      <c r="NDH100" s="769"/>
      <c r="NDI100" s="769"/>
      <c r="NDJ100" s="769"/>
      <c r="NDK100" s="769"/>
      <c r="NDL100" s="769"/>
      <c r="NDM100" s="769"/>
      <c r="NDN100" s="769"/>
      <c r="NDO100" s="769"/>
      <c r="NDP100" s="769"/>
      <c r="NDQ100" s="769"/>
      <c r="NDR100" s="769"/>
      <c r="NDS100" s="769"/>
      <c r="NDT100" s="769"/>
      <c r="NDU100" s="769"/>
      <c r="NDV100" s="769"/>
      <c r="NDW100" s="769"/>
      <c r="NDX100" s="769"/>
      <c r="NDY100" s="769"/>
      <c r="NDZ100" s="769"/>
      <c r="NEA100" s="769"/>
      <c r="NEB100" s="769"/>
      <c r="NEC100" s="769"/>
      <c r="NED100" s="769"/>
      <c r="NEE100" s="769"/>
      <c r="NEF100" s="769"/>
      <c r="NEG100" s="769"/>
      <c r="NEH100" s="769"/>
      <c r="NEI100" s="769"/>
      <c r="NEJ100" s="769"/>
      <c r="NEK100" s="769"/>
      <c r="NEL100" s="769"/>
      <c r="NEM100" s="769"/>
      <c r="NEN100" s="769"/>
      <c r="NEO100" s="769"/>
      <c r="NEP100" s="769"/>
      <c r="NEQ100" s="769"/>
      <c r="NER100" s="769"/>
      <c r="NES100" s="769"/>
      <c r="NET100" s="769"/>
      <c r="NEU100" s="769"/>
      <c r="NEV100" s="769"/>
      <c r="NEW100" s="769"/>
      <c r="NEX100" s="769"/>
      <c r="NEY100" s="769"/>
      <c r="NEZ100" s="769"/>
      <c r="NFA100" s="769"/>
      <c r="NFB100" s="769"/>
      <c r="NFC100" s="769"/>
      <c r="NFD100" s="769"/>
      <c r="NFE100" s="769"/>
      <c r="NFF100" s="769"/>
      <c r="NFG100" s="769"/>
      <c r="NFH100" s="769"/>
      <c r="NFI100" s="769"/>
      <c r="NFJ100" s="769"/>
      <c r="NFK100" s="769"/>
      <c r="NFL100" s="769"/>
      <c r="NFM100" s="769"/>
      <c r="NFN100" s="769"/>
      <c r="NFO100" s="769"/>
      <c r="NFP100" s="769"/>
      <c r="NFQ100" s="769"/>
      <c r="NFR100" s="769"/>
      <c r="NFS100" s="769"/>
      <c r="NFT100" s="769"/>
      <c r="NFU100" s="769"/>
      <c r="NFV100" s="769"/>
      <c r="NFW100" s="769"/>
      <c r="NFX100" s="769"/>
      <c r="NFY100" s="769"/>
      <c r="NFZ100" s="769"/>
      <c r="NGA100" s="769"/>
      <c r="NGB100" s="769"/>
      <c r="NGC100" s="769"/>
      <c r="NGD100" s="769"/>
      <c r="NGE100" s="769"/>
      <c r="NGF100" s="769"/>
      <c r="NGG100" s="769"/>
      <c r="NGH100" s="769"/>
      <c r="NGI100" s="769"/>
      <c r="NGJ100" s="769"/>
      <c r="NGK100" s="769"/>
      <c r="NGL100" s="769"/>
      <c r="NGM100" s="769"/>
      <c r="NGN100" s="769"/>
      <c r="NGO100" s="769"/>
      <c r="NGP100" s="769"/>
      <c r="NGQ100" s="769"/>
      <c r="NGR100" s="769"/>
      <c r="NGS100" s="769"/>
      <c r="NGT100" s="769"/>
      <c r="NGU100" s="769"/>
      <c r="NGV100" s="769"/>
      <c r="NGW100" s="769"/>
      <c r="NGX100" s="769"/>
      <c r="NGY100" s="769"/>
      <c r="NGZ100" s="769"/>
      <c r="NHA100" s="769"/>
      <c r="NHB100" s="769"/>
      <c r="NHC100" s="769"/>
      <c r="NHD100" s="769"/>
      <c r="NHE100" s="769"/>
      <c r="NHF100" s="769"/>
      <c r="NHG100" s="769"/>
      <c r="NHH100" s="769"/>
      <c r="NHI100" s="769"/>
      <c r="NHJ100" s="769"/>
      <c r="NHK100" s="769"/>
      <c r="NHL100" s="769"/>
      <c r="NHM100" s="769"/>
      <c r="NHN100" s="769"/>
      <c r="NHO100" s="769"/>
      <c r="NHP100" s="769"/>
      <c r="NHQ100" s="769"/>
      <c r="NHR100" s="769"/>
      <c r="NHS100" s="769"/>
      <c r="NHT100" s="769"/>
      <c r="NHU100" s="769"/>
      <c r="NHV100" s="769"/>
      <c r="NHW100" s="769"/>
      <c r="NHX100" s="769"/>
      <c r="NHY100" s="769"/>
      <c r="NHZ100" s="769"/>
      <c r="NIA100" s="769"/>
      <c r="NIB100" s="769"/>
      <c r="NIC100" s="769"/>
      <c r="NID100" s="769"/>
      <c r="NIE100" s="769"/>
      <c r="NIF100" s="769"/>
      <c r="NIG100" s="769"/>
      <c r="NIH100" s="769"/>
      <c r="NII100" s="769"/>
      <c r="NIJ100" s="769"/>
      <c r="NIK100" s="769"/>
      <c r="NIL100" s="769"/>
      <c r="NIM100" s="769"/>
      <c r="NIN100" s="769"/>
      <c r="NIO100" s="769"/>
      <c r="NIP100" s="769"/>
      <c r="NIQ100" s="769"/>
      <c r="NIR100" s="769"/>
      <c r="NIS100" s="769"/>
      <c r="NIT100" s="769"/>
      <c r="NIU100" s="769"/>
      <c r="NIV100" s="769"/>
      <c r="NIW100" s="769"/>
      <c r="NIX100" s="769"/>
      <c r="NIY100" s="769"/>
      <c r="NIZ100" s="769"/>
      <c r="NJA100" s="769"/>
      <c r="NJB100" s="769"/>
      <c r="NJC100" s="769"/>
      <c r="NJD100" s="769"/>
      <c r="NJE100" s="769"/>
      <c r="NJF100" s="769"/>
      <c r="NJG100" s="769"/>
      <c r="NJH100" s="769"/>
      <c r="NJI100" s="769"/>
      <c r="NJJ100" s="769"/>
      <c r="NJK100" s="769"/>
      <c r="NJL100" s="769"/>
      <c r="NJM100" s="769"/>
      <c r="NJN100" s="769"/>
      <c r="NJO100" s="769"/>
      <c r="NJP100" s="769"/>
      <c r="NJQ100" s="769"/>
      <c r="NJR100" s="769"/>
      <c r="NJS100" s="769"/>
      <c r="NJT100" s="769"/>
      <c r="NJU100" s="769"/>
      <c r="NJV100" s="769"/>
      <c r="NJW100" s="769"/>
      <c r="NJX100" s="769"/>
      <c r="NJY100" s="769"/>
      <c r="NJZ100" s="769"/>
      <c r="NKA100" s="769"/>
      <c r="NKB100" s="769"/>
      <c r="NKC100" s="769"/>
      <c r="NKD100" s="769"/>
      <c r="NKE100" s="769"/>
      <c r="NKF100" s="769"/>
      <c r="NKG100" s="769"/>
      <c r="NKH100" s="769"/>
      <c r="NKI100" s="769"/>
      <c r="NKJ100" s="769"/>
      <c r="NKK100" s="769"/>
      <c r="NKL100" s="769"/>
      <c r="NKM100" s="769"/>
      <c r="NKN100" s="769"/>
      <c r="NKO100" s="769"/>
      <c r="NKP100" s="769"/>
      <c r="NKQ100" s="769"/>
      <c r="NKR100" s="769"/>
      <c r="NKS100" s="769"/>
      <c r="NKT100" s="769"/>
      <c r="NKU100" s="769"/>
      <c r="NKV100" s="769"/>
      <c r="NKW100" s="769"/>
      <c r="NKX100" s="769"/>
      <c r="NKY100" s="769"/>
      <c r="NKZ100" s="769"/>
      <c r="NLA100" s="769"/>
      <c r="NLB100" s="769"/>
      <c r="NLC100" s="769"/>
      <c r="NLD100" s="769"/>
      <c r="NLE100" s="769"/>
      <c r="NLF100" s="769"/>
      <c r="NLG100" s="769"/>
      <c r="NLH100" s="769"/>
      <c r="NLI100" s="769"/>
      <c r="NLJ100" s="769"/>
      <c r="NLK100" s="769"/>
      <c r="NLL100" s="769"/>
      <c r="NLM100" s="769"/>
      <c r="NLN100" s="769"/>
      <c r="NLO100" s="769"/>
      <c r="NLP100" s="769"/>
      <c r="NLQ100" s="769"/>
      <c r="NLR100" s="769"/>
      <c r="NLS100" s="769"/>
      <c r="NLT100" s="769"/>
      <c r="NLU100" s="769"/>
      <c r="NLV100" s="769"/>
      <c r="NLW100" s="769"/>
      <c r="NLX100" s="769"/>
      <c r="NLY100" s="769"/>
      <c r="NLZ100" s="769"/>
      <c r="NMA100" s="769"/>
      <c r="NMB100" s="769"/>
      <c r="NMC100" s="769"/>
      <c r="NMD100" s="769"/>
      <c r="NME100" s="769"/>
      <c r="NMF100" s="769"/>
      <c r="NMG100" s="769"/>
      <c r="NMH100" s="769"/>
      <c r="NMI100" s="769"/>
      <c r="NMJ100" s="769"/>
      <c r="NMK100" s="769"/>
      <c r="NML100" s="769"/>
      <c r="NMM100" s="769"/>
      <c r="NMN100" s="769"/>
      <c r="NMO100" s="769"/>
      <c r="NMP100" s="769"/>
      <c r="NMQ100" s="769"/>
      <c r="NMR100" s="769"/>
      <c r="NMS100" s="769"/>
      <c r="NMT100" s="769"/>
      <c r="NMU100" s="769"/>
      <c r="NMV100" s="769"/>
      <c r="NMW100" s="769"/>
      <c r="NMX100" s="769"/>
      <c r="NMY100" s="769"/>
      <c r="NMZ100" s="769"/>
      <c r="NNA100" s="769"/>
      <c r="NNB100" s="769"/>
      <c r="NNC100" s="769"/>
      <c r="NND100" s="769"/>
      <c r="NNE100" s="769"/>
      <c r="NNF100" s="769"/>
      <c r="NNG100" s="769"/>
      <c r="NNH100" s="769"/>
      <c r="NNI100" s="769"/>
      <c r="NNJ100" s="769"/>
      <c r="NNK100" s="769"/>
      <c r="NNL100" s="769"/>
      <c r="NNM100" s="769"/>
      <c r="NNN100" s="769"/>
      <c r="NNO100" s="769"/>
      <c r="NNP100" s="769"/>
      <c r="NNQ100" s="769"/>
      <c r="NNR100" s="769"/>
      <c r="NNS100" s="769"/>
      <c r="NNT100" s="769"/>
      <c r="NNU100" s="769"/>
      <c r="NNV100" s="769"/>
      <c r="NNW100" s="769"/>
      <c r="NNX100" s="769"/>
      <c r="NNY100" s="769"/>
      <c r="NNZ100" s="769"/>
      <c r="NOA100" s="769"/>
      <c r="NOB100" s="769"/>
      <c r="NOC100" s="769"/>
      <c r="NOD100" s="769"/>
      <c r="NOE100" s="769"/>
      <c r="NOF100" s="769"/>
      <c r="NOG100" s="769"/>
      <c r="NOH100" s="769"/>
      <c r="NOI100" s="769"/>
      <c r="NOJ100" s="769"/>
      <c r="NOK100" s="769"/>
      <c r="NOL100" s="769"/>
      <c r="NOM100" s="769"/>
      <c r="NON100" s="769"/>
      <c r="NOO100" s="769"/>
      <c r="NOP100" s="769"/>
      <c r="NOQ100" s="769"/>
      <c r="NOR100" s="769"/>
      <c r="NOS100" s="769"/>
      <c r="NOT100" s="769"/>
      <c r="NOU100" s="769"/>
      <c r="NOV100" s="769"/>
      <c r="NOW100" s="769"/>
      <c r="NOX100" s="769"/>
      <c r="NOY100" s="769"/>
      <c r="NOZ100" s="769"/>
      <c r="NPA100" s="769"/>
      <c r="NPB100" s="769"/>
      <c r="NPC100" s="769"/>
      <c r="NPD100" s="769"/>
      <c r="NPE100" s="769"/>
      <c r="NPF100" s="769"/>
      <c r="NPG100" s="769"/>
      <c r="NPH100" s="769"/>
      <c r="NPI100" s="769"/>
      <c r="NPJ100" s="769"/>
      <c r="NPK100" s="769"/>
      <c r="NPL100" s="769"/>
      <c r="NPM100" s="769"/>
      <c r="NPN100" s="769"/>
      <c r="NPO100" s="769"/>
      <c r="NPP100" s="769"/>
      <c r="NPQ100" s="769"/>
      <c r="NPR100" s="769"/>
      <c r="NPS100" s="769"/>
      <c r="NPT100" s="769"/>
      <c r="NPU100" s="769"/>
      <c r="NPV100" s="769"/>
      <c r="NPW100" s="769"/>
      <c r="NPX100" s="769"/>
      <c r="NPY100" s="769"/>
      <c r="NPZ100" s="769"/>
      <c r="NQA100" s="769"/>
      <c r="NQB100" s="769"/>
      <c r="NQC100" s="769"/>
      <c r="NQD100" s="769"/>
      <c r="NQE100" s="769"/>
      <c r="NQF100" s="769"/>
      <c r="NQG100" s="769"/>
      <c r="NQH100" s="769"/>
      <c r="NQI100" s="769"/>
      <c r="NQJ100" s="769"/>
      <c r="NQK100" s="769"/>
      <c r="NQL100" s="769"/>
      <c r="NQM100" s="769"/>
      <c r="NQN100" s="769"/>
      <c r="NQO100" s="769"/>
      <c r="NQP100" s="769"/>
      <c r="NQQ100" s="769"/>
      <c r="NQR100" s="769"/>
      <c r="NQS100" s="769"/>
      <c r="NQT100" s="769"/>
      <c r="NQU100" s="769"/>
      <c r="NQV100" s="769"/>
      <c r="NQW100" s="769"/>
      <c r="NQX100" s="769"/>
      <c r="NQY100" s="769"/>
      <c r="NQZ100" s="769"/>
      <c r="NRA100" s="769"/>
      <c r="NRB100" s="769"/>
      <c r="NRC100" s="769"/>
      <c r="NRD100" s="769"/>
      <c r="NRE100" s="769"/>
      <c r="NRF100" s="769"/>
      <c r="NRG100" s="769"/>
      <c r="NRH100" s="769"/>
      <c r="NRI100" s="769"/>
      <c r="NRJ100" s="769"/>
      <c r="NRK100" s="769"/>
      <c r="NRL100" s="769"/>
      <c r="NRM100" s="769"/>
      <c r="NRN100" s="769"/>
      <c r="NRO100" s="769"/>
      <c r="NRP100" s="769"/>
      <c r="NRQ100" s="769"/>
      <c r="NRR100" s="769"/>
      <c r="NRS100" s="769"/>
      <c r="NRT100" s="769"/>
      <c r="NRU100" s="769"/>
      <c r="NRV100" s="769"/>
      <c r="NRW100" s="769"/>
      <c r="NRX100" s="769"/>
      <c r="NRY100" s="769"/>
      <c r="NRZ100" s="769"/>
      <c r="NSA100" s="769"/>
      <c r="NSB100" s="769"/>
      <c r="NSC100" s="769"/>
      <c r="NSD100" s="769"/>
      <c r="NSE100" s="769"/>
      <c r="NSF100" s="769"/>
      <c r="NSG100" s="769"/>
      <c r="NSH100" s="769"/>
      <c r="NSI100" s="769"/>
      <c r="NSJ100" s="769"/>
      <c r="NSK100" s="769"/>
      <c r="NSL100" s="769"/>
      <c r="NSM100" s="769"/>
      <c r="NSN100" s="769"/>
      <c r="NSO100" s="769"/>
      <c r="NSP100" s="769"/>
      <c r="NSQ100" s="769"/>
      <c r="NSR100" s="769"/>
      <c r="NSS100" s="769"/>
      <c r="NST100" s="769"/>
      <c r="NSU100" s="769"/>
      <c r="NSV100" s="769"/>
      <c r="NSW100" s="769"/>
      <c r="NSX100" s="769"/>
      <c r="NSY100" s="769"/>
      <c r="NSZ100" s="769"/>
      <c r="NTA100" s="769"/>
      <c r="NTB100" s="769"/>
      <c r="NTC100" s="769"/>
      <c r="NTD100" s="769"/>
      <c r="NTE100" s="769"/>
      <c r="NTF100" s="769"/>
      <c r="NTG100" s="769"/>
      <c r="NTH100" s="769"/>
      <c r="NTI100" s="769"/>
      <c r="NTJ100" s="769"/>
      <c r="NTK100" s="769"/>
      <c r="NTL100" s="769"/>
      <c r="NTM100" s="769"/>
      <c r="NTN100" s="769"/>
      <c r="NTO100" s="769"/>
      <c r="NTP100" s="769"/>
      <c r="NTQ100" s="769"/>
      <c r="NTR100" s="769"/>
      <c r="NTS100" s="769"/>
      <c r="NTT100" s="769"/>
      <c r="NTU100" s="769"/>
      <c r="NTV100" s="769"/>
      <c r="NTW100" s="769"/>
      <c r="NTX100" s="769"/>
      <c r="NTY100" s="769"/>
      <c r="NTZ100" s="769"/>
      <c r="NUA100" s="769"/>
      <c r="NUB100" s="769"/>
      <c r="NUC100" s="769"/>
      <c r="NUD100" s="769"/>
      <c r="NUE100" s="769"/>
      <c r="NUF100" s="769"/>
      <c r="NUG100" s="769"/>
      <c r="NUH100" s="769"/>
      <c r="NUI100" s="769"/>
      <c r="NUJ100" s="769"/>
      <c r="NUK100" s="769"/>
      <c r="NUL100" s="769"/>
      <c r="NUM100" s="769"/>
      <c r="NUN100" s="769"/>
      <c r="NUO100" s="769"/>
      <c r="NUP100" s="769"/>
      <c r="NUQ100" s="769"/>
      <c r="NUR100" s="769"/>
      <c r="NUS100" s="769"/>
      <c r="NUT100" s="769"/>
      <c r="NUU100" s="769"/>
      <c r="NUV100" s="769"/>
      <c r="NUW100" s="769"/>
      <c r="NUX100" s="769"/>
      <c r="NUY100" s="769"/>
      <c r="NUZ100" s="769"/>
      <c r="NVA100" s="769"/>
      <c r="NVB100" s="769"/>
      <c r="NVC100" s="769"/>
      <c r="NVD100" s="769"/>
      <c r="NVE100" s="769"/>
      <c r="NVF100" s="769"/>
      <c r="NVG100" s="769"/>
      <c r="NVH100" s="769"/>
      <c r="NVI100" s="769"/>
      <c r="NVJ100" s="769"/>
      <c r="NVK100" s="769"/>
      <c r="NVL100" s="769"/>
      <c r="NVM100" s="769"/>
      <c r="NVN100" s="769"/>
      <c r="NVO100" s="769"/>
      <c r="NVP100" s="769"/>
      <c r="NVQ100" s="769"/>
      <c r="NVR100" s="769"/>
      <c r="NVS100" s="769"/>
      <c r="NVT100" s="769"/>
      <c r="NVU100" s="769"/>
      <c r="NVV100" s="769"/>
      <c r="NVW100" s="769"/>
      <c r="NVX100" s="769"/>
      <c r="NVY100" s="769"/>
      <c r="NVZ100" s="769"/>
      <c r="NWA100" s="769"/>
      <c r="NWB100" s="769"/>
      <c r="NWC100" s="769"/>
      <c r="NWD100" s="769"/>
      <c r="NWE100" s="769"/>
      <c r="NWF100" s="769"/>
      <c r="NWG100" s="769"/>
      <c r="NWH100" s="769"/>
      <c r="NWI100" s="769"/>
      <c r="NWJ100" s="769"/>
      <c r="NWK100" s="769"/>
      <c r="NWL100" s="769"/>
      <c r="NWM100" s="769"/>
      <c r="NWN100" s="769"/>
      <c r="NWO100" s="769"/>
      <c r="NWP100" s="769"/>
      <c r="NWQ100" s="769"/>
      <c r="NWR100" s="769"/>
      <c r="NWS100" s="769"/>
      <c r="NWT100" s="769"/>
      <c r="NWU100" s="769"/>
      <c r="NWV100" s="769"/>
      <c r="NWW100" s="769"/>
      <c r="NWX100" s="769"/>
      <c r="NWY100" s="769"/>
      <c r="NWZ100" s="769"/>
      <c r="NXA100" s="769"/>
      <c r="NXB100" s="769"/>
      <c r="NXC100" s="769"/>
      <c r="NXD100" s="769"/>
      <c r="NXE100" s="769"/>
      <c r="NXF100" s="769"/>
      <c r="NXG100" s="769"/>
      <c r="NXH100" s="769"/>
      <c r="NXI100" s="769"/>
      <c r="NXJ100" s="769"/>
      <c r="NXK100" s="769"/>
      <c r="NXL100" s="769"/>
      <c r="NXM100" s="769"/>
      <c r="NXN100" s="769"/>
      <c r="NXO100" s="769"/>
      <c r="NXP100" s="769"/>
      <c r="NXQ100" s="769"/>
      <c r="NXR100" s="769"/>
      <c r="NXS100" s="769"/>
      <c r="NXT100" s="769"/>
      <c r="NXU100" s="769"/>
      <c r="NXV100" s="769"/>
      <c r="NXW100" s="769"/>
      <c r="NXX100" s="769"/>
      <c r="NXY100" s="769"/>
      <c r="NXZ100" s="769"/>
      <c r="NYA100" s="769"/>
      <c r="NYB100" s="769"/>
      <c r="NYC100" s="769"/>
      <c r="NYD100" s="769"/>
      <c r="NYE100" s="769"/>
      <c r="NYF100" s="769"/>
      <c r="NYG100" s="769"/>
      <c r="NYH100" s="769"/>
      <c r="NYI100" s="769"/>
      <c r="NYJ100" s="769"/>
      <c r="NYK100" s="769"/>
      <c r="NYL100" s="769"/>
      <c r="NYM100" s="769"/>
      <c r="NYN100" s="769"/>
      <c r="NYO100" s="769"/>
      <c r="NYP100" s="769"/>
      <c r="NYQ100" s="769"/>
      <c r="NYR100" s="769"/>
      <c r="NYS100" s="769"/>
      <c r="NYT100" s="769"/>
      <c r="NYU100" s="769"/>
      <c r="NYV100" s="769"/>
      <c r="NYW100" s="769"/>
      <c r="NYX100" s="769"/>
      <c r="NYY100" s="769"/>
      <c r="NYZ100" s="769"/>
      <c r="NZA100" s="769"/>
      <c r="NZB100" s="769"/>
      <c r="NZC100" s="769"/>
      <c r="NZD100" s="769"/>
      <c r="NZE100" s="769"/>
      <c r="NZF100" s="769"/>
      <c r="NZG100" s="769"/>
      <c r="NZH100" s="769"/>
      <c r="NZI100" s="769"/>
      <c r="NZJ100" s="769"/>
      <c r="NZK100" s="769"/>
      <c r="NZL100" s="769"/>
      <c r="NZM100" s="769"/>
      <c r="NZN100" s="769"/>
      <c r="NZO100" s="769"/>
      <c r="NZP100" s="769"/>
      <c r="NZQ100" s="769"/>
      <c r="NZR100" s="769"/>
      <c r="NZS100" s="769"/>
      <c r="NZT100" s="769"/>
      <c r="NZU100" s="769"/>
      <c r="NZV100" s="769"/>
      <c r="NZW100" s="769"/>
      <c r="NZX100" s="769"/>
      <c r="NZY100" s="769"/>
      <c r="NZZ100" s="769"/>
      <c r="OAA100" s="769"/>
      <c r="OAB100" s="769"/>
      <c r="OAC100" s="769"/>
      <c r="OAD100" s="769"/>
      <c r="OAE100" s="769"/>
      <c r="OAF100" s="769"/>
      <c r="OAG100" s="769"/>
      <c r="OAH100" s="769"/>
      <c r="OAI100" s="769"/>
      <c r="OAJ100" s="769"/>
      <c r="OAK100" s="769"/>
      <c r="OAL100" s="769"/>
      <c r="OAM100" s="769"/>
      <c r="OAN100" s="769"/>
      <c r="OAO100" s="769"/>
      <c r="OAP100" s="769"/>
      <c r="OAQ100" s="769"/>
      <c r="OAR100" s="769"/>
      <c r="OAS100" s="769"/>
      <c r="OAT100" s="769"/>
      <c r="OAU100" s="769"/>
      <c r="OAV100" s="769"/>
      <c r="OAW100" s="769"/>
      <c r="OAX100" s="769"/>
      <c r="OAY100" s="769"/>
      <c r="OAZ100" s="769"/>
      <c r="OBA100" s="769"/>
      <c r="OBB100" s="769"/>
      <c r="OBC100" s="769"/>
      <c r="OBD100" s="769"/>
      <c r="OBE100" s="769"/>
      <c r="OBF100" s="769"/>
      <c r="OBG100" s="769"/>
      <c r="OBH100" s="769"/>
      <c r="OBI100" s="769"/>
      <c r="OBJ100" s="769"/>
      <c r="OBK100" s="769"/>
      <c r="OBL100" s="769"/>
      <c r="OBM100" s="769"/>
      <c r="OBN100" s="769"/>
      <c r="OBO100" s="769"/>
      <c r="OBP100" s="769"/>
      <c r="OBQ100" s="769"/>
      <c r="OBR100" s="769"/>
      <c r="OBS100" s="769"/>
      <c r="OBT100" s="769"/>
      <c r="OBU100" s="769"/>
      <c r="OBV100" s="769"/>
      <c r="OBW100" s="769"/>
      <c r="OBX100" s="769"/>
      <c r="OBY100" s="769"/>
      <c r="OBZ100" s="769"/>
      <c r="OCA100" s="769"/>
      <c r="OCB100" s="769"/>
      <c r="OCC100" s="769"/>
      <c r="OCD100" s="769"/>
      <c r="OCE100" s="769"/>
      <c r="OCF100" s="769"/>
      <c r="OCG100" s="769"/>
      <c r="OCH100" s="769"/>
      <c r="OCI100" s="769"/>
      <c r="OCJ100" s="769"/>
      <c r="OCK100" s="769"/>
      <c r="OCL100" s="769"/>
      <c r="OCM100" s="769"/>
      <c r="OCN100" s="769"/>
      <c r="OCO100" s="769"/>
      <c r="OCP100" s="769"/>
      <c r="OCQ100" s="769"/>
      <c r="OCR100" s="769"/>
      <c r="OCS100" s="769"/>
      <c r="OCT100" s="769"/>
      <c r="OCU100" s="769"/>
      <c r="OCV100" s="769"/>
      <c r="OCW100" s="769"/>
      <c r="OCX100" s="769"/>
      <c r="OCY100" s="769"/>
      <c r="OCZ100" s="769"/>
      <c r="ODA100" s="769"/>
      <c r="ODB100" s="769"/>
      <c r="ODC100" s="769"/>
      <c r="ODD100" s="769"/>
      <c r="ODE100" s="769"/>
      <c r="ODF100" s="769"/>
      <c r="ODG100" s="769"/>
      <c r="ODH100" s="769"/>
      <c r="ODI100" s="769"/>
      <c r="ODJ100" s="769"/>
      <c r="ODK100" s="769"/>
      <c r="ODL100" s="769"/>
      <c r="ODM100" s="769"/>
      <c r="ODN100" s="769"/>
      <c r="ODO100" s="769"/>
      <c r="ODP100" s="769"/>
      <c r="ODQ100" s="769"/>
      <c r="ODR100" s="769"/>
      <c r="ODS100" s="769"/>
      <c r="ODT100" s="769"/>
      <c r="ODU100" s="769"/>
      <c r="ODV100" s="769"/>
      <c r="ODW100" s="769"/>
      <c r="ODX100" s="769"/>
      <c r="ODY100" s="769"/>
      <c r="ODZ100" s="769"/>
      <c r="OEA100" s="769"/>
      <c r="OEB100" s="769"/>
      <c r="OEC100" s="769"/>
      <c r="OED100" s="769"/>
      <c r="OEE100" s="769"/>
      <c r="OEF100" s="769"/>
      <c r="OEG100" s="769"/>
      <c r="OEH100" s="769"/>
      <c r="OEI100" s="769"/>
      <c r="OEJ100" s="769"/>
      <c r="OEK100" s="769"/>
      <c r="OEL100" s="769"/>
      <c r="OEM100" s="769"/>
      <c r="OEN100" s="769"/>
      <c r="OEO100" s="769"/>
      <c r="OEP100" s="769"/>
      <c r="OEQ100" s="769"/>
      <c r="OER100" s="769"/>
      <c r="OES100" s="769"/>
      <c r="OET100" s="769"/>
      <c r="OEU100" s="769"/>
      <c r="OEV100" s="769"/>
      <c r="OEW100" s="769"/>
      <c r="OEX100" s="769"/>
      <c r="OEY100" s="769"/>
      <c r="OEZ100" s="769"/>
      <c r="OFA100" s="769"/>
      <c r="OFB100" s="769"/>
      <c r="OFC100" s="769"/>
      <c r="OFD100" s="769"/>
      <c r="OFE100" s="769"/>
      <c r="OFF100" s="769"/>
      <c r="OFG100" s="769"/>
      <c r="OFH100" s="769"/>
      <c r="OFI100" s="769"/>
      <c r="OFJ100" s="769"/>
      <c r="OFK100" s="769"/>
      <c r="OFL100" s="769"/>
      <c r="OFM100" s="769"/>
      <c r="OFN100" s="769"/>
      <c r="OFO100" s="769"/>
      <c r="OFP100" s="769"/>
      <c r="OFQ100" s="769"/>
      <c r="OFR100" s="769"/>
      <c r="OFS100" s="769"/>
      <c r="OFT100" s="769"/>
      <c r="OFU100" s="769"/>
      <c r="OFV100" s="769"/>
      <c r="OFW100" s="769"/>
      <c r="OFX100" s="769"/>
      <c r="OFY100" s="769"/>
      <c r="OFZ100" s="769"/>
      <c r="OGA100" s="769"/>
      <c r="OGB100" s="769"/>
      <c r="OGC100" s="769"/>
      <c r="OGD100" s="769"/>
      <c r="OGE100" s="769"/>
      <c r="OGF100" s="769"/>
      <c r="OGG100" s="769"/>
      <c r="OGH100" s="769"/>
      <c r="OGI100" s="769"/>
      <c r="OGJ100" s="769"/>
      <c r="OGK100" s="769"/>
      <c r="OGL100" s="769"/>
      <c r="OGM100" s="769"/>
      <c r="OGN100" s="769"/>
      <c r="OGO100" s="769"/>
      <c r="OGP100" s="769"/>
      <c r="OGQ100" s="769"/>
      <c r="OGR100" s="769"/>
      <c r="OGS100" s="769"/>
      <c r="OGT100" s="769"/>
      <c r="OGU100" s="769"/>
      <c r="OGV100" s="769"/>
      <c r="OGW100" s="769"/>
      <c r="OGX100" s="769"/>
      <c r="OGY100" s="769"/>
      <c r="OGZ100" s="769"/>
      <c r="OHA100" s="769"/>
      <c r="OHB100" s="769"/>
      <c r="OHC100" s="769"/>
      <c r="OHD100" s="769"/>
      <c r="OHE100" s="769"/>
      <c r="OHF100" s="769"/>
      <c r="OHG100" s="769"/>
      <c r="OHH100" s="769"/>
      <c r="OHI100" s="769"/>
      <c r="OHJ100" s="769"/>
      <c r="OHK100" s="769"/>
      <c r="OHL100" s="769"/>
      <c r="OHM100" s="769"/>
      <c r="OHN100" s="769"/>
      <c r="OHO100" s="769"/>
      <c r="OHP100" s="769"/>
      <c r="OHQ100" s="769"/>
      <c r="OHR100" s="769"/>
      <c r="OHS100" s="769"/>
      <c r="OHT100" s="769"/>
      <c r="OHU100" s="769"/>
      <c r="OHV100" s="769"/>
      <c r="OHW100" s="769"/>
      <c r="OHX100" s="769"/>
      <c r="OHY100" s="769"/>
      <c r="OHZ100" s="769"/>
      <c r="OIA100" s="769"/>
      <c r="OIB100" s="769"/>
      <c r="OIC100" s="769"/>
      <c r="OID100" s="769"/>
      <c r="OIE100" s="769"/>
      <c r="OIF100" s="769"/>
      <c r="OIG100" s="769"/>
      <c r="OIH100" s="769"/>
      <c r="OII100" s="769"/>
      <c r="OIJ100" s="769"/>
      <c r="OIK100" s="769"/>
      <c r="OIL100" s="769"/>
      <c r="OIM100" s="769"/>
      <c r="OIN100" s="769"/>
      <c r="OIO100" s="769"/>
      <c r="OIP100" s="769"/>
      <c r="OIQ100" s="769"/>
      <c r="OIR100" s="769"/>
      <c r="OIS100" s="769"/>
      <c r="OIT100" s="769"/>
      <c r="OIU100" s="769"/>
      <c r="OIV100" s="769"/>
      <c r="OIW100" s="769"/>
      <c r="OIX100" s="769"/>
      <c r="OIY100" s="769"/>
      <c r="OIZ100" s="769"/>
      <c r="OJA100" s="769"/>
      <c r="OJB100" s="769"/>
      <c r="OJC100" s="769"/>
      <c r="OJD100" s="769"/>
      <c r="OJE100" s="769"/>
      <c r="OJF100" s="769"/>
      <c r="OJG100" s="769"/>
      <c r="OJH100" s="769"/>
      <c r="OJI100" s="769"/>
      <c r="OJJ100" s="769"/>
      <c r="OJK100" s="769"/>
      <c r="OJL100" s="769"/>
      <c r="OJM100" s="769"/>
      <c r="OJN100" s="769"/>
      <c r="OJO100" s="769"/>
      <c r="OJP100" s="769"/>
      <c r="OJQ100" s="769"/>
      <c r="OJR100" s="769"/>
      <c r="OJS100" s="769"/>
      <c r="OJT100" s="769"/>
      <c r="OJU100" s="769"/>
      <c r="OJV100" s="769"/>
      <c r="OJW100" s="769"/>
      <c r="OJX100" s="769"/>
      <c r="OJY100" s="769"/>
      <c r="OJZ100" s="769"/>
      <c r="OKA100" s="769"/>
      <c r="OKB100" s="769"/>
      <c r="OKC100" s="769"/>
      <c r="OKD100" s="769"/>
      <c r="OKE100" s="769"/>
      <c r="OKF100" s="769"/>
      <c r="OKG100" s="769"/>
      <c r="OKH100" s="769"/>
      <c r="OKI100" s="769"/>
      <c r="OKJ100" s="769"/>
      <c r="OKK100" s="769"/>
      <c r="OKL100" s="769"/>
      <c r="OKM100" s="769"/>
      <c r="OKN100" s="769"/>
      <c r="OKO100" s="769"/>
      <c r="OKP100" s="769"/>
      <c r="OKQ100" s="769"/>
      <c r="OKR100" s="769"/>
      <c r="OKS100" s="769"/>
      <c r="OKT100" s="769"/>
      <c r="OKU100" s="769"/>
      <c r="OKV100" s="769"/>
      <c r="OKW100" s="769"/>
      <c r="OKX100" s="769"/>
      <c r="OKY100" s="769"/>
      <c r="OKZ100" s="769"/>
      <c r="OLA100" s="769"/>
      <c r="OLB100" s="769"/>
      <c r="OLC100" s="769"/>
      <c r="OLD100" s="769"/>
      <c r="OLE100" s="769"/>
      <c r="OLF100" s="769"/>
      <c r="OLG100" s="769"/>
      <c r="OLH100" s="769"/>
      <c r="OLI100" s="769"/>
      <c r="OLJ100" s="769"/>
      <c r="OLK100" s="769"/>
      <c r="OLL100" s="769"/>
      <c r="OLM100" s="769"/>
      <c r="OLN100" s="769"/>
      <c r="OLO100" s="769"/>
      <c r="OLP100" s="769"/>
      <c r="OLQ100" s="769"/>
      <c r="OLR100" s="769"/>
      <c r="OLS100" s="769"/>
      <c r="OLT100" s="769"/>
      <c r="OLU100" s="769"/>
      <c r="OLV100" s="769"/>
      <c r="OLW100" s="769"/>
      <c r="OLX100" s="769"/>
      <c r="OLY100" s="769"/>
      <c r="OLZ100" s="769"/>
      <c r="OMA100" s="769"/>
      <c r="OMB100" s="769"/>
      <c r="OMC100" s="769"/>
      <c r="OMD100" s="769"/>
      <c r="OME100" s="769"/>
      <c r="OMF100" s="769"/>
      <c r="OMG100" s="769"/>
      <c r="OMH100" s="769"/>
      <c r="OMI100" s="769"/>
      <c r="OMJ100" s="769"/>
      <c r="OMK100" s="769"/>
      <c r="OML100" s="769"/>
      <c r="OMM100" s="769"/>
      <c r="OMN100" s="769"/>
      <c r="OMO100" s="769"/>
      <c r="OMP100" s="769"/>
      <c r="OMQ100" s="769"/>
      <c r="OMR100" s="769"/>
      <c r="OMS100" s="769"/>
      <c r="OMT100" s="769"/>
      <c r="OMU100" s="769"/>
      <c r="OMV100" s="769"/>
      <c r="OMW100" s="769"/>
      <c r="OMX100" s="769"/>
      <c r="OMY100" s="769"/>
      <c r="OMZ100" s="769"/>
      <c r="ONA100" s="769"/>
      <c r="ONB100" s="769"/>
      <c r="ONC100" s="769"/>
      <c r="OND100" s="769"/>
      <c r="ONE100" s="769"/>
      <c r="ONF100" s="769"/>
      <c r="ONG100" s="769"/>
      <c r="ONH100" s="769"/>
      <c r="ONI100" s="769"/>
      <c r="ONJ100" s="769"/>
      <c r="ONK100" s="769"/>
      <c r="ONL100" s="769"/>
      <c r="ONM100" s="769"/>
      <c r="ONN100" s="769"/>
      <c r="ONO100" s="769"/>
      <c r="ONP100" s="769"/>
      <c r="ONQ100" s="769"/>
      <c r="ONR100" s="769"/>
      <c r="ONS100" s="769"/>
      <c r="ONT100" s="769"/>
      <c r="ONU100" s="769"/>
      <c r="ONV100" s="769"/>
      <c r="ONW100" s="769"/>
      <c r="ONX100" s="769"/>
      <c r="ONY100" s="769"/>
      <c r="ONZ100" s="769"/>
      <c r="OOA100" s="769"/>
      <c r="OOB100" s="769"/>
      <c r="OOC100" s="769"/>
      <c r="OOD100" s="769"/>
      <c r="OOE100" s="769"/>
      <c r="OOF100" s="769"/>
      <c r="OOG100" s="769"/>
      <c r="OOH100" s="769"/>
      <c r="OOI100" s="769"/>
      <c r="OOJ100" s="769"/>
      <c r="OOK100" s="769"/>
      <c r="OOL100" s="769"/>
      <c r="OOM100" s="769"/>
      <c r="OON100" s="769"/>
      <c r="OOO100" s="769"/>
      <c r="OOP100" s="769"/>
      <c r="OOQ100" s="769"/>
      <c r="OOR100" s="769"/>
      <c r="OOS100" s="769"/>
      <c r="OOT100" s="769"/>
      <c r="OOU100" s="769"/>
      <c r="OOV100" s="769"/>
      <c r="OOW100" s="769"/>
      <c r="OOX100" s="769"/>
      <c r="OOY100" s="769"/>
      <c r="OOZ100" s="769"/>
      <c r="OPA100" s="769"/>
      <c r="OPB100" s="769"/>
      <c r="OPC100" s="769"/>
      <c r="OPD100" s="769"/>
      <c r="OPE100" s="769"/>
      <c r="OPF100" s="769"/>
      <c r="OPG100" s="769"/>
      <c r="OPH100" s="769"/>
      <c r="OPI100" s="769"/>
      <c r="OPJ100" s="769"/>
      <c r="OPK100" s="769"/>
      <c r="OPL100" s="769"/>
      <c r="OPM100" s="769"/>
      <c r="OPN100" s="769"/>
      <c r="OPO100" s="769"/>
      <c r="OPP100" s="769"/>
      <c r="OPQ100" s="769"/>
      <c r="OPR100" s="769"/>
      <c r="OPS100" s="769"/>
      <c r="OPT100" s="769"/>
      <c r="OPU100" s="769"/>
      <c r="OPV100" s="769"/>
      <c r="OPW100" s="769"/>
      <c r="OPX100" s="769"/>
      <c r="OPY100" s="769"/>
      <c r="OPZ100" s="769"/>
      <c r="OQA100" s="769"/>
      <c r="OQB100" s="769"/>
      <c r="OQC100" s="769"/>
      <c r="OQD100" s="769"/>
      <c r="OQE100" s="769"/>
      <c r="OQF100" s="769"/>
      <c r="OQG100" s="769"/>
      <c r="OQH100" s="769"/>
      <c r="OQI100" s="769"/>
      <c r="OQJ100" s="769"/>
      <c r="OQK100" s="769"/>
      <c r="OQL100" s="769"/>
      <c r="OQM100" s="769"/>
      <c r="OQN100" s="769"/>
      <c r="OQO100" s="769"/>
      <c r="OQP100" s="769"/>
      <c r="OQQ100" s="769"/>
      <c r="OQR100" s="769"/>
      <c r="OQS100" s="769"/>
      <c r="OQT100" s="769"/>
      <c r="OQU100" s="769"/>
      <c r="OQV100" s="769"/>
      <c r="OQW100" s="769"/>
      <c r="OQX100" s="769"/>
      <c r="OQY100" s="769"/>
      <c r="OQZ100" s="769"/>
      <c r="ORA100" s="769"/>
      <c r="ORB100" s="769"/>
      <c r="ORC100" s="769"/>
      <c r="ORD100" s="769"/>
      <c r="ORE100" s="769"/>
      <c r="ORF100" s="769"/>
      <c r="ORG100" s="769"/>
      <c r="ORH100" s="769"/>
      <c r="ORI100" s="769"/>
      <c r="ORJ100" s="769"/>
      <c r="ORK100" s="769"/>
      <c r="ORL100" s="769"/>
      <c r="ORM100" s="769"/>
      <c r="ORN100" s="769"/>
      <c r="ORO100" s="769"/>
      <c r="ORP100" s="769"/>
      <c r="ORQ100" s="769"/>
      <c r="ORR100" s="769"/>
      <c r="ORS100" s="769"/>
      <c r="ORT100" s="769"/>
      <c r="ORU100" s="769"/>
      <c r="ORV100" s="769"/>
      <c r="ORW100" s="769"/>
      <c r="ORX100" s="769"/>
      <c r="ORY100" s="769"/>
      <c r="ORZ100" s="769"/>
      <c r="OSA100" s="769"/>
      <c r="OSB100" s="769"/>
      <c r="OSC100" s="769"/>
      <c r="OSD100" s="769"/>
      <c r="OSE100" s="769"/>
      <c r="OSF100" s="769"/>
      <c r="OSG100" s="769"/>
      <c r="OSH100" s="769"/>
      <c r="OSI100" s="769"/>
      <c r="OSJ100" s="769"/>
      <c r="OSK100" s="769"/>
      <c r="OSL100" s="769"/>
      <c r="OSM100" s="769"/>
      <c r="OSN100" s="769"/>
      <c r="OSO100" s="769"/>
      <c r="OSP100" s="769"/>
      <c r="OSQ100" s="769"/>
      <c r="OSR100" s="769"/>
      <c r="OSS100" s="769"/>
      <c r="OST100" s="769"/>
      <c r="OSU100" s="769"/>
      <c r="OSV100" s="769"/>
      <c r="OSW100" s="769"/>
      <c r="OSX100" s="769"/>
      <c r="OSY100" s="769"/>
      <c r="OSZ100" s="769"/>
      <c r="OTA100" s="769"/>
      <c r="OTB100" s="769"/>
      <c r="OTC100" s="769"/>
      <c r="OTD100" s="769"/>
      <c r="OTE100" s="769"/>
      <c r="OTF100" s="769"/>
      <c r="OTG100" s="769"/>
      <c r="OTH100" s="769"/>
      <c r="OTI100" s="769"/>
      <c r="OTJ100" s="769"/>
      <c r="OTK100" s="769"/>
      <c r="OTL100" s="769"/>
      <c r="OTM100" s="769"/>
      <c r="OTN100" s="769"/>
      <c r="OTO100" s="769"/>
      <c r="OTP100" s="769"/>
      <c r="OTQ100" s="769"/>
      <c r="OTR100" s="769"/>
      <c r="OTS100" s="769"/>
      <c r="OTT100" s="769"/>
      <c r="OTU100" s="769"/>
      <c r="OTV100" s="769"/>
      <c r="OTW100" s="769"/>
      <c r="OTX100" s="769"/>
      <c r="OTY100" s="769"/>
      <c r="OTZ100" s="769"/>
      <c r="OUA100" s="769"/>
      <c r="OUB100" s="769"/>
      <c r="OUC100" s="769"/>
      <c r="OUD100" s="769"/>
      <c r="OUE100" s="769"/>
      <c r="OUF100" s="769"/>
      <c r="OUG100" s="769"/>
      <c r="OUH100" s="769"/>
      <c r="OUI100" s="769"/>
      <c r="OUJ100" s="769"/>
      <c r="OUK100" s="769"/>
      <c r="OUL100" s="769"/>
      <c r="OUM100" s="769"/>
      <c r="OUN100" s="769"/>
      <c r="OUO100" s="769"/>
      <c r="OUP100" s="769"/>
      <c r="OUQ100" s="769"/>
      <c r="OUR100" s="769"/>
      <c r="OUS100" s="769"/>
      <c r="OUT100" s="769"/>
      <c r="OUU100" s="769"/>
      <c r="OUV100" s="769"/>
      <c r="OUW100" s="769"/>
      <c r="OUX100" s="769"/>
      <c r="OUY100" s="769"/>
      <c r="OUZ100" s="769"/>
      <c r="OVA100" s="769"/>
      <c r="OVB100" s="769"/>
      <c r="OVC100" s="769"/>
      <c r="OVD100" s="769"/>
      <c r="OVE100" s="769"/>
      <c r="OVF100" s="769"/>
      <c r="OVG100" s="769"/>
      <c r="OVH100" s="769"/>
      <c r="OVI100" s="769"/>
      <c r="OVJ100" s="769"/>
      <c r="OVK100" s="769"/>
      <c r="OVL100" s="769"/>
      <c r="OVM100" s="769"/>
      <c r="OVN100" s="769"/>
      <c r="OVO100" s="769"/>
      <c r="OVP100" s="769"/>
      <c r="OVQ100" s="769"/>
      <c r="OVR100" s="769"/>
      <c r="OVS100" s="769"/>
      <c r="OVT100" s="769"/>
      <c r="OVU100" s="769"/>
      <c r="OVV100" s="769"/>
      <c r="OVW100" s="769"/>
      <c r="OVX100" s="769"/>
      <c r="OVY100" s="769"/>
      <c r="OVZ100" s="769"/>
      <c r="OWA100" s="769"/>
      <c r="OWB100" s="769"/>
      <c r="OWC100" s="769"/>
      <c r="OWD100" s="769"/>
      <c r="OWE100" s="769"/>
      <c r="OWF100" s="769"/>
      <c r="OWG100" s="769"/>
      <c r="OWH100" s="769"/>
      <c r="OWI100" s="769"/>
      <c r="OWJ100" s="769"/>
      <c r="OWK100" s="769"/>
      <c r="OWL100" s="769"/>
      <c r="OWM100" s="769"/>
      <c r="OWN100" s="769"/>
      <c r="OWO100" s="769"/>
      <c r="OWP100" s="769"/>
      <c r="OWQ100" s="769"/>
      <c r="OWR100" s="769"/>
      <c r="OWS100" s="769"/>
      <c r="OWT100" s="769"/>
      <c r="OWU100" s="769"/>
      <c r="OWV100" s="769"/>
      <c r="OWW100" s="769"/>
      <c r="OWX100" s="769"/>
      <c r="OWY100" s="769"/>
      <c r="OWZ100" s="769"/>
      <c r="OXA100" s="769"/>
      <c r="OXB100" s="769"/>
      <c r="OXC100" s="769"/>
      <c r="OXD100" s="769"/>
      <c r="OXE100" s="769"/>
      <c r="OXF100" s="769"/>
      <c r="OXG100" s="769"/>
      <c r="OXH100" s="769"/>
      <c r="OXI100" s="769"/>
      <c r="OXJ100" s="769"/>
      <c r="OXK100" s="769"/>
      <c r="OXL100" s="769"/>
      <c r="OXM100" s="769"/>
      <c r="OXN100" s="769"/>
      <c r="OXO100" s="769"/>
      <c r="OXP100" s="769"/>
      <c r="OXQ100" s="769"/>
      <c r="OXR100" s="769"/>
      <c r="OXS100" s="769"/>
      <c r="OXT100" s="769"/>
      <c r="OXU100" s="769"/>
      <c r="OXV100" s="769"/>
      <c r="OXW100" s="769"/>
      <c r="OXX100" s="769"/>
      <c r="OXY100" s="769"/>
      <c r="OXZ100" s="769"/>
      <c r="OYA100" s="769"/>
      <c r="OYB100" s="769"/>
      <c r="OYC100" s="769"/>
      <c r="OYD100" s="769"/>
      <c r="OYE100" s="769"/>
      <c r="OYF100" s="769"/>
      <c r="OYG100" s="769"/>
      <c r="OYH100" s="769"/>
      <c r="OYI100" s="769"/>
      <c r="OYJ100" s="769"/>
      <c r="OYK100" s="769"/>
      <c r="OYL100" s="769"/>
      <c r="OYM100" s="769"/>
      <c r="OYN100" s="769"/>
      <c r="OYO100" s="769"/>
      <c r="OYP100" s="769"/>
      <c r="OYQ100" s="769"/>
      <c r="OYR100" s="769"/>
      <c r="OYS100" s="769"/>
      <c r="OYT100" s="769"/>
      <c r="OYU100" s="769"/>
      <c r="OYV100" s="769"/>
      <c r="OYW100" s="769"/>
      <c r="OYX100" s="769"/>
      <c r="OYY100" s="769"/>
      <c r="OYZ100" s="769"/>
      <c r="OZA100" s="769"/>
      <c r="OZB100" s="769"/>
      <c r="OZC100" s="769"/>
      <c r="OZD100" s="769"/>
      <c r="OZE100" s="769"/>
      <c r="OZF100" s="769"/>
      <c r="OZG100" s="769"/>
      <c r="OZH100" s="769"/>
      <c r="OZI100" s="769"/>
      <c r="OZJ100" s="769"/>
      <c r="OZK100" s="769"/>
      <c r="OZL100" s="769"/>
      <c r="OZM100" s="769"/>
      <c r="OZN100" s="769"/>
      <c r="OZO100" s="769"/>
      <c r="OZP100" s="769"/>
      <c r="OZQ100" s="769"/>
      <c r="OZR100" s="769"/>
      <c r="OZS100" s="769"/>
      <c r="OZT100" s="769"/>
      <c r="OZU100" s="769"/>
      <c r="OZV100" s="769"/>
      <c r="OZW100" s="769"/>
      <c r="OZX100" s="769"/>
      <c r="OZY100" s="769"/>
      <c r="OZZ100" s="769"/>
      <c r="PAA100" s="769"/>
      <c r="PAB100" s="769"/>
      <c r="PAC100" s="769"/>
      <c r="PAD100" s="769"/>
      <c r="PAE100" s="769"/>
      <c r="PAF100" s="769"/>
      <c r="PAG100" s="769"/>
      <c r="PAH100" s="769"/>
      <c r="PAI100" s="769"/>
      <c r="PAJ100" s="769"/>
      <c r="PAK100" s="769"/>
      <c r="PAL100" s="769"/>
      <c r="PAM100" s="769"/>
      <c r="PAN100" s="769"/>
      <c r="PAO100" s="769"/>
      <c r="PAP100" s="769"/>
      <c r="PAQ100" s="769"/>
      <c r="PAR100" s="769"/>
      <c r="PAS100" s="769"/>
      <c r="PAT100" s="769"/>
      <c r="PAU100" s="769"/>
      <c r="PAV100" s="769"/>
      <c r="PAW100" s="769"/>
      <c r="PAX100" s="769"/>
      <c r="PAY100" s="769"/>
      <c r="PAZ100" s="769"/>
      <c r="PBA100" s="769"/>
      <c r="PBB100" s="769"/>
      <c r="PBC100" s="769"/>
      <c r="PBD100" s="769"/>
      <c r="PBE100" s="769"/>
      <c r="PBF100" s="769"/>
      <c r="PBG100" s="769"/>
      <c r="PBH100" s="769"/>
      <c r="PBI100" s="769"/>
      <c r="PBJ100" s="769"/>
      <c r="PBK100" s="769"/>
      <c r="PBL100" s="769"/>
      <c r="PBM100" s="769"/>
      <c r="PBN100" s="769"/>
      <c r="PBO100" s="769"/>
      <c r="PBP100" s="769"/>
      <c r="PBQ100" s="769"/>
      <c r="PBR100" s="769"/>
      <c r="PBS100" s="769"/>
      <c r="PBT100" s="769"/>
      <c r="PBU100" s="769"/>
      <c r="PBV100" s="769"/>
      <c r="PBW100" s="769"/>
      <c r="PBX100" s="769"/>
      <c r="PBY100" s="769"/>
      <c r="PBZ100" s="769"/>
      <c r="PCA100" s="769"/>
      <c r="PCB100" s="769"/>
      <c r="PCC100" s="769"/>
      <c r="PCD100" s="769"/>
      <c r="PCE100" s="769"/>
      <c r="PCF100" s="769"/>
      <c r="PCG100" s="769"/>
      <c r="PCH100" s="769"/>
      <c r="PCI100" s="769"/>
      <c r="PCJ100" s="769"/>
      <c r="PCK100" s="769"/>
      <c r="PCL100" s="769"/>
      <c r="PCM100" s="769"/>
      <c r="PCN100" s="769"/>
      <c r="PCO100" s="769"/>
      <c r="PCP100" s="769"/>
      <c r="PCQ100" s="769"/>
      <c r="PCR100" s="769"/>
      <c r="PCS100" s="769"/>
      <c r="PCT100" s="769"/>
      <c r="PCU100" s="769"/>
      <c r="PCV100" s="769"/>
      <c r="PCW100" s="769"/>
      <c r="PCX100" s="769"/>
      <c r="PCY100" s="769"/>
      <c r="PCZ100" s="769"/>
      <c r="PDA100" s="769"/>
      <c r="PDB100" s="769"/>
      <c r="PDC100" s="769"/>
      <c r="PDD100" s="769"/>
      <c r="PDE100" s="769"/>
      <c r="PDF100" s="769"/>
      <c r="PDG100" s="769"/>
      <c r="PDH100" s="769"/>
      <c r="PDI100" s="769"/>
      <c r="PDJ100" s="769"/>
      <c r="PDK100" s="769"/>
      <c r="PDL100" s="769"/>
      <c r="PDM100" s="769"/>
      <c r="PDN100" s="769"/>
      <c r="PDO100" s="769"/>
      <c r="PDP100" s="769"/>
      <c r="PDQ100" s="769"/>
      <c r="PDR100" s="769"/>
      <c r="PDS100" s="769"/>
      <c r="PDT100" s="769"/>
      <c r="PDU100" s="769"/>
      <c r="PDV100" s="769"/>
      <c r="PDW100" s="769"/>
      <c r="PDX100" s="769"/>
      <c r="PDY100" s="769"/>
      <c r="PDZ100" s="769"/>
      <c r="PEA100" s="769"/>
      <c r="PEB100" s="769"/>
      <c r="PEC100" s="769"/>
      <c r="PED100" s="769"/>
      <c r="PEE100" s="769"/>
      <c r="PEF100" s="769"/>
      <c r="PEG100" s="769"/>
      <c r="PEH100" s="769"/>
      <c r="PEI100" s="769"/>
      <c r="PEJ100" s="769"/>
      <c r="PEK100" s="769"/>
      <c r="PEL100" s="769"/>
      <c r="PEM100" s="769"/>
      <c r="PEN100" s="769"/>
      <c r="PEO100" s="769"/>
      <c r="PEP100" s="769"/>
      <c r="PEQ100" s="769"/>
      <c r="PER100" s="769"/>
      <c r="PES100" s="769"/>
      <c r="PET100" s="769"/>
      <c r="PEU100" s="769"/>
      <c r="PEV100" s="769"/>
      <c r="PEW100" s="769"/>
      <c r="PEX100" s="769"/>
      <c r="PEY100" s="769"/>
      <c r="PEZ100" s="769"/>
      <c r="PFA100" s="769"/>
      <c r="PFB100" s="769"/>
      <c r="PFC100" s="769"/>
      <c r="PFD100" s="769"/>
      <c r="PFE100" s="769"/>
      <c r="PFF100" s="769"/>
      <c r="PFG100" s="769"/>
      <c r="PFH100" s="769"/>
      <c r="PFI100" s="769"/>
      <c r="PFJ100" s="769"/>
      <c r="PFK100" s="769"/>
      <c r="PFL100" s="769"/>
      <c r="PFM100" s="769"/>
      <c r="PFN100" s="769"/>
      <c r="PFO100" s="769"/>
      <c r="PFP100" s="769"/>
      <c r="PFQ100" s="769"/>
      <c r="PFR100" s="769"/>
      <c r="PFS100" s="769"/>
      <c r="PFT100" s="769"/>
      <c r="PFU100" s="769"/>
      <c r="PFV100" s="769"/>
      <c r="PFW100" s="769"/>
      <c r="PFX100" s="769"/>
      <c r="PFY100" s="769"/>
      <c r="PFZ100" s="769"/>
      <c r="PGA100" s="769"/>
      <c r="PGB100" s="769"/>
      <c r="PGC100" s="769"/>
      <c r="PGD100" s="769"/>
      <c r="PGE100" s="769"/>
      <c r="PGF100" s="769"/>
      <c r="PGG100" s="769"/>
      <c r="PGH100" s="769"/>
      <c r="PGI100" s="769"/>
      <c r="PGJ100" s="769"/>
      <c r="PGK100" s="769"/>
      <c r="PGL100" s="769"/>
      <c r="PGM100" s="769"/>
      <c r="PGN100" s="769"/>
      <c r="PGO100" s="769"/>
      <c r="PGP100" s="769"/>
      <c r="PGQ100" s="769"/>
      <c r="PGR100" s="769"/>
      <c r="PGS100" s="769"/>
      <c r="PGT100" s="769"/>
      <c r="PGU100" s="769"/>
      <c r="PGV100" s="769"/>
      <c r="PGW100" s="769"/>
      <c r="PGX100" s="769"/>
      <c r="PGY100" s="769"/>
      <c r="PGZ100" s="769"/>
      <c r="PHA100" s="769"/>
      <c r="PHB100" s="769"/>
      <c r="PHC100" s="769"/>
      <c r="PHD100" s="769"/>
      <c r="PHE100" s="769"/>
      <c r="PHF100" s="769"/>
      <c r="PHG100" s="769"/>
      <c r="PHH100" s="769"/>
      <c r="PHI100" s="769"/>
      <c r="PHJ100" s="769"/>
      <c r="PHK100" s="769"/>
      <c r="PHL100" s="769"/>
      <c r="PHM100" s="769"/>
      <c r="PHN100" s="769"/>
      <c r="PHO100" s="769"/>
      <c r="PHP100" s="769"/>
      <c r="PHQ100" s="769"/>
      <c r="PHR100" s="769"/>
      <c r="PHS100" s="769"/>
      <c r="PHT100" s="769"/>
      <c r="PHU100" s="769"/>
      <c r="PHV100" s="769"/>
      <c r="PHW100" s="769"/>
      <c r="PHX100" s="769"/>
      <c r="PHY100" s="769"/>
      <c r="PHZ100" s="769"/>
      <c r="PIA100" s="769"/>
      <c r="PIB100" s="769"/>
      <c r="PIC100" s="769"/>
      <c r="PID100" s="769"/>
      <c r="PIE100" s="769"/>
      <c r="PIF100" s="769"/>
      <c r="PIG100" s="769"/>
      <c r="PIH100" s="769"/>
      <c r="PII100" s="769"/>
      <c r="PIJ100" s="769"/>
      <c r="PIK100" s="769"/>
      <c r="PIL100" s="769"/>
      <c r="PIM100" s="769"/>
      <c r="PIN100" s="769"/>
      <c r="PIO100" s="769"/>
      <c r="PIP100" s="769"/>
      <c r="PIQ100" s="769"/>
      <c r="PIR100" s="769"/>
      <c r="PIS100" s="769"/>
      <c r="PIT100" s="769"/>
      <c r="PIU100" s="769"/>
      <c r="PIV100" s="769"/>
      <c r="PIW100" s="769"/>
      <c r="PIX100" s="769"/>
      <c r="PIY100" s="769"/>
      <c r="PIZ100" s="769"/>
      <c r="PJA100" s="769"/>
      <c r="PJB100" s="769"/>
      <c r="PJC100" s="769"/>
      <c r="PJD100" s="769"/>
      <c r="PJE100" s="769"/>
      <c r="PJF100" s="769"/>
      <c r="PJG100" s="769"/>
      <c r="PJH100" s="769"/>
      <c r="PJI100" s="769"/>
      <c r="PJJ100" s="769"/>
      <c r="PJK100" s="769"/>
      <c r="PJL100" s="769"/>
      <c r="PJM100" s="769"/>
      <c r="PJN100" s="769"/>
      <c r="PJO100" s="769"/>
      <c r="PJP100" s="769"/>
      <c r="PJQ100" s="769"/>
      <c r="PJR100" s="769"/>
      <c r="PJS100" s="769"/>
      <c r="PJT100" s="769"/>
      <c r="PJU100" s="769"/>
      <c r="PJV100" s="769"/>
      <c r="PJW100" s="769"/>
      <c r="PJX100" s="769"/>
      <c r="PJY100" s="769"/>
      <c r="PJZ100" s="769"/>
      <c r="PKA100" s="769"/>
      <c r="PKB100" s="769"/>
      <c r="PKC100" s="769"/>
      <c r="PKD100" s="769"/>
      <c r="PKE100" s="769"/>
      <c r="PKF100" s="769"/>
      <c r="PKG100" s="769"/>
      <c r="PKH100" s="769"/>
      <c r="PKI100" s="769"/>
      <c r="PKJ100" s="769"/>
      <c r="PKK100" s="769"/>
      <c r="PKL100" s="769"/>
      <c r="PKM100" s="769"/>
      <c r="PKN100" s="769"/>
      <c r="PKO100" s="769"/>
      <c r="PKP100" s="769"/>
      <c r="PKQ100" s="769"/>
      <c r="PKR100" s="769"/>
      <c r="PKS100" s="769"/>
      <c r="PKT100" s="769"/>
      <c r="PKU100" s="769"/>
      <c r="PKV100" s="769"/>
      <c r="PKW100" s="769"/>
      <c r="PKX100" s="769"/>
      <c r="PKY100" s="769"/>
      <c r="PKZ100" s="769"/>
      <c r="PLA100" s="769"/>
      <c r="PLB100" s="769"/>
      <c r="PLC100" s="769"/>
      <c r="PLD100" s="769"/>
      <c r="PLE100" s="769"/>
      <c r="PLF100" s="769"/>
      <c r="PLG100" s="769"/>
      <c r="PLH100" s="769"/>
      <c r="PLI100" s="769"/>
      <c r="PLJ100" s="769"/>
      <c r="PLK100" s="769"/>
      <c r="PLL100" s="769"/>
      <c r="PLM100" s="769"/>
      <c r="PLN100" s="769"/>
      <c r="PLO100" s="769"/>
      <c r="PLP100" s="769"/>
      <c r="PLQ100" s="769"/>
      <c r="PLR100" s="769"/>
      <c r="PLS100" s="769"/>
      <c r="PLT100" s="769"/>
      <c r="PLU100" s="769"/>
      <c r="PLV100" s="769"/>
      <c r="PLW100" s="769"/>
      <c r="PLX100" s="769"/>
      <c r="PLY100" s="769"/>
      <c r="PLZ100" s="769"/>
      <c r="PMA100" s="769"/>
      <c r="PMB100" s="769"/>
      <c r="PMC100" s="769"/>
      <c r="PMD100" s="769"/>
      <c r="PME100" s="769"/>
      <c r="PMF100" s="769"/>
      <c r="PMG100" s="769"/>
      <c r="PMH100" s="769"/>
      <c r="PMI100" s="769"/>
      <c r="PMJ100" s="769"/>
      <c r="PMK100" s="769"/>
      <c r="PML100" s="769"/>
      <c r="PMM100" s="769"/>
      <c r="PMN100" s="769"/>
      <c r="PMO100" s="769"/>
      <c r="PMP100" s="769"/>
      <c r="PMQ100" s="769"/>
      <c r="PMR100" s="769"/>
      <c r="PMS100" s="769"/>
      <c r="PMT100" s="769"/>
      <c r="PMU100" s="769"/>
      <c r="PMV100" s="769"/>
      <c r="PMW100" s="769"/>
      <c r="PMX100" s="769"/>
      <c r="PMY100" s="769"/>
      <c r="PMZ100" s="769"/>
      <c r="PNA100" s="769"/>
      <c r="PNB100" s="769"/>
      <c r="PNC100" s="769"/>
      <c r="PND100" s="769"/>
      <c r="PNE100" s="769"/>
      <c r="PNF100" s="769"/>
      <c r="PNG100" s="769"/>
      <c r="PNH100" s="769"/>
      <c r="PNI100" s="769"/>
      <c r="PNJ100" s="769"/>
      <c r="PNK100" s="769"/>
      <c r="PNL100" s="769"/>
      <c r="PNM100" s="769"/>
      <c r="PNN100" s="769"/>
      <c r="PNO100" s="769"/>
      <c r="PNP100" s="769"/>
      <c r="PNQ100" s="769"/>
      <c r="PNR100" s="769"/>
      <c r="PNS100" s="769"/>
      <c r="PNT100" s="769"/>
      <c r="PNU100" s="769"/>
      <c r="PNV100" s="769"/>
      <c r="PNW100" s="769"/>
      <c r="PNX100" s="769"/>
      <c r="PNY100" s="769"/>
      <c r="PNZ100" s="769"/>
      <c r="POA100" s="769"/>
      <c r="POB100" s="769"/>
      <c r="POC100" s="769"/>
      <c r="POD100" s="769"/>
      <c r="POE100" s="769"/>
      <c r="POF100" s="769"/>
      <c r="POG100" s="769"/>
      <c r="POH100" s="769"/>
      <c r="POI100" s="769"/>
      <c r="POJ100" s="769"/>
      <c r="POK100" s="769"/>
      <c r="POL100" s="769"/>
      <c r="POM100" s="769"/>
      <c r="PON100" s="769"/>
      <c r="POO100" s="769"/>
      <c r="POP100" s="769"/>
      <c r="POQ100" s="769"/>
      <c r="POR100" s="769"/>
      <c r="POS100" s="769"/>
      <c r="POT100" s="769"/>
      <c r="POU100" s="769"/>
      <c r="POV100" s="769"/>
      <c r="POW100" s="769"/>
      <c r="POX100" s="769"/>
      <c r="POY100" s="769"/>
      <c r="POZ100" s="769"/>
      <c r="PPA100" s="769"/>
      <c r="PPB100" s="769"/>
      <c r="PPC100" s="769"/>
      <c r="PPD100" s="769"/>
      <c r="PPE100" s="769"/>
      <c r="PPF100" s="769"/>
      <c r="PPG100" s="769"/>
      <c r="PPH100" s="769"/>
      <c r="PPI100" s="769"/>
      <c r="PPJ100" s="769"/>
      <c r="PPK100" s="769"/>
      <c r="PPL100" s="769"/>
      <c r="PPM100" s="769"/>
      <c r="PPN100" s="769"/>
      <c r="PPO100" s="769"/>
      <c r="PPP100" s="769"/>
      <c r="PPQ100" s="769"/>
      <c r="PPR100" s="769"/>
      <c r="PPS100" s="769"/>
      <c r="PPT100" s="769"/>
      <c r="PPU100" s="769"/>
      <c r="PPV100" s="769"/>
      <c r="PPW100" s="769"/>
      <c r="PPX100" s="769"/>
      <c r="PPY100" s="769"/>
      <c r="PPZ100" s="769"/>
      <c r="PQA100" s="769"/>
      <c r="PQB100" s="769"/>
      <c r="PQC100" s="769"/>
      <c r="PQD100" s="769"/>
      <c r="PQE100" s="769"/>
      <c r="PQF100" s="769"/>
      <c r="PQG100" s="769"/>
      <c r="PQH100" s="769"/>
      <c r="PQI100" s="769"/>
      <c r="PQJ100" s="769"/>
      <c r="PQK100" s="769"/>
      <c r="PQL100" s="769"/>
      <c r="PQM100" s="769"/>
      <c r="PQN100" s="769"/>
      <c r="PQO100" s="769"/>
      <c r="PQP100" s="769"/>
      <c r="PQQ100" s="769"/>
      <c r="PQR100" s="769"/>
      <c r="PQS100" s="769"/>
      <c r="PQT100" s="769"/>
      <c r="PQU100" s="769"/>
      <c r="PQV100" s="769"/>
      <c r="PQW100" s="769"/>
      <c r="PQX100" s="769"/>
      <c r="PQY100" s="769"/>
      <c r="PQZ100" s="769"/>
      <c r="PRA100" s="769"/>
      <c r="PRB100" s="769"/>
      <c r="PRC100" s="769"/>
      <c r="PRD100" s="769"/>
      <c r="PRE100" s="769"/>
      <c r="PRF100" s="769"/>
      <c r="PRG100" s="769"/>
      <c r="PRH100" s="769"/>
      <c r="PRI100" s="769"/>
      <c r="PRJ100" s="769"/>
      <c r="PRK100" s="769"/>
      <c r="PRL100" s="769"/>
      <c r="PRM100" s="769"/>
      <c r="PRN100" s="769"/>
      <c r="PRO100" s="769"/>
      <c r="PRP100" s="769"/>
      <c r="PRQ100" s="769"/>
      <c r="PRR100" s="769"/>
      <c r="PRS100" s="769"/>
      <c r="PRT100" s="769"/>
      <c r="PRU100" s="769"/>
      <c r="PRV100" s="769"/>
      <c r="PRW100" s="769"/>
      <c r="PRX100" s="769"/>
      <c r="PRY100" s="769"/>
      <c r="PRZ100" s="769"/>
      <c r="PSA100" s="769"/>
      <c r="PSB100" s="769"/>
      <c r="PSC100" s="769"/>
      <c r="PSD100" s="769"/>
      <c r="PSE100" s="769"/>
      <c r="PSF100" s="769"/>
      <c r="PSG100" s="769"/>
      <c r="PSH100" s="769"/>
      <c r="PSI100" s="769"/>
      <c r="PSJ100" s="769"/>
      <c r="PSK100" s="769"/>
      <c r="PSL100" s="769"/>
      <c r="PSM100" s="769"/>
      <c r="PSN100" s="769"/>
      <c r="PSO100" s="769"/>
      <c r="PSP100" s="769"/>
      <c r="PSQ100" s="769"/>
      <c r="PSR100" s="769"/>
      <c r="PSS100" s="769"/>
      <c r="PST100" s="769"/>
      <c r="PSU100" s="769"/>
      <c r="PSV100" s="769"/>
      <c r="PSW100" s="769"/>
      <c r="PSX100" s="769"/>
      <c r="PSY100" s="769"/>
      <c r="PSZ100" s="769"/>
      <c r="PTA100" s="769"/>
      <c r="PTB100" s="769"/>
      <c r="PTC100" s="769"/>
      <c r="PTD100" s="769"/>
      <c r="PTE100" s="769"/>
      <c r="PTF100" s="769"/>
      <c r="PTG100" s="769"/>
      <c r="PTH100" s="769"/>
      <c r="PTI100" s="769"/>
      <c r="PTJ100" s="769"/>
      <c r="PTK100" s="769"/>
      <c r="PTL100" s="769"/>
      <c r="PTM100" s="769"/>
      <c r="PTN100" s="769"/>
      <c r="PTO100" s="769"/>
      <c r="PTP100" s="769"/>
      <c r="PTQ100" s="769"/>
      <c r="PTR100" s="769"/>
      <c r="PTS100" s="769"/>
      <c r="PTT100" s="769"/>
      <c r="PTU100" s="769"/>
      <c r="PTV100" s="769"/>
      <c r="PTW100" s="769"/>
      <c r="PTX100" s="769"/>
      <c r="PTY100" s="769"/>
      <c r="PTZ100" s="769"/>
      <c r="PUA100" s="769"/>
      <c r="PUB100" s="769"/>
      <c r="PUC100" s="769"/>
      <c r="PUD100" s="769"/>
      <c r="PUE100" s="769"/>
      <c r="PUF100" s="769"/>
      <c r="PUG100" s="769"/>
      <c r="PUH100" s="769"/>
      <c r="PUI100" s="769"/>
      <c r="PUJ100" s="769"/>
      <c r="PUK100" s="769"/>
      <c r="PUL100" s="769"/>
      <c r="PUM100" s="769"/>
      <c r="PUN100" s="769"/>
      <c r="PUO100" s="769"/>
      <c r="PUP100" s="769"/>
      <c r="PUQ100" s="769"/>
      <c r="PUR100" s="769"/>
      <c r="PUS100" s="769"/>
      <c r="PUT100" s="769"/>
      <c r="PUU100" s="769"/>
      <c r="PUV100" s="769"/>
      <c r="PUW100" s="769"/>
      <c r="PUX100" s="769"/>
      <c r="PUY100" s="769"/>
      <c r="PUZ100" s="769"/>
      <c r="PVA100" s="769"/>
      <c r="PVB100" s="769"/>
      <c r="PVC100" s="769"/>
      <c r="PVD100" s="769"/>
      <c r="PVE100" s="769"/>
      <c r="PVF100" s="769"/>
      <c r="PVG100" s="769"/>
      <c r="PVH100" s="769"/>
      <c r="PVI100" s="769"/>
      <c r="PVJ100" s="769"/>
      <c r="PVK100" s="769"/>
      <c r="PVL100" s="769"/>
      <c r="PVM100" s="769"/>
      <c r="PVN100" s="769"/>
      <c r="PVO100" s="769"/>
      <c r="PVP100" s="769"/>
      <c r="PVQ100" s="769"/>
      <c r="PVR100" s="769"/>
      <c r="PVS100" s="769"/>
      <c r="PVT100" s="769"/>
      <c r="PVU100" s="769"/>
      <c r="PVV100" s="769"/>
      <c r="PVW100" s="769"/>
      <c r="PVX100" s="769"/>
      <c r="PVY100" s="769"/>
      <c r="PVZ100" s="769"/>
      <c r="PWA100" s="769"/>
      <c r="PWB100" s="769"/>
      <c r="PWC100" s="769"/>
      <c r="PWD100" s="769"/>
      <c r="PWE100" s="769"/>
      <c r="PWF100" s="769"/>
      <c r="PWG100" s="769"/>
      <c r="PWH100" s="769"/>
      <c r="PWI100" s="769"/>
      <c r="PWJ100" s="769"/>
      <c r="PWK100" s="769"/>
      <c r="PWL100" s="769"/>
      <c r="PWM100" s="769"/>
      <c r="PWN100" s="769"/>
      <c r="PWO100" s="769"/>
      <c r="PWP100" s="769"/>
      <c r="PWQ100" s="769"/>
      <c r="PWR100" s="769"/>
      <c r="PWS100" s="769"/>
      <c r="PWT100" s="769"/>
      <c r="PWU100" s="769"/>
      <c r="PWV100" s="769"/>
      <c r="PWW100" s="769"/>
      <c r="PWX100" s="769"/>
      <c r="PWY100" s="769"/>
      <c r="PWZ100" s="769"/>
      <c r="PXA100" s="769"/>
      <c r="PXB100" s="769"/>
      <c r="PXC100" s="769"/>
      <c r="PXD100" s="769"/>
      <c r="PXE100" s="769"/>
      <c r="PXF100" s="769"/>
      <c r="PXG100" s="769"/>
      <c r="PXH100" s="769"/>
      <c r="PXI100" s="769"/>
      <c r="PXJ100" s="769"/>
      <c r="PXK100" s="769"/>
      <c r="PXL100" s="769"/>
      <c r="PXM100" s="769"/>
      <c r="PXN100" s="769"/>
      <c r="PXO100" s="769"/>
      <c r="PXP100" s="769"/>
      <c r="PXQ100" s="769"/>
      <c r="PXR100" s="769"/>
      <c r="PXS100" s="769"/>
      <c r="PXT100" s="769"/>
      <c r="PXU100" s="769"/>
      <c r="PXV100" s="769"/>
      <c r="PXW100" s="769"/>
      <c r="PXX100" s="769"/>
      <c r="PXY100" s="769"/>
      <c r="PXZ100" s="769"/>
      <c r="PYA100" s="769"/>
      <c r="PYB100" s="769"/>
      <c r="PYC100" s="769"/>
      <c r="PYD100" s="769"/>
      <c r="PYE100" s="769"/>
      <c r="PYF100" s="769"/>
      <c r="PYG100" s="769"/>
      <c r="PYH100" s="769"/>
      <c r="PYI100" s="769"/>
      <c r="PYJ100" s="769"/>
      <c r="PYK100" s="769"/>
      <c r="PYL100" s="769"/>
      <c r="PYM100" s="769"/>
      <c r="PYN100" s="769"/>
      <c r="PYO100" s="769"/>
      <c r="PYP100" s="769"/>
      <c r="PYQ100" s="769"/>
      <c r="PYR100" s="769"/>
      <c r="PYS100" s="769"/>
      <c r="PYT100" s="769"/>
      <c r="PYU100" s="769"/>
      <c r="PYV100" s="769"/>
      <c r="PYW100" s="769"/>
      <c r="PYX100" s="769"/>
      <c r="PYY100" s="769"/>
      <c r="PYZ100" s="769"/>
      <c r="PZA100" s="769"/>
      <c r="PZB100" s="769"/>
      <c r="PZC100" s="769"/>
      <c r="PZD100" s="769"/>
      <c r="PZE100" s="769"/>
      <c r="PZF100" s="769"/>
      <c r="PZG100" s="769"/>
      <c r="PZH100" s="769"/>
      <c r="PZI100" s="769"/>
      <c r="PZJ100" s="769"/>
      <c r="PZK100" s="769"/>
      <c r="PZL100" s="769"/>
      <c r="PZM100" s="769"/>
      <c r="PZN100" s="769"/>
      <c r="PZO100" s="769"/>
      <c r="PZP100" s="769"/>
      <c r="PZQ100" s="769"/>
      <c r="PZR100" s="769"/>
      <c r="PZS100" s="769"/>
      <c r="PZT100" s="769"/>
      <c r="PZU100" s="769"/>
      <c r="PZV100" s="769"/>
      <c r="PZW100" s="769"/>
      <c r="PZX100" s="769"/>
      <c r="PZY100" s="769"/>
      <c r="PZZ100" s="769"/>
      <c r="QAA100" s="769"/>
      <c r="QAB100" s="769"/>
      <c r="QAC100" s="769"/>
      <c r="QAD100" s="769"/>
      <c r="QAE100" s="769"/>
      <c r="QAF100" s="769"/>
      <c r="QAG100" s="769"/>
      <c r="QAH100" s="769"/>
      <c r="QAI100" s="769"/>
      <c r="QAJ100" s="769"/>
      <c r="QAK100" s="769"/>
      <c r="QAL100" s="769"/>
      <c r="QAM100" s="769"/>
      <c r="QAN100" s="769"/>
      <c r="QAO100" s="769"/>
      <c r="QAP100" s="769"/>
      <c r="QAQ100" s="769"/>
      <c r="QAR100" s="769"/>
      <c r="QAS100" s="769"/>
      <c r="QAT100" s="769"/>
      <c r="QAU100" s="769"/>
      <c r="QAV100" s="769"/>
      <c r="QAW100" s="769"/>
      <c r="QAX100" s="769"/>
      <c r="QAY100" s="769"/>
      <c r="QAZ100" s="769"/>
      <c r="QBA100" s="769"/>
      <c r="QBB100" s="769"/>
      <c r="QBC100" s="769"/>
      <c r="QBD100" s="769"/>
      <c r="QBE100" s="769"/>
      <c r="QBF100" s="769"/>
      <c r="QBG100" s="769"/>
      <c r="QBH100" s="769"/>
      <c r="QBI100" s="769"/>
      <c r="QBJ100" s="769"/>
      <c r="QBK100" s="769"/>
      <c r="QBL100" s="769"/>
      <c r="QBM100" s="769"/>
      <c r="QBN100" s="769"/>
      <c r="QBO100" s="769"/>
      <c r="QBP100" s="769"/>
      <c r="QBQ100" s="769"/>
      <c r="QBR100" s="769"/>
      <c r="QBS100" s="769"/>
      <c r="QBT100" s="769"/>
      <c r="QBU100" s="769"/>
      <c r="QBV100" s="769"/>
      <c r="QBW100" s="769"/>
      <c r="QBX100" s="769"/>
      <c r="QBY100" s="769"/>
      <c r="QBZ100" s="769"/>
      <c r="QCA100" s="769"/>
      <c r="QCB100" s="769"/>
      <c r="QCC100" s="769"/>
      <c r="QCD100" s="769"/>
      <c r="QCE100" s="769"/>
      <c r="QCF100" s="769"/>
      <c r="QCG100" s="769"/>
      <c r="QCH100" s="769"/>
      <c r="QCI100" s="769"/>
      <c r="QCJ100" s="769"/>
      <c r="QCK100" s="769"/>
      <c r="QCL100" s="769"/>
      <c r="QCM100" s="769"/>
      <c r="QCN100" s="769"/>
      <c r="QCO100" s="769"/>
      <c r="QCP100" s="769"/>
      <c r="QCQ100" s="769"/>
      <c r="QCR100" s="769"/>
      <c r="QCS100" s="769"/>
      <c r="QCT100" s="769"/>
      <c r="QCU100" s="769"/>
      <c r="QCV100" s="769"/>
      <c r="QCW100" s="769"/>
      <c r="QCX100" s="769"/>
      <c r="QCY100" s="769"/>
      <c r="QCZ100" s="769"/>
      <c r="QDA100" s="769"/>
      <c r="QDB100" s="769"/>
      <c r="QDC100" s="769"/>
      <c r="QDD100" s="769"/>
      <c r="QDE100" s="769"/>
      <c r="QDF100" s="769"/>
      <c r="QDG100" s="769"/>
      <c r="QDH100" s="769"/>
      <c r="QDI100" s="769"/>
      <c r="QDJ100" s="769"/>
      <c r="QDK100" s="769"/>
      <c r="QDL100" s="769"/>
      <c r="QDM100" s="769"/>
      <c r="QDN100" s="769"/>
      <c r="QDO100" s="769"/>
      <c r="QDP100" s="769"/>
      <c r="QDQ100" s="769"/>
      <c r="QDR100" s="769"/>
      <c r="QDS100" s="769"/>
      <c r="QDT100" s="769"/>
      <c r="QDU100" s="769"/>
      <c r="QDV100" s="769"/>
      <c r="QDW100" s="769"/>
      <c r="QDX100" s="769"/>
      <c r="QDY100" s="769"/>
      <c r="QDZ100" s="769"/>
      <c r="QEA100" s="769"/>
      <c r="QEB100" s="769"/>
      <c r="QEC100" s="769"/>
      <c r="QED100" s="769"/>
      <c r="QEE100" s="769"/>
      <c r="QEF100" s="769"/>
      <c r="QEG100" s="769"/>
      <c r="QEH100" s="769"/>
      <c r="QEI100" s="769"/>
      <c r="QEJ100" s="769"/>
      <c r="QEK100" s="769"/>
      <c r="QEL100" s="769"/>
      <c r="QEM100" s="769"/>
      <c r="QEN100" s="769"/>
      <c r="QEO100" s="769"/>
      <c r="QEP100" s="769"/>
      <c r="QEQ100" s="769"/>
      <c r="QER100" s="769"/>
      <c r="QES100" s="769"/>
      <c r="QET100" s="769"/>
      <c r="QEU100" s="769"/>
      <c r="QEV100" s="769"/>
      <c r="QEW100" s="769"/>
      <c r="QEX100" s="769"/>
      <c r="QEY100" s="769"/>
      <c r="QEZ100" s="769"/>
      <c r="QFA100" s="769"/>
      <c r="QFB100" s="769"/>
      <c r="QFC100" s="769"/>
      <c r="QFD100" s="769"/>
      <c r="QFE100" s="769"/>
      <c r="QFF100" s="769"/>
      <c r="QFG100" s="769"/>
      <c r="QFH100" s="769"/>
      <c r="QFI100" s="769"/>
      <c r="QFJ100" s="769"/>
      <c r="QFK100" s="769"/>
      <c r="QFL100" s="769"/>
      <c r="QFM100" s="769"/>
      <c r="QFN100" s="769"/>
      <c r="QFO100" s="769"/>
      <c r="QFP100" s="769"/>
      <c r="QFQ100" s="769"/>
      <c r="QFR100" s="769"/>
      <c r="QFS100" s="769"/>
      <c r="QFT100" s="769"/>
      <c r="QFU100" s="769"/>
      <c r="QFV100" s="769"/>
      <c r="QFW100" s="769"/>
      <c r="QFX100" s="769"/>
      <c r="QFY100" s="769"/>
      <c r="QFZ100" s="769"/>
      <c r="QGA100" s="769"/>
      <c r="QGB100" s="769"/>
      <c r="QGC100" s="769"/>
      <c r="QGD100" s="769"/>
      <c r="QGE100" s="769"/>
      <c r="QGF100" s="769"/>
      <c r="QGG100" s="769"/>
      <c r="QGH100" s="769"/>
      <c r="QGI100" s="769"/>
      <c r="QGJ100" s="769"/>
      <c r="QGK100" s="769"/>
      <c r="QGL100" s="769"/>
      <c r="QGM100" s="769"/>
      <c r="QGN100" s="769"/>
      <c r="QGO100" s="769"/>
      <c r="QGP100" s="769"/>
      <c r="QGQ100" s="769"/>
      <c r="QGR100" s="769"/>
      <c r="QGS100" s="769"/>
      <c r="QGT100" s="769"/>
      <c r="QGU100" s="769"/>
      <c r="QGV100" s="769"/>
      <c r="QGW100" s="769"/>
      <c r="QGX100" s="769"/>
      <c r="QGY100" s="769"/>
      <c r="QGZ100" s="769"/>
      <c r="QHA100" s="769"/>
      <c r="QHB100" s="769"/>
      <c r="QHC100" s="769"/>
      <c r="QHD100" s="769"/>
      <c r="QHE100" s="769"/>
      <c r="QHF100" s="769"/>
      <c r="QHG100" s="769"/>
      <c r="QHH100" s="769"/>
      <c r="QHI100" s="769"/>
      <c r="QHJ100" s="769"/>
      <c r="QHK100" s="769"/>
      <c r="QHL100" s="769"/>
      <c r="QHM100" s="769"/>
      <c r="QHN100" s="769"/>
      <c r="QHO100" s="769"/>
      <c r="QHP100" s="769"/>
      <c r="QHQ100" s="769"/>
      <c r="QHR100" s="769"/>
      <c r="QHS100" s="769"/>
      <c r="QHT100" s="769"/>
      <c r="QHU100" s="769"/>
      <c r="QHV100" s="769"/>
      <c r="QHW100" s="769"/>
      <c r="QHX100" s="769"/>
      <c r="QHY100" s="769"/>
      <c r="QHZ100" s="769"/>
      <c r="QIA100" s="769"/>
      <c r="QIB100" s="769"/>
      <c r="QIC100" s="769"/>
      <c r="QID100" s="769"/>
      <c r="QIE100" s="769"/>
      <c r="QIF100" s="769"/>
      <c r="QIG100" s="769"/>
      <c r="QIH100" s="769"/>
      <c r="QII100" s="769"/>
      <c r="QIJ100" s="769"/>
      <c r="QIK100" s="769"/>
      <c r="QIL100" s="769"/>
      <c r="QIM100" s="769"/>
      <c r="QIN100" s="769"/>
      <c r="QIO100" s="769"/>
      <c r="QIP100" s="769"/>
      <c r="QIQ100" s="769"/>
      <c r="QIR100" s="769"/>
      <c r="QIS100" s="769"/>
      <c r="QIT100" s="769"/>
      <c r="QIU100" s="769"/>
      <c r="QIV100" s="769"/>
      <c r="QIW100" s="769"/>
      <c r="QIX100" s="769"/>
      <c r="QIY100" s="769"/>
      <c r="QIZ100" s="769"/>
      <c r="QJA100" s="769"/>
      <c r="QJB100" s="769"/>
      <c r="QJC100" s="769"/>
      <c r="QJD100" s="769"/>
      <c r="QJE100" s="769"/>
      <c r="QJF100" s="769"/>
      <c r="QJG100" s="769"/>
      <c r="QJH100" s="769"/>
      <c r="QJI100" s="769"/>
      <c r="QJJ100" s="769"/>
      <c r="QJK100" s="769"/>
      <c r="QJL100" s="769"/>
      <c r="QJM100" s="769"/>
      <c r="QJN100" s="769"/>
      <c r="QJO100" s="769"/>
      <c r="QJP100" s="769"/>
      <c r="QJQ100" s="769"/>
      <c r="QJR100" s="769"/>
      <c r="QJS100" s="769"/>
      <c r="QJT100" s="769"/>
      <c r="QJU100" s="769"/>
      <c r="QJV100" s="769"/>
      <c r="QJW100" s="769"/>
      <c r="QJX100" s="769"/>
      <c r="QJY100" s="769"/>
      <c r="QJZ100" s="769"/>
      <c r="QKA100" s="769"/>
      <c r="QKB100" s="769"/>
      <c r="QKC100" s="769"/>
      <c r="QKD100" s="769"/>
      <c r="QKE100" s="769"/>
      <c r="QKF100" s="769"/>
      <c r="QKG100" s="769"/>
      <c r="QKH100" s="769"/>
      <c r="QKI100" s="769"/>
      <c r="QKJ100" s="769"/>
      <c r="QKK100" s="769"/>
      <c r="QKL100" s="769"/>
      <c r="QKM100" s="769"/>
      <c r="QKN100" s="769"/>
      <c r="QKO100" s="769"/>
      <c r="QKP100" s="769"/>
      <c r="QKQ100" s="769"/>
      <c r="QKR100" s="769"/>
      <c r="QKS100" s="769"/>
      <c r="QKT100" s="769"/>
      <c r="QKU100" s="769"/>
      <c r="QKV100" s="769"/>
      <c r="QKW100" s="769"/>
      <c r="QKX100" s="769"/>
      <c r="QKY100" s="769"/>
      <c r="QKZ100" s="769"/>
      <c r="QLA100" s="769"/>
      <c r="QLB100" s="769"/>
      <c r="QLC100" s="769"/>
      <c r="QLD100" s="769"/>
      <c r="QLE100" s="769"/>
      <c r="QLF100" s="769"/>
      <c r="QLG100" s="769"/>
      <c r="QLH100" s="769"/>
      <c r="QLI100" s="769"/>
      <c r="QLJ100" s="769"/>
      <c r="QLK100" s="769"/>
      <c r="QLL100" s="769"/>
      <c r="QLM100" s="769"/>
      <c r="QLN100" s="769"/>
      <c r="QLO100" s="769"/>
      <c r="QLP100" s="769"/>
      <c r="QLQ100" s="769"/>
      <c r="QLR100" s="769"/>
      <c r="QLS100" s="769"/>
      <c r="QLT100" s="769"/>
      <c r="QLU100" s="769"/>
      <c r="QLV100" s="769"/>
      <c r="QLW100" s="769"/>
      <c r="QLX100" s="769"/>
      <c r="QLY100" s="769"/>
      <c r="QLZ100" s="769"/>
      <c r="QMA100" s="769"/>
      <c r="QMB100" s="769"/>
      <c r="QMC100" s="769"/>
      <c r="QMD100" s="769"/>
      <c r="QME100" s="769"/>
      <c r="QMF100" s="769"/>
      <c r="QMG100" s="769"/>
      <c r="QMH100" s="769"/>
      <c r="QMI100" s="769"/>
      <c r="QMJ100" s="769"/>
      <c r="QMK100" s="769"/>
      <c r="QML100" s="769"/>
      <c r="QMM100" s="769"/>
      <c r="QMN100" s="769"/>
      <c r="QMO100" s="769"/>
      <c r="QMP100" s="769"/>
      <c r="QMQ100" s="769"/>
      <c r="QMR100" s="769"/>
      <c r="QMS100" s="769"/>
      <c r="QMT100" s="769"/>
      <c r="QMU100" s="769"/>
      <c r="QMV100" s="769"/>
      <c r="QMW100" s="769"/>
      <c r="QMX100" s="769"/>
      <c r="QMY100" s="769"/>
      <c r="QMZ100" s="769"/>
      <c r="QNA100" s="769"/>
      <c r="QNB100" s="769"/>
      <c r="QNC100" s="769"/>
      <c r="QND100" s="769"/>
      <c r="QNE100" s="769"/>
      <c r="QNF100" s="769"/>
      <c r="QNG100" s="769"/>
      <c r="QNH100" s="769"/>
      <c r="QNI100" s="769"/>
      <c r="QNJ100" s="769"/>
      <c r="QNK100" s="769"/>
      <c r="QNL100" s="769"/>
      <c r="QNM100" s="769"/>
      <c r="QNN100" s="769"/>
      <c r="QNO100" s="769"/>
      <c r="QNP100" s="769"/>
      <c r="QNQ100" s="769"/>
      <c r="QNR100" s="769"/>
      <c r="QNS100" s="769"/>
      <c r="QNT100" s="769"/>
      <c r="QNU100" s="769"/>
      <c r="QNV100" s="769"/>
      <c r="QNW100" s="769"/>
      <c r="QNX100" s="769"/>
      <c r="QNY100" s="769"/>
      <c r="QNZ100" s="769"/>
      <c r="QOA100" s="769"/>
      <c r="QOB100" s="769"/>
      <c r="QOC100" s="769"/>
      <c r="QOD100" s="769"/>
      <c r="QOE100" s="769"/>
      <c r="QOF100" s="769"/>
      <c r="QOG100" s="769"/>
      <c r="QOH100" s="769"/>
      <c r="QOI100" s="769"/>
      <c r="QOJ100" s="769"/>
      <c r="QOK100" s="769"/>
      <c r="QOL100" s="769"/>
      <c r="QOM100" s="769"/>
      <c r="QON100" s="769"/>
      <c r="QOO100" s="769"/>
      <c r="QOP100" s="769"/>
      <c r="QOQ100" s="769"/>
      <c r="QOR100" s="769"/>
      <c r="QOS100" s="769"/>
      <c r="QOT100" s="769"/>
      <c r="QOU100" s="769"/>
      <c r="QOV100" s="769"/>
      <c r="QOW100" s="769"/>
      <c r="QOX100" s="769"/>
      <c r="QOY100" s="769"/>
      <c r="QOZ100" s="769"/>
      <c r="QPA100" s="769"/>
      <c r="QPB100" s="769"/>
      <c r="QPC100" s="769"/>
      <c r="QPD100" s="769"/>
      <c r="QPE100" s="769"/>
      <c r="QPF100" s="769"/>
      <c r="QPG100" s="769"/>
      <c r="QPH100" s="769"/>
      <c r="QPI100" s="769"/>
      <c r="QPJ100" s="769"/>
      <c r="QPK100" s="769"/>
      <c r="QPL100" s="769"/>
      <c r="QPM100" s="769"/>
      <c r="QPN100" s="769"/>
      <c r="QPO100" s="769"/>
      <c r="QPP100" s="769"/>
      <c r="QPQ100" s="769"/>
      <c r="QPR100" s="769"/>
      <c r="QPS100" s="769"/>
      <c r="QPT100" s="769"/>
      <c r="QPU100" s="769"/>
      <c r="QPV100" s="769"/>
      <c r="QPW100" s="769"/>
      <c r="QPX100" s="769"/>
      <c r="QPY100" s="769"/>
      <c r="QPZ100" s="769"/>
      <c r="QQA100" s="769"/>
      <c r="QQB100" s="769"/>
      <c r="QQC100" s="769"/>
      <c r="QQD100" s="769"/>
      <c r="QQE100" s="769"/>
      <c r="QQF100" s="769"/>
      <c r="QQG100" s="769"/>
      <c r="QQH100" s="769"/>
      <c r="QQI100" s="769"/>
      <c r="QQJ100" s="769"/>
      <c r="QQK100" s="769"/>
      <c r="QQL100" s="769"/>
      <c r="QQM100" s="769"/>
      <c r="QQN100" s="769"/>
      <c r="QQO100" s="769"/>
      <c r="QQP100" s="769"/>
      <c r="QQQ100" s="769"/>
      <c r="QQR100" s="769"/>
      <c r="QQS100" s="769"/>
      <c r="QQT100" s="769"/>
      <c r="QQU100" s="769"/>
      <c r="QQV100" s="769"/>
      <c r="QQW100" s="769"/>
      <c r="QQX100" s="769"/>
      <c r="QQY100" s="769"/>
      <c r="QQZ100" s="769"/>
      <c r="QRA100" s="769"/>
      <c r="QRB100" s="769"/>
      <c r="QRC100" s="769"/>
      <c r="QRD100" s="769"/>
      <c r="QRE100" s="769"/>
      <c r="QRF100" s="769"/>
      <c r="QRG100" s="769"/>
      <c r="QRH100" s="769"/>
      <c r="QRI100" s="769"/>
      <c r="QRJ100" s="769"/>
      <c r="QRK100" s="769"/>
      <c r="QRL100" s="769"/>
      <c r="QRM100" s="769"/>
      <c r="QRN100" s="769"/>
      <c r="QRO100" s="769"/>
      <c r="QRP100" s="769"/>
      <c r="QRQ100" s="769"/>
      <c r="QRR100" s="769"/>
      <c r="QRS100" s="769"/>
      <c r="QRT100" s="769"/>
      <c r="QRU100" s="769"/>
      <c r="QRV100" s="769"/>
      <c r="QRW100" s="769"/>
      <c r="QRX100" s="769"/>
      <c r="QRY100" s="769"/>
      <c r="QRZ100" s="769"/>
      <c r="QSA100" s="769"/>
      <c r="QSB100" s="769"/>
      <c r="QSC100" s="769"/>
      <c r="QSD100" s="769"/>
      <c r="QSE100" s="769"/>
      <c r="QSF100" s="769"/>
      <c r="QSG100" s="769"/>
      <c r="QSH100" s="769"/>
      <c r="QSI100" s="769"/>
      <c r="QSJ100" s="769"/>
      <c r="QSK100" s="769"/>
      <c r="QSL100" s="769"/>
      <c r="QSM100" s="769"/>
      <c r="QSN100" s="769"/>
      <c r="QSO100" s="769"/>
      <c r="QSP100" s="769"/>
      <c r="QSQ100" s="769"/>
      <c r="QSR100" s="769"/>
      <c r="QSS100" s="769"/>
      <c r="QST100" s="769"/>
      <c r="QSU100" s="769"/>
      <c r="QSV100" s="769"/>
      <c r="QSW100" s="769"/>
      <c r="QSX100" s="769"/>
      <c r="QSY100" s="769"/>
      <c r="QSZ100" s="769"/>
      <c r="QTA100" s="769"/>
      <c r="QTB100" s="769"/>
      <c r="QTC100" s="769"/>
      <c r="QTD100" s="769"/>
      <c r="QTE100" s="769"/>
      <c r="QTF100" s="769"/>
      <c r="QTG100" s="769"/>
      <c r="QTH100" s="769"/>
      <c r="QTI100" s="769"/>
      <c r="QTJ100" s="769"/>
      <c r="QTK100" s="769"/>
      <c r="QTL100" s="769"/>
      <c r="QTM100" s="769"/>
      <c r="QTN100" s="769"/>
      <c r="QTO100" s="769"/>
      <c r="QTP100" s="769"/>
      <c r="QTQ100" s="769"/>
      <c r="QTR100" s="769"/>
      <c r="QTS100" s="769"/>
      <c r="QTT100" s="769"/>
      <c r="QTU100" s="769"/>
      <c r="QTV100" s="769"/>
      <c r="QTW100" s="769"/>
      <c r="QTX100" s="769"/>
      <c r="QTY100" s="769"/>
      <c r="QTZ100" s="769"/>
      <c r="QUA100" s="769"/>
      <c r="QUB100" s="769"/>
      <c r="QUC100" s="769"/>
      <c r="QUD100" s="769"/>
      <c r="QUE100" s="769"/>
      <c r="QUF100" s="769"/>
      <c r="QUG100" s="769"/>
      <c r="QUH100" s="769"/>
      <c r="QUI100" s="769"/>
      <c r="QUJ100" s="769"/>
      <c r="QUK100" s="769"/>
      <c r="QUL100" s="769"/>
      <c r="QUM100" s="769"/>
      <c r="QUN100" s="769"/>
      <c r="QUO100" s="769"/>
      <c r="QUP100" s="769"/>
      <c r="QUQ100" s="769"/>
      <c r="QUR100" s="769"/>
      <c r="QUS100" s="769"/>
      <c r="QUT100" s="769"/>
      <c r="QUU100" s="769"/>
      <c r="QUV100" s="769"/>
      <c r="QUW100" s="769"/>
      <c r="QUX100" s="769"/>
      <c r="QUY100" s="769"/>
      <c r="QUZ100" s="769"/>
      <c r="QVA100" s="769"/>
      <c r="QVB100" s="769"/>
      <c r="QVC100" s="769"/>
      <c r="QVD100" s="769"/>
      <c r="QVE100" s="769"/>
      <c r="QVF100" s="769"/>
      <c r="QVG100" s="769"/>
      <c r="QVH100" s="769"/>
      <c r="QVI100" s="769"/>
      <c r="QVJ100" s="769"/>
      <c r="QVK100" s="769"/>
      <c r="QVL100" s="769"/>
      <c r="QVM100" s="769"/>
      <c r="QVN100" s="769"/>
      <c r="QVO100" s="769"/>
      <c r="QVP100" s="769"/>
      <c r="QVQ100" s="769"/>
      <c r="QVR100" s="769"/>
      <c r="QVS100" s="769"/>
      <c r="QVT100" s="769"/>
      <c r="QVU100" s="769"/>
      <c r="QVV100" s="769"/>
      <c r="QVW100" s="769"/>
      <c r="QVX100" s="769"/>
      <c r="QVY100" s="769"/>
      <c r="QVZ100" s="769"/>
      <c r="QWA100" s="769"/>
      <c r="QWB100" s="769"/>
      <c r="QWC100" s="769"/>
      <c r="QWD100" s="769"/>
      <c r="QWE100" s="769"/>
      <c r="QWF100" s="769"/>
      <c r="QWG100" s="769"/>
      <c r="QWH100" s="769"/>
      <c r="QWI100" s="769"/>
      <c r="QWJ100" s="769"/>
      <c r="QWK100" s="769"/>
      <c r="QWL100" s="769"/>
      <c r="QWM100" s="769"/>
      <c r="QWN100" s="769"/>
      <c r="QWO100" s="769"/>
      <c r="QWP100" s="769"/>
      <c r="QWQ100" s="769"/>
      <c r="QWR100" s="769"/>
      <c r="QWS100" s="769"/>
      <c r="QWT100" s="769"/>
      <c r="QWU100" s="769"/>
      <c r="QWV100" s="769"/>
      <c r="QWW100" s="769"/>
      <c r="QWX100" s="769"/>
      <c r="QWY100" s="769"/>
      <c r="QWZ100" s="769"/>
      <c r="QXA100" s="769"/>
      <c r="QXB100" s="769"/>
      <c r="QXC100" s="769"/>
      <c r="QXD100" s="769"/>
      <c r="QXE100" s="769"/>
      <c r="QXF100" s="769"/>
      <c r="QXG100" s="769"/>
      <c r="QXH100" s="769"/>
      <c r="QXI100" s="769"/>
      <c r="QXJ100" s="769"/>
      <c r="QXK100" s="769"/>
      <c r="QXL100" s="769"/>
      <c r="QXM100" s="769"/>
      <c r="QXN100" s="769"/>
      <c r="QXO100" s="769"/>
      <c r="QXP100" s="769"/>
      <c r="QXQ100" s="769"/>
      <c r="QXR100" s="769"/>
      <c r="QXS100" s="769"/>
      <c r="QXT100" s="769"/>
      <c r="QXU100" s="769"/>
      <c r="QXV100" s="769"/>
      <c r="QXW100" s="769"/>
      <c r="QXX100" s="769"/>
      <c r="QXY100" s="769"/>
      <c r="QXZ100" s="769"/>
      <c r="QYA100" s="769"/>
      <c r="QYB100" s="769"/>
      <c r="QYC100" s="769"/>
      <c r="QYD100" s="769"/>
      <c r="QYE100" s="769"/>
      <c r="QYF100" s="769"/>
      <c r="QYG100" s="769"/>
      <c r="QYH100" s="769"/>
      <c r="QYI100" s="769"/>
      <c r="QYJ100" s="769"/>
      <c r="QYK100" s="769"/>
      <c r="QYL100" s="769"/>
      <c r="QYM100" s="769"/>
      <c r="QYN100" s="769"/>
      <c r="QYO100" s="769"/>
      <c r="QYP100" s="769"/>
      <c r="QYQ100" s="769"/>
      <c r="QYR100" s="769"/>
      <c r="QYS100" s="769"/>
      <c r="QYT100" s="769"/>
      <c r="QYU100" s="769"/>
      <c r="QYV100" s="769"/>
      <c r="QYW100" s="769"/>
      <c r="QYX100" s="769"/>
      <c r="QYY100" s="769"/>
      <c r="QYZ100" s="769"/>
      <c r="QZA100" s="769"/>
      <c r="QZB100" s="769"/>
      <c r="QZC100" s="769"/>
      <c r="QZD100" s="769"/>
      <c r="QZE100" s="769"/>
      <c r="QZF100" s="769"/>
      <c r="QZG100" s="769"/>
      <c r="QZH100" s="769"/>
      <c r="QZI100" s="769"/>
      <c r="QZJ100" s="769"/>
      <c r="QZK100" s="769"/>
      <c r="QZL100" s="769"/>
      <c r="QZM100" s="769"/>
      <c r="QZN100" s="769"/>
      <c r="QZO100" s="769"/>
      <c r="QZP100" s="769"/>
      <c r="QZQ100" s="769"/>
      <c r="QZR100" s="769"/>
      <c r="QZS100" s="769"/>
      <c r="QZT100" s="769"/>
      <c r="QZU100" s="769"/>
      <c r="QZV100" s="769"/>
      <c r="QZW100" s="769"/>
      <c r="QZX100" s="769"/>
      <c r="QZY100" s="769"/>
      <c r="QZZ100" s="769"/>
      <c r="RAA100" s="769"/>
      <c r="RAB100" s="769"/>
      <c r="RAC100" s="769"/>
      <c r="RAD100" s="769"/>
      <c r="RAE100" s="769"/>
      <c r="RAF100" s="769"/>
      <c r="RAG100" s="769"/>
      <c r="RAH100" s="769"/>
      <c r="RAI100" s="769"/>
      <c r="RAJ100" s="769"/>
      <c r="RAK100" s="769"/>
      <c r="RAL100" s="769"/>
      <c r="RAM100" s="769"/>
      <c r="RAN100" s="769"/>
      <c r="RAO100" s="769"/>
      <c r="RAP100" s="769"/>
      <c r="RAQ100" s="769"/>
      <c r="RAR100" s="769"/>
      <c r="RAS100" s="769"/>
      <c r="RAT100" s="769"/>
      <c r="RAU100" s="769"/>
      <c r="RAV100" s="769"/>
      <c r="RAW100" s="769"/>
      <c r="RAX100" s="769"/>
      <c r="RAY100" s="769"/>
      <c r="RAZ100" s="769"/>
      <c r="RBA100" s="769"/>
      <c r="RBB100" s="769"/>
      <c r="RBC100" s="769"/>
      <c r="RBD100" s="769"/>
      <c r="RBE100" s="769"/>
      <c r="RBF100" s="769"/>
      <c r="RBG100" s="769"/>
      <c r="RBH100" s="769"/>
      <c r="RBI100" s="769"/>
      <c r="RBJ100" s="769"/>
      <c r="RBK100" s="769"/>
      <c r="RBL100" s="769"/>
      <c r="RBM100" s="769"/>
      <c r="RBN100" s="769"/>
      <c r="RBO100" s="769"/>
      <c r="RBP100" s="769"/>
      <c r="RBQ100" s="769"/>
      <c r="RBR100" s="769"/>
      <c r="RBS100" s="769"/>
      <c r="RBT100" s="769"/>
      <c r="RBU100" s="769"/>
      <c r="RBV100" s="769"/>
      <c r="RBW100" s="769"/>
      <c r="RBX100" s="769"/>
      <c r="RBY100" s="769"/>
      <c r="RBZ100" s="769"/>
      <c r="RCA100" s="769"/>
      <c r="RCB100" s="769"/>
      <c r="RCC100" s="769"/>
      <c r="RCD100" s="769"/>
      <c r="RCE100" s="769"/>
      <c r="RCF100" s="769"/>
      <c r="RCG100" s="769"/>
      <c r="RCH100" s="769"/>
      <c r="RCI100" s="769"/>
      <c r="RCJ100" s="769"/>
      <c r="RCK100" s="769"/>
      <c r="RCL100" s="769"/>
      <c r="RCM100" s="769"/>
      <c r="RCN100" s="769"/>
      <c r="RCO100" s="769"/>
      <c r="RCP100" s="769"/>
      <c r="RCQ100" s="769"/>
      <c r="RCR100" s="769"/>
      <c r="RCS100" s="769"/>
      <c r="RCT100" s="769"/>
      <c r="RCU100" s="769"/>
      <c r="RCV100" s="769"/>
      <c r="RCW100" s="769"/>
      <c r="RCX100" s="769"/>
      <c r="RCY100" s="769"/>
      <c r="RCZ100" s="769"/>
      <c r="RDA100" s="769"/>
      <c r="RDB100" s="769"/>
      <c r="RDC100" s="769"/>
      <c r="RDD100" s="769"/>
      <c r="RDE100" s="769"/>
      <c r="RDF100" s="769"/>
      <c r="RDG100" s="769"/>
      <c r="RDH100" s="769"/>
      <c r="RDI100" s="769"/>
      <c r="RDJ100" s="769"/>
      <c r="RDK100" s="769"/>
      <c r="RDL100" s="769"/>
      <c r="RDM100" s="769"/>
      <c r="RDN100" s="769"/>
      <c r="RDO100" s="769"/>
      <c r="RDP100" s="769"/>
      <c r="RDQ100" s="769"/>
      <c r="RDR100" s="769"/>
      <c r="RDS100" s="769"/>
      <c r="RDT100" s="769"/>
      <c r="RDU100" s="769"/>
      <c r="RDV100" s="769"/>
      <c r="RDW100" s="769"/>
      <c r="RDX100" s="769"/>
      <c r="RDY100" s="769"/>
      <c r="RDZ100" s="769"/>
      <c r="REA100" s="769"/>
      <c r="REB100" s="769"/>
      <c r="REC100" s="769"/>
      <c r="RED100" s="769"/>
      <c r="REE100" s="769"/>
      <c r="REF100" s="769"/>
      <c r="REG100" s="769"/>
      <c r="REH100" s="769"/>
      <c r="REI100" s="769"/>
      <c r="REJ100" s="769"/>
      <c r="REK100" s="769"/>
      <c r="REL100" s="769"/>
      <c r="REM100" s="769"/>
      <c r="REN100" s="769"/>
      <c r="REO100" s="769"/>
      <c r="REP100" s="769"/>
      <c r="REQ100" s="769"/>
      <c r="RER100" s="769"/>
      <c r="RES100" s="769"/>
      <c r="RET100" s="769"/>
      <c r="REU100" s="769"/>
      <c r="REV100" s="769"/>
      <c r="REW100" s="769"/>
      <c r="REX100" s="769"/>
      <c r="REY100" s="769"/>
      <c r="REZ100" s="769"/>
      <c r="RFA100" s="769"/>
      <c r="RFB100" s="769"/>
      <c r="RFC100" s="769"/>
      <c r="RFD100" s="769"/>
      <c r="RFE100" s="769"/>
      <c r="RFF100" s="769"/>
      <c r="RFG100" s="769"/>
      <c r="RFH100" s="769"/>
      <c r="RFI100" s="769"/>
      <c r="RFJ100" s="769"/>
      <c r="RFK100" s="769"/>
      <c r="RFL100" s="769"/>
      <c r="RFM100" s="769"/>
      <c r="RFN100" s="769"/>
      <c r="RFO100" s="769"/>
      <c r="RFP100" s="769"/>
      <c r="RFQ100" s="769"/>
      <c r="RFR100" s="769"/>
      <c r="RFS100" s="769"/>
      <c r="RFT100" s="769"/>
      <c r="RFU100" s="769"/>
      <c r="RFV100" s="769"/>
      <c r="RFW100" s="769"/>
      <c r="RFX100" s="769"/>
      <c r="RFY100" s="769"/>
      <c r="RFZ100" s="769"/>
      <c r="RGA100" s="769"/>
      <c r="RGB100" s="769"/>
      <c r="RGC100" s="769"/>
      <c r="RGD100" s="769"/>
      <c r="RGE100" s="769"/>
      <c r="RGF100" s="769"/>
      <c r="RGG100" s="769"/>
      <c r="RGH100" s="769"/>
      <c r="RGI100" s="769"/>
      <c r="RGJ100" s="769"/>
      <c r="RGK100" s="769"/>
      <c r="RGL100" s="769"/>
      <c r="RGM100" s="769"/>
      <c r="RGN100" s="769"/>
      <c r="RGO100" s="769"/>
      <c r="RGP100" s="769"/>
      <c r="RGQ100" s="769"/>
      <c r="RGR100" s="769"/>
      <c r="RGS100" s="769"/>
      <c r="RGT100" s="769"/>
      <c r="RGU100" s="769"/>
      <c r="RGV100" s="769"/>
      <c r="RGW100" s="769"/>
      <c r="RGX100" s="769"/>
      <c r="RGY100" s="769"/>
      <c r="RGZ100" s="769"/>
      <c r="RHA100" s="769"/>
      <c r="RHB100" s="769"/>
      <c r="RHC100" s="769"/>
      <c r="RHD100" s="769"/>
      <c r="RHE100" s="769"/>
      <c r="RHF100" s="769"/>
      <c r="RHG100" s="769"/>
      <c r="RHH100" s="769"/>
      <c r="RHI100" s="769"/>
      <c r="RHJ100" s="769"/>
      <c r="RHK100" s="769"/>
      <c r="RHL100" s="769"/>
      <c r="RHM100" s="769"/>
      <c r="RHN100" s="769"/>
      <c r="RHO100" s="769"/>
      <c r="RHP100" s="769"/>
      <c r="RHQ100" s="769"/>
      <c r="RHR100" s="769"/>
      <c r="RHS100" s="769"/>
      <c r="RHT100" s="769"/>
      <c r="RHU100" s="769"/>
      <c r="RHV100" s="769"/>
      <c r="RHW100" s="769"/>
      <c r="RHX100" s="769"/>
      <c r="RHY100" s="769"/>
      <c r="RHZ100" s="769"/>
      <c r="RIA100" s="769"/>
      <c r="RIB100" s="769"/>
      <c r="RIC100" s="769"/>
      <c r="RID100" s="769"/>
      <c r="RIE100" s="769"/>
      <c r="RIF100" s="769"/>
      <c r="RIG100" s="769"/>
      <c r="RIH100" s="769"/>
      <c r="RII100" s="769"/>
      <c r="RIJ100" s="769"/>
      <c r="RIK100" s="769"/>
      <c r="RIL100" s="769"/>
      <c r="RIM100" s="769"/>
      <c r="RIN100" s="769"/>
      <c r="RIO100" s="769"/>
      <c r="RIP100" s="769"/>
      <c r="RIQ100" s="769"/>
      <c r="RIR100" s="769"/>
      <c r="RIS100" s="769"/>
      <c r="RIT100" s="769"/>
      <c r="RIU100" s="769"/>
      <c r="RIV100" s="769"/>
      <c r="RIW100" s="769"/>
      <c r="RIX100" s="769"/>
      <c r="RIY100" s="769"/>
      <c r="RIZ100" s="769"/>
      <c r="RJA100" s="769"/>
      <c r="RJB100" s="769"/>
      <c r="RJC100" s="769"/>
      <c r="RJD100" s="769"/>
      <c r="RJE100" s="769"/>
      <c r="RJF100" s="769"/>
      <c r="RJG100" s="769"/>
      <c r="RJH100" s="769"/>
      <c r="RJI100" s="769"/>
      <c r="RJJ100" s="769"/>
      <c r="RJK100" s="769"/>
      <c r="RJL100" s="769"/>
      <c r="RJM100" s="769"/>
      <c r="RJN100" s="769"/>
      <c r="RJO100" s="769"/>
      <c r="RJP100" s="769"/>
      <c r="RJQ100" s="769"/>
      <c r="RJR100" s="769"/>
      <c r="RJS100" s="769"/>
      <c r="RJT100" s="769"/>
      <c r="RJU100" s="769"/>
      <c r="RJV100" s="769"/>
      <c r="RJW100" s="769"/>
      <c r="RJX100" s="769"/>
      <c r="RJY100" s="769"/>
      <c r="RJZ100" s="769"/>
      <c r="RKA100" s="769"/>
      <c r="RKB100" s="769"/>
      <c r="RKC100" s="769"/>
      <c r="RKD100" s="769"/>
      <c r="RKE100" s="769"/>
      <c r="RKF100" s="769"/>
      <c r="RKG100" s="769"/>
      <c r="RKH100" s="769"/>
      <c r="RKI100" s="769"/>
      <c r="RKJ100" s="769"/>
      <c r="RKK100" s="769"/>
      <c r="RKL100" s="769"/>
      <c r="RKM100" s="769"/>
      <c r="RKN100" s="769"/>
      <c r="RKO100" s="769"/>
      <c r="RKP100" s="769"/>
      <c r="RKQ100" s="769"/>
      <c r="RKR100" s="769"/>
      <c r="RKS100" s="769"/>
      <c r="RKT100" s="769"/>
      <c r="RKU100" s="769"/>
      <c r="RKV100" s="769"/>
      <c r="RKW100" s="769"/>
      <c r="RKX100" s="769"/>
      <c r="RKY100" s="769"/>
      <c r="RKZ100" s="769"/>
      <c r="RLA100" s="769"/>
      <c r="RLB100" s="769"/>
      <c r="RLC100" s="769"/>
      <c r="RLD100" s="769"/>
      <c r="RLE100" s="769"/>
      <c r="RLF100" s="769"/>
      <c r="RLG100" s="769"/>
      <c r="RLH100" s="769"/>
      <c r="RLI100" s="769"/>
      <c r="RLJ100" s="769"/>
      <c r="RLK100" s="769"/>
      <c r="RLL100" s="769"/>
      <c r="RLM100" s="769"/>
      <c r="RLN100" s="769"/>
      <c r="RLO100" s="769"/>
      <c r="RLP100" s="769"/>
      <c r="RLQ100" s="769"/>
      <c r="RLR100" s="769"/>
      <c r="RLS100" s="769"/>
      <c r="RLT100" s="769"/>
      <c r="RLU100" s="769"/>
      <c r="RLV100" s="769"/>
      <c r="RLW100" s="769"/>
      <c r="RLX100" s="769"/>
      <c r="RLY100" s="769"/>
      <c r="RLZ100" s="769"/>
      <c r="RMA100" s="769"/>
      <c r="RMB100" s="769"/>
      <c r="RMC100" s="769"/>
      <c r="RMD100" s="769"/>
      <c r="RME100" s="769"/>
      <c r="RMF100" s="769"/>
      <c r="RMG100" s="769"/>
      <c r="RMH100" s="769"/>
      <c r="RMI100" s="769"/>
      <c r="RMJ100" s="769"/>
      <c r="RMK100" s="769"/>
      <c r="RML100" s="769"/>
      <c r="RMM100" s="769"/>
      <c r="RMN100" s="769"/>
      <c r="RMO100" s="769"/>
      <c r="RMP100" s="769"/>
      <c r="RMQ100" s="769"/>
      <c r="RMR100" s="769"/>
      <c r="RMS100" s="769"/>
      <c r="RMT100" s="769"/>
      <c r="RMU100" s="769"/>
      <c r="RMV100" s="769"/>
      <c r="RMW100" s="769"/>
      <c r="RMX100" s="769"/>
      <c r="RMY100" s="769"/>
      <c r="RMZ100" s="769"/>
      <c r="RNA100" s="769"/>
      <c r="RNB100" s="769"/>
      <c r="RNC100" s="769"/>
      <c r="RND100" s="769"/>
      <c r="RNE100" s="769"/>
      <c r="RNF100" s="769"/>
      <c r="RNG100" s="769"/>
      <c r="RNH100" s="769"/>
      <c r="RNI100" s="769"/>
      <c r="RNJ100" s="769"/>
      <c r="RNK100" s="769"/>
      <c r="RNL100" s="769"/>
      <c r="RNM100" s="769"/>
      <c r="RNN100" s="769"/>
      <c r="RNO100" s="769"/>
      <c r="RNP100" s="769"/>
      <c r="RNQ100" s="769"/>
      <c r="RNR100" s="769"/>
      <c r="RNS100" s="769"/>
      <c r="RNT100" s="769"/>
      <c r="RNU100" s="769"/>
      <c r="RNV100" s="769"/>
      <c r="RNW100" s="769"/>
      <c r="RNX100" s="769"/>
      <c r="RNY100" s="769"/>
      <c r="RNZ100" s="769"/>
      <c r="ROA100" s="769"/>
      <c r="ROB100" s="769"/>
      <c r="ROC100" s="769"/>
      <c r="ROD100" s="769"/>
      <c r="ROE100" s="769"/>
      <c r="ROF100" s="769"/>
      <c r="ROG100" s="769"/>
      <c r="ROH100" s="769"/>
      <c r="ROI100" s="769"/>
      <c r="ROJ100" s="769"/>
      <c r="ROK100" s="769"/>
      <c r="ROL100" s="769"/>
      <c r="ROM100" s="769"/>
      <c r="RON100" s="769"/>
      <c r="ROO100" s="769"/>
      <c r="ROP100" s="769"/>
      <c r="ROQ100" s="769"/>
      <c r="ROR100" s="769"/>
      <c r="ROS100" s="769"/>
      <c r="ROT100" s="769"/>
      <c r="ROU100" s="769"/>
      <c r="ROV100" s="769"/>
      <c r="ROW100" s="769"/>
      <c r="ROX100" s="769"/>
      <c r="ROY100" s="769"/>
      <c r="ROZ100" s="769"/>
      <c r="RPA100" s="769"/>
      <c r="RPB100" s="769"/>
      <c r="RPC100" s="769"/>
      <c r="RPD100" s="769"/>
      <c r="RPE100" s="769"/>
      <c r="RPF100" s="769"/>
      <c r="RPG100" s="769"/>
      <c r="RPH100" s="769"/>
      <c r="RPI100" s="769"/>
      <c r="RPJ100" s="769"/>
      <c r="RPK100" s="769"/>
      <c r="RPL100" s="769"/>
      <c r="RPM100" s="769"/>
      <c r="RPN100" s="769"/>
      <c r="RPO100" s="769"/>
      <c r="RPP100" s="769"/>
      <c r="RPQ100" s="769"/>
      <c r="RPR100" s="769"/>
      <c r="RPS100" s="769"/>
      <c r="RPT100" s="769"/>
      <c r="RPU100" s="769"/>
      <c r="RPV100" s="769"/>
      <c r="RPW100" s="769"/>
      <c r="RPX100" s="769"/>
      <c r="RPY100" s="769"/>
      <c r="RPZ100" s="769"/>
      <c r="RQA100" s="769"/>
      <c r="RQB100" s="769"/>
      <c r="RQC100" s="769"/>
      <c r="RQD100" s="769"/>
      <c r="RQE100" s="769"/>
      <c r="RQF100" s="769"/>
      <c r="RQG100" s="769"/>
      <c r="RQH100" s="769"/>
      <c r="RQI100" s="769"/>
      <c r="RQJ100" s="769"/>
      <c r="RQK100" s="769"/>
      <c r="RQL100" s="769"/>
      <c r="RQM100" s="769"/>
      <c r="RQN100" s="769"/>
      <c r="RQO100" s="769"/>
      <c r="RQP100" s="769"/>
      <c r="RQQ100" s="769"/>
      <c r="RQR100" s="769"/>
      <c r="RQS100" s="769"/>
      <c r="RQT100" s="769"/>
      <c r="RQU100" s="769"/>
      <c r="RQV100" s="769"/>
      <c r="RQW100" s="769"/>
      <c r="RQX100" s="769"/>
      <c r="RQY100" s="769"/>
      <c r="RQZ100" s="769"/>
      <c r="RRA100" s="769"/>
      <c r="RRB100" s="769"/>
      <c r="RRC100" s="769"/>
      <c r="RRD100" s="769"/>
      <c r="RRE100" s="769"/>
      <c r="RRF100" s="769"/>
      <c r="RRG100" s="769"/>
      <c r="RRH100" s="769"/>
      <c r="RRI100" s="769"/>
      <c r="RRJ100" s="769"/>
      <c r="RRK100" s="769"/>
      <c r="RRL100" s="769"/>
      <c r="RRM100" s="769"/>
      <c r="RRN100" s="769"/>
      <c r="RRO100" s="769"/>
      <c r="RRP100" s="769"/>
      <c r="RRQ100" s="769"/>
      <c r="RRR100" s="769"/>
      <c r="RRS100" s="769"/>
      <c r="RRT100" s="769"/>
      <c r="RRU100" s="769"/>
      <c r="RRV100" s="769"/>
      <c r="RRW100" s="769"/>
      <c r="RRX100" s="769"/>
      <c r="RRY100" s="769"/>
      <c r="RRZ100" s="769"/>
      <c r="RSA100" s="769"/>
      <c r="RSB100" s="769"/>
      <c r="RSC100" s="769"/>
      <c r="RSD100" s="769"/>
      <c r="RSE100" s="769"/>
      <c r="RSF100" s="769"/>
      <c r="RSG100" s="769"/>
      <c r="RSH100" s="769"/>
      <c r="RSI100" s="769"/>
      <c r="RSJ100" s="769"/>
      <c r="RSK100" s="769"/>
      <c r="RSL100" s="769"/>
      <c r="RSM100" s="769"/>
      <c r="RSN100" s="769"/>
      <c r="RSO100" s="769"/>
      <c r="RSP100" s="769"/>
      <c r="RSQ100" s="769"/>
      <c r="RSR100" s="769"/>
      <c r="RSS100" s="769"/>
      <c r="RST100" s="769"/>
      <c r="RSU100" s="769"/>
      <c r="RSV100" s="769"/>
      <c r="RSW100" s="769"/>
      <c r="RSX100" s="769"/>
      <c r="RSY100" s="769"/>
      <c r="RSZ100" s="769"/>
      <c r="RTA100" s="769"/>
      <c r="RTB100" s="769"/>
      <c r="RTC100" s="769"/>
      <c r="RTD100" s="769"/>
      <c r="RTE100" s="769"/>
      <c r="RTF100" s="769"/>
      <c r="RTG100" s="769"/>
      <c r="RTH100" s="769"/>
      <c r="RTI100" s="769"/>
      <c r="RTJ100" s="769"/>
      <c r="RTK100" s="769"/>
      <c r="RTL100" s="769"/>
      <c r="RTM100" s="769"/>
      <c r="RTN100" s="769"/>
      <c r="RTO100" s="769"/>
      <c r="RTP100" s="769"/>
      <c r="RTQ100" s="769"/>
      <c r="RTR100" s="769"/>
      <c r="RTS100" s="769"/>
      <c r="RTT100" s="769"/>
      <c r="RTU100" s="769"/>
      <c r="RTV100" s="769"/>
      <c r="RTW100" s="769"/>
      <c r="RTX100" s="769"/>
      <c r="RTY100" s="769"/>
      <c r="RTZ100" s="769"/>
      <c r="RUA100" s="769"/>
      <c r="RUB100" s="769"/>
      <c r="RUC100" s="769"/>
      <c r="RUD100" s="769"/>
      <c r="RUE100" s="769"/>
      <c r="RUF100" s="769"/>
      <c r="RUG100" s="769"/>
      <c r="RUH100" s="769"/>
      <c r="RUI100" s="769"/>
      <c r="RUJ100" s="769"/>
      <c r="RUK100" s="769"/>
      <c r="RUL100" s="769"/>
      <c r="RUM100" s="769"/>
      <c r="RUN100" s="769"/>
      <c r="RUO100" s="769"/>
      <c r="RUP100" s="769"/>
      <c r="RUQ100" s="769"/>
      <c r="RUR100" s="769"/>
      <c r="RUS100" s="769"/>
      <c r="RUT100" s="769"/>
      <c r="RUU100" s="769"/>
      <c r="RUV100" s="769"/>
      <c r="RUW100" s="769"/>
      <c r="RUX100" s="769"/>
      <c r="RUY100" s="769"/>
      <c r="RUZ100" s="769"/>
      <c r="RVA100" s="769"/>
      <c r="RVB100" s="769"/>
      <c r="RVC100" s="769"/>
      <c r="RVD100" s="769"/>
      <c r="RVE100" s="769"/>
      <c r="RVF100" s="769"/>
      <c r="RVG100" s="769"/>
      <c r="RVH100" s="769"/>
      <c r="RVI100" s="769"/>
      <c r="RVJ100" s="769"/>
      <c r="RVK100" s="769"/>
      <c r="RVL100" s="769"/>
      <c r="RVM100" s="769"/>
      <c r="RVN100" s="769"/>
      <c r="RVO100" s="769"/>
      <c r="RVP100" s="769"/>
      <c r="RVQ100" s="769"/>
      <c r="RVR100" s="769"/>
      <c r="RVS100" s="769"/>
      <c r="RVT100" s="769"/>
      <c r="RVU100" s="769"/>
      <c r="RVV100" s="769"/>
      <c r="RVW100" s="769"/>
      <c r="RVX100" s="769"/>
      <c r="RVY100" s="769"/>
      <c r="RVZ100" s="769"/>
      <c r="RWA100" s="769"/>
      <c r="RWB100" s="769"/>
      <c r="RWC100" s="769"/>
      <c r="RWD100" s="769"/>
      <c r="RWE100" s="769"/>
      <c r="RWF100" s="769"/>
      <c r="RWG100" s="769"/>
      <c r="RWH100" s="769"/>
      <c r="RWI100" s="769"/>
      <c r="RWJ100" s="769"/>
      <c r="RWK100" s="769"/>
      <c r="RWL100" s="769"/>
      <c r="RWM100" s="769"/>
      <c r="RWN100" s="769"/>
      <c r="RWO100" s="769"/>
      <c r="RWP100" s="769"/>
      <c r="RWQ100" s="769"/>
      <c r="RWR100" s="769"/>
      <c r="RWS100" s="769"/>
      <c r="RWT100" s="769"/>
      <c r="RWU100" s="769"/>
      <c r="RWV100" s="769"/>
      <c r="RWW100" s="769"/>
      <c r="RWX100" s="769"/>
      <c r="RWY100" s="769"/>
      <c r="RWZ100" s="769"/>
      <c r="RXA100" s="769"/>
      <c r="RXB100" s="769"/>
      <c r="RXC100" s="769"/>
      <c r="RXD100" s="769"/>
      <c r="RXE100" s="769"/>
      <c r="RXF100" s="769"/>
      <c r="RXG100" s="769"/>
      <c r="RXH100" s="769"/>
      <c r="RXI100" s="769"/>
      <c r="RXJ100" s="769"/>
      <c r="RXK100" s="769"/>
      <c r="RXL100" s="769"/>
      <c r="RXM100" s="769"/>
      <c r="RXN100" s="769"/>
      <c r="RXO100" s="769"/>
      <c r="RXP100" s="769"/>
      <c r="RXQ100" s="769"/>
      <c r="RXR100" s="769"/>
      <c r="RXS100" s="769"/>
      <c r="RXT100" s="769"/>
      <c r="RXU100" s="769"/>
      <c r="RXV100" s="769"/>
      <c r="RXW100" s="769"/>
      <c r="RXX100" s="769"/>
      <c r="RXY100" s="769"/>
      <c r="RXZ100" s="769"/>
      <c r="RYA100" s="769"/>
      <c r="RYB100" s="769"/>
      <c r="RYC100" s="769"/>
      <c r="RYD100" s="769"/>
      <c r="RYE100" s="769"/>
      <c r="RYF100" s="769"/>
      <c r="RYG100" s="769"/>
      <c r="RYH100" s="769"/>
      <c r="RYI100" s="769"/>
      <c r="RYJ100" s="769"/>
      <c r="RYK100" s="769"/>
      <c r="RYL100" s="769"/>
      <c r="RYM100" s="769"/>
      <c r="RYN100" s="769"/>
      <c r="RYO100" s="769"/>
      <c r="RYP100" s="769"/>
      <c r="RYQ100" s="769"/>
      <c r="RYR100" s="769"/>
      <c r="RYS100" s="769"/>
      <c r="RYT100" s="769"/>
      <c r="RYU100" s="769"/>
      <c r="RYV100" s="769"/>
      <c r="RYW100" s="769"/>
      <c r="RYX100" s="769"/>
      <c r="RYY100" s="769"/>
      <c r="RYZ100" s="769"/>
      <c r="RZA100" s="769"/>
      <c r="RZB100" s="769"/>
      <c r="RZC100" s="769"/>
      <c r="RZD100" s="769"/>
      <c r="RZE100" s="769"/>
      <c r="RZF100" s="769"/>
      <c r="RZG100" s="769"/>
      <c r="RZH100" s="769"/>
      <c r="RZI100" s="769"/>
      <c r="RZJ100" s="769"/>
      <c r="RZK100" s="769"/>
      <c r="RZL100" s="769"/>
      <c r="RZM100" s="769"/>
      <c r="RZN100" s="769"/>
      <c r="RZO100" s="769"/>
      <c r="RZP100" s="769"/>
      <c r="RZQ100" s="769"/>
      <c r="RZR100" s="769"/>
      <c r="RZS100" s="769"/>
      <c r="RZT100" s="769"/>
      <c r="RZU100" s="769"/>
      <c r="RZV100" s="769"/>
      <c r="RZW100" s="769"/>
      <c r="RZX100" s="769"/>
      <c r="RZY100" s="769"/>
      <c r="RZZ100" s="769"/>
      <c r="SAA100" s="769"/>
      <c r="SAB100" s="769"/>
      <c r="SAC100" s="769"/>
      <c r="SAD100" s="769"/>
      <c r="SAE100" s="769"/>
      <c r="SAF100" s="769"/>
      <c r="SAG100" s="769"/>
      <c r="SAH100" s="769"/>
      <c r="SAI100" s="769"/>
      <c r="SAJ100" s="769"/>
      <c r="SAK100" s="769"/>
      <c r="SAL100" s="769"/>
      <c r="SAM100" s="769"/>
      <c r="SAN100" s="769"/>
      <c r="SAO100" s="769"/>
      <c r="SAP100" s="769"/>
      <c r="SAQ100" s="769"/>
      <c r="SAR100" s="769"/>
      <c r="SAS100" s="769"/>
      <c r="SAT100" s="769"/>
      <c r="SAU100" s="769"/>
      <c r="SAV100" s="769"/>
      <c r="SAW100" s="769"/>
      <c r="SAX100" s="769"/>
      <c r="SAY100" s="769"/>
      <c r="SAZ100" s="769"/>
      <c r="SBA100" s="769"/>
      <c r="SBB100" s="769"/>
      <c r="SBC100" s="769"/>
      <c r="SBD100" s="769"/>
      <c r="SBE100" s="769"/>
      <c r="SBF100" s="769"/>
      <c r="SBG100" s="769"/>
      <c r="SBH100" s="769"/>
      <c r="SBI100" s="769"/>
      <c r="SBJ100" s="769"/>
      <c r="SBK100" s="769"/>
      <c r="SBL100" s="769"/>
      <c r="SBM100" s="769"/>
      <c r="SBN100" s="769"/>
      <c r="SBO100" s="769"/>
      <c r="SBP100" s="769"/>
      <c r="SBQ100" s="769"/>
      <c r="SBR100" s="769"/>
      <c r="SBS100" s="769"/>
      <c r="SBT100" s="769"/>
      <c r="SBU100" s="769"/>
      <c r="SBV100" s="769"/>
      <c r="SBW100" s="769"/>
      <c r="SBX100" s="769"/>
      <c r="SBY100" s="769"/>
      <c r="SBZ100" s="769"/>
      <c r="SCA100" s="769"/>
      <c r="SCB100" s="769"/>
      <c r="SCC100" s="769"/>
      <c r="SCD100" s="769"/>
      <c r="SCE100" s="769"/>
      <c r="SCF100" s="769"/>
      <c r="SCG100" s="769"/>
      <c r="SCH100" s="769"/>
      <c r="SCI100" s="769"/>
      <c r="SCJ100" s="769"/>
      <c r="SCK100" s="769"/>
      <c r="SCL100" s="769"/>
      <c r="SCM100" s="769"/>
      <c r="SCN100" s="769"/>
      <c r="SCO100" s="769"/>
      <c r="SCP100" s="769"/>
      <c r="SCQ100" s="769"/>
      <c r="SCR100" s="769"/>
      <c r="SCS100" s="769"/>
      <c r="SCT100" s="769"/>
      <c r="SCU100" s="769"/>
      <c r="SCV100" s="769"/>
      <c r="SCW100" s="769"/>
      <c r="SCX100" s="769"/>
      <c r="SCY100" s="769"/>
      <c r="SCZ100" s="769"/>
      <c r="SDA100" s="769"/>
      <c r="SDB100" s="769"/>
      <c r="SDC100" s="769"/>
      <c r="SDD100" s="769"/>
      <c r="SDE100" s="769"/>
      <c r="SDF100" s="769"/>
      <c r="SDG100" s="769"/>
      <c r="SDH100" s="769"/>
      <c r="SDI100" s="769"/>
      <c r="SDJ100" s="769"/>
      <c r="SDK100" s="769"/>
      <c r="SDL100" s="769"/>
      <c r="SDM100" s="769"/>
      <c r="SDN100" s="769"/>
      <c r="SDO100" s="769"/>
      <c r="SDP100" s="769"/>
      <c r="SDQ100" s="769"/>
      <c r="SDR100" s="769"/>
      <c r="SDS100" s="769"/>
      <c r="SDT100" s="769"/>
      <c r="SDU100" s="769"/>
      <c r="SDV100" s="769"/>
      <c r="SDW100" s="769"/>
      <c r="SDX100" s="769"/>
      <c r="SDY100" s="769"/>
      <c r="SDZ100" s="769"/>
      <c r="SEA100" s="769"/>
      <c r="SEB100" s="769"/>
      <c r="SEC100" s="769"/>
      <c r="SED100" s="769"/>
      <c r="SEE100" s="769"/>
      <c r="SEF100" s="769"/>
      <c r="SEG100" s="769"/>
      <c r="SEH100" s="769"/>
      <c r="SEI100" s="769"/>
      <c r="SEJ100" s="769"/>
      <c r="SEK100" s="769"/>
      <c r="SEL100" s="769"/>
      <c r="SEM100" s="769"/>
      <c r="SEN100" s="769"/>
      <c r="SEO100" s="769"/>
      <c r="SEP100" s="769"/>
      <c r="SEQ100" s="769"/>
      <c r="SER100" s="769"/>
      <c r="SES100" s="769"/>
      <c r="SET100" s="769"/>
      <c r="SEU100" s="769"/>
      <c r="SEV100" s="769"/>
      <c r="SEW100" s="769"/>
      <c r="SEX100" s="769"/>
      <c r="SEY100" s="769"/>
      <c r="SEZ100" s="769"/>
      <c r="SFA100" s="769"/>
      <c r="SFB100" s="769"/>
      <c r="SFC100" s="769"/>
      <c r="SFD100" s="769"/>
      <c r="SFE100" s="769"/>
      <c r="SFF100" s="769"/>
      <c r="SFG100" s="769"/>
      <c r="SFH100" s="769"/>
      <c r="SFI100" s="769"/>
      <c r="SFJ100" s="769"/>
      <c r="SFK100" s="769"/>
      <c r="SFL100" s="769"/>
      <c r="SFM100" s="769"/>
      <c r="SFN100" s="769"/>
      <c r="SFO100" s="769"/>
      <c r="SFP100" s="769"/>
      <c r="SFQ100" s="769"/>
      <c r="SFR100" s="769"/>
      <c r="SFS100" s="769"/>
      <c r="SFT100" s="769"/>
      <c r="SFU100" s="769"/>
      <c r="SFV100" s="769"/>
      <c r="SFW100" s="769"/>
      <c r="SFX100" s="769"/>
      <c r="SFY100" s="769"/>
      <c r="SFZ100" s="769"/>
      <c r="SGA100" s="769"/>
      <c r="SGB100" s="769"/>
      <c r="SGC100" s="769"/>
      <c r="SGD100" s="769"/>
      <c r="SGE100" s="769"/>
      <c r="SGF100" s="769"/>
      <c r="SGG100" s="769"/>
      <c r="SGH100" s="769"/>
      <c r="SGI100" s="769"/>
      <c r="SGJ100" s="769"/>
      <c r="SGK100" s="769"/>
      <c r="SGL100" s="769"/>
      <c r="SGM100" s="769"/>
      <c r="SGN100" s="769"/>
      <c r="SGO100" s="769"/>
      <c r="SGP100" s="769"/>
      <c r="SGQ100" s="769"/>
      <c r="SGR100" s="769"/>
      <c r="SGS100" s="769"/>
      <c r="SGT100" s="769"/>
      <c r="SGU100" s="769"/>
      <c r="SGV100" s="769"/>
      <c r="SGW100" s="769"/>
      <c r="SGX100" s="769"/>
      <c r="SGY100" s="769"/>
      <c r="SGZ100" s="769"/>
      <c r="SHA100" s="769"/>
      <c r="SHB100" s="769"/>
      <c r="SHC100" s="769"/>
      <c r="SHD100" s="769"/>
      <c r="SHE100" s="769"/>
      <c r="SHF100" s="769"/>
      <c r="SHG100" s="769"/>
      <c r="SHH100" s="769"/>
      <c r="SHI100" s="769"/>
      <c r="SHJ100" s="769"/>
      <c r="SHK100" s="769"/>
      <c r="SHL100" s="769"/>
      <c r="SHM100" s="769"/>
      <c r="SHN100" s="769"/>
      <c r="SHO100" s="769"/>
      <c r="SHP100" s="769"/>
      <c r="SHQ100" s="769"/>
      <c r="SHR100" s="769"/>
      <c r="SHS100" s="769"/>
      <c r="SHT100" s="769"/>
      <c r="SHU100" s="769"/>
      <c r="SHV100" s="769"/>
      <c r="SHW100" s="769"/>
      <c r="SHX100" s="769"/>
      <c r="SHY100" s="769"/>
      <c r="SHZ100" s="769"/>
      <c r="SIA100" s="769"/>
      <c r="SIB100" s="769"/>
      <c r="SIC100" s="769"/>
      <c r="SID100" s="769"/>
      <c r="SIE100" s="769"/>
      <c r="SIF100" s="769"/>
      <c r="SIG100" s="769"/>
      <c r="SIH100" s="769"/>
      <c r="SII100" s="769"/>
      <c r="SIJ100" s="769"/>
      <c r="SIK100" s="769"/>
      <c r="SIL100" s="769"/>
      <c r="SIM100" s="769"/>
      <c r="SIN100" s="769"/>
      <c r="SIO100" s="769"/>
      <c r="SIP100" s="769"/>
      <c r="SIQ100" s="769"/>
      <c r="SIR100" s="769"/>
      <c r="SIS100" s="769"/>
      <c r="SIT100" s="769"/>
      <c r="SIU100" s="769"/>
      <c r="SIV100" s="769"/>
      <c r="SIW100" s="769"/>
      <c r="SIX100" s="769"/>
      <c r="SIY100" s="769"/>
      <c r="SIZ100" s="769"/>
      <c r="SJA100" s="769"/>
      <c r="SJB100" s="769"/>
      <c r="SJC100" s="769"/>
      <c r="SJD100" s="769"/>
      <c r="SJE100" s="769"/>
      <c r="SJF100" s="769"/>
      <c r="SJG100" s="769"/>
      <c r="SJH100" s="769"/>
      <c r="SJI100" s="769"/>
      <c r="SJJ100" s="769"/>
      <c r="SJK100" s="769"/>
      <c r="SJL100" s="769"/>
      <c r="SJM100" s="769"/>
      <c r="SJN100" s="769"/>
      <c r="SJO100" s="769"/>
      <c r="SJP100" s="769"/>
      <c r="SJQ100" s="769"/>
      <c r="SJR100" s="769"/>
      <c r="SJS100" s="769"/>
      <c r="SJT100" s="769"/>
      <c r="SJU100" s="769"/>
      <c r="SJV100" s="769"/>
      <c r="SJW100" s="769"/>
      <c r="SJX100" s="769"/>
      <c r="SJY100" s="769"/>
      <c r="SJZ100" s="769"/>
      <c r="SKA100" s="769"/>
      <c r="SKB100" s="769"/>
      <c r="SKC100" s="769"/>
      <c r="SKD100" s="769"/>
      <c r="SKE100" s="769"/>
      <c r="SKF100" s="769"/>
      <c r="SKG100" s="769"/>
      <c r="SKH100" s="769"/>
      <c r="SKI100" s="769"/>
      <c r="SKJ100" s="769"/>
      <c r="SKK100" s="769"/>
      <c r="SKL100" s="769"/>
      <c r="SKM100" s="769"/>
      <c r="SKN100" s="769"/>
      <c r="SKO100" s="769"/>
      <c r="SKP100" s="769"/>
      <c r="SKQ100" s="769"/>
      <c r="SKR100" s="769"/>
      <c r="SKS100" s="769"/>
      <c r="SKT100" s="769"/>
      <c r="SKU100" s="769"/>
      <c r="SKV100" s="769"/>
      <c r="SKW100" s="769"/>
      <c r="SKX100" s="769"/>
      <c r="SKY100" s="769"/>
      <c r="SKZ100" s="769"/>
      <c r="SLA100" s="769"/>
      <c r="SLB100" s="769"/>
      <c r="SLC100" s="769"/>
      <c r="SLD100" s="769"/>
      <c r="SLE100" s="769"/>
      <c r="SLF100" s="769"/>
      <c r="SLG100" s="769"/>
      <c r="SLH100" s="769"/>
      <c r="SLI100" s="769"/>
      <c r="SLJ100" s="769"/>
      <c r="SLK100" s="769"/>
      <c r="SLL100" s="769"/>
      <c r="SLM100" s="769"/>
      <c r="SLN100" s="769"/>
      <c r="SLO100" s="769"/>
      <c r="SLP100" s="769"/>
      <c r="SLQ100" s="769"/>
      <c r="SLR100" s="769"/>
      <c r="SLS100" s="769"/>
      <c r="SLT100" s="769"/>
      <c r="SLU100" s="769"/>
      <c r="SLV100" s="769"/>
      <c r="SLW100" s="769"/>
      <c r="SLX100" s="769"/>
      <c r="SLY100" s="769"/>
      <c r="SLZ100" s="769"/>
      <c r="SMA100" s="769"/>
      <c r="SMB100" s="769"/>
      <c r="SMC100" s="769"/>
      <c r="SMD100" s="769"/>
      <c r="SME100" s="769"/>
      <c r="SMF100" s="769"/>
      <c r="SMG100" s="769"/>
      <c r="SMH100" s="769"/>
      <c r="SMI100" s="769"/>
      <c r="SMJ100" s="769"/>
      <c r="SMK100" s="769"/>
      <c r="SML100" s="769"/>
      <c r="SMM100" s="769"/>
      <c r="SMN100" s="769"/>
      <c r="SMO100" s="769"/>
      <c r="SMP100" s="769"/>
      <c r="SMQ100" s="769"/>
      <c r="SMR100" s="769"/>
      <c r="SMS100" s="769"/>
      <c r="SMT100" s="769"/>
      <c r="SMU100" s="769"/>
      <c r="SMV100" s="769"/>
      <c r="SMW100" s="769"/>
      <c r="SMX100" s="769"/>
      <c r="SMY100" s="769"/>
      <c r="SMZ100" s="769"/>
      <c r="SNA100" s="769"/>
      <c r="SNB100" s="769"/>
      <c r="SNC100" s="769"/>
      <c r="SND100" s="769"/>
      <c r="SNE100" s="769"/>
      <c r="SNF100" s="769"/>
      <c r="SNG100" s="769"/>
      <c r="SNH100" s="769"/>
      <c r="SNI100" s="769"/>
      <c r="SNJ100" s="769"/>
      <c r="SNK100" s="769"/>
      <c r="SNL100" s="769"/>
      <c r="SNM100" s="769"/>
      <c r="SNN100" s="769"/>
      <c r="SNO100" s="769"/>
      <c r="SNP100" s="769"/>
      <c r="SNQ100" s="769"/>
      <c r="SNR100" s="769"/>
      <c r="SNS100" s="769"/>
      <c r="SNT100" s="769"/>
      <c r="SNU100" s="769"/>
      <c r="SNV100" s="769"/>
      <c r="SNW100" s="769"/>
      <c r="SNX100" s="769"/>
      <c r="SNY100" s="769"/>
      <c r="SNZ100" s="769"/>
      <c r="SOA100" s="769"/>
      <c r="SOB100" s="769"/>
      <c r="SOC100" s="769"/>
      <c r="SOD100" s="769"/>
      <c r="SOE100" s="769"/>
      <c r="SOF100" s="769"/>
      <c r="SOG100" s="769"/>
      <c r="SOH100" s="769"/>
      <c r="SOI100" s="769"/>
      <c r="SOJ100" s="769"/>
      <c r="SOK100" s="769"/>
      <c r="SOL100" s="769"/>
      <c r="SOM100" s="769"/>
      <c r="SON100" s="769"/>
      <c r="SOO100" s="769"/>
      <c r="SOP100" s="769"/>
      <c r="SOQ100" s="769"/>
      <c r="SOR100" s="769"/>
      <c r="SOS100" s="769"/>
      <c r="SOT100" s="769"/>
      <c r="SOU100" s="769"/>
      <c r="SOV100" s="769"/>
      <c r="SOW100" s="769"/>
      <c r="SOX100" s="769"/>
      <c r="SOY100" s="769"/>
      <c r="SOZ100" s="769"/>
      <c r="SPA100" s="769"/>
      <c r="SPB100" s="769"/>
      <c r="SPC100" s="769"/>
      <c r="SPD100" s="769"/>
      <c r="SPE100" s="769"/>
      <c r="SPF100" s="769"/>
      <c r="SPG100" s="769"/>
      <c r="SPH100" s="769"/>
      <c r="SPI100" s="769"/>
      <c r="SPJ100" s="769"/>
      <c r="SPK100" s="769"/>
      <c r="SPL100" s="769"/>
      <c r="SPM100" s="769"/>
      <c r="SPN100" s="769"/>
      <c r="SPO100" s="769"/>
      <c r="SPP100" s="769"/>
      <c r="SPQ100" s="769"/>
      <c r="SPR100" s="769"/>
      <c r="SPS100" s="769"/>
      <c r="SPT100" s="769"/>
      <c r="SPU100" s="769"/>
      <c r="SPV100" s="769"/>
      <c r="SPW100" s="769"/>
      <c r="SPX100" s="769"/>
      <c r="SPY100" s="769"/>
      <c r="SPZ100" s="769"/>
      <c r="SQA100" s="769"/>
      <c r="SQB100" s="769"/>
      <c r="SQC100" s="769"/>
      <c r="SQD100" s="769"/>
      <c r="SQE100" s="769"/>
      <c r="SQF100" s="769"/>
      <c r="SQG100" s="769"/>
      <c r="SQH100" s="769"/>
      <c r="SQI100" s="769"/>
      <c r="SQJ100" s="769"/>
      <c r="SQK100" s="769"/>
      <c r="SQL100" s="769"/>
      <c r="SQM100" s="769"/>
      <c r="SQN100" s="769"/>
      <c r="SQO100" s="769"/>
      <c r="SQP100" s="769"/>
      <c r="SQQ100" s="769"/>
      <c r="SQR100" s="769"/>
      <c r="SQS100" s="769"/>
      <c r="SQT100" s="769"/>
      <c r="SQU100" s="769"/>
      <c r="SQV100" s="769"/>
      <c r="SQW100" s="769"/>
      <c r="SQX100" s="769"/>
      <c r="SQY100" s="769"/>
      <c r="SQZ100" s="769"/>
      <c r="SRA100" s="769"/>
      <c r="SRB100" s="769"/>
      <c r="SRC100" s="769"/>
      <c r="SRD100" s="769"/>
      <c r="SRE100" s="769"/>
      <c r="SRF100" s="769"/>
      <c r="SRG100" s="769"/>
      <c r="SRH100" s="769"/>
      <c r="SRI100" s="769"/>
      <c r="SRJ100" s="769"/>
      <c r="SRK100" s="769"/>
      <c r="SRL100" s="769"/>
      <c r="SRM100" s="769"/>
      <c r="SRN100" s="769"/>
      <c r="SRO100" s="769"/>
      <c r="SRP100" s="769"/>
      <c r="SRQ100" s="769"/>
      <c r="SRR100" s="769"/>
      <c r="SRS100" s="769"/>
      <c r="SRT100" s="769"/>
      <c r="SRU100" s="769"/>
      <c r="SRV100" s="769"/>
      <c r="SRW100" s="769"/>
      <c r="SRX100" s="769"/>
      <c r="SRY100" s="769"/>
      <c r="SRZ100" s="769"/>
      <c r="SSA100" s="769"/>
      <c r="SSB100" s="769"/>
      <c r="SSC100" s="769"/>
      <c r="SSD100" s="769"/>
      <c r="SSE100" s="769"/>
      <c r="SSF100" s="769"/>
      <c r="SSG100" s="769"/>
      <c r="SSH100" s="769"/>
      <c r="SSI100" s="769"/>
      <c r="SSJ100" s="769"/>
      <c r="SSK100" s="769"/>
      <c r="SSL100" s="769"/>
      <c r="SSM100" s="769"/>
      <c r="SSN100" s="769"/>
      <c r="SSO100" s="769"/>
      <c r="SSP100" s="769"/>
      <c r="SSQ100" s="769"/>
      <c r="SSR100" s="769"/>
      <c r="SSS100" s="769"/>
      <c r="SST100" s="769"/>
      <c r="SSU100" s="769"/>
      <c r="SSV100" s="769"/>
      <c r="SSW100" s="769"/>
      <c r="SSX100" s="769"/>
      <c r="SSY100" s="769"/>
      <c r="SSZ100" s="769"/>
      <c r="STA100" s="769"/>
      <c r="STB100" s="769"/>
      <c r="STC100" s="769"/>
      <c r="STD100" s="769"/>
      <c r="STE100" s="769"/>
      <c r="STF100" s="769"/>
      <c r="STG100" s="769"/>
      <c r="STH100" s="769"/>
      <c r="STI100" s="769"/>
      <c r="STJ100" s="769"/>
      <c r="STK100" s="769"/>
      <c r="STL100" s="769"/>
      <c r="STM100" s="769"/>
      <c r="STN100" s="769"/>
      <c r="STO100" s="769"/>
      <c r="STP100" s="769"/>
      <c r="STQ100" s="769"/>
      <c r="STR100" s="769"/>
      <c r="STS100" s="769"/>
      <c r="STT100" s="769"/>
      <c r="STU100" s="769"/>
      <c r="STV100" s="769"/>
      <c r="STW100" s="769"/>
      <c r="STX100" s="769"/>
      <c r="STY100" s="769"/>
      <c r="STZ100" s="769"/>
      <c r="SUA100" s="769"/>
      <c r="SUB100" s="769"/>
      <c r="SUC100" s="769"/>
      <c r="SUD100" s="769"/>
      <c r="SUE100" s="769"/>
      <c r="SUF100" s="769"/>
      <c r="SUG100" s="769"/>
      <c r="SUH100" s="769"/>
      <c r="SUI100" s="769"/>
      <c r="SUJ100" s="769"/>
      <c r="SUK100" s="769"/>
      <c r="SUL100" s="769"/>
      <c r="SUM100" s="769"/>
      <c r="SUN100" s="769"/>
      <c r="SUO100" s="769"/>
      <c r="SUP100" s="769"/>
      <c r="SUQ100" s="769"/>
      <c r="SUR100" s="769"/>
      <c r="SUS100" s="769"/>
      <c r="SUT100" s="769"/>
      <c r="SUU100" s="769"/>
      <c r="SUV100" s="769"/>
      <c r="SUW100" s="769"/>
      <c r="SUX100" s="769"/>
      <c r="SUY100" s="769"/>
      <c r="SUZ100" s="769"/>
      <c r="SVA100" s="769"/>
      <c r="SVB100" s="769"/>
      <c r="SVC100" s="769"/>
      <c r="SVD100" s="769"/>
      <c r="SVE100" s="769"/>
      <c r="SVF100" s="769"/>
      <c r="SVG100" s="769"/>
      <c r="SVH100" s="769"/>
      <c r="SVI100" s="769"/>
      <c r="SVJ100" s="769"/>
      <c r="SVK100" s="769"/>
      <c r="SVL100" s="769"/>
      <c r="SVM100" s="769"/>
      <c r="SVN100" s="769"/>
      <c r="SVO100" s="769"/>
      <c r="SVP100" s="769"/>
      <c r="SVQ100" s="769"/>
      <c r="SVR100" s="769"/>
      <c r="SVS100" s="769"/>
      <c r="SVT100" s="769"/>
      <c r="SVU100" s="769"/>
      <c r="SVV100" s="769"/>
      <c r="SVW100" s="769"/>
      <c r="SVX100" s="769"/>
      <c r="SVY100" s="769"/>
      <c r="SVZ100" s="769"/>
      <c r="SWA100" s="769"/>
      <c r="SWB100" s="769"/>
      <c r="SWC100" s="769"/>
      <c r="SWD100" s="769"/>
      <c r="SWE100" s="769"/>
      <c r="SWF100" s="769"/>
      <c r="SWG100" s="769"/>
      <c r="SWH100" s="769"/>
      <c r="SWI100" s="769"/>
      <c r="SWJ100" s="769"/>
      <c r="SWK100" s="769"/>
      <c r="SWL100" s="769"/>
      <c r="SWM100" s="769"/>
      <c r="SWN100" s="769"/>
      <c r="SWO100" s="769"/>
      <c r="SWP100" s="769"/>
      <c r="SWQ100" s="769"/>
      <c r="SWR100" s="769"/>
      <c r="SWS100" s="769"/>
      <c r="SWT100" s="769"/>
      <c r="SWU100" s="769"/>
      <c r="SWV100" s="769"/>
      <c r="SWW100" s="769"/>
      <c r="SWX100" s="769"/>
      <c r="SWY100" s="769"/>
      <c r="SWZ100" s="769"/>
      <c r="SXA100" s="769"/>
      <c r="SXB100" s="769"/>
      <c r="SXC100" s="769"/>
      <c r="SXD100" s="769"/>
      <c r="SXE100" s="769"/>
      <c r="SXF100" s="769"/>
      <c r="SXG100" s="769"/>
      <c r="SXH100" s="769"/>
      <c r="SXI100" s="769"/>
      <c r="SXJ100" s="769"/>
      <c r="SXK100" s="769"/>
      <c r="SXL100" s="769"/>
      <c r="SXM100" s="769"/>
      <c r="SXN100" s="769"/>
      <c r="SXO100" s="769"/>
      <c r="SXP100" s="769"/>
      <c r="SXQ100" s="769"/>
      <c r="SXR100" s="769"/>
      <c r="SXS100" s="769"/>
      <c r="SXT100" s="769"/>
      <c r="SXU100" s="769"/>
      <c r="SXV100" s="769"/>
      <c r="SXW100" s="769"/>
      <c r="SXX100" s="769"/>
      <c r="SXY100" s="769"/>
      <c r="SXZ100" s="769"/>
      <c r="SYA100" s="769"/>
      <c r="SYB100" s="769"/>
      <c r="SYC100" s="769"/>
      <c r="SYD100" s="769"/>
      <c r="SYE100" s="769"/>
      <c r="SYF100" s="769"/>
      <c r="SYG100" s="769"/>
      <c r="SYH100" s="769"/>
      <c r="SYI100" s="769"/>
      <c r="SYJ100" s="769"/>
      <c r="SYK100" s="769"/>
      <c r="SYL100" s="769"/>
      <c r="SYM100" s="769"/>
      <c r="SYN100" s="769"/>
      <c r="SYO100" s="769"/>
      <c r="SYP100" s="769"/>
      <c r="SYQ100" s="769"/>
      <c r="SYR100" s="769"/>
      <c r="SYS100" s="769"/>
      <c r="SYT100" s="769"/>
      <c r="SYU100" s="769"/>
      <c r="SYV100" s="769"/>
      <c r="SYW100" s="769"/>
      <c r="SYX100" s="769"/>
      <c r="SYY100" s="769"/>
      <c r="SYZ100" s="769"/>
      <c r="SZA100" s="769"/>
      <c r="SZB100" s="769"/>
      <c r="SZC100" s="769"/>
      <c r="SZD100" s="769"/>
      <c r="SZE100" s="769"/>
      <c r="SZF100" s="769"/>
      <c r="SZG100" s="769"/>
      <c r="SZH100" s="769"/>
      <c r="SZI100" s="769"/>
      <c r="SZJ100" s="769"/>
      <c r="SZK100" s="769"/>
      <c r="SZL100" s="769"/>
      <c r="SZM100" s="769"/>
      <c r="SZN100" s="769"/>
      <c r="SZO100" s="769"/>
      <c r="SZP100" s="769"/>
      <c r="SZQ100" s="769"/>
      <c r="SZR100" s="769"/>
      <c r="SZS100" s="769"/>
      <c r="SZT100" s="769"/>
      <c r="SZU100" s="769"/>
      <c r="SZV100" s="769"/>
      <c r="SZW100" s="769"/>
      <c r="SZX100" s="769"/>
      <c r="SZY100" s="769"/>
      <c r="SZZ100" s="769"/>
      <c r="TAA100" s="769"/>
      <c r="TAB100" s="769"/>
      <c r="TAC100" s="769"/>
      <c r="TAD100" s="769"/>
      <c r="TAE100" s="769"/>
      <c r="TAF100" s="769"/>
      <c r="TAG100" s="769"/>
      <c r="TAH100" s="769"/>
      <c r="TAI100" s="769"/>
      <c r="TAJ100" s="769"/>
      <c r="TAK100" s="769"/>
      <c r="TAL100" s="769"/>
      <c r="TAM100" s="769"/>
      <c r="TAN100" s="769"/>
      <c r="TAO100" s="769"/>
      <c r="TAP100" s="769"/>
      <c r="TAQ100" s="769"/>
      <c r="TAR100" s="769"/>
      <c r="TAS100" s="769"/>
      <c r="TAT100" s="769"/>
      <c r="TAU100" s="769"/>
      <c r="TAV100" s="769"/>
      <c r="TAW100" s="769"/>
      <c r="TAX100" s="769"/>
      <c r="TAY100" s="769"/>
      <c r="TAZ100" s="769"/>
      <c r="TBA100" s="769"/>
      <c r="TBB100" s="769"/>
      <c r="TBC100" s="769"/>
      <c r="TBD100" s="769"/>
      <c r="TBE100" s="769"/>
      <c r="TBF100" s="769"/>
      <c r="TBG100" s="769"/>
      <c r="TBH100" s="769"/>
      <c r="TBI100" s="769"/>
      <c r="TBJ100" s="769"/>
      <c r="TBK100" s="769"/>
      <c r="TBL100" s="769"/>
      <c r="TBM100" s="769"/>
      <c r="TBN100" s="769"/>
      <c r="TBO100" s="769"/>
      <c r="TBP100" s="769"/>
      <c r="TBQ100" s="769"/>
      <c r="TBR100" s="769"/>
      <c r="TBS100" s="769"/>
      <c r="TBT100" s="769"/>
      <c r="TBU100" s="769"/>
      <c r="TBV100" s="769"/>
      <c r="TBW100" s="769"/>
      <c r="TBX100" s="769"/>
      <c r="TBY100" s="769"/>
      <c r="TBZ100" s="769"/>
      <c r="TCA100" s="769"/>
      <c r="TCB100" s="769"/>
      <c r="TCC100" s="769"/>
      <c r="TCD100" s="769"/>
      <c r="TCE100" s="769"/>
      <c r="TCF100" s="769"/>
      <c r="TCG100" s="769"/>
      <c r="TCH100" s="769"/>
      <c r="TCI100" s="769"/>
      <c r="TCJ100" s="769"/>
      <c r="TCK100" s="769"/>
      <c r="TCL100" s="769"/>
      <c r="TCM100" s="769"/>
      <c r="TCN100" s="769"/>
      <c r="TCO100" s="769"/>
      <c r="TCP100" s="769"/>
      <c r="TCQ100" s="769"/>
      <c r="TCR100" s="769"/>
      <c r="TCS100" s="769"/>
      <c r="TCT100" s="769"/>
      <c r="TCU100" s="769"/>
      <c r="TCV100" s="769"/>
      <c r="TCW100" s="769"/>
      <c r="TCX100" s="769"/>
      <c r="TCY100" s="769"/>
      <c r="TCZ100" s="769"/>
      <c r="TDA100" s="769"/>
      <c r="TDB100" s="769"/>
      <c r="TDC100" s="769"/>
      <c r="TDD100" s="769"/>
      <c r="TDE100" s="769"/>
      <c r="TDF100" s="769"/>
      <c r="TDG100" s="769"/>
      <c r="TDH100" s="769"/>
      <c r="TDI100" s="769"/>
      <c r="TDJ100" s="769"/>
      <c r="TDK100" s="769"/>
      <c r="TDL100" s="769"/>
      <c r="TDM100" s="769"/>
      <c r="TDN100" s="769"/>
      <c r="TDO100" s="769"/>
      <c r="TDP100" s="769"/>
      <c r="TDQ100" s="769"/>
      <c r="TDR100" s="769"/>
      <c r="TDS100" s="769"/>
      <c r="TDT100" s="769"/>
      <c r="TDU100" s="769"/>
      <c r="TDV100" s="769"/>
      <c r="TDW100" s="769"/>
      <c r="TDX100" s="769"/>
      <c r="TDY100" s="769"/>
      <c r="TDZ100" s="769"/>
      <c r="TEA100" s="769"/>
      <c r="TEB100" s="769"/>
      <c r="TEC100" s="769"/>
      <c r="TED100" s="769"/>
      <c r="TEE100" s="769"/>
      <c r="TEF100" s="769"/>
      <c r="TEG100" s="769"/>
      <c r="TEH100" s="769"/>
      <c r="TEI100" s="769"/>
      <c r="TEJ100" s="769"/>
      <c r="TEK100" s="769"/>
      <c r="TEL100" s="769"/>
      <c r="TEM100" s="769"/>
      <c r="TEN100" s="769"/>
      <c r="TEO100" s="769"/>
      <c r="TEP100" s="769"/>
      <c r="TEQ100" s="769"/>
      <c r="TER100" s="769"/>
      <c r="TES100" s="769"/>
      <c r="TET100" s="769"/>
      <c r="TEU100" s="769"/>
      <c r="TEV100" s="769"/>
      <c r="TEW100" s="769"/>
      <c r="TEX100" s="769"/>
      <c r="TEY100" s="769"/>
      <c r="TEZ100" s="769"/>
      <c r="TFA100" s="769"/>
      <c r="TFB100" s="769"/>
      <c r="TFC100" s="769"/>
      <c r="TFD100" s="769"/>
      <c r="TFE100" s="769"/>
      <c r="TFF100" s="769"/>
      <c r="TFG100" s="769"/>
      <c r="TFH100" s="769"/>
      <c r="TFI100" s="769"/>
      <c r="TFJ100" s="769"/>
      <c r="TFK100" s="769"/>
      <c r="TFL100" s="769"/>
      <c r="TFM100" s="769"/>
      <c r="TFN100" s="769"/>
      <c r="TFO100" s="769"/>
      <c r="TFP100" s="769"/>
      <c r="TFQ100" s="769"/>
      <c r="TFR100" s="769"/>
      <c r="TFS100" s="769"/>
      <c r="TFT100" s="769"/>
      <c r="TFU100" s="769"/>
      <c r="TFV100" s="769"/>
      <c r="TFW100" s="769"/>
      <c r="TFX100" s="769"/>
      <c r="TFY100" s="769"/>
      <c r="TFZ100" s="769"/>
      <c r="TGA100" s="769"/>
      <c r="TGB100" s="769"/>
      <c r="TGC100" s="769"/>
      <c r="TGD100" s="769"/>
      <c r="TGE100" s="769"/>
      <c r="TGF100" s="769"/>
      <c r="TGG100" s="769"/>
      <c r="TGH100" s="769"/>
      <c r="TGI100" s="769"/>
      <c r="TGJ100" s="769"/>
      <c r="TGK100" s="769"/>
      <c r="TGL100" s="769"/>
      <c r="TGM100" s="769"/>
      <c r="TGN100" s="769"/>
      <c r="TGO100" s="769"/>
      <c r="TGP100" s="769"/>
      <c r="TGQ100" s="769"/>
      <c r="TGR100" s="769"/>
      <c r="TGS100" s="769"/>
      <c r="TGT100" s="769"/>
      <c r="TGU100" s="769"/>
      <c r="TGV100" s="769"/>
      <c r="TGW100" s="769"/>
      <c r="TGX100" s="769"/>
      <c r="TGY100" s="769"/>
      <c r="TGZ100" s="769"/>
      <c r="THA100" s="769"/>
      <c r="THB100" s="769"/>
      <c r="THC100" s="769"/>
      <c r="THD100" s="769"/>
      <c r="THE100" s="769"/>
      <c r="THF100" s="769"/>
      <c r="THG100" s="769"/>
      <c r="THH100" s="769"/>
      <c r="THI100" s="769"/>
      <c r="THJ100" s="769"/>
      <c r="THK100" s="769"/>
      <c r="THL100" s="769"/>
      <c r="THM100" s="769"/>
      <c r="THN100" s="769"/>
      <c r="THO100" s="769"/>
      <c r="THP100" s="769"/>
      <c r="THQ100" s="769"/>
      <c r="THR100" s="769"/>
      <c r="THS100" s="769"/>
      <c r="THT100" s="769"/>
      <c r="THU100" s="769"/>
      <c r="THV100" s="769"/>
      <c r="THW100" s="769"/>
      <c r="THX100" s="769"/>
      <c r="THY100" s="769"/>
      <c r="THZ100" s="769"/>
      <c r="TIA100" s="769"/>
      <c r="TIB100" s="769"/>
      <c r="TIC100" s="769"/>
      <c r="TID100" s="769"/>
      <c r="TIE100" s="769"/>
      <c r="TIF100" s="769"/>
      <c r="TIG100" s="769"/>
      <c r="TIH100" s="769"/>
      <c r="TII100" s="769"/>
      <c r="TIJ100" s="769"/>
      <c r="TIK100" s="769"/>
      <c r="TIL100" s="769"/>
      <c r="TIM100" s="769"/>
      <c r="TIN100" s="769"/>
      <c r="TIO100" s="769"/>
      <c r="TIP100" s="769"/>
      <c r="TIQ100" s="769"/>
      <c r="TIR100" s="769"/>
      <c r="TIS100" s="769"/>
      <c r="TIT100" s="769"/>
      <c r="TIU100" s="769"/>
      <c r="TIV100" s="769"/>
      <c r="TIW100" s="769"/>
      <c r="TIX100" s="769"/>
      <c r="TIY100" s="769"/>
      <c r="TIZ100" s="769"/>
      <c r="TJA100" s="769"/>
      <c r="TJB100" s="769"/>
      <c r="TJC100" s="769"/>
      <c r="TJD100" s="769"/>
      <c r="TJE100" s="769"/>
      <c r="TJF100" s="769"/>
      <c r="TJG100" s="769"/>
      <c r="TJH100" s="769"/>
      <c r="TJI100" s="769"/>
      <c r="TJJ100" s="769"/>
      <c r="TJK100" s="769"/>
      <c r="TJL100" s="769"/>
      <c r="TJM100" s="769"/>
      <c r="TJN100" s="769"/>
      <c r="TJO100" s="769"/>
      <c r="TJP100" s="769"/>
      <c r="TJQ100" s="769"/>
      <c r="TJR100" s="769"/>
      <c r="TJS100" s="769"/>
      <c r="TJT100" s="769"/>
      <c r="TJU100" s="769"/>
      <c r="TJV100" s="769"/>
      <c r="TJW100" s="769"/>
      <c r="TJX100" s="769"/>
      <c r="TJY100" s="769"/>
      <c r="TJZ100" s="769"/>
      <c r="TKA100" s="769"/>
      <c r="TKB100" s="769"/>
      <c r="TKC100" s="769"/>
      <c r="TKD100" s="769"/>
      <c r="TKE100" s="769"/>
      <c r="TKF100" s="769"/>
      <c r="TKG100" s="769"/>
      <c r="TKH100" s="769"/>
      <c r="TKI100" s="769"/>
      <c r="TKJ100" s="769"/>
      <c r="TKK100" s="769"/>
      <c r="TKL100" s="769"/>
      <c r="TKM100" s="769"/>
      <c r="TKN100" s="769"/>
      <c r="TKO100" s="769"/>
      <c r="TKP100" s="769"/>
      <c r="TKQ100" s="769"/>
      <c r="TKR100" s="769"/>
      <c r="TKS100" s="769"/>
      <c r="TKT100" s="769"/>
      <c r="TKU100" s="769"/>
      <c r="TKV100" s="769"/>
      <c r="TKW100" s="769"/>
      <c r="TKX100" s="769"/>
      <c r="TKY100" s="769"/>
      <c r="TKZ100" s="769"/>
      <c r="TLA100" s="769"/>
      <c r="TLB100" s="769"/>
      <c r="TLC100" s="769"/>
      <c r="TLD100" s="769"/>
      <c r="TLE100" s="769"/>
      <c r="TLF100" s="769"/>
      <c r="TLG100" s="769"/>
      <c r="TLH100" s="769"/>
      <c r="TLI100" s="769"/>
      <c r="TLJ100" s="769"/>
      <c r="TLK100" s="769"/>
      <c r="TLL100" s="769"/>
      <c r="TLM100" s="769"/>
      <c r="TLN100" s="769"/>
      <c r="TLO100" s="769"/>
      <c r="TLP100" s="769"/>
      <c r="TLQ100" s="769"/>
      <c r="TLR100" s="769"/>
      <c r="TLS100" s="769"/>
      <c r="TLT100" s="769"/>
      <c r="TLU100" s="769"/>
      <c r="TLV100" s="769"/>
      <c r="TLW100" s="769"/>
      <c r="TLX100" s="769"/>
      <c r="TLY100" s="769"/>
      <c r="TLZ100" s="769"/>
      <c r="TMA100" s="769"/>
      <c r="TMB100" s="769"/>
      <c r="TMC100" s="769"/>
      <c r="TMD100" s="769"/>
      <c r="TME100" s="769"/>
      <c r="TMF100" s="769"/>
      <c r="TMG100" s="769"/>
      <c r="TMH100" s="769"/>
      <c r="TMI100" s="769"/>
      <c r="TMJ100" s="769"/>
      <c r="TMK100" s="769"/>
      <c r="TML100" s="769"/>
      <c r="TMM100" s="769"/>
      <c r="TMN100" s="769"/>
      <c r="TMO100" s="769"/>
      <c r="TMP100" s="769"/>
      <c r="TMQ100" s="769"/>
      <c r="TMR100" s="769"/>
      <c r="TMS100" s="769"/>
      <c r="TMT100" s="769"/>
      <c r="TMU100" s="769"/>
      <c r="TMV100" s="769"/>
      <c r="TMW100" s="769"/>
      <c r="TMX100" s="769"/>
      <c r="TMY100" s="769"/>
      <c r="TMZ100" s="769"/>
      <c r="TNA100" s="769"/>
      <c r="TNB100" s="769"/>
      <c r="TNC100" s="769"/>
      <c r="TND100" s="769"/>
      <c r="TNE100" s="769"/>
      <c r="TNF100" s="769"/>
      <c r="TNG100" s="769"/>
      <c r="TNH100" s="769"/>
      <c r="TNI100" s="769"/>
      <c r="TNJ100" s="769"/>
      <c r="TNK100" s="769"/>
      <c r="TNL100" s="769"/>
      <c r="TNM100" s="769"/>
      <c r="TNN100" s="769"/>
      <c r="TNO100" s="769"/>
      <c r="TNP100" s="769"/>
      <c r="TNQ100" s="769"/>
      <c r="TNR100" s="769"/>
      <c r="TNS100" s="769"/>
      <c r="TNT100" s="769"/>
      <c r="TNU100" s="769"/>
      <c r="TNV100" s="769"/>
      <c r="TNW100" s="769"/>
      <c r="TNX100" s="769"/>
      <c r="TNY100" s="769"/>
      <c r="TNZ100" s="769"/>
      <c r="TOA100" s="769"/>
      <c r="TOB100" s="769"/>
      <c r="TOC100" s="769"/>
      <c r="TOD100" s="769"/>
      <c r="TOE100" s="769"/>
      <c r="TOF100" s="769"/>
      <c r="TOG100" s="769"/>
      <c r="TOH100" s="769"/>
      <c r="TOI100" s="769"/>
      <c r="TOJ100" s="769"/>
      <c r="TOK100" s="769"/>
      <c r="TOL100" s="769"/>
      <c r="TOM100" s="769"/>
      <c r="TON100" s="769"/>
      <c r="TOO100" s="769"/>
      <c r="TOP100" s="769"/>
      <c r="TOQ100" s="769"/>
      <c r="TOR100" s="769"/>
      <c r="TOS100" s="769"/>
      <c r="TOT100" s="769"/>
      <c r="TOU100" s="769"/>
      <c r="TOV100" s="769"/>
      <c r="TOW100" s="769"/>
      <c r="TOX100" s="769"/>
      <c r="TOY100" s="769"/>
      <c r="TOZ100" s="769"/>
      <c r="TPA100" s="769"/>
      <c r="TPB100" s="769"/>
      <c r="TPC100" s="769"/>
      <c r="TPD100" s="769"/>
      <c r="TPE100" s="769"/>
      <c r="TPF100" s="769"/>
      <c r="TPG100" s="769"/>
      <c r="TPH100" s="769"/>
      <c r="TPI100" s="769"/>
      <c r="TPJ100" s="769"/>
      <c r="TPK100" s="769"/>
      <c r="TPL100" s="769"/>
      <c r="TPM100" s="769"/>
      <c r="TPN100" s="769"/>
      <c r="TPO100" s="769"/>
      <c r="TPP100" s="769"/>
      <c r="TPQ100" s="769"/>
      <c r="TPR100" s="769"/>
      <c r="TPS100" s="769"/>
      <c r="TPT100" s="769"/>
      <c r="TPU100" s="769"/>
      <c r="TPV100" s="769"/>
      <c r="TPW100" s="769"/>
      <c r="TPX100" s="769"/>
      <c r="TPY100" s="769"/>
      <c r="TPZ100" s="769"/>
      <c r="TQA100" s="769"/>
      <c r="TQB100" s="769"/>
      <c r="TQC100" s="769"/>
      <c r="TQD100" s="769"/>
      <c r="TQE100" s="769"/>
      <c r="TQF100" s="769"/>
      <c r="TQG100" s="769"/>
      <c r="TQH100" s="769"/>
      <c r="TQI100" s="769"/>
      <c r="TQJ100" s="769"/>
      <c r="TQK100" s="769"/>
      <c r="TQL100" s="769"/>
      <c r="TQM100" s="769"/>
      <c r="TQN100" s="769"/>
      <c r="TQO100" s="769"/>
      <c r="TQP100" s="769"/>
      <c r="TQQ100" s="769"/>
      <c r="TQR100" s="769"/>
      <c r="TQS100" s="769"/>
      <c r="TQT100" s="769"/>
      <c r="TQU100" s="769"/>
      <c r="TQV100" s="769"/>
      <c r="TQW100" s="769"/>
      <c r="TQX100" s="769"/>
      <c r="TQY100" s="769"/>
      <c r="TQZ100" s="769"/>
      <c r="TRA100" s="769"/>
      <c r="TRB100" s="769"/>
      <c r="TRC100" s="769"/>
      <c r="TRD100" s="769"/>
      <c r="TRE100" s="769"/>
      <c r="TRF100" s="769"/>
      <c r="TRG100" s="769"/>
      <c r="TRH100" s="769"/>
      <c r="TRI100" s="769"/>
      <c r="TRJ100" s="769"/>
      <c r="TRK100" s="769"/>
      <c r="TRL100" s="769"/>
      <c r="TRM100" s="769"/>
      <c r="TRN100" s="769"/>
      <c r="TRO100" s="769"/>
      <c r="TRP100" s="769"/>
      <c r="TRQ100" s="769"/>
      <c r="TRR100" s="769"/>
      <c r="TRS100" s="769"/>
      <c r="TRT100" s="769"/>
      <c r="TRU100" s="769"/>
      <c r="TRV100" s="769"/>
      <c r="TRW100" s="769"/>
      <c r="TRX100" s="769"/>
      <c r="TRY100" s="769"/>
      <c r="TRZ100" s="769"/>
      <c r="TSA100" s="769"/>
      <c r="TSB100" s="769"/>
      <c r="TSC100" s="769"/>
      <c r="TSD100" s="769"/>
      <c r="TSE100" s="769"/>
      <c r="TSF100" s="769"/>
      <c r="TSG100" s="769"/>
      <c r="TSH100" s="769"/>
      <c r="TSI100" s="769"/>
      <c r="TSJ100" s="769"/>
      <c r="TSK100" s="769"/>
      <c r="TSL100" s="769"/>
      <c r="TSM100" s="769"/>
      <c r="TSN100" s="769"/>
      <c r="TSO100" s="769"/>
      <c r="TSP100" s="769"/>
      <c r="TSQ100" s="769"/>
      <c r="TSR100" s="769"/>
      <c r="TSS100" s="769"/>
      <c r="TST100" s="769"/>
      <c r="TSU100" s="769"/>
      <c r="TSV100" s="769"/>
      <c r="TSW100" s="769"/>
      <c r="TSX100" s="769"/>
      <c r="TSY100" s="769"/>
      <c r="TSZ100" s="769"/>
      <c r="TTA100" s="769"/>
      <c r="TTB100" s="769"/>
      <c r="TTC100" s="769"/>
      <c r="TTD100" s="769"/>
      <c r="TTE100" s="769"/>
      <c r="TTF100" s="769"/>
      <c r="TTG100" s="769"/>
      <c r="TTH100" s="769"/>
      <c r="TTI100" s="769"/>
      <c r="TTJ100" s="769"/>
      <c r="TTK100" s="769"/>
      <c r="TTL100" s="769"/>
      <c r="TTM100" s="769"/>
      <c r="TTN100" s="769"/>
      <c r="TTO100" s="769"/>
      <c r="TTP100" s="769"/>
      <c r="TTQ100" s="769"/>
      <c r="TTR100" s="769"/>
      <c r="TTS100" s="769"/>
      <c r="TTT100" s="769"/>
      <c r="TTU100" s="769"/>
      <c r="TTV100" s="769"/>
      <c r="TTW100" s="769"/>
      <c r="TTX100" s="769"/>
      <c r="TTY100" s="769"/>
      <c r="TTZ100" s="769"/>
      <c r="TUA100" s="769"/>
      <c r="TUB100" s="769"/>
      <c r="TUC100" s="769"/>
      <c r="TUD100" s="769"/>
      <c r="TUE100" s="769"/>
      <c r="TUF100" s="769"/>
      <c r="TUG100" s="769"/>
      <c r="TUH100" s="769"/>
      <c r="TUI100" s="769"/>
      <c r="TUJ100" s="769"/>
      <c r="TUK100" s="769"/>
      <c r="TUL100" s="769"/>
      <c r="TUM100" s="769"/>
      <c r="TUN100" s="769"/>
      <c r="TUO100" s="769"/>
      <c r="TUP100" s="769"/>
      <c r="TUQ100" s="769"/>
      <c r="TUR100" s="769"/>
      <c r="TUS100" s="769"/>
      <c r="TUT100" s="769"/>
      <c r="TUU100" s="769"/>
      <c r="TUV100" s="769"/>
      <c r="TUW100" s="769"/>
      <c r="TUX100" s="769"/>
      <c r="TUY100" s="769"/>
      <c r="TUZ100" s="769"/>
      <c r="TVA100" s="769"/>
      <c r="TVB100" s="769"/>
      <c r="TVC100" s="769"/>
      <c r="TVD100" s="769"/>
      <c r="TVE100" s="769"/>
      <c r="TVF100" s="769"/>
      <c r="TVG100" s="769"/>
      <c r="TVH100" s="769"/>
      <c r="TVI100" s="769"/>
      <c r="TVJ100" s="769"/>
      <c r="TVK100" s="769"/>
      <c r="TVL100" s="769"/>
      <c r="TVM100" s="769"/>
      <c r="TVN100" s="769"/>
      <c r="TVO100" s="769"/>
      <c r="TVP100" s="769"/>
      <c r="TVQ100" s="769"/>
      <c r="TVR100" s="769"/>
      <c r="TVS100" s="769"/>
      <c r="TVT100" s="769"/>
      <c r="TVU100" s="769"/>
      <c r="TVV100" s="769"/>
      <c r="TVW100" s="769"/>
      <c r="TVX100" s="769"/>
      <c r="TVY100" s="769"/>
      <c r="TVZ100" s="769"/>
      <c r="TWA100" s="769"/>
      <c r="TWB100" s="769"/>
      <c r="TWC100" s="769"/>
      <c r="TWD100" s="769"/>
      <c r="TWE100" s="769"/>
      <c r="TWF100" s="769"/>
      <c r="TWG100" s="769"/>
      <c r="TWH100" s="769"/>
      <c r="TWI100" s="769"/>
      <c r="TWJ100" s="769"/>
      <c r="TWK100" s="769"/>
      <c r="TWL100" s="769"/>
      <c r="TWM100" s="769"/>
      <c r="TWN100" s="769"/>
      <c r="TWO100" s="769"/>
      <c r="TWP100" s="769"/>
      <c r="TWQ100" s="769"/>
      <c r="TWR100" s="769"/>
      <c r="TWS100" s="769"/>
      <c r="TWT100" s="769"/>
      <c r="TWU100" s="769"/>
      <c r="TWV100" s="769"/>
      <c r="TWW100" s="769"/>
      <c r="TWX100" s="769"/>
      <c r="TWY100" s="769"/>
      <c r="TWZ100" s="769"/>
      <c r="TXA100" s="769"/>
      <c r="TXB100" s="769"/>
      <c r="TXC100" s="769"/>
      <c r="TXD100" s="769"/>
      <c r="TXE100" s="769"/>
      <c r="TXF100" s="769"/>
      <c r="TXG100" s="769"/>
      <c r="TXH100" s="769"/>
      <c r="TXI100" s="769"/>
      <c r="TXJ100" s="769"/>
      <c r="TXK100" s="769"/>
      <c r="TXL100" s="769"/>
      <c r="TXM100" s="769"/>
      <c r="TXN100" s="769"/>
      <c r="TXO100" s="769"/>
      <c r="TXP100" s="769"/>
      <c r="TXQ100" s="769"/>
      <c r="TXR100" s="769"/>
      <c r="TXS100" s="769"/>
      <c r="TXT100" s="769"/>
      <c r="TXU100" s="769"/>
      <c r="TXV100" s="769"/>
      <c r="TXW100" s="769"/>
      <c r="TXX100" s="769"/>
      <c r="TXY100" s="769"/>
      <c r="TXZ100" s="769"/>
      <c r="TYA100" s="769"/>
      <c r="TYB100" s="769"/>
      <c r="TYC100" s="769"/>
      <c r="TYD100" s="769"/>
      <c r="TYE100" s="769"/>
      <c r="TYF100" s="769"/>
      <c r="TYG100" s="769"/>
      <c r="TYH100" s="769"/>
      <c r="TYI100" s="769"/>
      <c r="TYJ100" s="769"/>
      <c r="TYK100" s="769"/>
      <c r="TYL100" s="769"/>
      <c r="TYM100" s="769"/>
      <c r="TYN100" s="769"/>
      <c r="TYO100" s="769"/>
      <c r="TYP100" s="769"/>
      <c r="TYQ100" s="769"/>
      <c r="TYR100" s="769"/>
      <c r="TYS100" s="769"/>
      <c r="TYT100" s="769"/>
      <c r="TYU100" s="769"/>
      <c r="TYV100" s="769"/>
      <c r="TYW100" s="769"/>
      <c r="TYX100" s="769"/>
      <c r="TYY100" s="769"/>
      <c r="TYZ100" s="769"/>
      <c r="TZA100" s="769"/>
      <c r="TZB100" s="769"/>
      <c r="TZC100" s="769"/>
      <c r="TZD100" s="769"/>
      <c r="TZE100" s="769"/>
      <c r="TZF100" s="769"/>
      <c r="TZG100" s="769"/>
      <c r="TZH100" s="769"/>
      <c r="TZI100" s="769"/>
      <c r="TZJ100" s="769"/>
      <c r="TZK100" s="769"/>
      <c r="TZL100" s="769"/>
      <c r="TZM100" s="769"/>
      <c r="TZN100" s="769"/>
      <c r="TZO100" s="769"/>
      <c r="TZP100" s="769"/>
      <c r="TZQ100" s="769"/>
      <c r="TZR100" s="769"/>
      <c r="TZS100" s="769"/>
      <c r="TZT100" s="769"/>
      <c r="TZU100" s="769"/>
      <c r="TZV100" s="769"/>
      <c r="TZW100" s="769"/>
      <c r="TZX100" s="769"/>
      <c r="TZY100" s="769"/>
      <c r="TZZ100" s="769"/>
      <c r="UAA100" s="769"/>
      <c r="UAB100" s="769"/>
      <c r="UAC100" s="769"/>
      <c r="UAD100" s="769"/>
      <c r="UAE100" s="769"/>
      <c r="UAF100" s="769"/>
      <c r="UAG100" s="769"/>
      <c r="UAH100" s="769"/>
      <c r="UAI100" s="769"/>
      <c r="UAJ100" s="769"/>
      <c r="UAK100" s="769"/>
      <c r="UAL100" s="769"/>
      <c r="UAM100" s="769"/>
      <c r="UAN100" s="769"/>
      <c r="UAO100" s="769"/>
      <c r="UAP100" s="769"/>
      <c r="UAQ100" s="769"/>
      <c r="UAR100" s="769"/>
      <c r="UAS100" s="769"/>
      <c r="UAT100" s="769"/>
      <c r="UAU100" s="769"/>
      <c r="UAV100" s="769"/>
      <c r="UAW100" s="769"/>
      <c r="UAX100" s="769"/>
      <c r="UAY100" s="769"/>
      <c r="UAZ100" s="769"/>
      <c r="UBA100" s="769"/>
      <c r="UBB100" s="769"/>
      <c r="UBC100" s="769"/>
      <c r="UBD100" s="769"/>
      <c r="UBE100" s="769"/>
      <c r="UBF100" s="769"/>
      <c r="UBG100" s="769"/>
      <c r="UBH100" s="769"/>
      <c r="UBI100" s="769"/>
      <c r="UBJ100" s="769"/>
      <c r="UBK100" s="769"/>
      <c r="UBL100" s="769"/>
      <c r="UBM100" s="769"/>
      <c r="UBN100" s="769"/>
      <c r="UBO100" s="769"/>
      <c r="UBP100" s="769"/>
      <c r="UBQ100" s="769"/>
      <c r="UBR100" s="769"/>
      <c r="UBS100" s="769"/>
      <c r="UBT100" s="769"/>
      <c r="UBU100" s="769"/>
      <c r="UBV100" s="769"/>
      <c r="UBW100" s="769"/>
      <c r="UBX100" s="769"/>
      <c r="UBY100" s="769"/>
      <c r="UBZ100" s="769"/>
      <c r="UCA100" s="769"/>
      <c r="UCB100" s="769"/>
      <c r="UCC100" s="769"/>
      <c r="UCD100" s="769"/>
      <c r="UCE100" s="769"/>
      <c r="UCF100" s="769"/>
      <c r="UCG100" s="769"/>
      <c r="UCH100" s="769"/>
      <c r="UCI100" s="769"/>
      <c r="UCJ100" s="769"/>
      <c r="UCK100" s="769"/>
      <c r="UCL100" s="769"/>
      <c r="UCM100" s="769"/>
      <c r="UCN100" s="769"/>
      <c r="UCO100" s="769"/>
      <c r="UCP100" s="769"/>
      <c r="UCQ100" s="769"/>
      <c r="UCR100" s="769"/>
      <c r="UCS100" s="769"/>
      <c r="UCT100" s="769"/>
      <c r="UCU100" s="769"/>
      <c r="UCV100" s="769"/>
      <c r="UCW100" s="769"/>
      <c r="UCX100" s="769"/>
      <c r="UCY100" s="769"/>
      <c r="UCZ100" s="769"/>
      <c r="UDA100" s="769"/>
      <c r="UDB100" s="769"/>
      <c r="UDC100" s="769"/>
      <c r="UDD100" s="769"/>
      <c r="UDE100" s="769"/>
      <c r="UDF100" s="769"/>
      <c r="UDG100" s="769"/>
      <c r="UDH100" s="769"/>
      <c r="UDI100" s="769"/>
      <c r="UDJ100" s="769"/>
      <c r="UDK100" s="769"/>
      <c r="UDL100" s="769"/>
      <c r="UDM100" s="769"/>
      <c r="UDN100" s="769"/>
      <c r="UDO100" s="769"/>
      <c r="UDP100" s="769"/>
      <c r="UDQ100" s="769"/>
      <c r="UDR100" s="769"/>
      <c r="UDS100" s="769"/>
      <c r="UDT100" s="769"/>
      <c r="UDU100" s="769"/>
      <c r="UDV100" s="769"/>
      <c r="UDW100" s="769"/>
      <c r="UDX100" s="769"/>
      <c r="UDY100" s="769"/>
      <c r="UDZ100" s="769"/>
      <c r="UEA100" s="769"/>
      <c r="UEB100" s="769"/>
      <c r="UEC100" s="769"/>
      <c r="UED100" s="769"/>
      <c r="UEE100" s="769"/>
      <c r="UEF100" s="769"/>
      <c r="UEG100" s="769"/>
      <c r="UEH100" s="769"/>
      <c r="UEI100" s="769"/>
      <c r="UEJ100" s="769"/>
      <c r="UEK100" s="769"/>
      <c r="UEL100" s="769"/>
      <c r="UEM100" s="769"/>
      <c r="UEN100" s="769"/>
      <c r="UEO100" s="769"/>
      <c r="UEP100" s="769"/>
      <c r="UEQ100" s="769"/>
      <c r="UER100" s="769"/>
      <c r="UES100" s="769"/>
      <c r="UET100" s="769"/>
      <c r="UEU100" s="769"/>
      <c r="UEV100" s="769"/>
      <c r="UEW100" s="769"/>
      <c r="UEX100" s="769"/>
      <c r="UEY100" s="769"/>
      <c r="UEZ100" s="769"/>
      <c r="UFA100" s="769"/>
      <c r="UFB100" s="769"/>
      <c r="UFC100" s="769"/>
      <c r="UFD100" s="769"/>
      <c r="UFE100" s="769"/>
      <c r="UFF100" s="769"/>
      <c r="UFG100" s="769"/>
      <c r="UFH100" s="769"/>
      <c r="UFI100" s="769"/>
      <c r="UFJ100" s="769"/>
      <c r="UFK100" s="769"/>
      <c r="UFL100" s="769"/>
      <c r="UFM100" s="769"/>
      <c r="UFN100" s="769"/>
      <c r="UFO100" s="769"/>
      <c r="UFP100" s="769"/>
      <c r="UFQ100" s="769"/>
      <c r="UFR100" s="769"/>
      <c r="UFS100" s="769"/>
      <c r="UFT100" s="769"/>
      <c r="UFU100" s="769"/>
      <c r="UFV100" s="769"/>
      <c r="UFW100" s="769"/>
      <c r="UFX100" s="769"/>
      <c r="UFY100" s="769"/>
      <c r="UFZ100" s="769"/>
      <c r="UGA100" s="769"/>
      <c r="UGB100" s="769"/>
      <c r="UGC100" s="769"/>
      <c r="UGD100" s="769"/>
      <c r="UGE100" s="769"/>
      <c r="UGF100" s="769"/>
      <c r="UGG100" s="769"/>
      <c r="UGH100" s="769"/>
      <c r="UGI100" s="769"/>
      <c r="UGJ100" s="769"/>
      <c r="UGK100" s="769"/>
      <c r="UGL100" s="769"/>
      <c r="UGM100" s="769"/>
      <c r="UGN100" s="769"/>
      <c r="UGO100" s="769"/>
      <c r="UGP100" s="769"/>
      <c r="UGQ100" s="769"/>
      <c r="UGR100" s="769"/>
      <c r="UGS100" s="769"/>
      <c r="UGT100" s="769"/>
      <c r="UGU100" s="769"/>
      <c r="UGV100" s="769"/>
      <c r="UGW100" s="769"/>
      <c r="UGX100" s="769"/>
      <c r="UGY100" s="769"/>
      <c r="UGZ100" s="769"/>
      <c r="UHA100" s="769"/>
      <c r="UHB100" s="769"/>
      <c r="UHC100" s="769"/>
      <c r="UHD100" s="769"/>
      <c r="UHE100" s="769"/>
      <c r="UHF100" s="769"/>
      <c r="UHG100" s="769"/>
      <c r="UHH100" s="769"/>
      <c r="UHI100" s="769"/>
      <c r="UHJ100" s="769"/>
      <c r="UHK100" s="769"/>
      <c r="UHL100" s="769"/>
      <c r="UHM100" s="769"/>
      <c r="UHN100" s="769"/>
      <c r="UHO100" s="769"/>
      <c r="UHP100" s="769"/>
      <c r="UHQ100" s="769"/>
      <c r="UHR100" s="769"/>
      <c r="UHS100" s="769"/>
      <c r="UHT100" s="769"/>
      <c r="UHU100" s="769"/>
      <c r="UHV100" s="769"/>
      <c r="UHW100" s="769"/>
      <c r="UHX100" s="769"/>
      <c r="UHY100" s="769"/>
      <c r="UHZ100" s="769"/>
      <c r="UIA100" s="769"/>
      <c r="UIB100" s="769"/>
      <c r="UIC100" s="769"/>
      <c r="UID100" s="769"/>
      <c r="UIE100" s="769"/>
      <c r="UIF100" s="769"/>
      <c r="UIG100" s="769"/>
      <c r="UIH100" s="769"/>
      <c r="UII100" s="769"/>
      <c r="UIJ100" s="769"/>
      <c r="UIK100" s="769"/>
      <c r="UIL100" s="769"/>
      <c r="UIM100" s="769"/>
      <c r="UIN100" s="769"/>
      <c r="UIO100" s="769"/>
      <c r="UIP100" s="769"/>
      <c r="UIQ100" s="769"/>
      <c r="UIR100" s="769"/>
      <c r="UIS100" s="769"/>
      <c r="UIT100" s="769"/>
      <c r="UIU100" s="769"/>
      <c r="UIV100" s="769"/>
      <c r="UIW100" s="769"/>
      <c r="UIX100" s="769"/>
      <c r="UIY100" s="769"/>
      <c r="UIZ100" s="769"/>
      <c r="UJA100" s="769"/>
      <c r="UJB100" s="769"/>
      <c r="UJC100" s="769"/>
      <c r="UJD100" s="769"/>
      <c r="UJE100" s="769"/>
      <c r="UJF100" s="769"/>
      <c r="UJG100" s="769"/>
      <c r="UJH100" s="769"/>
      <c r="UJI100" s="769"/>
      <c r="UJJ100" s="769"/>
      <c r="UJK100" s="769"/>
      <c r="UJL100" s="769"/>
      <c r="UJM100" s="769"/>
      <c r="UJN100" s="769"/>
      <c r="UJO100" s="769"/>
      <c r="UJP100" s="769"/>
      <c r="UJQ100" s="769"/>
      <c r="UJR100" s="769"/>
      <c r="UJS100" s="769"/>
      <c r="UJT100" s="769"/>
      <c r="UJU100" s="769"/>
      <c r="UJV100" s="769"/>
      <c r="UJW100" s="769"/>
      <c r="UJX100" s="769"/>
      <c r="UJY100" s="769"/>
      <c r="UJZ100" s="769"/>
      <c r="UKA100" s="769"/>
      <c r="UKB100" s="769"/>
      <c r="UKC100" s="769"/>
      <c r="UKD100" s="769"/>
      <c r="UKE100" s="769"/>
      <c r="UKF100" s="769"/>
      <c r="UKG100" s="769"/>
      <c r="UKH100" s="769"/>
      <c r="UKI100" s="769"/>
      <c r="UKJ100" s="769"/>
      <c r="UKK100" s="769"/>
      <c r="UKL100" s="769"/>
      <c r="UKM100" s="769"/>
      <c r="UKN100" s="769"/>
      <c r="UKO100" s="769"/>
      <c r="UKP100" s="769"/>
      <c r="UKQ100" s="769"/>
      <c r="UKR100" s="769"/>
      <c r="UKS100" s="769"/>
      <c r="UKT100" s="769"/>
      <c r="UKU100" s="769"/>
      <c r="UKV100" s="769"/>
      <c r="UKW100" s="769"/>
      <c r="UKX100" s="769"/>
      <c r="UKY100" s="769"/>
      <c r="UKZ100" s="769"/>
      <c r="ULA100" s="769"/>
      <c r="ULB100" s="769"/>
      <c r="ULC100" s="769"/>
      <c r="ULD100" s="769"/>
      <c r="ULE100" s="769"/>
      <c r="ULF100" s="769"/>
      <c r="ULG100" s="769"/>
      <c r="ULH100" s="769"/>
      <c r="ULI100" s="769"/>
      <c r="ULJ100" s="769"/>
      <c r="ULK100" s="769"/>
      <c r="ULL100" s="769"/>
      <c r="ULM100" s="769"/>
      <c r="ULN100" s="769"/>
      <c r="ULO100" s="769"/>
      <c r="ULP100" s="769"/>
      <c r="ULQ100" s="769"/>
      <c r="ULR100" s="769"/>
      <c r="ULS100" s="769"/>
      <c r="ULT100" s="769"/>
      <c r="ULU100" s="769"/>
      <c r="ULV100" s="769"/>
      <c r="ULW100" s="769"/>
      <c r="ULX100" s="769"/>
      <c r="ULY100" s="769"/>
      <c r="ULZ100" s="769"/>
      <c r="UMA100" s="769"/>
      <c r="UMB100" s="769"/>
      <c r="UMC100" s="769"/>
      <c r="UMD100" s="769"/>
      <c r="UME100" s="769"/>
      <c r="UMF100" s="769"/>
      <c r="UMG100" s="769"/>
      <c r="UMH100" s="769"/>
      <c r="UMI100" s="769"/>
      <c r="UMJ100" s="769"/>
      <c r="UMK100" s="769"/>
      <c r="UML100" s="769"/>
      <c r="UMM100" s="769"/>
      <c r="UMN100" s="769"/>
      <c r="UMO100" s="769"/>
      <c r="UMP100" s="769"/>
      <c r="UMQ100" s="769"/>
      <c r="UMR100" s="769"/>
      <c r="UMS100" s="769"/>
      <c r="UMT100" s="769"/>
      <c r="UMU100" s="769"/>
      <c r="UMV100" s="769"/>
      <c r="UMW100" s="769"/>
      <c r="UMX100" s="769"/>
      <c r="UMY100" s="769"/>
      <c r="UMZ100" s="769"/>
      <c r="UNA100" s="769"/>
      <c r="UNB100" s="769"/>
      <c r="UNC100" s="769"/>
      <c r="UND100" s="769"/>
      <c r="UNE100" s="769"/>
      <c r="UNF100" s="769"/>
      <c r="UNG100" s="769"/>
      <c r="UNH100" s="769"/>
      <c r="UNI100" s="769"/>
      <c r="UNJ100" s="769"/>
      <c r="UNK100" s="769"/>
      <c r="UNL100" s="769"/>
      <c r="UNM100" s="769"/>
      <c r="UNN100" s="769"/>
      <c r="UNO100" s="769"/>
      <c r="UNP100" s="769"/>
      <c r="UNQ100" s="769"/>
      <c r="UNR100" s="769"/>
      <c r="UNS100" s="769"/>
      <c r="UNT100" s="769"/>
      <c r="UNU100" s="769"/>
      <c r="UNV100" s="769"/>
      <c r="UNW100" s="769"/>
      <c r="UNX100" s="769"/>
      <c r="UNY100" s="769"/>
      <c r="UNZ100" s="769"/>
      <c r="UOA100" s="769"/>
      <c r="UOB100" s="769"/>
      <c r="UOC100" s="769"/>
      <c r="UOD100" s="769"/>
      <c r="UOE100" s="769"/>
      <c r="UOF100" s="769"/>
      <c r="UOG100" s="769"/>
      <c r="UOH100" s="769"/>
      <c r="UOI100" s="769"/>
      <c r="UOJ100" s="769"/>
      <c r="UOK100" s="769"/>
      <c r="UOL100" s="769"/>
      <c r="UOM100" s="769"/>
      <c r="UON100" s="769"/>
      <c r="UOO100" s="769"/>
      <c r="UOP100" s="769"/>
      <c r="UOQ100" s="769"/>
      <c r="UOR100" s="769"/>
      <c r="UOS100" s="769"/>
      <c r="UOT100" s="769"/>
      <c r="UOU100" s="769"/>
      <c r="UOV100" s="769"/>
      <c r="UOW100" s="769"/>
      <c r="UOX100" s="769"/>
      <c r="UOY100" s="769"/>
      <c r="UOZ100" s="769"/>
      <c r="UPA100" s="769"/>
      <c r="UPB100" s="769"/>
      <c r="UPC100" s="769"/>
      <c r="UPD100" s="769"/>
      <c r="UPE100" s="769"/>
      <c r="UPF100" s="769"/>
      <c r="UPG100" s="769"/>
      <c r="UPH100" s="769"/>
      <c r="UPI100" s="769"/>
      <c r="UPJ100" s="769"/>
      <c r="UPK100" s="769"/>
      <c r="UPL100" s="769"/>
      <c r="UPM100" s="769"/>
      <c r="UPN100" s="769"/>
      <c r="UPO100" s="769"/>
      <c r="UPP100" s="769"/>
      <c r="UPQ100" s="769"/>
      <c r="UPR100" s="769"/>
      <c r="UPS100" s="769"/>
      <c r="UPT100" s="769"/>
      <c r="UPU100" s="769"/>
      <c r="UPV100" s="769"/>
      <c r="UPW100" s="769"/>
      <c r="UPX100" s="769"/>
      <c r="UPY100" s="769"/>
      <c r="UPZ100" s="769"/>
      <c r="UQA100" s="769"/>
      <c r="UQB100" s="769"/>
      <c r="UQC100" s="769"/>
      <c r="UQD100" s="769"/>
      <c r="UQE100" s="769"/>
      <c r="UQF100" s="769"/>
      <c r="UQG100" s="769"/>
      <c r="UQH100" s="769"/>
      <c r="UQI100" s="769"/>
      <c r="UQJ100" s="769"/>
      <c r="UQK100" s="769"/>
      <c r="UQL100" s="769"/>
      <c r="UQM100" s="769"/>
      <c r="UQN100" s="769"/>
      <c r="UQO100" s="769"/>
      <c r="UQP100" s="769"/>
      <c r="UQQ100" s="769"/>
      <c r="UQR100" s="769"/>
      <c r="UQS100" s="769"/>
      <c r="UQT100" s="769"/>
      <c r="UQU100" s="769"/>
      <c r="UQV100" s="769"/>
      <c r="UQW100" s="769"/>
      <c r="UQX100" s="769"/>
      <c r="UQY100" s="769"/>
      <c r="UQZ100" s="769"/>
      <c r="URA100" s="769"/>
      <c r="URB100" s="769"/>
      <c r="URC100" s="769"/>
      <c r="URD100" s="769"/>
      <c r="URE100" s="769"/>
      <c r="URF100" s="769"/>
      <c r="URG100" s="769"/>
      <c r="URH100" s="769"/>
      <c r="URI100" s="769"/>
      <c r="URJ100" s="769"/>
      <c r="URK100" s="769"/>
      <c r="URL100" s="769"/>
      <c r="URM100" s="769"/>
      <c r="URN100" s="769"/>
      <c r="URO100" s="769"/>
      <c r="URP100" s="769"/>
      <c r="URQ100" s="769"/>
      <c r="URR100" s="769"/>
      <c r="URS100" s="769"/>
      <c r="URT100" s="769"/>
      <c r="URU100" s="769"/>
      <c r="URV100" s="769"/>
      <c r="URW100" s="769"/>
      <c r="URX100" s="769"/>
      <c r="URY100" s="769"/>
      <c r="URZ100" s="769"/>
      <c r="USA100" s="769"/>
      <c r="USB100" s="769"/>
      <c r="USC100" s="769"/>
      <c r="USD100" s="769"/>
      <c r="USE100" s="769"/>
      <c r="USF100" s="769"/>
      <c r="USG100" s="769"/>
      <c r="USH100" s="769"/>
      <c r="USI100" s="769"/>
      <c r="USJ100" s="769"/>
      <c r="USK100" s="769"/>
      <c r="USL100" s="769"/>
      <c r="USM100" s="769"/>
      <c r="USN100" s="769"/>
      <c r="USO100" s="769"/>
      <c r="USP100" s="769"/>
      <c r="USQ100" s="769"/>
      <c r="USR100" s="769"/>
      <c r="USS100" s="769"/>
      <c r="UST100" s="769"/>
      <c r="USU100" s="769"/>
      <c r="USV100" s="769"/>
      <c r="USW100" s="769"/>
      <c r="USX100" s="769"/>
      <c r="USY100" s="769"/>
      <c r="USZ100" s="769"/>
      <c r="UTA100" s="769"/>
      <c r="UTB100" s="769"/>
      <c r="UTC100" s="769"/>
      <c r="UTD100" s="769"/>
      <c r="UTE100" s="769"/>
      <c r="UTF100" s="769"/>
      <c r="UTG100" s="769"/>
      <c r="UTH100" s="769"/>
      <c r="UTI100" s="769"/>
      <c r="UTJ100" s="769"/>
      <c r="UTK100" s="769"/>
      <c r="UTL100" s="769"/>
      <c r="UTM100" s="769"/>
      <c r="UTN100" s="769"/>
      <c r="UTO100" s="769"/>
      <c r="UTP100" s="769"/>
      <c r="UTQ100" s="769"/>
      <c r="UTR100" s="769"/>
      <c r="UTS100" s="769"/>
      <c r="UTT100" s="769"/>
      <c r="UTU100" s="769"/>
      <c r="UTV100" s="769"/>
      <c r="UTW100" s="769"/>
      <c r="UTX100" s="769"/>
      <c r="UTY100" s="769"/>
      <c r="UTZ100" s="769"/>
      <c r="UUA100" s="769"/>
      <c r="UUB100" s="769"/>
      <c r="UUC100" s="769"/>
      <c r="UUD100" s="769"/>
      <c r="UUE100" s="769"/>
      <c r="UUF100" s="769"/>
      <c r="UUG100" s="769"/>
      <c r="UUH100" s="769"/>
      <c r="UUI100" s="769"/>
      <c r="UUJ100" s="769"/>
      <c r="UUK100" s="769"/>
      <c r="UUL100" s="769"/>
      <c r="UUM100" s="769"/>
      <c r="UUN100" s="769"/>
      <c r="UUO100" s="769"/>
      <c r="UUP100" s="769"/>
      <c r="UUQ100" s="769"/>
      <c r="UUR100" s="769"/>
      <c r="UUS100" s="769"/>
      <c r="UUT100" s="769"/>
      <c r="UUU100" s="769"/>
      <c r="UUV100" s="769"/>
      <c r="UUW100" s="769"/>
      <c r="UUX100" s="769"/>
      <c r="UUY100" s="769"/>
      <c r="UUZ100" s="769"/>
      <c r="UVA100" s="769"/>
      <c r="UVB100" s="769"/>
      <c r="UVC100" s="769"/>
      <c r="UVD100" s="769"/>
      <c r="UVE100" s="769"/>
      <c r="UVF100" s="769"/>
      <c r="UVG100" s="769"/>
      <c r="UVH100" s="769"/>
      <c r="UVI100" s="769"/>
      <c r="UVJ100" s="769"/>
      <c r="UVK100" s="769"/>
      <c r="UVL100" s="769"/>
      <c r="UVM100" s="769"/>
      <c r="UVN100" s="769"/>
      <c r="UVO100" s="769"/>
      <c r="UVP100" s="769"/>
      <c r="UVQ100" s="769"/>
      <c r="UVR100" s="769"/>
      <c r="UVS100" s="769"/>
      <c r="UVT100" s="769"/>
      <c r="UVU100" s="769"/>
      <c r="UVV100" s="769"/>
      <c r="UVW100" s="769"/>
      <c r="UVX100" s="769"/>
      <c r="UVY100" s="769"/>
      <c r="UVZ100" s="769"/>
      <c r="UWA100" s="769"/>
      <c r="UWB100" s="769"/>
      <c r="UWC100" s="769"/>
      <c r="UWD100" s="769"/>
      <c r="UWE100" s="769"/>
      <c r="UWF100" s="769"/>
      <c r="UWG100" s="769"/>
      <c r="UWH100" s="769"/>
      <c r="UWI100" s="769"/>
      <c r="UWJ100" s="769"/>
      <c r="UWK100" s="769"/>
      <c r="UWL100" s="769"/>
      <c r="UWM100" s="769"/>
      <c r="UWN100" s="769"/>
      <c r="UWO100" s="769"/>
      <c r="UWP100" s="769"/>
      <c r="UWQ100" s="769"/>
      <c r="UWR100" s="769"/>
      <c r="UWS100" s="769"/>
      <c r="UWT100" s="769"/>
      <c r="UWU100" s="769"/>
      <c r="UWV100" s="769"/>
      <c r="UWW100" s="769"/>
      <c r="UWX100" s="769"/>
      <c r="UWY100" s="769"/>
      <c r="UWZ100" s="769"/>
      <c r="UXA100" s="769"/>
      <c r="UXB100" s="769"/>
      <c r="UXC100" s="769"/>
      <c r="UXD100" s="769"/>
      <c r="UXE100" s="769"/>
      <c r="UXF100" s="769"/>
      <c r="UXG100" s="769"/>
      <c r="UXH100" s="769"/>
      <c r="UXI100" s="769"/>
      <c r="UXJ100" s="769"/>
      <c r="UXK100" s="769"/>
      <c r="UXL100" s="769"/>
      <c r="UXM100" s="769"/>
      <c r="UXN100" s="769"/>
      <c r="UXO100" s="769"/>
      <c r="UXP100" s="769"/>
      <c r="UXQ100" s="769"/>
      <c r="UXR100" s="769"/>
      <c r="UXS100" s="769"/>
      <c r="UXT100" s="769"/>
      <c r="UXU100" s="769"/>
      <c r="UXV100" s="769"/>
      <c r="UXW100" s="769"/>
      <c r="UXX100" s="769"/>
      <c r="UXY100" s="769"/>
      <c r="UXZ100" s="769"/>
      <c r="UYA100" s="769"/>
      <c r="UYB100" s="769"/>
      <c r="UYC100" s="769"/>
      <c r="UYD100" s="769"/>
      <c r="UYE100" s="769"/>
      <c r="UYF100" s="769"/>
      <c r="UYG100" s="769"/>
      <c r="UYH100" s="769"/>
      <c r="UYI100" s="769"/>
      <c r="UYJ100" s="769"/>
      <c r="UYK100" s="769"/>
      <c r="UYL100" s="769"/>
      <c r="UYM100" s="769"/>
      <c r="UYN100" s="769"/>
      <c r="UYO100" s="769"/>
      <c r="UYP100" s="769"/>
      <c r="UYQ100" s="769"/>
      <c r="UYR100" s="769"/>
      <c r="UYS100" s="769"/>
      <c r="UYT100" s="769"/>
      <c r="UYU100" s="769"/>
      <c r="UYV100" s="769"/>
      <c r="UYW100" s="769"/>
      <c r="UYX100" s="769"/>
      <c r="UYY100" s="769"/>
      <c r="UYZ100" s="769"/>
      <c r="UZA100" s="769"/>
      <c r="UZB100" s="769"/>
      <c r="UZC100" s="769"/>
      <c r="UZD100" s="769"/>
      <c r="UZE100" s="769"/>
      <c r="UZF100" s="769"/>
      <c r="UZG100" s="769"/>
      <c r="UZH100" s="769"/>
      <c r="UZI100" s="769"/>
      <c r="UZJ100" s="769"/>
      <c r="UZK100" s="769"/>
      <c r="UZL100" s="769"/>
      <c r="UZM100" s="769"/>
      <c r="UZN100" s="769"/>
      <c r="UZO100" s="769"/>
      <c r="UZP100" s="769"/>
      <c r="UZQ100" s="769"/>
      <c r="UZR100" s="769"/>
      <c r="UZS100" s="769"/>
      <c r="UZT100" s="769"/>
      <c r="UZU100" s="769"/>
      <c r="UZV100" s="769"/>
      <c r="UZW100" s="769"/>
      <c r="UZX100" s="769"/>
      <c r="UZY100" s="769"/>
      <c r="UZZ100" s="769"/>
      <c r="VAA100" s="769"/>
      <c r="VAB100" s="769"/>
      <c r="VAC100" s="769"/>
      <c r="VAD100" s="769"/>
      <c r="VAE100" s="769"/>
      <c r="VAF100" s="769"/>
      <c r="VAG100" s="769"/>
      <c r="VAH100" s="769"/>
      <c r="VAI100" s="769"/>
      <c r="VAJ100" s="769"/>
      <c r="VAK100" s="769"/>
      <c r="VAL100" s="769"/>
      <c r="VAM100" s="769"/>
      <c r="VAN100" s="769"/>
      <c r="VAO100" s="769"/>
      <c r="VAP100" s="769"/>
      <c r="VAQ100" s="769"/>
      <c r="VAR100" s="769"/>
      <c r="VAS100" s="769"/>
      <c r="VAT100" s="769"/>
      <c r="VAU100" s="769"/>
      <c r="VAV100" s="769"/>
      <c r="VAW100" s="769"/>
      <c r="VAX100" s="769"/>
      <c r="VAY100" s="769"/>
      <c r="VAZ100" s="769"/>
      <c r="VBA100" s="769"/>
      <c r="VBB100" s="769"/>
      <c r="VBC100" s="769"/>
      <c r="VBD100" s="769"/>
      <c r="VBE100" s="769"/>
      <c r="VBF100" s="769"/>
      <c r="VBG100" s="769"/>
      <c r="VBH100" s="769"/>
      <c r="VBI100" s="769"/>
      <c r="VBJ100" s="769"/>
      <c r="VBK100" s="769"/>
      <c r="VBL100" s="769"/>
      <c r="VBM100" s="769"/>
      <c r="VBN100" s="769"/>
      <c r="VBO100" s="769"/>
      <c r="VBP100" s="769"/>
      <c r="VBQ100" s="769"/>
      <c r="VBR100" s="769"/>
      <c r="VBS100" s="769"/>
      <c r="VBT100" s="769"/>
      <c r="VBU100" s="769"/>
      <c r="VBV100" s="769"/>
      <c r="VBW100" s="769"/>
      <c r="VBX100" s="769"/>
      <c r="VBY100" s="769"/>
      <c r="VBZ100" s="769"/>
      <c r="VCA100" s="769"/>
      <c r="VCB100" s="769"/>
      <c r="VCC100" s="769"/>
      <c r="VCD100" s="769"/>
      <c r="VCE100" s="769"/>
      <c r="VCF100" s="769"/>
      <c r="VCG100" s="769"/>
      <c r="VCH100" s="769"/>
      <c r="VCI100" s="769"/>
      <c r="VCJ100" s="769"/>
      <c r="VCK100" s="769"/>
      <c r="VCL100" s="769"/>
      <c r="VCM100" s="769"/>
      <c r="VCN100" s="769"/>
      <c r="VCO100" s="769"/>
      <c r="VCP100" s="769"/>
      <c r="VCQ100" s="769"/>
      <c r="VCR100" s="769"/>
      <c r="VCS100" s="769"/>
      <c r="VCT100" s="769"/>
      <c r="VCU100" s="769"/>
      <c r="VCV100" s="769"/>
      <c r="VCW100" s="769"/>
      <c r="VCX100" s="769"/>
      <c r="VCY100" s="769"/>
      <c r="VCZ100" s="769"/>
      <c r="VDA100" s="769"/>
      <c r="VDB100" s="769"/>
      <c r="VDC100" s="769"/>
      <c r="VDD100" s="769"/>
      <c r="VDE100" s="769"/>
      <c r="VDF100" s="769"/>
      <c r="VDG100" s="769"/>
      <c r="VDH100" s="769"/>
      <c r="VDI100" s="769"/>
      <c r="VDJ100" s="769"/>
      <c r="VDK100" s="769"/>
      <c r="VDL100" s="769"/>
      <c r="VDM100" s="769"/>
      <c r="VDN100" s="769"/>
      <c r="VDO100" s="769"/>
      <c r="VDP100" s="769"/>
      <c r="VDQ100" s="769"/>
      <c r="VDR100" s="769"/>
      <c r="VDS100" s="769"/>
      <c r="VDT100" s="769"/>
      <c r="VDU100" s="769"/>
      <c r="VDV100" s="769"/>
      <c r="VDW100" s="769"/>
      <c r="VDX100" s="769"/>
      <c r="VDY100" s="769"/>
      <c r="VDZ100" s="769"/>
      <c r="VEA100" s="769"/>
      <c r="VEB100" s="769"/>
      <c r="VEC100" s="769"/>
      <c r="VED100" s="769"/>
      <c r="VEE100" s="769"/>
      <c r="VEF100" s="769"/>
      <c r="VEG100" s="769"/>
      <c r="VEH100" s="769"/>
      <c r="VEI100" s="769"/>
      <c r="VEJ100" s="769"/>
      <c r="VEK100" s="769"/>
      <c r="VEL100" s="769"/>
      <c r="VEM100" s="769"/>
      <c r="VEN100" s="769"/>
      <c r="VEO100" s="769"/>
      <c r="VEP100" s="769"/>
      <c r="VEQ100" s="769"/>
      <c r="VER100" s="769"/>
      <c r="VES100" s="769"/>
      <c r="VET100" s="769"/>
      <c r="VEU100" s="769"/>
      <c r="VEV100" s="769"/>
      <c r="VEW100" s="769"/>
      <c r="VEX100" s="769"/>
      <c r="VEY100" s="769"/>
      <c r="VEZ100" s="769"/>
      <c r="VFA100" s="769"/>
      <c r="VFB100" s="769"/>
      <c r="VFC100" s="769"/>
      <c r="VFD100" s="769"/>
      <c r="VFE100" s="769"/>
      <c r="VFF100" s="769"/>
      <c r="VFG100" s="769"/>
      <c r="VFH100" s="769"/>
      <c r="VFI100" s="769"/>
      <c r="VFJ100" s="769"/>
      <c r="VFK100" s="769"/>
      <c r="VFL100" s="769"/>
      <c r="VFM100" s="769"/>
      <c r="VFN100" s="769"/>
      <c r="VFO100" s="769"/>
      <c r="VFP100" s="769"/>
      <c r="VFQ100" s="769"/>
      <c r="VFR100" s="769"/>
      <c r="VFS100" s="769"/>
      <c r="VFT100" s="769"/>
      <c r="VFU100" s="769"/>
      <c r="VFV100" s="769"/>
      <c r="VFW100" s="769"/>
      <c r="VFX100" s="769"/>
      <c r="VFY100" s="769"/>
      <c r="VFZ100" s="769"/>
      <c r="VGA100" s="769"/>
      <c r="VGB100" s="769"/>
      <c r="VGC100" s="769"/>
      <c r="VGD100" s="769"/>
      <c r="VGE100" s="769"/>
      <c r="VGF100" s="769"/>
      <c r="VGG100" s="769"/>
      <c r="VGH100" s="769"/>
      <c r="VGI100" s="769"/>
      <c r="VGJ100" s="769"/>
      <c r="VGK100" s="769"/>
      <c r="VGL100" s="769"/>
      <c r="VGM100" s="769"/>
      <c r="VGN100" s="769"/>
      <c r="VGO100" s="769"/>
      <c r="VGP100" s="769"/>
      <c r="VGQ100" s="769"/>
      <c r="VGR100" s="769"/>
      <c r="VGS100" s="769"/>
      <c r="VGT100" s="769"/>
      <c r="VGU100" s="769"/>
      <c r="VGV100" s="769"/>
      <c r="VGW100" s="769"/>
      <c r="VGX100" s="769"/>
      <c r="VGY100" s="769"/>
      <c r="VGZ100" s="769"/>
      <c r="VHA100" s="769"/>
      <c r="VHB100" s="769"/>
      <c r="VHC100" s="769"/>
      <c r="VHD100" s="769"/>
      <c r="VHE100" s="769"/>
      <c r="VHF100" s="769"/>
      <c r="VHG100" s="769"/>
      <c r="VHH100" s="769"/>
      <c r="VHI100" s="769"/>
      <c r="VHJ100" s="769"/>
      <c r="VHK100" s="769"/>
      <c r="VHL100" s="769"/>
      <c r="VHM100" s="769"/>
      <c r="VHN100" s="769"/>
      <c r="VHO100" s="769"/>
      <c r="VHP100" s="769"/>
      <c r="VHQ100" s="769"/>
      <c r="VHR100" s="769"/>
      <c r="VHS100" s="769"/>
      <c r="VHT100" s="769"/>
      <c r="VHU100" s="769"/>
      <c r="VHV100" s="769"/>
      <c r="VHW100" s="769"/>
      <c r="VHX100" s="769"/>
      <c r="VHY100" s="769"/>
      <c r="VHZ100" s="769"/>
      <c r="VIA100" s="769"/>
      <c r="VIB100" s="769"/>
      <c r="VIC100" s="769"/>
      <c r="VID100" s="769"/>
      <c r="VIE100" s="769"/>
      <c r="VIF100" s="769"/>
      <c r="VIG100" s="769"/>
      <c r="VIH100" s="769"/>
      <c r="VII100" s="769"/>
      <c r="VIJ100" s="769"/>
      <c r="VIK100" s="769"/>
      <c r="VIL100" s="769"/>
      <c r="VIM100" s="769"/>
      <c r="VIN100" s="769"/>
      <c r="VIO100" s="769"/>
      <c r="VIP100" s="769"/>
      <c r="VIQ100" s="769"/>
      <c r="VIR100" s="769"/>
      <c r="VIS100" s="769"/>
      <c r="VIT100" s="769"/>
      <c r="VIU100" s="769"/>
      <c r="VIV100" s="769"/>
      <c r="VIW100" s="769"/>
      <c r="VIX100" s="769"/>
      <c r="VIY100" s="769"/>
      <c r="VIZ100" s="769"/>
      <c r="VJA100" s="769"/>
      <c r="VJB100" s="769"/>
      <c r="VJC100" s="769"/>
      <c r="VJD100" s="769"/>
      <c r="VJE100" s="769"/>
      <c r="VJF100" s="769"/>
      <c r="VJG100" s="769"/>
      <c r="VJH100" s="769"/>
      <c r="VJI100" s="769"/>
      <c r="VJJ100" s="769"/>
      <c r="VJK100" s="769"/>
      <c r="VJL100" s="769"/>
      <c r="VJM100" s="769"/>
      <c r="VJN100" s="769"/>
      <c r="VJO100" s="769"/>
      <c r="VJP100" s="769"/>
      <c r="VJQ100" s="769"/>
      <c r="VJR100" s="769"/>
      <c r="VJS100" s="769"/>
      <c r="VJT100" s="769"/>
      <c r="VJU100" s="769"/>
      <c r="VJV100" s="769"/>
      <c r="VJW100" s="769"/>
      <c r="VJX100" s="769"/>
      <c r="VJY100" s="769"/>
      <c r="VJZ100" s="769"/>
      <c r="VKA100" s="769"/>
      <c r="VKB100" s="769"/>
      <c r="VKC100" s="769"/>
      <c r="VKD100" s="769"/>
      <c r="VKE100" s="769"/>
      <c r="VKF100" s="769"/>
      <c r="VKG100" s="769"/>
      <c r="VKH100" s="769"/>
      <c r="VKI100" s="769"/>
      <c r="VKJ100" s="769"/>
      <c r="VKK100" s="769"/>
      <c r="VKL100" s="769"/>
      <c r="VKM100" s="769"/>
      <c r="VKN100" s="769"/>
      <c r="VKO100" s="769"/>
      <c r="VKP100" s="769"/>
      <c r="VKQ100" s="769"/>
      <c r="VKR100" s="769"/>
      <c r="VKS100" s="769"/>
      <c r="VKT100" s="769"/>
      <c r="VKU100" s="769"/>
      <c r="VKV100" s="769"/>
      <c r="VKW100" s="769"/>
      <c r="VKX100" s="769"/>
      <c r="VKY100" s="769"/>
      <c r="VKZ100" s="769"/>
      <c r="VLA100" s="769"/>
      <c r="VLB100" s="769"/>
      <c r="VLC100" s="769"/>
      <c r="VLD100" s="769"/>
      <c r="VLE100" s="769"/>
      <c r="VLF100" s="769"/>
      <c r="VLG100" s="769"/>
      <c r="VLH100" s="769"/>
      <c r="VLI100" s="769"/>
      <c r="VLJ100" s="769"/>
      <c r="VLK100" s="769"/>
      <c r="VLL100" s="769"/>
      <c r="VLM100" s="769"/>
      <c r="VLN100" s="769"/>
      <c r="VLO100" s="769"/>
      <c r="VLP100" s="769"/>
      <c r="VLQ100" s="769"/>
      <c r="VLR100" s="769"/>
      <c r="VLS100" s="769"/>
      <c r="VLT100" s="769"/>
      <c r="VLU100" s="769"/>
      <c r="VLV100" s="769"/>
      <c r="VLW100" s="769"/>
      <c r="VLX100" s="769"/>
      <c r="VLY100" s="769"/>
      <c r="VLZ100" s="769"/>
      <c r="VMA100" s="769"/>
      <c r="VMB100" s="769"/>
      <c r="VMC100" s="769"/>
      <c r="VMD100" s="769"/>
      <c r="VME100" s="769"/>
      <c r="VMF100" s="769"/>
      <c r="VMG100" s="769"/>
      <c r="VMH100" s="769"/>
      <c r="VMI100" s="769"/>
      <c r="VMJ100" s="769"/>
      <c r="VMK100" s="769"/>
      <c r="VML100" s="769"/>
      <c r="VMM100" s="769"/>
      <c r="VMN100" s="769"/>
      <c r="VMO100" s="769"/>
      <c r="VMP100" s="769"/>
      <c r="VMQ100" s="769"/>
      <c r="VMR100" s="769"/>
      <c r="VMS100" s="769"/>
      <c r="VMT100" s="769"/>
      <c r="VMU100" s="769"/>
      <c r="VMV100" s="769"/>
      <c r="VMW100" s="769"/>
      <c r="VMX100" s="769"/>
      <c r="VMY100" s="769"/>
      <c r="VMZ100" s="769"/>
      <c r="VNA100" s="769"/>
      <c r="VNB100" s="769"/>
      <c r="VNC100" s="769"/>
      <c r="VND100" s="769"/>
      <c r="VNE100" s="769"/>
      <c r="VNF100" s="769"/>
      <c r="VNG100" s="769"/>
      <c r="VNH100" s="769"/>
      <c r="VNI100" s="769"/>
      <c r="VNJ100" s="769"/>
      <c r="VNK100" s="769"/>
      <c r="VNL100" s="769"/>
      <c r="VNM100" s="769"/>
      <c r="VNN100" s="769"/>
      <c r="VNO100" s="769"/>
      <c r="VNP100" s="769"/>
      <c r="VNQ100" s="769"/>
      <c r="VNR100" s="769"/>
      <c r="VNS100" s="769"/>
      <c r="VNT100" s="769"/>
      <c r="VNU100" s="769"/>
      <c r="VNV100" s="769"/>
      <c r="VNW100" s="769"/>
      <c r="VNX100" s="769"/>
      <c r="VNY100" s="769"/>
      <c r="VNZ100" s="769"/>
      <c r="VOA100" s="769"/>
      <c r="VOB100" s="769"/>
      <c r="VOC100" s="769"/>
      <c r="VOD100" s="769"/>
      <c r="VOE100" s="769"/>
      <c r="VOF100" s="769"/>
      <c r="VOG100" s="769"/>
      <c r="VOH100" s="769"/>
      <c r="VOI100" s="769"/>
      <c r="VOJ100" s="769"/>
      <c r="VOK100" s="769"/>
      <c r="VOL100" s="769"/>
      <c r="VOM100" s="769"/>
      <c r="VON100" s="769"/>
      <c r="VOO100" s="769"/>
      <c r="VOP100" s="769"/>
      <c r="VOQ100" s="769"/>
      <c r="VOR100" s="769"/>
      <c r="VOS100" s="769"/>
      <c r="VOT100" s="769"/>
      <c r="VOU100" s="769"/>
      <c r="VOV100" s="769"/>
      <c r="VOW100" s="769"/>
      <c r="VOX100" s="769"/>
      <c r="VOY100" s="769"/>
      <c r="VOZ100" s="769"/>
      <c r="VPA100" s="769"/>
      <c r="VPB100" s="769"/>
      <c r="VPC100" s="769"/>
      <c r="VPD100" s="769"/>
      <c r="VPE100" s="769"/>
      <c r="VPF100" s="769"/>
      <c r="VPG100" s="769"/>
      <c r="VPH100" s="769"/>
      <c r="VPI100" s="769"/>
      <c r="VPJ100" s="769"/>
      <c r="VPK100" s="769"/>
      <c r="VPL100" s="769"/>
      <c r="VPM100" s="769"/>
      <c r="VPN100" s="769"/>
      <c r="VPO100" s="769"/>
      <c r="VPP100" s="769"/>
      <c r="VPQ100" s="769"/>
      <c r="VPR100" s="769"/>
      <c r="VPS100" s="769"/>
      <c r="VPT100" s="769"/>
      <c r="VPU100" s="769"/>
      <c r="VPV100" s="769"/>
      <c r="VPW100" s="769"/>
      <c r="VPX100" s="769"/>
      <c r="VPY100" s="769"/>
      <c r="VPZ100" s="769"/>
      <c r="VQA100" s="769"/>
      <c r="VQB100" s="769"/>
      <c r="VQC100" s="769"/>
      <c r="VQD100" s="769"/>
      <c r="VQE100" s="769"/>
      <c r="VQF100" s="769"/>
      <c r="VQG100" s="769"/>
      <c r="VQH100" s="769"/>
      <c r="VQI100" s="769"/>
      <c r="VQJ100" s="769"/>
      <c r="VQK100" s="769"/>
      <c r="VQL100" s="769"/>
      <c r="VQM100" s="769"/>
      <c r="VQN100" s="769"/>
      <c r="VQO100" s="769"/>
      <c r="VQP100" s="769"/>
      <c r="VQQ100" s="769"/>
      <c r="VQR100" s="769"/>
      <c r="VQS100" s="769"/>
      <c r="VQT100" s="769"/>
      <c r="VQU100" s="769"/>
      <c r="VQV100" s="769"/>
      <c r="VQW100" s="769"/>
      <c r="VQX100" s="769"/>
      <c r="VQY100" s="769"/>
      <c r="VQZ100" s="769"/>
      <c r="VRA100" s="769"/>
      <c r="VRB100" s="769"/>
      <c r="VRC100" s="769"/>
      <c r="VRD100" s="769"/>
      <c r="VRE100" s="769"/>
      <c r="VRF100" s="769"/>
      <c r="VRG100" s="769"/>
      <c r="VRH100" s="769"/>
      <c r="VRI100" s="769"/>
      <c r="VRJ100" s="769"/>
      <c r="VRK100" s="769"/>
      <c r="VRL100" s="769"/>
      <c r="VRM100" s="769"/>
      <c r="VRN100" s="769"/>
      <c r="VRO100" s="769"/>
      <c r="VRP100" s="769"/>
      <c r="VRQ100" s="769"/>
      <c r="VRR100" s="769"/>
      <c r="VRS100" s="769"/>
      <c r="VRT100" s="769"/>
      <c r="VRU100" s="769"/>
      <c r="VRV100" s="769"/>
      <c r="VRW100" s="769"/>
      <c r="VRX100" s="769"/>
      <c r="VRY100" s="769"/>
      <c r="VRZ100" s="769"/>
      <c r="VSA100" s="769"/>
      <c r="VSB100" s="769"/>
      <c r="VSC100" s="769"/>
      <c r="VSD100" s="769"/>
      <c r="VSE100" s="769"/>
      <c r="VSF100" s="769"/>
      <c r="VSG100" s="769"/>
      <c r="VSH100" s="769"/>
      <c r="VSI100" s="769"/>
      <c r="VSJ100" s="769"/>
      <c r="VSK100" s="769"/>
      <c r="VSL100" s="769"/>
      <c r="VSM100" s="769"/>
      <c r="VSN100" s="769"/>
      <c r="VSO100" s="769"/>
      <c r="VSP100" s="769"/>
      <c r="VSQ100" s="769"/>
      <c r="VSR100" s="769"/>
      <c r="VSS100" s="769"/>
      <c r="VST100" s="769"/>
      <c r="VSU100" s="769"/>
      <c r="VSV100" s="769"/>
      <c r="VSW100" s="769"/>
      <c r="VSX100" s="769"/>
      <c r="VSY100" s="769"/>
      <c r="VSZ100" s="769"/>
      <c r="VTA100" s="769"/>
      <c r="VTB100" s="769"/>
      <c r="VTC100" s="769"/>
      <c r="VTD100" s="769"/>
      <c r="VTE100" s="769"/>
      <c r="VTF100" s="769"/>
      <c r="VTG100" s="769"/>
      <c r="VTH100" s="769"/>
      <c r="VTI100" s="769"/>
      <c r="VTJ100" s="769"/>
      <c r="VTK100" s="769"/>
      <c r="VTL100" s="769"/>
      <c r="VTM100" s="769"/>
      <c r="VTN100" s="769"/>
      <c r="VTO100" s="769"/>
      <c r="VTP100" s="769"/>
      <c r="VTQ100" s="769"/>
      <c r="VTR100" s="769"/>
      <c r="VTS100" s="769"/>
      <c r="VTT100" s="769"/>
      <c r="VTU100" s="769"/>
      <c r="VTV100" s="769"/>
      <c r="VTW100" s="769"/>
      <c r="VTX100" s="769"/>
      <c r="VTY100" s="769"/>
      <c r="VTZ100" s="769"/>
      <c r="VUA100" s="769"/>
      <c r="VUB100" s="769"/>
      <c r="VUC100" s="769"/>
      <c r="VUD100" s="769"/>
      <c r="VUE100" s="769"/>
      <c r="VUF100" s="769"/>
      <c r="VUG100" s="769"/>
      <c r="VUH100" s="769"/>
      <c r="VUI100" s="769"/>
      <c r="VUJ100" s="769"/>
      <c r="VUK100" s="769"/>
      <c r="VUL100" s="769"/>
      <c r="VUM100" s="769"/>
      <c r="VUN100" s="769"/>
      <c r="VUO100" s="769"/>
      <c r="VUP100" s="769"/>
      <c r="VUQ100" s="769"/>
      <c r="VUR100" s="769"/>
      <c r="VUS100" s="769"/>
      <c r="VUT100" s="769"/>
      <c r="VUU100" s="769"/>
      <c r="VUV100" s="769"/>
      <c r="VUW100" s="769"/>
      <c r="VUX100" s="769"/>
      <c r="VUY100" s="769"/>
      <c r="VUZ100" s="769"/>
      <c r="VVA100" s="769"/>
      <c r="VVB100" s="769"/>
      <c r="VVC100" s="769"/>
      <c r="VVD100" s="769"/>
      <c r="VVE100" s="769"/>
      <c r="VVF100" s="769"/>
      <c r="VVG100" s="769"/>
      <c r="VVH100" s="769"/>
      <c r="VVI100" s="769"/>
      <c r="VVJ100" s="769"/>
      <c r="VVK100" s="769"/>
      <c r="VVL100" s="769"/>
      <c r="VVM100" s="769"/>
      <c r="VVN100" s="769"/>
      <c r="VVO100" s="769"/>
      <c r="VVP100" s="769"/>
      <c r="VVQ100" s="769"/>
      <c r="VVR100" s="769"/>
      <c r="VVS100" s="769"/>
      <c r="VVT100" s="769"/>
      <c r="VVU100" s="769"/>
      <c r="VVV100" s="769"/>
      <c r="VVW100" s="769"/>
      <c r="VVX100" s="769"/>
      <c r="VVY100" s="769"/>
      <c r="VVZ100" s="769"/>
      <c r="VWA100" s="769"/>
      <c r="VWB100" s="769"/>
      <c r="VWC100" s="769"/>
      <c r="VWD100" s="769"/>
      <c r="VWE100" s="769"/>
      <c r="VWF100" s="769"/>
      <c r="VWG100" s="769"/>
      <c r="VWH100" s="769"/>
      <c r="VWI100" s="769"/>
      <c r="VWJ100" s="769"/>
      <c r="VWK100" s="769"/>
      <c r="VWL100" s="769"/>
      <c r="VWM100" s="769"/>
      <c r="VWN100" s="769"/>
      <c r="VWO100" s="769"/>
      <c r="VWP100" s="769"/>
      <c r="VWQ100" s="769"/>
      <c r="VWR100" s="769"/>
      <c r="VWS100" s="769"/>
      <c r="VWT100" s="769"/>
      <c r="VWU100" s="769"/>
      <c r="VWV100" s="769"/>
      <c r="VWW100" s="769"/>
      <c r="VWX100" s="769"/>
      <c r="VWY100" s="769"/>
      <c r="VWZ100" s="769"/>
      <c r="VXA100" s="769"/>
      <c r="VXB100" s="769"/>
      <c r="VXC100" s="769"/>
      <c r="VXD100" s="769"/>
      <c r="VXE100" s="769"/>
      <c r="VXF100" s="769"/>
      <c r="VXG100" s="769"/>
      <c r="VXH100" s="769"/>
      <c r="VXI100" s="769"/>
      <c r="VXJ100" s="769"/>
      <c r="VXK100" s="769"/>
      <c r="VXL100" s="769"/>
      <c r="VXM100" s="769"/>
      <c r="VXN100" s="769"/>
      <c r="VXO100" s="769"/>
      <c r="VXP100" s="769"/>
      <c r="VXQ100" s="769"/>
      <c r="VXR100" s="769"/>
      <c r="VXS100" s="769"/>
      <c r="VXT100" s="769"/>
      <c r="VXU100" s="769"/>
      <c r="VXV100" s="769"/>
      <c r="VXW100" s="769"/>
      <c r="VXX100" s="769"/>
      <c r="VXY100" s="769"/>
      <c r="VXZ100" s="769"/>
      <c r="VYA100" s="769"/>
      <c r="VYB100" s="769"/>
      <c r="VYC100" s="769"/>
      <c r="VYD100" s="769"/>
      <c r="VYE100" s="769"/>
      <c r="VYF100" s="769"/>
      <c r="VYG100" s="769"/>
      <c r="VYH100" s="769"/>
      <c r="VYI100" s="769"/>
      <c r="VYJ100" s="769"/>
      <c r="VYK100" s="769"/>
      <c r="VYL100" s="769"/>
      <c r="VYM100" s="769"/>
      <c r="VYN100" s="769"/>
      <c r="VYO100" s="769"/>
      <c r="VYP100" s="769"/>
      <c r="VYQ100" s="769"/>
      <c r="VYR100" s="769"/>
      <c r="VYS100" s="769"/>
      <c r="VYT100" s="769"/>
      <c r="VYU100" s="769"/>
      <c r="VYV100" s="769"/>
      <c r="VYW100" s="769"/>
      <c r="VYX100" s="769"/>
      <c r="VYY100" s="769"/>
      <c r="VYZ100" s="769"/>
      <c r="VZA100" s="769"/>
      <c r="VZB100" s="769"/>
      <c r="VZC100" s="769"/>
      <c r="VZD100" s="769"/>
      <c r="VZE100" s="769"/>
      <c r="VZF100" s="769"/>
      <c r="VZG100" s="769"/>
      <c r="VZH100" s="769"/>
      <c r="VZI100" s="769"/>
      <c r="VZJ100" s="769"/>
      <c r="VZK100" s="769"/>
      <c r="VZL100" s="769"/>
      <c r="VZM100" s="769"/>
      <c r="VZN100" s="769"/>
      <c r="VZO100" s="769"/>
      <c r="VZP100" s="769"/>
      <c r="VZQ100" s="769"/>
      <c r="VZR100" s="769"/>
      <c r="VZS100" s="769"/>
      <c r="VZT100" s="769"/>
      <c r="VZU100" s="769"/>
      <c r="VZV100" s="769"/>
      <c r="VZW100" s="769"/>
      <c r="VZX100" s="769"/>
      <c r="VZY100" s="769"/>
      <c r="VZZ100" s="769"/>
      <c r="WAA100" s="769"/>
      <c r="WAB100" s="769"/>
      <c r="WAC100" s="769"/>
      <c r="WAD100" s="769"/>
      <c r="WAE100" s="769"/>
      <c r="WAF100" s="769"/>
      <c r="WAG100" s="769"/>
      <c r="WAH100" s="769"/>
      <c r="WAI100" s="769"/>
      <c r="WAJ100" s="769"/>
      <c r="WAK100" s="769"/>
      <c r="WAL100" s="769"/>
      <c r="WAM100" s="769"/>
      <c r="WAN100" s="769"/>
      <c r="WAO100" s="769"/>
      <c r="WAP100" s="769"/>
      <c r="WAQ100" s="769"/>
      <c r="WAR100" s="769"/>
      <c r="WAS100" s="769"/>
      <c r="WAT100" s="769"/>
      <c r="WAU100" s="769"/>
      <c r="WAV100" s="769"/>
      <c r="WAW100" s="769"/>
      <c r="WAX100" s="769"/>
      <c r="WAY100" s="769"/>
      <c r="WAZ100" s="769"/>
      <c r="WBA100" s="769"/>
      <c r="WBB100" s="769"/>
      <c r="WBC100" s="769"/>
      <c r="WBD100" s="769"/>
      <c r="WBE100" s="769"/>
      <c r="WBF100" s="769"/>
      <c r="WBG100" s="769"/>
      <c r="WBH100" s="769"/>
      <c r="WBI100" s="769"/>
      <c r="WBJ100" s="769"/>
      <c r="WBK100" s="769"/>
      <c r="WBL100" s="769"/>
      <c r="WBM100" s="769"/>
      <c r="WBN100" s="769"/>
      <c r="WBO100" s="769"/>
      <c r="WBP100" s="769"/>
      <c r="WBQ100" s="769"/>
      <c r="WBR100" s="769"/>
      <c r="WBS100" s="769"/>
      <c r="WBT100" s="769"/>
      <c r="WBU100" s="769"/>
      <c r="WBV100" s="769"/>
      <c r="WBW100" s="769"/>
      <c r="WBX100" s="769"/>
      <c r="WBY100" s="769"/>
      <c r="WBZ100" s="769"/>
      <c r="WCA100" s="769"/>
      <c r="WCB100" s="769"/>
      <c r="WCC100" s="769"/>
      <c r="WCD100" s="769"/>
      <c r="WCE100" s="769"/>
      <c r="WCF100" s="769"/>
      <c r="WCG100" s="769"/>
      <c r="WCH100" s="769"/>
      <c r="WCI100" s="769"/>
      <c r="WCJ100" s="769"/>
      <c r="WCK100" s="769"/>
      <c r="WCL100" s="769"/>
      <c r="WCM100" s="769"/>
      <c r="WCN100" s="769"/>
      <c r="WCO100" s="769"/>
      <c r="WCP100" s="769"/>
      <c r="WCQ100" s="769"/>
      <c r="WCR100" s="769"/>
      <c r="WCS100" s="769"/>
      <c r="WCT100" s="769"/>
      <c r="WCU100" s="769"/>
      <c r="WCV100" s="769"/>
      <c r="WCW100" s="769"/>
      <c r="WCX100" s="769"/>
      <c r="WCY100" s="769"/>
      <c r="WCZ100" s="769"/>
      <c r="WDA100" s="769"/>
      <c r="WDB100" s="769"/>
      <c r="WDC100" s="769"/>
      <c r="WDD100" s="769"/>
      <c r="WDE100" s="769"/>
      <c r="WDF100" s="769"/>
      <c r="WDG100" s="769"/>
      <c r="WDH100" s="769"/>
      <c r="WDI100" s="769"/>
      <c r="WDJ100" s="769"/>
      <c r="WDK100" s="769"/>
      <c r="WDL100" s="769"/>
      <c r="WDM100" s="769"/>
      <c r="WDN100" s="769"/>
      <c r="WDO100" s="769"/>
      <c r="WDP100" s="769"/>
      <c r="WDQ100" s="769"/>
      <c r="WDR100" s="769"/>
      <c r="WDS100" s="769"/>
      <c r="WDT100" s="769"/>
      <c r="WDU100" s="769"/>
      <c r="WDV100" s="769"/>
      <c r="WDW100" s="769"/>
      <c r="WDX100" s="769"/>
      <c r="WDY100" s="769"/>
      <c r="WDZ100" s="769"/>
      <c r="WEA100" s="769"/>
      <c r="WEB100" s="769"/>
      <c r="WEC100" s="769"/>
      <c r="WED100" s="769"/>
      <c r="WEE100" s="769"/>
      <c r="WEF100" s="769"/>
      <c r="WEG100" s="769"/>
      <c r="WEH100" s="769"/>
      <c r="WEI100" s="769"/>
      <c r="WEJ100" s="769"/>
      <c r="WEK100" s="769"/>
      <c r="WEL100" s="769"/>
      <c r="WEM100" s="769"/>
      <c r="WEN100" s="769"/>
      <c r="WEO100" s="769"/>
      <c r="WEP100" s="769"/>
      <c r="WEQ100" s="769"/>
      <c r="WER100" s="769"/>
      <c r="WES100" s="769"/>
      <c r="WET100" s="769"/>
      <c r="WEU100" s="769"/>
      <c r="WEV100" s="769"/>
      <c r="WEW100" s="769"/>
      <c r="WEX100" s="769"/>
      <c r="WEY100" s="769"/>
      <c r="WEZ100" s="769"/>
      <c r="WFA100" s="769"/>
      <c r="WFB100" s="769"/>
      <c r="WFC100" s="769"/>
      <c r="WFD100" s="769"/>
      <c r="WFE100" s="769"/>
      <c r="WFF100" s="769"/>
      <c r="WFG100" s="769"/>
      <c r="WFH100" s="769"/>
      <c r="WFI100" s="769"/>
      <c r="WFJ100" s="769"/>
      <c r="WFK100" s="769"/>
      <c r="WFL100" s="769"/>
      <c r="WFM100" s="769"/>
      <c r="WFN100" s="769"/>
      <c r="WFO100" s="769"/>
      <c r="WFP100" s="769"/>
      <c r="WFQ100" s="769"/>
      <c r="WFR100" s="769"/>
      <c r="WFS100" s="769"/>
      <c r="WFT100" s="769"/>
      <c r="WFU100" s="769"/>
      <c r="WFV100" s="769"/>
      <c r="WFW100" s="769"/>
      <c r="WFX100" s="769"/>
      <c r="WFY100" s="769"/>
      <c r="WFZ100" s="769"/>
      <c r="WGA100" s="769"/>
      <c r="WGB100" s="769"/>
      <c r="WGC100" s="769"/>
      <c r="WGD100" s="769"/>
      <c r="WGE100" s="769"/>
      <c r="WGF100" s="769"/>
      <c r="WGG100" s="769"/>
      <c r="WGH100" s="769"/>
      <c r="WGI100" s="769"/>
      <c r="WGJ100" s="769"/>
      <c r="WGK100" s="769"/>
      <c r="WGL100" s="769"/>
      <c r="WGM100" s="769"/>
      <c r="WGN100" s="769"/>
      <c r="WGO100" s="769"/>
      <c r="WGP100" s="769"/>
      <c r="WGQ100" s="769"/>
      <c r="WGR100" s="769"/>
      <c r="WGS100" s="769"/>
      <c r="WGT100" s="769"/>
      <c r="WGU100" s="769"/>
      <c r="WGV100" s="769"/>
      <c r="WGW100" s="769"/>
      <c r="WGX100" s="769"/>
      <c r="WGY100" s="769"/>
      <c r="WGZ100" s="769"/>
      <c r="WHA100" s="769"/>
      <c r="WHB100" s="769"/>
      <c r="WHC100" s="769"/>
      <c r="WHD100" s="769"/>
      <c r="WHE100" s="769"/>
      <c r="WHF100" s="769"/>
      <c r="WHG100" s="769"/>
      <c r="WHH100" s="769"/>
      <c r="WHI100" s="769"/>
      <c r="WHJ100" s="769"/>
      <c r="WHK100" s="769"/>
      <c r="WHL100" s="769"/>
      <c r="WHM100" s="769"/>
      <c r="WHN100" s="769"/>
      <c r="WHO100" s="769"/>
      <c r="WHP100" s="769"/>
      <c r="WHQ100" s="769"/>
      <c r="WHR100" s="769"/>
      <c r="WHS100" s="769"/>
      <c r="WHT100" s="769"/>
      <c r="WHU100" s="769"/>
      <c r="WHV100" s="769"/>
      <c r="WHW100" s="769"/>
      <c r="WHX100" s="769"/>
      <c r="WHY100" s="769"/>
      <c r="WHZ100" s="769"/>
      <c r="WIA100" s="769"/>
      <c r="WIB100" s="769"/>
      <c r="WIC100" s="769"/>
      <c r="WID100" s="769"/>
      <c r="WIE100" s="769"/>
      <c r="WIF100" s="769"/>
      <c r="WIG100" s="769"/>
      <c r="WIH100" s="769"/>
      <c r="WII100" s="769"/>
      <c r="WIJ100" s="769"/>
      <c r="WIK100" s="769"/>
      <c r="WIL100" s="769"/>
      <c r="WIM100" s="769"/>
      <c r="WIN100" s="769"/>
      <c r="WIO100" s="769"/>
      <c r="WIP100" s="769"/>
      <c r="WIQ100" s="769"/>
      <c r="WIR100" s="769"/>
      <c r="WIS100" s="769"/>
      <c r="WIT100" s="769"/>
      <c r="WIU100" s="769"/>
      <c r="WIV100" s="769"/>
      <c r="WIW100" s="769"/>
      <c r="WIX100" s="769"/>
      <c r="WIY100" s="769"/>
      <c r="WIZ100" s="769"/>
      <c r="WJA100" s="769"/>
      <c r="WJB100" s="769"/>
      <c r="WJC100" s="769"/>
      <c r="WJD100" s="769"/>
      <c r="WJE100" s="769"/>
      <c r="WJF100" s="769"/>
      <c r="WJG100" s="769"/>
      <c r="WJH100" s="769"/>
      <c r="WJI100" s="769"/>
      <c r="WJJ100" s="769"/>
      <c r="WJK100" s="769"/>
      <c r="WJL100" s="769"/>
      <c r="WJM100" s="769"/>
      <c r="WJN100" s="769"/>
      <c r="WJO100" s="769"/>
      <c r="WJP100" s="769"/>
      <c r="WJQ100" s="769"/>
      <c r="WJR100" s="769"/>
      <c r="WJS100" s="769"/>
      <c r="WJT100" s="769"/>
      <c r="WJU100" s="769"/>
      <c r="WJV100" s="769"/>
      <c r="WJW100" s="769"/>
      <c r="WJX100" s="769"/>
      <c r="WJY100" s="769"/>
      <c r="WJZ100" s="769"/>
      <c r="WKA100" s="769"/>
      <c r="WKB100" s="769"/>
      <c r="WKC100" s="769"/>
      <c r="WKD100" s="769"/>
      <c r="WKE100" s="769"/>
      <c r="WKF100" s="769"/>
      <c r="WKG100" s="769"/>
      <c r="WKH100" s="769"/>
      <c r="WKI100" s="769"/>
      <c r="WKJ100" s="769"/>
      <c r="WKK100" s="769"/>
      <c r="WKL100" s="769"/>
      <c r="WKM100" s="769"/>
      <c r="WKN100" s="769"/>
      <c r="WKO100" s="769"/>
      <c r="WKP100" s="769"/>
      <c r="WKQ100" s="769"/>
      <c r="WKR100" s="769"/>
      <c r="WKS100" s="769"/>
      <c r="WKT100" s="769"/>
      <c r="WKU100" s="769"/>
      <c r="WKV100" s="769"/>
      <c r="WKW100" s="769"/>
      <c r="WKX100" s="769"/>
      <c r="WKY100" s="769"/>
      <c r="WKZ100" s="769"/>
      <c r="WLA100" s="769"/>
      <c r="WLB100" s="769"/>
      <c r="WLC100" s="769"/>
      <c r="WLD100" s="769"/>
      <c r="WLE100" s="769"/>
      <c r="WLF100" s="769"/>
      <c r="WLG100" s="769"/>
      <c r="WLH100" s="769"/>
      <c r="WLI100" s="769"/>
      <c r="WLJ100" s="769"/>
      <c r="WLK100" s="769"/>
      <c r="WLL100" s="769"/>
      <c r="WLM100" s="769"/>
      <c r="WLN100" s="769"/>
      <c r="WLO100" s="769"/>
      <c r="WLP100" s="769"/>
      <c r="WLQ100" s="769"/>
      <c r="WLR100" s="769"/>
      <c r="WLS100" s="769"/>
      <c r="WLT100" s="769"/>
      <c r="WLU100" s="769"/>
      <c r="WLV100" s="769"/>
      <c r="WLW100" s="769"/>
      <c r="WLX100" s="769"/>
      <c r="WLY100" s="769"/>
      <c r="WLZ100" s="769"/>
      <c r="WMA100" s="769"/>
      <c r="WMB100" s="769"/>
      <c r="WMC100" s="769"/>
      <c r="WMD100" s="769"/>
      <c r="WME100" s="769"/>
      <c r="WMF100" s="769"/>
      <c r="WMG100" s="769"/>
      <c r="WMH100" s="769"/>
      <c r="WMI100" s="769"/>
      <c r="WMJ100" s="769"/>
      <c r="WMK100" s="769"/>
      <c r="WML100" s="769"/>
      <c r="WMM100" s="769"/>
      <c r="WMN100" s="769"/>
      <c r="WMO100" s="769"/>
      <c r="WMP100" s="769"/>
      <c r="WMQ100" s="769"/>
      <c r="WMR100" s="769"/>
      <c r="WMS100" s="769"/>
      <c r="WMT100" s="769"/>
      <c r="WMU100" s="769"/>
      <c r="WMV100" s="769"/>
      <c r="WMW100" s="769"/>
      <c r="WMX100" s="769"/>
      <c r="WMY100" s="769"/>
      <c r="WMZ100" s="769"/>
      <c r="WNA100" s="769"/>
      <c r="WNB100" s="769"/>
      <c r="WNC100" s="769"/>
      <c r="WND100" s="769"/>
      <c r="WNE100" s="769"/>
      <c r="WNF100" s="769"/>
      <c r="WNG100" s="769"/>
      <c r="WNH100" s="769"/>
      <c r="WNI100" s="769"/>
      <c r="WNJ100" s="769"/>
      <c r="WNK100" s="769"/>
      <c r="WNL100" s="769"/>
      <c r="WNM100" s="769"/>
      <c r="WNN100" s="769"/>
      <c r="WNO100" s="769"/>
      <c r="WNP100" s="769"/>
      <c r="WNQ100" s="769"/>
      <c r="WNR100" s="769"/>
      <c r="WNS100" s="769"/>
      <c r="WNT100" s="769"/>
      <c r="WNU100" s="769"/>
      <c r="WNV100" s="769"/>
      <c r="WNW100" s="769"/>
      <c r="WNX100" s="769"/>
      <c r="WNY100" s="769"/>
      <c r="WNZ100" s="769"/>
      <c r="WOA100" s="769"/>
      <c r="WOB100" s="769"/>
      <c r="WOC100" s="769"/>
      <c r="WOD100" s="769"/>
      <c r="WOE100" s="769"/>
      <c r="WOF100" s="769"/>
      <c r="WOG100" s="769"/>
      <c r="WOH100" s="769"/>
      <c r="WOI100" s="769"/>
      <c r="WOJ100" s="769"/>
      <c r="WOK100" s="769"/>
      <c r="WOL100" s="769"/>
      <c r="WOM100" s="769"/>
      <c r="WON100" s="769"/>
      <c r="WOO100" s="769"/>
      <c r="WOP100" s="769"/>
      <c r="WOQ100" s="769"/>
      <c r="WOR100" s="769"/>
      <c r="WOS100" s="769"/>
      <c r="WOT100" s="769"/>
      <c r="WOU100" s="769"/>
      <c r="WOV100" s="769"/>
      <c r="WOW100" s="769"/>
      <c r="WOX100" s="769"/>
      <c r="WOY100" s="769"/>
      <c r="WOZ100" s="769"/>
      <c r="WPA100" s="769"/>
      <c r="WPB100" s="769"/>
      <c r="WPC100" s="769"/>
      <c r="WPD100" s="769"/>
      <c r="WPE100" s="769"/>
      <c r="WPF100" s="769"/>
      <c r="WPG100" s="769"/>
      <c r="WPH100" s="769"/>
      <c r="WPI100" s="769"/>
      <c r="WPJ100" s="769"/>
      <c r="WPK100" s="769"/>
      <c r="WPL100" s="769"/>
      <c r="WPM100" s="769"/>
      <c r="WPN100" s="769"/>
      <c r="WPO100" s="769"/>
      <c r="WPP100" s="769"/>
      <c r="WPQ100" s="769"/>
      <c r="WPR100" s="769"/>
      <c r="WPS100" s="769"/>
      <c r="WPT100" s="769"/>
      <c r="WPU100" s="769"/>
      <c r="WPV100" s="769"/>
      <c r="WPW100" s="769"/>
      <c r="WPX100" s="769"/>
      <c r="WPY100" s="769"/>
      <c r="WPZ100" s="769"/>
      <c r="WQA100" s="769"/>
      <c r="WQB100" s="769"/>
      <c r="WQC100" s="769"/>
      <c r="WQD100" s="769"/>
      <c r="WQE100" s="769"/>
      <c r="WQF100" s="769"/>
      <c r="WQG100" s="769"/>
      <c r="WQH100" s="769"/>
      <c r="WQI100" s="769"/>
      <c r="WQJ100" s="769"/>
      <c r="WQK100" s="769"/>
      <c r="WQL100" s="769"/>
      <c r="WQM100" s="769"/>
      <c r="WQN100" s="769"/>
      <c r="WQO100" s="769"/>
      <c r="WQP100" s="769"/>
      <c r="WQQ100" s="769"/>
      <c r="WQR100" s="769"/>
      <c r="WQS100" s="769"/>
      <c r="WQT100" s="769"/>
      <c r="WQU100" s="769"/>
      <c r="WQV100" s="769"/>
      <c r="WQW100" s="769"/>
      <c r="WQX100" s="769"/>
      <c r="WQY100" s="769"/>
      <c r="WQZ100" s="769"/>
      <c r="WRA100" s="769"/>
      <c r="WRB100" s="769"/>
      <c r="WRC100" s="769"/>
      <c r="WRD100" s="769"/>
      <c r="WRE100" s="769"/>
      <c r="WRF100" s="769"/>
      <c r="WRG100" s="769"/>
      <c r="WRH100" s="769"/>
      <c r="WRI100" s="769"/>
      <c r="WRJ100" s="769"/>
      <c r="WRK100" s="769"/>
      <c r="WRL100" s="769"/>
      <c r="WRM100" s="769"/>
      <c r="WRN100" s="769"/>
      <c r="WRO100" s="769"/>
      <c r="WRP100" s="769"/>
      <c r="WRQ100" s="769"/>
      <c r="WRR100" s="769"/>
      <c r="WRS100" s="769"/>
      <c r="WRT100" s="769"/>
      <c r="WRU100" s="769"/>
      <c r="WRV100" s="769"/>
      <c r="WRW100" s="769"/>
      <c r="WRX100" s="769"/>
      <c r="WRY100" s="769"/>
      <c r="WRZ100" s="769"/>
      <c r="WSA100" s="769"/>
      <c r="WSB100" s="769"/>
      <c r="WSC100" s="769"/>
      <c r="WSD100" s="769"/>
      <c r="WSE100" s="769"/>
      <c r="WSF100" s="769"/>
      <c r="WSG100" s="769"/>
      <c r="WSH100" s="769"/>
      <c r="WSI100" s="769"/>
      <c r="WSJ100" s="769"/>
      <c r="WSK100" s="769"/>
      <c r="WSL100" s="769"/>
      <c r="WSM100" s="769"/>
      <c r="WSN100" s="769"/>
      <c r="WSO100" s="769"/>
      <c r="WSP100" s="769"/>
      <c r="WSQ100" s="769"/>
      <c r="WSR100" s="769"/>
      <c r="WSS100" s="769"/>
      <c r="WST100" s="769"/>
      <c r="WSU100" s="769"/>
      <c r="WSV100" s="769"/>
      <c r="WSW100" s="769"/>
      <c r="WSX100" s="769"/>
      <c r="WSY100" s="769"/>
      <c r="WSZ100" s="769"/>
      <c r="WTA100" s="769"/>
      <c r="WTB100" s="769"/>
      <c r="WTC100" s="769"/>
      <c r="WTD100" s="769"/>
      <c r="WTE100" s="769"/>
      <c r="WTF100" s="769"/>
      <c r="WTG100" s="769"/>
      <c r="WTH100" s="769"/>
      <c r="WTI100" s="769"/>
      <c r="WTJ100" s="769"/>
      <c r="WTK100" s="769"/>
      <c r="WTL100" s="769"/>
      <c r="WTM100" s="769"/>
      <c r="WTN100" s="769"/>
      <c r="WTO100" s="769"/>
      <c r="WTP100" s="769"/>
      <c r="WTQ100" s="769"/>
      <c r="WTR100" s="769"/>
      <c r="WTS100" s="769"/>
      <c r="WTT100" s="769"/>
      <c r="WTU100" s="769"/>
      <c r="WTV100" s="769"/>
      <c r="WTW100" s="769"/>
      <c r="WTX100" s="769"/>
      <c r="WTY100" s="769"/>
      <c r="WTZ100" s="769"/>
      <c r="WUA100" s="769"/>
      <c r="WUB100" s="769"/>
      <c r="WUC100" s="769"/>
      <c r="WUD100" s="769"/>
      <c r="WUE100" s="769"/>
      <c r="WUF100" s="769"/>
      <c r="WUG100" s="769"/>
      <c r="WUH100" s="769"/>
      <c r="WUI100" s="769"/>
      <c r="WUJ100" s="769"/>
      <c r="WUK100" s="769"/>
      <c r="WUL100" s="769"/>
      <c r="WUM100" s="769"/>
      <c r="WUN100" s="769"/>
      <c r="WUO100" s="769"/>
      <c r="WUP100" s="769"/>
      <c r="WUQ100" s="769"/>
      <c r="WUR100" s="769"/>
      <c r="WUS100" s="769"/>
      <c r="WUT100" s="769"/>
      <c r="WUU100" s="769"/>
      <c r="WUV100" s="769"/>
      <c r="WUW100" s="769"/>
      <c r="WUX100" s="769"/>
      <c r="WUY100" s="769"/>
      <c r="WUZ100" s="769"/>
      <c r="WVA100" s="769"/>
      <c r="WVB100" s="769"/>
      <c r="WVC100" s="769"/>
      <c r="WVD100" s="769"/>
      <c r="WVE100" s="769"/>
      <c r="WVF100" s="769"/>
      <c r="WVG100" s="769"/>
      <c r="WVH100" s="769"/>
      <c r="WVI100" s="769"/>
      <c r="WVJ100" s="769"/>
      <c r="WVK100" s="769"/>
      <c r="WVL100" s="769"/>
      <c r="WVM100" s="769"/>
      <c r="WVN100" s="769"/>
      <c r="WVO100" s="769"/>
      <c r="WVP100" s="769"/>
      <c r="WVQ100" s="769"/>
      <c r="WVR100" s="769"/>
      <c r="WVS100" s="769"/>
      <c r="WVT100" s="769"/>
      <c r="WVU100" s="769"/>
      <c r="WVV100" s="769"/>
      <c r="WVW100" s="769"/>
      <c r="WVX100" s="769"/>
      <c r="WVY100" s="769"/>
      <c r="WVZ100" s="769"/>
      <c r="WWA100" s="769"/>
      <c r="WWB100" s="769"/>
      <c r="WWC100" s="769"/>
      <c r="WWD100" s="769"/>
      <c r="WWE100" s="769"/>
      <c r="WWF100" s="769"/>
      <c r="WWG100" s="769"/>
      <c r="WWH100" s="769"/>
      <c r="WWI100" s="769"/>
      <c r="WWJ100" s="769"/>
      <c r="WWK100" s="769"/>
      <c r="WWL100" s="769"/>
      <c r="WWM100" s="769"/>
      <c r="WWN100" s="769"/>
      <c r="WWO100" s="769"/>
      <c r="WWP100" s="769"/>
      <c r="WWQ100" s="769"/>
      <c r="WWR100" s="769"/>
      <c r="WWS100" s="769"/>
      <c r="WWT100" s="769"/>
      <c r="WWU100" s="769"/>
      <c r="WWV100" s="769"/>
      <c r="WWW100" s="769"/>
      <c r="WWX100" s="769"/>
      <c r="WWY100" s="769"/>
      <c r="WWZ100" s="769"/>
      <c r="WXA100" s="769"/>
      <c r="WXB100" s="769"/>
      <c r="WXC100" s="769"/>
      <c r="WXD100" s="769"/>
      <c r="WXE100" s="769"/>
      <c r="WXF100" s="769"/>
      <c r="WXG100" s="769"/>
      <c r="WXH100" s="769"/>
      <c r="WXI100" s="769"/>
      <c r="WXJ100" s="769"/>
      <c r="WXK100" s="769"/>
      <c r="WXL100" s="769"/>
      <c r="WXM100" s="769"/>
      <c r="WXN100" s="769"/>
      <c r="WXO100" s="769"/>
      <c r="WXP100" s="769"/>
      <c r="WXQ100" s="769"/>
      <c r="WXR100" s="769"/>
      <c r="WXS100" s="769"/>
      <c r="WXT100" s="769"/>
      <c r="WXU100" s="769"/>
      <c r="WXV100" s="769"/>
      <c r="WXW100" s="769"/>
      <c r="WXX100" s="769"/>
      <c r="WXY100" s="769"/>
      <c r="WXZ100" s="769"/>
      <c r="WYA100" s="769"/>
      <c r="WYB100" s="769"/>
      <c r="WYC100" s="769"/>
      <c r="WYD100" s="769"/>
      <c r="WYE100" s="769"/>
      <c r="WYF100" s="769"/>
      <c r="WYG100" s="769"/>
      <c r="WYH100" s="769"/>
      <c r="WYI100" s="769"/>
      <c r="WYJ100" s="769"/>
      <c r="WYK100" s="769"/>
      <c r="WYL100" s="769"/>
      <c r="WYM100" s="769"/>
      <c r="WYN100" s="769"/>
      <c r="WYO100" s="769"/>
      <c r="WYP100" s="769"/>
      <c r="WYQ100" s="769"/>
      <c r="WYR100" s="769"/>
      <c r="WYS100" s="769"/>
      <c r="WYT100" s="769"/>
      <c r="WYU100" s="769"/>
      <c r="WYV100" s="769"/>
      <c r="WYW100" s="769"/>
      <c r="WYX100" s="769"/>
      <c r="WYY100" s="769"/>
      <c r="WYZ100" s="769"/>
      <c r="WZA100" s="769"/>
      <c r="WZB100" s="769"/>
      <c r="WZC100" s="769"/>
      <c r="WZD100" s="769"/>
      <c r="WZE100" s="769"/>
      <c r="WZF100" s="769"/>
      <c r="WZG100" s="769"/>
      <c r="WZH100" s="769"/>
      <c r="WZI100" s="769"/>
      <c r="WZJ100" s="769"/>
      <c r="WZK100" s="769"/>
      <c r="WZL100" s="769"/>
      <c r="WZM100" s="769"/>
      <c r="WZN100" s="769"/>
      <c r="WZO100" s="769"/>
      <c r="WZP100" s="769"/>
      <c r="WZQ100" s="769"/>
      <c r="WZR100" s="769"/>
      <c r="WZS100" s="769"/>
      <c r="WZT100" s="769"/>
      <c r="WZU100" s="769"/>
      <c r="WZV100" s="769"/>
      <c r="WZW100" s="769"/>
      <c r="WZX100" s="769"/>
      <c r="WZY100" s="769"/>
      <c r="WZZ100" s="769"/>
      <c r="XAA100" s="769"/>
      <c r="XAB100" s="769"/>
      <c r="XAC100" s="769"/>
      <c r="XAD100" s="769"/>
      <c r="XAE100" s="769"/>
      <c r="XAF100" s="769"/>
      <c r="XAG100" s="769"/>
      <c r="XAH100" s="769"/>
      <c r="XAI100" s="769"/>
      <c r="XAJ100" s="769"/>
      <c r="XAK100" s="769"/>
      <c r="XAL100" s="769"/>
      <c r="XAM100" s="769"/>
      <c r="XAN100" s="769"/>
      <c r="XAO100" s="769"/>
      <c r="XAP100" s="769"/>
      <c r="XAQ100" s="769"/>
      <c r="XAR100" s="769"/>
      <c r="XAS100" s="769"/>
      <c r="XAT100" s="769"/>
      <c r="XAU100" s="769"/>
      <c r="XAV100" s="769"/>
      <c r="XAW100" s="769"/>
      <c r="XAX100" s="769"/>
      <c r="XAY100" s="769"/>
      <c r="XAZ100" s="769"/>
      <c r="XBA100" s="769"/>
      <c r="XBB100" s="769"/>
      <c r="XBC100" s="769"/>
      <c r="XBD100" s="769"/>
      <c r="XBE100" s="769"/>
      <c r="XBF100" s="769"/>
      <c r="XBG100" s="769"/>
      <c r="XBH100" s="769"/>
      <c r="XBI100" s="769"/>
      <c r="XBJ100" s="769"/>
      <c r="XBK100" s="769"/>
      <c r="XBL100" s="769"/>
      <c r="XBM100" s="769"/>
      <c r="XBN100" s="769"/>
      <c r="XBO100" s="769"/>
      <c r="XBP100" s="769"/>
      <c r="XBQ100" s="769"/>
      <c r="XBR100" s="769"/>
      <c r="XBS100" s="769"/>
      <c r="XBT100" s="769"/>
      <c r="XBU100" s="769"/>
      <c r="XBV100" s="769"/>
      <c r="XBW100" s="769"/>
      <c r="XBX100" s="769"/>
      <c r="XBY100" s="769"/>
      <c r="XBZ100" s="769"/>
      <c r="XCA100" s="769"/>
      <c r="XCB100" s="769"/>
      <c r="XCC100" s="769"/>
      <c r="XCD100" s="769"/>
      <c r="XCE100" s="769"/>
      <c r="XCF100" s="769"/>
      <c r="XCG100" s="769"/>
      <c r="XCH100" s="769"/>
      <c r="XCI100" s="769"/>
      <c r="XCJ100" s="769"/>
      <c r="XCK100" s="769"/>
      <c r="XCL100" s="769"/>
      <c r="XCM100" s="769"/>
      <c r="XCN100" s="769"/>
      <c r="XCO100" s="769"/>
      <c r="XCP100" s="769"/>
      <c r="XCQ100" s="769"/>
      <c r="XCR100" s="769"/>
      <c r="XCS100" s="769"/>
      <c r="XCT100" s="769"/>
      <c r="XCU100" s="769"/>
      <c r="XCV100" s="769"/>
      <c r="XCW100" s="769"/>
      <c r="XCX100" s="769"/>
      <c r="XCY100" s="769"/>
      <c r="XCZ100" s="769"/>
      <c r="XDA100" s="769"/>
      <c r="XDB100" s="769"/>
      <c r="XDC100" s="769"/>
      <c r="XDD100" s="769"/>
      <c r="XDE100" s="769"/>
      <c r="XDF100" s="769"/>
      <c r="XDG100" s="769"/>
      <c r="XDH100" s="769"/>
      <c r="XDI100" s="769"/>
      <c r="XDJ100" s="769"/>
      <c r="XDK100" s="769"/>
      <c r="XDL100" s="769"/>
      <c r="XDM100" s="769"/>
      <c r="XDN100" s="769"/>
      <c r="XDO100" s="769"/>
      <c r="XDP100" s="769"/>
      <c r="XDQ100" s="769"/>
      <c r="XDR100" s="769"/>
      <c r="XDS100" s="769"/>
      <c r="XDT100" s="769"/>
      <c r="XDU100" s="769"/>
      <c r="XDV100" s="769"/>
      <c r="XDW100" s="769"/>
      <c r="XDX100" s="769"/>
      <c r="XDY100" s="769"/>
      <c r="XDZ100" s="769"/>
      <c r="XEA100" s="769"/>
      <c r="XEB100" s="769"/>
      <c r="XEC100" s="769"/>
      <c r="XED100" s="769"/>
      <c r="XEE100" s="769"/>
      <c r="XEF100" s="769"/>
      <c r="XEG100" s="769"/>
      <c r="XEH100" s="769"/>
      <c r="XEI100" s="769"/>
      <c r="XEJ100" s="769"/>
      <c r="XEK100" s="769"/>
      <c r="XEL100" s="769"/>
      <c r="XEM100" s="769"/>
      <c r="XEN100" s="769"/>
      <c r="XEO100" s="769"/>
      <c r="XEP100" s="769"/>
      <c r="XEQ100" s="769"/>
      <c r="XER100" s="769"/>
      <c r="XES100" s="769"/>
      <c r="XET100" s="769"/>
      <c r="XEU100" s="769"/>
      <c r="XEV100" s="769"/>
      <c r="XEW100" s="769"/>
      <c r="XEX100" s="769"/>
      <c r="XEY100" s="769"/>
      <c r="XEZ100" s="769"/>
      <c r="XFA100" s="769"/>
      <c r="XFB100" s="769"/>
    </row>
    <row r="101" spans="1:16382" ht="15.75" hidden="1" thickBot="1" x14ac:dyDescent="0.3">
      <c r="A101" s="769"/>
      <c r="B101" s="2186"/>
      <c r="C101" s="2206"/>
      <c r="D101" s="2248"/>
      <c r="E101" s="2248"/>
      <c r="F101" s="2248"/>
      <c r="G101" s="2248"/>
      <c r="H101" s="2248"/>
      <c r="I101" s="2248"/>
      <c r="J101" s="2248"/>
      <c r="K101" s="2248"/>
      <c r="L101" s="2249"/>
      <c r="M101" s="2249"/>
      <c r="N101" s="2249"/>
      <c r="O101" s="2249"/>
      <c r="P101" s="2203"/>
      <c r="Q101" s="2204"/>
      <c r="R101" s="769"/>
      <c r="S101" s="769"/>
      <c r="T101" s="769"/>
      <c r="U101" s="769"/>
      <c r="V101" s="769"/>
      <c r="W101" s="769"/>
      <c r="X101" s="769"/>
      <c r="Y101" s="769"/>
      <c r="Z101" s="769"/>
      <c r="AA101" s="769"/>
      <c r="AB101" s="769"/>
      <c r="AC101" s="769"/>
      <c r="AD101" s="769"/>
      <c r="AE101" s="769"/>
      <c r="AF101" s="769"/>
      <c r="AG101" s="769"/>
      <c r="AH101" s="769"/>
      <c r="AI101" s="769"/>
      <c r="AJ101" s="769"/>
      <c r="AK101" s="769"/>
      <c r="AL101" s="769"/>
      <c r="AM101" s="769"/>
      <c r="AN101" s="769"/>
      <c r="AO101" s="769"/>
      <c r="AP101" s="769"/>
      <c r="AQ101" s="769"/>
      <c r="AR101" s="769"/>
      <c r="AS101" s="769"/>
      <c r="AT101" s="769"/>
      <c r="AU101" s="769"/>
      <c r="AV101" s="769"/>
      <c r="AW101" s="769"/>
      <c r="AX101" s="769"/>
      <c r="AY101" s="769"/>
      <c r="AZ101" s="769"/>
      <c r="BA101" s="769"/>
      <c r="BB101" s="769"/>
      <c r="BC101" s="769"/>
      <c r="BD101" s="769"/>
      <c r="BE101" s="769"/>
      <c r="BF101" s="769"/>
      <c r="BG101" s="769"/>
      <c r="BH101" s="769"/>
      <c r="BI101" s="769"/>
      <c r="BJ101" s="769"/>
      <c r="BK101" s="769"/>
      <c r="BL101" s="769"/>
      <c r="BM101" s="769"/>
      <c r="BN101" s="769"/>
      <c r="BO101" s="769"/>
      <c r="BP101" s="769"/>
      <c r="BQ101" s="769"/>
      <c r="BR101" s="769"/>
      <c r="BS101" s="769"/>
      <c r="BT101" s="769"/>
      <c r="BU101" s="769"/>
      <c r="BV101" s="769"/>
      <c r="BW101" s="769"/>
      <c r="BX101" s="769"/>
      <c r="BY101" s="769"/>
      <c r="BZ101" s="769"/>
      <c r="CA101" s="769"/>
      <c r="CB101" s="769"/>
      <c r="CC101" s="769"/>
      <c r="CD101" s="769"/>
      <c r="CE101" s="769"/>
      <c r="CF101" s="769"/>
      <c r="CG101" s="769"/>
      <c r="CH101" s="769"/>
      <c r="CI101" s="769"/>
      <c r="CJ101" s="769"/>
      <c r="CK101" s="769"/>
      <c r="CL101" s="769"/>
      <c r="CM101" s="769"/>
      <c r="CN101" s="769"/>
      <c r="CO101" s="769"/>
      <c r="CP101" s="769"/>
      <c r="CQ101" s="769"/>
      <c r="CR101" s="769"/>
      <c r="CS101" s="769"/>
      <c r="CT101" s="769"/>
      <c r="CU101" s="769"/>
      <c r="CV101" s="769"/>
      <c r="CW101" s="769"/>
      <c r="CX101" s="769"/>
      <c r="CY101" s="769"/>
      <c r="CZ101" s="769"/>
      <c r="DA101" s="769"/>
      <c r="DB101" s="769"/>
      <c r="DC101" s="769"/>
      <c r="DD101" s="769"/>
      <c r="DE101" s="769"/>
      <c r="DF101" s="769"/>
      <c r="DG101" s="769"/>
      <c r="DH101" s="769"/>
      <c r="DI101" s="769"/>
      <c r="DJ101" s="769"/>
      <c r="DK101" s="769"/>
      <c r="DL101" s="769"/>
      <c r="DM101" s="769"/>
      <c r="DN101" s="769"/>
      <c r="DO101" s="769"/>
      <c r="DP101" s="769"/>
      <c r="DQ101" s="769"/>
      <c r="DR101" s="769"/>
      <c r="DS101" s="769"/>
      <c r="DT101" s="769"/>
      <c r="DU101" s="769"/>
      <c r="DV101" s="769"/>
      <c r="DW101" s="769"/>
      <c r="DX101" s="769"/>
      <c r="DY101" s="769"/>
      <c r="DZ101" s="769"/>
      <c r="EA101" s="769"/>
      <c r="EB101" s="769"/>
      <c r="EC101" s="769"/>
      <c r="ED101" s="769"/>
      <c r="EE101" s="769"/>
      <c r="EF101" s="769"/>
      <c r="EG101" s="769"/>
      <c r="EH101" s="769"/>
      <c r="EI101" s="769"/>
      <c r="EJ101" s="769"/>
      <c r="EK101" s="769"/>
      <c r="EL101" s="769"/>
      <c r="EM101" s="769"/>
      <c r="EN101" s="769"/>
      <c r="EO101" s="769"/>
      <c r="EP101" s="769"/>
      <c r="EQ101" s="769"/>
      <c r="ER101" s="769"/>
      <c r="ES101" s="769"/>
      <c r="ET101" s="769"/>
      <c r="EU101" s="769"/>
      <c r="EV101" s="769"/>
      <c r="EW101" s="769"/>
      <c r="EX101" s="769"/>
      <c r="EY101" s="769"/>
      <c r="EZ101" s="769"/>
      <c r="FA101" s="769"/>
      <c r="FB101" s="769"/>
      <c r="FC101" s="769"/>
      <c r="FD101" s="769"/>
      <c r="FE101" s="769"/>
      <c r="FF101" s="769"/>
      <c r="FG101" s="769"/>
      <c r="FH101" s="769"/>
      <c r="FI101" s="769"/>
      <c r="FJ101" s="769"/>
      <c r="FK101" s="769"/>
      <c r="FL101" s="769"/>
      <c r="FM101" s="769"/>
      <c r="FN101" s="769"/>
      <c r="FO101" s="769"/>
      <c r="FP101" s="769"/>
      <c r="FQ101" s="769"/>
      <c r="FR101" s="769"/>
      <c r="FS101" s="769"/>
      <c r="FT101" s="769"/>
      <c r="FU101" s="769"/>
      <c r="FV101" s="769"/>
      <c r="FW101" s="769"/>
      <c r="FX101" s="769"/>
      <c r="FY101" s="769"/>
      <c r="FZ101" s="769"/>
      <c r="GA101" s="769"/>
      <c r="GB101" s="769"/>
      <c r="GC101" s="769"/>
      <c r="GD101" s="769"/>
      <c r="GE101" s="769"/>
      <c r="GF101" s="769"/>
      <c r="GG101" s="769"/>
      <c r="GH101" s="769"/>
      <c r="GI101" s="769"/>
      <c r="GJ101" s="769"/>
      <c r="GK101" s="769"/>
      <c r="GL101" s="769"/>
      <c r="GM101" s="769"/>
      <c r="GN101" s="769"/>
      <c r="GO101" s="769"/>
      <c r="GP101" s="769"/>
      <c r="GQ101" s="769"/>
      <c r="GR101" s="769"/>
      <c r="GS101" s="769"/>
      <c r="GT101" s="769"/>
      <c r="GU101" s="769"/>
      <c r="GV101" s="769"/>
      <c r="GW101" s="769"/>
      <c r="GX101" s="769"/>
      <c r="GY101" s="769"/>
      <c r="GZ101" s="769"/>
      <c r="HA101" s="769"/>
      <c r="HB101" s="769"/>
      <c r="HC101" s="769"/>
      <c r="HD101" s="769"/>
      <c r="HE101" s="769"/>
      <c r="HF101" s="769"/>
      <c r="HG101" s="769"/>
      <c r="HH101" s="769"/>
      <c r="HI101" s="769"/>
      <c r="HJ101" s="769"/>
      <c r="HK101" s="769"/>
      <c r="HL101" s="769"/>
      <c r="HM101" s="769"/>
      <c r="HN101" s="769"/>
      <c r="HO101" s="769"/>
      <c r="HP101" s="769"/>
      <c r="HQ101" s="769"/>
      <c r="HR101" s="769"/>
      <c r="HS101" s="769"/>
      <c r="HT101" s="769"/>
      <c r="HU101" s="769"/>
      <c r="HV101" s="769"/>
      <c r="HW101" s="769"/>
      <c r="HX101" s="769"/>
      <c r="HY101" s="769"/>
      <c r="HZ101" s="769"/>
      <c r="IA101" s="769"/>
      <c r="IB101" s="769"/>
      <c r="IC101" s="769"/>
      <c r="ID101" s="769"/>
      <c r="IE101" s="769"/>
      <c r="IF101" s="769"/>
      <c r="IG101" s="769"/>
      <c r="IH101" s="769"/>
      <c r="II101" s="769"/>
      <c r="IJ101" s="769"/>
      <c r="IK101" s="769"/>
      <c r="IL101" s="769"/>
      <c r="IM101" s="769"/>
      <c r="IN101" s="769"/>
      <c r="IO101" s="769"/>
      <c r="IP101" s="769"/>
      <c r="IQ101" s="769"/>
      <c r="IR101" s="769"/>
      <c r="IS101" s="769"/>
      <c r="IT101" s="769"/>
      <c r="IU101" s="769"/>
      <c r="IV101" s="769"/>
      <c r="IW101" s="769"/>
      <c r="IX101" s="769"/>
      <c r="IY101" s="769"/>
      <c r="IZ101" s="769"/>
      <c r="JA101" s="769"/>
      <c r="JB101" s="769"/>
      <c r="JC101" s="769"/>
      <c r="JD101" s="769"/>
      <c r="JE101" s="769"/>
      <c r="JF101" s="769"/>
      <c r="JG101" s="769"/>
      <c r="JH101" s="769"/>
      <c r="JI101" s="769"/>
      <c r="JJ101" s="769"/>
      <c r="JK101" s="769"/>
      <c r="JL101" s="769"/>
      <c r="JM101" s="769"/>
      <c r="JN101" s="769"/>
      <c r="JO101" s="769"/>
      <c r="JP101" s="769"/>
      <c r="JQ101" s="769"/>
      <c r="JR101" s="769"/>
      <c r="JS101" s="769"/>
      <c r="JT101" s="769"/>
      <c r="JU101" s="769"/>
      <c r="JV101" s="769"/>
      <c r="JW101" s="769"/>
      <c r="JX101" s="769"/>
      <c r="JY101" s="769"/>
      <c r="JZ101" s="769"/>
      <c r="KA101" s="769"/>
      <c r="KB101" s="769"/>
      <c r="KC101" s="769"/>
      <c r="KD101" s="769"/>
      <c r="KE101" s="769"/>
      <c r="KF101" s="769"/>
      <c r="KG101" s="769"/>
      <c r="KH101" s="769"/>
      <c r="KI101" s="769"/>
      <c r="KJ101" s="769"/>
      <c r="KK101" s="769"/>
      <c r="KL101" s="769"/>
      <c r="KM101" s="769"/>
      <c r="KN101" s="769"/>
      <c r="KO101" s="769"/>
      <c r="KP101" s="769"/>
      <c r="KQ101" s="769"/>
      <c r="KR101" s="769"/>
      <c r="KS101" s="769"/>
      <c r="KT101" s="769"/>
      <c r="KU101" s="769"/>
      <c r="KV101" s="769"/>
      <c r="KW101" s="769"/>
      <c r="KX101" s="769"/>
      <c r="KY101" s="769"/>
      <c r="KZ101" s="769"/>
      <c r="LA101" s="769"/>
      <c r="LB101" s="769"/>
      <c r="LC101" s="769"/>
      <c r="LD101" s="769"/>
      <c r="LE101" s="769"/>
      <c r="LF101" s="769"/>
      <c r="LG101" s="769"/>
      <c r="LH101" s="769"/>
      <c r="LI101" s="769"/>
      <c r="LJ101" s="769"/>
      <c r="LK101" s="769"/>
      <c r="LL101" s="769"/>
      <c r="LM101" s="769"/>
      <c r="LN101" s="769"/>
      <c r="LO101" s="769"/>
      <c r="LP101" s="769"/>
      <c r="LQ101" s="769"/>
      <c r="LR101" s="769"/>
      <c r="LS101" s="769"/>
      <c r="LT101" s="769"/>
      <c r="LU101" s="769"/>
      <c r="LV101" s="769"/>
      <c r="LW101" s="769"/>
      <c r="LX101" s="769"/>
      <c r="LY101" s="769"/>
      <c r="LZ101" s="769"/>
      <c r="MA101" s="769"/>
      <c r="MB101" s="769"/>
      <c r="MC101" s="769"/>
      <c r="MD101" s="769"/>
      <c r="ME101" s="769"/>
      <c r="MF101" s="769"/>
      <c r="MG101" s="769"/>
      <c r="MH101" s="769"/>
      <c r="MI101" s="769"/>
      <c r="MJ101" s="769"/>
      <c r="MK101" s="769"/>
      <c r="ML101" s="769"/>
      <c r="MM101" s="769"/>
      <c r="MN101" s="769"/>
      <c r="MO101" s="769"/>
      <c r="MP101" s="769"/>
      <c r="MQ101" s="769"/>
      <c r="MR101" s="769"/>
      <c r="MS101" s="769"/>
      <c r="MT101" s="769"/>
      <c r="MU101" s="769"/>
      <c r="MV101" s="769"/>
      <c r="MW101" s="769"/>
      <c r="MX101" s="769"/>
      <c r="MY101" s="769"/>
      <c r="MZ101" s="769"/>
      <c r="NA101" s="769"/>
      <c r="NB101" s="769"/>
      <c r="NC101" s="769"/>
      <c r="ND101" s="769"/>
      <c r="NE101" s="769"/>
      <c r="NF101" s="769"/>
      <c r="NG101" s="769"/>
      <c r="NH101" s="769"/>
      <c r="NI101" s="769"/>
      <c r="NJ101" s="769"/>
      <c r="NK101" s="769"/>
      <c r="NL101" s="769"/>
      <c r="NM101" s="769"/>
      <c r="NN101" s="769"/>
      <c r="NO101" s="769"/>
      <c r="NP101" s="769"/>
      <c r="NQ101" s="769"/>
      <c r="NR101" s="769"/>
      <c r="NS101" s="769"/>
      <c r="NT101" s="769"/>
      <c r="NU101" s="769"/>
      <c r="NV101" s="769"/>
      <c r="NW101" s="769"/>
      <c r="NX101" s="769"/>
      <c r="NY101" s="769"/>
      <c r="NZ101" s="769"/>
      <c r="OA101" s="769"/>
      <c r="OB101" s="769"/>
      <c r="OC101" s="769"/>
      <c r="OD101" s="769"/>
      <c r="OE101" s="769"/>
      <c r="OF101" s="769"/>
      <c r="OG101" s="769"/>
      <c r="OH101" s="769"/>
      <c r="OI101" s="769"/>
      <c r="OJ101" s="769"/>
      <c r="OK101" s="769"/>
      <c r="OL101" s="769"/>
      <c r="OM101" s="769"/>
      <c r="ON101" s="769"/>
      <c r="OO101" s="769"/>
      <c r="OP101" s="769"/>
      <c r="OQ101" s="769"/>
      <c r="OR101" s="769"/>
      <c r="OS101" s="769"/>
      <c r="OT101" s="769"/>
      <c r="OU101" s="769"/>
      <c r="OV101" s="769"/>
      <c r="OW101" s="769"/>
      <c r="OX101" s="769"/>
      <c r="OY101" s="769"/>
      <c r="OZ101" s="769"/>
      <c r="PA101" s="769"/>
      <c r="PB101" s="769"/>
      <c r="PC101" s="769"/>
      <c r="PD101" s="769"/>
      <c r="PE101" s="769"/>
      <c r="PF101" s="769"/>
      <c r="PG101" s="769"/>
      <c r="PH101" s="769"/>
      <c r="PI101" s="769"/>
      <c r="PJ101" s="769"/>
      <c r="PK101" s="769"/>
      <c r="PL101" s="769"/>
      <c r="PM101" s="769"/>
      <c r="PN101" s="769"/>
      <c r="PO101" s="769"/>
      <c r="PP101" s="769"/>
      <c r="PQ101" s="769"/>
      <c r="PR101" s="769"/>
      <c r="PS101" s="769"/>
      <c r="PT101" s="769"/>
      <c r="PU101" s="769"/>
      <c r="PV101" s="769"/>
      <c r="PW101" s="769"/>
      <c r="PX101" s="769"/>
      <c r="PY101" s="769"/>
      <c r="PZ101" s="769"/>
      <c r="QA101" s="769"/>
      <c r="QB101" s="769"/>
      <c r="QC101" s="769"/>
      <c r="QD101" s="769"/>
      <c r="QE101" s="769"/>
      <c r="QF101" s="769"/>
      <c r="QG101" s="769"/>
      <c r="QH101" s="769"/>
      <c r="QI101" s="769"/>
      <c r="QJ101" s="769"/>
      <c r="QK101" s="769"/>
      <c r="QL101" s="769"/>
      <c r="QM101" s="769"/>
      <c r="QN101" s="769"/>
      <c r="QO101" s="769"/>
      <c r="QP101" s="769"/>
      <c r="QQ101" s="769"/>
      <c r="QR101" s="769"/>
      <c r="QS101" s="769"/>
      <c r="QT101" s="769"/>
      <c r="QU101" s="769"/>
      <c r="QV101" s="769"/>
      <c r="QW101" s="769"/>
      <c r="QX101" s="769"/>
      <c r="QY101" s="769"/>
      <c r="QZ101" s="769"/>
      <c r="RA101" s="769"/>
      <c r="RB101" s="769"/>
      <c r="RC101" s="769"/>
      <c r="RD101" s="769"/>
      <c r="RE101" s="769"/>
      <c r="RF101" s="769"/>
      <c r="RG101" s="769"/>
      <c r="RH101" s="769"/>
      <c r="RI101" s="769"/>
      <c r="RJ101" s="769"/>
      <c r="RK101" s="769"/>
      <c r="RL101" s="769"/>
      <c r="RM101" s="769"/>
      <c r="RN101" s="769"/>
      <c r="RO101" s="769"/>
      <c r="RP101" s="769"/>
      <c r="RQ101" s="769"/>
      <c r="RR101" s="769"/>
      <c r="RS101" s="769"/>
      <c r="RT101" s="769"/>
      <c r="RU101" s="769"/>
      <c r="RV101" s="769"/>
      <c r="RW101" s="769"/>
      <c r="RX101" s="769"/>
      <c r="RY101" s="769"/>
      <c r="RZ101" s="769"/>
      <c r="SA101" s="769"/>
      <c r="SB101" s="769"/>
      <c r="SC101" s="769"/>
      <c r="SD101" s="769"/>
      <c r="SE101" s="769"/>
      <c r="SF101" s="769"/>
      <c r="SG101" s="769"/>
      <c r="SH101" s="769"/>
      <c r="SI101" s="769"/>
      <c r="SJ101" s="769"/>
      <c r="SK101" s="769"/>
      <c r="SL101" s="769"/>
      <c r="SM101" s="769"/>
      <c r="SN101" s="769"/>
      <c r="SO101" s="769"/>
      <c r="SP101" s="769"/>
      <c r="SQ101" s="769"/>
      <c r="SR101" s="769"/>
      <c r="SS101" s="769"/>
      <c r="ST101" s="769"/>
      <c r="SU101" s="769"/>
      <c r="SV101" s="769"/>
      <c r="SW101" s="769"/>
      <c r="SX101" s="769"/>
      <c r="SY101" s="769"/>
      <c r="SZ101" s="769"/>
      <c r="TA101" s="769"/>
      <c r="TB101" s="769"/>
      <c r="TC101" s="769"/>
      <c r="TD101" s="769"/>
      <c r="TE101" s="769"/>
      <c r="TF101" s="769"/>
      <c r="TG101" s="769"/>
      <c r="TH101" s="769"/>
      <c r="TI101" s="769"/>
      <c r="TJ101" s="769"/>
      <c r="TK101" s="769"/>
      <c r="TL101" s="769"/>
      <c r="TM101" s="769"/>
      <c r="TN101" s="769"/>
      <c r="TO101" s="769"/>
      <c r="TP101" s="769"/>
      <c r="TQ101" s="769"/>
      <c r="TR101" s="769"/>
      <c r="TS101" s="769"/>
      <c r="TT101" s="769"/>
      <c r="TU101" s="769"/>
      <c r="TV101" s="769"/>
      <c r="TW101" s="769"/>
      <c r="TX101" s="769"/>
      <c r="TY101" s="769"/>
      <c r="TZ101" s="769"/>
      <c r="UA101" s="769"/>
      <c r="UB101" s="769"/>
      <c r="UC101" s="769"/>
      <c r="UD101" s="769"/>
      <c r="UE101" s="769"/>
      <c r="UF101" s="769"/>
      <c r="UG101" s="769"/>
      <c r="UH101" s="769"/>
      <c r="UI101" s="769"/>
      <c r="UJ101" s="769"/>
      <c r="UK101" s="769"/>
      <c r="UL101" s="769"/>
      <c r="UM101" s="769"/>
      <c r="UN101" s="769"/>
      <c r="UO101" s="769"/>
      <c r="UP101" s="769"/>
      <c r="UQ101" s="769"/>
      <c r="UR101" s="769"/>
      <c r="US101" s="769"/>
      <c r="UT101" s="769"/>
      <c r="UU101" s="769"/>
      <c r="UV101" s="769"/>
      <c r="UW101" s="769"/>
      <c r="UX101" s="769"/>
      <c r="UY101" s="769"/>
      <c r="UZ101" s="769"/>
      <c r="VA101" s="769"/>
      <c r="VB101" s="769"/>
      <c r="VC101" s="769"/>
      <c r="VD101" s="769"/>
      <c r="VE101" s="769"/>
      <c r="VF101" s="769"/>
      <c r="VG101" s="769"/>
      <c r="VH101" s="769"/>
      <c r="VI101" s="769"/>
      <c r="VJ101" s="769"/>
      <c r="VK101" s="769"/>
      <c r="VL101" s="769"/>
      <c r="VM101" s="769"/>
      <c r="VN101" s="769"/>
      <c r="VO101" s="769"/>
      <c r="VP101" s="769"/>
      <c r="VQ101" s="769"/>
      <c r="VR101" s="769"/>
      <c r="VS101" s="769"/>
      <c r="VT101" s="769"/>
      <c r="VU101" s="769"/>
      <c r="VV101" s="769"/>
      <c r="VW101" s="769"/>
      <c r="VX101" s="769"/>
      <c r="VY101" s="769"/>
      <c r="VZ101" s="769"/>
      <c r="WA101" s="769"/>
      <c r="WB101" s="769"/>
      <c r="WC101" s="769"/>
      <c r="WD101" s="769"/>
      <c r="WE101" s="769"/>
      <c r="WF101" s="769"/>
      <c r="WG101" s="769"/>
      <c r="WH101" s="769"/>
      <c r="WI101" s="769"/>
      <c r="WJ101" s="769"/>
      <c r="WK101" s="769"/>
      <c r="WL101" s="769"/>
      <c r="WM101" s="769"/>
      <c r="WN101" s="769"/>
      <c r="WO101" s="769"/>
      <c r="WP101" s="769"/>
      <c r="WQ101" s="769"/>
      <c r="WR101" s="769"/>
      <c r="WS101" s="769"/>
      <c r="WT101" s="769"/>
      <c r="WU101" s="769"/>
      <c r="WV101" s="769"/>
      <c r="WW101" s="769"/>
      <c r="WX101" s="769"/>
      <c r="WY101" s="769"/>
      <c r="WZ101" s="769"/>
      <c r="XA101" s="769"/>
      <c r="XB101" s="769"/>
      <c r="XC101" s="769"/>
      <c r="XD101" s="769"/>
      <c r="XE101" s="769"/>
      <c r="XF101" s="769"/>
      <c r="XG101" s="769"/>
      <c r="XH101" s="769"/>
      <c r="XI101" s="769"/>
      <c r="XJ101" s="769"/>
      <c r="XK101" s="769"/>
      <c r="XL101" s="769"/>
      <c r="XM101" s="769"/>
      <c r="XN101" s="769"/>
      <c r="XO101" s="769"/>
      <c r="XP101" s="769"/>
      <c r="XQ101" s="769"/>
      <c r="XR101" s="769"/>
      <c r="XS101" s="769"/>
      <c r="XT101" s="769"/>
      <c r="XU101" s="769"/>
      <c r="XV101" s="769"/>
      <c r="XW101" s="769"/>
      <c r="XX101" s="769"/>
      <c r="XY101" s="769"/>
      <c r="XZ101" s="769"/>
      <c r="YA101" s="769"/>
      <c r="YB101" s="769"/>
      <c r="YC101" s="769"/>
      <c r="YD101" s="769"/>
      <c r="YE101" s="769"/>
      <c r="YF101" s="769"/>
      <c r="YG101" s="769"/>
      <c r="YH101" s="769"/>
      <c r="YI101" s="769"/>
      <c r="YJ101" s="769"/>
      <c r="YK101" s="769"/>
      <c r="YL101" s="769"/>
      <c r="YM101" s="769"/>
      <c r="YN101" s="769"/>
      <c r="YO101" s="769"/>
      <c r="YP101" s="769"/>
      <c r="YQ101" s="769"/>
      <c r="YR101" s="769"/>
      <c r="YS101" s="769"/>
      <c r="YT101" s="769"/>
      <c r="YU101" s="769"/>
      <c r="YV101" s="769"/>
      <c r="YW101" s="769"/>
      <c r="YX101" s="769"/>
      <c r="YY101" s="769"/>
      <c r="YZ101" s="769"/>
      <c r="ZA101" s="769"/>
      <c r="ZB101" s="769"/>
      <c r="ZC101" s="769"/>
      <c r="ZD101" s="769"/>
      <c r="ZE101" s="769"/>
      <c r="ZF101" s="769"/>
      <c r="ZG101" s="769"/>
      <c r="ZH101" s="769"/>
      <c r="ZI101" s="769"/>
      <c r="ZJ101" s="769"/>
      <c r="ZK101" s="769"/>
      <c r="ZL101" s="769"/>
      <c r="ZM101" s="769"/>
      <c r="ZN101" s="769"/>
      <c r="ZO101" s="769"/>
      <c r="ZP101" s="769"/>
      <c r="ZQ101" s="769"/>
      <c r="ZR101" s="769"/>
      <c r="ZS101" s="769"/>
      <c r="ZT101" s="769"/>
      <c r="ZU101" s="769"/>
      <c r="ZV101" s="769"/>
      <c r="ZW101" s="769"/>
      <c r="ZX101" s="769"/>
      <c r="ZY101" s="769"/>
      <c r="ZZ101" s="769"/>
      <c r="AAA101" s="769"/>
      <c r="AAB101" s="769"/>
      <c r="AAC101" s="769"/>
      <c r="AAD101" s="769"/>
      <c r="AAE101" s="769"/>
      <c r="AAF101" s="769"/>
      <c r="AAG101" s="769"/>
      <c r="AAH101" s="769"/>
      <c r="AAI101" s="769"/>
      <c r="AAJ101" s="769"/>
      <c r="AAK101" s="769"/>
      <c r="AAL101" s="769"/>
      <c r="AAM101" s="769"/>
      <c r="AAN101" s="769"/>
      <c r="AAO101" s="769"/>
      <c r="AAP101" s="769"/>
      <c r="AAQ101" s="769"/>
      <c r="AAR101" s="769"/>
      <c r="AAS101" s="769"/>
      <c r="AAT101" s="769"/>
      <c r="AAU101" s="769"/>
      <c r="AAV101" s="769"/>
      <c r="AAW101" s="769"/>
      <c r="AAX101" s="769"/>
      <c r="AAY101" s="769"/>
      <c r="AAZ101" s="769"/>
      <c r="ABA101" s="769"/>
      <c r="ABB101" s="769"/>
      <c r="ABC101" s="769"/>
      <c r="ABD101" s="769"/>
      <c r="ABE101" s="769"/>
      <c r="ABF101" s="769"/>
      <c r="ABG101" s="769"/>
      <c r="ABH101" s="769"/>
      <c r="ABI101" s="769"/>
      <c r="ABJ101" s="769"/>
      <c r="ABK101" s="769"/>
      <c r="ABL101" s="769"/>
      <c r="ABM101" s="769"/>
      <c r="ABN101" s="769"/>
      <c r="ABO101" s="769"/>
      <c r="ABP101" s="769"/>
      <c r="ABQ101" s="769"/>
      <c r="ABR101" s="769"/>
      <c r="ABS101" s="769"/>
      <c r="ABT101" s="769"/>
      <c r="ABU101" s="769"/>
      <c r="ABV101" s="769"/>
      <c r="ABW101" s="769"/>
      <c r="ABX101" s="769"/>
      <c r="ABY101" s="769"/>
      <c r="ABZ101" s="769"/>
      <c r="ACA101" s="769"/>
      <c r="ACB101" s="769"/>
      <c r="ACC101" s="769"/>
      <c r="ACD101" s="769"/>
      <c r="ACE101" s="769"/>
      <c r="ACF101" s="769"/>
      <c r="ACG101" s="769"/>
      <c r="ACH101" s="769"/>
      <c r="ACI101" s="769"/>
      <c r="ACJ101" s="769"/>
      <c r="ACK101" s="769"/>
      <c r="ACL101" s="769"/>
      <c r="ACM101" s="769"/>
      <c r="ACN101" s="769"/>
      <c r="ACO101" s="769"/>
      <c r="ACP101" s="769"/>
      <c r="ACQ101" s="769"/>
      <c r="ACR101" s="769"/>
      <c r="ACS101" s="769"/>
      <c r="ACT101" s="769"/>
      <c r="ACU101" s="769"/>
      <c r="ACV101" s="769"/>
      <c r="ACW101" s="769"/>
      <c r="ACX101" s="769"/>
      <c r="ACY101" s="769"/>
      <c r="ACZ101" s="769"/>
      <c r="ADA101" s="769"/>
      <c r="ADB101" s="769"/>
      <c r="ADC101" s="769"/>
      <c r="ADD101" s="769"/>
      <c r="ADE101" s="769"/>
      <c r="ADF101" s="769"/>
      <c r="ADG101" s="769"/>
      <c r="ADH101" s="769"/>
      <c r="ADI101" s="769"/>
      <c r="ADJ101" s="769"/>
      <c r="ADK101" s="769"/>
      <c r="ADL101" s="769"/>
      <c r="ADM101" s="769"/>
      <c r="ADN101" s="769"/>
      <c r="ADO101" s="769"/>
      <c r="ADP101" s="769"/>
      <c r="ADQ101" s="769"/>
      <c r="ADR101" s="769"/>
      <c r="ADS101" s="769"/>
      <c r="ADT101" s="769"/>
      <c r="ADU101" s="769"/>
      <c r="ADV101" s="769"/>
      <c r="ADW101" s="769"/>
      <c r="ADX101" s="769"/>
      <c r="ADY101" s="769"/>
      <c r="ADZ101" s="769"/>
      <c r="AEA101" s="769"/>
      <c r="AEB101" s="769"/>
      <c r="AEC101" s="769"/>
      <c r="AED101" s="769"/>
      <c r="AEE101" s="769"/>
      <c r="AEF101" s="769"/>
      <c r="AEG101" s="769"/>
      <c r="AEH101" s="769"/>
      <c r="AEI101" s="769"/>
      <c r="AEJ101" s="769"/>
      <c r="AEK101" s="769"/>
      <c r="AEL101" s="769"/>
      <c r="AEM101" s="769"/>
      <c r="AEN101" s="769"/>
      <c r="AEO101" s="769"/>
      <c r="AEP101" s="769"/>
      <c r="AEQ101" s="769"/>
      <c r="AER101" s="769"/>
      <c r="AES101" s="769"/>
      <c r="AET101" s="769"/>
      <c r="AEU101" s="769"/>
      <c r="AEV101" s="769"/>
      <c r="AEW101" s="769"/>
      <c r="AEX101" s="769"/>
      <c r="AEY101" s="769"/>
      <c r="AEZ101" s="769"/>
      <c r="AFA101" s="769"/>
      <c r="AFB101" s="769"/>
      <c r="AFC101" s="769"/>
      <c r="AFD101" s="769"/>
      <c r="AFE101" s="769"/>
      <c r="AFF101" s="769"/>
      <c r="AFG101" s="769"/>
      <c r="AFH101" s="769"/>
      <c r="AFI101" s="769"/>
      <c r="AFJ101" s="769"/>
      <c r="AFK101" s="769"/>
      <c r="AFL101" s="769"/>
      <c r="AFM101" s="769"/>
      <c r="AFN101" s="769"/>
      <c r="AFO101" s="769"/>
      <c r="AFP101" s="769"/>
      <c r="AFQ101" s="769"/>
      <c r="AFR101" s="769"/>
      <c r="AFS101" s="769"/>
      <c r="AFT101" s="769"/>
      <c r="AFU101" s="769"/>
      <c r="AFV101" s="769"/>
      <c r="AFW101" s="769"/>
      <c r="AFX101" s="769"/>
      <c r="AFY101" s="769"/>
      <c r="AFZ101" s="769"/>
      <c r="AGA101" s="769"/>
      <c r="AGB101" s="769"/>
      <c r="AGC101" s="769"/>
      <c r="AGD101" s="769"/>
      <c r="AGE101" s="769"/>
      <c r="AGF101" s="769"/>
      <c r="AGG101" s="769"/>
      <c r="AGH101" s="769"/>
      <c r="AGI101" s="769"/>
      <c r="AGJ101" s="769"/>
      <c r="AGK101" s="769"/>
      <c r="AGL101" s="769"/>
      <c r="AGM101" s="769"/>
      <c r="AGN101" s="769"/>
      <c r="AGO101" s="769"/>
      <c r="AGP101" s="769"/>
      <c r="AGQ101" s="769"/>
      <c r="AGR101" s="769"/>
      <c r="AGS101" s="769"/>
      <c r="AGT101" s="769"/>
      <c r="AGU101" s="769"/>
      <c r="AGV101" s="769"/>
      <c r="AGW101" s="769"/>
      <c r="AGX101" s="769"/>
      <c r="AGY101" s="769"/>
      <c r="AGZ101" s="769"/>
      <c r="AHA101" s="769"/>
      <c r="AHB101" s="769"/>
      <c r="AHC101" s="769"/>
      <c r="AHD101" s="769"/>
      <c r="AHE101" s="769"/>
      <c r="AHF101" s="769"/>
      <c r="AHG101" s="769"/>
      <c r="AHH101" s="769"/>
      <c r="AHI101" s="769"/>
      <c r="AHJ101" s="769"/>
      <c r="AHK101" s="769"/>
      <c r="AHL101" s="769"/>
      <c r="AHM101" s="769"/>
      <c r="AHN101" s="769"/>
      <c r="AHO101" s="769"/>
      <c r="AHP101" s="769"/>
      <c r="AHQ101" s="769"/>
      <c r="AHR101" s="769"/>
      <c r="AHS101" s="769"/>
      <c r="AHT101" s="769"/>
      <c r="AHU101" s="769"/>
      <c r="AHV101" s="769"/>
      <c r="AHW101" s="769"/>
      <c r="AHX101" s="769"/>
      <c r="AHY101" s="769"/>
      <c r="AHZ101" s="769"/>
      <c r="AIA101" s="769"/>
      <c r="AIB101" s="769"/>
      <c r="AIC101" s="769"/>
      <c r="AID101" s="769"/>
      <c r="AIE101" s="769"/>
      <c r="AIF101" s="769"/>
      <c r="AIG101" s="769"/>
      <c r="AIH101" s="769"/>
      <c r="AII101" s="769"/>
      <c r="AIJ101" s="769"/>
      <c r="AIK101" s="769"/>
      <c r="AIL101" s="769"/>
      <c r="AIM101" s="769"/>
      <c r="AIN101" s="769"/>
      <c r="AIO101" s="769"/>
      <c r="AIP101" s="769"/>
      <c r="AIQ101" s="769"/>
      <c r="AIR101" s="769"/>
      <c r="AIS101" s="769"/>
      <c r="AIT101" s="769"/>
      <c r="AIU101" s="769"/>
      <c r="AIV101" s="769"/>
      <c r="AIW101" s="769"/>
      <c r="AIX101" s="769"/>
      <c r="AIY101" s="769"/>
      <c r="AIZ101" s="769"/>
      <c r="AJA101" s="769"/>
      <c r="AJB101" s="769"/>
      <c r="AJC101" s="769"/>
      <c r="AJD101" s="769"/>
      <c r="AJE101" s="769"/>
      <c r="AJF101" s="769"/>
      <c r="AJG101" s="769"/>
      <c r="AJH101" s="769"/>
      <c r="AJI101" s="769"/>
      <c r="AJJ101" s="769"/>
      <c r="AJK101" s="769"/>
      <c r="AJL101" s="769"/>
      <c r="AJM101" s="769"/>
      <c r="AJN101" s="769"/>
      <c r="AJO101" s="769"/>
      <c r="AJP101" s="769"/>
      <c r="AJQ101" s="769"/>
      <c r="AJR101" s="769"/>
      <c r="AJS101" s="769"/>
      <c r="AJT101" s="769"/>
      <c r="AJU101" s="769"/>
      <c r="AJV101" s="769"/>
      <c r="AJW101" s="769"/>
      <c r="AJX101" s="769"/>
      <c r="AJY101" s="769"/>
      <c r="AJZ101" s="769"/>
      <c r="AKA101" s="769"/>
      <c r="AKB101" s="769"/>
      <c r="AKC101" s="769"/>
      <c r="AKD101" s="769"/>
      <c r="AKE101" s="769"/>
      <c r="AKF101" s="769"/>
      <c r="AKG101" s="769"/>
      <c r="AKH101" s="769"/>
      <c r="AKI101" s="769"/>
      <c r="AKJ101" s="769"/>
      <c r="AKK101" s="769"/>
      <c r="AKL101" s="769"/>
      <c r="AKM101" s="769"/>
      <c r="AKN101" s="769"/>
      <c r="AKO101" s="769"/>
      <c r="AKP101" s="769"/>
      <c r="AKQ101" s="769"/>
      <c r="AKR101" s="769"/>
      <c r="AKS101" s="769"/>
      <c r="AKT101" s="769"/>
      <c r="AKU101" s="769"/>
      <c r="AKV101" s="769"/>
      <c r="AKW101" s="769"/>
      <c r="AKX101" s="769"/>
      <c r="AKY101" s="769"/>
      <c r="AKZ101" s="769"/>
      <c r="ALA101" s="769"/>
      <c r="ALB101" s="769"/>
      <c r="ALC101" s="769"/>
      <c r="ALD101" s="769"/>
      <c r="ALE101" s="769"/>
      <c r="ALF101" s="769"/>
      <c r="ALG101" s="769"/>
      <c r="ALH101" s="769"/>
      <c r="ALI101" s="769"/>
      <c r="ALJ101" s="769"/>
      <c r="ALK101" s="769"/>
      <c r="ALL101" s="769"/>
      <c r="ALM101" s="769"/>
      <c r="ALN101" s="769"/>
      <c r="ALO101" s="769"/>
      <c r="ALP101" s="769"/>
      <c r="ALQ101" s="769"/>
      <c r="ALR101" s="769"/>
      <c r="ALS101" s="769"/>
      <c r="ALT101" s="769"/>
      <c r="ALU101" s="769"/>
      <c r="ALV101" s="769"/>
      <c r="ALW101" s="769"/>
      <c r="ALX101" s="769"/>
      <c r="ALY101" s="769"/>
      <c r="ALZ101" s="769"/>
      <c r="AMA101" s="769"/>
      <c r="AMB101" s="769"/>
      <c r="AMC101" s="769"/>
      <c r="AMD101" s="769"/>
      <c r="AME101" s="769"/>
      <c r="AMF101" s="769"/>
      <c r="AMG101" s="769"/>
      <c r="AMH101" s="769"/>
      <c r="AMI101" s="769"/>
      <c r="AMJ101" s="769"/>
      <c r="AMK101" s="769"/>
      <c r="AML101" s="769"/>
      <c r="AMM101" s="769"/>
      <c r="AMN101" s="769"/>
      <c r="AMO101" s="769"/>
      <c r="AMP101" s="769"/>
      <c r="AMQ101" s="769"/>
      <c r="AMR101" s="769"/>
      <c r="AMS101" s="769"/>
      <c r="AMT101" s="769"/>
      <c r="AMU101" s="769"/>
      <c r="AMV101" s="769"/>
      <c r="AMW101" s="769"/>
      <c r="AMX101" s="769"/>
      <c r="AMY101" s="769"/>
      <c r="AMZ101" s="769"/>
      <c r="ANA101" s="769"/>
      <c r="ANB101" s="769"/>
      <c r="ANC101" s="769"/>
      <c r="AND101" s="769"/>
      <c r="ANE101" s="769"/>
      <c r="ANF101" s="769"/>
      <c r="ANG101" s="769"/>
      <c r="ANH101" s="769"/>
      <c r="ANI101" s="769"/>
      <c r="ANJ101" s="769"/>
      <c r="ANK101" s="769"/>
      <c r="ANL101" s="769"/>
      <c r="ANM101" s="769"/>
      <c r="ANN101" s="769"/>
      <c r="ANO101" s="769"/>
      <c r="ANP101" s="769"/>
      <c r="ANQ101" s="769"/>
      <c r="ANR101" s="769"/>
      <c r="ANS101" s="769"/>
      <c r="ANT101" s="769"/>
      <c r="ANU101" s="769"/>
      <c r="ANV101" s="769"/>
      <c r="ANW101" s="769"/>
      <c r="ANX101" s="769"/>
      <c r="ANY101" s="769"/>
      <c r="ANZ101" s="769"/>
      <c r="AOA101" s="769"/>
      <c r="AOB101" s="769"/>
      <c r="AOC101" s="769"/>
      <c r="AOD101" s="769"/>
      <c r="AOE101" s="769"/>
      <c r="AOF101" s="769"/>
      <c r="AOG101" s="769"/>
      <c r="AOH101" s="769"/>
      <c r="AOI101" s="769"/>
      <c r="AOJ101" s="769"/>
      <c r="AOK101" s="769"/>
      <c r="AOL101" s="769"/>
      <c r="AOM101" s="769"/>
      <c r="AON101" s="769"/>
      <c r="AOO101" s="769"/>
      <c r="AOP101" s="769"/>
      <c r="AOQ101" s="769"/>
      <c r="AOR101" s="769"/>
      <c r="AOS101" s="769"/>
      <c r="AOT101" s="769"/>
      <c r="AOU101" s="769"/>
      <c r="AOV101" s="769"/>
      <c r="AOW101" s="769"/>
      <c r="AOX101" s="769"/>
      <c r="AOY101" s="769"/>
      <c r="AOZ101" s="769"/>
      <c r="APA101" s="769"/>
      <c r="APB101" s="769"/>
      <c r="APC101" s="769"/>
      <c r="APD101" s="769"/>
      <c r="APE101" s="769"/>
      <c r="APF101" s="769"/>
      <c r="APG101" s="769"/>
      <c r="APH101" s="769"/>
      <c r="API101" s="769"/>
      <c r="APJ101" s="769"/>
      <c r="APK101" s="769"/>
      <c r="APL101" s="769"/>
      <c r="APM101" s="769"/>
      <c r="APN101" s="769"/>
      <c r="APO101" s="769"/>
      <c r="APP101" s="769"/>
      <c r="APQ101" s="769"/>
      <c r="APR101" s="769"/>
      <c r="APS101" s="769"/>
      <c r="APT101" s="769"/>
      <c r="APU101" s="769"/>
      <c r="APV101" s="769"/>
      <c r="APW101" s="769"/>
      <c r="APX101" s="769"/>
      <c r="APY101" s="769"/>
      <c r="APZ101" s="769"/>
      <c r="AQA101" s="769"/>
      <c r="AQB101" s="769"/>
      <c r="AQC101" s="769"/>
      <c r="AQD101" s="769"/>
      <c r="AQE101" s="769"/>
      <c r="AQF101" s="769"/>
      <c r="AQG101" s="769"/>
      <c r="AQH101" s="769"/>
      <c r="AQI101" s="769"/>
      <c r="AQJ101" s="769"/>
      <c r="AQK101" s="769"/>
      <c r="AQL101" s="769"/>
      <c r="AQM101" s="769"/>
      <c r="AQN101" s="769"/>
      <c r="AQO101" s="769"/>
      <c r="AQP101" s="769"/>
      <c r="AQQ101" s="769"/>
      <c r="AQR101" s="769"/>
      <c r="AQS101" s="769"/>
      <c r="AQT101" s="769"/>
      <c r="AQU101" s="769"/>
      <c r="AQV101" s="769"/>
      <c r="AQW101" s="769"/>
      <c r="AQX101" s="769"/>
      <c r="AQY101" s="769"/>
      <c r="AQZ101" s="769"/>
      <c r="ARA101" s="769"/>
      <c r="ARB101" s="769"/>
      <c r="ARC101" s="769"/>
      <c r="ARD101" s="769"/>
      <c r="ARE101" s="769"/>
      <c r="ARF101" s="769"/>
      <c r="ARG101" s="769"/>
      <c r="ARH101" s="769"/>
      <c r="ARI101" s="769"/>
      <c r="ARJ101" s="769"/>
      <c r="ARK101" s="769"/>
      <c r="ARL101" s="769"/>
      <c r="ARM101" s="769"/>
      <c r="ARN101" s="769"/>
      <c r="ARO101" s="769"/>
      <c r="ARP101" s="769"/>
      <c r="ARQ101" s="769"/>
      <c r="ARR101" s="769"/>
      <c r="ARS101" s="769"/>
      <c r="ART101" s="769"/>
      <c r="ARU101" s="769"/>
      <c r="ARV101" s="769"/>
      <c r="ARW101" s="769"/>
      <c r="ARX101" s="769"/>
      <c r="ARY101" s="769"/>
      <c r="ARZ101" s="769"/>
      <c r="ASA101" s="769"/>
      <c r="ASB101" s="769"/>
      <c r="ASC101" s="769"/>
      <c r="ASD101" s="769"/>
      <c r="ASE101" s="769"/>
      <c r="ASF101" s="769"/>
      <c r="ASG101" s="769"/>
      <c r="ASH101" s="769"/>
      <c r="ASI101" s="769"/>
      <c r="ASJ101" s="769"/>
      <c r="ASK101" s="769"/>
      <c r="ASL101" s="769"/>
      <c r="ASM101" s="769"/>
      <c r="ASN101" s="769"/>
      <c r="ASO101" s="769"/>
      <c r="ASP101" s="769"/>
      <c r="ASQ101" s="769"/>
      <c r="ASR101" s="769"/>
      <c r="ASS101" s="769"/>
      <c r="AST101" s="769"/>
      <c r="ASU101" s="769"/>
      <c r="ASV101" s="769"/>
      <c r="ASW101" s="769"/>
      <c r="ASX101" s="769"/>
      <c r="ASY101" s="769"/>
      <c r="ASZ101" s="769"/>
      <c r="ATA101" s="769"/>
      <c r="ATB101" s="769"/>
      <c r="ATC101" s="769"/>
      <c r="ATD101" s="769"/>
      <c r="ATE101" s="769"/>
      <c r="ATF101" s="769"/>
      <c r="ATG101" s="769"/>
      <c r="ATH101" s="769"/>
      <c r="ATI101" s="769"/>
      <c r="ATJ101" s="769"/>
      <c r="ATK101" s="769"/>
      <c r="ATL101" s="769"/>
      <c r="ATM101" s="769"/>
      <c r="ATN101" s="769"/>
      <c r="ATO101" s="769"/>
      <c r="ATP101" s="769"/>
      <c r="ATQ101" s="769"/>
      <c r="ATR101" s="769"/>
      <c r="ATS101" s="769"/>
      <c r="ATT101" s="769"/>
      <c r="ATU101" s="769"/>
      <c r="ATV101" s="769"/>
      <c r="ATW101" s="769"/>
      <c r="ATX101" s="769"/>
      <c r="ATY101" s="769"/>
      <c r="ATZ101" s="769"/>
      <c r="AUA101" s="769"/>
      <c r="AUB101" s="769"/>
      <c r="AUC101" s="769"/>
      <c r="AUD101" s="769"/>
      <c r="AUE101" s="769"/>
      <c r="AUF101" s="769"/>
      <c r="AUG101" s="769"/>
      <c r="AUH101" s="769"/>
      <c r="AUI101" s="769"/>
      <c r="AUJ101" s="769"/>
      <c r="AUK101" s="769"/>
      <c r="AUL101" s="769"/>
      <c r="AUM101" s="769"/>
      <c r="AUN101" s="769"/>
      <c r="AUO101" s="769"/>
      <c r="AUP101" s="769"/>
      <c r="AUQ101" s="769"/>
      <c r="AUR101" s="769"/>
      <c r="AUS101" s="769"/>
      <c r="AUT101" s="769"/>
      <c r="AUU101" s="769"/>
      <c r="AUV101" s="769"/>
      <c r="AUW101" s="769"/>
      <c r="AUX101" s="769"/>
      <c r="AUY101" s="769"/>
      <c r="AUZ101" s="769"/>
      <c r="AVA101" s="769"/>
      <c r="AVB101" s="769"/>
      <c r="AVC101" s="769"/>
      <c r="AVD101" s="769"/>
      <c r="AVE101" s="769"/>
      <c r="AVF101" s="769"/>
      <c r="AVG101" s="769"/>
      <c r="AVH101" s="769"/>
      <c r="AVI101" s="769"/>
      <c r="AVJ101" s="769"/>
      <c r="AVK101" s="769"/>
      <c r="AVL101" s="769"/>
      <c r="AVM101" s="769"/>
      <c r="AVN101" s="769"/>
      <c r="AVO101" s="769"/>
      <c r="AVP101" s="769"/>
      <c r="AVQ101" s="769"/>
      <c r="AVR101" s="769"/>
      <c r="AVS101" s="769"/>
      <c r="AVT101" s="769"/>
      <c r="AVU101" s="769"/>
      <c r="AVV101" s="769"/>
      <c r="AVW101" s="769"/>
      <c r="AVX101" s="769"/>
      <c r="AVY101" s="769"/>
      <c r="AVZ101" s="769"/>
      <c r="AWA101" s="769"/>
      <c r="AWB101" s="769"/>
      <c r="AWC101" s="769"/>
      <c r="AWD101" s="769"/>
      <c r="AWE101" s="769"/>
      <c r="AWF101" s="769"/>
      <c r="AWG101" s="769"/>
      <c r="AWH101" s="769"/>
      <c r="AWI101" s="769"/>
      <c r="AWJ101" s="769"/>
      <c r="AWK101" s="769"/>
      <c r="AWL101" s="769"/>
      <c r="AWM101" s="769"/>
      <c r="AWN101" s="769"/>
      <c r="AWO101" s="769"/>
      <c r="AWP101" s="769"/>
      <c r="AWQ101" s="769"/>
      <c r="AWR101" s="769"/>
      <c r="AWS101" s="769"/>
      <c r="AWT101" s="769"/>
      <c r="AWU101" s="769"/>
      <c r="AWV101" s="769"/>
      <c r="AWW101" s="769"/>
      <c r="AWX101" s="769"/>
      <c r="AWY101" s="769"/>
      <c r="AWZ101" s="769"/>
      <c r="AXA101" s="769"/>
      <c r="AXB101" s="769"/>
      <c r="AXC101" s="769"/>
      <c r="AXD101" s="769"/>
      <c r="AXE101" s="769"/>
      <c r="AXF101" s="769"/>
      <c r="AXG101" s="769"/>
      <c r="AXH101" s="769"/>
      <c r="AXI101" s="769"/>
      <c r="AXJ101" s="769"/>
      <c r="AXK101" s="769"/>
      <c r="AXL101" s="769"/>
      <c r="AXM101" s="769"/>
      <c r="AXN101" s="769"/>
      <c r="AXO101" s="769"/>
      <c r="AXP101" s="769"/>
      <c r="AXQ101" s="769"/>
      <c r="AXR101" s="769"/>
      <c r="AXS101" s="769"/>
      <c r="AXT101" s="769"/>
      <c r="AXU101" s="769"/>
      <c r="AXV101" s="769"/>
      <c r="AXW101" s="769"/>
      <c r="AXX101" s="769"/>
      <c r="AXY101" s="769"/>
      <c r="AXZ101" s="769"/>
      <c r="AYA101" s="769"/>
      <c r="AYB101" s="769"/>
      <c r="AYC101" s="769"/>
      <c r="AYD101" s="769"/>
      <c r="AYE101" s="769"/>
      <c r="AYF101" s="769"/>
      <c r="AYG101" s="769"/>
      <c r="AYH101" s="769"/>
      <c r="AYI101" s="769"/>
      <c r="AYJ101" s="769"/>
      <c r="AYK101" s="769"/>
      <c r="AYL101" s="769"/>
      <c r="AYM101" s="769"/>
      <c r="AYN101" s="769"/>
      <c r="AYO101" s="769"/>
      <c r="AYP101" s="769"/>
      <c r="AYQ101" s="769"/>
      <c r="AYR101" s="769"/>
      <c r="AYS101" s="769"/>
      <c r="AYT101" s="769"/>
      <c r="AYU101" s="769"/>
      <c r="AYV101" s="769"/>
      <c r="AYW101" s="769"/>
      <c r="AYX101" s="769"/>
      <c r="AYY101" s="769"/>
      <c r="AYZ101" s="769"/>
      <c r="AZA101" s="769"/>
      <c r="AZB101" s="769"/>
      <c r="AZC101" s="769"/>
      <c r="AZD101" s="769"/>
      <c r="AZE101" s="769"/>
      <c r="AZF101" s="769"/>
      <c r="AZG101" s="769"/>
      <c r="AZH101" s="769"/>
      <c r="AZI101" s="769"/>
      <c r="AZJ101" s="769"/>
      <c r="AZK101" s="769"/>
      <c r="AZL101" s="769"/>
      <c r="AZM101" s="769"/>
      <c r="AZN101" s="769"/>
      <c r="AZO101" s="769"/>
      <c r="AZP101" s="769"/>
      <c r="AZQ101" s="769"/>
      <c r="AZR101" s="769"/>
      <c r="AZS101" s="769"/>
      <c r="AZT101" s="769"/>
      <c r="AZU101" s="769"/>
      <c r="AZV101" s="769"/>
      <c r="AZW101" s="769"/>
      <c r="AZX101" s="769"/>
      <c r="AZY101" s="769"/>
      <c r="AZZ101" s="769"/>
      <c r="BAA101" s="769"/>
      <c r="BAB101" s="769"/>
      <c r="BAC101" s="769"/>
      <c r="BAD101" s="769"/>
      <c r="BAE101" s="769"/>
      <c r="BAF101" s="769"/>
      <c r="BAG101" s="769"/>
      <c r="BAH101" s="769"/>
      <c r="BAI101" s="769"/>
      <c r="BAJ101" s="769"/>
      <c r="BAK101" s="769"/>
      <c r="BAL101" s="769"/>
      <c r="BAM101" s="769"/>
      <c r="BAN101" s="769"/>
      <c r="BAO101" s="769"/>
      <c r="BAP101" s="769"/>
      <c r="BAQ101" s="769"/>
      <c r="BAR101" s="769"/>
      <c r="BAS101" s="769"/>
      <c r="BAT101" s="769"/>
      <c r="BAU101" s="769"/>
      <c r="BAV101" s="769"/>
      <c r="BAW101" s="769"/>
      <c r="BAX101" s="769"/>
      <c r="BAY101" s="769"/>
      <c r="BAZ101" s="769"/>
      <c r="BBA101" s="769"/>
      <c r="BBB101" s="769"/>
      <c r="BBC101" s="769"/>
      <c r="BBD101" s="769"/>
      <c r="BBE101" s="769"/>
      <c r="BBF101" s="769"/>
      <c r="BBG101" s="769"/>
      <c r="BBH101" s="769"/>
      <c r="BBI101" s="769"/>
      <c r="BBJ101" s="769"/>
      <c r="BBK101" s="769"/>
      <c r="BBL101" s="769"/>
      <c r="BBM101" s="769"/>
      <c r="BBN101" s="769"/>
      <c r="BBO101" s="769"/>
      <c r="BBP101" s="769"/>
      <c r="BBQ101" s="769"/>
      <c r="BBR101" s="769"/>
      <c r="BBS101" s="769"/>
      <c r="BBT101" s="769"/>
      <c r="BBU101" s="769"/>
      <c r="BBV101" s="769"/>
      <c r="BBW101" s="769"/>
      <c r="BBX101" s="769"/>
      <c r="BBY101" s="769"/>
      <c r="BBZ101" s="769"/>
      <c r="BCA101" s="769"/>
      <c r="BCB101" s="769"/>
      <c r="BCC101" s="769"/>
      <c r="BCD101" s="769"/>
      <c r="BCE101" s="769"/>
      <c r="BCF101" s="769"/>
      <c r="BCG101" s="769"/>
      <c r="BCH101" s="769"/>
      <c r="BCI101" s="769"/>
      <c r="BCJ101" s="769"/>
      <c r="BCK101" s="769"/>
      <c r="BCL101" s="769"/>
      <c r="BCM101" s="769"/>
      <c r="BCN101" s="769"/>
      <c r="BCO101" s="769"/>
      <c r="BCP101" s="769"/>
      <c r="BCQ101" s="769"/>
      <c r="BCR101" s="769"/>
      <c r="BCS101" s="769"/>
      <c r="BCT101" s="769"/>
      <c r="BCU101" s="769"/>
      <c r="BCV101" s="769"/>
      <c r="BCW101" s="769"/>
      <c r="BCX101" s="769"/>
      <c r="BCY101" s="769"/>
      <c r="BCZ101" s="769"/>
      <c r="BDA101" s="769"/>
      <c r="BDB101" s="769"/>
      <c r="BDC101" s="769"/>
      <c r="BDD101" s="769"/>
      <c r="BDE101" s="769"/>
      <c r="BDF101" s="769"/>
      <c r="BDG101" s="769"/>
      <c r="BDH101" s="769"/>
      <c r="BDI101" s="769"/>
      <c r="BDJ101" s="769"/>
      <c r="BDK101" s="769"/>
      <c r="BDL101" s="769"/>
      <c r="BDM101" s="769"/>
      <c r="BDN101" s="769"/>
      <c r="BDO101" s="769"/>
      <c r="BDP101" s="769"/>
      <c r="BDQ101" s="769"/>
      <c r="BDR101" s="769"/>
      <c r="BDS101" s="769"/>
      <c r="BDT101" s="769"/>
      <c r="BDU101" s="769"/>
      <c r="BDV101" s="769"/>
      <c r="BDW101" s="769"/>
      <c r="BDX101" s="769"/>
      <c r="BDY101" s="769"/>
      <c r="BDZ101" s="769"/>
      <c r="BEA101" s="769"/>
      <c r="BEB101" s="769"/>
      <c r="BEC101" s="769"/>
      <c r="BED101" s="769"/>
      <c r="BEE101" s="769"/>
      <c r="BEF101" s="769"/>
      <c r="BEG101" s="769"/>
      <c r="BEH101" s="769"/>
      <c r="BEI101" s="769"/>
      <c r="BEJ101" s="769"/>
      <c r="BEK101" s="769"/>
      <c r="BEL101" s="769"/>
      <c r="BEM101" s="769"/>
      <c r="BEN101" s="769"/>
      <c r="BEO101" s="769"/>
      <c r="BEP101" s="769"/>
      <c r="BEQ101" s="769"/>
      <c r="BER101" s="769"/>
      <c r="BES101" s="769"/>
      <c r="BET101" s="769"/>
      <c r="BEU101" s="769"/>
      <c r="BEV101" s="769"/>
      <c r="BEW101" s="769"/>
      <c r="BEX101" s="769"/>
      <c r="BEY101" s="769"/>
      <c r="BEZ101" s="769"/>
      <c r="BFA101" s="769"/>
      <c r="BFB101" s="769"/>
      <c r="BFC101" s="769"/>
      <c r="BFD101" s="769"/>
      <c r="BFE101" s="769"/>
      <c r="BFF101" s="769"/>
      <c r="BFG101" s="769"/>
      <c r="BFH101" s="769"/>
      <c r="BFI101" s="769"/>
      <c r="BFJ101" s="769"/>
      <c r="BFK101" s="769"/>
      <c r="BFL101" s="769"/>
      <c r="BFM101" s="769"/>
      <c r="BFN101" s="769"/>
      <c r="BFO101" s="769"/>
      <c r="BFP101" s="769"/>
      <c r="BFQ101" s="769"/>
      <c r="BFR101" s="769"/>
      <c r="BFS101" s="769"/>
      <c r="BFT101" s="769"/>
      <c r="BFU101" s="769"/>
      <c r="BFV101" s="769"/>
      <c r="BFW101" s="769"/>
      <c r="BFX101" s="769"/>
      <c r="BFY101" s="769"/>
      <c r="BFZ101" s="769"/>
      <c r="BGA101" s="769"/>
      <c r="BGB101" s="769"/>
      <c r="BGC101" s="769"/>
      <c r="BGD101" s="769"/>
      <c r="BGE101" s="769"/>
      <c r="BGF101" s="769"/>
      <c r="BGG101" s="769"/>
      <c r="BGH101" s="769"/>
      <c r="BGI101" s="769"/>
      <c r="BGJ101" s="769"/>
      <c r="BGK101" s="769"/>
      <c r="BGL101" s="769"/>
      <c r="BGM101" s="769"/>
      <c r="BGN101" s="769"/>
      <c r="BGO101" s="769"/>
      <c r="BGP101" s="769"/>
      <c r="BGQ101" s="769"/>
      <c r="BGR101" s="769"/>
      <c r="BGS101" s="769"/>
      <c r="BGT101" s="769"/>
      <c r="BGU101" s="769"/>
      <c r="BGV101" s="769"/>
      <c r="BGW101" s="769"/>
      <c r="BGX101" s="769"/>
      <c r="BGY101" s="769"/>
      <c r="BGZ101" s="769"/>
      <c r="BHA101" s="769"/>
      <c r="BHB101" s="769"/>
      <c r="BHC101" s="769"/>
      <c r="BHD101" s="769"/>
      <c r="BHE101" s="769"/>
      <c r="BHF101" s="769"/>
      <c r="BHG101" s="769"/>
      <c r="BHH101" s="769"/>
      <c r="BHI101" s="769"/>
      <c r="BHJ101" s="769"/>
      <c r="BHK101" s="769"/>
      <c r="BHL101" s="769"/>
      <c r="BHM101" s="769"/>
      <c r="BHN101" s="769"/>
      <c r="BHO101" s="769"/>
      <c r="BHP101" s="769"/>
      <c r="BHQ101" s="769"/>
      <c r="BHR101" s="769"/>
      <c r="BHS101" s="769"/>
      <c r="BHT101" s="769"/>
      <c r="BHU101" s="769"/>
      <c r="BHV101" s="769"/>
      <c r="BHW101" s="769"/>
      <c r="BHX101" s="769"/>
      <c r="BHY101" s="769"/>
      <c r="BHZ101" s="769"/>
      <c r="BIA101" s="769"/>
      <c r="BIB101" s="769"/>
      <c r="BIC101" s="769"/>
      <c r="BID101" s="769"/>
      <c r="BIE101" s="769"/>
      <c r="BIF101" s="769"/>
      <c r="BIG101" s="769"/>
      <c r="BIH101" s="769"/>
      <c r="BII101" s="769"/>
      <c r="BIJ101" s="769"/>
      <c r="BIK101" s="769"/>
      <c r="BIL101" s="769"/>
      <c r="BIM101" s="769"/>
      <c r="BIN101" s="769"/>
      <c r="BIO101" s="769"/>
      <c r="BIP101" s="769"/>
      <c r="BIQ101" s="769"/>
      <c r="BIR101" s="769"/>
      <c r="BIS101" s="769"/>
      <c r="BIT101" s="769"/>
      <c r="BIU101" s="769"/>
      <c r="BIV101" s="769"/>
      <c r="BIW101" s="769"/>
      <c r="BIX101" s="769"/>
      <c r="BIY101" s="769"/>
      <c r="BIZ101" s="769"/>
      <c r="BJA101" s="769"/>
      <c r="BJB101" s="769"/>
      <c r="BJC101" s="769"/>
      <c r="BJD101" s="769"/>
      <c r="BJE101" s="769"/>
      <c r="BJF101" s="769"/>
      <c r="BJG101" s="769"/>
      <c r="BJH101" s="769"/>
      <c r="BJI101" s="769"/>
      <c r="BJJ101" s="769"/>
      <c r="BJK101" s="769"/>
      <c r="BJL101" s="769"/>
      <c r="BJM101" s="769"/>
      <c r="BJN101" s="769"/>
      <c r="BJO101" s="769"/>
      <c r="BJP101" s="769"/>
      <c r="BJQ101" s="769"/>
      <c r="BJR101" s="769"/>
      <c r="BJS101" s="769"/>
      <c r="BJT101" s="769"/>
      <c r="BJU101" s="769"/>
      <c r="BJV101" s="769"/>
      <c r="BJW101" s="769"/>
      <c r="BJX101" s="769"/>
      <c r="BJY101" s="769"/>
      <c r="BJZ101" s="769"/>
      <c r="BKA101" s="769"/>
      <c r="BKB101" s="769"/>
      <c r="BKC101" s="769"/>
      <c r="BKD101" s="769"/>
      <c r="BKE101" s="769"/>
      <c r="BKF101" s="769"/>
      <c r="BKG101" s="769"/>
      <c r="BKH101" s="769"/>
      <c r="BKI101" s="769"/>
      <c r="BKJ101" s="769"/>
      <c r="BKK101" s="769"/>
      <c r="BKL101" s="769"/>
      <c r="BKM101" s="769"/>
      <c r="BKN101" s="769"/>
      <c r="BKO101" s="769"/>
      <c r="BKP101" s="769"/>
      <c r="BKQ101" s="769"/>
      <c r="BKR101" s="769"/>
      <c r="BKS101" s="769"/>
      <c r="BKT101" s="769"/>
      <c r="BKU101" s="769"/>
      <c r="BKV101" s="769"/>
      <c r="BKW101" s="769"/>
      <c r="BKX101" s="769"/>
      <c r="BKY101" s="769"/>
      <c r="BKZ101" s="769"/>
      <c r="BLA101" s="769"/>
      <c r="BLB101" s="769"/>
      <c r="BLC101" s="769"/>
      <c r="BLD101" s="769"/>
      <c r="BLE101" s="769"/>
      <c r="BLF101" s="769"/>
      <c r="BLG101" s="769"/>
      <c r="BLH101" s="769"/>
      <c r="BLI101" s="769"/>
      <c r="BLJ101" s="769"/>
      <c r="BLK101" s="769"/>
      <c r="BLL101" s="769"/>
      <c r="BLM101" s="769"/>
      <c r="BLN101" s="769"/>
      <c r="BLO101" s="769"/>
      <c r="BLP101" s="769"/>
      <c r="BLQ101" s="769"/>
      <c r="BLR101" s="769"/>
      <c r="BLS101" s="769"/>
      <c r="BLT101" s="769"/>
      <c r="BLU101" s="769"/>
      <c r="BLV101" s="769"/>
      <c r="BLW101" s="769"/>
      <c r="BLX101" s="769"/>
      <c r="BLY101" s="769"/>
      <c r="BLZ101" s="769"/>
      <c r="BMA101" s="769"/>
      <c r="BMB101" s="769"/>
      <c r="BMC101" s="769"/>
      <c r="BMD101" s="769"/>
      <c r="BME101" s="769"/>
      <c r="BMF101" s="769"/>
      <c r="BMG101" s="769"/>
      <c r="BMH101" s="769"/>
      <c r="BMI101" s="769"/>
      <c r="BMJ101" s="769"/>
      <c r="BMK101" s="769"/>
      <c r="BML101" s="769"/>
      <c r="BMM101" s="769"/>
      <c r="BMN101" s="769"/>
      <c r="BMO101" s="769"/>
      <c r="BMP101" s="769"/>
      <c r="BMQ101" s="769"/>
      <c r="BMR101" s="769"/>
      <c r="BMS101" s="769"/>
      <c r="BMT101" s="769"/>
      <c r="BMU101" s="769"/>
      <c r="BMV101" s="769"/>
      <c r="BMW101" s="769"/>
      <c r="BMX101" s="769"/>
      <c r="BMY101" s="769"/>
      <c r="BMZ101" s="769"/>
      <c r="BNA101" s="769"/>
      <c r="BNB101" s="769"/>
      <c r="BNC101" s="769"/>
      <c r="BND101" s="769"/>
      <c r="BNE101" s="769"/>
      <c r="BNF101" s="769"/>
      <c r="BNG101" s="769"/>
      <c r="BNH101" s="769"/>
      <c r="BNI101" s="769"/>
      <c r="BNJ101" s="769"/>
      <c r="BNK101" s="769"/>
      <c r="BNL101" s="769"/>
      <c r="BNM101" s="769"/>
      <c r="BNN101" s="769"/>
      <c r="BNO101" s="769"/>
      <c r="BNP101" s="769"/>
      <c r="BNQ101" s="769"/>
      <c r="BNR101" s="769"/>
      <c r="BNS101" s="769"/>
      <c r="BNT101" s="769"/>
      <c r="BNU101" s="769"/>
      <c r="BNV101" s="769"/>
      <c r="BNW101" s="769"/>
      <c r="BNX101" s="769"/>
      <c r="BNY101" s="769"/>
      <c r="BNZ101" s="769"/>
      <c r="BOA101" s="769"/>
      <c r="BOB101" s="769"/>
      <c r="BOC101" s="769"/>
      <c r="BOD101" s="769"/>
      <c r="BOE101" s="769"/>
      <c r="BOF101" s="769"/>
      <c r="BOG101" s="769"/>
      <c r="BOH101" s="769"/>
      <c r="BOI101" s="769"/>
      <c r="BOJ101" s="769"/>
      <c r="BOK101" s="769"/>
      <c r="BOL101" s="769"/>
      <c r="BOM101" s="769"/>
      <c r="BON101" s="769"/>
      <c r="BOO101" s="769"/>
      <c r="BOP101" s="769"/>
      <c r="BOQ101" s="769"/>
      <c r="BOR101" s="769"/>
      <c r="BOS101" s="769"/>
      <c r="BOT101" s="769"/>
      <c r="BOU101" s="769"/>
      <c r="BOV101" s="769"/>
      <c r="BOW101" s="769"/>
      <c r="BOX101" s="769"/>
      <c r="BOY101" s="769"/>
      <c r="BOZ101" s="769"/>
      <c r="BPA101" s="769"/>
      <c r="BPB101" s="769"/>
      <c r="BPC101" s="769"/>
      <c r="BPD101" s="769"/>
      <c r="BPE101" s="769"/>
      <c r="BPF101" s="769"/>
      <c r="BPG101" s="769"/>
      <c r="BPH101" s="769"/>
      <c r="BPI101" s="769"/>
      <c r="BPJ101" s="769"/>
      <c r="BPK101" s="769"/>
      <c r="BPL101" s="769"/>
      <c r="BPM101" s="769"/>
      <c r="BPN101" s="769"/>
      <c r="BPO101" s="769"/>
      <c r="BPP101" s="769"/>
      <c r="BPQ101" s="769"/>
      <c r="BPR101" s="769"/>
      <c r="BPS101" s="769"/>
      <c r="BPT101" s="769"/>
      <c r="BPU101" s="769"/>
      <c r="BPV101" s="769"/>
      <c r="BPW101" s="769"/>
      <c r="BPX101" s="769"/>
      <c r="BPY101" s="769"/>
      <c r="BPZ101" s="769"/>
      <c r="BQA101" s="769"/>
      <c r="BQB101" s="769"/>
      <c r="BQC101" s="769"/>
      <c r="BQD101" s="769"/>
      <c r="BQE101" s="769"/>
      <c r="BQF101" s="769"/>
      <c r="BQG101" s="769"/>
      <c r="BQH101" s="769"/>
      <c r="BQI101" s="769"/>
      <c r="BQJ101" s="769"/>
      <c r="BQK101" s="769"/>
      <c r="BQL101" s="769"/>
      <c r="BQM101" s="769"/>
      <c r="BQN101" s="769"/>
      <c r="BQO101" s="769"/>
      <c r="BQP101" s="769"/>
      <c r="BQQ101" s="769"/>
      <c r="BQR101" s="769"/>
      <c r="BQS101" s="769"/>
      <c r="BQT101" s="769"/>
      <c r="BQU101" s="769"/>
      <c r="BQV101" s="769"/>
      <c r="BQW101" s="769"/>
      <c r="BQX101" s="769"/>
      <c r="BQY101" s="769"/>
      <c r="BQZ101" s="769"/>
      <c r="BRA101" s="769"/>
      <c r="BRB101" s="769"/>
      <c r="BRC101" s="769"/>
      <c r="BRD101" s="769"/>
      <c r="BRE101" s="769"/>
      <c r="BRF101" s="769"/>
      <c r="BRG101" s="769"/>
      <c r="BRH101" s="769"/>
      <c r="BRI101" s="769"/>
      <c r="BRJ101" s="769"/>
      <c r="BRK101" s="769"/>
      <c r="BRL101" s="769"/>
      <c r="BRM101" s="769"/>
      <c r="BRN101" s="769"/>
      <c r="BRO101" s="769"/>
      <c r="BRP101" s="769"/>
      <c r="BRQ101" s="769"/>
      <c r="BRR101" s="769"/>
      <c r="BRS101" s="769"/>
      <c r="BRT101" s="769"/>
      <c r="BRU101" s="769"/>
      <c r="BRV101" s="769"/>
      <c r="BRW101" s="769"/>
      <c r="BRX101" s="769"/>
      <c r="BRY101" s="769"/>
      <c r="BRZ101" s="769"/>
      <c r="BSA101" s="769"/>
      <c r="BSB101" s="769"/>
      <c r="BSC101" s="769"/>
      <c r="BSD101" s="769"/>
      <c r="BSE101" s="769"/>
      <c r="BSF101" s="769"/>
      <c r="BSG101" s="769"/>
      <c r="BSH101" s="769"/>
      <c r="BSI101" s="769"/>
      <c r="BSJ101" s="769"/>
      <c r="BSK101" s="769"/>
      <c r="BSL101" s="769"/>
      <c r="BSM101" s="769"/>
      <c r="BSN101" s="769"/>
      <c r="BSO101" s="769"/>
      <c r="BSP101" s="769"/>
      <c r="BSQ101" s="769"/>
      <c r="BSR101" s="769"/>
      <c r="BSS101" s="769"/>
      <c r="BST101" s="769"/>
      <c r="BSU101" s="769"/>
      <c r="BSV101" s="769"/>
      <c r="BSW101" s="769"/>
      <c r="BSX101" s="769"/>
      <c r="BSY101" s="769"/>
      <c r="BSZ101" s="769"/>
      <c r="BTA101" s="769"/>
      <c r="BTB101" s="769"/>
      <c r="BTC101" s="769"/>
      <c r="BTD101" s="769"/>
      <c r="BTE101" s="769"/>
      <c r="BTF101" s="769"/>
      <c r="BTG101" s="769"/>
      <c r="BTH101" s="769"/>
      <c r="BTI101" s="769"/>
      <c r="BTJ101" s="769"/>
      <c r="BTK101" s="769"/>
      <c r="BTL101" s="769"/>
      <c r="BTM101" s="769"/>
      <c r="BTN101" s="769"/>
      <c r="BTO101" s="769"/>
      <c r="BTP101" s="769"/>
      <c r="BTQ101" s="769"/>
      <c r="BTR101" s="769"/>
      <c r="BTS101" s="769"/>
      <c r="BTT101" s="769"/>
      <c r="BTU101" s="769"/>
      <c r="BTV101" s="769"/>
      <c r="BTW101" s="769"/>
      <c r="BTX101" s="769"/>
      <c r="BTY101" s="769"/>
      <c r="BTZ101" s="769"/>
      <c r="BUA101" s="769"/>
      <c r="BUB101" s="769"/>
      <c r="BUC101" s="769"/>
      <c r="BUD101" s="769"/>
      <c r="BUE101" s="769"/>
      <c r="BUF101" s="769"/>
      <c r="BUG101" s="769"/>
      <c r="BUH101" s="769"/>
      <c r="BUI101" s="769"/>
      <c r="BUJ101" s="769"/>
      <c r="BUK101" s="769"/>
      <c r="BUL101" s="769"/>
      <c r="BUM101" s="769"/>
      <c r="BUN101" s="769"/>
      <c r="BUO101" s="769"/>
      <c r="BUP101" s="769"/>
      <c r="BUQ101" s="769"/>
      <c r="BUR101" s="769"/>
      <c r="BUS101" s="769"/>
      <c r="BUT101" s="769"/>
      <c r="BUU101" s="769"/>
      <c r="BUV101" s="769"/>
      <c r="BUW101" s="769"/>
      <c r="BUX101" s="769"/>
      <c r="BUY101" s="769"/>
      <c r="BUZ101" s="769"/>
      <c r="BVA101" s="769"/>
      <c r="BVB101" s="769"/>
      <c r="BVC101" s="769"/>
      <c r="BVD101" s="769"/>
      <c r="BVE101" s="769"/>
      <c r="BVF101" s="769"/>
      <c r="BVG101" s="769"/>
      <c r="BVH101" s="769"/>
      <c r="BVI101" s="769"/>
      <c r="BVJ101" s="769"/>
      <c r="BVK101" s="769"/>
      <c r="BVL101" s="769"/>
      <c r="BVM101" s="769"/>
      <c r="BVN101" s="769"/>
      <c r="BVO101" s="769"/>
      <c r="BVP101" s="769"/>
      <c r="BVQ101" s="769"/>
      <c r="BVR101" s="769"/>
      <c r="BVS101" s="769"/>
      <c r="BVT101" s="769"/>
      <c r="BVU101" s="769"/>
      <c r="BVV101" s="769"/>
      <c r="BVW101" s="769"/>
      <c r="BVX101" s="769"/>
      <c r="BVY101" s="769"/>
      <c r="BVZ101" s="769"/>
      <c r="BWA101" s="769"/>
      <c r="BWB101" s="769"/>
      <c r="BWC101" s="769"/>
      <c r="BWD101" s="769"/>
      <c r="BWE101" s="769"/>
      <c r="BWF101" s="769"/>
      <c r="BWG101" s="769"/>
      <c r="BWH101" s="769"/>
      <c r="BWI101" s="769"/>
      <c r="BWJ101" s="769"/>
      <c r="BWK101" s="769"/>
      <c r="BWL101" s="769"/>
      <c r="BWM101" s="769"/>
      <c r="BWN101" s="769"/>
      <c r="BWO101" s="769"/>
      <c r="BWP101" s="769"/>
      <c r="BWQ101" s="769"/>
      <c r="BWR101" s="769"/>
      <c r="BWS101" s="769"/>
      <c r="BWT101" s="769"/>
      <c r="BWU101" s="769"/>
      <c r="BWV101" s="769"/>
      <c r="BWW101" s="769"/>
      <c r="BWX101" s="769"/>
      <c r="BWY101" s="769"/>
      <c r="BWZ101" s="769"/>
      <c r="BXA101" s="769"/>
      <c r="BXB101" s="769"/>
      <c r="BXC101" s="769"/>
      <c r="BXD101" s="769"/>
      <c r="BXE101" s="769"/>
      <c r="BXF101" s="769"/>
      <c r="BXG101" s="769"/>
      <c r="BXH101" s="769"/>
      <c r="BXI101" s="769"/>
      <c r="BXJ101" s="769"/>
      <c r="BXK101" s="769"/>
      <c r="BXL101" s="769"/>
      <c r="BXM101" s="769"/>
      <c r="BXN101" s="769"/>
      <c r="BXO101" s="769"/>
      <c r="BXP101" s="769"/>
      <c r="BXQ101" s="769"/>
      <c r="BXR101" s="769"/>
      <c r="BXS101" s="769"/>
      <c r="BXT101" s="769"/>
      <c r="BXU101" s="769"/>
      <c r="BXV101" s="769"/>
      <c r="BXW101" s="769"/>
      <c r="BXX101" s="769"/>
      <c r="BXY101" s="769"/>
      <c r="BXZ101" s="769"/>
      <c r="BYA101" s="769"/>
      <c r="BYB101" s="769"/>
      <c r="BYC101" s="769"/>
      <c r="BYD101" s="769"/>
      <c r="BYE101" s="769"/>
      <c r="BYF101" s="769"/>
      <c r="BYG101" s="769"/>
      <c r="BYH101" s="769"/>
      <c r="BYI101" s="769"/>
      <c r="BYJ101" s="769"/>
      <c r="BYK101" s="769"/>
      <c r="BYL101" s="769"/>
      <c r="BYM101" s="769"/>
      <c r="BYN101" s="769"/>
      <c r="BYO101" s="769"/>
      <c r="BYP101" s="769"/>
      <c r="BYQ101" s="769"/>
      <c r="BYR101" s="769"/>
      <c r="BYS101" s="769"/>
      <c r="BYT101" s="769"/>
      <c r="BYU101" s="769"/>
      <c r="BYV101" s="769"/>
      <c r="BYW101" s="769"/>
      <c r="BYX101" s="769"/>
      <c r="BYY101" s="769"/>
      <c r="BYZ101" s="769"/>
      <c r="BZA101" s="769"/>
      <c r="BZB101" s="769"/>
      <c r="BZC101" s="769"/>
      <c r="BZD101" s="769"/>
      <c r="BZE101" s="769"/>
      <c r="BZF101" s="769"/>
      <c r="BZG101" s="769"/>
      <c r="BZH101" s="769"/>
      <c r="BZI101" s="769"/>
      <c r="BZJ101" s="769"/>
      <c r="BZK101" s="769"/>
      <c r="BZL101" s="769"/>
      <c r="BZM101" s="769"/>
      <c r="BZN101" s="769"/>
      <c r="BZO101" s="769"/>
      <c r="BZP101" s="769"/>
      <c r="BZQ101" s="769"/>
      <c r="BZR101" s="769"/>
      <c r="BZS101" s="769"/>
      <c r="BZT101" s="769"/>
      <c r="BZU101" s="769"/>
      <c r="BZV101" s="769"/>
      <c r="BZW101" s="769"/>
      <c r="BZX101" s="769"/>
      <c r="BZY101" s="769"/>
      <c r="BZZ101" s="769"/>
      <c r="CAA101" s="769"/>
      <c r="CAB101" s="769"/>
      <c r="CAC101" s="769"/>
      <c r="CAD101" s="769"/>
      <c r="CAE101" s="769"/>
      <c r="CAF101" s="769"/>
      <c r="CAG101" s="769"/>
      <c r="CAH101" s="769"/>
      <c r="CAI101" s="769"/>
      <c r="CAJ101" s="769"/>
      <c r="CAK101" s="769"/>
      <c r="CAL101" s="769"/>
      <c r="CAM101" s="769"/>
      <c r="CAN101" s="769"/>
      <c r="CAO101" s="769"/>
      <c r="CAP101" s="769"/>
      <c r="CAQ101" s="769"/>
      <c r="CAR101" s="769"/>
      <c r="CAS101" s="769"/>
      <c r="CAT101" s="769"/>
      <c r="CAU101" s="769"/>
      <c r="CAV101" s="769"/>
      <c r="CAW101" s="769"/>
      <c r="CAX101" s="769"/>
      <c r="CAY101" s="769"/>
      <c r="CAZ101" s="769"/>
      <c r="CBA101" s="769"/>
      <c r="CBB101" s="769"/>
      <c r="CBC101" s="769"/>
      <c r="CBD101" s="769"/>
      <c r="CBE101" s="769"/>
      <c r="CBF101" s="769"/>
      <c r="CBG101" s="769"/>
      <c r="CBH101" s="769"/>
      <c r="CBI101" s="769"/>
      <c r="CBJ101" s="769"/>
      <c r="CBK101" s="769"/>
      <c r="CBL101" s="769"/>
      <c r="CBM101" s="769"/>
      <c r="CBN101" s="769"/>
      <c r="CBO101" s="769"/>
      <c r="CBP101" s="769"/>
      <c r="CBQ101" s="769"/>
      <c r="CBR101" s="769"/>
      <c r="CBS101" s="769"/>
      <c r="CBT101" s="769"/>
      <c r="CBU101" s="769"/>
      <c r="CBV101" s="769"/>
      <c r="CBW101" s="769"/>
      <c r="CBX101" s="769"/>
      <c r="CBY101" s="769"/>
      <c r="CBZ101" s="769"/>
      <c r="CCA101" s="769"/>
      <c r="CCB101" s="769"/>
      <c r="CCC101" s="769"/>
      <c r="CCD101" s="769"/>
      <c r="CCE101" s="769"/>
      <c r="CCF101" s="769"/>
      <c r="CCG101" s="769"/>
      <c r="CCH101" s="769"/>
      <c r="CCI101" s="769"/>
      <c r="CCJ101" s="769"/>
      <c r="CCK101" s="769"/>
      <c r="CCL101" s="769"/>
      <c r="CCM101" s="769"/>
      <c r="CCN101" s="769"/>
      <c r="CCO101" s="769"/>
      <c r="CCP101" s="769"/>
      <c r="CCQ101" s="769"/>
      <c r="CCR101" s="769"/>
      <c r="CCS101" s="769"/>
      <c r="CCT101" s="769"/>
      <c r="CCU101" s="769"/>
      <c r="CCV101" s="769"/>
      <c r="CCW101" s="769"/>
      <c r="CCX101" s="769"/>
      <c r="CCY101" s="769"/>
      <c r="CCZ101" s="769"/>
      <c r="CDA101" s="769"/>
      <c r="CDB101" s="769"/>
      <c r="CDC101" s="769"/>
      <c r="CDD101" s="769"/>
      <c r="CDE101" s="769"/>
      <c r="CDF101" s="769"/>
      <c r="CDG101" s="769"/>
      <c r="CDH101" s="769"/>
      <c r="CDI101" s="769"/>
      <c r="CDJ101" s="769"/>
      <c r="CDK101" s="769"/>
      <c r="CDL101" s="769"/>
      <c r="CDM101" s="769"/>
      <c r="CDN101" s="769"/>
      <c r="CDO101" s="769"/>
      <c r="CDP101" s="769"/>
      <c r="CDQ101" s="769"/>
      <c r="CDR101" s="769"/>
      <c r="CDS101" s="769"/>
      <c r="CDT101" s="769"/>
      <c r="CDU101" s="769"/>
      <c r="CDV101" s="769"/>
      <c r="CDW101" s="769"/>
      <c r="CDX101" s="769"/>
      <c r="CDY101" s="769"/>
      <c r="CDZ101" s="769"/>
      <c r="CEA101" s="769"/>
      <c r="CEB101" s="769"/>
      <c r="CEC101" s="769"/>
      <c r="CED101" s="769"/>
      <c r="CEE101" s="769"/>
      <c r="CEF101" s="769"/>
      <c r="CEG101" s="769"/>
      <c r="CEH101" s="769"/>
      <c r="CEI101" s="769"/>
      <c r="CEJ101" s="769"/>
      <c r="CEK101" s="769"/>
      <c r="CEL101" s="769"/>
      <c r="CEM101" s="769"/>
      <c r="CEN101" s="769"/>
      <c r="CEO101" s="769"/>
      <c r="CEP101" s="769"/>
      <c r="CEQ101" s="769"/>
      <c r="CER101" s="769"/>
      <c r="CES101" s="769"/>
      <c r="CET101" s="769"/>
      <c r="CEU101" s="769"/>
      <c r="CEV101" s="769"/>
      <c r="CEW101" s="769"/>
      <c r="CEX101" s="769"/>
      <c r="CEY101" s="769"/>
      <c r="CEZ101" s="769"/>
      <c r="CFA101" s="769"/>
      <c r="CFB101" s="769"/>
      <c r="CFC101" s="769"/>
      <c r="CFD101" s="769"/>
      <c r="CFE101" s="769"/>
      <c r="CFF101" s="769"/>
      <c r="CFG101" s="769"/>
      <c r="CFH101" s="769"/>
      <c r="CFI101" s="769"/>
      <c r="CFJ101" s="769"/>
      <c r="CFK101" s="769"/>
      <c r="CFL101" s="769"/>
      <c r="CFM101" s="769"/>
      <c r="CFN101" s="769"/>
      <c r="CFO101" s="769"/>
      <c r="CFP101" s="769"/>
      <c r="CFQ101" s="769"/>
      <c r="CFR101" s="769"/>
      <c r="CFS101" s="769"/>
      <c r="CFT101" s="769"/>
      <c r="CFU101" s="769"/>
      <c r="CFV101" s="769"/>
      <c r="CFW101" s="769"/>
      <c r="CFX101" s="769"/>
      <c r="CFY101" s="769"/>
      <c r="CFZ101" s="769"/>
      <c r="CGA101" s="769"/>
      <c r="CGB101" s="769"/>
      <c r="CGC101" s="769"/>
      <c r="CGD101" s="769"/>
      <c r="CGE101" s="769"/>
      <c r="CGF101" s="769"/>
      <c r="CGG101" s="769"/>
      <c r="CGH101" s="769"/>
      <c r="CGI101" s="769"/>
      <c r="CGJ101" s="769"/>
      <c r="CGK101" s="769"/>
      <c r="CGL101" s="769"/>
      <c r="CGM101" s="769"/>
      <c r="CGN101" s="769"/>
      <c r="CGO101" s="769"/>
      <c r="CGP101" s="769"/>
      <c r="CGQ101" s="769"/>
      <c r="CGR101" s="769"/>
      <c r="CGS101" s="769"/>
      <c r="CGT101" s="769"/>
      <c r="CGU101" s="769"/>
      <c r="CGV101" s="769"/>
      <c r="CGW101" s="769"/>
      <c r="CGX101" s="769"/>
      <c r="CGY101" s="769"/>
      <c r="CGZ101" s="769"/>
      <c r="CHA101" s="769"/>
      <c r="CHB101" s="769"/>
      <c r="CHC101" s="769"/>
      <c r="CHD101" s="769"/>
      <c r="CHE101" s="769"/>
      <c r="CHF101" s="769"/>
      <c r="CHG101" s="769"/>
      <c r="CHH101" s="769"/>
      <c r="CHI101" s="769"/>
      <c r="CHJ101" s="769"/>
      <c r="CHK101" s="769"/>
      <c r="CHL101" s="769"/>
      <c r="CHM101" s="769"/>
      <c r="CHN101" s="769"/>
      <c r="CHO101" s="769"/>
      <c r="CHP101" s="769"/>
      <c r="CHQ101" s="769"/>
      <c r="CHR101" s="769"/>
      <c r="CHS101" s="769"/>
      <c r="CHT101" s="769"/>
      <c r="CHU101" s="769"/>
      <c r="CHV101" s="769"/>
      <c r="CHW101" s="769"/>
      <c r="CHX101" s="769"/>
      <c r="CHY101" s="769"/>
      <c r="CHZ101" s="769"/>
      <c r="CIA101" s="769"/>
      <c r="CIB101" s="769"/>
      <c r="CIC101" s="769"/>
      <c r="CID101" s="769"/>
      <c r="CIE101" s="769"/>
      <c r="CIF101" s="769"/>
      <c r="CIG101" s="769"/>
      <c r="CIH101" s="769"/>
      <c r="CII101" s="769"/>
      <c r="CIJ101" s="769"/>
      <c r="CIK101" s="769"/>
      <c r="CIL101" s="769"/>
      <c r="CIM101" s="769"/>
      <c r="CIN101" s="769"/>
      <c r="CIO101" s="769"/>
      <c r="CIP101" s="769"/>
      <c r="CIQ101" s="769"/>
      <c r="CIR101" s="769"/>
      <c r="CIS101" s="769"/>
      <c r="CIT101" s="769"/>
      <c r="CIU101" s="769"/>
      <c r="CIV101" s="769"/>
      <c r="CIW101" s="769"/>
      <c r="CIX101" s="769"/>
      <c r="CIY101" s="769"/>
      <c r="CIZ101" s="769"/>
      <c r="CJA101" s="769"/>
      <c r="CJB101" s="769"/>
      <c r="CJC101" s="769"/>
      <c r="CJD101" s="769"/>
      <c r="CJE101" s="769"/>
      <c r="CJF101" s="769"/>
      <c r="CJG101" s="769"/>
      <c r="CJH101" s="769"/>
      <c r="CJI101" s="769"/>
      <c r="CJJ101" s="769"/>
      <c r="CJK101" s="769"/>
      <c r="CJL101" s="769"/>
      <c r="CJM101" s="769"/>
      <c r="CJN101" s="769"/>
      <c r="CJO101" s="769"/>
      <c r="CJP101" s="769"/>
      <c r="CJQ101" s="769"/>
      <c r="CJR101" s="769"/>
      <c r="CJS101" s="769"/>
      <c r="CJT101" s="769"/>
      <c r="CJU101" s="769"/>
      <c r="CJV101" s="769"/>
      <c r="CJW101" s="769"/>
      <c r="CJX101" s="769"/>
      <c r="CJY101" s="769"/>
      <c r="CJZ101" s="769"/>
      <c r="CKA101" s="769"/>
      <c r="CKB101" s="769"/>
      <c r="CKC101" s="769"/>
      <c r="CKD101" s="769"/>
      <c r="CKE101" s="769"/>
      <c r="CKF101" s="769"/>
      <c r="CKG101" s="769"/>
      <c r="CKH101" s="769"/>
      <c r="CKI101" s="769"/>
      <c r="CKJ101" s="769"/>
      <c r="CKK101" s="769"/>
      <c r="CKL101" s="769"/>
      <c r="CKM101" s="769"/>
      <c r="CKN101" s="769"/>
      <c r="CKO101" s="769"/>
      <c r="CKP101" s="769"/>
      <c r="CKQ101" s="769"/>
      <c r="CKR101" s="769"/>
      <c r="CKS101" s="769"/>
      <c r="CKT101" s="769"/>
      <c r="CKU101" s="769"/>
      <c r="CKV101" s="769"/>
      <c r="CKW101" s="769"/>
      <c r="CKX101" s="769"/>
      <c r="CKY101" s="769"/>
      <c r="CKZ101" s="769"/>
      <c r="CLA101" s="769"/>
      <c r="CLB101" s="769"/>
      <c r="CLC101" s="769"/>
      <c r="CLD101" s="769"/>
      <c r="CLE101" s="769"/>
      <c r="CLF101" s="769"/>
      <c r="CLG101" s="769"/>
      <c r="CLH101" s="769"/>
      <c r="CLI101" s="769"/>
      <c r="CLJ101" s="769"/>
      <c r="CLK101" s="769"/>
      <c r="CLL101" s="769"/>
      <c r="CLM101" s="769"/>
      <c r="CLN101" s="769"/>
      <c r="CLO101" s="769"/>
      <c r="CLP101" s="769"/>
      <c r="CLQ101" s="769"/>
      <c r="CLR101" s="769"/>
      <c r="CLS101" s="769"/>
      <c r="CLT101" s="769"/>
      <c r="CLU101" s="769"/>
      <c r="CLV101" s="769"/>
      <c r="CLW101" s="769"/>
      <c r="CLX101" s="769"/>
      <c r="CLY101" s="769"/>
      <c r="CLZ101" s="769"/>
      <c r="CMA101" s="769"/>
      <c r="CMB101" s="769"/>
      <c r="CMC101" s="769"/>
      <c r="CMD101" s="769"/>
      <c r="CME101" s="769"/>
      <c r="CMF101" s="769"/>
      <c r="CMG101" s="769"/>
      <c r="CMH101" s="769"/>
      <c r="CMI101" s="769"/>
      <c r="CMJ101" s="769"/>
      <c r="CMK101" s="769"/>
      <c r="CML101" s="769"/>
      <c r="CMM101" s="769"/>
      <c r="CMN101" s="769"/>
      <c r="CMO101" s="769"/>
      <c r="CMP101" s="769"/>
      <c r="CMQ101" s="769"/>
      <c r="CMR101" s="769"/>
      <c r="CMS101" s="769"/>
      <c r="CMT101" s="769"/>
      <c r="CMU101" s="769"/>
      <c r="CMV101" s="769"/>
      <c r="CMW101" s="769"/>
      <c r="CMX101" s="769"/>
      <c r="CMY101" s="769"/>
      <c r="CMZ101" s="769"/>
      <c r="CNA101" s="769"/>
      <c r="CNB101" s="769"/>
      <c r="CNC101" s="769"/>
      <c r="CND101" s="769"/>
      <c r="CNE101" s="769"/>
      <c r="CNF101" s="769"/>
      <c r="CNG101" s="769"/>
      <c r="CNH101" s="769"/>
      <c r="CNI101" s="769"/>
      <c r="CNJ101" s="769"/>
      <c r="CNK101" s="769"/>
      <c r="CNL101" s="769"/>
      <c r="CNM101" s="769"/>
      <c r="CNN101" s="769"/>
      <c r="CNO101" s="769"/>
      <c r="CNP101" s="769"/>
      <c r="CNQ101" s="769"/>
      <c r="CNR101" s="769"/>
      <c r="CNS101" s="769"/>
      <c r="CNT101" s="769"/>
      <c r="CNU101" s="769"/>
      <c r="CNV101" s="769"/>
      <c r="CNW101" s="769"/>
      <c r="CNX101" s="769"/>
      <c r="CNY101" s="769"/>
      <c r="CNZ101" s="769"/>
      <c r="COA101" s="769"/>
      <c r="COB101" s="769"/>
      <c r="COC101" s="769"/>
      <c r="COD101" s="769"/>
      <c r="COE101" s="769"/>
      <c r="COF101" s="769"/>
      <c r="COG101" s="769"/>
      <c r="COH101" s="769"/>
      <c r="COI101" s="769"/>
      <c r="COJ101" s="769"/>
      <c r="COK101" s="769"/>
      <c r="COL101" s="769"/>
      <c r="COM101" s="769"/>
      <c r="CON101" s="769"/>
      <c r="COO101" s="769"/>
      <c r="COP101" s="769"/>
      <c r="COQ101" s="769"/>
      <c r="COR101" s="769"/>
      <c r="COS101" s="769"/>
      <c r="COT101" s="769"/>
      <c r="COU101" s="769"/>
      <c r="COV101" s="769"/>
      <c r="COW101" s="769"/>
      <c r="COX101" s="769"/>
      <c r="COY101" s="769"/>
      <c r="COZ101" s="769"/>
      <c r="CPA101" s="769"/>
      <c r="CPB101" s="769"/>
      <c r="CPC101" s="769"/>
      <c r="CPD101" s="769"/>
      <c r="CPE101" s="769"/>
      <c r="CPF101" s="769"/>
      <c r="CPG101" s="769"/>
      <c r="CPH101" s="769"/>
      <c r="CPI101" s="769"/>
      <c r="CPJ101" s="769"/>
      <c r="CPK101" s="769"/>
      <c r="CPL101" s="769"/>
      <c r="CPM101" s="769"/>
      <c r="CPN101" s="769"/>
      <c r="CPO101" s="769"/>
      <c r="CPP101" s="769"/>
      <c r="CPQ101" s="769"/>
      <c r="CPR101" s="769"/>
      <c r="CPS101" s="769"/>
      <c r="CPT101" s="769"/>
      <c r="CPU101" s="769"/>
      <c r="CPV101" s="769"/>
      <c r="CPW101" s="769"/>
      <c r="CPX101" s="769"/>
      <c r="CPY101" s="769"/>
      <c r="CPZ101" s="769"/>
      <c r="CQA101" s="769"/>
      <c r="CQB101" s="769"/>
      <c r="CQC101" s="769"/>
      <c r="CQD101" s="769"/>
      <c r="CQE101" s="769"/>
      <c r="CQF101" s="769"/>
      <c r="CQG101" s="769"/>
      <c r="CQH101" s="769"/>
      <c r="CQI101" s="769"/>
      <c r="CQJ101" s="769"/>
      <c r="CQK101" s="769"/>
      <c r="CQL101" s="769"/>
      <c r="CQM101" s="769"/>
      <c r="CQN101" s="769"/>
      <c r="CQO101" s="769"/>
      <c r="CQP101" s="769"/>
      <c r="CQQ101" s="769"/>
      <c r="CQR101" s="769"/>
      <c r="CQS101" s="769"/>
      <c r="CQT101" s="769"/>
      <c r="CQU101" s="769"/>
      <c r="CQV101" s="769"/>
      <c r="CQW101" s="769"/>
      <c r="CQX101" s="769"/>
      <c r="CQY101" s="769"/>
      <c r="CQZ101" s="769"/>
      <c r="CRA101" s="769"/>
      <c r="CRB101" s="769"/>
      <c r="CRC101" s="769"/>
      <c r="CRD101" s="769"/>
      <c r="CRE101" s="769"/>
      <c r="CRF101" s="769"/>
      <c r="CRG101" s="769"/>
      <c r="CRH101" s="769"/>
      <c r="CRI101" s="769"/>
      <c r="CRJ101" s="769"/>
      <c r="CRK101" s="769"/>
      <c r="CRL101" s="769"/>
      <c r="CRM101" s="769"/>
      <c r="CRN101" s="769"/>
      <c r="CRO101" s="769"/>
      <c r="CRP101" s="769"/>
      <c r="CRQ101" s="769"/>
      <c r="CRR101" s="769"/>
      <c r="CRS101" s="769"/>
      <c r="CRT101" s="769"/>
      <c r="CRU101" s="769"/>
      <c r="CRV101" s="769"/>
      <c r="CRW101" s="769"/>
      <c r="CRX101" s="769"/>
      <c r="CRY101" s="769"/>
      <c r="CRZ101" s="769"/>
      <c r="CSA101" s="769"/>
      <c r="CSB101" s="769"/>
      <c r="CSC101" s="769"/>
      <c r="CSD101" s="769"/>
      <c r="CSE101" s="769"/>
      <c r="CSF101" s="769"/>
      <c r="CSG101" s="769"/>
      <c r="CSH101" s="769"/>
      <c r="CSI101" s="769"/>
      <c r="CSJ101" s="769"/>
      <c r="CSK101" s="769"/>
      <c r="CSL101" s="769"/>
      <c r="CSM101" s="769"/>
      <c r="CSN101" s="769"/>
      <c r="CSO101" s="769"/>
      <c r="CSP101" s="769"/>
      <c r="CSQ101" s="769"/>
      <c r="CSR101" s="769"/>
      <c r="CSS101" s="769"/>
      <c r="CST101" s="769"/>
      <c r="CSU101" s="769"/>
      <c r="CSV101" s="769"/>
      <c r="CSW101" s="769"/>
      <c r="CSX101" s="769"/>
      <c r="CSY101" s="769"/>
      <c r="CSZ101" s="769"/>
      <c r="CTA101" s="769"/>
      <c r="CTB101" s="769"/>
      <c r="CTC101" s="769"/>
      <c r="CTD101" s="769"/>
      <c r="CTE101" s="769"/>
      <c r="CTF101" s="769"/>
      <c r="CTG101" s="769"/>
      <c r="CTH101" s="769"/>
      <c r="CTI101" s="769"/>
      <c r="CTJ101" s="769"/>
      <c r="CTK101" s="769"/>
      <c r="CTL101" s="769"/>
      <c r="CTM101" s="769"/>
      <c r="CTN101" s="769"/>
      <c r="CTO101" s="769"/>
      <c r="CTP101" s="769"/>
      <c r="CTQ101" s="769"/>
      <c r="CTR101" s="769"/>
      <c r="CTS101" s="769"/>
      <c r="CTT101" s="769"/>
      <c r="CTU101" s="769"/>
      <c r="CTV101" s="769"/>
      <c r="CTW101" s="769"/>
      <c r="CTX101" s="769"/>
      <c r="CTY101" s="769"/>
      <c r="CTZ101" s="769"/>
      <c r="CUA101" s="769"/>
      <c r="CUB101" s="769"/>
      <c r="CUC101" s="769"/>
      <c r="CUD101" s="769"/>
      <c r="CUE101" s="769"/>
      <c r="CUF101" s="769"/>
      <c r="CUG101" s="769"/>
      <c r="CUH101" s="769"/>
      <c r="CUI101" s="769"/>
      <c r="CUJ101" s="769"/>
      <c r="CUK101" s="769"/>
      <c r="CUL101" s="769"/>
      <c r="CUM101" s="769"/>
      <c r="CUN101" s="769"/>
      <c r="CUO101" s="769"/>
      <c r="CUP101" s="769"/>
      <c r="CUQ101" s="769"/>
      <c r="CUR101" s="769"/>
      <c r="CUS101" s="769"/>
      <c r="CUT101" s="769"/>
      <c r="CUU101" s="769"/>
      <c r="CUV101" s="769"/>
      <c r="CUW101" s="769"/>
      <c r="CUX101" s="769"/>
      <c r="CUY101" s="769"/>
      <c r="CUZ101" s="769"/>
      <c r="CVA101" s="769"/>
      <c r="CVB101" s="769"/>
      <c r="CVC101" s="769"/>
      <c r="CVD101" s="769"/>
      <c r="CVE101" s="769"/>
      <c r="CVF101" s="769"/>
      <c r="CVG101" s="769"/>
      <c r="CVH101" s="769"/>
      <c r="CVI101" s="769"/>
      <c r="CVJ101" s="769"/>
      <c r="CVK101" s="769"/>
      <c r="CVL101" s="769"/>
      <c r="CVM101" s="769"/>
      <c r="CVN101" s="769"/>
      <c r="CVO101" s="769"/>
      <c r="CVP101" s="769"/>
      <c r="CVQ101" s="769"/>
      <c r="CVR101" s="769"/>
      <c r="CVS101" s="769"/>
      <c r="CVT101" s="769"/>
      <c r="CVU101" s="769"/>
      <c r="CVV101" s="769"/>
      <c r="CVW101" s="769"/>
      <c r="CVX101" s="769"/>
      <c r="CVY101" s="769"/>
      <c r="CVZ101" s="769"/>
      <c r="CWA101" s="769"/>
      <c r="CWB101" s="769"/>
      <c r="CWC101" s="769"/>
      <c r="CWD101" s="769"/>
      <c r="CWE101" s="769"/>
      <c r="CWF101" s="769"/>
      <c r="CWG101" s="769"/>
      <c r="CWH101" s="769"/>
      <c r="CWI101" s="769"/>
      <c r="CWJ101" s="769"/>
      <c r="CWK101" s="769"/>
      <c r="CWL101" s="769"/>
      <c r="CWM101" s="769"/>
      <c r="CWN101" s="769"/>
      <c r="CWO101" s="769"/>
      <c r="CWP101" s="769"/>
      <c r="CWQ101" s="769"/>
      <c r="CWR101" s="769"/>
      <c r="CWS101" s="769"/>
      <c r="CWT101" s="769"/>
      <c r="CWU101" s="769"/>
      <c r="CWV101" s="769"/>
      <c r="CWW101" s="769"/>
      <c r="CWX101" s="769"/>
      <c r="CWY101" s="769"/>
      <c r="CWZ101" s="769"/>
      <c r="CXA101" s="769"/>
      <c r="CXB101" s="769"/>
      <c r="CXC101" s="769"/>
      <c r="CXD101" s="769"/>
      <c r="CXE101" s="769"/>
      <c r="CXF101" s="769"/>
      <c r="CXG101" s="769"/>
      <c r="CXH101" s="769"/>
      <c r="CXI101" s="769"/>
      <c r="CXJ101" s="769"/>
      <c r="CXK101" s="769"/>
      <c r="CXL101" s="769"/>
      <c r="CXM101" s="769"/>
      <c r="CXN101" s="769"/>
      <c r="CXO101" s="769"/>
      <c r="CXP101" s="769"/>
      <c r="CXQ101" s="769"/>
      <c r="CXR101" s="769"/>
      <c r="CXS101" s="769"/>
      <c r="CXT101" s="769"/>
      <c r="CXU101" s="769"/>
      <c r="CXV101" s="769"/>
      <c r="CXW101" s="769"/>
      <c r="CXX101" s="769"/>
      <c r="CXY101" s="769"/>
      <c r="CXZ101" s="769"/>
      <c r="CYA101" s="769"/>
      <c r="CYB101" s="769"/>
      <c r="CYC101" s="769"/>
      <c r="CYD101" s="769"/>
      <c r="CYE101" s="769"/>
      <c r="CYF101" s="769"/>
      <c r="CYG101" s="769"/>
      <c r="CYH101" s="769"/>
      <c r="CYI101" s="769"/>
      <c r="CYJ101" s="769"/>
      <c r="CYK101" s="769"/>
      <c r="CYL101" s="769"/>
      <c r="CYM101" s="769"/>
      <c r="CYN101" s="769"/>
      <c r="CYO101" s="769"/>
      <c r="CYP101" s="769"/>
      <c r="CYQ101" s="769"/>
      <c r="CYR101" s="769"/>
      <c r="CYS101" s="769"/>
      <c r="CYT101" s="769"/>
      <c r="CYU101" s="769"/>
      <c r="CYV101" s="769"/>
      <c r="CYW101" s="769"/>
      <c r="CYX101" s="769"/>
      <c r="CYY101" s="769"/>
      <c r="CYZ101" s="769"/>
      <c r="CZA101" s="769"/>
      <c r="CZB101" s="769"/>
      <c r="CZC101" s="769"/>
      <c r="CZD101" s="769"/>
      <c r="CZE101" s="769"/>
      <c r="CZF101" s="769"/>
      <c r="CZG101" s="769"/>
      <c r="CZH101" s="769"/>
      <c r="CZI101" s="769"/>
      <c r="CZJ101" s="769"/>
      <c r="CZK101" s="769"/>
      <c r="CZL101" s="769"/>
      <c r="CZM101" s="769"/>
      <c r="CZN101" s="769"/>
      <c r="CZO101" s="769"/>
      <c r="CZP101" s="769"/>
      <c r="CZQ101" s="769"/>
      <c r="CZR101" s="769"/>
      <c r="CZS101" s="769"/>
      <c r="CZT101" s="769"/>
      <c r="CZU101" s="769"/>
      <c r="CZV101" s="769"/>
      <c r="CZW101" s="769"/>
      <c r="CZX101" s="769"/>
      <c r="CZY101" s="769"/>
      <c r="CZZ101" s="769"/>
      <c r="DAA101" s="769"/>
      <c r="DAB101" s="769"/>
      <c r="DAC101" s="769"/>
      <c r="DAD101" s="769"/>
      <c r="DAE101" s="769"/>
      <c r="DAF101" s="769"/>
      <c r="DAG101" s="769"/>
      <c r="DAH101" s="769"/>
      <c r="DAI101" s="769"/>
      <c r="DAJ101" s="769"/>
      <c r="DAK101" s="769"/>
      <c r="DAL101" s="769"/>
      <c r="DAM101" s="769"/>
      <c r="DAN101" s="769"/>
      <c r="DAO101" s="769"/>
      <c r="DAP101" s="769"/>
      <c r="DAQ101" s="769"/>
      <c r="DAR101" s="769"/>
      <c r="DAS101" s="769"/>
      <c r="DAT101" s="769"/>
      <c r="DAU101" s="769"/>
      <c r="DAV101" s="769"/>
      <c r="DAW101" s="769"/>
      <c r="DAX101" s="769"/>
      <c r="DAY101" s="769"/>
      <c r="DAZ101" s="769"/>
      <c r="DBA101" s="769"/>
      <c r="DBB101" s="769"/>
      <c r="DBC101" s="769"/>
      <c r="DBD101" s="769"/>
      <c r="DBE101" s="769"/>
      <c r="DBF101" s="769"/>
      <c r="DBG101" s="769"/>
      <c r="DBH101" s="769"/>
      <c r="DBI101" s="769"/>
      <c r="DBJ101" s="769"/>
      <c r="DBK101" s="769"/>
      <c r="DBL101" s="769"/>
      <c r="DBM101" s="769"/>
      <c r="DBN101" s="769"/>
      <c r="DBO101" s="769"/>
      <c r="DBP101" s="769"/>
      <c r="DBQ101" s="769"/>
      <c r="DBR101" s="769"/>
      <c r="DBS101" s="769"/>
      <c r="DBT101" s="769"/>
      <c r="DBU101" s="769"/>
      <c r="DBV101" s="769"/>
      <c r="DBW101" s="769"/>
      <c r="DBX101" s="769"/>
      <c r="DBY101" s="769"/>
      <c r="DBZ101" s="769"/>
      <c r="DCA101" s="769"/>
      <c r="DCB101" s="769"/>
      <c r="DCC101" s="769"/>
      <c r="DCD101" s="769"/>
      <c r="DCE101" s="769"/>
      <c r="DCF101" s="769"/>
      <c r="DCG101" s="769"/>
      <c r="DCH101" s="769"/>
      <c r="DCI101" s="769"/>
      <c r="DCJ101" s="769"/>
      <c r="DCK101" s="769"/>
      <c r="DCL101" s="769"/>
      <c r="DCM101" s="769"/>
      <c r="DCN101" s="769"/>
      <c r="DCO101" s="769"/>
      <c r="DCP101" s="769"/>
      <c r="DCQ101" s="769"/>
      <c r="DCR101" s="769"/>
      <c r="DCS101" s="769"/>
      <c r="DCT101" s="769"/>
      <c r="DCU101" s="769"/>
      <c r="DCV101" s="769"/>
      <c r="DCW101" s="769"/>
      <c r="DCX101" s="769"/>
      <c r="DCY101" s="769"/>
      <c r="DCZ101" s="769"/>
      <c r="DDA101" s="769"/>
      <c r="DDB101" s="769"/>
      <c r="DDC101" s="769"/>
      <c r="DDD101" s="769"/>
      <c r="DDE101" s="769"/>
      <c r="DDF101" s="769"/>
      <c r="DDG101" s="769"/>
      <c r="DDH101" s="769"/>
      <c r="DDI101" s="769"/>
      <c r="DDJ101" s="769"/>
      <c r="DDK101" s="769"/>
      <c r="DDL101" s="769"/>
      <c r="DDM101" s="769"/>
      <c r="DDN101" s="769"/>
      <c r="DDO101" s="769"/>
      <c r="DDP101" s="769"/>
      <c r="DDQ101" s="769"/>
      <c r="DDR101" s="769"/>
      <c r="DDS101" s="769"/>
      <c r="DDT101" s="769"/>
      <c r="DDU101" s="769"/>
      <c r="DDV101" s="769"/>
      <c r="DDW101" s="769"/>
      <c r="DDX101" s="769"/>
      <c r="DDY101" s="769"/>
      <c r="DDZ101" s="769"/>
      <c r="DEA101" s="769"/>
      <c r="DEB101" s="769"/>
      <c r="DEC101" s="769"/>
      <c r="DED101" s="769"/>
      <c r="DEE101" s="769"/>
      <c r="DEF101" s="769"/>
      <c r="DEG101" s="769"/>
      <c r="DEH101" s="769"/>
      <c r="DEI101" s="769"/>
      <c r="DEJ101" s="769"/>
      <c r="DEK101" s="769"/>
      <c r="DEL101" s="769"/>
      <c r="DEM101" s="769"/>
      <c r="DEN101" s="769"/>
      <c r="DEO101" s="769"/>
      <c r="DEP101" s="769"/>
      <c r="DEQ101" s="769"/>
      <c r="DER101" s="769"/>
      <c r="DES101" s="769"/>
      <c r="DET101" s="769"/>
      <c r="DEU101" s="769"/>
      <c r="DEV101" s="769"/>
      <c r="DEW101" s="769"/>
      <c r="DEX101" s="769"/>
      <c r="DEY101" s="769"/>
      <c r="DEZ101" s="769"/>
      <c r="DFA101" s="769"/>
      <c r="DFB101" s="769"/>
      <c r="DFC101" s="769"/>
      <c r="DFD101" s="769"/>
      <c r="DFE101" s="769"/>
      <c r="DFF101" s="769"/>
      <c r="DFG101" s="769"/>
      <c r="DFH101" s="769"/>
      <c r="DFI101" s="769"/>
      <c r="DFJ101" s="769"/>
      <c r="DFK101" s="769"/>
      <c r="DFL101" s="769"/>
      <c r="DFM101" s="769"/>
      <c r="DFN101" s="769"/>
      <c r="DFO101" s="769"/>
      <c r="DFP101" s="769"/>
      <c r="DFQ101" s="769"/>
      <c r="DFR101" s="769"/>
      <c r="DFS101" s="769"/>
      <c r="DFT101" s="769"/>
      <c r="DFU101" s="769"/>
      <c r="DFV101" s="769"/>
      <c r="DFW101" s="769"/>
      <c r="DFX101" s="769"/>
      <c r="DFY101" s="769"/>
      <c r="DFZ101" s="769"/>
      <c r="DGA101" s="769"/>
      <c r="DGB101" s="769"/>
      <c r="DGC101" s="769"/>
      <c r="DGD101" s="769"/>
      <c r="DGE101" s="769"/>
      <c r="DGF101" s="769"/>
      <c r="DGG101" s="769"/>
      <c r="DGH101" s="769"/>
      <c r="DGI101" s="769"/>
      <c r="DGJ101" s="769"/>
      <c r="DGK101" s="769"/>
      <c r="DGL101" s="769"/>
      <c r="DGM101" s="769"/>
      <c r="DGN101" s="769"/>
      <c r="DGO101" s="769"/>
      <c r="DGP101" s="769"/>
      <c r="DGQ101" s="769"/>
      <c r="DGR101" s="769"/>
      <c r="DGS101" s="769"/>
      <c r="DGT101" s="769"/>
      <c r="DGU101" s="769"/>
      <c r="DGV101" s="769"/>
      <c r="DGW101" s="769"/>
      <c r="DGX101" s="769"/>
      <c r="DGY101" s="769"/>
      <c r="DGZ101" s="769"/>
      <c r="DHA101" s="769"/>
      <c r="DHB101" s="769"/>
      <c r="DHC101" s="769"/>
      <c r="DHD101" s="769"/>
      <c r="DHE101" s="769"/>
      <c r="DHF101" s="769"/>
      <c r="DHG101" s="769"/>
      <c r="DHH101" s="769"/>
      <c r="DHI101" s="769"/>
      <c r="DHJ101" s="769"/>
      <c r="DHK101" s="769"/>
      <c r="DHL101" s="769"/>
      <c r="DHM101" s="769"/>
      <c r="DHN101" s="769"/>
      <c r="DHO101" s="769"/>
      <c r="DHP101" s="769"/>
      <c r="DHQ101" s="769"/>
      <c r="DHR101" s="769"/>
      <c r="DHS101" s="769"/>
      <c r="DHT101" s="769"/>
      <c r="DHU101" s="769"/>
      <c r="DHV101" s="769"/>
      <c r="DHW101" s="769"/>
      <c r="DHX101" s="769"/>
      <c r="DHY101" s="769"/>
      <c r="DHZ101" s="769"/>
      <c r="DIA101" s="769"/>
      <c r="DIB101" s="769"/>
      <c r="DIC101" s="769"/>
      <c r="DID101" s="769"/>
      <c r="DIE101" s="769"/>
      <c r="DIF101" s="769"/>
      <c r="DIG101" s="769"/>
      <c r="DIH101" s="769"/>
      <c r="DII101" s="769"/>
      <c r="DIJ101" s="769"/>
      <c r="DIK101" s="769"/>
      <c r="DIL101" s="769"/>
      <c r="DIM101" s="769"/>
      <c r="DIN101" s="769"/>
      <c r="DIO101" s="769"/>
      <c r="DIP101" s="769"/>
      <c r="DIQ101" s="769"/>
      <c r="DIR101" s="769"/>
      <c r="DIS101" s="769"/>
      <c r="DIT101" s="769"/>
      <c r="DIU101" s="769"/>
      <c r="DIV101" s="769"/>
      <c r="DIW101" s="769"/>
      <c r="DIX101" s="769"/>
      <c r="DIY101" s="769"/>
      <c r="DIZ101" s="769"/>
      <c r="DJA101" s="769"/>
      <c r="DJB101" s="769"/>
      <c r="DJC101" s="769"/>
      <c r="DJD101" s="769"/>
      <c r="DJE101" s="769"/>
      <c r="DJF101" s="769"/>
      <c r="DJG101" s="769"/>
      <c r="DJH101" s="769"/>
      <c r="DJI101" s="769"/>
      <c r="DJJ101" s="769"/>
      <c r="DJK101" s="769"/>
      <c r="DJL101" s="769"/>
      <c r="DJM101" s="769"/>
      <c r="DJN101" s="769"/>
      <c r="DJO101" s="769"/>
      <c r="DJP101" s="769"/>
      <c r="DJQ101" s="769"/>
      <c r="DJR101" s="769"/>
      <c r="DJS101" s="769"/>
      <c r="DJT101" s="769"/>
      <c r="DJU101" s="769"/>
      <c r="DJV101" s="769"/>
      <c r="DJW101" s="769"/>
      <c r="DJX101" s="769"/>
      <c r="DJY101" s="769"/>
      <c r="DJZ101" s="769"/>
      <c r="DKA101" s="769"/>
      <c r="DKB101" s="769"/>
      <c r="DKC101" s="769"/>
      <c r="DKD101" s="769"/>
      <c r="DKE101" s="769"/>
      <c r="DKF101" s="769"/>
      <c r="DKG101" s="769"/>
      <c r="DKH101" s="769"/>
      <c r="DKI101" s="769"/>
      <c r="DKJ101" s="769"/>
      <c r="DKK101" s="769"/>
      <c r="DKL101" s="769"/>
      <c r="DKM101" s="769"/>
      <c r="DKN101" s="769"/>
      <c r="DKO101" s="769"/>
      <c r="DKP101" s="769"/>
      <c r="DKQ101" s="769"/>
      <c r="DKR101" s="769"/>
      <c r="DKS101" s="769"/>
      <c r="DKT101" s="769"/>
      <c r="DKU101" s="769"/>
      <c r="DKV101" s="769"/>
      <c r="DKW101" s="769"/>
      <c r="DKX101" s="769"/>
      <c r="DKY101" s="769"/>
      <c r="DKZ101" s="769"/>
      <c r="DLA101" s="769"/>
      <c r="DLB101" s="769"/>
      <c r="DLC101" s="769"/>
      <c r="DLD101" s="769"/>
      <c r="DLE101" s="769"/>
      <c r="DLF101" s="769"/>
      <c r="DLG101" s="769"/>
      <c r="DLH101" s="769"/>
      <c r="DLI101" s="769"/>
      <c r="DLJ101" s="769"/>
      <c r="DLK101" s="769"/>
      <c r="DLL101" s="769"/>
      <c r="DLM101" s="769"/>
      <c r="DLN101" s="769"/>
      <c r="DLO101" s="769"/>
      <c r="DLP101" s="769"/>
      <c r="DLQ101" s="769"/>
      <c r="DLR101" s="769"/>
      <c r="DLS101" s="769"/>
      <c r="DLT101" s="769"/>
      <c r="DLU101" s="769"/>
      <c r="DLV101" s="769"/>
      <c r="DLW101" s="769"/>
      <c r="DLX101" s="769"/>
      <c r="DLY101" s="769"/>
      <c r="DLZ101" s="769"/>
      <c r="DMA101" s="769"/>
      <c r="DMB101" s="769"/>
      <c r="DMC101" s="769"/>
      <c r="DMD101" s="769"/>
      <c r="DME101" s="769"/>
      <c r="DMF101" s="769"/>
      <c r="DMG101" s="769"/>
      <c r="DMH101" s="769"/>
      <c r="DMI101" s="769"/>
      <c r="DMJ101" s="769"/>
      <c r="DMK101" s="769"/>
      <c r="DML101" s="769"/>
      <c r="DMM101" s="769"/>
      <c r="DMN101" s="769"/>
      <c r="DMO101" s="769"/>
      <c r="DMP101" s="769"/>
      <c r="DMQ101" s="769"/>
      <c r="DMR101" s="769"/>
      <c r="DMS101" s="769"/>
      <c r="DMT101" s="769"/>
      <c r="DMU101" s="769"/>
      <c r="DMV101" s="769"/>
      <c r="DMW101" s="769"/>
      <c r="DMX101" s="769"/>
      <c r="DMY101" s="769"/>
      <c r="DMZ101" s="769"/>
      <c r="DNA101" s="769"/>
      <c r="DNB101" s="769"/>
      <c r="DNC101" s="769"/>
      <c r="DND101" s="769"/>
      <c r="DNE101" s="769"/>
      <c r="DNF101" s="769"/>
      <c r="DNG101" s="769"/>
      <c r="DNH101" s="769"/>
      <c r="DNI101" s="769"/>
      <c r="DNJ101" s="769"/>
      <c r="DNK101" s="769"/>
      <c r="DNL101" s="769"/>
      <c r="DNM101" s="769"/>
      <c r="DNN101" s="769"/>
      <c r="DNO101" s="769"/>
      <c r="DNP101" s="769"/>
      <c r="DNQ101" s="769"/>
      <c r="DNR101" s="769"/>
      <c r="DNS101" s="769"/>
      <c r="DNT101" s="769"/>
      <c r="DNU101" s="769"/>
      <c r="DNV101" s="769"/>
      <c r="DNW101" s="769"/>
      <c r="DNX101" s="769"/>
      <c r="DNY101" s="769"/>
      <c r="DNZ101" s="769"/>
      <c r="DOA101" s="769"/>
      <c r="DOB101" s="769"/>
      <c r="DOC101" s="769"/>
      <c r="DOD101" s="769"/>
      <c r="DOE101" s="769"/>
      <c r="DOF101" s="769"/>
      <c r="DOG101" s="769"/>
      <c r="DOH101" s="769"/>
      <c r="DOI101" s="769"/>
      <c r="DOJ101" s="769"/>
      <c r="DOK101" s="769"/>
      <c r="DOL101" s="769"/>
      <c r="DOM101" s="769"/>
      <c r="DON101" s="769"/>
      <c r="DOO101" s="769"/>
      <c r="DOP101" s="769"/>
      <c r="DOQ101" s="769"/>
      <c r="DOR101" s="769"/>
      <c r="DOS101" s="769"/>
      <c r="DOT101" s="769"/>
      <c r="DOU101" s="769"/>
      <c r="DOV101" s="769"/>
      <c r="DOW101" s="769"/>
      <c r="DOX101" s="769"/>
      <c r="DOY101" s="769"/>
      <c r="DOZ101" s="769"/>
      <c r="DPA101" s="769"/>
      <c r="DPB101" s="769"/>
      <c r="DPC101" s="769"/>
      <c r="DPD101" s="769"/>
      <c r="DPE101" s="769"/>
      <c r="DPF101" s="769"/>
      <c r="DPG101" s="769"/>
      <c r="DPH101" s="769"/>
      <c r="DPI101" s="769"/>
      <c r="DPJ101" s="769"/>
      <c r="DPK101" s="769"/>
      <c r="DPL101" s="769"/>
      <c r="DPM101" s="769"/>
      <c r="DPN101" s="769"/>
      <c r="DPO101" s="769"/>
      <c r="DPP101" s="769"/>
      <c r="DPQ101" s="769"/>
      <c r="DPR101" s="769"/>
      <c r="DPS101" s="769"/>
      <c r="DPT101" s="769"/>
      <c r="DPU101" s="769"/>
      <c r="DPV101" s="769"/>
      <c r="DPW101" s="769"/>
      <c r="DPX101" s="769"/>
      <c r="DPY101" s="769"/>
      <c r="DPZ101" s="769"/>
      <c r="DQA101" s="769"/>
      <c r="DQB101" s="769"/>
      <c r="DQC101" s="769"/>
      <c r="DQD101" s="769"/>
      <c r="DQE101" s="769"/>
      <c r="DQF101" s="769"/>
      <c r="DQG101" s="769"/>
      <c r="DQH101" s="769"/>
      <c r="DQI101" s="769"/>
      <c r="DQJ101" s="769"/>
      <c r="DQK101" s="769"/>
      <c r="DQL101" s="769"/>
      <c r="DQM101" s="769"/>
      <c r="DQN101" s="769"/>
      <c r="DQO101" s="769"/>
      <c r="DQP101" s="769"/>
      <c r="DQQ101" s="769"/>
      <c r="DQR101" s="769"/>
      <c r="DQS101" s="769"/>
      <c r="DQT101" s="769"/>
      <c r="DQU101" s="769"/>
      <c r="DQV101" s="769"/>
      <c r="DQW101" s="769"/>
      <c r="DQX101" s="769"/>
      <c r="DQY101" s="769"/>
      <c r="DQZ101" s="769"/>
      <c r="DRA101" s="769"/>
      <c r="DRB101" s="769"/>
      <c r="DRC101" s="769"/>
      <c r="DRD101" s="769"/>
      <c r="DRE101" s="769"/>
      <c r="DRF101" s="769"/>
      <c r="DRG101" s="769"/>
      <c r="DRH101" s="769"/>
      <c r="DRI101" s="769"/>
      <c r="DRJ101" s="769"/>
      <c r="DRK101" s="769"/>
      <c r="DRL101" s="769"/>
      <c r="DRM101" s="769"/>
      <c r="DRN101" s="769"/>
      <c r="DRO101" s="769"/>
      <c r="DRP101" s="769"/>
      <c r="DRQ101" s="769"/>
      <c r="DRR101" s="769"/>
      <c r="DRS101" s="769"/>
      <c r="DRT101" s="769"/>
      <c r="DRU101" s="769"/>
      <c r="DRV101" s="769"/>
      <c r="DRW101" s="769"/>
      <c r="DRX101" s="769"/>
      <c r="DRY101" s="769"/>
      <c r="DRZ101" s="769"/>
      <c r="DSA101" s="769"/>
      <c r="DSB101" s="769"/>
      <c r="DSC101" s="769"/>
      <c r="DSD101" s="769"/>
      <c r="DSE101" s="769"/>
      <c r="DSF101" s="769"/>
      <c r="DSG101" s="769"/>
      <c r="DSH101" s="769"/>
      <c r="DSI101" s="769"/>
      <c r="DSJ101" s="769"/>
      <c r="DSK101" s="769"/>
      <c r="DSL101" s="769"/>
      <c r="DSM101" s="769"/>
      <c r="DSN101" s="769"/>
      <c r="DSO101" s="769"/>
      <c r="DSP101" s="769"/>
      <c r="DSQ101" s="769"/>
      <c r="DSR101" s="769"/>
      <c r="DSS101" s="769"/>
      <c r="DST101" s="769"/>
      <c r="DSU101" s="769"/>
      <c r="DSV101" s="769"/>
      <c r="DSW101" s="769"/>
      <c r="DSX101" s="769"/>
      <c r="DSY101" s="769"/>
      <c r="DSZ101" s="769"/>
      <c r="DTA101" s="769"/>
      <c r="DTB101" s="769"/>
      <c r="DTC101" s="769"/>
      <c r="DTD101" s="769"/>
      <c r="DTE101" s="769"/>
      <c r="DTF101" s="769"/>
      <c r="DTG101" s="769"/>
      <c r="DTH101" s="769"/>
      <c r="DTI101" s="769"/>
      <c r="DTJ101" s="769"/>
      <c r="DTK101" s="769"/>
      <c r="DTL101" s="769"/>
      <c r="DTM101" s="769"/>
      <c r="DTN101" s="769"/>
      <c r="DTO101" s="769"/>
      <c r="DTP101" s="769"/>
      <c r="DTQ101" s="769"/>
      <c r="DTR101" s="769"/>
      <c r="DTS101" s="769"/>
      <c r="DTT101" s="769"/>
      <c r="DTU101" s="769"/>
      <c r="DTV101" s="769"/>
      <c r="DTW101" s="769"/>
      <c r="DTX101" s="769"/>
      <c r="DTY101" s="769"/>
      <c r="DTZ101" s="769"/>
      <c r="DUA101" s="769"/>
      <c r="DUB101" s="769"/>
      <c r="DUC101" s="769"/>
      <c r="DUD101" s="769"/>
      <c r="DUE101" s="769"/>
      <c r="DUF101" s="769"/>
      <c r="DUG101" s="769"/>
      <c r="DUH101" s="769"/>
      <c r="DUI101" s="769"/>
      <c r="DUJ101" s="769"/>
      <c r="DUK101" s="769"/>
      <c r="DUL101" s="769"/>
      <c r="DUM101" s="769"/>
      <c r="DUN101" s="769"/>
      <c r="DUO101" s="769"/>
      <c r="DUP101" s="769"/>
      <c r="DUQ101" s="769"/>
      <c r="DUR101" s="769"/>
      <c r="DUS101" s="769"/>
      <c r="DUT101" s="769"/>
      <c r="DUU101" s="769"/>
      <c r="DUV101" s="769"/>
      <c r="DUW101" s="769"/>
      <c r="DUX101" s="769"/>
      <c r="DUY101" s="769"/>
      <c r="DUZ101" s="769"/>
      <c r="DVA101" s="769"/>
      <c r="DVB101" s="769"/>
      <c r="DVC101" s="769"/>
      <c r="DVD101" s="769"/>
      <c r="DVE101" s="769"/>
      <c r="DVF101" s="769"/>
      <c r="DVG101" s="769"/>
      <c r="DVH101" s="769"/>
      <c r="DVI101" s="769"/>
      <c r="DVJ101" s="769"/>
      <c r="DVK101" s="769"/>
      <c r="DVL101" s="769"/>
      <c r="DVM101" s="769"/>
      <c r="DVN101" s="769"/>
      <c r="DVO101" s="769"/>
      <c r="DVP101" s="769"/>
      <c r="DVQ101" s="769"/>
      <c r="DVR101" s="769"/>
      <c r="DVS101" s="769"/>
      <c r="DVT101" s="769"/>
      <c r="DVU101" s="769"/>
      <c r="DVV101" s="769"/>
      <c r="DVW101" s="769"/>
      <c r="DVX101" s="769"/>
      <c r="DVY101" s="769"/>
      <c r="DVZ101" s="769"/>
      <c r="DWA101" s="769"/>
      <c r="DWB101" s="769"/>
      <c r="DWC101" s="769"/>
      <c r="DWD101" s="769"/>
      <c r="DWE101" s="769"/>
      <c r="DWF101" s="769"/>
      <c r="DWG101" s="769"/>
      <c r="DWH101" s="769"/>
      <c r="DWI101" s="769"/>
      <c r="DWJ101" s="769"/>
      <c r="DWK101" s="769"/>
      <c r="DWL101" s="769"/>
      <c r="DWM101" s="769"/>
      <c r="DWN101" s="769"/>
      <c r="DWO101" s="769"/>
      <c r="DWP101" s="769"/>
      <c r="DWQ101" s="769"/>
      <c r="DWR101" s="769"/>
      <c r="DWS101" s="769"/>
      <c r="DWT101" s="769"/>
      <c r="DWU101" s="769"/>
      <c r="DWV101" s="769"/>
      <c r="DWW101" s="769"/>
      <c r="DWX101" s="769"/>
      <c r="DWY101" s="769"/>
      <c r="DWZ101" s="769"/>
      <c r="DXA101" s="769"/>
      <c r="DXB101" s="769"/>
      <c r="DXC101" s="769"/>
      <c r="DXD101" s="769"/>
      <c r="DXE101" s="769"/>
      <c r="DXF101" s="769"/>
      <c r="DXG101" s="769"/>
      <c r="DXH101" s="769"/>
      <c r="DXI101" s="769"/>
      <c r="DXJ101" s="769"/>
      <c r="DXK101" s="769"/>
      <c r="DXL101" s="769"/>
      <c r="DXM101" s="769"/>
      <c r="DXN101" s="769"/>
      <c r="DXO101" s="769"/>
      <c r="DXP101" s="769"/>
      <c r="DXQ101" s="769"/>
      <c r="DXR101" s="769"/>
      <c r="DXS101" s="769"/>
      <c r="DXT101" s="769"/>
      <c r="DXU101" s="769"/>
      <c r="DXV101" s="769"/>
      <c r="DXW101" s="769"/>
      <c r="DXX101" s="769"/>
      <c r="DXY101" s="769"/>
      <c r="DXZ101" s="769"/>
      <c r="DYA101" s="769"/>
      <c r="DYB101" s="769"/>
      <c r="DYC101" s="769"/>
      <c r="DYD101" s="769"/>
      <c r="DYE101" s="769"/>
      <c r="DYF101" s="769"/>
      <c r="DYG101" s="769"/>
      <c r="DYH101" s="769"/>
      <c r="DYI101" s="769"/>
      <c r="DYJ101" s="769"/>
      <c r="DYK101" s="769"/>
      <c r="DYL101" s="769"/>
      <c r="DYM101" s="769"/>
      <c r="DYN101" s="769"/>
      <c r="DYO101" s="769"/>
      <c r="DYP101" s="769"/>
      <c r="DYQ101" s="769"/>
      <c r="DYR101" s="769"/>
      <c r="DYS101" s="769"/>
      <c r="DYT101" s="769"/>
      <c r="DYU101" s="769"/>
      <c r="DYV101" s="769"/>
      <c r="DYW101" s="769"/>
      <c r="DYX101" s="769"/>
      <c r="DYY101" s="769"/>
      <c r="DYZ101" s="769"/>
      <c r="DZA101" s="769"/>
      <c r="DZB101" s="769"/>
      <c r="DZC101" s="769"/>
      <c r="DZD101" s="769"/>
      <c r="DZE101" s="769"/>
      <c r="DZF101" s="769"/>
      <c r="DZG101" s="769"/>
      <c r="DZH101" s="769"/>
      <c r="DZI101" s="769"/>
      <c r="DZJ101" s="769"/>
      <c r="DZK101" s="769"/>
      <c r="DZL101" s="769"/>
      <c r="DZM101" s="769"/>
      <c r="DZN101" s="769"/>
      <c r="DZO101" s="769"/>
      <c r="DZP101" s="769"/>
      <c r="DZQ101" s="769"/>
      <c r="DZR101" s="769"/>
      <c r="DZS101" s="769"/>
      <c r="DZT101" s="769"/>
      <c r="DZU101" s="769"/>
      <c r="DZV101" s="769"/>
      <c r="DZW101" s="769"/>
      <c r="DZX101" s="769"/>
      <c r="DZY101" s="769"/>
      <c r="DZZ101" s="769"/>
      <c r="EAA101" s="769"/>
      <c r="EAB101" s="769"/>
      <c r="EAC101" s="769"/>
      <c r="EAD101" s="769"/>
      <c r="EAE101" s="769"/>
      <c r="EAF101" s="769"/>
      <c r="EAG101" s="769"/>
      <c r="EAH101" s="769"/>
      <c r="EAI101" s="769"/>
      <c r="EAJ101" s="769"/>
      <c r="EAK101" s="769"/>
      <c r="EAL101" s="769"/>
      <c r="EAM101" s="769"/>
      <c r="EAN101" s="769"/>
      <c r="EAO101" s="769"/>
      <c r="EAP101" s="769"/>
      <c r="EAQ101" s="769"/>
      <c r="EAR101" s="769"/>
      <c r="EAS101" s="769"/>
      <c r="EAT101" s="769"/>
      <c r="EAU101" s="769"/>
      <c r="EAV101" s="769"/>
      <c r="EAW101" s="769"/>
      <c r="EAX101" s="769"/>
      <c r="EAY101" s="769"/>
      <c r="EAZ101" s="769"/>
      <c r="EBA101" s="769"/>
      <c r="EBB101" s="769"/>
      <c r="EBC101" s="769"/>
      <c r="EBD101" s="769"/>
      <c r="EBE101" s="769"/>
      <c r="EBF101" s="769"/>
      <c r="EBG101" s="769"/>
      <c r="EBH101" s="769"/>
      <c r="EBI101" s="769"/>
      <c r="EBJ101" s="769"/>
      <c r="EBK101" s="769"/>
      <c r="EBL101" s="769"/>
      <c r="EBM101" s="769"/>
      <c r="EBN101" s="769"/>
      <c r="EBO101" s="769"/>
      <c r="EBP101" s="769"/>
      <c r="EBQ101" s="769"/>
      <c r="EBR101" s="769"/>
      <c r="EBS101" s="769"/>
      <c r="EBT101" s="769"/>
      <c r="EBU101" s="769"/>
      <c r="EBV101" s="769"/>
      <c r="EBW101" s="769"/>
      <c r="EBX101" s="769"/>
      <c r="EBY101" s="769"/>
      <c r="EBZ101" s="769"/>
      <c r="ECA101" s="769"/>
      <c r="ECB101" s="769"/>
      <c r="ECC101" s="769"/>
      <c r="ECD101" s="769"/>
      <c r="ECE101" s="769"/>
      <c r="ECF101" s="769"/>
      <c r="ECG101" s="769"/>
      <c r="ECH101" s="769"/>
      <c r="ECI101" s="769"/>
      <c r="ECJ101" s="769"/>
      <c r="ECK101" s="769"/>
      <c r="ECL101" s="769"/>
      <c r="ECM101" s="769"/>
      <c r="ECN101" s="769"/>
      <c r="ECO101" s="769"/>
      <c r="ECP101" s="769"/>
      <c r="ECQ101" s="769"/>
      <c r="ECR101" s="769"/>
      <c r="ECS101" s="769"/>
      <c r="ECT101" s="769"/>
      <c r="ECU101" s="769"/>
      <c r="ECV101" s="769"/>
      <c r="ECW101" s="769"/>
      <c r="ECX101" s="769"/>
      <c r="ECY101" s="769"/>
      <c r="ECZ101" s="769"/>
      <c r="EDA101" s="769"/>
      <c r="EDB101" s="769"/>
      <c r="EDC101" s="769"/>
      <c r="EDD101" s="769"/>
      <c r="EDE101" s="769"/>
      <c r="EDF101" s="769"/>
      <c r="EDG101" s="769"/>
      <c r="EDH101" s="769"/>
      <c r="EDI101" s="769"/>
      <c r="EDJ101" s="769"/>
      <c r="EDK101" s="769"/>
      <c r="EDL101" s="769"/>
      <c r="EDM101" s="769"/>
      <c r="EDN101" s="769"/>
      <c r="EDO101" s="769"/>
      <c r="EDP101" s="769"/>
      <c r="EDQ101" s="769"/>
      <c r="EDR101" s="769"/>
      <c r="EDS101" s="769"/>
      <c r="EDT101" s="769"/>
      <c r="EDU101" s="769"/>
      <c r="EDV101" s="769"/>
      <c r="EDW101" s="769"/>
      <c r="EDX101" s="769"/>
      <c r="EDY101" s="769"/>
      <c r="EDZ101" s="769"/>
      <c r="EEA101" s="769"/>
      <c r="EEB101" s="769"/>
      <c r="EEC101" s="769"/>
      <c r="EED101" s="769"/>
      <c r="EEE101" s="769"/>
      <c r="EEF101" s="769"/>
      <c r="EEG101" s="769"/>
      <c r="EEH101" s="769"/>
      <c r="EEI101" s="769"/>
      <c r="EEJ101" s="769"/>
      <c r="EEK101" s="769"/>
      <c r="EEL101" s="769"/>
      <c r="EEM101" s="769"/>
      <c r="EEN101" s="769"/>
      <c r="EEO101" s="769"/>
      <c r="EEP101" s="769"/>
      <c r="EEQ101" s="769"/>
      <c r="EER101" s="769"/>
      <c r="EES101" s="769"/>
      <c r="EET101" s="769"/>
      <c r="EEU101" s="769"/>
      <c r="EEV101" s="769"/>
      <c r="EEW101" s="769"/>
      <c r="EEX101" s="769"/>
      <c r="EEY101" s="769"/>
      <c r="EEZ101" s="769"/>
      <c r="EFA101" s="769"/>
      <c r="EFB101" s="769"/>
      <c r="EFC101" s="769"/>
      <c r="EFD101" s="769"/>
      <c r="EFE101" s="769"/>
      <c r="EFF101" s="769"/>
      <c r="EFG101" s="769"/>
      <c r="EFH101" s="769"/>
      <c r="EFI101" s="769"/>
      <c r="EFJ101" s="769"/>
      <c r="EFK101" s="769"/>
      <c r="EFL101" s="769"/>
      <c r="EFM101" s="769"/>
      <c r="EFN101" s="769"/>
      <c r="EFO101" s="769"/>
      <c r="EFP101" s="769"/>
      <c r="EFQ101" s="769"/>
      <c r="EFR101" s="769"/>
      <c r="EFS101" s="769"/>
      <c r="EFT101" s="769"/>
      <c r="EFU101" s="769"/>
      <c r="EFV101" s="769"/>
      <c r="EFW101" s="769"/>
      <c r="EFX101" s="769"/>
      <c r="EFY101" s="769"/>
      <c r="EFZ101" s="769"/>
      <c r="EGA101" s="769"/>
      <c r="EGB101" s="769"/>
      <c r="EGC101" s="769"/>
      <c r="EGD101" s="769"/>
      <c r="EGE101" s="769"/>
      <c r="EGF101" s="769"/>
      <c r="EGG101" s="769"/>
      <c r="EGH101" s="769"/>
      <c r="EGI101" s="769"/>
      <c r="EGJ101" s="769"/>
      <c r="EGK101" s="769"/>
      <c r="EGL101" s="769"/>
      <c r="EGM101" s="769"/>
      <c r="EGN101" s="769"/>
      <c r="EGO101" s="769"/>
      <c r="EGP101" s="769"/>
      <c r="EGQ101" s="769"/>
      <c r="EGR101" s="769"/>
      <c r="EGS101" s="769"/>
      <c r="EGT101" s="769"/>
      <c r="EGU101" s="769"/>
      <c r="EGV101" s="769"/>
      <c r="EGW101" s="769"/>
      <c r="EGX101" s="769"/>
      <c r="EGY101" s="769"/>
      <c r="EGZ101" s="769"/>
      <c r="EHA101" s="769"/>
      <c r="EHB101" s="769"/>
      <c r="EHC101" s="769"/>
      <c r="EHD101" s="769"/>
      <c r="EHE101" s="769"/>
      <c r="EHF101" s="769"/>
      <c r="EHG101" s="769"/>
      <c r="EHH101" s="769"/>
      <c r="EHI101" s="769"/>
      <c r="EHJ101" s="769"/>
      <c r="EHK101" s="769"/>
      <c r="EHL101" s="769"/>
      <c r="EHM101" s="769"/>
      <c r="EHN101" s="769"/>
      <c r="EHO101" s="769"/>
      <c r="EHP101" s="769"/>
      <c r="EHQ101" s="769"/>
      <c r="EHR101" s="769"/>
      <c r="EHS101" s="769"/>
      <c r="EHT101" s="769"/>
      <c r="EHU101" s="769"/>
      <c r="EHV101" s="769"/>
      <c r="EHW101" s="769"/>
      <c r="EHX101" s="769"/>
      <c r="EHY101" s="769"/>
      <c r="EHZ101" s="769"/>
      <c r="EIA101" s="769"/>
      <c r="EIB101" s="769"/>
      <c r="EIC101" s="769"/>
      <c r="EID101" s="769"/>
      <c r="EIE101" s="769"/>
      <c r="EIF101" s="769"/>
      <c r="EIG101" s="769"/>
      <c r="EIH101" s="769"/>
      <c r="EII101" s="769"/>
      <c r="EIJ101" s="769"/>
      <c r="EIK101" s="769"/>
      <c r="EIL101" s="769"/>
      <c r="EIM101" s="769"/>
      <c r="EIN101" s="769"/>
      <c r="EIO101" s="769"/>
      <c r="EIP101" s="769"/>
      <c r="EIQ101" s="769"/>
      <c r="EIR101" s="769"/>
      <c r="EIS101" s="769"/>
      <c r="EIT101" s="769"/>
      <c r="EIU101" s="769"/>
      <c r="EIV101" s="769"/>
      <c r="EIW101" s="769"/>
      <c r="EIX101" s="769"/>
      <c r="EIY101" s="769"/>
      <c r="EIZ101" s="769"/>
      <c r="EJA101" s="769"/>
      <c r="EJB101" s="769"/>
      <c r="EJC101" s="769"/>
      <c r="EJD101" s="769"/>
      <c r="EJE101" s="769"/>
      <c r="EJF101" s="769"/>
      <c r="EJG101" s="769"/>
      <c r="EJH101" s="769"/>
      <c r="EJI101" s="769"/>
      <c r="EJJ101" s="769"/>
      <c r="EJK101" s="769"/>
      <c r="EJL101" s="769"/>
      <c r="EJM101" s="769"/>
      <c r="EJN101" s="769"/>
      <c r="EJO101" s="769"/>
      <c r="EJP101" s="769"/>
      <c r="EJQ101" s="769"/>
      <c r="EJR101" s="769"/>
      <c r="EJS101" s="769"/>
      <c r="EJT101" s="769"/>
      <c r="EJU101" s="769"/>
      <c r="EJV101" s="769"/>
      <c r="EJW101" s="769"/>
      <c r="EJX101" s="769"/>
      <c r="EJY101" s="769"/>
      <c r="EJZ101" s="769"/>
      <c r="EKA101" s="769"/>
      <c r="EKB101" s="769"/>
      <c r="EKC101" s="769"/>
      <c r="EKD101" s="769"/>
      <c r="EKE101" s="769"/>
      <c r="EKF101" s="769"/>
      <c r="EKG101" s="769"/>
      <c r="EKH101" s="769"/>
      <c r="EKI101" s="769"/>
      <c r="EKJ101" s="769"/>
      <c r="EKK101" s="769"/>
      <c r="EKL101" s="769"/>
      <c r="EKM101" s="769"/>
      <c r="EKN101" s="769"/>
      <c r="EKO101" s="769"/>
      <c r="EKP101" s="769"/>
      <c r="EKQ101" s="769"/>
      <c r="EKR101" s="769"/>
      <c r="EKS101" s="769"/>
      <c r="EKT101" s="769"/>
      <c r="EKU101" s="769"/>
      <c r="EKV101" s="769"/>
      <c r="EKW101" s="769"/>
      <c r="EKX101" s="769"/>
      <c r="EKY101" s="769"/>
      <c r="EKZ101" s="769"/>
      <c r="ELA101" s="769"/>
      <c r="ELB101" s="769"/>
      <c r="ELC101" s="769"/>
      <c r="ELD101" s="769"/>
      <c r="ELE101" s="769"/>
      <c r="ELF101" s="769"/>
      <c r="ELG101" s="769"/>
      <c r="ELH101" s="769"/>
      <c r="ELI101" s="769"/>
      <c r="ELJ101" s="769"/>
      <c r="ELK101" s="769"/>
      <c r="ELL101" s="769"/>
      <c r="ELM101" s="769"/>
      <c r="ELN101" s="769"/>
      <c r="ELO101" s="769"/>
      <c r="ELP101" s="769"/>
      <c r="ELQ101" s="769"/>
      <c r="ELR101" s="769"/>
      <c r="ELS101" s="769"/>
      <c r="ELT101" s="769"/>
      <c r="ELU101" s="769"/>
      <c r="ELV101" s="769"/>
      <c r="ELW101" s="769"/>
      <c r="ELX101" s="769"/>
      <c r="ELY101" s="769"/>
      <c r="ELZ101" s="769"/>
      <c r="EMA101" s="769"/>
      <c r="EMB101" s="769"/>
      <c r="EMC101" s="769"/>
      <c r="EMD101" s="769"/>
      <c r="EME101" s="769"/>
      <c r="EMF101" s="769"/>
      <c r="EMG101" s="769"/>
      <c r="EMH101" s="769"/>
      <c r="EMI101" s="769"/>
      <c r="EMJ101" s="769"/>
      <c r="EMK101" s="769"/>
      <c r="EML101" s="769"/>
      <c r="EMM101" s="769"/>
      <c r="EMN101" s="769"/>
      <c r="EMO101" s="769"/>
      <c r="EMP101" s="769"/>
      <c r="EMQ101" s="769"/>
      <c r="EMR101" s="769"/>
      <c r="EMS101" s="769"/>
      <c r="EMT101" s="769"/>
      <c r="EMU101" s="769"/>
      <c r="EMV101" s="769"/>
      <c r="EMW101" s="769"/>
      <c r="EMX101" s="769"/>
      <c r="EMY101" s="769"/>
      <c r="EMZ101" s="769"/>
      <c r="ENA101" s="769"/>
      <c r="ENB101" s="769"/>
      <c r="ENC101" s="769"/>
      <c r="END101" s="769"/>
      <c r="ENE101" s="769"/>
      <c r="ENF101" s="769"/>
      <c r="ENG101" s="769"/>
      <c r="ENH101" s="769"/>
      <c r="ENI101" s="769"/>
      <c r="ENJ101" s="769"/>
      <c r="ENK101" s="769"/>
      <c r="ENL101" s="769"/>
      <c r="ENM101" s="769"/>
      <c r="ENN101" s="769"/>
      <c r="ENO101" s="769"/>
      <c r="ENP101" s="769"/>
      <c r="ENQ101" s="769"/>
      <c r="ENR101" s="769"/>
      <c r="ENS101" s="769"/>
      <c r="ENT101" s="769"/>
      <c r="ENU101" s="769"/>
      <c r="ENV101" s="769"/>
      <c r="ENW101" s="769"/>
      <c r="ENX101" s="769"/>
      <c r="ENY101" s="769"/>
      <c r="ENZ101" s="769"/>
      <c r="EOA101" s="769"/>
      <c r="EOB101" s="769"/>
      <c r="EOC101" s="769"/>
      <c r="EOD101" s="769"/>
      <c r="EOE101" s="769"/>
      <c r="EOF101" s="769"/>
      <c r="EOG101" s="769"/>
      <c r="EOH101" s="769"/>
      <c r="EOI101" s="769"/>
      <c r="EOJ101" s="769"/>
      <c r="EOK101" s="769"/>
      <c r="EOL101" s="769"/>
      <c r="EOM101" s="769"/>
      <c r="EON101" s="769"/>
      <c r="EOO101" s="769"/>
      <c r="EOP101" s="769"/>
      <c r="EOQ101" s="769"/>
      <c r="EOR101" s="769"/>
      <c r="EOS101" s="769"/>
      <c r="EOT101" s="769"/>
      <c r="EOU101" s="769"/>
      <c r="EOV101" s="769"/>
      <c r="EOW101" s="769"/>
      <c r="EOX101" s="769"/>
      <c r="EOY101" s="769"/>
      <c r="EOZ101" s="769"/>
      <c r="EPA101" s="769"/>
      <c r="EPB101" s="769"/>
      <c r="EPC101" s="769"/>
      <c r="EPD101" s="769"/>
      <c r="EPE101" s="769"/>
      <c r="EPF101" s="769"/>
      <c r="EPG101" s="769"/>
      <c r="EPH101" s="769"/>
      <c r="EPI101" s="769"/>
      <c r="EPJ101" s="769"/>
      <c r="EPK101" s="769"/>
      <c r="EPL101" s="769"/>
      <c r="EPM101" s="769"/>
      <c r="EPN101" s="769"/>
      <c r="EPO101" s="769"/>
      <c r="EPP101" s="769"/>
      <c r="EPQ101" s="769"/>
      <c r="EPR101" s="769"/>
      <c r="EPS101" s="769"/>
      <c r="EPT101" s="769"/>
      <c r="EPU101" s="769"/>
      <c r="EPV101" s="769"/>
      <c r="EPW101" s="769"/>
      <c r="EPX101" s="769"/>
      <c r="EPY101" s="769"/>
      <c r="EPZ101" s="769"/>
      <c r="EQA101" s="769"/>
      <c r="EQB101" s="769"/>
      <c r="EQC101" s="769"/>
      <c r="EQD101" s="769"/>
      <c r="EQE101" s="769"/>
      <c r="EQF101" s="769"/>
      <c r="EQG101" s="769"/>
      <c r="EQH101" s="769"/>
      <c r="EQI101" s="769"/>
      <c r="EQJ101" s="769"/>
      <c r="EQK101" s="769"/>
      <c r="EQL101" s="769"/>
      <c r="EQM101" s="769"/>
      <c r="EQN101" s="769"/>
      <c r="EQO101" s="769"/>
      <c r="EQP101" s="769"/>
      <c r="EQQ101" s="769"/>
      <c r="EQR101" s="769"/>
      <c r="EQS101" s="769"/>
      <c r="EQT101" s="769"/>
      <c r="EQU101" s="769"/>
      <c r="EQV101" s="769"/>
      <c r="EQW101" s="769"/>
      <c r="EQX101" s="769"/>
      <c r="EQY101" s="769"/>
      <c r="EQZ101" s="769"/>
      <c r="ERA101" s="769"/>
      <c r="ERB101" s="769"/>
      <c r="ERC101" s="769"/>
      <c r="ERD101" s="769"/>
      <c r="ERE101" s="769"/>
      <c r="ERF101" s="769"/>
      <c r="ERG101" s="769"/>
      <c r="ERH101" s="769"/>
      <c r="ERI101" s="769"/>
      <c r="ERJ101" s="769"/>
      <c r="ERK101" s="769"/>
      <c r="ERL101" s="769"/>
      <c r="ERM101" s="769"/>
      <c r="ERN101" s="769"/>
      <c r="ERO101" s="769"/>
      <c r="ERP101" s="769"/>
      <c r="ERQ101" s="769"/>
      <c r="ERR101" s="769"/>
      <c r="ERS101" s="769"/>
      <c r="ERT101" s="769"/>
      <c r="ERU101" s="769"/>
      <c r="ERV101" s="769"/>
      <c r="ERW101" s="769"/>
      <c r="ERX101" s="769"/>
      <c r="ERY101" s="769"/>
      <c r="ERZ101" s="769"/>
      <c r="ESA101" s="769"/>
      <c r="ESB101" s="769"/>
      <c r="ESC101" s="769"/>
      <c r="ESD101" s="769"/>
      <c r="ESE101" s="769"/>
      <c r="ESF101" s="769"/>
      <c r="ESG101" s="769"/>
      <c r="ESH101" s="769"/>
      <c r="ESI101" s="769"/>
      <c r="ESJ101" s="769"/>
      <c r="ESK101" s="769"/>
      <c r="ESL101" s="769"/>
      <c r="ESM101" s="769"/>
      <c r="ESN101" s="769"/>
      <c r="ESO101" s="769"/>
      <c r="ESP101" s="769"/>
      <c r="ESQ101" s="769"/>
      <c r="ESR101" s="769"/>
      <c r="ESS101" s="769"/>
      <c r="EST101" s="769"/>
      <c r="ESU101" s="769"/>
      <c r="ESV101" s="769"/>
      <c r="ESW101" s="769"/>
      <c r="ESX101" s="769"/>
      <c r="ESY101" s="769"/>
      <c r="ESZ101" s="769"/>
      <c r="ETA101" s="769"/>
      <c r="ETB101" s="769"/>
      <c r="ETC101" s="769"/>
      <c r="ETD101" s="769"/>
      <c r="ETE101" s="769"/>
      <c r="ETF101" s="769"/>
      <c r="ETG101" s="769"/>
      <c r="ETH101" s="769"/>
      <c r="ETI101" s="769"/>
      <c r="ETJ101" s="769"/>
      <c r="ETK101" s="769"/>
      <c r="ETL101" s="769"/>
      <c r="ETM101" s="769"/>
      <c r="ETN101" s="769"/>
      <c r="ETO101" s="769"/>
      <c r="ETP101" s="769"/>
      <c r="ETQ101" s="769"/>
      <c r="ETR101" s="769"/>
      <c r="ETS101" s="769"/>
      <c r="ETT101" s="769"/>
      <c r="ETU101" s="769"/>
      <c r="ETV101" s="769"/>
      <c r="ETW101" s="769"/>
      <c r="ETX101" s="769"/>
      <c r="ETY101" s="769"/>
      <c r="ETZ101" s="769"/>
      <c r="EUA101" s="769"/>
      <c r="EUB101" s="769"/>
      <c r="EUC101" s="769"/>
      <c r="EUD101" s="769"/>
      <c r="EUE101" s="769"/>
      <c r="EUF101" s="769"/>
      <c r="EUG101" s="769"/>
      <c r="EUH101" s="769"/>
      <c r="EUI101" s="769"/>
      <c r="EUJ101" s="769"/>
      <c r="EUK101" s="769"/>
      <c r="EUL101" s="769"/>
      <c r="EUM101" s="769"/>
      <c r="EUN101" s="769"/>
      <c r="EUO101" s="769"/>
      <c r="EUP101" s="769"/>
      <c r="EUQ101" s="769"/>
      <c r="EUR101" s="769"/>
      <c r="EUS101" s="769"/>
      <c r="EUT101" s="769"/>
      <c r="EUU101" s="769"/>
      <c r="EUV101" s="769"/>
      <c r="EUW101" s="769"/>
      <c r="EUX101" s="769"/>
      <c r="EUY101" s="769"/>
      <c r="EUZ101" s="769"/>
      <c r="EVA101" s="769"/>
      <c r="EVB101" s="769"/>
      <c r="EVC101" s="769"/>
      <c r="EVD101" s="769"/>
      <c r="EVE101" s="769"/>
      <c r="EVF101" s="769"/>
      <c r="EVG101" s="769"/>
      <c r="EVH101" s="769"/>
      <c r="EVI101" s="769"/>
      <c r="EVJ101" s="769"/>
      <c r="EVK101" s="769"/>
      <c r="EVL101" s="769"/>
      <c r="EVM101" s="769"/>
      <c r="EVN101" s="769"/>
      <c r="EVO101" s="769"/>
      <c r="EVP101" s="769"/>
      <c r="EVQ101" s="769"/>
      <c r="EVR101" s="769"/>
      <c r="EVS101" s="769"/>
      <c r="EVT101" s="769"/>
      <c r="EVU101" s="769"/>
      <c r="EVV101" s="769"/>
      <c r="EVW101" s="769"/>
      <c r="EVX101" s="769"/>
      <c r="EVY101" s="769"/>
      <c r="EVZ101" s="769"/>
      <c r="EWA101" s="769"/>
      <c r="EWB101" s="769"/>
      <c r="EWC101" s="769"/>
      <c r="EWD101" s="769"/>
      <c r="EWE101" s="769"/>
      <c r="EWF101" s="769"/>
      <c r="EWG101" s="769"/>
      <c r="EWH101" s="769"/>
      <c r="EWI101" s="769"/>
      <c r="EWJ101" s="769"/>
      <c r="EWK101" s="769"/>
      <c r="EWL101" s="769"/>
      <c r="EWM101" s="769"/>
      <c r="EWN101" s="769"/>
      <c r="EWO101" s="769"/>
      <c r="EWP101" s="769"/>
      <c r="EWQ101" s="769"/>
      <c r="EWR101" s="769"/>
      <c r="EWS101" s="769"/>
      <c r="EWT101" s="769"/>
      <c r="EWU101" s="769"/>
      <c r="EWV101" s="769"/>
      <c r="EWW101" s="769"/>
      <c r="EWX101" s="769"/>
      <c r="EWY101" s="769"/>
      <c r="EWZ101" s="769"/>
      <c r="EXA101" s="769"/>
      <c r="EXB101" s="769"/>
      <c r="EXC101" s="769"/>
      <c r="EXD101" s="769"/>
      <c r="EXE101" s="769"/>
      <c r="EXF101" s="769"/>
      <c r="EXG101" s="769"/>
      <c r="EXH101" s="769"/>
      <c r="EXI101" s="769"/>
      <c r="EXJ101" s="769"/>
      <c r="EXK101" s="769"/>
      <c r="EXL101" s="769"/>
      <c r="EXM101" s="769"/>
      <c r="EXN101" s="769"/>
      <c r="EXO101" s="769"/>
      <c r="EXP101" s="769"/>
      <c r="EXQ101" s="769"/>
      <c r="EXR101" s="769"/>
      <c r="EXS101" s="769"/>
      <c r="EXT101" s="769"/>
      <c r="EXU101" s="769"/>
      <c r="EXV101" s="769"/>
      <c r="EXW101" s="769"/>
      <c r="EXX101" s="769"/>
      <c r="EXY101" s="769"/>
      <c r="EXZ101" s="769"/>
      <c r="EYA101" s="769"/>
      <c r="EYB101" s="769"/>
      <c r="EYC101" s="769"/>
      <c r="EYD101" s="769"/>
      <c r="EYE101" s="769"/>
      <c r="EYF101" s="769"/>
      <c r="EYG101" s="769"/>
      <c r="EYH101" s="769"/>
      <c r="EYI101" s="769"/>
      <c r="EYJ101" s="769"/>
      <c r="EYK101" s="769"/>
      <c r="EYL101" s="769"/>
      <c r="EYM101" s="769"/>
      <c r="EYN101" s="769"/>
      <c r="EYO101" s="769"/>
      <c r="EYP101" s="769"/>
      <c r="EYQ101" s="769"/>
      <c r="EYR101" s="769"/>
      <c r="EYS101" s="769"/>
      <c r="EYT101" s="769"/>
      <c r="EYU101" s="769"/>
      <c r="EYV101" s="769"/>
      <c r="EYW101" s="769"/>
      <c r="EYX101" s="769"/>
      <c r="EYY101" s="769"/>
      <c r="EYZ101" s="769"/>
      <c r="EZA101" s="769"/>
      <c r="EZB101" s="769"/>
      <c r="EZC101" s="769"/>
      <c r="EZD101" s="769"/>
      <c r="EZE101" s="769"/>
      <c r="EZF101" s="769"/>
      <c r="EZG101" s="769"/>
      <c r="EZH101" s="769"/>
      <c r="EZI101" s="769"/>
      <c r="EZJ101" s="769"/>
      <c r="EZK101" s="769"/>
      <c r="EZL101" s="769"/>
      <c r="EZM101" s="769"/>
      <c r="EZN101" s="769"/>
      <c r="EZO101" s="769"/>
      <c r="EZP101" s="769"/>
      <c r="EZQ101" s="769"/>
      <c r="EZR101" s="769"/>
      <c r="EZS101" s="769"/>
      <c r="EZT101" s="769"/>
      <c r="EZU101" s="769"/>
      <c r="EZV101" s="769"/>
      <c r="EZW101" s="769"/>
      <c r="EZX101" s="769"/>
      <c r="EZY101" s="769"/>
      <c r="EZZ101" s="769"/>
      <c r="FAA101" s="769"/>
      <c r="FAB101" s="769"/>
      <c r="FAC101" s="769"/>
      <c r="FAD101" s="769"/>
      <c r="FAE101" s="769"/>
      <c r="FAF101" s="769"/>
      <c r="FAG101" s="769"/>
      <c r="FAH101" s="769"/>
      <c r="FAI101" s="769"/>
      <c r="FAJ101" s="769"/>
      <c r="FAK101" s="769"/>
      <c r="FAL101" s="769"/>
      <c r="FAM101" s="769"/>
      <c r="FAN101" s="769"/>
      <c r="FAO101" s="769"/>
      <c r="FAP101" s="769"/>
      <c r="FAQ101" s="769"/>
      <c r="FAR101" s="769"/>
      <c r="FAS101" s="769"/>
      <c r="FAT101" s="769"/>
      <c r="FAU101" s="769"/>
      <c r="FAV101" s="769"/>
      <c r="FAW101" s="769"/>
      <c r="FAX101" s="769"/>
      <c r="FAY101" s="769"/>
      <c r="FAZ101" s="769"/>
      <c r="FBA101" s="769"/>
      <c r="FBB101" s="769"/>
      <c r="FBC101" s="769"/>
      <c r="FBD101" s="769"/>
      <c r="FBE101" s="769"/>
      <c r="FBF101" s="769"/>
      <c r="FBG101" s="769"/>
      <c r="FBH101" s="769"/>
      <c r="FBI101" s="769"/>
      <c r="FBJ101" s="769"/>
      <c r="FBK101" s="769"/>
      <c r="FBL101" s="769"/>
      <c r="FBM101" s="769"/>
      <c r="FBN101" s="769"/>
      <c r="FBO101" s="769"/>
      <c r="FBP101" s="769"/>
      <c r="FBQ101" s="769"/>
      <c r="FBR101" s="769"/>
      <c r="FBS101" s="769"/>
      <c r="FBT101" s="769"/>
      <c r="FBU101" s="769"/>
      <c r="FBV101" s="769"/>
      <c r="FBW101" s="769"/>
      <c r="FBX101" s="769"/>
      <c r="FBY101" s="769"/>
      <c r="FBZ101" s="769"/>
      <c r="FCA101" s="769"/>
      <c r="FCB101" s="769"/>
      <c r="FCC101" s="769"/>
      <c r="FCD101" s="769"/>
      <c r="FCE101" s="769"/>
      <c r="FCF101" s="769"/>
      <c r="FCG101" s="769"/>
      <c r="FCH101" s="769"/>
      <c r="FCI101" s="769"/>
      <c r="FCJ101" s="769"/>
      <c r="FCK101" s="769"/>
      <c r="FCL101" s="769"/>
      <c r="FCM101" s="769"/>
      <c r="FCN101" s="769"/>
      <c r="FCO101" s="769"/>
      <c r="FCP101" s="769"/>
      <c r="FCQ101" s="769"/>
      <c r="FCR101" s="769"/>
      <c r="FCS101" s="769"/>
      <c r="FCT101" s="769"/>
      <c r="FCU101" s="769"/>
      <c r="FCV101" s="769"/>
      <c r="FCW101" s="769"/>
      <c r="FCX101" s="769"/>
      <c r="FCY101" s="769"/>
      <c r="FCZ101" s="769"/>
      <c r="FDA101" s="769"/>
      <c r="FDB101" s="769"/>
      <c r="FDC101" s="769"/>
      <c r="FDD101" s="769"/>
      <c r="FDE101" s="769"/>
      <c r="FDF101" s="769"/>
      <c r="FDG101" s="769"/>
      <c r="FDH101" s="769"/>
      <c r="FDI101" s="769"/>
      <c r="FDJ101" s="769"/>
      <c r="FDK101" s="769"/>
      <c r="FDL101" s="769"/>
      <c r="FDM101" s="769"/>
      <c r="FDN101" s="769"/>
      <c r="FDO101" s="769"/>
      <c r="FDP101" s="769"/>
      <c r="FDQ101" s="769"/>
      <c r="FDR101" s="769"/>
      <c r="FDS101" s="769"/>
      <c r="FDT101" s="769"/>
      <c r="FDU101" s="769"/>
      <c r="FDV101" s="769"/>
      <c r="FDW101" s="769"/>
      <c r="FDX101" s="769"/>
      <c r="FDY101" s="769"/>
      <c r="FDZ101" s="769"/>
      <c r="FEA101" s="769"/>
      <c r="FEB101" s="769"/>
      <c r="FEC101" s="769"/>
      <c r="FED101" s="769"/>
      <c r="FEE101" s="769"/>
      <c r="FEF101" s="769"/>
      <c r="FEG101" s="769"/>
      <c r="FEH101" s="769"/>
      <c r="FEI101" s="769"/>
      <c r="FEJ101" s="769"/>
      <c r="FEK101" s="769"/>
      <c r="FEL101" s="769"/>
      <c r="FEM101" s="769"/>
      <c r="FEN101" s="769"/>
      <c r="FEO101" s="769"/>
      <c r="FEP101" s="769"/>
      <c r="FEQ101" s="769"/>
      <c r="FER101" s="769"/>
      <c r="FES101" s="769"/>
      <c r="FET101" s="769"/>
      <c r="FEU101" s="769"/>
      <c r="FEV101" s="769"/>
      <c r="FEW101" s="769"/>
      <c r="FEX101" s="769"/>
      <c r="FEY101" s="769"/>
      <c r="FEZ101" s="769"/>
      <c r="FFA101" s="769"/>
      <c r="FFB101" s="769"/>
      <c r="FFC101" s="769"/>
      <c r="FFD101" s="769"/>
      <c r="FFE101" s="769"/>
      <c r="FFF101" s="769"/>
      <c r="FFG101" s="769"/>
      <c r="FFH101" s="769"/>
      <c r="FFI101" s="769"/>
      <c r="FFJ101" s="769"/>
      <c r="FFK101" s="769"/>
      <c r="FFL101" s="769"/>
      <c r="FFM101" s="769"/>
      <c r="FFN101" s="769"/>
      <c r="FFO101" s="769"/>
      <c r="FFP101" s="769"/>
      <c r="FFQ101" s="769"/>
      <c r="FFR101" s="769"/>
      <c r="FFS101" s="769"/>
      <c r="FFT101" s="769"/>
      <c r="FFU101" s="769"/>
      <c r="FFV101" s="769"/>
      <c r="FFW101" s="769"/>
      <c r="FFX101" s="769"/>
      <c r="FFY101" s="769"/>
      <c r="FFZ101" s="769"/>
      <c r="FGA101" s="769"/>
      <c r="FGB101" s="769"/>
      <c r="FGC101" s="769"/>
      <c r="FGD101" s="769"/>
      <c r="FGE101" s="769"/>
      <c r="FGF101" s="769"/>
      <c r="FGG101" s="769"/>
      <c r="FGH101" s="769"/>
      <c r="FGI101" s="769"/>
      <c r="FGJ101" s="769"/>
      <c r="FGK101" s="769"/>
      <c r="FGL101" s="769"/>
      <c r="FGM101" s="769"/>
      <c r="FGN101" s="769"/>
      <c r="FGO101" s="769"/>
      <c r="FGP101" s="769"/>
      <c r="FGQ101" s="769"/>
      <c r="FGR101" s="769"/>
      <c r="FGS101" s="769"/>
      <c r="FGT101" s="769"/>
      <c r="FGU101" s="769"/>
      <c r="FGV101" s="769"/>
      <c r="FGW101" s="769"/>
      <c r="FGX101" s="769"/>
      <c r="FGY101" s="769"/>
      <c r="FGZ101" s="769"/>
      <c r="FHA101" s="769"/>
      <c r="FHB101" s="769"/>
      <c r="FHC101" s="769"/>
      <c r="FHD101" s="769"/>
      <c r="FHE101" s="769"/>
      <c r="FHF101" s="769"/>
      <c r="FHG101" s="769"/>
      <c r="FHH101" s="769"/>
      <c r="FHI101" s="769"/>
      <c r="FHJ101" s="769"/>
      <c r="FHK101" s="769"/>
      <c r="FHL101" s="769"/>
      <c r="FHM101" s="769"/>
      <c r="FHN101" s="769"/>
      <c r="FHO101" s="769"/>
      <c r="FHP101" s="769"/>
      <c r="FHQ101" s="769"/>
      <c r="FHR101" s="769"/>
      <c r="FHS101" s="769"/>
      <c r="FHT101" s="769"/>
      <c r="FHU101" s="769"/>
      <c r="FHV101" s="769"/>
      <c r="FHW101" s="769"/>
      <c r="FHX101" s="769"/>
      <c r="FHY101" s="769"/>
      <c r="FHZ101" s="769"/>
      <c r="FIA101" s="769"/>
      <c r="FIB101" s="769"/>
      <c r="FIC101" s="769"/>
      <c r="FID101" s="769"/>
      <c r="FIE101" s="769"/>
      <c r="FIF101" s="769"/>
      <c r="FIG101" s="769"/>
      <c r="FIH101" s="769"/>
      <c r="FII101" s="769"/>
      <c r="FIJ101" s="769"/>
      <c r="FIK101" s="769"/>
      <c r="FIL101" s="769"/>
      <c r="FIM101" s="769"/>
      <c r="FIN101" s="769"/>
      <c r="FIO101" s="769"/>
      <c r="FIP101" s="769"/>
      <c r="FIQ101" s="769"/>
      <c r="FIR101" s="769"/>
      <c r="FIS101" s="769"/>
      <c r="FIT101" s="769"/>
      <c r="FIU101" s="769"/>
      <c r="FIV101" s="769"/>
      <c r="FIW101" s="769"/>
      <c r="FIX101" s="769"/>
      <c r="FIY101" s="769"/>
      <c r="FIZ101" s="769"/>
      <c r="FJA101" s="769"/>
      <c r="FJB101" s="769"/>
      <c r="FJC101" s="769"/>
      <c r="FJD101" s="769"/>
      <c r="FJE101" s="769"/>
      <c r="FJF101" s="769"/>
      <c r="FJG101" s="769"/>
      <c r="FJH101" s="769"/>
      <c r="FJI101" s="769"/>
      <c r="FJJ101" s="769"/>
      <c r="FJK101" s="769"/>
      <c r="FJL101" s="769"/>
      <c r="FJM101" s="769"/>
      <c r="FJN101" s="769"/>
      <c r="FJO101" s="769"/>
      <c r="FJP101" s="769"/>
      <c r="FJQ101" s="769"/>
      <c r="FJR101" s="769"/>
      <c r="FJS101" s="769"/>
      <c r="FJT101" s="769"/>
      <c r="FJU101" s="769"/>
      <c r="FJV101" s="769"/>
      <c r="FJW101" s="769"/>
      <c r="FJX101" s="769"/>
      <c r="FJY101" s="769"/>
      <c r="FJZ101" s="769"/>
      <c r="FKA101" s="769"/>
      <c r="FKB101" s="769"/>
      <c r="FKC101" s="769"/>
      <c r="FKD101" s="769"/>
      <c r="FKE101" s="769"/>
      <c r="FKF101" s="769"/>
      <c r="FKG101" s="769"/>
      <c r="FKH101" s="769"/>
      <c r="FKI101" s="769"/>
      <c r="FKJ101" s="769"/>
      <c r="FKK101" s="769"/>
      <c r="FKL101" s="769"/>
      <c r="FKM101" s="769"/>
      <c r="FKN101" s="769"/>
      <c r="FKO101" s="769"/>
      <c r="FKP101" s="769"/>
      <c r="FKQ101" s="769"/>
      <c r="FKR101" s="769"/>
      <c r="FKS101" s="769"/>
      <c r="FKT101" s="769"/>
      <c r="FKU101" s="769"/>
      <c r="FKV101" s="769"/>
      <c r="FKW101" s="769"/>
      <c r="FKX101" s="769"/>
      <c r="FKY101" s="769"/>
      <c r="FKZ101" s="769"/>
      <c r="FLA101" s="769"/>
      <c r="FLB101" s="769"/>
      <c r="FLC101" s="769"/>
      <c r="FLD101" s="769"/>
      <c r="FLE101" s="769"/>
      <c r="FLF101" s="769"/>
      <c r="FLG101" s="769"/>
      <c r="FLH101" s="769"/>
      <c r="FLI101" s="769"/>
      <c r="FLJ101" s="769"/>
      <c r="FLK101" s="769"/>
      <c r="FLL101" s="769"/>
      <c r="FLM101" s="769"/>
      <c r="FLN101" s="769"/>
      <c r="FLO101" s="769"/>
      <c r="FLP101" s="769"/>
      <c r="FLQ101" s="769"/>
      <c r="FLR101" s="769"/>
      <c r="FLS101" s="769"/>
      <c r="FLT101" s="769"/>
      <c r="FLU101" s="769"/>
      <c r="FLV101" s="769"/>
      <c r="FLW101" s="769"/>
      <c r="FLX101" s="769"/>
      <c r="FLY101" s="769"/>
      <c r="FLZ101" s="769"/>
      <c r="FMA101" s="769"/>
      <c r="FMB101" s="769"/>
      <c r="FMC101" s="769"/>
      <c r="FMD101" s="769"/>
      <c r="FME101" s="769"/>
      <c r="FMF101" s="769"/>
      <c r="FMG101" s="769"/>
      <c r="FMH101" s="769"/>
      <c r="FMI101" s="769"/>
      <c r="FMJ101" s="769"/>
      <c r="FMK101" s="769"/>
      <c r="FML101" s="769"/>
      <c r="FMM101" s="769"/>
      <c r="FMN101" s="769"/>
      <c r="FMO101" s="769"/>
      <c r="FMP101" s="769"/>
      <c r="FMQ101" s="769"/>
      <c r="FMR101" s="769"/>
      <c r="FMS101" s="769"/>
      <c r="FMT101" s="769"/>
      <c r="FMU101" s="769"/>
      <c r="FMV101" s="769"/>
      <c r="FMW101" s="769"/>
      <c r="FMX101" s="769"/>
      <c r="FMY101" s="769"/>
      <c r="FMZ101" s="769"/>
      <c r="FNA101" s="769"/>
      <c r="FNB101" s="769"/>
      <c r="FNC101" s="769"/>
      <c r="FND101" s="769"/>
      <c r="FNE101" s="769"/>
      <c r="FNF101" s="769"/>
      <c r="FNG101" s="769"/>
      <c r="FNH101" s="769"/>
      <c r="FNI101" s="769"/>
      <c r="FNJ101" s="769"/>
      <c r="FNK101" s="769"/>
      <c r="FNL101" s="769"/>
      <c r="FNM101" s="769"/>
      <c r="FNN101" s="769"/>
      <c r="FNO101" s="769"/>
      <c r="FNP101" s="769"/>
      <c r="FNQ101" s="769"/>
      <c r="FNR101" s="769"/>
      <c r="FNS101" s="769"/>
      <c r="FNT101" s="769"/>
      <c r="FNU101" s="769"/>
      <c r="FNV101" s="769"/>
      <c r="FNW101" s="769"/>
      <c r="FNX101" s="769"/>
      <c r="FNY101" s="769"/>
      <c r="FNZ101" s="769"/>
      <c r="FOA101" s="769"/>
      <c r="FOB101" s="769"/>
      <c r="FOC101" s="769"/>
      <c r="FOD101" s="769"/>
      <c r="FOE101" s="769"/>
      <c r="FOF101" s="769"/>
      <c r="FOG101" s="769"/>
      <c r="FOH101" s="769"/>
      <c r="FOI101" s="769"/>
      <c r="FOJ101" s="769"/>
      <c r="FOK101" s="769"/>
      <c r="FOL101" s="769"/>
      <c r="FOM101" s="769"/>
      <c r="FON101" s="769"/>
      <c r="FOO101" s="769"/>
      <c r="FOP101" s="769"/>
      <c r="FOQ101" s="769"/>
      <c r="FOR101" s="769"/>
      <c r="FOS101" s="769"/>
      <c r="FOT101" s="769"/>
      <c r="FOU101" s="769"/>
      <c r="FOV101" s="769"/>
      <c r="FOW101" s="769"/>
      <c r="FOX101" s="769"/>
      <c r="FOY101" s="769"/>
      <c r="FOZ101" s="769"/>
      <c r="FPA101" s="769"/>
      <c r="FPB101" s="769"/>
      <c r="FPC101" s="769"/>
      <c r="FPD101" s="769"/>
      <c r="FPE101" s="769"/>
      <c r="FPF101" s="769"/>
      <c r="FPG101" s="769"/>
      <c r="FPH101" s="769"/>
      <c r="FPI101" s="769"/>
      <c r="FPJ101" s="769"/>
      <c r="FPK101" s="769"/>
      <c r="FPL101" s="769"/>
      <c r="FPM101" s="769"/>
      <c r="FPN101" s="769"/>
      <c r="FPO101" s="769"/>
      <c r="FPP101" s="769"/>
      <c r="FPQ101" s="769"/>
      <c r="FPR101" s="769"/>
      <c r="FPS101" s="769"/>
      <c r="FPT101" s="769"/>
      <c r="FPU101" s="769"/>
      <c r="FPV101" s="769"/>
      <c r="FPW101" s="769"/>
      <c r="FPX101" s="769"/>
      <c r="FPY101" s="769"/>
      <c r="FPZ101" s="769"/>
      <c r="FQA101" s="769"/>
      <c r="FQB101" s="769"/>
      <c r="FQC101" s="769"/>
      <c r="FQD101" s="769"/>
      <c r="FQE101" s="769"/>
      <c r="FQF101" s="769"/>
      <c r="FQG101" s="769"/>
      <c r="FQH101" s="769"/>
      <c r="FQI101" s="769"/>
      <c r="FQJ101" s="769"/>
      <c r="FQK101" s="769"/>
      <c r="FQL101" s="769"/>
      <c r="FQM101" s="769"/>
      <c r="FQN101" s="769"/>
      <c r="FQO101" s="769"/>
      <c r="FQP101" s="769"/>
      <c r="FQQ101" s="769"/>
      <c r="FQR101" s="769"/>
      <c r="FQS101" s="769"/>
      <c r="FQT101" s="769"/>
      <c r="FQU101" s="769"/>
      <c r="FQV101" s="769"/>
      <c r="FQW101" s="769"/>
      <c r="FQX101" s="769"/>
      <c r="FQY101" s="769"/>
      <c r="FQZ101" s="769"/>
      <c r="FRA101" s="769"/>
      <c r="FRB101" s="769"/>
      <c r="FRC101" s="769"/>
      <c r="FRD101" s="769"/>
      <c r="FRE101" s="769"/>
      <c r="FRF101" s="769"/>
      <c r="FRG101" s="769"/>
      <c r="FRH101" s="769"/>
      <c r="FRI101" s="769"/>
      <c r="FRJ101" s="769"/>
      <c r="FRK101" s="769"/>
      <c r="FRL101" s="769"/>
      <c r="FRM101" s="769"/>
      <c r="FRN101" s="769"/>
      <c r="FRO101" s="769"/>
      <c r="FRP101" s="769"/>
      <c r="FRQ101" s="769"/>
      <c r="FRR101" s="769"/>
      <c r="FRS101" s="769"/>
      <c r="FRT101" s="769"/>
      <c r="FRU101" s="769"/>
      <c r="FRV101" s="769"/>
      <c r="FRW101" s="769"/>
      <c r="FRX101" s="769"/>
      <c r="FRY101" s="769"/>
      <c r="FRZ101" s="769"/>
      <c r="FSA101" s="769"/>
      <c r="FSB101" s="769"/>
      <c r="FSC101" s="769"/>
      <c r="FSD101" s="769"/>
      <c r="FSE101" s="769"/>
      <c r="FSF101" s="769"/>
      <c r="FSG101" s="769"/>
      <c r="FSH101" s="769"/>
      <c r="FSI101" s="769"/>
      <c r="FSJ101" s="769"/>
      <c r="FSK101" s="769"/>
      <c r="FSL101" s="769"/>
      <c r="FSM101" s="769"/>
      <c r="FSN101" s="769"/>
      <c r="FSO101" s="769"/>
      <c r="FSP101" s="769"/>
      <c r="FSQ101" s="769"/>
      <c r="FSR101" s="769"/>
      <c r="FSS101" s="769"/>
      <c r="FST101" s="769"/>
      <c r="FSU101" s="769"/>
      <c r="FSV101" s="769"/>
      <c r="FSW101" s="769"/>
      <c r="FSX101" s="769"/>
      <c r="FSY101" s="769"/>
      <c r="FSZ101" s="769"/>
      <c r="FTA101" s="769"/>
      <c r="FTB101" s="769"/>
      <c r="FTC101" s="769"/>
      <c r="FTD101" s="769"/>
      <c r="FTE101" s="769"/>
      <c r="FTF101" s="769"/>
      <c r="FTG101" s="769"/>
      <c r="FTH101" s="769"/>
      <c r="FTI101" s="769"/>
      <c r="FTJ101" s="769"/>
      <c r="FTK101" s="769"/>
      <c r="FTL101" s="769"/>
      <c r="FTM101" s="769"/>
      <c r="FTN101" s="769"/>
      <c r="FTO101" s="769"/>
      <c r="FTP101" s="769"/>
      <c r="FTQ101" s="769"/>
      <c r="FTR101" s="769"/>
      <c r="FTS101" s="769"/>
      <c r="FTT101" s="769"/>
      <c r="FTU101" s="769"/>
      <c r="FTV101" s="769"/>
      <c r="FTW101" s="769"/>
      <c r="FTX101" s="769"/>
      <c r="FTY101" s="769"/>
      <c r="FTZ101" s="769"/>
      <c r="FUA101" s="769"/>
      <c r="FUB101" s="769"/>
      <c r="FUC101" s="769"/>
      <c r="FUD101" s="769"/>
      <c r="FUE101" s="769"/>
      <c r="FUF101" s="769"/>
      <c r="FUG101" s="769"/>
      <c r="FUH101" s="769"/>
      <c r="FUI101" s="769"/>
      <c r="FUJ101" s="769"/>
      <c r="FUK101" s="769"/>
      <c r="FUL101" s="769"/>
      <c r="FUM101" s="769"/>
      <c r="FUN101" s="769"/>
      <c r="FUO101" s="769"/>
      <c r="FUP101" s="769"/>
      <c r="FUQ101" s="769"/>
      <c r="FUR101" s="769"/>
      <c r="FUS101" s="769"/>
      <c r="FUT101" s="769"/>
      <c r="FUU101" s="769"/>
      <c r="FUV101" s="769"/>
      <c r="FUW101" s="769"/>
      <c r="FUX101" s="769"/>
      <c r="FUY101" s="769"/>
      <c r="FUZ101" s="769"/>
      <c r="FVA101" s="769"/>
      <c r="FVB101" s="769"/>
      <c r="FVC101" s="769"/>
      <c r="FVD101" s="769"/>
      <c r="FVE101" s="769"/>
      <c r="FVF101" s="769"/>
      <c r="FVG101" s="769"/>
      <c r="FVH101" s="769"/>
      <c r="FVI101" s="769"/>
      <c r="FVJ101" s="769"/>
      <c r="FVK101" s="769"/>
      <c r="FVL101" s="769"/>
      <c r="FVM101" s="769"/>
      <c r="FVN101" s="769"/>
      <c r="FVO101" s="769"/>
      <c r="FVP101" s="769"/>
      <c r="FVQ101" s="769"/>
      <c r="FVR101" s="769"/>
      <c r="FVS101" s="769"/>
      <c r="FVT101" s="769"/>
      <c r="FVU101" s="769"/>
      <c r="FVV101" s="769"/>
      <c r="FVW101" s="769"/>
      <c r="FVX101" s="769"/>
      <c r="FVY101" s="769"/>
      <c r="FVZ101" s="769"/>
      <c r="FWA101" s="769"/>
      <c r="FWB101" s="769"/>
      <c r="FWC101" s="769"/>
      <c r="FWD101" s="769"/>
      <c r="FWE101" s="769"/>
      <c r="FWF101" s="769"/>
      <c r="FWG101" s="769"/>
      <c r="FWH101" s="769"/>
      <c r="FWI101" s="769"/>
      <c r="FWJ101" s="769"/>
      <c r="FWK101" s="769"/>
      <c r="FWL101" s="769"/>
      <c r="FWM101" s="769"/>
      <c r="FWN101" s="769"/>
      <c r="FWO101" s="769"/>
      <c r="FWP101" s="769"/>
      <c r="FWQ101" s="769"/>
      <c r="FWR101" s="769"/>
      <c r="FWS101" s="769"/>
      <c r="FWT101" s="769"/>
      <c r="FWU101" s="769"/>
      <c r="FWV101" s="769"/>
      <c r="FWW101" s="769"/>
      <c r="FWX101" s="769"/>
      <c r="FWY101" s="769"/>
      <c r="FWZ101" s="769"/>
      <c r="FXA101" s="769"/>
      <c r="FXB101" s="769"/>
      <c r="FXC101" s="769"/>
      <c r="FXD101" s="769"/>
      <c r="FXE101" s="769"/>
      <c r="FXF101" s="769"/>
      <c r="FXG101" s="769"/>
      <c r="FXH101" s="769"/>
      <c r="FXI101" s="769"/>
      <c r="FXJ101" s="769"/>
      <c r="FXK101" s="769"/>
      <c r="FXL101" s="769"/>
      <c r="FXM101" s="769"/>
      <c r="FXN101" s="769"/>
      <c r="FXO101" s="769"/>
      <c r="FXP101" s="769"/>
      <c r="FXQ101" s="769"/>
      <c r="FXR101" s="769"/>
      <c r="FXS101" s="769"/>
      <c r="FXT101" s="769"/>
      <c r="FXU101" s="769"/>
      <c r="FXV101" s="769"/>
      <c r="FXW101" s="769"/>
      <c r="FXX101" s="769"/>
      <c r="FXY101" s="769"/>
      <c r="FXZ101" s="769"/>
      <c r="FYA101" s="769"/>
      <c r="FYB101" s="769"/>
      <c r="FYC101" s="769"/>
      <c r="FYD101" s="769"/>
      <c r="FYE101" s="769"/>
      <c r="FYF101" s="769"/>
      <c r="FYG101" s="769"/>
      <c r="FYH101" s="769"/>
      <c r="FYI101" s="769"/>
      <c r="FYJ101" s="769"/>
      <c r="FYK101" s="769"/>
      <c r="FYL101" s="769"/>
      <c r="FYM101" s="769"/>
      <c r="FYN101" s="769"/>
      <c r="FYO101" s="769"/>
      <c r="FYP101" s="769"/>
      <c r="FYQ101" s="769"/>
      <c r="FYR101" s="769"/>
      <c r="FYS101" s="769"/>
      <c r="FYT101" s="769"/>
      <c r="FYU101" s="769"/>
      <c r="FYV101" s="769"/>
      <c r="FYW101" s="769"/>
      <c r="FYX101" s="769"/>
      <c r="FYY101" s="769"/>
      <c r="FYZ101" s="769"/>
      <c r="FZA101" s="769"/>
      <c r="FZB101" s="769"/>
      <c r="FZC101" s="769"/>
      <c r="FZD101" s="769"/>
      <c r="FZE101" s="769"/>
      <c r="FZF101" s="769"/>
      <c r="FZG101" s="769"/>
      <c r="FZH101" s="769"/>
      <c r="FZI101" s="769"/>
      <c r="FZJ101" s="769"/>
      <c r="FZK101" s="769"/>
      <c r="FZL101" s="769"/>
      <c r="FZM101" s="769"/>
      <c r="FZN101" s="769"/>
      <c r="FZO101" s="769"/>
      <c r="FZP101" s="769"/>
      <c r="FZQ101" s="769"/>
      <c r="FZR101" s="769"/>
      <c r="FZS101" s="769"/>
      <c r="FZT101" s="769"/>
      <c r="FZU101" s="769"/>
      <c r="FZV101" s="769"/>
      <c r="FZW101" s="769"/>
      <c r="FZX101" s="769"/>
      <c r="FZY101" s="769"/>
      <c r="FZZ101" s="769"/>
      <c r="GAA101" s="769"/>
      <c r="GAB101" s="769"/>
      <c r="GAC101" s="769"/>
      <c r="GAD101" s="769"/>
      <c r="GAE101" s="769"/>
      <c r="GAF101" s="769"/>
      <c r="GAG101" s="769"/>
      <c r="GAH101" s="769"/>
      <c r="GAI101" s="769"/>
      <c r="GAJ101" s="769"/>
      <c r="GAK101" s="769"/>
      <c r="GAL101" s="769"/>
      <c r="GAM101" s="769"/>
      <c r="GAN101" s="769"/>
      <c r="GAO101" s="769"/>
      <c r="GAP101" s="769"/>
      <c r="GAQ101" s="769"/>
      <c r="GAR101" s="769"/>
      <c r="GAS101" s="769"/>
      <c r="GAT101" s="769"/>
      <c r="GAU101" s="769"/>
      <c r="GAV101" s="769"/>
      <c r="GAW101" s="769"/>
      <c r="GAX101" s="769"/>
      <c r="GAY101" s="769"/>
      <c r="GAZ101" s="769"/>
      <c r="GBA101" s="769"/>
      <c r="GBB101" s="769"/>
      <c r="GBC101" s="769"/>
      <c r="GBD101" s="769"/>
      <c r="GBE101" s="769"/>
      <c r="GBF101" s="769"/>
      <c r="GBG101" s="769"/>
      <c r="GBH101" s="769"/>
      <c r="GBI101" s="769"/>
      <c r="GBJ101" s="769"/>
      <c r="GBK101" s="769"/>
      <c r="GBL101" s="769"/>
      <c r="GBM101" s="769"/>
      <c r="GBN101" s="769"/>
      <c r="GBO101" s="769"/>
      <c r="GBP101" s="769"/>
      <c r="GBQ101" s="769"/>
      <c r="GBR101" s="769"/>
      <c r="GBS101" s="769"/>
      <c r="GBT101" s="769"/>
      <c r="GBU101" s="769"/>
      <c r="GBV101" s="769"/>
      <c r="GBW101" s="769"/>
      <c r="GBX101" s="769"/>
      <c r="GBY101" s="769"/>
      <c r="GBZ101" s="769"/>
      <c r="GCA101" s="769"/>
      <c r="GCB101" s="769"/>
      <c r="GCC101" s="769"/>
      <c r="GCD101" s="769"/>
      <c r="GCE101" s="769"/>
      <c r="GCF101" s="769"/>
      <c r="GCG101" s="769"/>
      <c r="GCH101" s="769"/>
      <c r="GCI101" s="769"/>
      <c r="GCJ101" s="769"/>
      <c r="GCK101" s="769"/>
      <c r="GCL101" s="769"/>
      <c r="GCM101" s="769"/>
      <c r="GCN101" s="769"/>
      <c r="GCO101" s="769"/>
      <c r="GCP101" s="769"/>
      <c r="GCQ101" s="769"/>
      <c r="GCR101" s="769"/>
      <c r="GCS101" s="769"/>
      <c r="GCT101" s="769"/>
      <c r="GCU101" s="769"/>
      <c r="GCV101" s="769"/>
      <c r="GCW101" s="769"/>
      <c r="GCX101" s="769"/>
      <c r="GCY101" s="769"/>
      <c r="GCZ101" s="769"/>
      <c r="GDA101" s="769"/>
      <c r="GDB101" s="769"/>
      <c r="GDC101" s="769"/>
      <c r="GDD101" s="769"/>
      <c r="GDE101" s="769"/>
      <c r="GDF101" s="769"/>
      <c r="GDG101" s="769"/>
      <c r="GDH101" s="769"/>
      <c r="GDI101" s="769"/>
      <c r="GDJ101" s="769"/>
      <c r="GDK101" s="769"/>
      <c r="GDL101" s="769"/>
      <c r="GDM101" s="769"/>
      <c r="GDN101" s="769"/>
      <c r="GDO101" s="769"/>
      <c r="GDP101" s="769"/>
      <c r="GDQ101" s="769"/>
      <c r="GDR101" s="769"/>
      <c r="GDS101" s="769"/>
      <c r="GDT101" s="769"/>
      <c r="GDU101" s="769"/>
      <c r="GDV101" s="769"/>
      <c r="GDW101" s="769"/>
      <c r="GDX101" s="769"/>
      <c r="GDY101" s="769"/>
      <c r="GDZ101" s="769"/>
      <c r="GEA101" s="769"/>
      <c r="GEB101" s="769"/>
      <c r="GEC101" s="769"/>
      <c r="GED101" s="769"/>
      <c r="GEE101" s="769"/>
      <c r="GEF101" s="769"/>
      <c r="GEG101" s="769"/>
      <c r="GEH101" s="769"/>
      <c r="GEI101" s="769"/>
      <c r="GEJ101" s="769"/>
      <c r="GEK101" s="769"/>
      <c r="GEL101" s="769"/>
      <c r="GEM101" s="769"/>
      <c r="GEN101" s="769"/>
      <c r="GEO101" s="769"/>
      <c r="GEP101" s="769"/>
      <c r="GEQ101" s="769"/>
      <c r="GER101" s="769"/>
      <c r="GES101" s="769"/>
      <c r="GET101" s="769"/>
      <c r="GEU101" s="769"/>
      <c r="GEV101" s="769"/>
      <c r="GEW101" s="769"/>
      <c r="GEX101" s="769"/>
      <c r="GEY101" s="769"/>
      <c r="GEZ101" s="769"/>
      <c r="GFA101" s="769"/>
      <c r="GFB101" s="769"/>
      <c r="GFC101" s="769"/>
      <c r="GFD101" s="769"/>
      <c r="GFE101" s="769"/>
      <c r="GFF101" s="769"/>
      <c r="GFG101" s="769"/>
      <c r="GFH101" s="769"/>
      <c r="GFI101" s="769"/>
      <c r="GFJ101" s="769"/>
      <c r="GFK101" s="769"/>
      <c r="GFL101" s="769"/>
      <c r="GFM101" s="769"/>
      <c r="GFN101" s="769"/>
      <c r="GFO101" s="769"/>
      <c r="GFP101" s="769"/>
      <c r="GFQ101" s="769"/>
      <c r="GFR101" s="769"/>
      <c r="GFS101" s="769"/>
      <c r="GFT101" s="769"/>
      <c r="GFU101" s="769"/>
      <c r="GFV101" s="769"/>
      <c r="GFW101" s="769"/>
      <c r="GFX101" s="769"/>
      <c r="GFY101" s="769"/>
      <c r="GFZ101" s="769"/>
      <c r="GGA101" s="769"/>
      <c r="GGB101" s="769"/>
      <c r="GGC101" s="769"/>
      <c r="GGD101" s="769"/>
      <c r="GGE101" s="769"/>
      <c r="GGF101" s="769"/>
      <c r="GGG101" s="769"/>
      <c r="GGH101" s="769"/>
      <c r="GGI101" s="769"/>
      <c r="GGJ101" s="769"/>
      <c r="GGK101" s="769"/>
      <c r="GGL101" s="769"/>
      <c r="GGM101" s="769"/>
      <c r="GGN101" s="769"/>
      <c r="GGO101" s="769"/>
      <c r="GGP101" s="769"/>
      <c r="GGQ101" s="769"/>
      <c r="GGR101" s="769"/>
      <c r="GGS101" s="769"/>
      <c r="GGT101" s="769"/>
      <c r="GGU101" s="769"/>
      <c r="GGV101" s="769"/>
      <c r="GGW101" s="769"/>
      <c r="GGX101" s="769"/>
      <c r="GGY101" s="769"/>
      <c r="GGZ101" s="769"/>
      <c r="GHA101" s="769"/>
      <c r="GHB101" s="769"/>
      <c r="GHC101" s="769"/>
      <c r="GHD101" s="769"/>
      <c r="GHE101" s="769"/>
      <c r="GHF101" s="769"/>
      <c r="GHG101" s="769"/>
      <c r="GHH101" s="769"/>
      <c r="GHI101" s="769"/>
      <c r="GHJ101" s="769"/>
      <c r="GHK101" s="769"/>
      <c r="GHL101" s="769"/>
      <c r="GHM101" s="769"/>
      <c r="GHN101" s="769"/>
      <c r="GHO101" s="769"/>
      <c r="GHP101" s="769"/>
      <c r="GHQ101" s="769"/>
      <c r="GHR101" s="769"/>
      <c r="GHS101" s="769"/>
      <c r="GHT101" s="769"/>
      <c r="GHU101" s="769"/>
      <c r="GHV101" s="769"/>
      <c r="GHW101" s="769"/>
      <c r="GHX101" s="769"/>
      <c r="GHY101" s="769"/>
      <c r="GHZ101" s="769"/>
      <c r="GIA101" s="769"/>
      <c r="GIB101" s="769"/>
      <c r="GIC101" s="769"/>
      <c r="GID101" s="769"/>
      <c r="GIE101" s="769"/>
      <c r="GIF101" s="769"/>
      <c r="GIG101" s="769"/>
      <c r="GIH101" s="769"/>
      <c r="GII101" s="769"/>
      <c r="GIJ101" s="769"/>
      <c r="GIK101" s="769"/>
      <c r="GIL101" s="769"/>
      <c r="GIM101" s="769"/>
      <c r="GIN101" s="769"/>
      <c r="GIO101" s="769"/>
      <c r="GIP101" s="769"/>
      <c r="GIQ101" s="769"/>
      <c r="GIR101" s="769"/>
      <c r="GIS101" s="769"/>
      <c r="GIT101" s="769"/>
      <c r="GIU101" s="769"/>
      <c r="GIV101" s="769"/>
      <c r="GIW101" s="769"/>
      <c r="GIX101" s="769"/>
      <c r="GIY101" s="769"/>
      <c r="GIZ101" s="769"/>
      <c r="GJA101" s="769"/>
      <c r="GJB101" s="769"/>
      <c r="GJC101" s="769"/>
      <c r="GJD101" s="769"/>
      <c r="GJE101" s="769"/>
      <c r="GJF101" s="769"/>
      <c r="GJG101" s="769"/>
      <c r="GJH101" s="769"/>
      <c r="GJI101" s="769"/>
      <c r="GJJ101" s="769"/>
      <c r="GJK101" s="769"/>
      <c r="GJL101" s="769"/>
      <c r="GJM101" s="769"/>
      <c r="GJN101" s="769"/>
      <c r="GJO101" s="769"/>
      <c r="GJP101" s="769"/>
      <c r="GJQ101" s="769"/>
      <c r="GJR101" s="769"/>
      <c r="GJS101" s="769"/>
      <c r="GJT101" s="769"/>
      <c r="GJU101" s="769"/>
      <c r="GJV101" s="769"/>
      <c r="GJW101" s="769"/>
      <c r="GJX101" s="769"/>
      <c r="GJY101" s="769"/>
      <c r="GJZ101" s="769"/>
      <c r="GKA101" s="769"/>
      <c r="GKB101" s="769"/>
      <c r="GKC101" s="769"/>
      <c r="GKD101" s="769"/>
      <c r="GKE101" s="769"/>
      <c r="GKF101" s="769"/>
      <c r="GKG101" s="769"/>
      <c r="GKH101" s="769"/>
      <c r="GKI101" s="769"/>
      <c r="GKJ101" s="769"/>
      <c r="GKK101" s="769"/>
      <c r="GKL101" s="769"/>
      <c r="GKM101" s="769"/>
      <c r="GKN101" s="769"/>
      <c r="GKO101" s="769"/>
      <c r="GKP101" s="769"/>
      <c r="GKQ101" s="769"/>
      <c r="GKR101" s="769"/>
      <c r="GKS101" s="769"/>
      <c r="GKT101" s="769"/>
      <c r="GKU101" s="769"/>
      <c r="GKV101" s="769"/>
      <c r="GKW101" s="769"/>
      <c r="GKX101" s="769"/>
      <c r="GKY101" s="769"/>
      <c r="GKZ101" s="769"/>
      <c r="GLA101" s="769"/>
      <c r="GLB101" s="769"/>
      <c r="GLC101" s="769"/>
      <c r="GLD101" s="769"/>
      <c r="GLE101" s="769"/>
      <c r="GLF101" s="769"/>
      <c r="GLG101" s="769"/>
      <c r="GLH101" s="769"/>
      <c r="GLI101" s="769"/>
      <c r="GLJ101" s="769"/>
      <c r="GLK101" s="769"/>
      <c r="GLL101" s="769"/>
      <c r="GLM101" s="769"/>
      <c r="GLN101" s="769"/>
      <c r="GLO101" s="769"/>
      <c r="GLP101" s="769"/>
      <c r="GLQ101" s="769"/>
      <c r="GLR101" s="769"/>
      <c r="GLS101" s="769"/>
      <c r="GLT101" s="769"/>
      <c r="GLU101" s="769"/>
      <c r="GLV101" s="769"/>
      <c r="GLW101" s="769"/>
      <c r="GLX101" s="769"/>
      <c r="GLY101" s="769"/>
      <c r="GLZ101" s="769"/>
      <c r="GMA101" s="769"/>
      <c r="GMB101" s="769"/>
      <c r="GMC101" s="769"/>
      <c r="GMD101" s="769"/>
      <c r="GME101" s="769"/>
      <c r="GMF101" s="769"/>
      <c r="GMG101" s="769"/>
      <c r="GMH101" s="769"/>
      <c r="GMI101" s="769"/>
      <c r="GMJ101" s="769"/>
      <c r="GMK101" s="769"/>
      <c r="GML101" s="769"/>
      <c r="GMM101" s="769"/>
      <c r="GMN101" s="769"/>
      <c r="GMO101" s="769"/>
      <c r="GMP101" s="769"/>
      <c r="GMQ101" s="769"/>
      <c r="GMR101" s="769"/>
      <c r="GMS101" s="769"/>
      <c r="GMT101" s="769"/>
      <c r="GMU101" s="769"/>
      <c r="GMV101" s="769"/>
      <c r="GMW101" s="769"/>
      <c r="GMX101" s="769"/>
      <c r="GMY101" s="769"/>
      <c r="GMZ101" s="769"/>
      <c r="GNA101" s="769"/>
      <c r="GNB101" s="769"/>
      <c r="GNC101" s="769"/>
      <c r="GND101" s="769"/>
      <c r="GNE101" s="769"/>
      <c r="GNF101" s="769"/>
      <c r="GNG101" s="769"/>
      <c r="GNH101" s="769"/>
      <c r="GNI101" s="769"/>
      <c r="GNJ101" s="769"/>
      <c r="GNK101" s="769"/>
      <c r="GNL101" s="769"/>
      <c r="GNM101" s="769"/>
      <c r="GNN101" s="769"/>
      <c r="GNO101" s="769"/>
      <c r="GNP101" s="769"/>
      <c r="GNQ101" s="769"/>
      <c r="GNR101" s="769"/>
      <c r="GNS101" s="769"/>
      <c r="GNT101" s="769"/>
      <c r="GNU101" s="769"/>
      <c r="GNV101" s="769"/>
      <c r="GNW101" s="769"/>
      <c r="GNX101" s="769"/>
      <c r="GNY101" s="769"/>
      <c r="GNZ101" s="769"/>
      <c r="GOA101" s="769"/>
      <c r="GOB101" s="769"/>
      <c r="GOC101" s="769"/>
      <c r="GOD101" s="769"/>
      <c r="GOE101" s="769"/>
      <c r="GOF101" s="769"/>
      <c r="GOG101" s="769"/>
      <c r="GOH101" s="769"/>
      <c r="GOI101" s="769"/>
      <c r="GOJ101" s="769"/>
      <c r="GOK101" s="769"/>
      <c r="GOL101" s="769"/>
      <c r="GOM101" s="769"/>
      <c r="GON101" s="769"/>
      <c r="GOO101" s="769"/>
      <c r="GOP101" s="769"/>
      <c r="GOQ101" s="769"/>
      <c r="GOR101" s="769"/>
      <c r="GOS101" s="769"/>
      <c r="GOT101" s="769"/>
      <c r="GOU101" s="769"/>
      <c r="GOV101" s="769"/>
      <c r="GOW101" s="769"/>
      <c r="GOX101" s="769"/>
      <c r="GOY101" s="769"/>
      <c r="GOZ101" s="769"/>
      <c r="GPA101" s="769"/>
      <c r="GPB101" s="769"/>
      <c r="GPC101" s="769"/>
      <c r="GPD101" s="769"/>
      <c r="GPE101" s="769"/>
      <c r="GPF101" s="769"/>
      <c r="GPG101" s="769"/>
      <c r="GPH101" s="769"/>
      <c r="GPI101" s="769"/>
      <c r="GPJ101" s="769"/>
      <c r="GPK101" s="769"/>
      <c r="GPL101" s="769"/>
      <c r="GPM101" s="769"/>
      <c r="GPN101" s="769"/>
      <c r="GPO101" s="769"/>
      <c r="GPP101" s="769"/>
      <c r="GPQ101" s="769"/>
      <c r="GPR101" s="769"/>
      <c r="GPS101" s="769"/>
      <c r="GPT101" s="769"/>
      <c r="GPU101" s="769"/>
      <c r="GPV101" s="769"/>
      <c r="GPW101" s="769"/>
      <c r="GPX101" s="769"/>
      <c r="GPY101" s="769"/>
      <c r="GPZ101" s="769"/>
      <c r="GQA101" s="769"/>
      <c r="GQB101" s="769"/>
      <c r="GQC101" s="769"/>
      <c r="GQD101" s="769"/>
      <c r="GQE101" s="769"/>
      <c r="GQF101" s="769"/>
      <c r="GQG101" s="769"/>
      <c r="GQH101" s="769"/>
      <c r="GQI101" s="769"/>
      <c r="GQJ101" s="769"/>
      <c r="GQK101" s="769"/>
      <c r="GQL101" s="769"/>
      <c r="GQM101" s="769"/>
      <c r="GQN101" s="769"/>
      <c r="GQO101" s="769"/>
      <c r="GQP101" s="769"/>
      <c r="GQQ101" s="769"/>
      <c r="GQR101" s="769"/>
      <c r="GQS101" s="769"/>
      <c r="GQT101" s="769"/>
      <c r="GQU101" s="769"/>
      <c r="GQV101" s="769"/>
      <c r="GQW101" s="769"/>
      <c r="GQX101" s="769"/>
      <c r="GQY101" s="769"/>
      <c r="GQZ101" s="769"/>
      <c r="GRA101" s="769"/>
      <c r="GRB101" s="769"/>
      <c r="GRC101" s="769"/>
      <c r="GRD101" s="769"/>
      <c r="GRE101" s="769"/>
      <c r="GRF101" s="769"/>
      <c r="GRG101" s="769"/>
      <c r="GRH101" s="769"/>
      <c r="GRI101" s="769"/>
      <c r="GRJ101" s="769"/>
      <c r="GRK101" s="769"/>
      <c r="GRL101" s="769"/>
      <c r="GRM101" s="769"/>
      <c r="GRN101" s="769"/>
      <c r="GRO101" s="769"/>
      <c r="GRP101" s="769"/>
      <c r="GRQ101" s="769"/>
      <c r="GRR101" s="769"/>
      <c r="GRS101" s="769"/>
      <c r="GRT101" s="769"/>
      <c r="GRU101" s="769"/>
      <c r="GRV101" s="769"/>
      <c r="GRW101" s="769"/>
      <c r="GRX101" s="769"/>
      <c r="GRY101" s="769"/>
      <c r="GRZ101" s="769"/>
      <c r="GSA101" s="769"/>
      <c r="GSB101" s="769"/>
      <c r="GSC101" s="769"/>
      <c r="GSD101" s="769"/>
      <c r="GSE101" s="769"/>
      <c r="GSF101" s="769"/>
      <c r="GSG101" s="769"/>
      <c r="GSH101" s="769"/>
      <c r="GSI101" s="769"/>
      <c r="GSJ101" s="769"/>
      <c r="GSK101" s="769"/>
      <c r="GSL101" s="769"/>
      <c r="GSM101" s="769"/>
      <c r="GSN101" s="769"/>
      <c r="GSO101" s="769"/>
      <c r="GSP101" s="769"/>
      <c r="GSQ101" s="769"/>
      <c r="GSR101" s="769"/>
      <c r="GSS101" s="769"/>
      <c r="GST101" s="769"/>
      <c r="GSU101" s="769"/>
      <c r="GSV101" s="769"/>
      <c r="GSW101" s="769"/>
      <c r="GSX101" s="769"/>
      <c r="GSY101" s="769"/>
      <c r="GSZ101" s="769"/>
      <c r="GTA101" s="769"/>
      <c r="GTB101" s="769"/>
      <c r="GTC101" s="769"/>
      <c r="GTD101" s="769"/>
      <c r="GTE101" s="769"/>
      <c r="GTF101" s="769"/>
      <c r="GTG101" s="769"/>
      <c r="GTH101" s="769"/>
      <c r="GTI101" s="769"/>
      <c r="GTJ101" s="769"/>
      <c r="GTK101" s="769"/>
      <c r="GTL101" s="769"/>
      <c r="GTM101" s="769"/>
      <c r="GTN101" s="769"/>
      <c r="GTO101" s="769"/>
      <c r="GTP101" s="769"/>
      <c r="GTQ101" s="769"/>
      <c r="GTR101" s="769"/>
      <c r="GTS101" s="769"/>
      <c r="GTT101" s="769"/>
      <c r="GTU101" s="769"/>
      <c r="GTV101" s="769"/>
      <c r="GTW101" s="769"/>
      <c r="GTX101" s="769"/>
      <c r="GTY101" s="769"/>
      <c r="GTZ101" s="769"/>
      <c r="GUA101" s="769"/>
      <c r="GUB101" s="769"/>
      <c r="GUC101" s="769"/>
      <c r="GUD101" s="769"/>
      <c r="GUE101" s="769"/>
      <c r="GUF101" s="769"/>
      <c r="GUG101" s="769"/>
      <c r="GUH101" s="769"/>
      <c r="GUI101" s="769"/>
      <c r="GUJ101" s="769"/>
      <c r="GUK101" s="769"/>
      <c r="GUL101" s="769"/>
      <c r="GUM101" s="769"/>
      <c r="GUN101" s="769"/>
      <c r="GUO101" s="769"/>
      <c r="GUP101" s="769"/>
      <c r="GUQ101" s="769"/>
      <c r="GUR101" s="769"/>
      <c r="GUS101" s="769"/>
      <c r="GUT101" s="769"/>
      <c r="GUU101" s="769"/>
      <c r="GUV101" s="769"/>
      <c r="GUW101" s="769"/>
      <c r="GUX101" s="769"/>
      <c r="GUY101" s="769"/>
      <c r="GUZ101" s="769"/>
      <c r="GVA101" s="769"/>
      <c r="GVB101" s="769"/>
      <c r="GVC101" s="769"/>
      <c r="GVD101" s="769"/>
      <c r="GVE101" s="769"/>
      <c r="GVF101" s="769"/>
      <c r="GVG101" s="769"/>
      <c r="GVH101" s="769"/>
      <c r="GVI101" s="769"/>
      <c r="GVJ101" s="769"/>
      <c r="GVK101" s="769"/>
      <c r="GVL101" s="769"/>
      <c r="GVM101" s="769"/>
      <c r="GVN101" s="769"/>
      <c r="GVO101" s="769"/>
      <c r="GVP101" s="769"/>
      <c r="GVQ101" s="769"/>
      <c r="GVR101" s="769"/>
      <c r="GVS101" s="769"/>
      <c r="GVT101" s="769"/>
      <c r="GVU101" s="769"/>
      <c r="GVV101" s="769"/>
      <c r="GVW101" s="769"/>
      <c r="GVX101" s="769"/>
      <c r="GVY101" s="769"/>
      <c r="GVZ101" s="769"/>
      <c r="GWA101" s="769"/>
      <c r="GWB101" s="769"/>
      <c r="GWC101" s="769"/>
      <c r="GWD101" s="769"/>
      <c r="GWE101" s="769"/>
      <c r="GWF101" s="769"/>
      <c r="GWG101" s="769"/>
      <c r="GWH101" s="769"/>
      <c r="GWI101" s="769"/>
      <c r="GWJ101" s="769"/>
      <c r="GWK101" s="769"/>
      <c r="GWL101" s="769"/>
      <c r="GWM101" s="769"/>
      <c r="GWN101" s="769"/>
      <c r="GWO101" s="769"/>
      <c r="GWP101" s="769"/>
      <c r="GWQ101" s="769"/>
      <c r="GWR101" s="769"/>
      <c r="GWS101" s="769"/>
      <c r="GWT101" s="769"/>
      <c r="GWU101" s="769"/>
      <c r="GWV101" s="769"/>
      <c r="GWW101" s="769"/>
      <c r="GWX101" s="769"/>
      <c r="GWY101" s="769"/>
      <c r="GWZ101" s="769"/>
      <c r="GXA101" s="769"/>
      <c r="GXB101" s="769"/>
      <c r="GXC101" s="769"/>
      <c r="GXD101" s="769"/>
      <c r="GXE101" s="769"/>
      <c r="GXF101" s="769"/>
      <c r="GXG101" s="769"/>
      <c r="GXH101" s="769"/>
      <c r="GXI101" s="769"/>
      <c r="GXJ101" s="769"/>
      <c r="GXK101" s="769"/>
      <c r="GXL101" s="769"/>
      <c r="GXM101" s="769"/>
      <c r="GXN101" s="769"/>
      <c r="GXO101" s="769"/>
      <c r="GXP101" s="769"/>
      <c r="GXQ101" s="769"/>
      <c r="GXR101" s="769"/>
      <c r="GXS101" s="769"/>
      <c r="GXT101" s="769"/>
      <c r="GXU101" s="769"/>
      <c r="GXV101" s="769"/>
      <c r="GXW101" s="769"/>
      <c r="GXX101" s="769"/>
      <c r="GXY101" s="769"/>
      <c r="GXZ101" s="769"/>
      <c r="GYA101" s="769"/>
      <c r="GYB101" s="769"/>
      <c r="GYC101" s="769"/>
      <c r="GYD101" s="769"/>
      <c r="GYE101" s="769"/>
      <c r="GYF101" s="769"/>
      <c r="GYG101" s="769"/>
      <c r="GYH101" s="769"/>
      <c r="GYI101" s="769"/>
      <c r="GYJ101" s="769"/>
      <c r="GYK101" s="769"/>
      <c r="GYL101" s="769"/>
      <c r="GYM101" s="769"/>
      <c r="GYN101" s="769"/>
      <c r="GYO101" s="769"/>
      <c r="GYP101" s="769"/>
      <c r="GYQ101" s="769"/>
      <c r="GYR101" s="769"/>
      <c r="GYS101" s="769"/>
      <c r="GYT101" s="769"/>
      <c r="GYU101" s="769"/>
      <c r="GYV101" s="769"/>
      <c r="GYW101" s="769"/>
      <c r="GYX101" s="769"/>
      <c r="GYY101" s="769"/>
      <c r="GYZ101" s="769"/>
      <c r="GZA101" s="769"/>
      <c r="GZB101" s="769"/>
      <c r="GZC101" s="769"/>
      <c r="GZD101" s="769"/>
      <c r="GZE101" s="769"/>
      <c r="GZF101" s="769"/>
      <c r="GZG101" s="769"/>
      <c r="GZH101" s="769"/>
      <c r="GZI101" s="769"/>
      <c r="GZJ101" s="769"/>
      <c r="GZK101" s="769"/>
      <c r="GZL101" s="769"/>
      <c r="GZM101" s="769"/>
      <c r="GZN101" s="769"/>
      <c r="GZO101" s="769"/>
      <c r="GZP101" s="769"/>
      <c r="GZQ101" s="769"/>
      <c r="GZR101" s="769"/>
      <c r="GZS101" s="769"/>
      <c r="GZT101" s="769"/>
      <c r="GZU101" s="769"/>
      <c r="GZV101" s="769"/>
      <c r="GZW101" s="769"/>
      <c r="GZX101" s="769"/>
      <c r="GZY101" s="769"/>
      <c r="GZZ101" s="769"/>
      <c r="HAA101" s="769"/>
      <c r="HAB101" s="769"/>
      <c r="HAC101" s="769"/>
      <c r="HAD101" s="769"/>
      <c r="HAE101" s="769"/>
      <c r="HAF101" s="769"/>
      <c r="HAG101" s="769"/>
      <c r="HAH101" s="769"/>
      <c r="HAI101" s="769"/>
      <c r="HAJ101" s="769"/>
      <c r="HAK101" s="769"/>
      <c r="HAL101" s="769"/>
      <c r="HAM101" s="769"/>
      <c r="HAN101" s="769"/>
      <c r="HAO101" s="769"/>
      <c r="HAP101" s="769"/>
      <c r="HAQ101" s="769"/>
      <c r="HAR101" s="769"/>
      <c r="HAS101" s="769"/>
      <c r="HAT101" s="769"/>
      <c r="HAU101" s="769"/>
      <c r="HAV101" s="769"/>
      <c r="HAW101" s="769"/>
      <c r="HAX101" s="769"/>
      <c r="HAY101" s="769"/>
      <c r="HAZ101" s="769"/>
      <c r="HBA101" s="769"/>
      <c r="HBB101" s="769"/>
      <c r="HBC101" s="769"/>
      <c r="HBD101" s="769"/>
      <c r="HBE101" s="769"/>
      <c r="HBF101" s="769"/>
      <c r="HBG101" s="769"/>
      <c r="HBH101" s="769"/>
      <c r="HBI101" s="769"/>
      <c r="HBJ101" s="769"/>
      <c r="HBK101" s="769"/>
      <c r="HBL101" s="769"/>
      <c r="HBM101" s="769"/>
      <c r="HBN101" s="769"/>
      <c r="HBO101" s="769"/>
      <c r="HBP101" s="769"/>
      <c r="HBQ101" s="769"/>
      <c r="HBR101" s="769"/>
      <c r="HBS101" s="769"/>
      <c r="HBT101" s="769"/>
      <c r="HBU101" s="769"/>
      <c r="HBV101" s="769"/>
      <c r="HBW101" s="769"/>
      <c r="HBX101" s="769"/>
      <c r="HBY101" s="769"/>
      <c r="HBZ101" s="769"/>
      <c r="HCA101" s="769"/>
      <c r="HCB101" s="769"/>
      <c r="HCC101" s="769"/>
      <c r="HCD101" s="769"/>
      <c r="HCE101" s="769"/>
      <c r="HCF101" s="769"/>
      <c r="HCG101" s="769"/>
      <c r="HCH101" s="769"/>
      <c r="HCI101" s="769"/>
      <c r="HCJ101" s="769"/>
      <c r="HCK101" s="769"/>
      <c r="HCL101" s="769"/>
      <c r="HCM101" s="769"/>
      <c r="HCN101" s="769"/>
      <c r="HCO101" s="769"/>
      <c r="HCP101" s="769"/>
      <c r="HCQ101" s="769"/>
      <c r="HCR101" s="769"/>
      <c r="HCS101" s="769"/>
      <c r="HCT101" s="769"/>
      <c r="HCU101" s="769"/>
      <c r="HCV101" s="769"/>
      <c r="HCW101" s="769"/>
      <c r="HCX101" s="769"/>
      <c r="HCY101" s="769"/>
      <c r="HCZ101" s="769"/>
      <c r="HDA101" s="769"/>
      <c r="HDB101" s="769"/>
      <c r="HDC101" s="769"/>
      <c r="HDD101" s="769"/>
      <c r="HDE101" s="769"/>
      <c r="HDF101" s="769"/>
      <c r="HDG101" s="769"/>
      <c r="HDH101" s="769"/>
      <c r="HDI101" s="769"/>
      <c r="HDJ101" s="769"/>
      <c r="HDK101" s="769"/>
      <c r="HDL101" s="769"/>
      <c r="HDM101" s="769"/>
      <c r="HDN101" s="769"/>
      <c r="HDO101" s="769"/>
      <c r="HDP101" s="769"/>
      <c r="HDQ101" s="769"/>
      <c r="HDR101" s="769"/>
      <c r="HDS101" s="769"/>
      <c r="HDT101" s="769"/>
      <c r="HDU101" s="769"/>
      <c r="HDV101" s="769"/>
      <c r="HDW101" s="769"/>
      <c r="HDX101" s="769"/>
      <c r="HDY101" s="769"/>
      <c r="HDZ101" s="769"/>
      <c r="HEA101" s="769"/>
      <c r="HEB101" s="769"/>
      <c r="HEC101" s="769"/>
      <c r="HED101" s="769"/>
      <c r="HEE101" s="769"/>
      <c r="HEF101" s="769"/>
      <c r="HEG101" s="769"/>
      <c r="HEH101" s="769"/>
      <c r="HEI101" s="769"/>
      <c r="HEJ101" s="769"/>
      <c r="HEK101" s="769"/>
      <c r="HEL101" s="769"/>
      <c r="HEM101" s="769"/>
      <c r="HEN101" s="769"/>
      <c r="HEO101" s="769"/>
      <c r="HEP101" s="769"/>
      <c r="HEQ101" s="769"/>
      <c r="HER101" s="769"/>
      <c r="HES101" s="769"/>
      <c r="HET101" s="769"/>
      <c r="HEU101" s="769"/>
      <c r="HEV101" s="769"/>
      <c r="HEW101" s="769"/>
      <c r="HEX101" s="769"/>
      <c r="HEY101" s="769"/>
      <c r="HEZ101" s="769"/>
      <c r="HFA101" s="769"/>
      <c r="HFB101" s="769"/>
      <c r="HFC101" s="769"/>
      <c r="HFD101" s="769"/>
      <c r="HFE101" s="769"/>
      <c r="HFF101" s="769"/>
      <c r="HFG101" s="769"/>
      <c r="HFH101" s="769"/>
      <c r="HFI101" s="769"/>
      <c r="HFJ101" s="769"/>
      <c r="HFK101" s="769"/>
      <c r="HFL101" s="769"/>
      <c r="HFM101" s="769"/>
      <c r="HFN101" s="769"/>
      <c r="HFO101" s="769"/>
      <c r="HFP101" s="769"/>
      <c r="HFQ101" s="769"/>
      <c r="HFR101" s="769"/>
      <c r="HFS101" s="769"/>
      <c r="HFT101" s="769"/>
      <c r="HFU101" s="769"/>
      <c r="HFV101" s="769"/>
      <c r="HFW101" s="769"/>
      <c r="HFX101" s="769"/>
      <c r="HFY101" s="769"/>
      <c r="HFZ101" s="769"/>
      <c r="HGA101" s="769"/>
      <c r="HGB101" s="769"/>
      <c r="HGC101" s="769"/>
      <c r="HGD101" s="769"/>
      <c r="HGE101" s="769"/>
      <c r="HGF101" s="769"/>
      <c r="HGG101" s="769"/>
      <c r="HGH101" s="769"/>
      <c r="HGI101" s="769"/>
      <c r="HGJ101" s="769"/>
      <c r="HGK101" s="769"/>
      <c r="HGL101" s="769"/>
      <c r="HGM101" s="769"/>
      <c r="HGN101" s="769"/>
      <c r="HGO101" s="769"/>
      <c r="HGP101" s="769"/>
      <c r="HGQ101" s="769"/>
      <c r="HGR101" s="769"/>
      <c r="HGS101" s="769"/>
      <c r="HGT101" s="769"/>
      <c r="HGU101" s="769"/>
      <c r="HGV101" s="769"/>
      <c r="HGW101" s="769"/>
      <c r="HGX101" s="769"/>
      <c r="HGY101" s="769"/>
      <c r="HGZ101" s="769"/>
      <c r="HHA101" s="769"/>
      <c r="HHB101" s="769"/>
      <c r="HHC101" s="769"/>
      <c r="HHD101" s="769"/>
      <c r="HHE101" s="769"/>
      <c r="HHF101" s="769"/>
      <c r="HHG101" s="769"/>
      <c r="HHH101" s="769"/>
      <c r="HHI101" s="769"/>
      <c r="HHJ101" s="769"/>
      <c r="HHK101" s="769"/>
      <c r="HHL101" s="769"/>
      <c r="HHM101" s="769"/>
      <c r="HHN101" s="769"/>
      <c r="HHO101" s="769"/>
      <c r="HHP101" s="769"/>
      <c r="HHQ101" s="769"/>
      <c r="HHR101" s="769"/>
      <c r="HHS101" s="769"/>
      <c r="HHT101" s="769"/>
      <c r="HHU101" s="769"/>
      <c r="HHV101" s="769"/>
      <c r="HHW101" s="769"/>
      <c r="HHX101" s="769"/>
      <c r="HHY101" s="769"/>
      <c r="HHZ101" s="769"/>
      <c r="HIA101" s="769"/>
      <c r="HIB101" s="769"/>
      <c r="HIC101" s="769"/>
      <c r="HID101" s="769"/>
      <c r="HIE101" s="769"/>
      <c r="HIF101" s="769"/>
      <c r="HIG101" s="769"/>
      <c r="HIH101" s="769"/>
      <c r="HII101" s="769"/>
      <c r="HIJ101" s="769"/>
      <c r="HIK101" s="769"/>
      <c r="HIL101" s="769"/>
      <c r="HIM101" s="769"/>
      <c r="HIN101" s="769"/>
      <c r="HIO101" s="769"/>
      <c r="HIP101" s="769"/>
      <c r="HIQ101" s="769"/>
      <c r="HIR101" s="769"/>
      <c r="HIS101" s="769"/>
      <c r="HIT101" s="769"/>
      <c r="HIU101" s="769"/>
      <c r="HIV101" s="769"/>
      <c r="HIW101" s="769"/>
      <c r="HIX101" s="769"/>
      <c r="HIY101" s="769"/>
      <c r="HIZ101" s="769"/>
      <c r="HJA101" s="769"/>
      <c r="HJB101" s="769"/>
      <c r="HJC101" s="769"/>
      <c r="HJD101" s="769"/>
      <c r="HJE101" s="769"/>
      <c r="HJF101" s="769"/>
      <c r="HJG101" s="769"/>
      <c r="HJH101" s="769"/>
      <c r="HJI101" s="769"/>
      <c r="HJJ101" s="769"/>
      <c r="HJK101" s="769"/>
      <c r="HJL101" s="769"/>
      <c r="HJM101" s="769"/>
      <c r="HJN101" s="769"/>
      <c r="HJO101" s="769"/>
      <c r="HJP101" s="769"/>
      <c r="HJQ101" s="769"/>
      <c r="HJR101" s="769"/>
      <c r="HJS101" s="769"/>
      <c r="HJT101" s="769"/>
      <c r="HJU101" s="769"/>
      <c r="HJV101" s="769"/>
      <c r="HJW101" s="769"/>
      <c r="HJX101" s="769"/>
      <c r="HJY101" s="769"/>
      <c r="HJZ101" s="769"/>
      <c r="HKA101" s="769"/>
      <c r="HKB101" s="769"/>
      <c r="HKC101" s="769"/>
      <c r="HKD101" s="769"/>
      <c r="HKE101" s="769"/>
      <c r="HKF101" s="769"/>
      <c r="HKG101" s="769"/>
      <c r="HKH101" s="769"/>
      <c r="HKI101" s="769"/>
      <c r="HKJ101" s="769"/>
      <c r="HKK101" s="769"/>
      <c r="HKL101" s="769"/>
      <c r="HKM101" s="769"/>
      <c r="HKN101" s="769"/>
      <c r="HKO101" s="769"/>
      <c r="HKP101" s="769"/>
      <c r="HKQ101" s="769"/>
      <c r="HKR101" s="769"/>
      <c r="HKS101" s="769"/>
      <c r="HKT101" s="769"/>
      <c r="HKU101" s="769"/>
      <c r="HKV101" s="769"/>
      <c r="HKW101" s="769"/>
      <c r="HKX101" s="769"/>
      <c r="HKY101" s="769"/>
      <c r="HKZ101" s="769"/>
      <c r="HLA101" s="769"/>
      <c r="HLB101" s="769"/>
      <c r="HLC101" s="769"/>
      <c r="HLD101" s="769"/>
      <c r="HLE101" s="769"/>
      <c r="HLF101" s="769"/>
      <c r="HLG101" s="769"/>
      <c r="HLH101" s="769"/>
      <c r="HLI101" s="769"/>
      <c r="HLJ101" s="769"/>
      <c r="HLK101" s="769"/>
      <c r="HLL101" s="769"/>
      <c r="HLM101" s="769"/>
      <c r="HLN101" s="769"/>
      <c r="HLO101" s="769"/>
      <c r="HLP101" s="769"/>
      <c r="HLQ101" s="769"/>
      <c r="HLR101" s="769"/>
      <c r="HLS101" s="769"/>
      <c r="HLT101" s="769"/>
      <c r="HLU101" s="769"/>
      <c r="HLV101" s="769"/>
      <c r="HLW101" s="769"/>
      <c r="HLX101" s="769"/>
      <c r="HLY101" s="769"/>
      <c r="HLZ101" s="769"/>
      <c r="HMA101" s="769"/>
      <c r="HMB101" s="769"/>
      <c r="HMC101" s="769"/>
      <c r="HMD101" s="769"/>
      <c r="HME101" s="769"/>
      <c r="HMF101" s="769"/>
      <c r="HMG101" s="769"/>
      <c r="HMH101" s="769"/>
      <c r="HMI101" s="769"/>
      <c r="HMJ101" s="769"/>
      <c r="HMK101" s="769"/>
      <c r="HML101" s="769"/>
      <c r="HMM101" s="769"/>
      <c r="HMN101" s="769"/>
      <c r="HMO101" s="769"/>
      <c r="HMP101" s="769"/>
      <c r="HMQ101" s="769"/>
      <c r="HMR101" s="769"/>
      <c r="HMS101" s="769"/>
      <c r="HMT101" s="769"/>
      <c r="HMU101" s="769"/>
      <c r="HMV101" s="769"/>
      <c r="HMW101" s="769"/>
      <c r="HMX101" s="769"/>
      <c r="HMY101" s="769"/>
      <c r="HMZ101" s="769"/>
      <c r="HNA101" s="769"/>
      <c r="HNB101" s="769"/>
      <c r="HNC101" s="769"/>
      <c r="HND101" s="769"/>
      <c r="HNE101" s="769"/>
      <c r="HNF101" s="769"/>
      <c r="HNG101" s="769"/>
      <c r="HNH101" s="769"/>
      <c r="HNI101" s="769"/>
      <c r="HNJ101" s="769"/>
      <c r="HNK101" s="769"/>
      <c r="HNL101" s="769"/>
      <c r="HNM101" s="769"/>
      <c r="HNN101" s="769"/>
      <c r="HNO101" s="769"/>
      <c r="HNP101" s="769"/>
      <c r="HNQ101" s="769"/>
      <c r="HNR101" s="769"/>
      <c r="HNS101" s="769"/>
      <c r="HNT101" s="769"/>
      <c r="HNU101" s="769"/>
      <c r="HNV101" s="769"/>
      <c r="HNW101" s="769"/>
      <c r="HNX101" s="769"/>
      <c r="HNY101" s="769"/>
      <c r="HNZ101" s="769"/>
      <c r="HOA101" s="769"/>
      <c r="HOB101" s="769"/>
      <c r="HOC101" s="769"/>
      <c r="HOD101" s="769"/>
      <c r="HOE101" s="769"/>
      <c r="HOF101" s="769"/>
      <c r="HOG101" s="769"/>
      <c r="HOH101" s="769"/>
      <c r="HOI101" s="769"/>
      <c r="HOJ101" s="769"/>
      <c r="HOK101" s="769"/>
      <c r="HOL101" s="769"/>
      <c r="HOM101" s="769"/>
      <c r="HON101" s="769"/>
      <c r="HOO101" s="769"/>
      <c r="HOP101" s="769"/>
      <c r="HOQ101" s="769"/>
      <c r="HOR101" s="769"/>
      <c r="HOS101" s="769"/>
      <c r="HOT101" s="769"/>
      <c r="HOU101" s="769"/>
      <c r="HOV101" s="769"/>
      <c r="HOW101" s="769"/>
      <c r="HOX101" s="769"/>
      <c r="HOY101" s="769"/>
      <c r="HOZ101" s="769"/>
      <c r="HPA101" s="769"/>
      <c r="HPB101" s="769"/>
      <c r="HPC101" s="769"/>
      <c r="HPD101" s="769"/>
      <c r="HPE101" s="769"/>
      <c r="HPF101" s="769"/>
      <c r="HPG101" s="769"/>
      <c r="HPH101" s="769"/>
      <c r="HPI101" s="769"/>
      <c r="HPJ101" s="769"/>
      <c r="HPK101" s="769"/>
      <c r="HPL101" s="769"/>
      <c r="HPM101" s="769"/>
      <c r="HPN101" s="769"/>
      <c r="HPO101" s="769"/>
      <c r="HPP101" s="769"/>
      <c r="HPQ101" s="769"/>
      <c r="HPR101" s="769"/>
      <c r="HPS101" s="769"/>
      <c r="HPT101" s="769"/>
      <c r="HPU101" s="769"/>
      <c r="HPV101" s="769"/>
      <c r="HPW101" s="769"/>
      <c r="HPX101" s="769"/>
      <c r="HPY101" s="769"/>
      <c r="HPZ101" s="769"/>
      <c r="HQA101" s="769"/>
      <c r="HQB101" s="769"/>
      <c r="HQC101" s="769"/>
      <c r="HQD101" s="769"/>
      <c r="HQE101" s="769"/>
      <c r="HQF101" s="769"/>
      <c r="HQG101" s="769"/>
      <c r="HQH101" s="769"/>
      <c r="HQI101" s="769"/>
      <c r="HQJ101" s="769"/>
      <c r="HQK101" s="769"/>
      <c r="HQL101" s="769"/>
      <c r="HQM101" s="769"/>
      <c r="HQN101" s="769"/>
      <c r="HQO101" s="769"/>
      <c r="HQP101" s="769"/>
      <c r="HQQ101" s="769"/>
      <c r="HQR101" s="769"/>
      <c r="HQS101" s="769"/>
      <c r="HQT101" s="769"/>
      <c r="HQU101" s="769"/>
      <c r="HQV101" s="769"/>
      <c r="HQW101" s="769"/>
      <c r="HQX101" s="769"/>
      <c r="HQY101" s="769"/>
      <c r="HQZ101" s="769"/>
      <c r="HRA101" s="769"/>
      <c r="HRB101" s="769"/>
      <c r="HRC101" s="769"/>
      <c r="HRD101" s="769"/>
      <c r="HRE101" s="769"/>
      <c r="HRF101" s="769"/>
      <c r="HRG101" s="769"/>
      <c r="HRH101" s="769"/>
      <c r="HRI101" s="769"/>
      <c r="HRJ101" s="769"/>
      <c r="HRK101" s="769"/>
      <c r="HRL101" s="769"/>
      <c r="HRM101" s="769"/>
      <c r="HRN101" s="769"/>
      <c r="HRO101" s="769"/>
      <c r="HRP101" s="769"/>
      <c r="HRQ101" s="769"/>
      <c r="HRR101" s="769"/>
      <c r="HRS101" s="769"/>
      <c r="HRT101" s="769"/>
      <c r="HRU101" s="769"/>
      <c r="HRV101" s="769"/>
      <c r="HRW101" s="769"/>
      <c r="HRX101" s="769"/>
      <c r="HRY101" s="769"/>
      <c r="HRZ101" s="769"/>
      <c r="HSA101" s="769"/>
      <c r="HSB101" s="769"/>
      <c r="HSC101" s="769"/>
      <c r="HSD101" s="769"/>
      <c r="HSE101" s="769"/>
      <c r="HSF101" s="769"/>
      <c r="HSG101" s="769"/>
      <c r="HSH101" s="769"/>
      <c r="HSI101" s="769"/>
      <c r="HSJ101" s="769"/>
      <c r="HSK101" s="769"/>
      <c r="HSL101" s="769"/>
      <c r="HSM101" s="769"/>
      <c r="HSN101" s="769"/>
      <c r="HSO101" s="769"/>
      <c r="HSP101" s="769"/>
      <c r="HSQ101" s="769"/>
      <c r="HSR101" s="769"/>
      <c r="HSS101" s="769"/>
      <c r="HST101" s="769"/>
      <c r="HSU101" s="769"/>
      <c r="HSV101" s="769"/>
      <c r="HSW101" s="769"/>
      <c r="HSX101" s="769"/>
      <c r="HSY101" s="769"/>
      <c r="HSZ101" s="769"/>
      <c r="HTA101" s="769"/>
      <c r="HTB101" s="769"/>
      <c r="HTC101" s="769"/>
      <c r="HTD101" s="769"/>
      <c r="HTE101" s="769"/>
      <c r="HTF101" s="769"/>
      <c r="HTG101" s="769"/>
      <c r="HTH101" s="769"/>
      <c r="HTI101" s="769"/>
      <c r="HTJ101" s="769"/>
      <c r="HTK101" s="769"/>
      <c r="HTL101" s="769"/>
      <c r="HTM101" s="769"/>
      <c r="HTN101" s="769"/>
      <c r="HTO101" s="769"/>
      <c r="HTP101" s="769"/>
      <c r="HTQ101" s="769"/>
      <c r="HTR101" s="769"/>
      <c r="HTS101" s="769"/>
      <c r="HTT101" s="769"/>
      <c r="HTU101" s="769"/>
      <c r="HTV101" s="769"/>
      <c r="HTW101" s="769"/>
      <c r="HTX101" s="769"/>
      <c r="HTY101" s="769"/>
      <c r="HTZ101" s="769"/>
      <c r="HUA101" s="769"/>
      <c r="HUB101" s="769"/>
      <c r="HUC101" s="769"/>
      <c r="HUD101" s="769"/>
      <c r="HUE101" s="769"/>
      <c r="HUF101" s="769"/>
      <c r="HUG101" s="769"/>
      <c r="HUH101" s="769"/>
      <c r="HUI101" s="769"/>
      <c r="HUJ101" s="769"/>
      <c r="HUK101" s="769"/>
      <c r="HUL101" s="769"/>
      <c r="HUM101" s="769"/>
      <c r="HUN101" s="769"/>
      <c r="HUO101" s="769"/>
      <c r="HUP101" s="769"/>
      <c r="HUQ101" s="769"/>
      <c r="HUR101" s="769"/>
      <c r="HUS101" s="769"/>
      <c r="HUT101" s="769"/>
      <c r="HUU101" s="769"/>
      <c r="HUV101" s="769"/>
      <c r="HUW101" s="769"/>
      <c r="HUX101" s="769"/>
      <c r="HUY101" s="769"/>
      <c r="HUZ101" s="769"/>
      <c r="HVA101" s="769"/>
      <c r="HVB101" s="769"/>
      <c r="HVC101" s="769"/>
      <c r="HVD101" s="769"/>
      <c r="HVE101" s="769"/>
      <c r="HVF101" s="769"/>
      <c r="HVG101" s="769"/>
      <c r="HVH101" s="769"/>
      <c r="HVI101" s="769"/>
      <c r="HVJ101" s="769"/>
      <c r="HVK101" s="769"/>
      <c r="HVL101" s="769"/>
      <c r="HVM101" s="769"/>
      <c r="HVN101" s="769"/>
      <c r="HVO101" s="769"/>
      <c r="HVP101" s="769"/>
      <c r="HVQ101" s="769"/>
      <c r="HVR101" s="769"/>
      <c r="HVS101" s="769"/>
      <c r="HVT101" s="769"/>
      <c r="HVU101" s="769"/>
      <c r="HVV101" s="769"/>
      <c r="HVW101" s="769"/>
      <c r="HVX101" s="769"/>
      <c r="HVY101" s="769"/>
      <c r="HVZ101" s="769"/>
      <c r="HWA101" s="769"/>
      <c r="HWB101" s="769"/>
      <c r="HWC101" s="769"/>
      <c r="HWD101" s="769"/>
      <c r="HWE101" s="769"/>
      <c r="HWF101" s="769"/>
      <c r="HWG101" s="769"/>
      <c r="HWH101" s="769"/>
      <c r="HWI101" s="769"/>
      <c r="HWJ101" s="769"/>
      <c r="HWK101" s="769"/>
      <c r="HWL101" s="769"/>
      <c r="HWM101" s="769"/>
      <c r="HWN101" s="769"/>
      <c r="HWO101" s="769"/>
      <c r="HWP101" s="769"/>
      <c r="HWQ101" s="769"/>
      <c r="HWR101" s="769"/>
      <c r="HWS101" s="769"/>
      <c r="HWT101" s="769"/>
      <c r="HWU101" s="769"/>
      <c r="HWV101" s="769"/>
      <c r="HWW101" s="769"/>
      <c r="HWX101" s="769"/>
      <c r="HWY101" s="769"/>
      <c r="HWZ101" s="769"/>
      <c r="HXA101" s="769"/>
      <c r="HXB101" s="769"/>
      <c r="HXC101" s="769"/>
      <c r="HXD101" s="769"/>
      <c r="HXE101" s="769"/>
      <c r="HXF101" s="769"/>
      <c r="HXG101" s="769"/>
      <c r="HXH101" s="769"/>
      <c r="HXI101" s="769"/>
      <c r="HXJ101" s="769"/>
      <c r="HXK101" s="769"/>
      <c r="HXL101" s="769"/>
      <c r="HXM101" s="769"/>
      <c r="HXN101" s="769"/>
      <c r="HXO101" s="769"/>
      <c r="HXP101" s="769"/>
      <c r="HXQ101" s="769"/>
      <c r="HXR101" s="769"/>
      <c r="HXS101" s="769"/>
      <c r="HXT101" s="769"/>
      <c r="HXU101" s="769"/>
      <c r="HXV101" s="769"/>
      <c r="HXW101" s="769"/>
      <c r="HXX101" s="769"/>
      <c r="HXY101" s="769"/>
      <c r="HXZ101" s="769"/>
      <c r="HYA101" s="769"/>
      <c r="HYB101" s="769"/>
      <c r="HYC101" s="769"/>
      <c r="HYD101" s="769"/>
      <c r="HYE101" s="769"/>
      <c r="HYF101" s="769"/>
      <c r="HYG101" s="769"/>
      <c r="HYH101" s="769"/>
      <c r="HYI101" s="769"/>
      <c r="HYJ101" s="769"/>
      <c r="HYK101" s="769"/>
      <c r="HYL101" s="769"/>
      <c r="HYM101" s="769"/>
      <c r="HYN101" s="769"/>
      <c r="HYO101" s="769"/>
      <c r="HYP101" s="769"/>
      <c r="HYQ101" s="769"/>
      <c r="HYR101" s="769"/>
      <c r="HYS101" s="769"/>
      <c r="HYT101" s="769"/>
      <c r="HYU101" s="769"/>
      <c r="HYV101" s="769"/>
      <c r="HYW101" s="769"/>
      <c r="HYX101" s="769"/>
      <c r="HYY101" s="769"/>
      <c r="HYZ101" s="769"/>
      <c r="HZA101" s="769"/>
      <c r="HZB101" s="769"/>
      <c r="HZC101" s="769"/>
      <c r="HZD101" s="769"/>
      <c r="HZE101" s="769"/>
      <c r="HZF101" s="769"/>
      <c r="HZG101" s="769"/>
      <c r="HZH101" s="769"/>
      <c r="HZI101" s="769"/>
      <c r="HZJ101" s="769"/>
      <c r="HZK101" s="769"/>
      <c r="HZL101" s="769"/>
      <c r="HZM101" s="769"/>
      <c r="HZN101" s="769"/>
      <c r="HZO101" s="769"/>
      <c r="HZP101" s="769"/>
      <c r="HZQ101" s="769"/>
      <c r="HZR101" s="769"/>
      <c r="HZS101" s="769"/>
      <c r="HZT101" s="769"/>
      <c r="HZU101" s="769"/>
      <c r="HZV101" s="769"/>
      <c r="HZW101" s="769"/>
      <c r="HZX101" s="769"/>
      <c r="HZY101" s="769"/>
      <c r="HZZ101" s="769"/>
      <c r="IAA101" s="769"/>
      <c r="IAB101" s="769"/>
      <c r="IAC101" s="769"/>
      <c r="IAD101" s="769"/>
      <c r="IAE101" s="769"/>
      <c r="IAF101" s="769"/>
      <c r="IAG101" s="769"/>
      <c r="IAH101" s="769"/>
      <c r="IAI101" s="769"/>
      <c r="IAJ101" s="769"/>
      <c r="IAK101" s="769"/>
      <c r="IAL101" s="769"/>
      <c r="IAM101" s="769"/>
      <c r="IAN101" s="769"/>
      <c r="IAO101" s="769"/>
      <c r="IAP101" s="769"/>
      <c r="IAQ101" s="769"/>
      <c r="IAR101" s="769"/>
      <c r="IAS101" s="769"/>
      <c r="IAT101" s="769"/>
      <c r="IAU101" s="769"/>
      <c r="IAV101" s="769"/>
      <c r="IAW101" s="769"/>
      <c r="IAX101" s="769"/>
      <c r="IAY101" s="769"/>
      <c r="IAZ101" s="769"/>
      <c r="IBA101" s="769"/>
      <c r="IBB101" s="769"/>
      <c r="IBC101" s="769"/>
      <c r="IBD101" s="769"/>
      <c r="IBE101" s="769"/>
      <c r="IBF101" s="769"/>
      <c r="IBG101" s="769"/>
      <c r="IBH101" s="769"/>
      <c r="IBI101" s="769"/>
      <c r="IBJ101" s="769"/>
      <c r="IBK101" s="769"/>
      <c r="IBL101" s="769"/>
      <c r="IBM101" s="769"/>
      <c r="IBN101" s="769"/>
      <c r="IBO101" s="769"/>
      <c r="IBP101" s="769"/>
      <c r="IBQ101" s="769"/>
      <c r="IBR101" s="769"/>
      <c r="IBS101" s="769"/>
      <c r="IBT101" s="769"/>
      <c r="IBU101" s="769"/>
      <c r="IBV101" s="769"/>
      <c r="IBW101" s="769"/>
      <c r="IBX101" s="769"/>
      <c r="IBY101" s="769"/>
      <c r="IBZ101" s="769"/>
      <c r="ICA101" s="769"/>
      <c r="ICB101" s="769"/>
      <c r="ICC101" s="769"/>
      <c r="ICD101" s="769"/>
      <c r="ICE101" s="769"/>
      <c r="ICF101" s="769"/>
      <c r="ICG101" s="769"/>
      <c r="ICH101" s="769"/>
      <c r="ICI101" s="769"/>
      <c r="ICJ101" s="769"/>
      <c r="ICK101" s="769"/>
      <c r="ICL101" s="769"/>
      <c r="ICM101" s="769"/>
      <c r="ICN101" s="769"/>
      <c r="ICO101" s="769"/>
      <c r="ICP101" s="769"/>
      <c r="ICQ101" s="769"/>
      <c r="ICR101" s="769"/>
      <c r="ICS101" s="769"/>
      <c r="ICT101" s="769"/>
      <c r="ICU101" s="769"/>
      <c r="ICV101" s="769"/>
      <c r="ICW101" s="769"/>
      <c r="ICX101" s="769"/>
      <c r="ICY101" s="769"/>
      <c r="ICZ101" s="769"/>
      <c r="IDA101" s="769"/>
      <c r="IDB101" s="769"/>
      <c r="IDC101" s="769"/>
      <c r="IDD101" s="769"/>
      <c r="IDE101" s="769"/>
      <c r="IDF101" s="769"/>
      <c r="IDG101" s="769"/>
      <c r="IDH101" s="769"/>
      <c r="IDI101" s="769"/>
      <c r="IDJ101" s="769"/>
      <c r="IDK101" s="769"/>
      <c r="IDL101" s="769"/>
      <c r="IDM101" s="769"/>
      <c r="IDN101" s="769"/>
      <c r="IDO101" s="769"/>
      <c r="IDP101" s="769"/>
      <c r="IDQ101" s="769"/>
      <c r="IDR101" s="769"/>
      <c r="IDS101" s="769"/>
      <c r="IDT101" s="769"/>
      <c r="IDU101" s="769"/>
      <c r="IDV101" s="769"/>
      <c r="IDW101" s="769"/>
      <c r="IDX101" s="769"/>
      <c r="IDY101" s="769"/>
      <c r="IDZ101" s="769"/>
      <c r="IEA101" s="769"/>
      <c r="IEB101" s="769"/>
      <c r="IEC101" s="769"/>
      <c r="IED101" s="769"/>
      <c r="IEE101" s="769"/>
      <c r="IEF101" s="769"/>
      <c r="IEG101" s="769"/>
      <c r="IEH101" s="769"/>
      <c r="IEI101" s="769"/>
      <c r="IEJ101" s="769"/>
      <c r="IEK101" s="769"/>
      <c r="IEL101" s="769"/>
      <c r="IEM101" s="769"/>
      <c r="IEN101" s="769"/>
      <c r="IEO101" s="769"/>
      <c r="IEP101" s="769"/>
      <c r="IEQ101" s="769"/>
      <c r="IER101" s="769"/>
      <c r="IES101" s="769"/>
      <c r="IET101" s="769"/>
      <c r="IEU101" s="769"/>
      <c r="IEV101" s="769"/>
      <c r="IEW101" s="769"/>
      <c r="IEX101" s="769"/>
      <c r="IEY101" s="769"/>
      <c r="IEZ101" s="769"/>
      <c r="IFA101" s="769"/>
      <c r="IFB101" s="769"/>
      <c r="IFC101" s="769"/>
      <c r="IFD101" s="769"/>
      <c r="IFE101" s="769"/>
      <c r="IFF101" s="769"/>
      <c r="IFG101" s="769"/>
      <c r="IFH101" s="769"/>
      <c r="IFI101" s="769"/>
      <c r="IFJ101" s="769"/>
      <c r="IFK101" s="769"/>
      <c r="IFL101" s="769"/>
      <c r="IFM101" s="769"/>
      <c r="IFN101" s="769"/>
      <c r="IFO101" s="769"/>
      <c r="IFP101" s="769"/>
      <c r="IFQ101" s="769"/>
      <c r="IFR101" s="769"/>
      <c r="IFS101" s="769"/>
      <c r="IFT101" s="769"/>
      <c r="IFU101" s="769"/>
      <c r="IFV101" s="769"/>
      <c r="IFW101" s="769"/>
      <c r="IFX101" s="769"/>
      <c r="IFY101" s="769"/>
      <c r="IFZ101" s="769"/>
      <c r="IGA101" s="769"/>
      <c r="IGB101" s="769"/>
      <c r="IGC101" s="769"/>
      <c r="IGD101" s="769"/>
      <c r="IGE101" s="769"/>
      <c r="IGF101" s="769"/>
      <c r="IGG101" s="769"/>
      <c r="IGH101" s="769"/>
      <c r="IGI101" s="769"/>
      <c r="IGJ101" s="769"/>
      <c r="IGK101" s="769"/>
      <c r="IGL101" s="769"/>
      <c r="IGM101" s="769"/>
      <c r="IGN101" s="769"/>
      <c r="IGO101" s="769"/>
      <c r="IGP101" s="769"/>
      <c r="IGQ101" s="769"/>
      <c r="IGR101" s="769"/>
      <c r="IGS101" s="769"/>
      <c r="IGT101" s="769"/>
      <c r="IGU101" s="769"/>
      <c r="IGV101" s="769"/>
      <c r="IGW101" s="769"/>
      <c r="IGX101" s="769"/>
      <c r="IGY101" s="769"/>
      <c r="IGZ101" s="769"/>
      <c r="IHA101" s="769"/>
      <c r="IHB101" s="769"/>
      <c r="IHC101" s="769"/>
      <c r="IHD101" s="769"/>
      <c r="IHE101" s="769"/>
      <c r="IHF101" s="769"/>
      <c r="IHG101" s="769"/>
      <c r="IHH101" s="769"/>
      <c r="IHI101" s="769"/>
      <c r="IHJ101" s="769"/>
      <c r="IHK101" s="769"/>
      <c r="IHL101" s="769"/>
      <c r="IHM101" s="769"/>
      <c r="IHN101" s="769"/>
      <c r="IHO101" s="769"/>
      <c r="IHP101" s="769"/>
      <c r="IHQ101" s="769"/>
      <c r="IHR101" s="769"/>
      <c r="IHS101" s="769"/>
      <c r="IHT101" s="769"/>
      <c r="IHU101" s="769"/>
      <c r="IHV101" s="769"/>
      <c r="IHW101" s="769"/>
      <c r="IHX101" s="769"/>
      <c r="IHY101" s="769"/>
      <c r="IHZ101" s="769"/>
      <c r="IIA101" s="769"/>
      <c r="IIB101" s="769"/>
      <c r="IIC101" s="769"/>
      <c r="IID101" s="769"/>
      <c r="IIE101" s="769"/>
      <c r="IIF101" s="769"/>
      <c r="IIG101" s="769"/>
      <c r="IIH101" s="769"/>
      <c r="III101" s="769"/>
      <c r="IIJ101" s="769"/>
      <c r="IIK101" s="769"/>
      <c r="IIL101" s="769"/>
      <c r="IIM101" s="769"/>
      <c r="IIN101" s="769"/>
      <c r="IIO101" s="769"/>
      <c r="IIP101" s="769"/>
      <c r="IIQ101" s="769"/>
      <c r="IIR101" s="769"/>
      <c r="IIS101" s="769"/>
      <c r="IIT101" s="769"/>
      <c r="IIU101" s="769"/>
      <c r="IIV101" s="769"/>
      <c r="IIW101" s="769"/>
      <c r="IIX101" s="769"/>
      <c r="IIY101" s="769"/>
      <c r="IIZ101" s="769"/>
      <c r="IJA101" s="769"/>
      <c r="IJB101" s="769"/>
      <c r="IJC101" s="769"/>
      <c r="IJD101" s="769"/>
      <c r="IJE101" s="769"/>
      <c r="IJF101" s="769"/>
      <c r="IJG101" s="769"/>
      <c r="IJH101" s="769"/>
      <c r="IJI101" s="769"/>
      <c r="IJJ101" s="769"/>
      <c r="IJK101" s="769"/>
      <c r="IJL101" s="769"/>
      <c r="IJM101" s="769"/>
      <c r="IJN101" s="769"/>
      <c r="IJO101" s="769"/>
      <c r="IJP101" s="769"/>
      <c r="IJQ101" s="769"/>
      <c r="IJR101" s="769"/>
      <c r="IJS101" s="769"/>
      <c r="IJT101" s="769"/>
      <c r="IJU101" s="769"/>
      <c r="IJV101" s="769"/>
      <c r="IJW101" s="769"/>
      <c r="IJX101" s="769"/>
      <c r="IJY101" s="769"/>
      <c r="IJZ101" s="769"/>
      <c r="IKA101" s="769"/>
      <c r="IKB101" s="769"/>
      <c r="IKC101" s="769"/>
      <c r="IKD101" s="769"/>
      <c r="IKE101" s="769"/>
      <c r="IKF101" s="769"/>
      <c r="IKG101" s="769"/>
      <c r="IKH101" s="769"/>
      <c r="IKI101" s="769"/>
      <c r="IKJ101" s="769"/>
      <c r="IKK101" s="769"/>
      <c r="IKL101" s="769"/>
      <c r="IKM101" s="769"/>
      <c r="IKN101" s="769"/>
      <c r="IKO101" s="769"/>
      <c r="IKP101" s="769"/>
      <c r="IKQ101" s="769"/>
      <c r="IKR101" s="769"/>
      <c r="IKS101" s="769"/>
      <c r="IKT101" s="769"/>
      <c r="IKU101" s="769"/>
      <c r="IKV101" s="769"/>
      <c r="IKW101" s="769"/>
      <c r="IKX101" s="769"/>
      <c r="IKY101" s="769"/>
      <c r="IKZ101" s="769"/>
      <c r="ILA101" s="769"/>
      <c r="ILB101" s="769"/>
      <c r="ILC101" s="769"/>
      <c r="ILD101" s="769"/>
      <c r="ILE101" s="769"/>
      <c r="ILF101" s="769"/>
      <c r="ILG101" s="769"/>
      <c r="ILH101" s="769"/>
      <c r="ILI101" s="769"/>
      <c r="ILJ101" s="769"/>
      <c r="ILK101" s="769"/>
      <c r="ILL101" s="769"/>
      <c r="ILM101" s="769"/>
      <c r="ILN101" s="769"/>
      <c r="ILO101" s="769"/>
      <c r="ILP101" s="769"/>
      <c r="ILQ101" s="769"/>
      <c r="ILR101" s="769"/>
      <c r="ILS101" s="769"/>
      <c r="ILT101" s="769"/>
      <c r="ILU101" s="769"/>
      <c r="ILV101" s="769"/>
      <c r="ILW101" s="769"/>
      <c r="ILX101" s="769"/>
      <c r="ILY101" s="769"/>
      <c r="ILZ101" s="769"/>
      <c r="IMA101" s="769"/>
      <c r="IMB101" s="769"/>
      <c r="IMC101" s="769"/>
      <c r="IMD101" s="769"/>
      <c r="IME101" s="769"/>
      <c r="IMF101" s="769"/>
      <c r="IMG101" s="769"/>
      <c r="IMH101" s="769"/>
      <c r="IMI101" s="769"/>
      <c r="IMJ101" s="769"/>
      <c r="IMK101" s="769"/>
      <c r="IML101" s="769"/>
      <c r="IMM101" s="769"/>
      <c r="IMN101" s="769"/>
      <c r="IMO101" s="769"/>
      <c r="IMP101" s="769"/>
      <c r="IMQ101" s="769"/>
      <c r="IMR101" s="769"/>
      <c r="IMS101" s="769"/>
      <c r="IMT101" s="769"/>
      <c r="IMU101" s="769"/>
      <c r="IMV101" s="769"/>
      <c r="IMW101" s="769"/>
      <c r="IMX101" s="769"/>
      <c r="IMY101" s="769"/>
      <c r="IMZ101" s="769"/>
      <c r="INA101" s="769"/>
      <c r="INB101" s="769"/>
      <c r="INC101" s="769"/>
      <c r="IND101" s="769"/>
      <c r="INE101" s="769"/>
      <c r="INF101" s="769"/>
      <c r="ING101" s="769"/>
      <c r="INH101" s="769"/>
      <c r="INI101" s="769"/>
      <c r="INJ101" s="769"/>
      <c r="INK101" s="769"/>
      <c r="INL101" s="769"/>
      <c r="INM101" s="769"/>
      <c r="INN101" s="769"/>
      <c r="INO101" s="769"/>
      <c r="INP101" s="769"/>
      <c r="INQ101" s="769"/>
      <c r="INR101" s="769"/>
      <c r="INS101" s="769"/>
      <c r="INT101" s="769"/>
      <c r="INU101" s="769"/>
      <c r="INV101" s="769"/>
      <c r="INW101" s="769"/>
      <c r="INX101" s="769"/>
      <c r="INY101" s="769"/>
      <c r="INZ101" s="769"/>
      <c r="IOA101" s="769"/>
      <c r="IOB101" s="769"/>
      <c r="IOC101" s="769"/>
      <c r="IOD101" s="769"/>
      <c r="IOE101" s="769"/>
      <c r="IOF101" s="769"/>
      <c r="IOG101" s="769"/>
      <c r="IOH101" s="769"/>
      <c r="IOI101" s="769"/>
      <c r="IOJ101" s="769"/>
      <c r="IOK101" s="769"/>
      <c r="IOL101" s="769"/>
      <c r="IOM101" s="769"/>
      <c r="ION101" s="769"/>
      <c r="IOO101" s="769"/>
      <c r="IOP101" s="769"/>
      <c r="IOQ101" s="769"/>
      <c r="IOR101" s="769"/>
      <c r="IOS101" s="769"/>
      <c r="IOT101" s="769"/>
      <c r="IOU101" s="769"/>
      <c r="IOV101" s="769"/>
      <c r="IOW101" s="769"/>
      <c r="IOX101" s="769"/>
      <c r="IOY101" s="769"/>
      <c r="IOZ101" s="769"/>
      <c r="IPA101" s="769"/>
      <c r="IPB101" s="769"/>
      <c r="IPC101" s="769"/>
      <c r="IPD101" s="769"/>
      <c r="IPE101" s="769"/>
      <c r="IPF101" s="769"/>
      <c r="IPG101" s="769"/>
      <c r="IPH101" s="769"/>
      <c r="IPI101" s="769"/>
      <c r="IPJ101" s="769"/>
      <c r="IPK101" s="769"/>
      <c r="IPL101" s="769"/>
      <c r="IPM101" s="769"/>
      <c r="IPN101" s="769"/>
      <c r="IPO101" s="769"/>
      <c r="IPP101" s="769"/>
      <c r="IPQ101" s="769"/>
      <c r="IPR101" s="769"/>
      <c r="IPS101" s="769"/>
      <c r="IPT101" s="769"/>
      <c r="IPU101" s="769"/>
      <c r="IPV101" s="769"/>
      <c r="IPW101" s="769"/>
      <c r="IPX101" s="769"/>
      <c r="IPY101" s="769"/>
      <c r="IPZ101" s="769"/>
      <c r="IQA101" s="769"/>
      <c r="IQB101" s="769"/>
      <c r="IQC101" s="769"/>
      <c r="IQD101" s="769"/>
      <c r="IQE101" s="769"/>
      <c r="IQF101" s="769"/>
      <c r="IQG101" s="769"/>
      <c r="IQH101" s="769"/>
      <c r="IQI101" s="769"/>
      <c r="IQJ101" s="769"/>
      <c r="IQK101" s="769"/>
      <c r="IQL101" s="769"/>
      <c r="IQM101" s="769"/>
      <c r="IQN101" s="769"/>
      <c r="IQO101" s="769"/>
      <c r="IQP101" s="769"/>
      <c r="IQQ101" s="769"/>
      <c r="IQR101" s="769"/>
      <c r="IQS101" s="769"/>
      <c r="IQT101" s="769"/>
      <c r="IQU101" s="769"/>
      <c r="IQV101" s="769"/>
      <c r="IQW101" s="769"/>
      <c r="IQX101" s="769"/>
      <c r="IQY101" s="769"/>
      <c r="IQZ101" s="769"/>
      <c r="IRA101" s="769"/>
      <c r="IRB101" s="769"/>
      <c r="IRC101" s="769"/>
      <c r="IRD101" s="769"/>
      <c r="IRE101" s="769"/>
      <c r="IRF101" s="769"/>
      <c r="IRG101" s="769"/>
      <c r="IRH101" s="769"/>
      <c r="IRI101" s="769"/>
      <c r="IRJ101" s="769"/>
      <c r="IRK101" s="769"/>
      <c r="IRL101" s="769"/>
      <c r="IRM101" s="769"/>
      <c r="IRN101" s="769"/>
      <c r="IRO101" s="769"/>
      <c r="IRP101" s="769"/>
      <c r="IRQ101" s="769"/>
      <c r="IRR101" s="769"/>
      <c r="IRS101" s="769"/>
      <c r="IRT101" s="769"/>
      <c r="IRU101" s="769"/>
      <c r="IRV101" s="769"/>
      <c r="IRW101" s="769"/>
      <c r="IRX101" s="769"/>
      <c r="IRY101" s="769"/>
      <c r="IRZ101" s="769"/>
      <c r="ISA101" s="769"/>
      <c r="ISB101" s="769"/>
      <c r="ISC101" s="769"/>
      <c r="ISD101" s="769"/>
      <c r="ISE101" s="769"/>
      <c r="ISF101" s="769"/>
      <c r="ISG101" s="769"/>
      <c r="ISH101" s="769"/>
      <c r="ISI101" s="769"/>
      <c r="ISJ101" s="769"/>
      <c r="ISK101" s="769"/>
      <c r="ISL101" s="769"/>
      <c r="ISM101" s="769"/>
      <c r="ISN101" s="769"/>
      <c r="ISO101" s="769"/>
      <c r="ISP101" s="769"/>
      <c r="ISQ101" s="769"/>
      <c r="ISR101" s="769"/>
      <c r="ISS101" s="769"/>
      <c r="IST101" s="769"/>
      <c r="ISU101" s="769"/>
      <c r="ISV101" s="769"/>
      <c r="ISW101" s="769"/>
      <c r="ISX101" s="769"/>
      <c r="ISY101" s="769"/>
      <c r="ISZ101" s="769"/>
      <c r="ITA101" s="769"/>
      <c r="ITB101" s="769"/>
      <c r="ITC101" s="769"/>
      <c r="ITD101" s="769"/>
      <c r="ITE101" s="769"/>
      <c r="ITF101" s="769"/>
      <c r="ITG101" s="769"/>
      <c r="ITH101" s="769"/>
      <c r="ITI101" s="769"/>
      <c r="ITJ101" s="769"/>
      <c r="ITK101" s="769"/>
      <c r="ITL101" s="769"/>
      <c r="ITM101" s="769"/>
      <c r="ITN101" s="769"/>
      <c r="ITO101" s="769"/>
      <c r="ITP101" s="769"/>
      <c r="ITQ101" s="769"/>
      <c r="ITR101" s="769"/>
      <c r="ITS101" s="769"/>
      <c r="ITT101" s="769"/>
      <c r="ITU101" s="769"/>
      <c r="ITV101" s="769"/>
      <c r="ITW101" s="769"/>
      <c r="ITX101" s="769"/>
      <c r="ITY101" s="769"/>
      <c r="ITZ101" s="769"/>
      <c r="IUA101" s="769"/>
      <c r="IUB101" s="769"/>
      <c r="IUC101" s="769"/>
      <c r="IUD101" s="769"/>
      <c r="IUE101" s="769"/>
      <c r="IUF101" s="769"/>
      <c r="IUG101" s="769"/>
      <c r="IUH101" s="769"/>
      <c r="IUI101" s="769"/>
      <c r="IUJ101" s="769"/>
      <c r="IUK101" s="769"/>
      <c r="IUL101" s="769"/>
      <c r="IUM101" s="769"/>
      <c r="IUN101" s="769"/>
      <c r="IUO101" s="769"/>
      <c r="IUP101" s="769"/>
      <c r="IUQ101" s="769"/>
      <c r="IUR101" s="769"/>
      <c r="IUS101" s="769"/>
      <c r="IUT101" s="769"/>
      <c r="IUU101" s="769"/>
      <c r="IUV101" s="769"/>
      <c r="IUW101" s="769"/>
      <c r="IUX101" s="769"/>
      <c r="IUY101" s="769"/>
      <c r="IUZ101" s="769"/>
      <c r="IVA101" s="769"/>
      <c r="IVB101" s="769"/>
      <c r="IVC101" s="769"/>
      <c r="IVD101" s="769"/>
      <c r="IVE101" s="769"/>
      <c r="IVF101" s="769"/>
      <c r="IVG101" s="769"/>
      <c r="IVH101" s="769"/>
      <c r="IVI101" s="769"/>
      <c r="IVJ101" s="769"/>
      <c r="IVK101" s="769"/>
      <c r="IVL101" s="769"/>
      <c r="IVM101" s="769"/>
      <c r="IVN101" s="769"/>
      <c r="IVO101" s="769"/>
      <c r="IVP101" s="769"/>
      <c r="IVQ101" s="769"/>
      <c r="IVR101" s="769"/>
      <c r="IVS101" s="769"/>
      <c r="IVT101" s="769"/>
      <c r="IVU101" s="769"/>
      <c r="IVV101" s="769"/>
      <c r="IVW101" s="769"/>
      <c r="IVX101" s="769"/>
      <c r="IVY101" s="769"/>
      <c r="IVZ101" s="769"/>
      <c r="IWA101" s="769"/>
      <c r="IWB101" s="769"/>
      <c r="IWC101" s="769"/>
      <c r="IWD101" s="769"/>
      <c r="IWE101" s="769"/>
      <c r="IWF101" s="769"/>
      <c r="IWG101" s="769"/>
      <c r="IWH101" s="769"/>
      <c r="IWI101" s="769"/>
      <c r="IWJ101" s="769"/>
      <c r="IWK101" s="769"/>
      <c r="IWL101" s="769"/>
      <c r="IWM101" s="769"/>
      <c r="IWN101" s="769"/>
      <c r="IWO101" s="769"/>
      <c r="IWP101" s="769"/>
      <c r="IWQ101" s="769"/>
      <c r="IWR101" s="769"/>
      <c r="IWS101" s="769"/>
      <c r="IWT101" s="769"/>
      <c r="IWU101" s="769"/>
      <c r="IWV101" s="769"/>
      <c r="IWW101" s="769"/>
      <c r="IWX101" s="769"/>
      <c r="IWY101" s="769"/>
      <c r="IWZ101" s="769"/>
      <c r="IXA101" s="769"/>
      <c r="IXB101" s="769"/>
      <c r="IXC101" s="769"/>
      <c r="IXD101" s="769"/>
      <c r="IXE101" s="769"/>
      <c r="IXF101" s="769"/>
      <c r="IXG101" s="769"/>
      <c r="IXH101" s="769"/>
      <c r="IXI101" s="769"/>
      <c r="IXJ101" s="769"/>
      <c r="IXK101" s="769"/>
      <c r="IXL101" s="769"/>
      <c r="IXM101" s="769"/>
      <c r="IXN101" s="769"/>
      <c r="IXO101" s="769"/>
      <c r="IXP101" s="769"/>
      <c r="IXQ101" s="769"/>
      <c r="IXR101" s="769"/>
      <c r="IXS101" s="769"/>
      <c r="IXT101" s="769"/>
      <c r="IXU101" s="769"/>
      <c r="IXV101" s="769"/>
      <c r="IXW101" s="769"/>
      <c r="IXX101" s="769"/>
      <c r="IXY101" s="769"/>
      <c r="IXZ101" s="769"/>
      <c r="IYA101" s="769"/>
      <c r="IYB101" s="769"/>
      <c r="IYC101" s="769"/>
      <c r="IYD101" s="769"/>
      <c r="IYE101" s="769"/>
      <c r="IYF101" s="769"/>
      <c r="IYG101" s="769"/>
      <c r="IYH101" s="769"/>
      <c r="IYI101" s="769"/>
      <c r="IYJ101" s="769"/>
      <c r="IYK101" s="769"/>
      <c r="IYL101" s="769"/>
      <c r="IYM101" s="769"/>
      <c r="IYN101" s="769"/>
      <c r="IYO101" s="769"/>
      <c r="IYP101" s="769"/>
      <c r="IYQ101" s="769"/>
      <c r="IYR101" s="769"/>
      <c r="IYS101" s="769"/>
      <c r="IYT101" s="769"/>
      <c r="IYU101" s="769"/>
      <c r="IYV101" s="769"/>
      <c r="IYW101" s="769"/>
      <c r="IYX101" s="769"/>
      <c r="IYY101" s="769"/>
      <c r="IYZ101" s="769"/>
      <c r="IZA101" s="769"/>
      <c r="IZB101" s="769"/>
      <c r="IZC101" s="769"/>
      <c r="IZD101" s="769"/>
      <c r="IZE101" s="769"/>
      <c r="IZF101" s="769"/>
      <c r="IZG101" s="769"/>
      <c r="IZH101" s="769"/>
      <c r="IZI101" s="769"/>
      <c r="IZJ101" s="769"/>
      <c r="IZK101" s="769"/>
      <c r="IZL101" s="769"/>
      <c r="IZM101" s="769"/>
      <c r="IZN101" s="769"/>
      <c r="IZO101" s="769"/>
      <c r="IZP101" s="769"/>
      <c r="IZQ101" s="769"/>
      <c r="IZR101" s="769"/>
      <c r="IZS101" s="769"/>
      <c r="IZT101" s="769"/>
      <c r="IZU101" s="769"/>
      <c r="IZV101" s="769"/>
      <c r="IZW101" s="769"/>
      <c r="IZX101" s="769"/>
      <c r="IZY101" s="769"/>
      <c r="IZZ101" s="769"/>
      <c r="JAA101" s="769"/>
      <c r="JAB101" s="769"/>
      <c r="JAC101" s="769"/>
      <c r="JAD101" s="769"/>
      <c r="JAE101" s="769"/>
      <c r="JAF101" s="769"/>
      <c r="JAG101" s="769"/>
      <c r="JAH101" s="769"/>
      <c r="JAI101" s="769"/>
      <c r="JAJ101" s="769"/>
      <c r="JAK101" s="769"/>
      <c r="JAL101" s="769"/>
      <c r="JAM101" s="769"/>
      <c r="JAN101" s="769"/>
      <c r="JAO101" s="769"/>
      <c r="JAP101" s="769"/>
      <c r="JAQ101" s="769"/>
      <c r="JAR101" s="769"/>
      <c r="JAS101" s="769"/>
      <c r="JAT101" s="769"/>
      <c r="JAU101" s="769"/>
      <c r="JAV101" s="769"/>
      <c r="JAW101" s="769"/>
      <c r="JAX101" s="769"/>
      <c r="JAY101" s="769"/>
      <c r="JAZ101" s="769"/>
      <c r="JBA101" s="769"/>
      <c r="JBB101" s="769"/>
      <c r="JBC101" s="769"/>
      <c r="JBD101" s="769"/>
      <c r="JBE101" s="769"/>
      <c r="JBF101" s="769"/>
      <c r="JBG101" s="769"/>
      <c r="JBH101" s="769"/>
      <c r="JBI101" s="769"/>
      <c r="JBJ101" s="769"/>
      <c r="JBK101" s="769"/>
      <c r="JBL101" s="769"/>
      <c r="JBM101" s="769"/>
      <c r="JBN101" s="769"/>
      <c r="JBO101" s="769"/>
      <c r="JBP101" s="769"/>
      <c r="JBQ101" s="769"/>
      <c r="JBR101" s="769"/>
      <c r="JBS101" s="769"/>
      <c r="JBT101" s="769"/>
      <c r="JBU101" s="769"/>
      <c r="JBV101" s="769"/>
      <c r="JBW101" s="769"/>
      <c r="JBX101" s="769"/>
      <c r="JBY101" s="769"/>
      <c r="JBZ101" s="769"/>
      <c r="JCA101" s="769"/>
      <c r="JCB101" s="769"/>
      <c r="JCC101" s="769"/>
      <c r="JCD101" s="769"/>
      <c r="JCE101" s="769"/>
      <c r="JCF101" s="769"/>
      <c r="JCG101" s="769"/>
      <c r="JCH101" s="769"/>
      <c r="JCI101" s="769"/>
      <c r="JCJ101" s="769"/>
      <c r="JCK101" s="769"/>
      <c r="JCL101" s="769"/>
      <c r="JCM101" s="769"/>
      <c r="JCN101" s="769"/>
      <c r="JCO101" s="769"/>
      <c r="JCP101" s="769"/>
      <c r="JCQ101" s="769"/>
      <c r="JCR101" s="769"/>
      <c r="JCS101" s="769"/>
      <c r="JCT101" s="769"/>
      <c r="JCU101" s="769"/>
      <c r="JCV101" s="769"/>
      <c r="JCW101" s="769"/>
      <c r="JCX101" s="769"/>
      <c r="JCY101" s="769"/>
      <c r="JCZ101" s="769"/>
      <c r="JDA101" s="769"/>
      <c r="JDB101" s="769"/>
      <c r="JDC101" s="769"/>
      <c r="JDD101" s="769"/>
      <c r="JDE101" s="769"/>
      <c r="JDF101" s="769"/>
      <c r="JDG101" s="769"/>
      <c r="JDH101" s="769"/>
      <c r="JDI101" s="769"/>
      <c r="JDJ101" s="769"/>
      <c r="JDK101" s="769"/>
      <c r="JDL101" s="769"/>
      <c r="JDM101" s="769"/>
      <c r="JDN101" s="769"/>
      <c r="JDO101" s="769"/>
      <c r="JDP101" s="769"/>
      <c r="JDQ101" s="769"/>
      <c r="JDR101" s="769"/>
      <c r="JDS101" s="769"/>
      <c r="JDT101" s="769"/>
      <c r="JDU101" s="769"/>
      <c r="JDV101" s="769"/>
      <c r="JDW101" s="769"/>
      <c r="JDX101" s="769"/>
      <c r="JDY101" s="769"/>
      <c r="JDZ101" s="769"/>
      <c r="JEA101" s="769"/>
      <c r="JEB101" s="769"/>
      <c r="JEC101" s="769"/>
      <c r="JED101" s="769"/>
      <c r="JEE101" s="769"/>
      <c r="JEF101" s="769"/>
      <c r="JEG101" s="769"/>
      <c r="JEH101" s="769"/>
      <c r="JEI101" s="769"/>
      <c r="JEJ101" s="769"/>
      <c r="JEK101" s="769"/>
      <c r="JEL101" s="769"/>
      <c r="JEM101" s="769"/>
      <c r="JEN101" s="769"/>
      <c r="JEO101" s="769"/>
      <c r="JEP101" s="769"/>
      <c r="JEQ101" s="769"/>
      <c r="JER101" s="769"/>
      <c r="JES101" s="769"/>
      <c r="JET101" s="769"/>
      <c r="JEU101" s="769"/>
      <c r="JEV101" s="769"/>
      <c r="JEW101" s="769"/>
      <c r="JEX101" s="769"/>
      <c r="JEY101" s="769"/>
      <c r="JEZ101" s="769"/>
      <c r="JFA101" s="769"/>
      <c r="JFB101" s="769"/>
      <c r="JFC101" s="769"/>
      <c r="JFD101" s="769"/>
      <c r="JFE101" s="769"/>
      <c r="JFF101" s="769"/>
      <c r="JFG101" s="769"/>
      <c r="JFH101" s="769"/>
      <c r="JFI101" s="769"/>
      <c r="JFJ101" s="769"/>
      <c r="JFK101" s="769"/>
      <c r="JFL101" s="769"/>
      <c r="JFM101" s="769"/>
      <c r="JFN101" s="769"/>
      <c r="JFO101" s="769"/>
      <c r="JFP101" s="769"/>
      <c r="JFQ101" s="769"/>
      <c r="JFR101" s="769"/>
      <c r="JFS101" s="769"/>
      <c r="JFT101" s="769"/>
      <c r="JFU101" s="769"/>
      <c r="JFV101" s="769"/>
      <c r="JFW101" s="769"/>
      <c r="JFX101" s="769"/>
      <c r="JFY101" s="769"/>
      <c r="JFZ101" s="769"/>
      <c r="JGA101" s="769"/>
      <c r="JGB101" s="769"/>
      <c r="JGC101" s="769"/>
      <c r="JGD101" s="769"/>
      <c r="JGE101" s="769"/>
      <c r="JGF101" s="769"/>
      <c r="JGG101" s="769"/>
      <c r="JGH101" s="769"/>
      <c r="JGI101" s="769"/>
      <c r="JGJ101" s="769"/>
      <c r="JGK101" s="769"/>
      <c r="JGL101" s="769"/>
      <c r="JGM101" s="769"/>
      <c r="JGN101" s="769"/>
      <c r="JGO101" s="769"/>
      <c r="JGP101" s="769"/>
      <c r="JGQ101" s="769"/>
      <c r="JGR101" s="769"/>
      <c r="JGS101" s="769"/>
      <c r="JGT101" s="769"/>
      <c r="JGU101" s="769"/>
      <c r="JGV101" s="769"/>
      <c r="JGW101" s="769"/>
      <c r="JGX101" s="769"/>
      <c r="JGY101" s="769"/>
      <c r="JGZ101" s="769"/>
      <c r="JHA101" s="769"/>
      <c r="JHB101" s="769"/>
      <c r="JHC101" s="769"/>
      <c r="JHD101" s="769"/>
      <c r="JHE101" s="769"/>
      <c r="JHF101" s="769"/>
      <c r="JHG101" s="769"/>
      <c r="JHH101" s="769"/>
      <c r="JHI101" s="769"/>
      <c r="JHJ101" s="769"/>
      <c r="JHK101" s="769"/>
      <c r="JHL101" s="769"/>
      <c r="JHM101" s="769"/>
      <c r="JHN101" s="769"/>
      <c r="JHO101" s="769"/>
      <c r="JHP101" s="769"/>
      <c r="JHQ101" s="769"/>
      <c r="JHR101" s="769"/>
      <c r="JHS101" s="769"/>
      <c r="JHT101" s="769"/>
      <c r="JHU101" s="769"/>
      <c r="JHV101" s="769"/>
      <c r="JHW101" s="769"/>
      <c r="JHX101" s="769"/>
      <c r="JHY101" s="769"/>
      <c r="JHZ101" s="769"/>
      <c r="JIA101" s="769"/>
      <c r="JIB101" s="769"/>
      <c r="JIC101" s="769"/>
      <c r="JID101" s="769"/>
      <c r="JIE101" s="769"/>
      <c r="JIF101" s="769"/>
      <c r="JIG101" s="769"/>
      <c r="JIH101" s="769"/>
      <c r="JII101" s="769"/>
      <c r="JIJ101" s="769"/>
      <c r="JIK101" s="769"/>
      <c r="JIL101" s="769"/>
      <c r="JIM101" s="769"/>
      <c r="JIN101" s="769"/>
      <c r="JIO101" s="769"/>
      <c r="JIP101" s="769"/>
      <c r="JIQ101" s="769"/>
      <c r="JIR101" s="769"/>
      <c r="JIS101" s="769"/>
      <c r="JIT101" s="769"/>
      <c r="JIU101" s="769"/>
      <c r="JIV101" s="769"/>
      <c r="JIW101" s="769"/>
      <c r="JIX101" s="769"/>
      <c r="JIY101" s="769"/>
      <c r="JIZ101" s="769"/>
      <c r="JJA101" s="769"/>
      <c r="JJB101" s="769"/>
      <c r="JJC101" s="769"/>
      <c r="JJD101" s="769"/>
      <c r="JJE101" s="769"/>
      <c r="JJF101" s="769"/>
      <c r="JJG101" s="769"/>
      <c r="JJH101" s="769"/>
      <c r="JJI101" s="769"/>
      <c r="JJJ101" s="769"/>
      <c r="JJK101" s="769"/>
      <c r="JJL101" s="769"/>
      <c r="JJM101" s="769"/>
      <c r="JJN101" s="769"/>
      <c r="JJO101" s="769"/>
      <c r="JJP101" s="769"/>
      <c r="JJQ101" s="769"/>
      <c r="JJR101" s="769"/>
      <c r="JJS101" s="769"/>
      <c r="JJT101" s="769"/>
      <c r="JJU101" s="769"/>
      <c r="JJV101" s="769"/>
      <c r="JJW101" s="769"/>
      <c r="JJX101" s="769"/>
      <c r="JJY101" s="769"/>
      <c r="JJZ101" s="769"/>
      <c r="JKA101" s="769"/>
      <c r="JKB101" s="769"/>
      <c r="JKC101" s="769"/>
      <c r="JKD101" s="769"/>
      <c r="JKE101" s="769"/>
      <c r="JKF101" s="769"/>
      <c r="JKG101" s="769"/>
      <c r="JKH101" s="769"/>
      <c r="JKI101" s="769"/>
      <c r="JKJ101" s="769"/>
      <c r="JKK101" s="769"/>
      <c r="JKL101" s="769"/>
      <c r="JKM101" s="769"/>
      <c r="JKN101" s="769"/>
      <c r="JKO101" s="769"/>
      <c r="JKP101" s="769"/>
      <c r="JKQ101" s="769"/>
      <c r="JKR101" s="769"/>
      <c r="JKS101" s="769"/>
      <c r="JKT101" s="769"/>
      <c r="JKU101" s="769"/>
      <c r="JKV101" s="769"/>
      <c r="JKW101" s="769"/>
      <c r="JKX101" s="769"/>
      <c r="JKY101" s="769"/>
      <c r="JKZ101" s="769"/>
      <c r="JLA101" s="769"/>
      <c r="JLB101" s="769"/>
      <c r="JLC101" s="769"/>
      <c r="JLD101" s="769"/>
      <c r="JLE101" s="769"/>
      <c r="JLF101" s="769"/>
      <c r="JLG101" s="769"/>
      <c r="JLH101" s="769"/>
      <c r="JLI101" s="769"/>
      <c r="JLJ101" s="769"/>
      <c r="JLK101" s="769"/>
      <c r="JLL101" s="769"/>
      <c r="JLM101" s="769"/>
      <c r="JLN101" s="769"/>
      <c r="JLO101" s="769"/>
      <c r="JLP101" s="769"/>
      <c r="JLQ101" s="769"/>
      <c r="JLR101" s="769"/>
      <c r="JLS101" s="769"/>
      <c r="JLT101" s="769"/>
      <c r="JLU101" s="769"/>
      <c r="JLV101" s="769"/>
      <c r="JLW101" s="769"/>
      <c r="JLX101" s="769"/>
      <c r="JLY101" s="769"/>
      <c r="JLZ101" s="769"/>
      <c r="JMA101" s="769"/>
      <c r="JMB101" s="769"/>
      <c r="JMC101" s="769"/>
      <c r="JMD101" s="769"/>
      <c r="JME101" s="769"/>
      <c r="JMF101" s="769"/>
      <c r="JMG101" s="769"/>
      <c r="JMH101" s="769"/>
      <c r="JMI101" s="769"/>
      <c r="JMJ101" s="769"/>
      <c r="JMK101" s="769"/>
      <c r="JML101" s="769"/>
      <c r="JMM101" s="769"/>
      <c r="JMN101" s="769"/>
      <c r="JMO101" s="769"/>
      <c r="JMP101" s="769"/>
      <c r="JMQ101" s="769"/>
      <c r="JMR101" s="769"/>
      <c r="JMS101" s="769"/>
      <c r="JMT101" s="769"/>
      <c r="JMU101" s="769"/>
      <c r="JMV101" s="769"/>
      <c r="JMW101" s="769"/>
      <c r="JMX101" s="769"/>
      <c r="JMY101" s="769"/>
      <c r="JMZ101" s="769"/>
      <c r="JNA101" s="769"/>
      <c r="JNB101" s="769"/>
      <c r="JNC101" s="769"/>
      <c r="JND101" s="769"/>
      <c r="JNE101" s="769"/>
      <c r="JNF101" s="769"/>
      <c r="JNG101" s="769"/>
      <c r="JNH101" s="769"/>
      <c r="JNI101" s="769"/>
      <c r="JNJ101" s="769"/>
      <c r="JNK101" s="769"/>
      <c r="JNL101" s="769"/>
      <c r="JNM101" s="769"/>
      <c r="JNN101" s="769"/>
      <c r="JNO101" s="769"/>
      <c r="JNP101" s="769"/>
      <c r="JNQ101" s="769"/>
      <c r="JNR101" s="769"/>
      <c r="JNS101" s="769"/>
      <c r="JNT101" s="769"/>
      <c r="JNU101" s="769"/>
      <c r="JNV101" s="769"/>
      <c r="JNW101" s="769"/>
      <c r="JNX101" s="769"/>
      <c r="JNY101" s="769"/>
      <c r="JNZ101" s="769"/>
      <c r="JOA101" s="769"/>
      <c r="JOB101" s="769"/>
      <c r="JOC101" s="769"/>
      <c r="JOD101" s="769"/>
      <c r="JOE101" s="769"/>
      <c r="JOF101" s="769"/>
      <c r="JOG101" s="769"/>
      <c r="JOH101" s="769"/>
      <c r="JOI101" s="769"/>
      <c r="JOJ101" s="769"/>
      <c r="JOK101" s="769"/>
      <c r="JOL101" s="769"/>
      <c r="JOM101" s="769"/>
      <c r="JON101" s="769"/>
      <c r="JOO101" s="769"/>
      <c r="JOP101" s="769"/>
      <c r="JOQ101" s="769"/>
      <c r="JOR101" s="769"/>
      <c r="JOS101" s="769"/>
      <c r="JOT101" s="769"/>
      <c r="JOU101" s="769"/>
      <c r="JOV101" s="769"/>
      <c r="JOW101" s="769"/>
      <c r="JOX101" s="769"/>
      <c r="JOY101" s="769"/>
      <c r="JOZ101" s="769"/>
      <c r="JPA101" s="769"/>
      <c r="JPB101" s="769"/>
      <c r="JPC101" s="769"/>
      <c r="JPD101" s="769"/>
      <c r="JPE101" s="769"/>
      <c r="JPF101" s="769"/>
      <c r="JPG101" s="769"/>
      <c r="JPH101" s="769"/>
      <c r="JPI101" s="769"/>
      <c r="JPJ101" s="769"/>
      <c r="JPK101" s="769"/>
      <c r="JPL101" s="769"/>
      <c r="JPM101" s="769"/>
      <c r="JPN101" s="769"/>
      <c r="JPO101" s="769"/>
      <c r="JPP101" s="769"/>
      <c r="JPQ101" s="769"/>
      <c r="JPR101" s="769"/>
      <c r="JPS101" s="769"/>
      <c r="JPT101" s="769"/>
      <c r="JPU101" s="769"/>
      <c r="JPV101" s="769"/>
      <c r="JPW101" s="769"/>
      <c r="JPX101" s="769"/>
      <c r="JPY101" s="769"/>
      <c r="JPZ101" s="769"/>
      <c r="JQA101" s="769"/>
      <c r="JQB101" s="769"/>
      <c r="JQC101" s="769"/>
      <c r="JQD101" s="769"/>
      <c r="JQE101" s="769"/>
      <c r="JQF101" s="769"/>
      <c r="JQG101" s="769"/>
      <c r="JQH101" s="769"/>
      <c r="JQI101" s="769"/>
      <c r="JQJ101" s="769"/>
      <c r="JQK101" s="769"/>
      <c r="JQL101" s="769"/>
      <c r="JQM101" s="769"/>
      <c r="JQN101" s="769"/>
      <c r="JQO101" s="769"/>
      <c r="JQP101" s="769"/>
      <c r="JQQ101" s="769"/>
      <c r="JQR101" s="769"/>
      <c r="JQS101" s="769"/>
      <c r="JQT101" s="769"/>
      <c r="JQU101" s="769"/>
      <c r="JQV101" s="769"/>
      <c r="JQW101" s="769"/>
      <c r="JQX101" s="769"/>
      <c r="JQY101" s="769"/>
      <c r="JQZ101" s="769"/>
      <c r="JRA101" s="769"/>
      <c r="JRB101" s="769"/>
      <c r="JRC101" s="769"/>
      <c r="JRD101" s="769"/>
      <c r="JRE101" s="769"/>
      <c r="JRF101" s="769"/>
      <c r="JRG101" s="769"/>
      <c r="JRH101" s="769"/>
      <c r="JRI101" s="769"/>
      <c r="JRJ101" s="769"/>
      <c r="JRK101" s="769"/>
      <c r="JRL101" s="769"/>
      <c r="JRM101" s="769"/>
      <c r="JRN101" s="769"/>
      <c r="JRO101" s="769"/>
      <c r="JRP101" s="769"/>
      <c r="JRQ101" s="769"/>
      <c r="JRR101" s="769"/>
      <c r="JRS101" s="769"/>
      <c r="JRT101" s="769"/>
      <c r="JRU101" s="769"/>
      <c r="JRV101" s="769"/>
      <c r="JRW101" s="769"/>
      <c r="JRX101" s="769"/>
      <c r="JRY101" s="769"/>
      <c r="JRZ101" s="769"/>
      <c r="JSA101" s="769"/>
      <c r="JSB101" s="769"/>
      <c r="JSC101" s="769"/>
      <c r="JSD101" s="769"/>
      <c r="JSE101" s="769"/>
      <c r="JSF101" s="769"/>
      <c r="JSG101" s="769"/>
      <c r="JSH101" s="769"/>
      <c r="JSI101" s="769"/>
      <c r="JSJ101" s="769"/>
      <c r="JSK101" s="769"/>
      <c r="JSL101" s="769"/>
      <c r="JSM101" s="769"/>
      <c r="JSN101" s="769"/>
      <c r="JSO101" s="769"/>
      <c r="JSP101" s="769"/>
      <c r="JSQ101" s="769"/>
      <c r="JSR101" s="769"/>
      <c r="JSS101" s="769"/>
      <c r="JST101" s="769"/>
      <c r="JSU101" s="769"/>
      <c r="JSV101" s="769"/>
      <c r="JSW101" s="769"/>
      <c r="JSX101" s="769"/>
      <c r="JSY101" s="769"/>
      <c r="JSZ101" s="769"/>
      <c r="JTA101" s="769"/>
      <c r="JTB101" s="769"/>
      <c r="JTC101" s="769"/>
      <c r="JTD101" s="769"/>
      <c r="JTE101" s="769"/>
      <c r="JTF101" s="769"/>
      <c r="JTG101" s="769"/>
      <c r="JTH101" s="769"/>
      <c r="JTI101" s="769"/>
      <c r="JTJ101" s="769"/>
      <c r="JTK101" s="769"/>
      <c r="JTL101" s="769"/>
      <c r="JTM101" s="769"/>
      <c r="JTN101" s="769"/>
      <c r="JTO101" s="769"/>
      <c r="JTP101" s="769"/>
      <c r="JTQ101" s="769"/>
      <c r="JTR101" s="769"/>
      <c r="JTS101" s="769"/>
      <c r="JTT101" s="769"/>
      <c r="JTU101" s="769"/>
      <c r="JTV101" s="769"/>
      <c r="JTW101" s="769"/>
      <c r="JTX101" s="769"/>
      <c r="JTY101" s="769"/>
      <c r="JTZ101" s="769"/>
      <c r="JUA101" s="769"/>
      <c r="JUB101" s="769"/>
      <c r="JUC101" s="769"/>
      <c r="JUD101" s="769"/>
      <c r="JUE101" s="769"/>
      <c r="JUF101" s="769"/>
      <c r="JUG101" s="769"/>
      <c r="JUH101" s="769"/>
      <c r="JUI101" s="769"/>
      <c r="JUJ101" s="769"/>
      <c r="JUK101" s="769"/>
      <c r="JUL101" s="769"/>
      <c r="JUM101" s="769"/>
      <c r="JUN101" s="769"/>
      <c r="JUO101" s="769"/>
      <c r="JUP101" s="769"/>
      <c r="JUQ101" s="769"/>
      <c r="JUR101" s="769"/>
      <c r="JUS101" s="769"/>
      <c r="JUT101" s="769"/>
      <c r="JUU101" s="769"/>
      <c r="JUV101" s="769"/>
      <c r="JUW101" s="769"/>
      <c r="JUX101" s="769"/>
      <c r="JUY101" s="769"/>
      <c r="JUZ101" s="769"/>
      <c r="JVA101" s="769"/>
      <c r="JVB101" s="769"/>
      <c r="JVC101" s="769"/>
      <c r="JVD101" s="769"/>
      <c r="JVE101" s="769"/>
      <c r="JVF101" s="769"/>
      <c r="JVG101" s="769"/>
      <c r="JVH101" s="769"/>
      <c r="JVI101" s="769"/>
      <c r="JVJ101" s="769"/>
      <c r="JVK101" s="769"/>
      <c r="JVL101" s="769"/>
      <c r="JVM101" s="769"/>
      <c r="JVN101" s="769"/>
      <c r="JVO101" s="769"/>
      <c r="JVP101" s="769"/>
      <c r="JVQ101" s="769"/>
      <c r="JVR101" s="769"/>
      <c r="JVS101" s="769"/>
      <c r="JVT101" s="769"/>
      <c r="JVU101" s="769"/>
      <c r="JVV101" s="769"/>
      <c r="JVW101" s="769"/>
      <c r="JVX101" s="769"/>
      <c r="JVY101" s="769"/>
      <c r="JVZ101" s="769"/>
      <c r="JWA101" s="769"/>
      <c r="JWB101" s="769"/>
      <c r="JWC101" s="769"/>
      <c r="JWD101" s="769"/>
      <c r="JWE101" s="769"/>
      <c r="JWF101" s="769"/>
      <c r="JWG101" s="769"/>
      <c r="JWH101" s="769"/>
      <c r="JWI101" s="769"/>
      <c r="JWJ101" s="769"/>
      <c r="JWK101" s="769"/>
      <c r="JWL101" s="769"/>
      <c r="JWM101" s="769"/>
      <c r="JWN101" s="769"/>
      <c r="JWO101" s="769"/>
      <c r="JWP101" s="769"/>
      <c r="JWQ101" s="769"/>
      <c r="JWR101" s="769"/>
      <c r="JWS101" s="769"/>
      <c r="JWT101" s="769"/>
      <c r="JWU101" s="769"/>
      <c r="JWV101" s="769"/>
      <c r="JWW101" s="769"/>
      <c r="JWX101" s="769"/>
      <c r="JWY101" s="769"/>
      <c r="JWZ101" s="769"/>
      <c r="JXA101" s="769"/>
      <c r="JXB101" s="769"/>
      <c r="JXC101" s="769"/>
      <c r="JXD101" s="769"/>
      <c r="JXE101" s="769"/>
      <c r="JXF101" s="769"/>
      <c r="JXG101" s="769"/>
      <c r="JXH101" s="769"/>
      <c r="JXI101" s="769"/>
      <c r="JXJ101" s="769"/>
      <c r="JXK101" s="769"/>
      <c r="JXL101" s="769"/>
      <c r="JXM101" s="769"/>
      <c r="JXN101" s="769"/>
      <c r="JXO101" s="769"/>
      <c r="JXP101" s="769"/>
      <c r="JXQ101" s="769"/>
      <c r="JXR101" s="769"/>
      <c r="JXS101" s="769"/>
      <c r="JXT101" s="769"/>
      <c r="JXU101" s="769"/>
      <c r="JXV101" s="769"/>
      <c r="JXW101" s="769"/>
      <c r="JXX101" s="769"/>
      <c r="JXY101" s="769"/>
      <c r="JXZ101" s="769"/>
      <c r="JYA101" s="769"/>
      <c r="JYB101" s="769"/>
      <c r="JYC101" s="769"/>
      <c r="JYD101" s="769"/>
      <c r="JYE101" s="769"/>
      <c r="JYF101" s="769"/>
      <c r="JYG101" s="769"/>
      <c r="JYH101" s="769"/>
      <c r="JYI101" s="769"/>
      <c r="JYJ101" s="769"/>
      <c r="JYK101" s="769"/>
      <c r="JYL101" s="769"/>
      <c r="JYM101" s="769"/>
      <c r="JYN101" s="769"/>
      <c r="JYO101" s="769"/>
      <c r="JYP101" s="769"/>
      <c r="JYQ101" s="769"/>
      <c r="JYR101" s="769"/>
      <c r="JYS101" s="769"/>
      <c r="JYT101" s="769"/>
      <c r="JYU101" s="769"/>
      <c r="JYV101" s="769"/>
      <c r="JYW101" s="769"/>
      <c r="JYX101" s="769"/>
      <c r="JYY101" s="769"/>
      <c r="JYZ101" s="769"/>
      <c r="JZA101" s="769"/>
      <c r="JZB101" s="769"/>
      <c r="JZC101" s="769"/>
      <c r="JZD101" s="769"/>
      <c r="JZE101" s="769"/>
      <c r="JZF101" s="769"/>
      <c r="JZG101" s="769"/>
      <c r="JZH101" s="769"/>
      <c r="JZI101" s="769"/>
      <c r="JZJ101" s="769"/>
      <c r="JZK101" s="769"/>
      <c r="JZL101" s="769"/>
      <c r="JZM101" s="769"/>
      <c r="JZN101" s="769"/>
      <c r="JZO101" s="769"/>
      <c r="JZP101" s="769"/>
      <c r="JZQ101" s="769"/>
      <c r="JZR101" s="769"/>
      <c r="JZS101" s="769"/>
      <c r="JZT101" s="769"/>
      <c r="JZU101" s="769"/>
      <c r="JZV101" s="769"/>
      <c r="JZW101" s="769"/>
      <c r="JZX101" s="769"/>
      <c r="JZY101" s="769"/>
      <c r="JZZ101" s="769"/>
      <c r="KAA101" s="769"/>
      <c r="KAB101" s="769"/>
      <c r="KAC101" s="769"/>
      <c r="KAD101" s="769"/>
      <c r="KAE101" s="769"/>
      <c r="KAF101" s="769"/>
      <c r="KAG101" s="769"/>
      <c r="KAH101" s="769"/>
      <c r="KAI101" s="769"/>
      <c r="KAJ101" s="769"/>
      <c r="KAK101" s="769"/>
      <c r="KAL101" s="769"/>
      <c r="KAM101" s="769"/>
      <c r="KAN101" s="769"/>
      <c r="KAO101" s="769"/>
      <c r="KAP101" s="769"/>
      <c r="KAQ101" s="769"/>
      <c r="KAR101" s="769"/>
      <c r="KAS101" s="769"/>
      <c r="KAT101" s="769"/>
      <c r="KAU101" s="769"/>
      <c r="KAV101" s="769"/>
      <c r="KAW101" s="769"/>
      <c r="KAX101" s="769"/>
      <c r="KAY101" s="769"/>
      <c r="KAZ101" s="769"/>
      <c r="KBA101" s="769"/>
      <c r="KBB101" s="769"/>
      <c r="KBC101" s="769"/>
      <c r="KBD101" s="769"/>
      <c r="KBE101" s="769"/>
      <c r="KBF101" s="769"/>
      <c r="KBG101" s="769"/>
      <c r="KBH101" s="769"/>
      <c r="KBI101" s="769"/>
      <c r="KBJ101" s="769"/>
      <c r="KBK101" s="769"/>
      <c r="KBL101" s="769"/>
      <c r="KBM101" s="769"/>
      <c r="KBN101" s="769"/>
      <c r="KBO101" s="769"/>
      <c r="KBP101" s="769"/>
      <c r="KBQ101" s="769"/>
      <c r="KBR101" s="769"/>
      <c r="KBS101" s="769"/>
      <c r="KBT101" s="769"/>
      <c r="KBU101" s="769"/>
      <c r="KBV101" s="769"/>
      <c r="KBW101" s="769"/>
      <c r="KBX101" s="769"/>
      <c r="KBY101" s="769"/>
      <c r="KBZ101" s="769"/>
      <c r="KCA101" s="769"/>
      <c r="KCB101" s="769"/>
      <c r="KCC101" s="769"/>
      <c r="KCD101" s="769"/>
      <c r="KCE101" s="769"/>
      <c r="KCF101" s="769"/>
      <c r="KCG101" s="769"/>
      <c r="KCH101" s="769"/>
      <c r="KCI101" s="769"/>
      <c r="KCJ101" s="769"/>
      <c r="KCK101" s="769"/>
      <c r="KCL101" s="769"/>
      <c r="KCM101" s="769"/>
      <c r="KCN101" s="769"/>
      <c r="KCO101" s="769"/>
      <c r="KCP101" s="769"/>
      <c r="KCQ101" s="769"/>
      <c r="KCR101" s="769"/>
      <c r="KCS101" s="769"/>
      <c r="KCT101" s="769"/>
      <c r="KCU101" s="769"/>
      <c r="KCV101" s="769"/>
      <c r="KCW101" s="769"/>
      <c r="KCX101" s="769"/>
      <c r="KCY101" s="769"/>
      <c r="KCZ101" s="769"/>
      <c r="KDA101" s="769"/>
      <c r="KDB101" s="769"/>
      <c r="KDC101" s="769"/>
      <c r="KDD101" s="769"/>
      <c r="KDE101" s="769"/>
      <c r="KDF101" s="769"/>
      <c r="KDG101" s="769"/>
      <c r="KDH101" s="769"/>
      <c r="KDI101" s="769"/>
      <c r="KDJ101" s="769"/>
      <c r="KDK101" s="769"/>
      <c r="KDL101" s="769"/>
      <c r="KDM101" s="769"/>
      <c r="KDN101" s="769"/>
      <c r="KDO101" s="769"/>
      <c r="KDP101" s="769"/>
      <c r="KDQ101" s="769"/>
      <c r="KDR101" s="769"/>
      <c r="KDS101" s="769"/>
      <c r="KDT101" s="769"/>
      <c r="KDU101" s="769"/>
      <c r="KDV101" s="769"/>
      <c r="KDW101" s="769"/>
      <c r="KDX101" s="769"/>
      <c r="KDY101" s="769"/>
      <c r="KDZ101" s="769"/>
      <c r="KEA101" s="769"/>
      <c r="KEB101" s="769"/>
      <c r="KEC101" s="769"/>
      <c r="KED101" s="769"/>
      <c r="KEE101" s="769"/>
      <c r="KEF101" s="769"/>
      <c r="KEG101" s="769"/>
      <c r="KEH101" s="769"/>
      <c r="KEI101" s="769"/>
      <c r="KEJ101" s="769"/>
      <c r="KEK101" s="769"/>
      <c r="KEL101" s="769"/>
      <c r="KEM101" s="769"/>
      <c r="KEN101" s="769"/>
      <c r="KEO101" s="769"/>
      <c r="KEP101" s="769"/>
      <c r="KEQ101" s="769"/>
      <c r="KER101" s="769"/>
      <c r="KES101" s="769"/>
      <c r="KET101" s="769"/>
      <c r="KEU101" s="769"/>
      <c r="KEV101" s="769"/>
      <c r="KEW101" s="769"/>
      <c r="KEX101" s="769"/>
      <c r="KEY101" s="769"/>
      <c r="KEZ101" s="769"/>
      <c r="KFA101" s="769"/>
      <c r="KFB101" s="769"/>
      <c r="KFC101" s="769"/>
      <c r="KFD101" s="769"/>
      <c r="KFE101" s="769"/>
      <c r="KFF101" s="769"/>
      <c r="KFG101" s="769"/>
      <c r="KFH101" s="769"/>
      <c r="KFI101" s="769"/>
      <c r="KFJ101" s="769"/>
      <c r="KFK101" s="769"/>
      <c r="KFL101" s="769"/>
      <c r="KFM101" s="769"/>
      <c r="KFN101" s="769"/>
      <c r="KFO101" s="769"/>
      <c r="KFP101" s="769"/>
      <c r="KFQ101" s="769"/>
      <c r="KFR101" s="769"/>
      <c r="KFS101" s="769"/>
      <c r="KFT101" s="769"/>
      <c r="KFU101" s="769"/>
      <c r="KFV101" s="769"/>
      <c r="KFW101" s="769"/>
      <c r="KFX101" s="769"/>
      <c r="KFY101" s="769"/>
      <c r="KFZ101" s="769"/>
      <c r="KGA101" s="769"/>
      <c r="KGB101" s="769"/>
      <c r="KGC101" s="769"/>
      <c r="KGD101" s="769"/>
      <c r="KGE101" s="769"/>
      <c r="KGF101" s="769"/>
      <c r="KGG101" s="769"/>
      <c r="KGH101" s="769"/>
      <c r="KGI101" s="769"/>
      <c r="KGJ101" s="769"/>
      <c r="KGK101" s="769"/>
      <c r="KGL101" s="769"/>
      <c r="KGM101" s="769"/>
      <c r="KGN101" s="769"/>
      <c r="KGO101" s="769"/>
      <c r="KGP101" s="769"/>
      <c r="KGQ101" s="769"/>
      <c r="KGR101" s="769"/>
      <c r="KGS101" s="769"/>
      <c r="KGT101" s="769"/>
      <c r="KGU101" s="769"/>
      <c r="KGV101" s="769"/>
      <c r="KGW101" s="769"/>
      <c r="KGX101" s="769"/>
      <c r="KGY101" s="769"/>
      <c r="KGZ101" s="769"/>
      <c r="KHA101" s="769"/>
      <c r="KHB101" s="769"/>
      <c r="KHC101" s="769"/>
      <c r="KHD101" s="769"/>
      <c r="KHE101" s="769"/>
      <c r="KHF101" s="769"/>
      <c r="KHG101" s="769"/>
      <c r="KHH101" s="769"/>
      <c r="KHI101" s="769"/>
      <c r="KHJ101" s="769"/>
      <c r="KHK101" s="769"/>
      <c r="KHL101" s="769"/>
      <c r="KHM101" s="769"/>
      <c r="KHN101" s="769"/>
      <c r="KHO101" s="769"/>
      <c r="KHP101" s="769"/>
      <c r="KHQ101" s="769"/>
      <c r="KHR101" s="769"/>
      <c r="KHS101" s="769"/>
      <c r="KHT101" s="769"/>
      <c r="KHU101" s="769"/>
      <c r="KHV101" s="769"/>
      <c r="KHW101" s="769"/>
      <c r="KHX101" s="769"/>
      <c r="KHY101" s="769"/>
      <c r="KHZ101" s="769"/>
      <c r="KIA101" s="769"/>
      <c r="KIB101" s="769"/>
      <c r="KIC101" s="769"/>
      <c r="KID101" s="769"/>
      <c r="KIE101" s="769"/>
      <c r="KIF101" s="769"/>
      <c r="KIG101" s="769"/>
      <c r="KIH101" s="769"/>
      <c r="KII101" s="769"/>
      <c r="KIJ101" s="769"/>
      <c r="KIK101" s="769"/>
      <c r="KIL101" s="769"/>
      <c r="KIM101" s="769"/>
      <c r="KIN101" s="769"/>
      <c r="KIO101" s="769"/>
      <c r="KIP101" s="769"/>
      <c r="KIQ101" s="769"/>
      <c r="KIR101" s="769"/>
      <c r="KIS101" s="769"/>
      <c r="KIT101" s="769"/>
      <c r="KIU101" s="769"/>
      <c r="KIV101" s="769"/>
      <c r="KIW101" s="769"/>
      <c r="KIX101" s="769"/>
      <c r="KIY101" s="769"/>
      <c r="KIZ101" s="769"/>
      <c r="KJA101" s="769"/>
      <c r="KJB101" s="769"/>
      <c r="KJC101" s="769"/>
      <c r="KJD101" s="769"/>
      <c r="KJE101" s="769"/>
      <c r="KJF101" s="769"/>
      <c r="KJG101" s="769"/>
      <c r="KJH101" s="769"/>
      <c r="KJI101" s="769"/>
      <c r="KJJ101" s="769"/>
      <c r="KJK101" s="769"/>
      <c r="KJL101" s="769"/>
      <c r="KJM101" s="769"/>
      <c r="KJN101" s="769"/>
      <c r="KJO101" s="769"/>
      <c r="KJP101" s="769"/>
      <c r="KJQ101" s="769"/>
      <c r="KJR101" s="769"/>
      <c r="KJS101" s="769"/>
      <c r="KJT101" s="769"/>
      <c r="KJU101" s="769"/>
      <c r="KJV101" s="769"/>
      <c r="KJW101" s="769"/>
      <c r="KJX101" s="769"/>
      <c r="KJY101" s="769"/>
      <c r="KJZ101" s="769"/>
      <c r="KKA101" s="769"/>
      <c r="KKB101" s="769"/>
      <c r="KKC101" s="769"/>
      <c r="KKD101" s="769"/>
      <c r="KKE101" s="769"/>
      <c r="KKF101" s="769"/>
      <c r="KKG101" s="769"/>
      <c r="KKH101" s="769"/>
      <c r="KKI101" s="769"/>
      <c r="KKJ101" s="769"/>
      <c r="KKK101" s="769"/>
      <c r="KKL101" s="769"/>
      <c r="KKM101" s="769"/>
      <c r="KKN101" s="769"/>
      <c r="KKO101" s="769"/>
      <c r="KKP101" s="769"/>
      <c r="KKQ101" s="769"/>
      <c r="KKR101" s="769"/>
      <c r="KKS101" s="769"/>
      <c r="KKT101" s="769"/>
      <c r="KKU101" s="769"/>
      <c r="KKV101" s="769"/>
      <c r="KKW101" s="769"/>
      <c r="KKX101" s="769"/>
      <c r="KKY101" s="769"/>
      <c r="KKZ101" s="769"/>
      <c r="KLA101" s="769"/>
      <c r="KLB101" s="769"/>
      <c r="KLC101" s="769"/>
      <c r="KLD101" s="769"/>
      <c r="KLE101" s="769"/>
      <c r="KLF101" s="769"/>
      <c r="KLG101" s="769"/>
      <c r="KLH101" s="769"/>
      <c r="KLI101" s="769"/>
      <c r="KLJ101" s="769"/>
      <c r="KLK101" s="769"/>
      <c r="KLL101" s="769"/>
      <c r="KLM101" s="769"/>
      <c r="KLN101" s="769"/>
      <c r="KLO101" s="769"/>
      <c r="KLP101" s="769"/>
      <c r="KLQ101" s="769"/>
      <c r="KLR101" s="769"/>
      <c r="KLS101" s="769"/>
      <c r="KLT101" s="769"/>
      <c r="KLU101" s="769"/>
      <c r="KLV101" s="769"/>
      <c r="KLW101" s="769"/>
      <c r="KLX101" s="769"/>
      <c r="KLY101" s="769"/>
      <c r="KLZ101" s="769"/>
      <c r="KMA101" s="769"/>
      <c r="KMB101" s="769"/>
      <c r="KMC101" s="769"/>
      <c r="KMD101" s="769"/>
      <c r="KME101" s="769"/>
      <c r="KMF101" s="769"/>
      <c r="KMG101" s="769"/>
      <c r="KMH101" s="769"/>
      <c r="KMI101" s="769"/>
      <c r="KMJ101" s="769"/>
      <c r="KMK101" s="769"/>
      <c r="KML101" s="769"/>
      <c r="KMM101" s="769"/>
      <c r="KMN101" s="769"/>
      <c r="KMO101" s="769"/>
      <c r="KMP101" s="769"/>
      <c r="KMQ101" s="769"/>
      <c r="KMR101" s="769"/>
      <c r="KMS101" s="769"/>
      <c r="KMT101" s="769"/>
      <c r="KMU101" s="769"/>
      <c r="KMV101" s="769"/>
      <c r="KMW101" s="769"/>
      <c r="KMX101" s="769"/>
      <c r="KMY101" s="769"/>
      <c r="KMZ101" s="769"/>
      <c r="KNA101" s="769"/>
      <c r="KNB101" s="769"/>
      <c r="KNC101" s="769"/>
      <c r="KND101" s="769"/>
      <c r="KNE101" s="769"/>
      <c r="KNF101" s="769"/>
      <c r="KNG101" s="769"/>
      <c r="KNH101" s="769"/>
      <c r="KNI101" s="769"/>
      <c r="KNJ101" s="769"/>
      <c r="KNK101" s="769"/>
      <c r="KNL101" s="769"/>
      <c r="KNM101" s="769"/>
      <c r="KNN101" s="769"/>
      <c r="KNO101" s="769"/>
      <c r="KNP101" s="769"/>
      <c r="KNQ101" s="769"/>
      <c r="KNR101" s="769"/>
      <c r="KNS101" s="769"/>
      <c r="KNT101" s="769"/>
      <c r="KNU101" s="769"/>
      <c r="KNV101" s="769"/>
      <c r="KNW101" s="769"/>
      <c r="KNX101" s="769"/>
      <c r="KNY101" s="769"/>
      <c r="KNZ101" s="769"/>
      <c r="KOA101" s="769"/>
      <c r="KOB101" s="769"/>
      <c r="KOC101" s="769"/>
      <c r="KOD101" s="769"/>
      <c r="KOE101" s="769"/>
      <c r="KOF101" s="769"/>
      <c r="KOG101" s="769"/>
      <c r="KOH101" s="769"/>
      <c r="KOI101" s="769"/>
      <c r="KOJ101" s="769"/>
      <c r="KOK101" s="769"/>
      <c r="KOL101" s="769"/>
      <c r="KOM101" s="769"/>
      <c r="KON101" s="769"/>
      <c r="KOO101" s="769"/>
      <c r="KOP101" s="769"/>
      <c r="KOQ101" s="769"/>
      <c r="KOR101" s="769"/>
      <c r="KOS101" s="769"/>
      <c r="KOT101" s="769"/>
      <c r="KOU101" s="769"/>
      <c r="KOV101" s="769"/>
      <c r="KOW101" s="769"/>
      <c r="KOX101" s="769"/>
      <c r="KOY101" s="769"/>
      <c r="KOZ101" s="769"/>
      <c r="KPA101" s="769"/>
      <c r="KPB101" s="769"/>
      <c r="KPC101" s="769"/>
      <c r="KPD101" s="769"/>
      <c r="KPE101" s="769"/>
      <c r="KPF101" s="769"/>
      <c r="KPG101" s="769"/>
      <c r="KPH101" s="769"/>
      <c r="KPI101" s="769"/>
      <c r="KPJ101" s="769"/>
      <c r="KPK101" s="769"/>
      <c r="KPL101" s="769"/>
      <c r="KPM101" s="769"/>
      <c r="KPN101" s="769"/>
      <c r="KPO101" s="769"/>
      <c r="KPP101" s="769"/>
      <c r="KPQ101" s="769"/>
      <c r="KPR101" s="769"/>
      <c r="KPS101" s="769"/>
      <c r="KPT101" s="769"/>
      <c r="KPU101" s="769"/>
      <c r="KPV101" s="769"/>
      <c r="KPW101" s="769"/>
      <c r="KPX101" s="769"/>
      <c r="KPY101" s="769"/>
      <c r="KPZ101" s="769"/>
      <c r="KQA101" s="769"/>
      <c r="KQB101" s="769"/>
      <c r="KQC101" s="769"/>
      <c r="KQD101" s="769"/>
      <c r="KQE101" s="769"/>
      <c r="KQF101" s="769"/>
      <c r="KQG101" s="769"/>
      <c r="KQH101" s="769"/>
      <c r="KQI101" s="769"/>
      <c r="KQJ101" s="769"/>
      <c r="KQK101" s="769"/>
      <c r="KQL101" s="769"/>
      <c r="KQM101" s="769"/>
      <c r="KQN101" s="769"/>
      <c r="KQO101" s="769"/>
      <c r="KQP101" s="769"/>
      <c r="KQQ101" s="769"/>
      <c r="KQR101" s="769"/>
      <c r="KQS101" s="769"/>
      <c r="KQT101" s="769"/>
      <c r="KQU101" s="769"/>
      <c r="KQV101" s="769"/>
      <c r="KQW101" s="769"/>
      <c r="KQX101" s="769"/>
      <c r="KQY101" s="769"/>
      <c r="KQZ101" s="769"/>
      <c r="KRA101" s="769"/>
      <c r="KRB101" s="769"/>
      <c r="KRC101" s="769"/>
      <c r="KRD101" s="769"/>
      <c r="KRE101" s="769"/>
      <c r="KRF101" s="769"/>
      <c r="KRG101" s="769"/>
      <c r="KRH101" s="769"/>
      <c r="KRI101" s="769"/>
      <c r="KRJ101" s="769"/>
      <c r="KRK101" s="769"/>
      <c r="KRL101" s="769"/>
      <c r="KRM101" s="769"/>
      <c r="KRN101" s="769"/>
      <c r="KRO101" s="769"/>
      <c r="KRP101" s="769"/>
      <c r="KRQ101" s="769"/>
      <c r="KRR101" s="769"/>
      <c r="KRS101" s="769"/>
      <c r="KRT101" s="769"/>
      <c r="KRU101" s="769"/>
      <c r="KRV101" s="769"/>
      <c r="KRW101" s="769"/>
      <c r="KRX101" s="769"/>
      <c r="KRY101" s="769"/>
      <c r="KRZ101" s="769"/>
      <c r="KSA101" s="769"/>
      <c r="KSB101" s="769"/>
      <c r="KSC101" s="769"/>
      <c r="KSD101" s="769"/>
      <c r="KSE101" s="769"/>
      <c r="KSF101" s="769"/>
      <c r="KSG101" s="769"/>
      <c r="KSH101" s="769"/>
      <c r="KSI101" s="769"/>
      <c r="KSJ101" s="769"/>
      <c r="KSK101" s="769"/>
      <c r="KSL101" s="769"/>
      <c r="KSM101" s="769"/>
      <c r="KSN101" s="769"/>
      <c r="KSO101" s="769"/>
      <c r="KSP101" s="769"/>
      <c r="KSQ101" s="769"/>
      <c r="KSR101" s="769"/>
      <c r="KSS101" s="769"/>
      <c r="KST101" s="769"/>
      <c r="KSU101" s="769"/>
      <c r="KSV101" s="769"/>
      <c r="KSW101" s="769"/>
      <c r="KSX101" s="769"/>
      <c r="KSY101" s="769"/>
      <c r="KSZ101" s="769"/>
      <c r="KTA101" s="769"/>
      <c r="KTB101" s="769"/>
      <c r="KTC101" s="769"/>
      <c r="KTD101" s="769"/>
      <c r="KTE101" s="769"/>
      <c r="KTF101" s="769"/>
      <c r="KTG101" s="769"/>
      <c r="KTH101" s="769"/>
      <c r="KTI101" s="769"/>
      <c r="KTJ101" s="769"/>
      <c r="KTK101" s="769"/>
      <c r="KTL101" s="769"/>
      <c r="KTM101" s="769"/>
      <c r="KTN101" s="769"/>
      <c r="KTO101" s="769"/>
      <c r="KTP101" s="769"/>
      <c r="KTQ101" s="769"/>
      <c r="KTR101" s="769"/>
      <c r="KTS101" s="769"/>
      <c r="KTT101" s="769"/>
      <c r="KTU101" s="769"/>
      <c r="KTV101" s="769"/>
      <c r="KTW101" s="769"/>
      <c r="KTX101" s="769"/>
      <c r="KTY101" s="769"/>
      <c r="KTZ101" s="769"/>
      <c r="KUA101" s="769"/>
      <c r="KUB101" s="769"/>
      <c r="KUC101" s="769"/>
      <c r="KUD101" s="769"/>
      <c r="KUE101" s="769"/>
      <c r="KUF101" s="769"/>
      <c r="KUG101" s="769"/>
      <c r="KUH101" s="769"/>
      <c r="KUI101" s="769"/>
      <c r="KUJ101" s="769"/>
      <c r="KUK101" s="769"/>
      <c r="KUL101" s="769"/>
      <c r="KUM101" s="769"/>
      <c r="KUN101" s="769"/>
      <c r="KUO101" s="769"/>
      <c r="KUP101" s="769"/>
      <c r="KUQ101" s="769"/>
      <c r="KUR101" s="769"/>
      <c r="KUS101" s="769"/>
      <c r="KUT101" s="769"/>
      <c r="KUU101" s="769"/>
      <c r="KUV101" s="769"/>
      <c r="KUW101" s="769"/>
      <c r="KUX101" s="769"/>
      <c r="KUY101" s="769"/>
      <c r="KUZ101" s="769"/>
      <c r="KVA101" s="769"/>
      <c r="KVB101" s="769"/>
      <c r="KVC101" s="769"/>
      <c r="KVD101" s="769"/>
      <c r="KVE101" s="769"/>
      <c r="KVF101" s="769"/>
      <c r="KVG101" s="769"/>
      <c r="KVH101" s="769"/>
      <c r="KVI101" s="769"/>
      <c r="KVJ101" s="769"/>
      <c r="KVK101" s="769"/>
      <c r="KVL101" s="769"/>
      <c r="KVM101" s="769"/>
      <c r="KVN101" s="769"/>
      <c r="KVO101" s="769"/>
      <c r="KVP101" s="769"/>
      <c r="KVQ101" s="769"/>
      <c r="KVR101" s="769"/>
      <c r="KVS101" s="769"/>
      <c r="KVT101" s="769"/>
      <c r="KVU101" s="769"/>
      <c r="KVV101" s="769"/>
      <c r="KVW101" s="769"/>
      <c r="KVX101" s="769"/>
      <c r="KVY101" s="769"/>
      <c r="KVZ101" s="769"/>
      <c r="KWA101" s="769"/>
      <c r="KWB101" s="769"/>
      <c r="KWC101" s="769"/>
      <c r="KWD101" s="769"/>
      <c r="KWE101" s="769"/>
      <c r="KWF101" s="769"/>
      <c r="KWG101" s="769"/>
      <c r="KWH101" s="769"/>
      <c r="KWI101" s="769"/>
      <c r="KWJ101" s="769"/>
      <c r="KWK101" s="769"/>
      <c r="KWL101" s="769"/>
      <c r="KWM101" s="769"/>
      <c r="KWN101" s="769"/>
      <c r="KWO101" s="769"/>
      <c r="KWP101" s="769"/>
      <c r="KWQ101" s="769"/>
      <c r="KWR101" s="769"/>
      <c r="KWS101" s="769"/>
      <c r="KWT101" s="769"/>
      <c r="KWU101" s="769"/>
      <c r="KWV101" s="769"/>
      <c r="KWW101" s="769"/>
      <c r="KWX101" s="769"/>
      <c r="KWY101" s="769"/>
      <c r="KWZ101" s="769"/>
      <c r="KXA101" s="769"/>
      <c r="KXB101" s="769"/>
      <c r="KXC101" s="769"/>
      <c r="KXD101" s="769"/>
      <c r="KXE101" s="769"/>
      <c r="KXF101" s="769"/>
      <c r="KXG101" s="769"/>
      <c r="KXH101" s="769"/>
      <c r="KXI101" s="769"/>
      <c r="KXJ101" s="769"/>
      <c r="KXK101" s="769"/>
      <c r="KXL101" s="769"/>
      <c r="KXM101" s="769"/>
      <c r="KXN101" s="769"/>
      <c r="KXO101" s="769"/>
      <c r="KXP101" s="769"/>
      <c r="KXQ101" s="769"/>
      <c r="KXR101" s="769"/>
      <c r="KXS101" s="769"/>
      <c r="KXT101" s="769"/>
      <c r="KXU101" s="769"/>
      <c r="KXV101" s="769"/>
      <c r="KXW101" s="769"/>
      <c r="KXX101" s="769"/>
      <c r="KXY101" s="769"/>
      <c r="KXZ101" s="769"/>
      <c r="KYA101" s="769"/>
      <c r="KYB101" s="769"/>
      <c r="KYC101" s="769"/>
      <c r="KYD101" s="769"/>
      <c r="KYE101" s="769"/>
      <c r="KYF101" s="769"/>
      <c r="KYG101" s="769"/>
      <c r="KYH101" s="769"/>
      <c r="KYI101" s="769"/>
      <c r="KYJ101" s="769"/>
      <c r="KYK101" s="769"/>
      <c r="KYL101" s="769"/>
      <c r="KYM101" s="769"/>
      <c r="KYN101" s="769"/>
      <c r="KYO101" s="769"/>
      <c r="KYP101" s="769"/>
      <c r="KYQ101" s="769"/>
      <c r="KYR101" s="769"/>
      <c r="KYS101" s="769"/>
      <c r="KYT101" s="769"/>
      <c r="KYU101" s="769"/>
      <c r="KYV101" s="769"/>
      <c r="KYW101" s="769"/>
      <c r="KYX101" s="769"/>
      <c r="KYY101" s="769"/>
      <c r="KYZ101" s="769"/>
      <c r="KZA101" s="769"/>
      <c r="KZB101" s="769"/>
      <c r="KZC101" s="769"/>
      <c r="KZD101" s="769"/>
      <c r="KZE101" s="769"/>
      <c r="KZF101" s="769"/>
      <c r="KZG101" s="769"/>
      <c r="KZH101" s="769"/>
      <c r="KZI101" s="769"/>
      <c r="KZJ101" s="769"/>
      <c r="KZK101" s="769"/>
      <c r="KZL101" s="769"/>
      <c r="KZM101" s="769"/>
      <c r="KZN101" s="769"/>
      <c r="KZO101" s="769"/>
      <c r="KZP101" s="769"/>
      <c r="KZQ101" s="769"/>
      <c r="KZR101" s="769"/>
      <c r="KZS101" s="769"/>
      <c r="KZT101" s="769"/>
      <c r="KZU101" s="769"/>
      <c r="KZV101" s="769"/>
      <c r="KZW101" s="769"/>
      <c r="KZX101" s="769"/>
      <c r="KZY101" s="769"/>
      <c r="KZZ101" s="769"/>
      <c r="LAA101" s="769"/>
      <c r="LAB101" s="769"/>
      <c r="LAC101" s="769"/>
      <c r="LAD101" s="769"/>
      <c r="LAE101" s="769"/>
      <c r="LAF101" s="769"/>
      <c r="LAG101" s="769"/>
      <c r="LAH101" s="769"/>
      <c r="LAI101" s="769"/>
      <c r="LAJ101" s="769"/>
      <c r="LAK101" s="769"/>
      <c r="LAL101" s="769"/>
      <c r="LAM101" s="769"/>
      <c r="LAN101" s="769"/>
      <c r="LAO101" s="769"/>
      <c r="LAP101" s="769"/>
      <c r="LAQ101" s="769"/>
      <c r="LAR101" s="769"/>
      <c r="LAS101" s="769"/>
      <c r="LAT101" s="769"/>
      <c r="LAU101" s="769"/>
      <c r="LAV101" s="769"/>
      <c r="LAW101" s="769"/>
      <c r="LAX101" s="769"/>
      <c r="LAY101" s="769"/>
      <c r="LAZ101" s="769"/>
      <c r="LBA101" s="769"/>
      <c r="LBB101" s="769"/>
      <c r="LBC101" s="769"/>
      <c r="LBD101" s="769"/>
      <c r="LBE101" s="769"/>
      <c r="LBF101" s="769"/>
      <c r="LBG101" s="769"/>
      <c r="LBH101" s="769"/>
      <c r="LBI101" s="769"/>
      <c r="LBJ101" s="769"/>
      <c r="LBK101" s="769"/>
      <c r="LBL101" s="769"/>
      <c r="LBM101" s="769"/>
      <c r="LBN101" s="769"/>
      <c r="LBO101" s="769"/>
      <c r="LBP101" s="769"/>
      <c r="LBQ101" s="769"/>
      <c r="LBR101" s="769"/>
      <c r="LBS101" s="769"/>
      <c r="LBT101" s="769"/>
      <c r="LBU101" s="769"/>
      <c r="LBV101" s="769"/>
      <c r="LBW101" s="769"/>
      <c r="LBX101" s="769"/>
      <c r="LBY101" s="769"/>
      <c r="LBZ101" s="769"/>
      <c r="LCA101" s="769"/>
      <c r="LCB101" s="769"/>
      <c r="LCC101" s="769"/>
      <c r="LCD101" s="769"/>
      <c r="LCE101" s="769"/>
      <c r="LCF101" s="769"/>
      <c r="LCG101" s="769"/>
      <c r="LCH101" s="769"/>
      <c r="LCI101" s="769"/>
      <c r="LCJ101" s="769"/>
      <c r="LCK101" s="769"/>
      <c r="LCL101" s="769"/>
      <c r="LCM101" s="769"/>
      <c r="LCN101" s="769"/>
      <c r="LCO101" s="769"/>
      <c r="LCP101" s="769"/>
      <c r="LCQ101" s="769"/>
      <c r="LCR101" s="769"/>
      <c r="LCS101" s="769"/>
      <c r="LCT101" s="769"/>
      <c r="LCU101" s="769"/>
      <c r="LCV101" s="769"/>
      <c r="LCW101" s="769"/>
      <c r="LCX101" s="769"/>
      <c r="LCY101" s="769"/>
      <c r="LCZ101" s="769"/>
      <c r="LDA101" s="769"/>
      <c r="LDB101" s="769"/>
      <c r="LDC101" s="769"/>
      <c r="LDD101" s="769"/>
      <c r="LDE101" s="769"/>
      <c r="LDF101" s="769"/>
      <c r="LDG101" s="769"/>
      <c r="LDH101" s="769"/>
      <c r="LDI101" s="769"/>
      <c r="LDJ101" s="769"/>
      <c r="LDK101" s="769"/>
      <c r="LDL101" s="769"/>
      <c r="LDM101" s="769"/>
      <c r="LDN101" s="769"/>
      <c r="LDO101" s="769"/>
      <c r="LDP101" s="769"/>
      <c r="LDQ101" s="769"/>
      <c r="LDR101" s="769"/>
      <c r="LDS101" s="769"/>
      <c r="LDT101" s="769"/>
      <c r="LDU101" s="769"/>
      <c r="LDV101" s="769"/>
      <c r="LDW101" s="769"/>
      <c r="LDX101" s="769"/>
      <c r="LDY101" s="769"/>
      <c r="LDZ101" s="769"/>
      <c r="LEA101" s="769"/>
      <c r="LEB101" s="769"/>
      <c r="LEC101" s="769"/>
      <c r="LED101" s="769"/>
      <c r="LEE101" s="769"/>
      <c r="LEF101" s="769"/>
      <c r="LEG101" s="769"/>
      <c r="LEH101" s="769"/>
      <c r="LEI101" s="769"/>
      <c r="LEJ101" s="769"/>
      <c r="LEK101" s="769"/>
      <c r="LEL101" s="769"/>
      <c r="LEM101" s="769"/>
      <c r="LEN101" s="769"/>
      <c r="LEO101" s="769"/>
      <c r="LEP101" s="769"/>
      <c r="LEQ101" s="769"/>
      <c r="LER101" s="769"/>
      <c r="LES101" s="769"/>
      <c r="LET101" s="769"/>
      <c r="LEU101" s="769"/>
      <c r="LEV101" s="769"/>
      <c r="LEW101" s="769"/>
      <c r="LEX101" s="769"/>
      <c r="LEY101" s="769"/>
      <c r="LEZ101" s="769"/>
      <c r="LFA101" s="769"/>
      <c r="LFB101" s="769"/>
      <c r="LFC101" s="769"/>
      <c r="LFD101" s="769"/>
      <c r="LFE101" s="769"/>
      <c r="LFF101" s="769"/>
      <c r="LFG101" s="769"/>
      <c r="LFH101" s="769"/>
      <c r="LFI101" s="769"/>
      <c r="LFJ101" s="769"/>
      <c r="LFK101" s="769"/>
      <c r="LFL101" s="769"/>
      <c r="LFM101" s="769"/>
      <c r="LFN101" s="769"/>
      <c r="LFO101" s="769"/>
      <c r="LFP101" s="769"/>
      <c r="LFQ101" s="769"/>
      <c r="LFR101" s="769"/>
      <c r="LFS101" s="769"/>
      <c r="LFT101" s="769"/>
      <c r="LFU101" s="769"/>
      <c r="LFV101" s="769"/>
      <c r="LFW101" s="769"/>
      <c r="LFX101" s="769"/>
      <c r="LFY101" s="769"/>
      <c r="LFZ101" s="769"/>
      <c r="LGA101" s="769"/>
      <c r="LGB101" s="769"/>
      <c r="LGC101" s="769"/>
      <c r="LGD101" s="769"/>
      <c r="LGE101" s="769"/>
      <c r="LGF101" s="769"/>
      <c r="LGG101" s="769"/>
      <c r="LGH101" s="769"/>
      <c r="LGI101" s="769"/>
      <c r="LGJ101" s="769"/>
      <c r="LGK101" s="769"/>
      <c r="LGL101" s="769"/>
      <c r="LGM101" s="769"/>
      <c r="LGN101" s="769"/>
      <c r="LGO101" s="769"/>
      <c r="LGP101" s="769"/>
      <c r="LGQ101" s="769"/>
      <c r="LGR101" s="769"/>
      <c r="LGS101" s="769"/>
      <c r="LGT101" s="769"/>
      <c r="LGU101" s="769"/>
      <c r="LGV101" s="769"/>
      <c r="LGW101" s="769"/>
      <c r="LGX101" s="769"/>
      <c r="LGY101" s="769"/>
      <c r="LGZ101" s="769"/>
      <c r="LHA101" s="769"/>
      <c r="LHB101" s="769"/>
      <c r="LHC101" s="769"/>
      <c r="LHD101" s="769"/>
      <c r="LHE101" s="769"/>
      <c r="LHF101" s="769"/>
      <c r="LHG101" s="769"/>
      <c r="LHH101" s="769"/>
      <c r="LHI101" s="769"/>
      <c r="LHJ101" s="769"/>
      <c r="LHK101" s="769"/>
      <c r="LHL101" s="769"/>
      <c r="LHM101" s="769"/>
      <c r="LHN101" s="769"/>
      <c r="LHO101" s="769"/>
      <c r="LHP101" s="769"/>
      <c r="LHQ101" s="769"/>
      <c r="LHR101" s="769"/>
      <c r="LHS101" s="769"/>
      <c r="LHT101" s="769"/>
      <c r="LHU101" s="769"/>
      <c r="LHV101" s="769"/>
      <c r="LHW101" s="769"/>
      <c r="LHX101" s="769"/>
      <c r="LHY101" s="769"/>
      <c r="LHZ101" s="769"/>
      <c r="LIA101" s="769"/>
      <c r="LIB101" s="769"/>
      <c r="LIC101" s="769"/>
      <c r="LID101" s="769"/>
      <c r="LIE101" s="769"/>
      <c r="LIF101" s="769"/>
      <c r="LIG101" s="769"/>
      <c r="LIH101" s="769"/>
      <c r="LII101" s="769"/>
      <c r="LIJ101" s="769"/>
      <c r="LIK101" s="769"/>
      <c r="LIL101" s="769"/>
      <c r="LIM101" s="769"/>
      <c r="LIN101" s="769"/>
      <c r="LIO101" s="769"/>
      <c r="LIP101" s="769"/>
      <c r="LIQ101" s="769"/>
      <c r="LIR101" s="769"/>
      <c r="LIS101" s="769"/>
      <c r="LIT101" s="769"/>
      <c r="LIU101" s="769"/>
      <c r="LIV101" s="769"/>
      <c r="LIW101" s="769"/>
      <c r="LIX101" s="769"/>
      <c r="LIY101" s="769"/>
      <c r="LIZ101" s="769"/>
      <c r="LJA101" s="769"/>
      <c r="LJB101" s="769"/>
      <c r="LJC101" s="769"/>
      <c r="LJD101" s="769"/>
      <c r="LJE101" s="769"/>
      <c r="LJF101" s="769"/>
      <c r="LJG101" s="769"/>
      <c r="LJH101" s="769"/>
      <c r="LJI101" s="769"/>
      <c r="LJJ101" s="769"/>
      <c r="LJK101" s="769"/>
      <c r="LJL101" s="769"/>
      <c r="LJM101" s="769"/>
      <c r="LJN101" s="769"/>
      <c r="LJO101" s="769"/>
      <c r="LJP101" s="769"/>
      <c r="LJQ101" s="769"/>
      <c r="LJR101" s="769"/>
      <c r="LJS101" s="769"/>
      <c r="LJT101" s="769"/>
      <c r="LJU101" s="769"/>
      <c r="LJV101" s="769"/>
      <c r="LJW101" s="769"/>
      <c r="LJX101" s="769"/>
      <c r="LJY101" s="769"/>
      <c r="LJZ101" s="769"/>
      <c r="LKA101" s="769"/>
      <c r="LKB101" s="769"/>
      <c r="LKC101" s="769"/>
      <c r="LKD101" s="769"/>
      <c r="LKE101" s="769"/>
      <c r="LKF101" s="769"/>
      <c r="LKG101" s="769"/>
      <c r="LKH101" s="769"/>
      <c r="LKI101" s="769"/>
      <c r="LKJ101" s="769"/>
      <c r="LKK101" s="769"/>
      <c r="LKL101" s="769"/>
      <c r="LKM101" s="769"/>
      <c r="LKN101" s="769"/>
      <c r="LKO101" s="769"/>
      <c r="LKP101" s="769"/>
      <c r="LKQ101" s="769"/>
      <c r="LKR101" s="769"/>
      <c r="LKS101" s="769"/>
      <c r="LKT101" s="769"/>
      <c r="LKU101" s="769"/>
      <c r="LKV101" s="769"/>
      <c r="LKW101" s="769"/>
      <c r="LKX101" s="769"/>
      <c r="LKY101" s="769"/>
      <c r="LKZ101" s="769"/>
      <c r="LLA101" s="769"/>
      <c r="LLB101" s="769"/>
      <c r="LLC101" s="769"/>
      <c r="LLD101" s="769"/>
      <c r="LLE101" s="769"/>
      <c r="LLF101" s="769"/>
      <c r="LLG101" s="769"/>
      <c r="LLH101" s="769"/>
      <c r="LLI101" s="769"/>
      <c r="LLJ101" s="769"/>
      <c r="LLK101" s="769"/>
      <c r="LLL101" s="769"/>
      <c r="LLM101" s="769"/>
      <c r="LLN101" s="769"/>
      <c r="LLO101" s="769"/>
      <c r="LLP101" s="769"/>
      <c r="LLQ101" s="769"/>
      <c r="LLR101" s="769"/>
      <c r="LLS101" s="769"/>
      <c r="LLT101" s="769"/>
      <c r="LLU101" s="769"/>
      <c r="LLV101" s="769"/>
      <c r="LLW101" s="769"/>
      <c r="LLX101" s="769"/>
      <c r="LLY101" s="769"/>
      <c r="LLZ101" s="769"/>
      <c r="LMA101" s="769"/>
      <c r="LMB101" s="769"/>
      <c r="LMC101" s="769"/>
      <c r="LMD101" s="769"/>
      <c r="LME101" s="769"/>
      <c r="LMF101" s="769"/>
      <c r="LMG101" s="769"/>
      <c r="LMH101" s="769"/>
      <c r="LMI101" s="769"/>
      <c r="LMJ101" s="769"/>
      <c r="LMK101" s="769"/>
      <c r="LML101" s="769"/>
      <c r="LMM101" s="769"/>
      <c r="LMN101" s="769"/>
      <c r="LMO101" s="769"/>
      <c r="LMP101" s="769"/>
      <c r="LMQ101" s="769"/>
      <c r="LMR101" s="769"/>
      <c r="LMS101" s="769"/>
      <c r="LMT101" s="769"/>
      <c r="LMU101" s="769"/>
      <c r="LMV101" s="769"/>
      <c r="LMW101" s="769"/>
      <c r="LMX101" s="769"/>
      <c r="LMY101" s="769"/>
      <c r="LMZ101" s="769"/>
      <c r="LNA101" s="769"/>
      <c r="LNB101" s="769"/>
      <c r="LNC101" s="769"/>
      <c r="LND101" s="769"/>
      <c r="LNE101" s="769"/>
      <c r="LNF101" s="769"/>
      <c r="LNG101" s="769"/>
      <c r="LNH101" s="769"/>
      <c r="LNI101" s="769"/>
      <c r="LNJ101" s="769"/>
      <c r="LNK101" s="769"/>
      <c r="LNL101" s="769"/>
      <c r="LNM101" s="769"/>
      <c r="LNN101" s="769"/>
      <c r="LNO101" s="769"/>
      <c r="LNP101" s="769"/>
      <c r="LNQ101" s="769"/>
      <c r="LNR101" s="769"/>
      <c r="LNS101" s="769"/>
      <c r="LNT101" s="769"/>
      <c r="LNU101" s="769"/>
      <c r="LNV101" s="769"/>
      <c r="LNW101" s="769"/>
      <c r="LNX101" s="769"/>
      <c r="LNY101" s="769"/>
      <c r="LNZ101" s="769"/>
      <c r="LOA101" s="769"/>
      <c r="LOB101" s="769"/>
      <c r="LOC101" s="769"/>
      <c r="LOD101" s="769"/>
      <c r="LOE101" s="769"/>
      <c r="LOF101" s="769"/>
      <c r="LOG101" s="769"/>
      <c r="LOH101" s="769"/>
      <c r="LOI101" s="769"/>
      <c r="LOJ101" s="769"/>
      <c r="LOK101" s="769"/>
      <c r="LOL101" s="769"/>
      <c r="LOM101" s="769"/>
      <c r="LON101" s="769"/>
      <c r="LOO101" s="769"/>
      <c r="LOP101" s="769"/>
      <c r="LOQ101" s="769"/>
      <c r="LOR101" s="769"/>
      <c r="LOS101" s="769"/>
      <c r="LOT101" s="769"/>
      <c r="LOU101" s="769"/>
      <c r="LOV101" s="769"/>
      <c r="LOW101" s="769"/>
      <c r="LOX101" s="769"/>
      <c r="LOY101" s="769"/>
      <c r="LOZ101" s="769"/>
      <c r="LPA101" s="769"/>
      <c r="LPB101" s="769"/>
      <c r="LPC101" s="769"/>
      <c r="LPD101" s="769"/>
      <c r="LPE101" s="769"/>
      <c r="LPF101" s="769"/>
      <c r="LPG101" s="769"/>
      <c r="LPH101" s="769"/>
      <c r="LPI101" s="769"/>
      <c r="LPJ101" s="769"/>
      <c r="LPK101" s="769"/>
      <c r="LPL101" s="769"/>
      <c r="LPM101" s="769"/>
      <c r="LPN101" s="769"/>
      <c r="LPO101" s="769"/>
      <c r="LPP101" s="769"/>
      <c r="LPQ101" s="769"/>
      <c r="LPR101" s="769"/>
      <c r="LPS101" s="769"/>
      <c r="LPT101" s="769"/>
      <c r="LPU101" s="769"/>
      <c r="LPV101" s="769"/>
      <c r="LPW101" s="769"/>
      <c r="LPX101" s="769"/>
      <c r="LPY101" s="769"/>
      <c r="LPZ101" s="769"/>
      <c r="LQA101" s="769"/>
      <c r="LQB101" s="769"/>
      <c r="LQC101" s="769"/>
      <c r="LQD101" s="769"/>
      <c r="LQE101" s="769"/>
      <c r="LQF101" s="769"/>
      <c r="LQG101" s="769"/>
      <c r="LQH101" s="769"/>
      <c r="LQI101" s="769"/>
      <c r="LQJ101" s="769"/>
      <c r="LQK101" s="769"/>
      <c r="LQL101" s="769"/>
      <c r="LQM101" s="769"/>
      <c r="LQN101" s="769"/>
      <c r="LQO101" s="769"/>
      <c r="LQP101" s="769"/>
      <c r="LQQ101" s="769"/>
      <c r="LQR101" s="769"/>
      <c r="LQS101" s="769"/>
      <c r="LQT101" s="769"/>
      <c r="LQU101" s="769"/>
      <c r="LQV101" s="769"/>
      <c r="LQW101" s="769"/>
      <c r="LQX101" s="769"/>
      <c r="LQY101" s="769"/>
      <c r="LQZ101" s="769"/>
      <c r="LRA101" s="769"/>
      <c r="LRB101" s="769"/>
      <c r="LRC101" s="769"/>
      <c r="LRD101" s="769"/>
      <c r="LRE101" s="769"/>
      <c r="LRF101" s="769"/>
      <c r="LRG101" s="769"/>
      <c r="LRH101" s="769"/>
      <c r="LRI101" s="769"/>
      <c r="LRJ101" s="769"/>
      <c r="LRK101" s="769"/>
      <c r="LRL101" s="769"/>
      <c r="LRM101" s="769"/>
      <c r="LRN101" s="769"/>
      <c r="LRO101" s="769"/>
      <c r="LRP101" s="769"/>
      <c r="LRQ101" s="769"/>
      <c r="LRR101" s="769"/>
      <c r="LRS101" s="769"/>
      <c r="LRT101" s="769"/>
      <c r="LRU101" s="769"/>
      <c r="LRV101" s="769"/>
      <c r="LRW101" s="769"/>
      <c r="LRX101" s="769"/>
      <c r="LRY101" s="769"/>
      <c r="LRZ101" s="769"/>
      <c r="LSA101" s="769"/>
      <c r="LSB101" s="769"/>
      <c r="LSC101" s="769"/>
      <c r="LSD101" s="769"/>
      <c r="LSE101" s="769"/>
      <c r="LSF101" s="769"/>
      <c r="LSG101" s="769"/>
      <c r="LSH101" s="769"/>
      <c r="LSI101" s="769"/>
      <c r="LSJ101" s="769"/>
      <c r="LSK101" s="769"/>
      <c r="LSL101" s="769"/>
      <c r="LSM101" s="769"/>
      <c r="LSN101" s="769"/>
      <c r="LSO101" s="769"/>
      <c r="LSP101" s="769"/>
      <c r="LSQ101" s="769"/>
      <c r="LSR101" s="769"/>
      <c r="LSS101" s="769"/>
      <c r="LST101" s="769"/>
      <c r="LSU101" s="769"/>
      <c r="LSV101" s="769"/>
      <c r="LSW101" s="769"/>
      <c r="LSX101" s="769"/>
      <c r="LSY101" s="769"/>
      <c r="LSZ101" s="769"/>
      <c r="LTA101" s="769"/>
      <c r="LTB101" s="769"/>
      <c r="LTC101" s="769"/>
      <c r="LTD101" s="769"/>
      <c r="LTE101" s="769"/>
      <c r="LTF101" s="769"/>
      <c r="LTG101" s="769"/>
      <c r="LTH101" s="769"/>
      <c r="LTI101" s="769"/>
      <c r="LTJ101" s="769"/>
      <c r="LTK101" s="769"/>
      <c r="LTL101" s="769"/>
      <c r="LTM101" s="769"/>
      <c r="LTN101" s="769"/>
      <c r="LTO101" s="769"/>
      <c r="LTP101" s="769"/>
      <c r="LTQ101" s="769"/>
      <c r="LTR101" s="769"/>
      <c r="LTS101" s="769"/>
      <c r="LTT101" s="769"/>
      <c r="LTU101" s="769"/>
      <c r="LTV101" s="769"/>
      <c r="LTW101" s="769"/>
      <c r="LTX101" s="769"/>
      <c r="LTY101" s="769"/>
      <c r="LTZ101" s="769"/>
      <c r="LUA101" s="769"/>
      <c r="LUB101" s="769"/>
      <c r="LUC101" s="769"/>
      <c r="LUD101" s="769"/>
      <c r="LUE101" s="769"/>
      <c r="LUF101" s="769"/>
      <c r="LUG101" s="769"/>
      <c r="LUH101" s="769"/>
      <c r="LUI101" s="769"/>
      <c r="LUJ101" s="769"/>
      <c r="LUK101" s="769"/>
      <c r="LUL101" s="769"/>
      <c r="LUM101" s="769"/>
      <c r="LUN101" s="769"/>
      <c r="LUO101" s="769"/>
      <c r="LUP101" s="769"/>
      <c r="LUQ101" s="769"/>
      <c r="LUR101" s="769"/>
      <c r="LUS101" s="769"/>
      <c r="LUT101" s="769"/>
      <c r="LUU101" s="769"/>
      <c r="LUV101" s="769"/>
      <c r="LUW101" s="769"/>
      <c r="LUX101" s="769"/>
      <c r="LUY101" s="769"/>
      <c r="LUZ101" s="769"/>
      <c r="LVA101" s="769"/>
      <c r="LVB101" s="769"/>
      <c r="LVC101" s="769"/>
      <c r="LVD101" s="769"/>
      <c r="LVE101" s="769"/>
      <c r="LVF101" s="769"/>
      <c r="LVG101" s="769"/>
      <c r="LVH101" s="769"/>
      <c r="LVI101" s="769"/>
      <c r="LVJ101" s="769"/>
      <c r="LVK101" s="769"/>
      <c r="LVL101" s="769"/>
      <c r="LVM101" s="769"/>
      <c r="LVN101" s="769"/>
      <c r="LVO101" s="769"/>
      <c r="LVP101" s="769"/>
      <c r="LVQ101" s="769"/>
      <c r="LVR101" s="769"/>
      <c r="LVS101" s="769"/>
      <c r="LVT101" s="769"/>
      <c r="LVU101" s="769"/>
      <c r="LVV101" s="769"/>
      <c r="LVW101" s="769"/>
      <c r="LVX101" s="769"/>
      <c r="LVY101" s="769"/>
      <c r="LVZ101" s="769"/>
      <c r="LWA101" s="769"/>
      <c r="LWB101" s="769"/>
      <c r="LWC101" s="769"/>
      <c r="LWD101" s="769"/>
      <c r="LWE101" s="769"/>
      <c r="LWF101" s="769"/>
      <c r="LWG101" s="769"/>
      <c r="LWH101" s="769"/>
      <c r="LWI101" s="769"/>
      <c r="LWJ101" s="769"/>
      <c r="LWK101" s="769"/>
      <c r="LWL101" s="769"/>
      <c r="LWM101" s="769"/>
      <c r="LWN101" s="769"/>
      <c r="LWO101" s="769"/>
      <c r="LWP101" s="769"/>
      <c r="LWQ101" s="769"/>
      <c r="LWR101" s="769"/>
      <c r="LWS101" s="769"/>
      <c r="LWT101" s="769"/>
      <c r="LWU101" s="769"/>
      <c r="LWV101" s="769"/>
      <c r="LWW101" s="769"/>
      <c r="LWX101" s="769"/>
      <c r="LWY101" s="769"/>
      <c r="LWZ101" s="769"/>
      <c r="LXA101" s="769"/>
      <c r="LXB101" s="769"/>
      <c r="LXC101" s="769"/>
      <c r="LXD101" s="769"/>
      <c r="LXE101" s="769"/>
      <c r="LXF101" s="769"/>
      <c r="LXG101" s="769"/>
      <c r="LXH101" s="769"/>
      <c r="LXI101" s="769"/>
      <c r="LXJ101" s="769"/>
      <c r="LXK101" s="769"/>
      <c r="LXL101" s="769"/>
      <c r="LXM101" s="769"/>
      <c r="LXN101" s="769"/>
      <c r="LXO101" s="769"/>
      <c r="LXP101" s="769"/>
      <c r="LXQ101" s="769"/>
      <c r="LXR101" s="769"/>
      <c r="LXS101" s="769"/>
      <c r="LXT101" s="769"/>
      <c r="LXU101" s="769"/>
      <c r="LXV101" s="769"/>
      <c r="LXW101" s="769"/>
      <c r="LXX101" s="769"/>
      <c r="LXY101" s="769"/>
      <c r="LXZ101" s="769"/>
      <c r="LYA101" s="769"/>
      <c r="LYB101" s="769"/>
      <c r="LYC101" s="769"/>
      <c r="LYD101" s="769"/>
      <c r="LYE101" s="769"/>
      <c r="LYF101" s="769"/>
      <c r="LYG101" s="769"/>
      <c r="LYH101" s="769"/>
      <c r="LYI101" s="769"/>
      <c r="LYJ101" s="769"/>
      <c r="LYK101" s="769"/>
      <c r="LYL101" s="769"/>
      <c r="LYM101" s="769"/>
      <c r="LYN101" s="769"/>
      <c r="LYO101" s="769"/>
      <c r="LYP101" s="769"/>
      <c r="LYQ101" s="769"/>
      <c r="LYR101" s="769"/>
      <c r="LYS101" s="769"/>
      <c r="LYT101" s="769"/>
      <c r="LYU101" s="769"/>
      <c r="LYV101" s="769"/>
      <c r="LYW101" s="769"/>
      <c r="LYX101" s="769"/>
      <c r="LYY101" s="769"/>
      <c r="LYZ101" s="769"/>
      <c r="LZA101" s="769"/>
      <c r="LZB101" s="769"/>
      <c r="LZC101" s="769"/>
      <c r="LZD101" s="769"/>
      <c r="LZE101" s="769"/>
      <c r="LZF101" s="769"/>
      <c r="LZG101" s="769"/>
      <c r="LZH101" s="769"/>
      <c r="LZI101" s="769"/>
      <c r="LZJ101" s="769"/>
      <c r="LZK101" s="769"/>
      <c r="LZL101" s="769"/>
      <c r="LZM101" s="769"/>
      <c r="LZN101" s="769"/>
      <c r="LZO101" s="769"/>
      <c r="LZP101" s="769"/>
      <c r="LZQ101" s="769"/>
      <c r="LZR101" s="769"/>
      <c r="LZS101" s="769"/>
      <c r="LZT101" s="769"/>
      <c r="LZU101" s="769"/>
      <c r="LZV101" s="769"/>
      <c r="LZW101" s="769"/>
      <c r="LZX101" s="769"/>
      <c r="LZY101" s="769"/>
      <c r="LZZ101" s="769"/>
      <c r="MAA101" s="769"/>
      <c r="MAB101" s="769"/>
      <c r="MAC101" s="769"/>
      <c r="MAD101" s="769"/>
      <c r="MAE101" s="769"/>
      <c r="MAF101" s="769"/>
      <c r="MAG101" s="769"/>
      <c r="MAH101" s="769"/>
      <c r="MAI101" s="769"/>
      <c r="MAJ101" s="769"/>
      <c r="MAK101" s="769"/>
      <c r="MAL101" s="769"/>
      <c r="MAM101" s="769"/>
      <c r="MAN101" s="769"/>
      <c r="MAO101" s="769"/>
      <c r="MAP101" s="769"/>
      <c r="MAQ101" s="769"/>
      <c r="MAR101" s="769"/>
      <c r="MAS101" s="769"/>
      <c r="MAT101" s="769"/>
      <c r="MAU101" s="769"/>
      <c r="MAV101" s="769"/>
      <c r="MAW101" s="769"/>
      <c r="MAX101" s="769"/>
      <c r="MAY101" s="769"/>
      <c r="MAZ101" s="769"/>
      <c r="MBA101" s="769"/>
      <c r="MBB101" s="769"/>
      <c r="MBC101" s="769"/>
      <c r="MBD101" s="769"/>
      <c r="MBE101" s="769"/>
      <c r="MBF101" s="769"/>
      <c r="MBG101" s="769"/>
      <c r="MBH101" s="769"/>
      <c r="MBI101" s="769"/>
      <c r="MBJ101" s="769"/>
      <c r="MBK101" s="769"/>
      <c r="MBL101" s="769"/>
      <c r="MBM101" s="769"/>
      <c r="MBN101" s="769"/>
      <c r="MBO101" s="769"/>
      <c r="MBP101" s="769"/>
      <c r="MBQ101" s="769"/>
      <c r="MBR101" s="769"/>
      <c r="MBS101" s="769"/>
      <c r="MBT101" s="769"/>
      <c r="MBU101" s="769"/>
      <c r="MBV101" s="769"/>
      <c r="MBW101" s="769"/>
      <c r="MBX101" s="769"/>
      <c r="MBY101" s="769"/>
      <c r="MBZ101" s="769"/>
      <c r="MCA101" s="769"/>
      <c r="MCB101" s="769"/>
      <c r="MCC101" s="769"/>
      <c r="MCD101" s="769"/>
      <c r="MCE101" s="769"/>
      <c r="MCF101" s="769"/>
      <c r="MCG101" s="769"/>
      <c r="MCH101" s="769"/>
      <c r="MCI101" s="769"/>
      <c r="MCJ101" s="769"/>
      <c r="MCK101" s="769"/>
      <c r="MCL101" s="769"/>
      <c r="MCM101" s="769"/>
      <c r="MCN101" s="769"/>
      <c r="MCO101" s="769"/>
      <c r="MCP101" s="769"/>
      <c r="MCQ101" s="769"/>
      <c r="MCR101" s="769"/>
      <c r="MCS101" s="769"/>
      <c r="MCT101" s="769"/>
      <c r="MCU101" s="769"/>
      <c r="MCV101" s="769"/>
      <c r="MCW101" s="769"/>
      <c r="MCX101" s="769"/>
      <c r="MCY101" s="769"/>
      <c r="MCZ101" s="769"/>
      <c r="MDA101" s="769"/>
      <c r="MDB101" s="769"/>
      <c r="MDC101" s="769"/>
      <c r="MDD101" s="769"/>
      <c r="MDE101" s="769"/>
      <c r="MDF101" s="769"/>
      <c r="MDG101" s="769"/>
      <c r="MDH101" s="769"/>
      <c r="MDI101" s="769"/>
      <c r="MDJ101" s="769"/>
      <c r="MDK101" s="769"/>
      <c r="MDL101" s="769"/>
      <c r="MDM101" s="769"/>
      <c r="MDN101" s="769"/>
      <c r="MDO101" s="769"/>
      <c r="MDP101" s="769"/>
      <c r="MDQ101" s="769"/>
      <c r="MDR101" s="769"/>
      <c r="MDS101" s="769"/>
      <c r="MDT101" s="769"/>
      <c r="MDU101" s="769"/>
      <c r="MDV101" s="769"/>
      <c r="MDW101" s="769"/>
      <c r="MDX101" s="769"/>
      <c r="MDY101" s="769"/>
      <c r="MDZ101" s="769"/>
      <c r="MEA101" s="769"/>
      <c r="MEB101" s="769"/>
      <c r="MEC101" s="769"/>
      <c r="MED101" s="769"/>
      <c r="MEE101" s="769"/>
      <c r="MEF101" s="769"/>
      <c r="MEG101" s="769"/>
      <c r="MEH101" s="769"/>
      <c r="MEI101" s="769"/>
      <c r="MEJ101" s="769"/>
      <c r="MEK101" s="769"/>
      <c r="MEL101" s="769"/>
      <c r="MEM101" s="769"/>
      <c r="MEN101" s="769"/>
      <c r="MEO101" s="769"/>
      <c r="MEP101" s="769"/>
      <c r="MEQ101" s="769"/>
      <c r="MER101" s="769"/>
      <c r="MES101" s="769"/>
      <c r="MET101" s="769"/>
      <c r="MEU101" s="769"/>
      <c r="MEV101" s="769"/>
      <c r="MEW101" s="769"/>
      <c r="MEX101" s="769"/>
      <c r="MEY101" s="769"/>
      <c r="MEZ101" s="769"/>
      <c r="MFA101" s="769"/>
      <c r="MFB101" s="769"/>
      <c r="MFC101" s="769"/>
      <c r="MFD101" s="769"/>
      <c r="MFE101" s="769"/>
      <c r="MFF101" s="769"/>
      <c r="MFG101" s="769"/>
      <c r="MFH101" s="769"/>
      <c r="MFI101" s="769"/>
      <c r="MFJ101" s="769"/>
      <c r="MFK101" s="769"/>
      <c r="MFL101" s="769"/>
      <c r="MFM101" s="769"/>
      <c r="MFN101" s="769"/>
      <c r="MFO101" s="769"/>
      <c r="MFP101" s="769"/>
      <c r="MFQ101" s="769"/>
      <c r="MFR101" s="769"/>
      <c r="MFS101" s="769"/>
      <c r="MFT101" s="769"/>
      <c r="MFU101" s="769"/>
      <c r="MFV101" s="769"/>
      <c r="MFW101" s="769"/>
      <c r="MFX101" s="769"/>
      <c r="MFY101" s="769"/>
      <c r="MFZ101" s="769"/>
      <c r="MGA101" s="769"/>
      <c r="MGB101" s="769"/>
      <c r="MGC101" s="769"/>
      <c r="MGD101" s="769"/>
      <c r="MGE101" s="769"/>
      <c r="MGF101" s="769"/>
      <c r="MGG101" s="769"/>
      <c r="MGH101" s="769"/>
      <c r="MGI101" s="769"/>
      <c r="MGJ101" s="769"/>
      <c r="MGK101" s="769"/>
      <c r="MGL101" s="769"/>
      <c r="MGM101" s="769"/>
      <c r="MGN101" s="769"/>
      <c r="MGO101" s="769"/>
      <c r="MGP101" s="769"/>
      <c r="MGQ101" s="769"/>
      <c r="MGR101" s="769"/>
      <c r="MGS101" s="769"/>
      <c r="MGT101" s="769"/>
      <c r="MGU101" s="769"/>
      <c r="MGV101" s="769"/>
      <c r="MGW101" s="769"/>
      <c r="MGX101" s="769"/>
      <c r="MGY101" s="769"/>
      <c r="MGZ101" s="769"/>
      <c r="MHA101" s="769"/>
      <c r="MHB101" s="769"/>
      <c r="MHC101" s="769"/>
      <c r="MHD101" s="769"/>
      <c r="MHE101" s="769"/>
      <c r="MHF101" s="769"/>
      <c r="MHG101" s="769"/>
      <c r="MHH101" s="769"/>
      <c r="MHI101" s="769"/>
      <c r="MHJ101" s="769"/>
      <c r="MHK101" s="769"/>
      <c r="MHL101" s="769"/>
      <c r="MHM101" s="769"/>
      <c r="MHN101" s="769"/>
      <c r="MHO101" s="769"/>
      <c r="MHP101" s="769"/>
      <c r="MHQ101" s="769"/>
      <c r="MHR101" s="769"/>
      <c r="MHS101" s="769"/>
      <c r="MHT101" s="769"/>
      <c r="MHU101" s="769"/>
      <c r="MHV101" s="769"/>
      <c r="MHW101" s="769"/>
      <c r="MHX101" s="769"/>
      <c r="MHY101" s="769"/>
      <c r="MHZ101" s="769"/>
      <c r="MIA101" s="769"/>
      <c r="MIB101" s="769"/>
      <c r="MIC101" s="769"/>
      <c r="MID101" s="769"/>
      <c r="MIE101" s="769"/>
      <c r="MIF101" s="769"/>
      <c r="MIG101" s="769"/>
      <c r="MIH101" s="769"/>
      <c r="MII101" s="769"/>
      <c r="MIJ101" s="769"/>
      <c r="MIK101" s="769"/>
      <c r="MIL101" s="769"/>
      <c r="MIM101" s="769"/>
      <c r="MIN101" s="769"/>
      <c r="MIO101" s="769"/>
      <c r="MIP101" s="769"/>
      <c r="MIQ101" s="769"/>
      <c r="MIR101" s="769"/>
      <c r="MIS101" s="769"/>
      <c r="MIT101" s="769"/>
      <c r="MIU101" s="769"/>
      <c r="MIV101" s="769"/>
      <c r="MIW101" s="769"/>
      <c r="MIX101" s="769"/>
      <c r="MIY101" s="769"/>
      <c r="MIZ101" s="769"/>
      <c r="MJA101" s="769"/>
      <c r="MJB101" s="769"/>
      <c r="MJC101" s="769"/>
      <c r="MJD101" s="769"/>
      <c r="MJE101" s="769"/>
      <c r="MJF101" s="769"/>
      <c r="MJG101" s="769"/>
      <c r="MJH101" s="769"/>
      <c r="MJI101" s="769"/>
      <c r="MJJ101" s="769"/>
      <c r="MJK101" s="769"/>
      <c r="MJL101" s="769"/>
      <c r="MJM101" s="769"/>
      <c r="MJN101" s="769"/>
      <c r="MJO101" s="769"/>
      <c r="MJP101" s="769"/>
      <c r="MJQ101" s="769"/>
      <c r="MJR101" s="769"/>
      <c r="MJS101" s="769"/>
      <c r="MJT101" s="769"/>
      <c r="MJU101" s="769"/>
      <c r="MJV101" s="769"/>
      <c r="MJW101" s="769"/>
      <c r="MJX101" s="769"/>
      <c r="MJY101" s="769"/>
      <c r="MJZ101" s="769"/>
      <c r="MKA101" s="769"/>
      <c r="MKB101" s="769"/>
      <c r="MKC101" s="769"/>
      <c r="MKD101" s="769"/>
      <c r="MKE101" s="769"/>
      <c r="MKF101" s="769"/>
      <c r="MKG101" s="769"/>
      <c r="MKH101" s="769"/>
      <c r="MKI101" s="769"/>
      <c r="MKJ101" s="769"/>
      <c r="MKK101" s="769"/>
      <c r="MKL101" s="769"/>
      <c r="MKM101" s="769"/>
      <c r="MKN101" s="769"/>
      <c r="MKO101" s="769"/>
      <c r="MKP101" s="769"/>
      <c r="MKQ101" s="769"/>
      <c r="MKR101" s="769"/>
      <c r="MKS101" s="769"/>
      <c r="MKT101" s="769"/>
      <c r="MKU101" s="769"/>
      <c r="MKV101" s="769"/>
      <c r="MKW101" s="769"/>
      <c r="MKX101" s="769"/>
      <c r="MKY101" s="769"/>
      <c r="MKZ101" s="769"/>
      <c r="MLA101" s="769"/>
      <c r="MLB101" s="769"/>
      <c r="MLC101" s="769"/>
      <c r="MLD101" s="769"/>
      <c r="MLE101" s="769"/>
      <c r="MLF101" s="769"/>
      <c r="MLG101" s="769"/>
      <c r="MLH101" s="769"/>
      <c r="MLI101" s="769"/>
      <c r="MLJ101" s="769"/>
      <c r="MLK101" s="769"/>
      <c r="MLL101" s="769"/>
      <c r="MLM101" s="769"/>
      <c r="MLN101" s="769"/>
      <c r="MLO101" s="769"/>
      <c r="MLP101" s="769"/>
      <c r="MLQ101" s="769"/>
      <c r="MLR101" s="769"/>
      <c r="MLS101" s="769"/>
      <c r="MLT101" s="769"/>
      <c r="MLU101" s="769"/>
      <c r="MLV101" s="769"/>
      <c r="MLW101" s="769"/>
      <c r="MLX101" s="769"/>
      <c r="MLY101" s="769"/>
      <c r="MLZ101" s="769"/>
      <c r="MMA101" s="769"/>
      <c r="MMB101" s="769"/>
      <c r="MMC101" s="769"/>
      <c r="MMD101" s="769"/>
      <c r="MME101" s="769"/>
      <c r="MMF101" s="769"/>
      <c r="MMG101" s="769"/>
      <c r="MMH101" s="769"/>
      <c r="MMI101" s="769"/>
      <c r="MMJ101" s="769"/>
      <c r="MMK101" s="769"/>
      <c r="MML101" s="769"/>
      <c r="MMM101" s="769"/>
      <c r="MMN101" s="769"/>
      <c r="MMO101" s="769"/>
      <c r="MMP101" s="769"/>
      <c r="MMQ101" s="769"/>
      <c r="MMR101" s="769"/>
      <c r="MMS101" s="769"/>
      <c r="MMT101" s="769"/>
      <c r="MMU101" s="769"/>
      <c r="MMV101" s="769"/>
      <c r="MMW101" s="769"/>
      <c r="MMX101" s="769"/>
      <c r="MMY101" s="769"/>
      <c r="MMZ101" s="769"/>
      <c r="MNA101" s="769"/>
      <c r="MNB101" s="769"/>
      <c r="MNC101" s="769"/>
      <c r="MND101" s="769"/>
      <c r="MNE101" s="769"/>
      <c r="MNF101" s="769"/>
      <c r="MNG101" s="769"/>
      <c r="MNH101" s="769"/>
      <c r="MNI101" s="769"/>
      <c r="MNJ101" s="769"/>
      <c r="MNK101" s="769"/>
      <c r="MNL101" s="769"/>
      <c r="MNM101" s="769"/>
      <c r="MNN101" s="769"/>
      <c r="MNO101" s="769"/>
      <c r="MNP101" s="769"/>
      <c r="MNQ101" s="769"/>
      <c r="MNR101" s="769"/>
      <c r="MNS101" s="769"/>
      <c r="MNT101" s="769"/>
      <c r="MNU101" s="769"/>
      <c r="MNV101" s="769"/>
      <c r="MNW101" s="769"/>
      <c r="MNX101" s="769"/>
      <c r="MNY101" s="769"/>
      <c r="MNZ101" s="769"/>
      <c r="MOA101" s="769"/>
      <c r="MOB101" s="769"/>
      <c r="MOC101" s="769"/>
      <c r="MOD101" s="769"/>
      <c r="MOE101" s="769"/>
      <c r="MOF101" s="769"/>
      <c r="MOG101" s="769"/>
      <c r="MOH101" s="769"/>
      <c r="MOI101" s="769"/>
      <c r="MOJ101" s="769"/>
      <c r="MOK101" s="769"/>
      <c r="MOL101" s="769"/>
      <c r="MOM101" s="769"/>
      <c r="MON101" s="769"/>
      <c r="MOO101" s="769"/>
      <c r="MOP101" s="769"/>
      <c r="MOQ101" s="769"/>
      <c r="MOR101" s="769"/>
      <c r="MOS101" s="769"/>
      <c r="MOT101" s="769"/>
      <c r="MOU101" s="769"/>
      <c r="MOV101" s="769"/>
      <c r="MOW101" s="769"/>
      <c r="MOX101" s="769"/>
      <c r="MOY101" s="769"/>
      <c r="MOZ101" s="769"/>
      <c r="MPA101" s="769"/>
      <c r="MPB101" s="769"/>
      <c r="MPC101" s="769"/>
      <c r="MPD101" s="769"/>
      <c r="MPE101" s="769"/>
      <c r="MPF101" s="769"/>
      <c r="MPG101" s="769"/>
      <c r="MPH101" s="769"/>
      <c r="MPI101" s="769"/>
      <c r="MPJ101" s="769"/>
      <c r="MPK101" s="769"/>
      <c r="MPL101" s="769"/>
      <c r="MPM101" s="769"/>
      <c r="MPN101" s="769"/>
      <c r="MPO101" s="769"/>
      <c r="MPP101" s="769"/>
      <c r="MPQ101" s="769"/>
      <c r="MPR101" s="769"/>
      <c r="MPS101" s="769"/>
      <c r="MPT101" s="769"/>
      <c r="MPU101" s="769"/>
      <c r="MPV101" s="769"/>
      <c r="MPW101" s="769"/>
      <c r="MPX101" s="769"/>
      <c r="MPY101" s="769"/>
      <c r="MPZ101" s="769"/>
      <c r="MQA101" s="769"/>
      <c r="MQB101" s="769"/>
      <c r="MQC101" s="769"/>
      <c r="MQD101" s="769"/>
      <c r="MQE101" s="769"/>
      <c r="MQF101" s="769"/>
      <c r="MQG101" s="769"/>
      <c r="MQH101" s="769"/>
      <c r="MQI101" s="769"/>
      <c r="MQJ101" s="769"/>
      <c r="MQK101" s="769"/>
      <c r="MQL101" s="769"/>
      <c r="MQM101" s="769"/>
      <c r="MQN101" s="769"/>
      <c r="MQO101" s="769"/>
      <c r="MQP101" s="769"/>
      <c r="MQQ101" s="769"/>
      <c r="MQR101" s="769"/>
      <c r="MQS101" s="769"/>
      <c r="MQT101" s="769"/>
      <c r="MQU101" s="769"/>
      <c r="MQV101" s="769"/>
      <c r="MQW101" s="769"/>
      <c r="MQX101" s="769"/>
      <c r="MQY101" s="769"/>
      <c r="MQZ101" s="769"/>
      <c r="MRA101" s="769"/>
      <c r="MRB101" s="769"/>
      <c r="MRC101" s="769"/>
      <c r="MRD101" s="769"/>
      <c r="MRE101" s="769"/>
      <c r="MRF101" s="769"/>
      <c r="MRG101" s="769"/>
      <c r="MRH101" s="769"/>
      <c r="MRI101" s="769"/>
      <c r="MRJ101" s="769"/>
      <c r="MRK101" s="769"/>
      <c r="MRL101" s="769"/>
      <c r="MRM101" s="769"/>
      <c r="MRN101" s="769"/>
      <c r="MRO101" s="769"/>
      <c r="MRP101" s="769"/>
      <c r="MRQ101" s="769"/>
      <c r="MRR101" s="769"/>
      <c r="MRS101" s="769"/>
      <c r="MRT101" s="769"/>
      <c r="MRU101" s="769"/>
      <c r="MRV101" s="769"/>
      <c r="MRW101" s="769"/>
      <c r="MRX101" s="769"/>
      <c r="MRY101" s="769"/>
      <c r="MRZ101" s="769"/>
      <c r="MSA101" s="769"/>
      <c r="MSB101" s="769"/>
      <c r="MSC101" s="769"/>
      <c r="MSD101" s="769"/>
      <c r="MSE101" s="769"/>
      <c r="MSF101" s="769"/>
      <c r="MSG101" s="769"/>
      <c r="MSH101" s="769"/>
      <c r="MSI101" s="769"/>
      <c r="MSJ101" s="769"/>
      <c r="MSK101" s="769"/>
      <c r="MSL101" s="769"/>
      <c r="MSM101" s="769"/>
      <c r="MSN101" s="769"/>
      <c r="MSO101" s="769"/>
      <c r="MSP101" s="769"/>
      <c r="MSQ101" s="769"/>
      <c r="MSR101" s="769"/>
      <c r="MSS101" s="769"/>
      <c r="MST101" s="769"/>
      <c r="MSU101" s="769"/>
      <c r="MSV101" s="769"/>
      <c r="MSW101" s="769"/>
      <c r="MSX101" s="769"/>
      <c r="MSY101" s="769"/>
      <c r="MSZ101" s="769"/>
      <c r="MTA101" s="769"/>
      <c r="MTB101" s="769"/>
      <c r="MTC101" s="769"/>
      <c r="MTD101" s="769"/>
      <c r="MTE101" s="769"/>
      <c r="MTF101" s="769"/>
      <c r="MTG101" s="769"/>
      <c r="MTH101" s="769"/>
      <c r="MTI101" s="769"/>
      <c r="MTJ101" s="769"/>
      <c r="MTK101" s="769"/>
      <c r="MTL101" s="769"/>
      <c r="MTM101" s="769"/>
      <c r="MTN101" s="769"/>
      <c r="MTO101" s="769"/>
      <c r="MTP101" s="769"/>
      <c r="MTQ101" s="769"/>
      <c r="MTR101" s="769"/>
      <c r="MTS101" s="769"/>
      <c r="MTT101" s="769"/>
      <c r="MTU101" s="769"/>
      <c r="MTV101" s="769"/>
      <c r="MTW101" s="769"/>
      <c r="MTX101" s="769"/>
      <c r="MTY101" s="769"/>
      <c r="MTZ101" s="769"/>
      <c r="MUA101" s="769"/>
      <c r="MUB101" s="769"/>
      <c r="MUC101" s="769"/>
      <c r="MUD101" s="769"/>
      <c r="MUE101" s="769"/>
      <c r="MUF101" s="769"/>
      <c r="MUG101" s="769"/>
      <c r="MUH101" s="769"/>
      <c r="MUI101" s="769"/>
      <c r="MUJ101" s="769"/>
      <c r="MUK101" s="769"/>
      <c r="MUL101" s="769"/>
      <c r="MUM101" s="769"/>
      <c r="MUN101" s="769"/>
      <c r="MUO101" s="769"/>
      <c r="MUP101" s="769"/>
      <c r="MUQ101" s="769"/>
      <c r="MUR101" s="769"/>
      <c r="MUS101" s="769"/>
      <c r="MUT101" s="769"/>
      <c r="MUU101" s="769"/>
      <c r="MUV101" s="769"/>
      <c r="MUW101" s="769"/>
      <c r="MUX101" s="769"/>
      <c r="MUY101" s="769"/>
      <c r="MUZ101" s="769"/>
      <c r="MVA101" s="769"/>
      <c r="MVB101" s="769"/>
      <c r="MVC101" s="769"/>
      <c r="MVD101" s="769"/>
      <c r="MVE101" s="769"/>
      <c r="MVF101" s="769"/>
      <c r="MVG101" s="769"/>
      <c r="MVH101" s="769"/>
      <c r="MVI101" s="769"/>
      <c r="MVJ101" s="769"/>
      <c r="MVK101" s="769"/>
      <c r="MVL101" s="769"/>
      <c r="MVM101" s="769"/>
      <c r="MVN101" s="769"/>
      <c r="MVO101" s="769"/>
      <c r="MVP101" s="769"/>
      <c r="MVQ101" s="769"/>
      <c r="MVR101" s="769"/>
      <c r="MVS101" s="769"/>
      <c r="MVT101" s="769"/>
      <c r="MVU101" s="769"/>
      <c r="MVV101" s="769"/>
      <c r="MVW101" s="769"/>
      <c r="MVX101" s="769"/>
      <c r="MVY101" s="769"/>
      <c r="MVZ101" s="769"/>
      <c r="MWA101" s="769"/>
      <c r="MWB101" s="769"/>
      <c r="MWC101" s="769"/>
      <c r="MWD101" s="769"/>
      <c r="MWE101" s="769"/>
      <c r="MWF101" s="769"/>
      <c r="MWG101" s="769"/>
      <c r="MWH101" s="769"/>
      <c r="MWI101" s="769"/>
      <c r="MWJ101" s="769"/>
      <c r="MWK101" s="769"/>
      <c r="MWL101" s="769"/>
      <c r="MWM101" s="769"/>
      <c r="MWN101" s="769"/>
      <c r="MWO101" s="769"/>
      <c r="MWP101" s="769"/>
      <c r="MWQ101" s="769"/>
      <c r="MWR101" s="769"/>
      <c r="MWS101" s="769"/>
      <c r="MWT101" s="769"/>
      <c r="MWU101" s="769"/>
      <c r="MWV101" s="769"/>
      <c r="MWW101" s="769"/>
      <c r="MWX101" s="769"/>
      <c r="MWY101" s="769"/>
      <c r="MWZ101" s="769"/>
      <c r="MXA101" s="769"/>
      <c r="MXB101" s="769"/>
      <c r="MXC101" s="769"/>
      <c r="MXD101" s="769"/>
      <c r="MXE101" s="769"/>
      <c r="MXF101" s="769"/>
      <c r="MXG101" s="769"/>
      <c r="MXH101" s="769"/>
      <c r="MXI101" s="769"/>
      <c r="MXJ101" s="769"/>
      <c r="MXK101" s="769"/>
      <c r="MXL101" s="769"/>
      <c r="MXM101" s="769"/>
      <c r="MXN101" s="769"/>
      <c r="MXO101" s="769"/>
      <c r="MXP101" s="769"/>
      <c r="MXQ101" s="769"/>
      <c r="MXR101" s="769"/>
      <c r="MXS101" s="769"/>
      <c r="MXT101" s="769"/>
      <c r="MXU101" s="769"/>
      <c r="MXV101" s="769"/>
      <c r="MXW101" s="769"/>
      <c r="MXX101" s="769"/>
      <c r="MXY101" s="769"/>
      <c r="MXZ101" s="769"/>
      <c r="MYA101" s="769"/>
      <c r="MYB101" s="769"/>
      <c r="MYC101" s="769"/>
      <c r="MYD101" s="769"/>
      <c r="MYE101" s="769"/>
      <c r="MYF101" s="769"/>
      <c r="MYG101" s="769"/>
      <c r="MYH101" s="769"/>
      <c r="MYI101" s="769"/>
      <c r="MYJ101" s="769"/>
      <c r="MYK101" s="769"/>
      <c r="MYL101" s="769"/>
      <c r="MYM101" s="769"/>
      <c r="MYN101" s="769"/>
      <c r="MYO101" s="769"/>
      <c r="MYP101" s="769"/>
      <c r="MYQ101" s="769"/>
      <c r="MYR101" s="769"/>
      <c r="MYS101" s="769"/>
      <c r="MYT101" s="769"/>
      <c r="MYU101" s="769"/>
      <c r="MYV101" s="769"/>
      <c r="MYW101" s="769"/>
      <c r="MYX101" s="769"/>
      <c r="MYY101" s="769"/>
      <c r="MYZ101" s="769"/>
      <c r="MZA101" s="769"/>
      <c r="MZB101" s="769"/>
      <c r="MZC101" s="769"/>
      <c r="MZD101" s="769"/>
      <c r="MZE101" s="769"/>
      <c r="MZF101" s="769"/>
      <c r="MZG101" s="769"/>
      <c r="MZH101" s="769"/>
      <c r="MZI101" s="769"/>
      <c r="MZJ101" s="769"/>
      <c r="MZK101" s="769"/>
      <c r="MZL101" s="769"/>
      <c r="MZM101" s="769"/>
      <c r="MZN101" s="769"/>
      <c r="MZO101" s="769"/>
      <c r="MZP101" s="769"/>
      <c r="MZQ101" s="769"/>
      <c r="MZR101" s="769"/>
      <c r="MZS101" s="769"/>
      <c r="MZT101" s="769"/>
      <c r="MZU101" s="769"/>
      <c r="MZV101" s="769"/>
      <c r="MZW101" s="769"/>
      <c r="MZX101" s="769"/>
      <c r="MZY101" s="769"/>
      <c r="MZZ101" s="769"/>
      <c r="NAA101" s="769"/>
      <c r="NAB101" s="769"/>
      <c r="NAC101" s="769"/>
      <c r="NAD101" s="769"/>
      <c r="NAE101" s="769"/>
      <c r="NAF101" s="769"/>
      <c r="NAG101" s="769"/>
      <c r="NAH101" s="769"/>
      <c r="NAI101" s="769"/>
      <c r="NAJ101" s="769"/>
      <c r="NAK101" s="769"/>
      <c r="NAL101" s="769"/>
      <c r="NAM101" s="769"/>
      <c r="NAN101" s="769"/>
      <c r="NAO101" s="769"/>
      <c r="NAP101" s="769"/>
      <c r="NAQ101" s="769"/>
      <c r="NAR101" s="769"/>
      <c r="NAS101" s="769"/>
      <c r="NAT101" s="769"/>
      <c r="NAU101" s="769"/>
      <c r="NAV101" s="769"/>
      <c r="NAW101" s="769"/>
      <c r="NAX101" s="769"/>
      <c r="NAY101" s="769"/>
      <c r="NAZ101" s="769"/>
      <c r="NBA101" s="769"/>
      <c r="NBB101" s="769"/>
      <c r="NBC101" s="769"/>
      <c r="NBD101" s="769"/>
      <c r="NBE101" s="769"/>
      <c r="NBF101" s="769"/>
      <c r="NBG101" s="769"/>
      <c r="NBH101" s="769"/>
      <c r="NBI101" s="769"/>
      <c r="NBJ101" s="769"/>
      <c r="NBK101" s="769"/>
      <c r="NBL101" s="769"/>
      <c r="NBM101" s="769"/>
      <c r="NBN101" s="769"/>
      <c r="NBO101" s="769"/>
      <c r="NBP101" s="769"/>
      <c r="NBQ101" s="769"/>
      <c r="NBR101" s="769"/>
      <c r="NBS101" s="769"/>
      <c r="NBT101" s="769"/>
      <c r="NBU101" s="769"/>
      <c r="NBV101" s="769"/>
      <c r="NBW101" s="769"/>
      <c r="NBX101" s="769"/>
      <c r="NBY101" s="769"/>
      <c r="NBZ101" s="769"/>
      <c r="NCA101" s="769"/>
      <c r="NCB101" s="769"/>
      <c r="NCC101" s="769"/>
      <c r="NCD101" s="769"/>
      <c r="NCE101" s="769"/>
      <c r="NCF101" s="769"/>
      <c r="NCG101" s="769"/>
      <c r="NCH101" s="769"/>
      <c r="NCI101" s="769"/>
      <c r="NCJ101" s="769"/>
      <c r="NCK101" s="769"/>
      <c r="NCL101" s="769"/>
      <c r="NCM101" s="769"/>
      <c r="NCN101" s="769"/>
      <c r="NCO101" s="769"/>
      <c r="NCP101" s="769"/>
      <c r="NCQ101" s="769"/>
      <c r="NCR101" s="769"/>
      <c r="NCS101" s="769"/>
      <c r="NCT101" s="769"/>
      <c r="NCU101" s="769"/>
      <c r="NCV101" s="769"/>
      <c r="NCW101" s="769"/>
      <c r="NCX101" s="769"/>
      <c r="NCY101" s="769"/>
      <c r="NCZ101" s="769"/>
      <c r="NDA101" s="769"/>
      <c r="NDB101" s="769"/>
      <c r="NDC101" s="769"/>
      <c r="NDD101" s="769"/>
      <c r="NDE101" s="769"/>
      <c r="NDF101" s="769"/>
      <c r="NDG101" s="769"/>
      <c r="NDH101" s="769"/>
      <c r="NDI101" s="769"/>
      <c r="NDJ101" s="769"/>
      <c r="NDK101" s="769"/>
      <c r="NDL101" s="769"/>
      <c r="NDM101" s="769"/>
      <c r="NDN101" s="769"/>
      <c r="NDO101" s="769"/>
      <c r="NDP101" s="769"/>
      <c r="NDQ101" s="769"/>
      <c r="NDR101" s="769"/>
      <c r="NDS101" s="769"/>
      <c r="NDT101" s="769"/>
      <c r="NDU101" s="769"/>
      <c r="NDV101" s="769"/>
      <c r="NDW101" s="769"/>
      <c r="NDX101" s="769"/>
      <c r="NDY101" s="769"/>
      <c r="NDZ101" s="769"/>
      <c r="NEA101" s="769"/>
      <c r="NEB101" s="769"/>
      <c r="NEC101" s="769"/>
      <c r="NED101" s="769"/>
      <c r="NEE101" s="769"/>
      <c r="NEF101" s="769"/>
      <c r="NEG101" s="769"/>
      <c r="NEH101" s="769"/>
      <c r="NEI101" s="769"/>
      <c r="NEJ101" s="769"/>
      <c r="NEK101" s="769"/>
      <c r="NEL101" s="769"/>
      <c r="NEM101" s="769"/>
      <c r="NEN101" s="769"/>
      <c r="NEO101" s="769"/>
      <c r="NEP101" s="769"/>
      <c r="NEQ101" s="769"/>
      <c r="NER101" s="769"/>
      <c r="NES101" s="769"/>
      <c r="NET101" s="769"/>
      <c r="NEU101" s="769"/>
      <c r="NEV101" s="769"/>
      <c r="NEW101" s="769"/>
      <c r="NEX101" s="769"/>
      <c r="NEY101" s="769"/>
      <c r="NEZ101" s="769"/>
      <c r="NFA101" s="769"/>
      <c r="NFB101" s="769"/>
      <c r="NFC101" s="769"/>
      <c r="NFD101" s="769"/>
      <c r="NFE101" s="769"/>
      <c r="NFF101" s="769"/>
      <c r="NFG101" s="769"/>
      <c r="NFH101" s="769"/>
      <c r="NFI101" s="769"/>
      <c r="NFJ101" s="769"/>
      <c r="NFK101" s="769"/>
      <c r="NFL101" s="769"/>
      <c r="NFM101" s="769"/>
      <c r="NFN101" s="769"/>
      <c r="NFO101" s="769"/>
      <c r="NFP101" s="769"/>
      <c r="NFQ101" s="769"/>
      <c r="NFR101" s="769"/>
      <c r="NFS101" s="769"/>
      <c r="NFT101" s="769"/>
      <c r="NFU101" s="769"/>
      <c r="NFV101" s="769"/>
      <c r="NFW101" s="769"/>
      <c r="NFX101" s="769"/>
      <c r="NFY101" s="769"/>
      <c r="NFZ101" s="769"/>
      <c r="NGA101" s="769"/>
      <c r="NGB101" s="769"/>
      <c r="NGC101" s="769"/>
      <c r="NGD101" s="769"/>
      <c r="NGE101" s="769"/>
      <c r="NGF101" s="769"/>
      <c r="NGG101" s="769"/>
      <c r="NGH101" s="769"/>
      <c r="NGI101" s="769"/>
      <c r="NGJ101" s="769"/>
      <c r="NGK101" s="769"/>
      <c r="NGL101" s="769"/>
      <c r="NGM101" s="769"/>
      <c r="NGN101" s="769"/>
      <c r="NGO101" s="769"/>
      <c r="NGP101" s="769"/>
      <c r="NGQ101" s="769"/>
      <c r="NGR101" s="769"/>
      <c r="NGS101" s="769"/>
      <c r="NGT101" s="769"/>
      <c r="NGU101" s="769"/>
      <c r="NGV101" s="769"/>
      <c r="NGW101" s="769"/>
      <c r="NGX101" s="769"/>
      <c r="NGY101" s="769"/>
      <c r="NGZ101" s="769"/>
      <c r="NHA101" s="769"/>
      <c r="NHB101" s="769"/>
      <c r="NHC101" s="769"/>
      <c r="NHD101" s="769"/>
      <c r="NHE101" s="769"/>
      <c r="NHF101" s="769"/>
      <c r="NHG101" s="769"/>
      <c r="NHH101" s="769"/>
      <c r="NHI101" s="769"/>
      <c r="NHJ101" s="769"/>
      <c r="NHK101" s="769"/>
      <c r="NHL101" s="769"/>
      <c r="NHM101" s="769"/>
      <c r="NHN101" s="769"/>
      <c r="NHO101" s="769"/>
      <c r="NHP101" s="769"/>
      <c r="NHQ101" s="769"/>
      <c r="NHR101" s="769"/>
      <c r="NHS101" s="769"/>
      <c r="NHT101" s="769"/>
      <c r="NHU101" s="769"/>
      <c r="NHV101" s="769"/>
      <c r="NHW101" s="769"/>
      <c r="NHX101" s="769"/>
      <c r="NHY101" s="769"/>
      <c r="NHZ101" s="769"/>
      <c r="NIA101" s="769"/>
      <c r="NIB101" s="769"/>
      <c r="NIC101" s="769"/>
      <c r="NID101" s="769"/>
      <c r="NIE101" s="769"/>
      <c r="NIF101" s="769"/>
      <c r="NIG101" s="769"/>
      <c r="NIH101" s="769"/>
      <c r="NII101" s="769"/>
      <c r="NIJ101" s="769"/>
      <c r="NIK101" s="769"/>
      <c r="NIL101" s="769"/>
      <c r="NIM101" s="769"/>
      <c r="NIN101" s="769"/>
      <c r="NIO101" s="769"/>
      <c r="NIP101" s="769"/>
      <c r="NIQ101" s="769"/>
      <c r="NIR101" s="769"/>
      <c r="NIS101" s="769"/>
      <c r="NIT101" s="769"/>
      <c r="NIU101" s="769"/>
      <c r="NIV101" s="769"/>
      <c r="NIW101" s="769"/>
      <c r="NIX101" s="769"/>
      <c r="NIY101" s="769"/>
      <c r="NIZ101" s="769"/>
      <c r="NJA101" s="769"/>
      <c r="NJB101" s="769"/>
      <c r="NJC101" s="769"/>
      <c r="NJD101" s="769"/>
      <c r="NJE101" s="769"/>
      <c r="NJF101" s="769"/>
      <c r="NJG101" s="769"/>
      <c r="NJH101" s="769"/>
      <c r="NJI101" s="769"/>
      <c r="NJJ101" s="769"/>
      <c r="NJK101" s="769"/>
      <c r="NJL101" s="769"/>
      <c r="NJM101" s="769"/>
      <c r="NJN101" s="769"/>
      <c r="NJO101" s="769"/>
      <c r="NJP101" s="769"/>
      <c r="NJQ101" s="769"/>
      <c r="NJR101" s="769"/>
      <c r="NJS101" s="769"/>
      <c r="NJT101" s="769"/>
      <c r="NJU101" s="769"/>
      <c r="NJV101" s="769"/>
      <c r="NJW101" s="769"/>
      <c r="NJX101" s="769"/>
      <c r="NJY101" s="769"/>
      <c r="NJZ101" s="769"/>
      <c r="NKA101" s="769"/>
      <c r="NKB101" s="769"/>
      <c r="NKC101" s="769"/>
      <c r="NKD101" s="769"/>
      <c r="NKE101" s="769"/>
      <c r="NKF101" s="769"/>
      <c r="NKG101" s="769"/>
      <c r="NKH101" s="769"/>
      <c r="NKI101" s="769"/>
      <c r="NKJ101" s="769"/>
      <c r="NKK101" s="769"/>
      <c r="NKL101" s="769"/>
      <c r="NKM101" s="769"/>
      <c r="NKN101" s="769"/>
      <c r="NKO101" s="769"/>
      <c r="NKP101" s="769"/>
      <c r="NKQ101" s="769"/>
      <c r="NKR101" s="769"/>
      <c r="NKS101" s="769"/>
      <c r="NKT101" s="769"/>
      <c r="NKU101" s="769"/>
      <c r="NKV101" s="769"/>
      <c r="NKW101" s="769"/>
      <c r="NKX101" s="769"/>
      <c r="NKY101" s="769"/>
      <c r="NKZ101" s="769"/>
      <c r="NLA101" s="769"/>
      <c r="NLB101" s="769"/>
      <c r="NLC101" s="769"/>
      <c r="NLD101" s="769"/>
      <c r="NLE101" s="769"/>
      <c r="NLF101" s="769"/>
      <c r="NLG101" s="769"/>
      <c r="NLH101" s="769"/>
      <c r="NLI101" s="769"/>
      <c r="NLJ101" s="769"/>
      <c r="NLK101" s="769"/>
      <c r="NLL101" s="769"/>
      <c r="NLM101" s="769"/>
      <c r="NLN101" s="769"/>
      <c r="NLO101" s="769"/>
      <c r="NLP101" s="769"/>
      <c r="NLQ101" s="769"/>
      <c r="NLR101" s="769"/>
      <c r="NLS101" s="769"/>
      <c r="NLT101" s="769"/>
      <c r="NLU101" s="769"/>
      <c r="NLV101" s="769"/>
      <c r="NLW101" s="769"/>
      <c r="NLX101" s="769"/>
      <c r="NLY101" s="769"/>
      <c r="NLZ101" s="769"/>
      <c r="NMA101" s="769"/>
      <c r="NMB101" s="769"/>
      <c r="NMC101" s="769"/>
      <c r="NMD101" s="769"/>
      <c r="NME101" s="769"/>
      <c r="NMF101" s="769"/>
      <c r="NMG101" s="769"/>
      <c r="NMH101" s="769"/>
      <c r="NMI101" s="769"/>
      <c r="NMJ101" s="769"/>
      <c r="NMK101" s="769"/>
      <c r="NML101" s="769"/>
      <c r="NMM101" s="769"/>
      <c r="NMN101" s="769"/>
      <c r="NMO101" s="769"/>
      <c r="NMP101" s="769"/>
      <c r="NMQ101" s="769"/>
      <c r="NMR101" s="769"/>
      <c r="NMS101" s="769"/>
      <c r="NMT101" s="769"/>
      <c r="NMU101" s="769"/>
      <c r="NMV101" s="769"/>
      <c r="NMW101" s="769"/>
      <c r="NMX101" s="769"/>
      <c r="NMY101" s="769"/>
      <c r="NMZ101" s="769"/>
      <c r="NNA101" s="769"/>
      <c r="NNB101" s="769"/>
      <c r="NNC101" s="769"/>
      <c r="NND101" s="769"/>
      <c r="NNE101" s="769"/>
      <c r="NNF101" s="769"/>
      <c r="NNG101" s="769"/>
      <c r="NNH101" s="769"/>
      <c r="NNI101" s="769"/>
      <c r="NNJ101" s="769"/>
      <c r="NNK101" s="769"/>
      <c r="NNL101" s="769"/>
      <c r="NNM101" s="769"/>
      <c r="NNN101" s="769"/>
      <c r="NNO101" s="769"/>
      <c r="NNP101" s="769"/>
      <c r="NNQ101" s="769"/>
      <c r="NNR101" s="769"/>
      <c r="NNS101" s="769"/>
      <c r="NNT101" s="769"/>
      <c r="NNU101" s="769"/>
      <c r="NNV101" s="769"/>
      <c r="NNW101" s="769"/>
      <c r="NNX101" s="769"/>
      <c r="NNY101" s="769"/>
      <c r="NNZ101" s="769"/>
      <c r="NOA101" s="769"/>
      <c r="NOB101" s="769"/>
      <c r="NOC101" s="769"/>
      <c r="NOD101" s="769"/>
      <c r="NOE101" s="769"/>
      <c r="NOF101" s="769"/>
      <c r="NOG101" s="769"/>
      <c r="NOH101" s="769"/>
      <c r="NOI101" s="769"/>
      <c r="NOJ101" s="769"/>
      <c r="NOK101" s="769"/>
      <c r="NOL101" s="769"/>
      <c r="NOM101" s="769"/>
      <c r="NON101" s="769"/>
      <c r="NOO101" s="769"/>
      <c r="NOP101" s="769"/>
      <c r="NOQ101" s="769"/>
      <c r="NOR101" s="769"/>
      <c r="NOS101" s="769"/>
      <c r="NOT101" s="769"/>
      <c r="NOU101" s="769"/>
      <c r="NOV101" s="769"/>
      <c r="NOW101" s="769"/>
      <c r="NOX101" s="769"/>
      <c r="NOY101" s="769"/>
      <c r="NOZ101" s="769"/>
      <c r="NPA101" s="769"/>
      <c r="NPB101" s="769"/>
      <c r="NPC101" s="769"/>
      <c r="NPD101" s="769"/>
      <c r="NPE101" s="769"/>
      <c r="NPF101" s="769"/>
      <c r="NPG101" s="769"/>
      <c r="NPH101" s="769"/>
      <c r="NPI101" s="769"/>
      <c r="NPJ101" s="769"/>
      <c r="NPK101" s="769"/>
      <c r="NPL101" s="769"/>
      <c r="NPM101" s="769"/>
      <c r="NPN101" s="769"/>
      <c r="NPO101" s="769"/>
      <c r="NPP101" s="769"/>
      <c r="NPQ101" s="769"/>
      <c r="NPR101" s="769"/>
      <c r="NPS101" s="769"/>
      <c r="NPT101" s="769"/>
      <c r="NPU101" s="769"/>
      <c r="NPV101" s="769"/>
      <c r="NPW101" s="769"/>
      <c r="NPX101" s="769"/>
      <c r="NPY101" s="769"/>
      <c r="NPZ101" s="769"/>
      <c r="NQA101" s="769"/>
      <c r="NQB101" s="769"/>
      <c r="NQC101" s="769"/>
      <c r="NQD101" s="769"/>
      <c r="NQE101" s="769"/>
      <c r="NQF101" s="769"/>
      <c r="NQG101" s="769"/>
      <c r="NQH101" s="769"/>
      <c r="NQI101" s="769"/>
      <c r="NQJ101" s="769"/>
      <c r="NQK101" s="769"/>
      <c r="NQL101" s="769"/>
      <c r="NQM101" s="769"/>
      <c r="NQN101" s="769"/>
      <c r="NQO101" s="769"/>
      <c r="NQP101" s="769"/>
      <c r="NQQ101" s="769"/>
      <c r="NQR101" s="769"/>
      <c r="NQS101" s="769"/>
      <c r="NQT101" s="769"/>
      <c r="NQU101" s="769"/>
      <c r="NQV101" s="769"/>
      <c r="NQW101" s="769"/>
      <c r="NQX101" s="769"/>
      <c r="NQY101" s="769"/>
      <c r="NQZ101" s="769"/>
      <c r="NRA101" s="769"/>
      <c r="NRB101" s="769"/>
      <c r="NRC101" s="769"/>
      <c r="NRD101" s="769"/>
      <c r="NRE101" s="769"/>
      <c r="NRF101" s="769"/>
      <c r="NRG101" s="769"/>
      <c r="NRH101" s="769"/>
      <c r="NRI101" s="769"/>
      <c r="NRJ101" s="769"/>
      <c r="NRK101" s="769"/>
      <c r="NRL101" s="769"/>
      <c r="NRM101" s="769"/>
      <c r="NRN101" s="769"/>
      <c r="NRO101" s="769"/>
      <c r="NRP101" s="769"/>
      <c r="NRQ101" s="769"/>
      <c r="NRR101" s="769"/>
      <c r="NRS101" s="769"/>
      <c r="NRT101" s="769"/>
      <c r="NRU101" s="769"/>
      <c r="NRV101" s="769"/>
      <c r="NRW101" s="769"/>
      <c r="NRX101" s="769"/>
      <c r="NRY101" s="769"/>
      <c r="NRZ101" s="769"/>
      <c r="NSA101" s="769"/>
      <c r="NSB101" s="769"/>
      <c r="NSC101" s="769"/>
      <c r="NSD101" s="769"/>
      <c r="NSE101" s="769"/>
      <c r="NSF101" s="769"/>
      <c r="NSG101" s="769"/>
      <c r="NSH101" s="769"/>
      <c r="NSI101" s="769"/>
      <c r="NSJ101" s="769"/>
      <c r="NSK101" s="769"/>
      <c r="NSL101" s="769"/>
      <c r="NSM101" s="769"/>
      <c r="NSN101" s="769"/>
      <c r="NSO101" s="769"/>
      <c r="NSP101" s="769"/>
      <c r="NSQ101" s="769"/>
      <c r="NSR101" s="769"/>
      <c r="NSS101" s="769"/>
      <c r="NST101" s="769"/>
      <c r="NSU101" s="769"/>
      <c r="NSV101" s="769"/>
      <c r="NSW101" s="769"/>
      <c r="NSX101" s="769"/>
      <c r="NSY101" s="769"/>
      <c r="NSZ101" s="769"/>
      <c r="NTA101" s="769"/>
      <c r="NTB101" s="769"/>
      <c r="NTC101" s="769"/>
      <c r="NTD101" s="769"/>
      <c r="NTE101" s="769"/>
      <c r="NTF101" s="769"/>
      <c r="NTG101" s="769"/>
      <c r="NTH101" s="769"/>
      <c r="NTI101" s="769"/>
      <c r="NTJ101" s="769"/>
      <c r="NTK101" s="769"/>
      <c r="NTL101" s="769"/>
      <c r="NTM101" s="769"/>
      <c r="NTN101" s="769"/>
      <c r="NTO101" s="769"/>
      <c r="NTP101" s="769"/>
      <c r="NTQ101" s="769"/>
      <c r="NTR101" s="769"/>
      <c r="NTS101" s="769"/>
      <c r="NTT101" s="769"/>
      <c r="NTU101" s="769"/>
      <c r="NTV101" s="769"/>
      <c r="NTW101" s="769"/>
      <c r="NTX101" s="769"/>
      <c r="NTY101" s="769"/>
      <c r="NTZ101" s="769"/>
      <c r="NUA101" s="769"/>
      <c r="NUB101" s="769"/>
      <c r="NUC101" s="769"/>
      <c r="NUD101" s="769"/>
      <c r="NUE101" s="769"/>
      <c r="NUF101" s="769"/>
      <c r="NUG101" s="769"/>
      <c r="NUH101" s="769"/>
      <c r="NUI101" s="769"/>
      <c r="NUJ101" s="769"/>
      <c r="NUK101" s="769"/>
      <c r="NUL101" s="769"/>
      <c r="NUM101" s="769"/>
      <c r="NUN101" s="769"/>
      <c r="NUO101" s="769"/>
      <c r="NUP101" s="769"/>
      <c r="NUQ101" s="769"/>
      <c r="NUR101" s="769"/>
      <c r="NUS101" s="769"/>
      <c r="NUT101" s="769"/>
      <c r="NUU101" s="769"/>
      <c r="NUV101" s="769"/>
      <c r="NUW101" s="769"/>
      <c r="NUX101" s="769"/>
      <c r="NUY101" s="769"/>
      <c r="NUZ101" s="769"/>
      <c r="NVA101" s="769"/>
      <c r="NVB101" s="769"/>
      <c r="NVC101" s="769"/>
      <c r="NVD101" s="769"/>
      <c r="NVE101" s="769"/>
      <c r="NVF101" s="769"/>
      <c r="NVG101" s="769"/>
      <c r="NVH101" s="769"/>
      <c r="NVI101" s="769"/>
      <c r="NVJ101" s="769"/>
      <c r="NVK101" s="769"/>
      <c r="NVL101" s="769"/>
      <c r="NVM101" s="769"/>
      <c r="NVN101" s="769"/>
      <c r="NVO101" s="769"/>
      <c r="NVP101" s="769"/>
      <c r="NVQ101" s="769"/>
      <c r="NVR101" s="769"/>
      <c r="NVS101" s="769"/>
      <c r="NVT101" s="769"/>
      <c r="NVU101" s="769"/>
      <c r="NVV101" s="769"/>
      <c r="NVW101" s="769"/>
      <c r="NVX101" s="769"/>
      <c r="NVY101" s="769"/>
      <c r="NVZ101" s="769"/>
      <c r="NWA101" s="769"/>
      <c r="NWB101" s="769"/>
      <c r="NWC101" s="769"/>
      <c r="NWD101" s="769"/>
      <c r="NWE101" s="769"/>
      <c r="NWF101" s="769"/>
      <c r="NWG101" s="769"/>
      <c r="NWH101" s="769"/>
      <c r="NWI101" s="769"/>
      <c r="NWJ101" s="769"/>
      <c r="NWK101" s="769"/>
      <c r="NWL101" s="769"/>
      <c r="NWM101" s="769"/>
      <c r="NWN101" s="769"/>
      <c r="NWO101" s="769"/>
      <c r="NWP101" s="769"/>
      <c r="NWQ101" s="769"/>
      <c r="NWR101" s="769"/>
      <c r="NWS101" s="769"/>
      <c r="NWT101" s="769"/>
      <c r="NWU101" s="769"/>
      <c r="NWV101" s="769"/>
      <c r="NWW101" s="769"/>
      <c r="NWX101" s="769"/>
      <c r="NWY101" s="769"/>
      <c r="NWZ101" s="769"/>
      <c r="NXA101" s="769"/>
      <c r="NXB101" s="769"/>
      <c r="NXC101" s="769"/>
      <c r="NXD101" s="769"/>
      <c r="NXE101" s="769"/>
      <c r="NXF101" s="769"/>
      <c r="NXG101" s="769"/>
      <c r="NXH101" s="769"/>
      <c r="NXI101" s="769"/>
      <c r="NXJ101" s="769"/>
      <c r="NXK101" s="769"/>
      <c r="NXL101" s="769"/>
      <c r="NXM101" s="769"/>
      <c r="NXN101" s="769"/>
      <c r="NXO101" s="769"/>
      <c r="NXP101" s="769"/>
      <c r="NXQ101" s="769"/>
      <c r="NXR101" s="769"/>
      <c r="NXS101" s="769"/>
      <c r="NXT101" s="769"/>
      <c r="NXU101" s="769"/>
      <c r="NXV101" s="769"/>
      <c r="NXW101" s="769"/>
      <c r="NXX101" s="769"/>
      <c r="NXY101" s="769"/>
      <c r="NXZ101" s="769"/>
      <c r="NYA101" s="769"/>
      <c r="NYB101" s="769"/>
      <c r="NYC101" s="769"/>
      <c r="NYD101" s="769"/>
      <c r="NYE101" s="769"/>
      <c r="NYF101" s="769"/>
      <c r="NYG101" s="769"/>
      <c r="NYH101" s="769"/>
      <c r="NYI101" s="769"/>
      <c r="NYJ101" s="769"/>
      <c r="NYK101" s="769"/>
      <c r="NYL101" s="769"/>
      <c r="NYM101" s="769"/>
      <c r="NYN101" s="769"/>
      <c r="NYO101" s="769"/>
      <c r="NYP101" s="769"/>
      <c r="NYQ101" s="769"/>
      <c r="NYR101" s="769"/>
      <c r="NYS101" s="769"/>
      <c r="NYT101" s="769"/>
      <c r="NYU101" s="769"/>
      <c r="NYV101" s="769"/>
      <c r="NYW101" s="769"/>
      <c r="NYX101" s="769"/>
      <c r="NYY101" s="769"/>
      <c r="NYZ101" s="769"/>
      <c r="NZA101" s="769"/>
      <c r="NZB101" s="769"/>
      <c r="NZC101" s="769"/>
      <c r="NZD101" s="769"/>
      <c r="NZE101" s="769"/>
      <c r="NZF101" s="769"/>
      <c r="NZG101" s="769"/>
      <c r="NZH101" s="769"/>
      <c r="NZI101" s="769"/>
      <c r="NZJ101" s="769"/>
      <c r="NZK101" s="769"/>
      <c r="NZL101" s="769"/>
      <c r="NZM101" s="769"/>
      <c r="NZN101" s="769"/>
      <c r="NZO101" s="769"/>
      <c r="NZP101" s="769"/>
      <c r="NZQ101" s="769"/>
      <c r="NZR101" s="769"/>
      <c r="NZS101" s="769"/>
      <c r="NZT101" s="769"/>
      <c r="NZU101" s="769"/>
      <c r="NZV101" s="769"/>
      <c r="NZW101" s="769"/>
      <c r="NZX101" s="769"/>
      <c r="NZY101" s="769"/>
      <c r="NZZ101" s="769"/>
      <c r="OAA101" s="769"/>
      <c r="OAB101" s="769"/>
      <c r="OAC101" s="769"/>
      <c r="OAD101" s="769"/>
      <c r="OAE101" s="769"/>
      <c r="OAF101" s="769"/>
      <c r="OAG101" s="769"/>
      <c r="OAH101" s="769"/>
      <c r="OAI101" s="769"/>
      <c r="OAJ101" s="769"/>
      <c r="OAK101" s="769"/>
      <c r="OAL101" s="769"/>
      <c r="OAM101" s="769"/>
      <c r="OAN101" s="769"/>
      <c r="OAO101" s="769"/>
      <c r="OAP101" s="769"/>
      <c r="OAQ101" s="769"/>
      <c r="OAR101" s="769"/>
      <c r="OAS101" s="769"/>
      <c r="OAT101" s="769"/>
      <c r="OAU101" s="769"/>
      <c r="OAV101" s="769"/>
      <c r="OAW101" s="769"/>
      <c r="OAX101" s="769"/>
      <c r="OAY101" s="769"/>
      <c r="OAZ101" s="769"/>
      <c r="OBA101" s="769"/>
      <c r="OBB101" s="769"/>
      <c r="OBC101" s="769"/>
      <c r="OBD101" s="769"/>
      <c r="OBE101" s="769"/>
      <c r="OBF101" s="769"/>
      <c r="OBG101" s="769"/>
      <c r="OBH101" s="769"/>
      <c r="OBI101" s="769"/>
      <c r="OBJ101" s="769"/>
      <c r="OBK101" s="769"/>
      <c r="OBL101" s="769"/>
      <c r="OBM101" s="769"/>
      <c r="OBN101" s="769"/>
      <c r="OBO101" s="769"/>
      <c r="OBP101" s="769"/>
      <c r="OBQ101" s="769"/>
      <c r="OBR101" s="769"/>
      <c r="OBS101" s="769"/>
      <c r="OBT101" s="769"/>
      <c r="OBU101" s="769"/>
      <c r="OBV101" s="769"/>
      <c r="OBW101" s="769"/>
      <c r="OBX101" s="769"/>
      <c r="OBY101" s="769"/>
      <c r="OBZ101" s="769"/>
      <c r="OCA101" s="769"/>
      <c r="OCB101" s="769"/>
      <c r="OCC101" s="769"/>
      <c r="OCD101" s="769"/>
      <c r="OCE101" s="769"/>
      <c r="OCF101" s="769"/>
      <c r="OCG101" s="769"/>
      <c r="OCH101" s="769"/>
      <c r="OCI101" s="769"/>
      <c r="OCJ101" s="769"/>
      <c r="OCK101" s="769"/>
      <c r="OCL101" s="769"/>
      <c r="OCM101" s="769"/>
      <c r="OCN101" s="769"/>
      <c r="OCO101" s="769"/>
      <c r="OCP101" s="769"/>
      <c r="OCQ101" s="769"/>
      <c r="OCR101" s="769"/>
      <c r="OCS101" s="769"/>
      <c r="OCT101" s="769"/>
      <c r="OCU101" s="769"/>
      <c r="OCV101" s="769"/>
      <c r="OCW101" s="769"/>
      <c r="OCX101" s="769"/>
      <c r="OCY101" s="769"/>
      <c r="OCZ101" s="769"/>
      <c r="ODA101" s="769"/>
      <c r="ODB101" s="769"/>
      <c r="ODC101" s="769"/>
      <c r="ODD101" s="769"/>
      <c r="ODE101" s="769"/>
      <c r="ODF101" s="769"/>
      <c r="ODG101" s="769"/>
      <c r="ODH101" s="769"/>
      <c r="ODI101" s="769"/>
      <c r="ODJ101" s="769"/>
      <c r="ODK101" s="769"/>
      <c r="ODL101" s="769"/>
      <c r="ODM101" s="769"/>
      <c r="ODN101" s="769"/>
      <c r="ODO101" s="769"/>
      <c r="ODP101" s="769"/>
      <c r="ODQ101" s="769"/>
      <c r="ODR101" s="769"/>
      <c r="ODS101" s="769"/>
      <c r="ODT101" s="769"/>
      <c r="ODU101" s="769"/>
      <c r="ODV101" s="769"/>
      <c r="ODW101" s="769"/>
      <c r="ODX101" s="769"/>
      <c r="ODY101" s="769"/>
      <c r="ODZ101" s="769"/>
      <c r="OEA101" s="769"/>
      <c r="OEB101" s="769"/>
      <c r="OEC101" s="769"/>
      <c r="OED101" s="769"/>
      <c r="OEE101" s="769"/>
      <c r="OEF101" s="769"/>
      <c r="OEG101" s="769"/>
      <c r="OEH101" s="769"/>
      <c r="OEI101" s="769"/>
      <c r="OEJ101" s="769"/>
      <c r="OEK101" s="769"/>
      <c r="OEL101" s="769"/>
      <c r="OEM101" s="769"/>
      <c r="OEN101" s="769"/>
      <c r="OEO101" s="769"/>
      <c r="OEP101" s="769"/>
      <c r="OEQ101" s="769"/>
      <c r="OER101" s="769"/>
      <c r="OES101" s="769"/>
      <c r="OET101" s="769"/>
      <c r="OEU101" s="769"/>
      <c r="OEV101" s="769"/>
      <c r="OEW101" s="769"/>
      <c r="OEX101" s="769"/>
      <c r="OEY101" s="769"/>
      <c r="OEZ101" s="769"/>
      <c r="OFA101" s="769"/>
      <c r="OFB101" s="769"/>
      <c r="OFC101" s="769"/>
      <c r="OFD101" s="769"/>
      <c r="OFE101" s="769"/>
      <c r="OFF101" s="769"/>
      <c r="OFG101" s="769"/>
      <c r="OFH101" s="769"/>
      <c r="OFI101" s="769"/>
      <c r="OFJ101" s="769"/>
      <c r="OFK101" s="769"/>
      <c r="OFL101" s="769"/>
      <c r="OFM101" s="769"/>
      <c r="OFN101" s="769"/>
      <c r="OFO101" s="769"/>
      <c r="OFP101" s="769"/>
      <c r="OFQ101" s="769"/>
      <c r="OFR101" s="769"/>
      <c r="OFS101" s="769"/>
      <c r="OFT101" s="769"/>
      <c r="OFU101" s="769"/>
      <c r="OFV101" s="769"/>
      <c r="OFW101" s="769"/>
      <c r="OFX101" s="769"/>
      <c r="OFY101" s="769"/>
      <c r="OFZ101" s="769"/>
      <c r="OGA101" s="769"/>
      <c r="OGB101" s="769"/>
      <c r="OGC101" s="769"/>
      <c r="OGD101" s="769"/>
      <c r="OGE101" s="769"/>
      <c r="OGF101" s="769"/>
      <c r="OGG101" s="769"/>
      <c r="OGH101" s="769"/>
      <c r="OGI101" s="769"/>
      <c r="OGJ101" s="769"/>
      <c r="OGK101" s="769"/>
      <c r="OGL101" s="769"/>
      <c r="OGM101" s="769"/>
      <c r="OGN101" s="769"/>
      <c r="OGO101" s="769"/>
      <c r="OGP101" s="769"/>
      <c r="OGQ101" s="769"/>
      <c r="OGR101" s="769"/>
      <c r="OGS101" s="769"/>
      <c r="OGT101" s="769"/>
      <c r="OGU101" s="769"/>
      <c r="OGV101" s="769"/>
      <c r="OGW101" s="769"/>
      <c r="OGX101" s="769"/>
      <c r="OGY101" s="769"/>
      <c r="OGZ101" s="769"/>
      <c r="OHA101" s="769"/>
      <c r="OHB101" s="769"/>
      <c r="OHC101" s="769"/>
      <c r="OHD101" s="769"/>
      <c r="OHE101" s="769"/>
      <c r="OHF101" s="769"/>
      <c r="OHG101" s="769"/>
      <c r="OHH101" s="769"/>
      <c r="OHI101" s="769"/>
      <c r="OHJ101" s="769"/>
      <c r="OHK101" s="769"/>
      <c r="OHL101" s="769"/>
      <c r="OHM101" s="769"/>
      <c r="OHN101" s="769"/>
      <c r="OHO101" s="769"/>
      <c r="OHP101" s="769"/>
      <c r="OHQ101" s="769"/>
      <c r="OHR101" s="769"/>
      <c r="OHS101" s="769"/>
      <c r="OHT101" s="769"/>
      <c r="OHU101" s="769"/>
      <c r="OHV101" s="769"/>
      <c r="OHW101" s="769"/>
      <c r="OHX101" s="769"/>
      <c r="OHY101" s="769"/>
      <c r="OHZ101" s="769"/>
      <c r="OIA101" s="769"/>
      <c r="OIB101" s="769"/>
      <c r="OIC101" s="769"/>
      <c r="OID101" s="769"/>
      <c r="OIE101" s="769"/>
      <c r="OIF101" s="769"/>
      <c r="OIG101" s="769"/>
      <c r="OIH101" s="769"/>
      <c r="OII101" s="769"/>
      <c r="OIJ101" s="769"/>
      <c r="OIK101" s="769"/>
      <c r="OIL101" s="769"/>
      <c r="OIM101" s="769"/>
      <c r="OIN101" s="769"/>
      <c r="OIO101" s="769"/>
      <c r="OIP101" s="769"/>
      <c r="OIQ101" s="769"/>
      <c r="OIR101" s="769"/>
      <c r="OIS101" s="769"/>
      <c r="OIT101" s="769"/>
      <c r="OIU101" s="769"/>
      <c r="OIV101" s="769"/>
      <c r="OIW101" s="769"/>
      <c r="OIX101" s="769"/>
      <c r="OIY101" s="769"/>
      <c r="OIZ101" s="769"/>
      <c r="OJA101" s="769"/>
      <c r="OJB101" s="769"/>
      <c r="OJC101" s="769"/>
      <c r="OJD101" s="769"/>
      <c r="OJE101" s="769"/>
      <c r="OJF101" s="769"/>
      <c r="OJG101" s="769"/>
      <c r="OJH101" s="769"/>
      <c r="OJI101" s="769"/>
      <c r="OJJ101" s="769"/>
      <c r="OJK101" s="769"/>
      <c r="OJL101" s="769"/>
      <c r="OJM101" s="769"/>
      <c r="OJN101" s="769"/>
      <c r="OJO101" s="769"/>
      <c r="OJP101" s="769"/>
      <c r="OJQ101" s="769"/>
      <c r="OJR101" s="769"/>
      <c r="OJS101" s="769"/>
      <c r="OJT101" s="769"/>
      <c r="OJU101" s="769"/>
      <c r="OJV101" s="769"/>
      <c r="OJW101" s="769"/>
      <c r="OJX101" s="769"/>
      <c r="OJY101" s="769"/>
      <c r="OJZ101" s="769"/>
      <c r="OKA101" s="769"/>
      <c r="OKB101" s="769"/>
      <c r="OKC101" s="769"/>
      <c r="OKD101" s="769"/>
      <c r="OKE101" s="769"/>
      <c r="OKF101" s="769"/>
      <c r="OKG101" s="769"/>
      <c r="OKH101" s="769"/>
      <c r="OKI101" s="769"/>
      <c r="OKJ101" s="769"/>
      <c r="OKK101" s="769"/>
      <c r="OKL101" s="769"/>
      <c r="OKM101" s="769"/>
      <c r="OKN101" s="769"/>
      <c r="OKO101" s="769"/>
      <c r="OKP101" s="769"/>
      <c r="OKQ101" s="769"/>
      <c r="OKR101" s="769"/>
      <c r="OKS101" s="769"/>
      <c r="OKT101" s="769"/>
      <c r="OKU101" s="769"/>
      <c r="OKV101" s="769"/>
      <c r="OKW101" s="769"/>
      <c r="OKX101" s="769"/>
      <c r="OKY101" s="769"/>
      <c r="OKZ101" s="769"/>
      <c r="OLA101" s="769"/>
      <c r="OLB101" s="769"/>
      <c r="OLC101" s="769"/>
      <c r="OLD101" s="769"/>
      <c r="OLE101" s="769"/>
      <c r="OLF101" s="769"/>
      <c r="OLG101" s="769"/>
      <c r="OLH101" s="769"/>
      <c r="OLI101" s="769"/>
      <c r="OLJ101" s="769"/>
      <c r="OLK101" s="769"/>
      <c r="OLL101" s="769"/>
      <c r="OLM101" s="769"/>
      <c r="OLN101" s="769"/>
      <c r="OLO101" s="769"/>
      <c r="OLP101" s="769"/>
      <c r="OLQ101" s="769"/>
      <c r="OLR101" s="769"/>
      <c r="OLS101" s="769"/>
      <c r="OLT101" s="769"/>
      <c r="OLU101" s="769"/>
      <c r="OLV101" s="769"/>
      <c r="OLW101" s="769"/>
      <c r="OLX101" s="769"/>
      <c r="OLY101" s="769"/>
      <c r="OLZ101" s="769"/>
      <c r="OMA101" s="769"/>
      <c r="OMB101" s="769"/>
      <c r="OMC101" s="769"/>
      <c r="OMD101" s="769"/>
      <c r="OME101" s="769"/>
      <c r="OMF101" s="769"/>
      <c r="OMG101" s="769"/>
      <c r="OMH101" s="769"/>
      <c r="OMI101" s="769"/>
      <c r="OMJ101" s="769"/>
      <c r="OMK101" s="769"/>
      <c r="OML101" s="769"/>
      <c r="OMM101" s="769"/>
      <c r="OMN101" s="769"/>
      <c r="OMO101" s="769"/>
      <c r="OMP101" s="769"/>
      <c r="OMQ101" s="769"/>
      <c r="OMR101" s="769"/>
      <c r="OMS101" s="769"/>
      <c r="OMT101" s="769"/>
      <c r="OMU101" s="769"/>
      <c r="OMV101" s="769"/>
      <c r="OMW101" s="769"/>
      <c r="OMX101" s="769"/>
      <c r="OMY101" s="769"/>
      <c r="OMZ101" s="769"/>
      <c r="ONA101" s="769"/>
      <c r="ONB101" s="769"/>
      <c r="ONC101" s="769"/>
      <c r="OND101" s="769"/>
      <c r="ONE101" s="769"/>
      <c r="ONF101" s="769"/>
      <c r="ONG101" s="769"/>
      <c r="ONH101" s="769"/>
      <c r="ONI101" s="769"/>
      <c r="ONJ101" s="769"/>
      <c r="ONK101" s="769"/>
      <c r="ONL101" s="769"/>
      <c r="ONM101" s="769"/>
      <c r="ONN101" s="769"/>
      <c r="ONO101" s="769"/>
      <c r="ONP101" s="769"/>
      <c r="ONQ101" s="769"/>
      <c r="ONR101" s="769"/>
      <c r="ONS101" s="769"/>
      <c r="ONT101" s="769"/>
      <c r="ONU101" s="769"/>
      <c r="ONV101" s="769"/>
      <c r="ONW101" s="769"/>
      <c r="ONX101" s="769"/>
      <c r="ONY101" s="769"/>
      <c r="ONZ101" s="769"/>
      <c r="OOA101" s="769"/>
      <c r="OOB101" s="769"/>
      <c r="OOC101" s="769"/>
      <c r="OOD101" s="769"/>
      <c r="OOE101" s="769"/>
      <c r="OOF101" s="769"/>
      <c r="OOG101" s="769"/>
      <c r="OOH101" s="769"/>
      <c r="OOI101" s="769"/>
      <c r="OOJ101" s="769"/>
      <c r="OOK101" s="769"/>
      <c r="OOL101" s="769"/>
      <c r="OOM101" s="769"/>
      <c r="OON101" s="769"/>
      <c r="OOO101" s="769"/>
      <c r="OOP101" s="769"/>
      <c r="OOQ101" s="769"/>
      <c r="OOR101" s="769"/>
      <c r="OOS101" s="769"/>
      <c r="OOT101" s="769"/>
      <c r="OOU101" s="769"/>
      <c r="OOV101" s="769"/>
      <c r="OOW101" s="769"/>
      <c r="OOX101" s="769"/>
      <c r="OOY101" s="769"/>
      <c r="OOZ101" s="769"/>
      <c r="OPA101" s="769"/>
      <c r="OPB101" s="769"/>
      <c r="OPC101" s="769"/>
      <c r="OPD101" s="769"/>
      <c r="OPE101" s="769"/>
      <c r="OPF101" s="769"/>
      <c r="OPG101" s="769"/>
      <c r="OPH101" s="769"/>
      <c r="OPI101" s="769"/>
      <c r="OPJ101" s="769"/>
      <c r="OPK101" s="769"/>
      <c r="OPL101" s="769"/>
      <c r="OPM101" s="769"/>
      <c r="OPN101" s="769"/>
      <c r="OPO101" s="769"/>
      <c r="OPP101" s="769"/>
      <c r="OPQ101" s="769"/>
      <c r="OPR101" s="769"/>
      <c r="OPS101" s="769"/>
      <c r="OPT101" s="769"/>
      <c r="OPU101" s="769"/>
      <c r="OPV101" s="769"/>
      <c r="OPW101" s="769"/>
      <c r="OPX101" s="769"/>
      <c r="OPY101" s="769"/>
      <c r="OPZ101" s="769"/>
      <c r="OQA101" s="769"/>
      <c r="OQB101" s="769"/>
      <c r="OQC101" s="769"/>
      <c r="OQD101" s="769"/>
      <c r="OQE101" s="769"/>
      <c r="OQF101" s="769"/>
      <c r="OQG101" s="769"/>
      <c r="OQH101" s="769"/>
      <c r="OQI101" s="769"/>
      <c r="OQJ101" s="769"/>
      <c r="OQK101" s="769"/>
      <c r="OQL101" s="769"/>
      <c r="OQM101" s="769"/>
      <c r="OQN101" s="769"/>
      <c r="OQO101" s="769"/>
      <c r="OQP101" s="769"/>
      <c r="OQQ101" s="769"/>
      <c r="OQR101" s="769"/>
      <c r="OQS101" s="769"/>
      <c r="OQT101" s="769"/>
      <c r="OQU101" s="769"/>
      <c r="OQV101" s="769"/>
      <c r="OQW101" s="769"/>
      <c r="OQX101" s="769"/>
      <c r="OQY101" s="769"/>
      <c r="OQZ101" s="769"/>
      <c r="ORA101" s="769"/>
      <c r="ORB101" s="769"/>
      <c r="ORC101" s="769"/>
      <c r="ORD101" s="769"/>
      <c r="ORE101" s="769"/>
      <c r="ORF101" s="769"/>
      <c r="ORG101" s="769"/>
      <c r="ORH101" s="769"/>
      <c r="ORI101" s="769"/>
      <c r="ORJ101" s="769"/>
      <c r="ORK101" s="769"/>
      <c r="ORL101" s="769"/>
      <c r="ORM101" s="769"/>
      <c r="ORN101" s="769"/>
      <c r="ORO101" s="769"/>
      <c r="ORP101" s="769"/>
      <c r="ORQ101" s="769"/>
      <c r="ORR101" s="769"/>
      <c r="ORS101" s="769"/>
      <c r="ORT101" s="769"/>
      <c r="ORU101" s="769"/>
      <c r="ORV101" s="769"/>
      <c r="ORW101" s="769"/>
      <c r="ORX101" s="769"/>
      <c r="ORY101" s="769"/>
      <c r="ORZ101" s="769"/>
      <c r="OSA101" s="769"/>
      <c r="OSB101" s="769"/>
      <c r="OSC101" s="769"/>
      <c r="OSD101" s="769"/>
      <c r="OSE101" s="769"/>
      <c r="OSF101" s="769"/>
      <c r="OSG101" s="769"/>
      <c r="OSH101" s="769"/>
      <c r="OSI101" s="769"/>
      <c r="OSJ101" s="769"/>
      <c r="OSK101" s="769"/>
      <c r="OSL101" s="769"/>
      <c r="OSM101" s="769"/>
      <c r="OSN101" s="769"/>
      <c r="OSO101" s="769"/>
      <c r="OSP101" s="769"/>
      <c r="OSQ101" s="769"/>
      <c r="OSR101" s="769"/>
      <c r="OSS101" s="769"/>
      <c r="OST101" s="769"/>
      <c r="OSU101" s="769"/>
      <c r="OSV101" s="769"/>
      <c r="OSW101" s="769"/>
      <c r="OSX101" s="769"/>
      <c r="OSY101" s="769"/>
      <c r="OSZ101" s="769"/>
      <c r="OTA101" s="769"/>
      <c r="OTB101" s="769"/>
      <c r="OTC101" s="769"/>
      <c r="OTD101" s="769"/>
      <c r="OTE101" s="769"/>
      <c r="OTF101" s="769"/>
      <c r="OTG101" s="769"/>
      <c r="OTH101" s="769"/>
      <c r="OTI101" s="769"/>
      <c r="OTJ101" s="769"/>
      <c r="OTK101" s="769"/>
      <c r="OTL101" s="769"/>
      <c r="OTM101" s="769"/>
      <c r="OTN101" s="769"/>
      <c r="OTO101" s="769"/>
      <c r="OTP101" s="769"/>
      <c r="OTQ101" s="769"/>
      <c r="OTR101" s="769"/>
      <c r="OTS101" s="769"/>
      <c r="OTT101" s="769"/>
      <c r="OTU101" s="769"/>
      <c r="OTV101" s="769"/>
      <c r="OTW101" s="769"/>
      <c r="OTX101" s="769"/>
      <c r="OTY101" s="769"/>
      <c r="OTZ101" s="769"/>
      <c r="OUA101" s="769"/>
      <c r="OUB101" s="769"/>
      <c r="OUC101" s="769"/>
      <c r="OUD101" s="769"/>
      <c r="OUE101" s="769"/>
      <c r="OUF101" s="769"/>
      <c r="OUG101" s="769"/>
      <c r="OUH101" s="769"/>
      <c r="OUI101" s="769"/>
      <c r="OUJ101" s="769"/>
      <c r="OUK101" s="769"/>
      <c r="OUL101" s="769"/>
      <c r="OUM101" s="769"/>
      <c r="OUN101" s="769"/>
      <c r="OUO101" s="769"/>
      <c r="OUP101" s="769"/>
      <c r="OUQ101" s="769"/>
      <c r="OUR101" s="769"/>
      <c r="OUS101" s="769"/>
      <c r="OUT101" s="769"/>
      <c r="OUU101" s="769"/>
      <c r="OUV101" s="769"/>
      <c r="OUW101" s="769"/>
      <c r="OUX101" s="769"/>
      <c r="OUY101" s="769"/>
      <c r="OUZ101" s="769"/>
      <c r="OVA101" s="769"/>
      <c r="OVB101" s="769"/>
      <c r="OVC101" s="769"/>
      <c r="OVD101" s="769"/>
      <c r="OVE101" s="769"/>
      <c r="OVF101" s="769"/>
      <c r="OVG101" s="769"/>
      <c r="OVH101" s="769"/>
      <c r="OVI101" s="769"/>
      <c r="OVJ101" s="769"/>
      <c r="OVK101" s="769"/>
      <c r="OVL101" s="769"/>
      <c r="OVM101" s="769"/>
      <c r="OVN101" s="769"/>
      <c r="OVO101" s="769"/>
      <c r="OVP101" s="769"/>
      <c r="OVQ101" s="769"/>
      <c r="OVR101" s="769"/>
      <c r="OVS101" s="769"/>
      <c r="OVT101" s="769"/>
      <c r="OVU101" s="769"/>
      <c r="OVV101" s="769"/>
      <c r="OVW101" s="769"/>
      <c r="OVX101" s="769"/>
      <c r="OVY101" s="769"/>
      <c r="OVZ101" s="769"/>
      <c r="OWA101" s="769"/>
      <c r="OWB101" s="769"/>
      <c r="OWC101" s="769"/>
      <c r="OWD101" s="769"/>
      <c r="OWE101" s="769"/>
      <c r="OWF101" s="769"/>
      <c r="OWG101" s="769"/>
      <c r="OWH101" s="769"/>
      <c r="OWI101" s="769"/>
      <c r="OWJ101" s="769"/>
      <c r="OWK101" s="769"/>
      <c r="OWL101" s="769"/>
      <c r="OWM101" s="769"/>
      <c r="OWN101" s="769"/>
      <c r="OWO101" s="769"/>
      <c r="OWP101" s="769"/>
      <c r="OWQ101" s="769"/>
      <c r="OWR101" s="769"/>
      <c r="OWS101" s="769"/>
      <c r="OWT101" s="769"/>
      <c r="OWU101" s="769"/>
      <c r="OWV101" s="769"/>
      <c r="OWW101" s="769"/>
      <c r="OWX101" s="769"/>
      <c r="OWY101" s="769"/>
      <c r="OWZ101" s="769"/>
      <c r="OXA101" s="769"/>
      <c r="OXB101" s="769"/>
      <c r="OXC101" s="769"/>
      <c r="OXD101" s="769"/>
      <c r="OXE101" s="769"/>
      <c r="OXF101" s="769"/>
      <c r="OXG101" s="769"/>
      <c r="OXH101" s="769"/>
      <c r="OXI101" s="769"/>
      <c r="OXJ101" s="769"/>
      <c r="OXK101" s="769"/>
      <c r="OXL101" s="769"/>
      <c r="OXM101" s="769"/>
      <c r="OXN101" s="769"/>
      <c r="OXO101" s="769"/>
      <c r="OXP101" s="769"/>
      <c r="OXQ101" s="769"/>
      <c r="OXR101" s="769"/>
      <c r="OXS101" s="769"/>
      <c r="OXT101" s="769"/>
      <c r="OXU101" s="769"/>
      <c r="OXV101" s="769"/>
      <c r="OXW101" s="769"/>
      <c r="OXX101" s="769"/>
      <c r="OXY101" s="769"/>
      <c r="OXZ101" s="769"/>
      <c r="OYA101" s="769"/>
      <c r="OYB101" s="769"/>
      <c r="OYC101" s="769"/>
      <c r="OYD101" s="769"/>
      <c r="OYE101" s="769"/>
      <c r="OYF101" s="769"/>
      <c r="OYG101" s="769"/>
      <c r="OYH101" s="769"/>
      <c r="OYI101" s="769"/>
      <c r="OYJ101" s="769"/>
      <c r="OYK101" s="769"/>
      <c r="OYL101" s="769"/>
      <c r="OYM101" s="769"/>
      <c r="OYN101" s="769"/>
      <c r="OYO101" s="769"/>
      <c r="OYP101" s="769"/>
      <c r="OYQ101" s="769"/>
      <c r="OYR101" s="769"/>
      <c r="OYS101" s="769"/>
      <c r="OYT101" s="769"/>
      <c r="OYU101" s="769"/>
      <c r="OYV101" s="769"/>
      <c r="OYW101" s="769"/>
      <c r="OYX101" s="769"/>
      <c r="OYY101" s="769"/>
      <c r="OYZ101" s="769"/>
      <c r="OZA101" s="769"/>
      <c r="OZB101" s="769"/>
      <c r="OZC101" s="769"/>
      <c r="OZD101" s="769"/>
      <c r="OZE101" s="769"/>
      <c r="OZF101" s="769"/>
      <c r="OZG101" s="769"/>
      <c r="OZH101" s="769"/>
      <c r="OZI101" s="769"/>
      <c r="OZJ101" s="769"/>
      <c r="OZK101" s="769"/>
      <c r="OZL101" s="769"/>
      <c r="OZM101" s="769"/>
      <c r="OZN101" s="769"/>
      <c r="OZO101" s="769"/>
      <c r="OZP101" s="769"/>
      <c r="OZQ101" s="769"/>
      <c r="OZR101" s="769"/>
      <c r="OZS101" s="769"/>
      <c r="OZT101" s="769"/>
      <c r="OZU101" s="769"/>
      <c r="OZV101" s="769"/>
      <c r="OZW101" s="769"/>
      <c r="OZX101" s="769"/>
      <c r="OZY101" s="769"/>
      <c r="OZZ101" s="769"/>
      <c r="PAA101" s="769"/>
      <c r="PAB101" s="769"/>
      <c r="PAC101" s="769"/>
      <c r="PAD101" s="769"/>
      <c r="PAE101" s="769"/>
      <c r="PAF101" s="769"/>
      <c r="PAG101" s="769"/>
      <c r="PAH101" s="769"/>
      <c r="PAI101" s="769"/>
      <c r="PAJ101" s="769"/>
      <c r="PAK101" s="769"/>
      <c r="PAL101" s="769"/>
      <c r="PAM101" s="769"/>
      <c r="PAN101" s="769"/>
      <c r="PAO101" s="769"/>
      <c r="PAP101" s="769"/>
      <c r="PAQ101" s="769"/>
      <c r="PAR101" s="769"/>
      <c r="PAS101" s="769"/>
      <c r="PAT101" s="769"/>
      <c r="PAU101" s="769"/>
      <c r="PAV101" s="769"/>
      <c r="PAW101" s="769"/>
      <c r="PAX101" s="769"/>
      <c r="PAY101" s="769"/>
      <c r="PAZ101" s="769"/>
      <c r="PBA101" s="769"/>
      <c r="PBB101" s="769"/>
      <c r="PBC101" s="769"/>
      <c r="PBD101" s="769"/>
      <c r="PBE101" s="769"/>
      <c r="PBF101" s="769"/>
      <c r="PBG101" s="769"/>
      <c r="PBH101" s="769"/>
      <c r="PBI101" s="769"/>
      <c r="PBJ101" s="769"/>
      <c r="PBK101" s="769"/>
      <c r="PBL101" s="769"/>
      <c r="PBM101" s="769"/>
      <c r="PBN101" s="769"/>
      <c r="PBO101" s="769"/>
      <c r="PBP101" s="769"/>
      <c r="PBQ101" s="769"/>
      <c r="PBR101" s="769"/>
      <c r="PBS101" s="769"/>
      <c r="PBT101" s="769"/>
      <c r="PBU101" s="769"/>
      <c r="PBV101" s="769"/>
      <c r="PBW101" s="769"/>
      <c r="PBX101" s="769"/>
      <c r="PBY101" s="769"/>
      <c r="PBZ101" s="769"/>
      <c r="PCA101" s="769"/>
      <c r="PCB101" s="769"/>
      <c r="PCC101" s="769"/>
      <c r="PCD101" s="769"/>
      <c r="PCE101" s="769"/>
      <c r="PCF101" s="769"/>
      <c r="PCG101" s="769"/>
      <c r="PCH101" s="769"/>
      <c r="PCI101" s="769"/>
      <c r="PCJ101" s="769"/>
      <c r="PCK101" s="769"/>
      <c r="PCL101" s="769"/>
      <c r="PCM101" s="769"/>
      <c r="PCN101" s="769"/>
      <c r="PCO101" s="769"/>
      <c r="PCP101" s="769"/>
      <c r="PCQ101" s="769"/>
      <c r="PCR101" s="769"/>
      <c r="PCS101" s="769"/>
      <c r="PCT101" s="769"/>
      <c r="PCU101" s="769"/>
      <c r="PCV101" s="769"/>
      <c r="PCW101" s="769"/>
      <c r="PCX101" s="769"/>
      <c r="PCY101" s="769"/>
      <c r="PCZ101" s="769"/>
      <c r="PDA101" s="769"/>
      <c r="PDB101" s="769"/>
      <c r="PDC101" s="769"/>
      <c r="PDD101" s="769"/>
      <c r="PDE101" s="769"/>
      <c r="PDF101" s="769"/>
      <c r="PDG101" s="769"/>
      <c r="PDH101" s="769"/>
      <c r="PDI101" s="769"/>
      <c r="PDJ101" s="769"/>
      <c r="PDK101" s="769"/>
      <c r="PDL101" s="769"/>
      <c r="PDM101" s="769"/>
      <c r="PDN101" s="769"/>
      <c r="PDO101" s="769"/>
      <c r="PDP101" s="769"/>
      <c r="PDQ101" s="769"/>
      <c r="PDR101" s="769"/>
      <c r="PDS101" s="769"/>
      <c r="PDT101" s="769"/>
      <c r="PDU101" s="769"/>
      <c r="PDV101" s="769"/>
      <c r="PDW101" s="769"/>
      <c r="PDX101" s="769"/>
      <c r="PDY101" s="769"/>
      <c r="PDZ101" s="769"/>
      <c r="PEA101" s="769"/>
      <c r="PEB101" s="769"/>
      <c r="PEC101" s="769"/>
      <c r="PED101" s="769"/>
      <c r="PEE101" s="769"/>
      <c r="PEF101" s="769"/>
      <c r="PEG101" s="769"/>
      <c r="PEH101" s="769"/>
      <c r="PEI101" s="769"/>
      <c r="PEJ101" s="769"/>
      <c r="PEK101" s="769"/>
      <c r="PEL101" s="769"/>
      <c r="PEM101" s="769"/>
      <c r="PEN101" s="769"/>
      <c r="PEO101" s="769"/>
      <c r="PEP101" s="769"/>
      <c r="PEQ101" s="769"/>
      <c r="PER101" s="769"/>
      <c r="PES101" s="769"/>
      <c r="PET101" s="769"/>
      <c r="PEU101" s="769"/>
      <c r="PEV101" s="769"/>
      <c r="PEW101" s="769"/>
      <c r="PEX101" s="769"/>
      <c r="PEY101" s="769"/>
      <c r="PEZ101" s="769"/>
      <c r="PFA101" s="769"/>
      <c r="PFB101" s="769"/>
      <c r="PFC101" s="769"/>
      <c r="PFD101" s="769"/>
      <c r="PFE101" s="769"/>
      <c r="PFF101" s="769"/>
      <c r="PFG101" s="769"/>
      <c r="PFH101" s="769"/>
      <c r="PFI101" s="769"/>
      <c r="PFJ101" s="769"/>
      <c r="PFK101" s="769"/>
      <c r="PFL101" s="769"/>
      <c r="PFM101" s="769"/>
      <c r="PFN101" s="769"/>
      <c r="PFO101" s="769"/>
      <c r="PFP101" s="769"/>
      <c r="PFQ101" s="769"/>
      <c r="PFR101" s="769"/>
      <c r="PFS101" s="769"/>
      <c r="PFT101" s="769"/>
      <c r="PFU101" s="769"/>
      <c r="PFV101" s="769"/>
      <c r="PFW101" s="769"/>
      <c r="PFX101" s="769"/>
      <c r="PFY101" s="769"/>
      <c r="PFZ101" s="769"/>
      <c r="PGA101" s="769"/>
      <c r="PGB101" s="769"/>
      <c r="PGC101" s="769"/>
      <c r="PGD101" s="769"/>
      <c r="PGE101" s="769"/>
      <c r="PGF101" s="769"/>
      <c r="PGG101" s="769"/>
      <c r="PGH101" s="769"/>
      <c r="PGI101" s="769"/>
      <c r="PGJ101" s="769"/>
      <c r="PGK101" s="769"/>
      <c r="PGL101" s="769"/>
      <c r="PGM101" s="769"/>
      <c r="PGN101" s="769"/>
      <c r="PGO101" s="769"/>
      <c r="PGP101" s="769"/>
      <c r="PGQ101" s="769"/>
      <c r="PGR101" s="769"/>
      <c r="PGS101" s="769"/>
      <c r="PGT101" s="769"/>
      <c r="PGU101" s="769"/>
      <c r="PGV101" s="769"/>
      <c r="PGW101" s="769"/>
      <c r="PGX101" s="769"/>
      <c r="PGY101" s="769"/>
      <c r="PGZ101" s="769"/>
      <c r="PHA101" s="769"/>
      <c r="PHB101" s="769"/>
      <c r="PHC101" s="769"/>
      <c r="PHD101" s="769"/>
      <c r="PHE101" s="769"/>
      <c r="PHF101" s="769"/>
      <c r="PHG101" s="769"/>
      <c r="PHH101" s="769"/>
      <c r="PHI101" s="769"/>
      <c r="PHJ101" s="769"/>
      <c r="PHK101" s="769"/>
      <c r="PHL101" s="769"/>
      <c r="PHM101" s="769"/>
      <c r="PHN101" s="769"/>
      <c r="PHO101" s="769"/>
      <c r="PHP101" s="769"/>
      <c r="PHQ101" s="769"/>
      <c r="PHR101" s="769"/>
      <c r="PHS101" s="769"/>
      <c r="PHT101" s="769"/>
      <c r="PHU101" s="769"/>
      <c r="PHV101" s="769"/>
      <c r="PHW101" s="769"/>
      <c r="PHX101" s="769"/>
      <c r="PHY101" s="769"/>
      <c r="PHZ101" s="769"/>
      <c r="PIA101" s="769"/>
      <c r="PIB101" s="769"/>
      <c r="PIC101" s="769"/>
      <c r="PID101" s="769"/>
      <c r="PIE101" s="769"/>
      <c r="PIF101" s="769"/>
      <c r="PIG101" s="769"/>
      <c r="PIH101" s="769"/>
      <c r="PII101" s="769"/>
      <c r="PIJ101" s="769"/>
      <c r="PIK101" s="769"/>
      <c r="PIL101" s="769"/>
      <c r="PIM101" s="769"/>
      <c r="PIN101" s="769"/>
      <c r="PIO101" s="769"/>
      <c r="PIP101" s="769"/>
      <c r="PIQ101" s="769"/>
      <c r="PIR101" s="769"/>
      <c r="PIS101" s="769"/>
      <c r="PIT101" s="769"/>
      <c r="PIU101" s="769"/>
      <c r="PIV101" s="769"/>
      <c r="PIW101" s="769"/>
      <c r="PIX101" s="769"/>
      <c r="PIY101" s="769"/>
      <c r="PIZ101" s="769"/>
      <c r="PJA101" s="769"/>
      <c r="PJB101" s="769"/>
      <c r="PJC101" s="769"/>
      <c r="PJD101" s="769"/>
      <c r="PJE101" s="769"/>
      <c r="PJF101" s="769"/>
      <c r="PJG101" s="769"/>
      <c r="PJH101" s="769"/>
      <c r="PJI101" s="769"/>
      <c r="PJJ101" s="769"/>
      <c r="PJK101" s="769"/>
      <c r="PJL101" s="769"/>
      <c r="PJM101" s="769"/>
      <c r="PJN101" s="769"/>
      <c r="PJO101" s="769"/>
      <c r="PJP101" s="769"/>
      <c r="PJQ101" s="769"/>
      <c r="PJR101" s="769"/>
      <c r="PJS101" s="769"/>
      <c r="PJT101" s="769"/>
      <c r="PJU101" s="769"/>
      <c r="PJV101" s="769"/>
      <c r="PJW101" s="769"/>
      <c r="PJX101" s="769"/>
      <c r="PJY101" s="769"/>
      <c r="PJZ101" s="769"/>
      <c r="PKA101" s="769"/>
      <c r="PKB101" s="769"/>
      <c r="PKC101" s="769"/>
      <c r="PKD101" s="769"/>
      <c r="PKE101" s="769"/>
      <c r="PKF101" s="769"/>
      <c r="PKG101" s="769"/>
      <c r="PKH101" s="769"/>
      <c r="PKI101" s="769"/>
      <c r="PKJ101" s="769"/>
      <c r="PKK101" s="769"/>
      <c r="PKL101" s="769"/>
      <c r="PKM101" s="769"/>
      <c r="PKN101" s="769"/>
      <c r="PKO101" s="769"/>
      <c r="PKP101" s="769"/>
      <c r="PKQ101" s="769"/>
      <c r="PKR101" s="769"/>
      <c r="PKS101" s="769"/>
      <c r="PKT101" s="769"/>
      <c r="PKU101" s="769"/>
      <c r="PKV101" s="769"/>
      <c r="PKW101" s="769"/>
      <c r="PKX101" s="769"/>
      <c r="PKY101" s="769"/>
      <c r="PKZ101" s="769"/>
      <c r="PLA101" s="769"/>
      <c r="PLB101" s="769"/>
      <c r="PLC101" s="769"/>
      <c r="PLD101" s="769"/>
      <c r="PLE101" s="769"/>
      <c r="PLF101" s="769"/>
      <c r="PLG101" s="769"/>
      <c r="PLH101" s="769"/>
      <c r="PLI101" s="769"/>
      <c r="PLJ101" s="769"/>
      <c r="PLK101" s="769"/>
      <c r="PLL101" s="769"/>
      <c r="PLM101" s="769"/>
      <c r="PLN101" s="769"/>
      <c r="PLO101" s="769"/>
      <c r="PLP101" s="769"/>
      <c r="PLQ101" s="769"/>
      <c r="PLR101" s="769"/>
      <c r="PLS101" s="769"/>
      <c r="PLT101" s="769"/>
      <c r="PLU101" s="769"/>
      <c r="PLV101" s="769"/>
      <c r="PLW101" s="769"/>
      <c r="PLX101" s="769"/>
      <c r="PLY101" s="769"/>
      <c r="PLZ101" s="769"/>
      <c r="PMA101" s="769"/>
      <c r="PMB101" s="769"/>
      <c r="PMC101" s="769"/>
      <c r="PMD101" s="769"/>
      <c r="PME101" s="769"/>
      <c r="PMF101" s="769"/>
      <c r="PMG101" s="769"/>
      <c r="PMH101" s="769"/>
      <c r="PMI101" s="769"/>
      <c r="PMJ101" s="769"/>
      <c r="PMK101" s="769"/>
      <c r="PML101" s="769"/>
      <c r="PMM101" s="769"/>
      <c r="PMN101" s="769"/>
      <c r="PMO101" s="769"/>
      <c r="PMP101" s="769"/>
      <c r="PMQ101" s="769"/>
      <c r="PMR101" s="769"/>
      <c r="PMS101" s="769"/>
      <c r="PMT101" s="769"/>
      <c r="PMU101" s="769"/>
      <c r="PMV101" s="769"/>
      <c r="PMW101" s="769"/>
      <c r="PMX101" s="769"/>
      <c r="PMY101" s="769"/>
      <c r="PMZ101" s="769"/>
      <c r="PNA101" s="769"/>
      <c r="PNB101" s="769"/>
      <c r="PNC101" s="769"/>
      <c r="PND101" s="769"/>
      <c r="PNE101" s="769"/>
      <c r="PNF101" s="769"/>
      <c r="PNG101" s="769"/>
      <c r="PNH101" s="769"/>
      <c r="PNI101" s="769"/>
      <c r="PNJ101" s="769"/>
      <c r="PNK101" s="769"/>
      <c r="PNL101" s="769"/>
      <c r="PNM101" s="769"/>
      <c r="PNN101" s="769"/>
      <c r="PNO101" s="769"/>
      <c r="PNP101" s="769"/>
      <c r="PNQ101" s="769"/>
      <c r="PNR101" s="769"/>
      <c r="PNS101" s="769"/>
      <c r="PNT101" s="769"/>
      <c r="PNU101" s="769"/>
      <c r="PNV101" s="769"/>
      <c r="PNW101" s="769"/>
      <c r="PNX101" s="769"/>
      <c r="PNY101" s="769"/>
      <c r="PNZ101" s="769"/>
      <c r="POA101" s="769"/>
      <c r="POB101" s="769"/>
      <c r="POC101" s="769"/>
      <c r="POD101" s="769"/>
      <c r="POE101" s="769"/>
      <c r="POF101" s="769"/>
      <c r="POG101" s="769"/>
      <c r="POH101" s="769"/>
      <c r="POI101" s="769"/>
      <c r="POJ101" s="769"/>
      <c r="POK101" s="769"/>
      <c r="POL101" s="769"/>
      <c r="POM101" s="769"/>
      <c r="PON101" s="769"/>
      <c r="POO101" s="769"/>
      <c r="POP101" s="769"/>
      <c r="POQ101" s="769"/>
      <c r="POR101" s="769"/>
      <c r="POS101" s="769"/>
      <c r="POT101" s="769"/>
      <c r="POU101" s="769"/>
      <c r="POV101" s="769"/>
      <c r="POW101" s="769"/>
      <c r="POX101" s="769"/>
      <c r="POY101" s="769"/>
      <c r="POZ101" s="769"/>
      <c r="PPA101" s="769"/>
      <c r="PPB101" s="769"/>
      <c r="PPC101" s="769"/>
      <c r="PPD101" s="769"/>
      <c r="PPE101" s="769"/>
      <c r="PPF101" s="769"/>
      <c r="PPG101" s="769"/>
      <c r="PPH101" s="769"/>
      <c r="PPI101" s="769"/>
      <c r="PPJ101" s="769"/>
      <c r="PPK101" s="769"/>
      <c r="PPL101" s="769"/>
      <c r="PPM101" s="769"/>
      <c r="PPN101" s="769"/>
      <c r="PPO101" s="769"/>
      <c r="PPP101" s="769"/>
      <c r="PPQ101" s="769"/>
      <c r="PPR101" s="769"/>
      <c r="PPS101" s="769"/>
      <c r="PPT101" s="769"/>
      <c r="PPU101" s="769"/>
      <c r="PPV101" s="769"/>
      <c r="PPW101" s="769"/>
      <c r="PPX101" s="769"/>
      <c r="PPY101" s="769"/>
      <c r="PPZ101" s="769"/>
      <c r="PQA101" s="769"/>
      <c r="PQB101" s="769"/>
      <c r="PQC101" s="769"/>
      <c r="PQD101" s="769"/>
      <c r="PQE101" s="769"/>
      <c r="PQF101" s="769"/>
      <c r="PQG101" s="769"/>
      <c r="PQH101" s="769"/>
      <c r="PQI101" s="769"/>
      <c r="PQJ101" s="769"/>
      <c r="PQK101" s="769"/>
      <c r="PQL101" s="769"/>
      <c r="PQM101" s="769"/>
      <c r="PQN101" s="769"/>
      <c r="PQO101" s="769"/>
      <c r="PQP101" s="769"/>
      <c r="PQQ101" s="769"/>
      <c r="PQR101" s="769"/>
      <c r="PQS101" s="769"/>
      <c r="PQT101" s="769"/>
      <c r="PQU101" s="769"/>
      <c r="PQV101" s="769"/>
      <c r="PQW101" s="769"/>
      <c r="PQX101" s="769"/>
      <c r="PQY101" s="769"/>
      <c r="PQZ101" s="769"/>
      <c r="PRA101" s="769"/>
      <c r="PRB101" s="769"/>
      <c r="PRC101" s="769"/>
      <c r="PRD101" s="769"/>
      <c r="PRE101" s="769"/>
      <c r="PRF101" s="769"/>
      <c r="PRG101" s="769"/>
      <c r="PRH101" s="769"/>
      <c r="PRI101" s="769"/>
      <c r="PRJ101" s="769"/>
      <c r="PRK101" s="769"/>
      <c r="PRL101" s="769"/>
      <c r="PRM101" s="769"/>
      <c r="PRN101" s="769"/>
      <c r="PRO101" s="769"/>
      <c r="PRP101" s="769"/>
      <c r="PRQ101" s="769"/>
      <c r="PRR101" s="769"/>
      <c r="PRS101" s="769"/>
      <c r="PRT101" s="769"/>
      <c r="PRU101" s="769"/>
      <c r="PRV101" s="769"/>
      <c r="PRW101" s="769"/>
      <c r="PRX101" s="769"/>
      <c r="PRY101" s="769"/>
      <c r="PRZ101" s="769"/>
      <c r="PSA101" s="769"/>
      <c r="PSB101" s="769"/>
      <c r="PSC101" s="769"/>
      <c r="PSD101" s="769"/>
      <c r="PSE101" s="769"/>
      <c r="PSF101" s="769"/>
      <c r="PSG101" s="769"/>
      <c r="PSH101" s="769"/>
      <c r="PSI101" s="769"/>
      <c r="PSJ101" s="769"/>
      <c r="PSK101" s="769"/>
      <c r="PSL101" s="769"/>
      <c r="PSM101" s="769"/>
      <c r="PSN101" s="769"/>
      <c r="PSO101" s="769"/>
      <c r="PSP101" s="769"/>
      <c r="PSQ101" s="769"/>
      <c r="PSR101" s="769"/>
      <c r="PSS101" s="769"/>
      <c r="PST101" s="769"/>
      <c r="PSU101" s="769"/>
      <c r="PSV101" s="769"/>
      <c r="PSW101" s="769"/>
      <c r="PSX101" s="769"/>
      <c r="PSY101" s="769"/>
      <c r="PSZ101" s="769"/>
      <c r="PTA101" s="769"/>
      <c r="PTB101" s="769"/>
      <c r="PTC101" s="769"/>
      <c r="PTD101" s="769"/>
      <c r="PTE101" s="769"/>
      <c r="PTF101" s="769"/>
      <c r="PTG101" s="769"/>
      <c r="PTH101" s="769"/>
      <c r="PTI101" s="769"/>
      <c r="PTJ101" s="769"/>
      <c r="PTK101" s="769"/>
      <c r="PTL101" s="769"/>
      <c r="PTM101" s="769"/>
      <c r="PTN101" s="769"/>
      <c r="PTO101" s="769"/>
      <c r="PTP101" s="769"/>
      <c r="PTQ101" s="769"/>
      <c r="PTR101" s="769"/>
      <c r="PTS101" s="769"/>
      <c r="PTT101" s="769"/>
      <c r="PTU101" s="769"/>
      <c r="PTV101" s="769"/>
      <c r="PTW101" s="769"/>
      <c r="PTX101" s="769"/>
      <c r="PTY101" s="769"/>
      <c r="PTZ101" s="769"/>
      <c r="PUA101" s="769"/>
      <c r="PUB101" s="769"/>
      <c r="PUC101" s="769"/>
      <c r="PUD101" s="769"/>
      <c r="PUE101" s="769"/>
      <c r="PUF101" s="769"/>
      <c r="PUG101" s="769"/>
      <c r="PUH101" s="769"/>
      <c r="PUI101" s="769"/>
      <c r="PUJ101" s="769"/>
      <c r="PUK101" s="769"/>
      <c r="PUL101" s="769"/>
      <c r="PUM101" s="769"/>
      <c r="PUN101" s="769"/>
      <c r="PUO101" s="769"/>
      <c r="PUP101" s="769"/>
      <c r="PUQ101" s="769"/>
      <c r="PUR101" s="769"/>
      <c r="PUS101" s="769"/>
      <c r="PUT101" s="769"/>
      <c r="PUU101" s="769"/>
      <c r="PUV101" s="769"/>
      <c r="PUW101" s="769"/>
      <c r="PUX101" s="769"/>
      <c r="PUY101" s="769"/>
      <c r="PUZ101" s="769"/>
      <c r="PVA101" s="769"/>
      <c r="PVB101" s="769"/>
      <c r="PVC101" s="769"/>
      <c r="PVD101" s="769"/>
      <c r="PVE101" s="769"/>
      <c r="PVF101" s="769"/>
      <c r="PVG101" s="769"/>
      <c r="PVH101" s="769"/>
      <c r="PVI101" s="769"/>
      <c r="PVJ101" s="769"/>
      <c r="PVK101" s="769"/>
      <c r="PVL101" s="769"/>
      <c r="PVM101" s="769"/>
      <c r="PVN101" s="769"/>
      <c r="PVO101" s="769"/>
      <c r="PVP101" s="769"/>
      <c r="PVQ101" s="769"/>
      <c r="PVR101" s="769"/>
      <c r="PVS101" s="769"/>
      <c r="PVT101" s="769"/>
      <c r="PVU101" s="769"/>
      <c r="PVV101" s="769"/>
      <c r="PVW101" s="769"/>
      <c r="PVX101" s="769"/>
      <c r="PVY101" s="769"/>
      <c r="PVZ101" s="769"/>
      <c r="PWA101" s="769"/>
      <c r="PWB101" s="769"/>
      <c r="PWC101" s="769"/>
      <c r="PWD101" s="769"/>
      <c r="PWE101" s="769"/>
      <c r="PWF101" s="769"/>
      <c r="PWG101" s="769"/>
      <c r="PWH101" s="769"/>
      <c r="PWI101" s="769"/>
      <c r="PWJ101" s="769"/>
      <c r="PWK101" s="769"/>
      <c r="PWL101" s="769"/>
      <c r="PWM101" s="769"/>
      <c r="PWN101" s="769"/>
      <c r="PWO101" s="769"/>
      <c r="PWP101" s="769"/>
      <c r="PWQ101" s="769"/>
      <c r="PWR101" s="769"/>
      <c r="PWS101" s="769"/>
      <c r="PWT101" s="769"/>
      <c r="PWU101" s="769"/>
      <c r="PWV101" s="769"/>
      <c r="PWW101" s="769"/>
      <c r="PWX101" s="769"/>
      <c r="PWY101" s="769"/>
      <c r="PWZ101" s="769"/>
      <c r="PXA101" s="769"/>
      <c r="PXB101" s="769"/>
      <c r="PXC101" s="769"/>
      <c r="PXD101" s="769"/>
      <c r="PXE101" s="769"/>
      <c r="PXF101" s="769"/>
      <c r="PXG101" s="769"/>
      <c r="PXH101" s="769"/>
      <c r="PXI101" s="769"/>
      <c r="PXJ101" s="769"/>
      <c r="PXK101" s="769"/>
      <c r="PXL101" s="769"/>
      <c r="PXM101" s="769"/>
      <c r="PXN101" s="769"/>
      <c r="PXO101" s="769"/>
      <c r="PXP101" s="769"/>
      <c r="PXQ101" s="769"/>
      <c r="PXR101" s="769"/>
      <c r="PXS101" s="769"/>
      <c r="PXT101" s="769"/>
      <c r="PXU101" s="769"/>
      <c r="PXV101" s="769"/>
      <c r="PXW101" s="769"/>
      <c r="PXX101" s="769"/>
      <c r="PXY101" s="769"/>
      <c r="PXZ101" s="769"/>
      <c r="PYA101" s="769"/>
      <c r="PYB101" s="769"/>
      <c r="PYC101" s="769"/>
      <c r="PYD101" s="769"/>
      <c r="PYE101" s="769"/>
      <c r="PYF101" s="769"/>
      <c r="PYG101" s="769"/>
      <c r="PYH101" s="769"/>
      <c r="PYI101" s="769"/>
      <c r="PYJ101" s="769"/>
      <c r="PYK101" s="769"/>
      <c r="PYL101" s="769"/>
      <c r="PYM101" s="769"/>
      <c r="PYN101" s="769"/>
      <c r="PYO101" s="769"/>
      <c r="PYP101" s="769"/>
      <c r="PYQ101" s="769"/>
      <c r="PYR101" s="769"/>
      <c r="PYS101" s="769"/>
      <c r="PYT101" s="769"/>
      <c r="PYU101" s="769"/>
      <c r="PYV101" s="769"/>
      <c r="PYW101" s="769"/>
      <c r="PYX101" s="769"/>
      <c r="PYY101" s="769"/>
      <c r="PYZ101" s="769"/>
      <c r="PZA101" s="769"/>
      <c r="PZB101" s="769"/>
      <c r="PZC101" s="769"/>
      <c r="PZD101" s="769"/>
      <c r="PZE101" s="769"/>
      <c r="PZF101" s="769"/>
      <c r="PZG101" s="769"/>
      <c r="PZH101" s="769"/>
      <c r="PZI101" s="769"/>
      <c r="PZJ101" s="769"/>
      <c r="PZK101" s="769"/>
      <c r="PZL101" s="769"/>
      <c r="PZM101" s="769"/>
      <c r="PZN101" s="769"/>
      <c r="PZO101" s="769"/>
      <c r="PZP101" s="769"/>
      <c r="PZQ101" s="769"/>
      <c r="PZR101" s="769"/>
      <c r="PZS101" s="769"/>
      <c r="PZT101" s="769"/>
      <c r="PZU101" s="769"/>
      <c r="PZV101" s="769"/>
      <c r="PZW101" s="769"/>
      <c r="PZX101" s="769"/>
      <c r="PZY101" s="769"/>
      <c r="PZZ101" s="769"/>
      <c r="QAA101" s="769"/>
      <c r="QAB101" s="769"/>
      <c r="QAC101" s="769"/>
      <c r="QAD101" s="769"/>
      <c r="QAE101" s="769"/>
      <c r="QAF101" s="769"/>
      <c r="QAG101" s="769"/>
      <c r="QAH101" s="769"/>
      <c r="QAI101" s="769"/>
      <c r="QAJ101" s="769"/>
      <c r="QAK101" s="769"/>
      <c r="QAL101" s="769"/>
      <c r="QAM101" s="769"/>
      <c r="QAN101" s="769"/>
      <c r="QAO101" s="769"/>
      <c r="QAP101" s="769"/>
      <c r="QAQ101" s="769"/>
      <c r="QAR101" s="769"/>
      <c r="QAS101" s="769"/>
      <c r="QAT101" s="769"/>
      <c r="QAU101" s="769"/>
      <c r="QAV101" s="769"/>
      <c r="QAW101" s="769"/>
      <c r="QAX101" s="769"/>
      <c r="QAY101" s="769"/>
      <c r="QAZ101" s="769"/>
      <c r="QBA101" s="769"/>
      <c r="QBB101" s="769"/>
      <c r="QBC101" s="769"/>
      <c r="QBD101" s="769"/>
      <c r="QBE101" s="769"/>
      <c r="QBF101" s="769"/>
      <c r="QBG101" s="769"/>
      <c r="QBH101" s="769"/>
      <c r="QBI101" s="769"/>
      <c r="QBJ101" s="769"/>
      <c r="QBK101" s="769"/>
      <c r="QBL101" s="769"/>
      <c r="QBM101" s="769"/>
      <c r="QBN101" s="769"/>
      <c r="QBO101" s="769"/>
      <c r="QBP101" s="769"/>
      <c r="QBQ101" s="769"/>
      <c r="QBR101" s="769"/>
      <c r="QBS101" s="769"/>
      <c r="QBT101" s="769"/>
      <c r="QBU101" s="769"/>
      <c r="QBV101" s="769"/>
      <c r="QBW101" s="769"/>
      <c r="QBX101" s="769"/>
      <c r="QBY101" s="769"/>
      <c r="QBZ101" s="769"/>
      <c r="QCA101" s="769"/>
      <c r="QCB101" s="769"/>
      <c r="QCC101" s="769"/>
      <c r="QCD101" s="769"/>
      <c r="QCE101" s="769"/>
      <c r="QCF101" s="769"/>
      <c r="QCG101" s="769"/>
      <c r="QCH101" s="769"/>
      <c r="QCI101" s="769"/>
      <c r="QCJ101" s="769"/>
      <c r="QCK101" s="769"/>
      <c r="QCL101" s="769"/>
      <c r="QCM101" s="769"/>
      <c r="QCN101" s="769"/>
      <c r="QCO101" s="769"/>
      <c r="QCP101" s="769"/>
      <c r="QCQ101" s="769"/>
      <c r="QCR101" s="769"/>
      <c r="QCS101" s="769"/>
      <c r="QCT101" s="769"/>
      <c r="QCU101" s="769"/>
      <c r="QCV101" s="769"/>
      <c r="QCW101" s="769"/>
      <c r="QCX101" s="769"/>
      <c r="QCY101" s="769"/>
      <c r="QCZ101" s="769"/>
      <c r="QDA101" s="769"/>
      <c r="QDB101" s="769"/>
      <c r="QDC101" s="769"/>
      <c r="QDD101" s="769"/>
      <c r="QDE101" s="769"/>
      <c r="QDF101" s="769"/>
      <c r="QDG101" s="769"/>
      <c r="QDH101" s="769"/>
      <c r="QDI101" s="769"/>
      <c r="QDJ101" s="769"/>
      <c r="QDK101" s="769"/>
      <c r="QDL101" s="769"/>
      <c r="QDM101" s="769"/>
      <c r="QDN101" s="769"/>
      <c r="QDO101" s="769"/>
      <c r="QDP101" s="769"/>
      <c r="QDQ101" s="769"/>
      <c r="QDR101" s="769"/>
      <c r="QDS101" s="769"/>
      <c r="QDT101" s="769"/>
      <c r="QDU101" s="769"/>
      <c r="QDV101" s="769"/>
      <c r="QDW101" s="769"/>
      <c r="QDX101" s="769"/>
      <c r="QDY101" s="769"/>
      <c r="QDZ101" s="769"/>
      <c r="QEA101" s="769"/>
      <c r="QEB101" s="769"/>
      <c r="QEC101" s="769"/>
      <c r="QED101" s="769"/>
      <c r="QEE101" s="769"/>
      <c r="QEF101" s="769"/>
      <c r="QEG101" s="769"/>
      <c r="QEH101" s="769"/>
      <c r="QEI101" s="769"/>
      <c r="QEJ101" s="769"/>
      <c r="QEK101" s="769"/>
      <c r="QEL101" s="769"/>
      <c r="QEM101" s="769"/>
      <c r="QEN101" s="769"/>
      <c r="QEO101" s="769"/>
      <c r="QEP101" s="769"/>
      <c r="QEQ101" s="769"/>
      <c r="QER101" s="769"/>
      <c r="QES101" s="769"/>
      <c r="QET101" s="769"/>
      <c r="QEU101" s="769"/>
      <c r="QEV101" s="769"/>
      <c r="QEW101" s="769"/>
      <c r="QEX101" s="769"/>
      <c r="QEY101" s="769"/>
      <c r="QEZ101" s="769"/>
      <c r="QFA101" s="769"/>
      <c r="QFB101" s="769"/>
      <c r="QFC101" s="769"/>
      <c r="QFD101" s="769"/>
      <c r="QFE101" s="769"/>
      <c r="QFF101" s="769"/>
      <c r="QFG101" s="769"/>
      <c r="QFH101" s="769"/>
      <c r="QFI101" s="769"/>
      <c r="QFJ101" s="769"/>
      <c r="QFK101" s="769"/>
      <c r="QFL101" s="769"/>
      <c r="QFM101" s="769"/>
      <c r="QFN101" s="769"/>
      <c r="QFO101" s="769"/>
      <c r="QFP101" s="769"/>
      <c r="QFQ101" s="769"/>
      <c r="QFR101" s="769"/>
      <c r="QFS101" s="769"/>
      <c r="QFT101" s="769"/>
      <c r="QFU101" s="769"/>
      <c r="QFV101" s="769"/>
      <c r="QFW101" s="769"/>
      <c r="QFX101" s="769"/>
      <c r="QFY101" s="769"/>
      <c r="QFZ101" s="769"/>
      <c r="QGA101" s="769"/>
      <c r="QGB101" s="769"/>
      <c r="QGC101" s="769"/>
      <c r="QGD101" s="769"/>
      <c r="QGE101" s="769"/>
      <c r="QGF101" s="769"/>
      <c r="QGG101" s="769"/>
      <c r="QGH101" s="769"/>
      <c r="QGI101" s="769"/>
      <c r="QGJ101" s="769"/>
      <c r="QGK101" s="769"/>
      <c r="QGL101" s="769"/>
      <c r="QGM101" s="769"/>
      <c r="QGN101" s="769"/>
      <c r="QGO101" s="769"/>
      <c r="QGP101" s="769"/>
      <c r="QGQ101" s="769"/>
      <c r="QGR101" s="769"/>
      <c r="QGS101" s="769"/>
      <c r="QGT101" s="769"/>
      <c r="QGU101" s="769"/>
      <c r="QGV101" s="769"/>
      <c r="QGW101" s="769"/>
      <c r="QGX101" s="769"/>
      <c r="QGY101" s="769"/>
      <c r="QGZ101" s="769"/>
      <c r="QHA101" s="769"/>
      <c r="QHB101" s="769"/>
      <c r="QHC101" s="769"/>
      <c r="QHD101" s="769"/>
      <c r="QHE101" s="769"/>
      <c r="QHF101" s="769"/>
      <c r="QHG101" s="769"/>
      <c r="QHH101" s="769"/>
      <c r="QHI101" s="769"/>
      <c r="QHJ101" s="769"/>
      <c r="QHK101" s="769"/>
      <c r="QHL101" s="769"/>
      <c r="QHM101" s="769"/>
      <c r="QHN101" s="769"/>
      <c r="QHO101" s="769"/>
      <c r="QHP101" s="769"/>
      <c r="QHQ101" s="769"/>
      <c r="QHR101" s="769"/>
      <c r="QHS101" s="769"/>
      <c r="QHT101" s="769"/>
      <c r="QHU101" s="769"/>
      <c r="QHV101" s="769"/>
      <c r="QHW101" s="769"/>
      <c r="QHX101" s="769"/>
      <c r="QHY101" s="769"/>
      <c r="QHZ101" s="769"/>
      <c r="QIA101" s="769"/>
      <c r="QIB101" s="769"/>
      <c r="QIC101" s="769"/>
      <c r="QID101" s="769"/>
      <c r="QIE101" s="769"/>
      <c r="QIF101" s="769"/>
      <c r="QIG101" s="769"/>
      <c r="QIH101" s="769"/>
      <c r="QII101" s="769"/>
      <c r="QIJ101" s="769"/>
      <c r="QIK101" s="769"/>
      <c r="QIL101" s="769"/>
      <c r="QIM101" s="769"/>
      <c r="QIN101" s="769"/>
      <c r="QIO101" s="769"/>
      <c r="QIP101" s="769"/>
      <c r="QIQ101" s="769"/>
      <c r="QIR101" s="769"/>
      <c r="QIS101" s="769"/>
      <c r="QIT101" s="769"/>
      <c r="QIU101" s="769"/>
      <c r="QIV101" s="769"/>
      <c r="QIW101" s="769"/>
      <c r="QIX101" s="769"/>
      <c r="QIY101" s="769"/>
      <c r="QIZ101" s="769"/>
      <c r="QJA101" s="769"/>
      <c r="QJB101" s="769"/>
      <c r="QJC101" s="769"/>
      <c r="QJD101" s="769"/>
      <c r="QJE101" s="769"/>
      <c r="QJF101" s="769"/>
      <c r="QJG101" s="769"/>
      <c r="QJH101" s="769"/>
      <c r="QJI101" s="769"/>
      <c r="QJJ101" s="769"/>
      <c r="QJK101" s="769"/>
      <c r="QJL101" s="769"/>
      <c r="QJM101" s="769"/>
      <c r="QJN101" s="769"/>
      <c r="QJO101" s="769"/>
      <c r="QJP101" s="769"/>
      <c r="QJQ101" s="769"/>
      <c r="QJR101" s="769"/>
      <c r="QJS101" s="769"/>
      <c r="QJT101" s="769"/>
      <c r="QJU101" s="769"/>
      <c r="QJV101" s="769"/>
      <c r="QJW101" s="769"/>
      <c r="QJX101" s="769"/>
      <c r="QJY101" s="769"/>
      <c r="QJZ101" s="769"/>
      <c r="QKA101" s="769"/>
      <c r="QKB101" s="769"/>
      <c r="QKC101" s="769"/>
      <c r="QKD101" s="769"/>
      <c r="QKE101" s="769"/>
      <c r="QKF101" s="769"/>
      <c r="QKG101" s="769"/>
      <c r="QKH101" s="769"/>
      <c r="QKI101" s="769"/>
      <c r="QKJ101" s="769"/>
      <c r="QKK101" s="769"/>
      <c r="QKL101" s="769"/>
      <c r="QKM101" s="769"/>
      <c r="QKN101" s="769"/>
      <c r="QKO101" s="769"/>
      <c r="QKP101" s="769"/>
      <c r="QKQ101" s="769"/>
      <c r="QKR101" s="769"/>
      <c r="QKS101" s="769"/>
      <c r="QKT101" s="769"/>
      <c r="QKU101" s="769"/>
      <c r="QKV101" s="769"/>
      <c r="QKW101" s="769"/>
      <c r="QKX101" s="769"/>
      <c r="QKY101" s="769"/>
      <c r="QKZ101" s="769"/>
      <c r="QLA101" s="769"/>
      <c r="QLB101" s="769"/>
      <c r="QLC101" s="769"/>
      <c r="QLD101" s="769"/>
      <c r="QLE101" s="769"/>
      <c r="QLF101" s="769"/>
      <c r="QLG101" s="769"/>
      <c r="QLH101" s="769"/>
      <c r="QLI101" s="769"/>
      <c r="QLJ101" s="769"/>
      <c r="QLK101" s="769"/>
      <c r="QLL101" s="769"/>
      <c r="QLM101" s="769"/>
      <c r="QLN101" s="769"/>
      <c r="QLO101" s="769"/>
      <c r="QLP101" s="769"/>
      <c r="QLQ101" s="769"/>
      <c r="QLR101" s="769"/>
      <c r="QLS101" s="769"/>
      <c r="QLT101" s="769"/>
      <c r="QLU101" s="769"/>
      <c r="QLV101" s="769"/>
      <c r="QLW101" s="769"/>
      <c r="QLX101" s="769"/>
      <c r="QLY101" s="769"/>
      <c r="QLZ101" s="769"/>
      <c r="QMA101" s="769"/>
      <c r="QMB101" s="769"/>
      <c r="QMC101" s="769"/>
      <c r="QMD101" s="769"/>
      <c r="QME101" s="769"/>
      <c r="QMF101" s="769"/>
      <c r="QMG101" s="769"/>
      <c r="QMH101" s="769"/>
      <c r="QMI101" s="769"/>
      <c r="QMJ101" s="769"/>
      <c r="QMK101" s="769"/>
      <c r="QML101" s="769"/>
      <c r="QMM101" s="769"/>
      <c r="QMN101" s="769"/>
      <c r="QMO101" s="769"/>
      <c r="QMP101" s="769"/>
      <c r="QMQ101" s="769"/>
      <c r="QMR101" s="769"/>
      <c r="QMS101" s="769"/>
      <c r="QMT101" s="769"/>
      <c r="QMU101" s="769"/>
      <c r="QMV101" s="769"/>
      <c r="QMW101" s="769"/>
      <c r="QMX101" s="769"/>
      <c r="QMY101" s="769"/>
      <c r="QMZ101" s="769"/>
      <c r="QNA101" s="769"/>
      <c r="QNB101" s="769"/>
      <c r="QNC101" s="769"/>
      <c r="QND101" s="769"/>
      <c r="QNE101" s="769"/>
      <c r="QNF101" s="769"/>
      <c r="QNG101" s="769"/>
      <c r="QNH101" s="769"/>
      <c r="QNI101" s="769"/>
      <c r="QNJ101" s="769"/>
      <c r="QNK101" s="769"/>
      <c r="QNL101" s="769"/>
      <c r="QNM101" s="769"/>
      <c r="QNN101" s="769"/>
      <c r="QNO101" s="769"/>
      <c r="QNP101" s="769"/>
      <c r="QNQ101" s="769"/>
      <c r="QNR101" s="769"/>
      <c r="QNS101" s="769"/>
      <c r="QNT101" s="769"/>
      <c r="QNU101" s="769"/>
      <c r="QNV101" s="769"/>
      <c r="QNW101" s="769"/>
      <c r="QNX101" s="769"/>
      <c r="QNY101" s="769"/>
      <c r="QNZ101" s="769"/>
      <c r="QOA101" s="769"/>
      <c r="QOB101" s="769"/>
      <c r="QOC101" s="769"/>
      <c r="QOD101" s="769"/>
      <c r="QOE101" s="769"/>
      <c r="QOF101" s="769"/>
      <c r="QOG101" s="769"/>
      <c r="QOH101" s="769"/>
      <c r="QOI101" s="769"/>
      <c r="QOJ101" s="769"/>
      <c r="QOK101" s="769"/>
      <c r="QOL101" s="769"/>
      <c r="QOM101" s="769"/>
      <c r="QON101" s="769"/>
      <c r="QOO101" s="769"/>
      <c r="QOP101" s="769"/>
      <c r="QOQ101" s="769"/>
      <c r="QOR101" s="769"/>
      <c r="QOS101" s="769"/>
      <c r="QOT101" s="769"/>
      <c r="QOU101" s="769"/>
      <c r="QOV101" s="769"/>
      <c r="QOW101" s="769"/>
      <c r="QOX101" s="769"/>
      <c r="QOY101" s="769"/>
      <c r="QOZ101" s="769"/>
      <c r="QPA101" s="769"/>
      <c r="QPB101" s="769"/>
      <c r="QPC101" s="769"/>
      <c r="QPD101" s="769"/>
      <c r="QPE101" s="769"/>
      <c r="QPF101" s="769"/>
      <c r="QPG101" s="769"/>
      <c r="QPH101" s="769"/>
      <c r="QPI101" s="769"/>
      <c r="QPJ101" s="769"/>
      <c r="QPK101" s="769"/>
      <c r="QPL101" s="769"/>
      <c r="QPM101" s="769"/>
      <c r="QPN101" s="769"/>
      <c r="QPO101" s="769"/>
      <c r="QPP101" s="769"/>
      <c r="QPQ101" s="769"/>
      <c r="QPR101" s="769"/>
      <c r="QPS101" s="769"/>
      <c r="QPT101" s="769"/>
      <c r="QPU101" s="769"/>
      <c r="QPV101" s="769"/>
      <c r="QPW101" s="769"/>
      <c r="QPX101" s="769"/>
      <c r="QPY101" s="769"/>
      <c r="QPZ101" s="769"/>
      <c r="QQA101" s="769"/>
      <c r="QQB101" s="769"/>
      <c r="QQC101" s="769"/>
      <c r="QQD101" s="769"/>
      <c r="QQE101" s="769"/>
      <c r="QQF101" s="769"/>
      <c r="QQG101" s="769"/>
      <c r="QQH101" s="769"/>
      <c r="QQI101" s="769"/>
      <c r="QQJ101" s="769"/>
      <c r="QQK101" s="769"/>
      <c r="QQL101" s="769"/>
      <c r="QQM101" s="769"/>
      <c r="QQN101" s="769"/>
      <c r="QQO101" s="769"/>
      <c r="QQP101" s="769"/>
      <c r="QQQ101" s="769"/>
      <c r="QQR101" s="769"/>
      <c r="QQS101" s="769"/>
      <c r="QQT101" s="769"/>
      <c r="QQU101" s="769"/>
      <c r="QQV101" s="769"/>
      <c r="QQW101" s="769"/>
      <c r="QQX101" s="769"/>
      <c r="QQY101" s="769"/>
      <c r="QQZ101" s="769"/>
      <c r="QRA101" s="769"/>
      <c r="QRB101" s="769"/>
      <c r="QRC101" s="769"/>
      <c r="QRD101" s="769"/>
      <c r="QRE101" s="769"/>
      <c r="QRF101" s="769"/>
      <c r="QRG101" s="769"/>
      <c r="QRH101" s="769"/>
      <c r="QRI101" s="769"/>
      <c r="QRJ101" s="769"/>
      <c r="QRK101" s="769"/>
      <c r="QRL101" s="769"/>
      <c r="QRM101" s="769"/>
      <c r="QRN101" s="769"/>
      <c r="QRO101" s="769"/>
      <c r="QRP101" s="769"/>
      <c r="QRQ101" s="769"/>
      <c r="QRR101" s="769"/>
      <c r="QRS101" s="769"/>
      <c r="QRT101" s="769"/>
      <c r="QRU101" s="769"/>
      <c r="QRV101" s="769"/>
      <c r="QRW101" s="769"/>
      <c r="QRX101" s="769"/>
      <c r="QRY101" s="769"/>
      <c r="QRZ101" s="769"/>
      <c r="QSA101" s="769"/>
      <c r="QSB101" s="769"/>
      <c r="QSC101" s="769"/>
      <c r="QSD101" s="769"/>
      <c r="QSE101" s="769"/>
      <c r="QSF101" s="769"/>
      <c r="QSG101" s="769"/>
      <c r="QSH101" s="769"/>
      <c r="QSI101" s="769"/>
      <c r="QSJ101" s="769"/>
      <c r="QSK101" s="769"/>
      <c r="QSL101" s="769"/>
      <c r="QSM101" s="769"/>
      <c r="QSN101" s="769"/>
      <c r="QSO101" s="769"/>
      <c r="QSP101" s="769"/>
      <c r="QSQ101" s="769"/>
      <c r="QSR101" s="769"/>
      <c r="QSS101" s="769"/>
      <c r="QST101" s="769"/>
      <c r="QSU101" s="769"/>
      <c r="QSV101" s="769"/>
      <c r="QSW101" s="769"/>
      <c r="QSX101" s="769"/>
      <c r="QSY101" s="769"/>
      <c r="QSZ101" s="769"/>
      <c r="QTA101" s="769"/>
      <c r="QTB101" s="769"/>
      <c r="QTC101" s="769"/>
      <c r="QTD101" s="769"/>
      <c r="QTE101" s="769"/>
      <c r="QTF101" s="769"/>
      <c r="QTG101" s="769"/>
      <c r="QTH101" s="769"/>
      <c r="QTI101" s="769"/>
      <c r="QTJ101" s="769"/>
      <c r="QTK101" s="769"/>
      <c r="QTL101" s="769"/>
      <c r="QTM101" s="769"/>
      <c r="QTN101" s="769"/>
      <c r="QTO101" s="769"/>
      <c r="QTP101" s="769"/>
      <c r="QTQ101" s="769"/>
      <c r="QTR101" s="769"/>
      <c r="QTS101" s="769"/>
      <c r="QTT101" s="769"/>
      <c r="QTU101" s="769"/>
      <c r="QTV101" s="769"/>
      <c r="QTW101" s="769"/>
      <c r="QTX101" s="769"/>
      <c r="QTY101" s="769"/>
      <c r="QTZ101" s="769"/>
      <c r="QUA101" s="769"/>
      <c r="QUB101" s="769"/>
      <c r="QUC101" s="769"/>
      <c r="QUD101" s="769"/>
      <c r="QUE101" s="769"/>
      <c r="QUF101" s="769"/>
      <c r="QUG101" s="769"/>
      <c r="QUH101" s="769"/>
      <c r="QUI101" s="769"/>
      <c r="QUJ101" s="769"/>
      <c r="QUK101" s="769"/>
      <c r="QUL101" s="769"/>
      <c r="QUM101" s="769"/>
      <c r="QUN101" s="769"/>
      <c r="QUO101" s="769"/>
      <c r="QUP101" s="769"/>
      <c r="QUQ101" s="769"/>
      <c r="QUR101" s="769"/>
      <c r="QUS101" s="769"/>
      <c r="QUT101" s="769"/>
      <c r="QUU101" s="769"/>
      <c r="QUV101" s="769"/>
      <c r="QUW101" s="769"/>
      <c r="QUX101" s="769"/>
      <c r="QUY101" s="769"/>
      <c r="QUZ101" s="769"/>
      <c r="QVA101" s="769"/>
      <c r="QVB101" s="769"/>
      <c r="QVC101" s="769"/>
      <c r="QVD101" s="769"/>
      <c r="QVE101" s="769"/>
      <c r="QVF101" s="769"/>
      <c r="QVG101" s="769"/>
      <c r="QVH101" s="769"/>
      <c r="QVI101" s="769"/>
      <c r="QVJ101" s="769"/>
      <c r="QVK101" s="769"/>
      <c r="QVL101" s="769"/>
      <c r="QVM101" s="769"/>
      <c r="QVN101" s="769"/>
      <c r="QVO101" s="769"/>
      <c r="QVP101" s="769"/>
      <c r="QVQ101" s="769"/>
      <c r="QVR101" s="769"/>
      <c r="QVS101" s="769"/>
      <c r="QVT101" s="769"/>
      <c r="QVU101" s="769"/>
      <c r="QVV101" s="769"/>
      <c r="QVW101" s="769"/>
      <c r="QVX101" s="769"/>
      <c r="QVY101" s="769"/>
      <c r="QVZ101" s="769"/>
      <c r="QWA101" s="769"/>
      <c r="QWB101" s="769"/>
      <c r="QWC101" s="769"/>
      <c r="QWD101" s="769"/>
      <c r="QWE101" s="769"/>
      <c r="QWF101" s="769"/>
      <c r="QWG101" s="769"/>
      <c r="QWH101" s="769"/>
      <c r="QWI101" s="769"/>
      <c r="QWJ101" s="769"/>
      <c r="QWK101" s="769"/>
      <c r="QWL101" s="769"/>
      <c r="QWM101" s="769"/>
      <c r="QWN101" s="769"/>
      <c r="QWO101" s="769"/>
      <c r="QWP101" s="769"/>
      <c r="QWQ101" s="769"/>
      <c r="QWR101" s="769"/>
      <c r="QWS101" s="769"/>
      <c r="QWT101" s="769"/>
      <c r="QWU101" s="769"/>
      <c r="QWV101" s="769"/>
      <c r="QWW101" s="769"/>
      <c r="QWX101" s="769"/>
      <c r="QWY101" s="769"/>
      <c r="QWZ101" s="769"/>
      <c r="QXA101" s="769"/>
      <c r="QXB101" s="769"/>
      <c r="QXC101" s="769"/>
      <c r="QXD101" s="769"/>
      <c r="QXE101" s="769"/>
      <c r="QXF101" s="769"/>
      <c r="QXG101" s="769"/>
      <c r="QXH101" s="769"/>
      <c r="QXI101" s="769"/>
      <c r="QXJ101" s="769"/>
      <c r="QXK101" s="769"/>
      <c r="QXL101" s="769"/>
      <c r="QXM101" s="769"/>
      <c r="QXN101" s="769"/>
      <c r="QXO101" s="769"/>
      <c r="QXP101" s="769"/>
      <c r="QXQ101" s="769"/>
      <c r="QXR101" s="769"/>
      <c r="QXS101" s="769"/>
      <c r="QXT101" s="769"/>
      <c r="QXU101" s="769"/>
      <c r="QXV101" s="769"/>
      <c r="QXW101" s="769"/>
      <c r="QXX101" s="769"/>
      <c r="QXY101" s="769"/>
      <c r="QXZ101" s="769"/>
      <c r="QYA101" s="769"/>
      <c r="QYB101" s="769"/>
      <c r="QYC101" s="769"/>
      <c r="QYD101" s="769"/>
      <c r="QYE101" s="769"/>
      <c r="QYF101" s="769"/>
      <c r="QYG101" s="769"/>
      <c r="QYH101" s="769"/>
      <c r="QYI101" s="769"/>
      <c r="QYJ101" s="769"/>
      <c r="QYK101" s="769"/>
      <c r="QYL101" s="769"/>
      <c r="QYM101" s="769"/>
      <c r="QYN101" s="769"/>
      <c r="QYO101" s="769"/>
      <c r="QYP101" s="769"/>
      <c r="QYQ101" s="769"/>
      <c r="QYR101" s="769"/>
      <c r="QYS101" s="769"/>
      <c r="QYT101" s="769"/>
      <c r="QYU101" s="769"/>
      <c r="QYV101" s="769"/>
      <c r="QYW101" s="769"/>
      <c r="QYX101" s="769"/>
      <c r="QYY101" s="769"/>
      <c r="QYZ101" s="769"/>
      <c r="QZA101" s="769"/>
      <c r="QZB101" s="769"/>
      <c r="QZC101" s="769"/>
      <c r="QZD101" s="769"/>
      <c r="QZE101" s="769"/>
      <c r="QZF101" s="769"/>
      <c r="QZG101" s="769"/>
      <c r="QZH101" s="769"/>
      <c r="QZI101" s="769"/>
      <c r="QZJ101" s="769"/>
      <c r="QZK101" s="769"/>
      <c r="QZL101" s="769"/>
      <c r="QZM101" s="769"/>
      <c r="QZN101" s="769"/>
      <c r="QZO101" s="769"/>
      <c r="QZP101" s="769"/>
      <c r="QZQ101" s="769"/>
      <c r="QZR101" s="769"/>
      <c r="QZS101" s="769"/>
      <c r="QZT101" s="769"/>
      <c r="QZU101" s="769"/>
      <c r="QZV101" s="769"/>
      <c r="QZW101" s="769"/>
      <c r="QZX101" s="769"/>
      <c r="QZY101" s="769"/>
      <c r="QZZ101" s="769"/>
      <c r="RAA101" s="769"/>
      <c r="RAB101" s="769"/>
      <c r="RAC101" s="769"/>
      <c r="RAD101" s="769"/>
      <c r="RAE101" s="769"/>
      <c r="RAF101" s="769"/>
      <c r="RAG101" s="769"/>
      <c r="RAH101" s="769"/>
      <c r="RAI101" s="769"/>
      <c r="RAJ101" s="769"/>
      <c r="RAK101" s="769"/>
      <c r="RAL101" s="769"/>
      <c r="RAM101" s="769"/>
      <c r="RAN101" s="769"/>
      <c r="RAO101" s="769"/>
      <c r="RAP101" s="769"/>
      <c r="RAQ101" s="769"/>
      <c r="RAR101" s="769"/>
      <c r="RAS101" s="769"/>
      <c r="RAT101" s="769"/>
      <c r="RAU101" s="769"/>
      <c r="RAV101" s="769"/>
      <c r="RAW101" s="769"/>
      <c r="RAX101" s="769"/>
      <c r="RAY101" s="769"/>
      <c r="RAZ101" s="769"/>
      <c r="RBA101" s="769"/>
      <c r="RBB101" s="769"/>
      <c r="RBC101" s="769"/>
      <c r="RBD101" s="769"/>
      <c r="RBE101" s="769"/>
      <c r="RBF101" s="769"/>
      <c r="RBG101" s="769"/>
      <c r="RBH101" s="769"/>
      <c r="RBI101" s="769"/>
      <c r="RBJ101" s="769"/>
      <c r="RBK101" s="769"/>
      <c r="RBL101" s="769"/>
      <c r="RBM101" s="769"/>
      <c r="RBN101" s="769"/>
      <c r="RBO101" s="769"/>
      <c r="RBP101" s="769"/>
      <c r="RBQ101" s="769"/>
      <c r="RBR101" s="769"/>
      <c r="RBS101" s="769"/>
      <c r="RBT101" s="769"/>
      <c r="RBU101" s="769"/>
      <c r="RBV101" s="769"/>
      <c r="RBW101" s="769"/>
      <c r="RBX101" s="769"/>
      <c r="RBY101" s="769"/>
      <c r="RBZ101" s="769"/>
      <c r="RCA101" s="769"/>
      <c r="RCB101" s="769"/>
      <c r="RCC101" s="769"/>
      <c r="RCD101" s="769"/>
      <c r="RCE101" s="769"/>
      <c r="RCF101" s="769"/>
      <c r="RCG101" s="769"/>
      <c r="RCH101" s="769"/>
      <c r="RCI101" s="769"/>
      <c r="RCJ101" s="769"/>
      <c r="RCK101" s="769"/>
      <c r="RCL101" s="769"/>
      <c r="RCM101" s="769"/>
      <c r="RCN101" s="769"/>
      <c r="RCO101" s="769"/>
      <c r="RCP101" s="769"/>
      <c r="RCQ101" s="769"/>
      <c r="RCR101" s="769"/>
      <c r="RCS101" s="769"/>
      <c r="RCT101" s="769"/>
      <c r="RCU101" s="769"/>
      <c r="RCV101" s="769"/>
      <c r="RCW101" s="769"/>
      <c r="RCX101" s="769"/>
      <c r="RCY101" s="769"/>
      <c r="RCZ101" s="769"/>
      <c r="RDA101" s="769"/>
      <c r="RDB101" s="769"/>
      <c r="RDC101" s="769"/>
      <c r="RDD101" s="769"/>
      <c r="RDE101" s="769"/>
      <c r="RDF101" s="769"/>
      <c r="RDG101" s="769"/>
      <c r="RDH101" s="769"/>
      <c r="RDI101" s="769"/>
      <c r="RDJ101" s="769"/>
      <c r="RDK101" s="769"/>
      <c r="RDL101" s="769"/>
      <c r="RDM101" s="769"/>
      <c r="RDN101" s="769"/>
      <c r="RDO101" s="769"/>
      <c r="RDP101" s="769"/>
      <c r="RDQ101" s="769"/>
      <c r="RDR101" s="769"/>
      <c r="RDS101" s="769"/>
      <c r="RDT101" s="769"/>
      <c r="RDU101" s="769"/>
      <c r="RDV101" s="769"/>
      <c r="RDW101" s="769"/>
      <c r="RDX101" s="769"/>
      <c r="RDY101" s="769"/>
      <c r="RDZ101" s="769"/>
      <c r="REA101" s="769"/>
      <c r="REB101" s="769"/>
      <c r="REC101" s="769"/>
      <c r="RED101" s="769"/>
      <c r="REE101" s="769"/>
      <c r="REF101" s="769"/>
      <c r="REG101" s="769"/>
      <c r="REH101" s="769"/>
      <c r="REI101" s="769"/>
      <c r="REJ101" s="769"/>
      <c r="REK101" s="769"/>
      <c r="REL101" s="769"/>
      <c r="REM101" s="769"/>
      <c r="REN101" s="769"/>
      <c r="REO101" s="769"/>
      <c r="REP101" s="769"/>
      <c r="REQ101" s="769"/>
      <c r="RER101" s="769"/>
      <c r="RES101" s="769"/>
      <c r="RET101" s="769"/>
      <c r="REU101" s="769"/>
      <c r="REV101" s="769"/>
      <c r="REW101" s="769"/>
      <c r="REX101" s="769"/>
      <c r="REY101" s="769"/>
      <c r="REZ101" s="769"/>
      <c r="RFA101" s="769"/>
      <c r="RFB101" s="769"/>
      <c r="RFC101" s="769"/>
      <c r="RFD101" s="769"/>
      <c r="RFE101" s="769"/>
      <c r="RFF101" s="769"/>
      <c r="RFG101" s="769"/>
      <c r="RFH101" s="769"/>
      <c r="RFI101" s="769"/>
      <c r="RFJ101" s="769"/>
      <c r="RFK101" s="769"/>
      <c r="RFL101" s="769"/>
      <c r="RFM101" s="769"/>
      <c r="RFN101" s="769"/>
      <c r="RFO101" s="769"/>
      <c r="RFP101" s="769"/>
      <c r="RFQ101" s="769"/>
      <c r="RFR101" s="769"/>
      <c r="RFS101" s="769"/>
      <c r="RFT101" s="769"/>
      <c r="RFU101" s="769"/>
      <c r="RFV101" s="769"/>
      <c r="RFW101" s="769"/>
      <c r="RFX101" s="769"/>
      <c r="RFY101" s="769"/>
      <c r="RFZ101" s="769"/>
      <c r="RGA101" s="769"/>
      <c r="RGB101" s="769"/>
      <c r="RGC101" s="769"/>
      <c r="RGD101" s="769"/>
      <c r="RGE101" s="769"/>
      <c r="RGF101" s="769"/>
      <c r="RGG101" s="769"/>
      <c r="RGH101" s="769"/>
      <c r="RGI101" s="769"/>
      <c r="RGJ101" s="769"/>
      <c r="RGK101" s="769"/>
      <c r="RGL101" s="769"/>
      <c r="RGM101" s="769"/>
      <c r="RGN101" s="769"/>
      <c r="RGO101" s="769"/>
      <c r="RGP101" s="769"/>
      <c r="RGQ101" s="769"/>
      <c r="RGR101" s="769"/>
      <c r="RGS101" s="769"/>
      <c r="RGT101" s="769"/>
      <c r="RGU101" s="769"/>
      <c r="RGV101" s="769"/>
      <c r="RGW101" s="769"/>
      <c r="RGX101" s="769"/>
      <c r="RGY101" s="769"/>
      <c r="RGZ101" s="769"/>
      <c r="RHA101" s="769"/>
      <c r="RHB101" s="769"/>
      <c r="RHC101" s="769"/>
      <c r="RHD101" s="769"/>
      <c r="RHE101" s="769"/>
      <c r="RHF101" s="769"/>
      <c r="RHG101" s="769"/>
      <c r="RHH101" s="769"/>
      <c r="RHI101" s="769"/>
      <c r="RHJ101" s="769"/>
      <c r="RHK101" s="769"/>
      <c r="RHL101" s="769"/>
      <c r="RHM101" s="769"/>
      <c r="RHN101" s="769"/>
      <c r="RHO101" s="769"/>
      <c r="RHP101" s="769"/>
      <c r="RHQ101" s="769"/>
      <c r="RHR101" s="769"/>
      <c r="RHS101" s="769"/>
      <c r="RHT101" s="769"/>
      <c r="RHU101" s="769"/>
      <c r="RHV101" s="769"/>
      <c r="RHW101" s="769"/>
      <c r="RHX101" s="769"/>
      <c r="RHY101" s="769"/>
      <c r="RHZ101" s="769"/>
      <c r="RIA101" s="769"/>
      <c r="RIB101" s="769"/>
      <c r="RIC101" s="769"/>
      <c r="RID101" s="769"/>
      <c r="RIE101" s="769"/>
      <c r="RIF101" s="769"/>
      <c r="RIG101" s="769"/>
      <c r="RIH101" s="769"/>
      <c r="RII101" s="769"/>
      <c r="RIJ101" s="769"/>
      <c r="RIK101" s="769"/>
      <c r="RIL101" s="769"/>
      <c r="RIM101" s="769"/>
      <c r="RIN101" s="769"/>
      <c r="RIO101" s="769"/>
      <c r="RIP101" s="769"/>
      <c r="RIQ101" s="769"/>
      <c r="RIR101" s="769"/>
      <c r="RIS101" s="769"/>
      <c r="RIT101" s="769"/>
      <c r="RIU101" s="769"/>
      <c r="RIV101" s="769"/>
      <c r="RIW101" s="769"/>
      <c r="RIX101" s="769"/>
      <c r="RIY101" s="769"/>
      <c r="RIZ101" s="769"/>
      <c r="RJA101" s="769"/>
      <c r="RJB101" s="769"/>
      <c r="RJC101" s="769"/>
      <c r="RJD101" s="769"/>
      <c r="RJE101" s="769"/>
      <c r="RJF101" s="769"/>
      <c r="RJG101" s="769"/>
      <c r="RJH101" s="769"/>
      <c r="RJI101" s="769"/>
      <c r="RJJ101" s="769"/>
      <c r="RJK101" s="769"/>
      <c r="RJL101" s="769"/>
      <c r="RJM101" s="769"/>
      <c r="RJN101" s="769"/>
      <c r="RJO101" s="769"/>
      <c r="RJP101" s="769"/>
      <c r="RJQ101" s="769"/>
      <c r="RJR101" s="769"/>
      <c r="RJS101" s="769"/>
      <c r="RJT101" s="769"/>
      <c r="RJU101" s="769"/>
      <c r="RJV101" s="769"/>
      <c r="RJW101" s="769"/>
      <c r="RJX101" s="769"/>
      <c r="RJY101" s="769"/>
      <c r="RJZ101" s="769"/>
      <c r="RKA101" s="769"/>
      <c r="RKB101" s="769"/>
      <c r="RKC101" s="769"/>
      <c r="RKD101" s="769"/>
      <c r="RKE101" s="769"/>
      <c r="RKF101" s="769"/>
      <c r="RKG101" s="769"/>
      <c r="RKH101" s="769"/>
      <c r="RKI101" s="769"/>
      <c r="RKJ101" s="769"/>
      <c r="RKK101" s="769"/>
      <c r="RKL101" s="769"/>
      <c r="RKM101" s="769"/>
      <c r="RKN101" s="769"/>
      <c r="RKO101" s="769"/>
      <c r="RKP101" s="769"/>
      <c r="RKQ101" s="769"/>
      <c r="RKR101" s="769"/>
      <c r="RKS101" s="769"/>
      <c r="RKT101" s="769"/>
      <c r="RKU101" s="769"/>
      <c r="RKV101" s="769"/>
      <c r="RKW101" s="769"/>
      <c r="RKX101" s="769"/>
      <c r="RKY101" s="769"/>
      <c r="RKZ101" s="769"/>
      <c r="RLA101" s="769"/>
      <c r="RLB101" s="769"/>
      <c r="RLC101" s="769"/>
      <c r="RLD101" s="769"/>
      <c r="RLE101" s="769"/>
      <c r="RLF101" s="769"/>
      <c r="RLG101" s="769"/>
      <c r="RLH101" s="769"/>
      <c r="RLI101" s="769"/>
      <c r="RLJ101" s="769"/>
      <c r="RLK101" s="769"/>
      <c r="RLL101" s="769"/>
      <c r="RLM101" s="769"/>
      <c r="RLN101" s="769"/>
      <c r="RLO101" s="769"/>
      <c r="RLP101" s="769"/>
      <c r="RLQ101" s="769"/>
      <c r="RLR101" s="769"/>
      <c r="RLS101" s="769"/>
      <c r="RLT101" s="769"/>
      <c r="RLU101" s="769"/>
      <c r="RLV101" s="769"/>
      <c r="RLW101" s="769"/>
      <c r="RLX101" s="769"/>
      <c r="RLY101" s="769"/>
      <c r="RLZ101" s="769"/>
      <c r="RMA101" s="769"/>
      <c r="RMB101" s="769"/>
      <c r="RMC101" s="769"/>
      <c r="RMD101" s="769"/>
      <c r="RME101" s="769"/>
      <c r="RMF101" s="769"/>
      <c r="RMG101" s="769"/>
      <c r="RMH101" s="769"/>
      <c r="RMI101" s="769"/>
      <c r="RMJ101" s="769"/>
      <c r="RMK101" s="769"/>
      <c r="RML101" s="769"/>
      <c r="RMM101" s="769"/>
      <c r="RMN101" s="769"/>
      <c r="RMO101" s="769"/>
      <c r="RMP101" s="769"/>
      <c r="RMQ101" s="769"/>
      <c r="RMR101" s="769"/>
      <c r="RMS101" s="769"/>
      <c r="RMT101" s="769"/>
      <c r="RMU101" s="769"/>
      <c r="RMV101" s="769"/>
      <c r="RMW101" s="769"/>
      <c r="RMX101" s="769"/>
      <c r="RMY101" s="769"/>
      <c r="RMZ101" s="769"/>
      <c r="RNA101" s="769"/>
      <c r="RNB101" s="769"/>
      <c r="RNC101" s="769"/>
      <c r="RND101" s="769"/>
      <c r="RNE101" s="769"/>
      <c r="RNF101" s="769"/>
      <c r="RNG101" s="769"/>
      <c r="RNH101" s="769"/>
      <c r="RNI101" s="769"/>
      <c r="RNJ101" s="769"/>
      <c r="RNK101" s="769"/>
      <c r="RNL101" s="769"/>
      <c r="RNM101" s="769"/>
      <c r="RNN101" s="769"/>
      <c r="RNO101" s="769"/>
      <c r="RNP101" s="769"/>
      <c r="RNQ101" s="769"/>
      <c r="RNR101" s="769"/>
      <c r="RNS101" s="769"/>
      <c r="RNT101" s="769"/>
      <c r="RNU101" s="769"/>
      <c r="RNV101" s="769"/>
      <c r="RNW101" s="769"/>
      <c r="RNX101" s="769"/>
      <c r="RNY101" s="769"/>
      <c r="RNZ101" s="769"/>
      <c r="ROA101" s="769"/>
      <c r="ROB101" s="769"/>
      <c r="ROC101" s="769"/>
      <c r="ROD101" s="769"/>
      <c r="ROE101" s="769"/>
      <c r="ROF101" s="769"/>
      <c r="ROG101" s="769"/>
      <c r="ROH101" s="769"/>
      <c r="ROI101" s="769"/>
      <c r="ROJ101" s="769"/>
      <c r="ROK101" s="769"/>
      <c r="ROL101" s="769"/>
      <c r="ROM101" s="769"/>
      <c r="RON101" s="769"/>
      <c r="ROO101" s="769"/>
      <c r="ROP101" s="769"/>
      <c r="ROQ101" s="769"/>
      <c r="ROR101" s="769"/>
      <c r="ROS101" s="769"/>
      <c r="ROT101" s="769"/>
      <c r="ROU101" s="769"/>
      <c r="ROV101" s="769"/>
      <c r="ROW101" s="769"/>
      <c r="ROX101" s="769"/>
      <c r="ROY101" s="769"/>
      <c r="ROZ101" s="769"/>
      <c r="RPA101" s="769"/>
      <c r="RPB101" s="769"/>
      <c r="RPC101" s="769"/>
      <c r="RPD101" s="769"/>
      <c r="RPE101" s="769"/>
      <c r="RPF101" s="769"/>
      <c r="RPG101" s="769"/>
      <c r="RPH101" s="769"/>
      <c r="RPI101" s="769"/>
      <c r="RPJ101" s="769"/>
      <c r="RPK101" s="769"/>
      <c r="RPL101" s="769"/>
      <c r="RPM101" s="769"/>
      <c r="RPN101" s="769"/>
      <c r="RPO101" s="769"/>
      <c r="RPP101" s="769"/>
      <c r="RPQ101" s="769"/>
      <c r="RPR101" s="769"/>
      <c r="RPS101" s="769"/>
      <c r="RPT101" s="769"/>
      <c r="RPU101" s="769"/>
      <c r="RPV101" s="769"/>
      <c r="RPW101" s="769"/>
      <c r="RPX101" s="769"/>
      <c r="RPY101" s="769"/>
      <c r="RPZ101" s="769"/>
      <c r="RQA101" s="769"/>
      <c r="RQB101" s="769"/>
      <c r="RQC101" s="769"/>
      <c r="RQD101" s="769"/>
      <c r="RQE101" s="769"/>
      <c r="RQF101" s="769"/>
      <c r="RQG101" s="769"/>
      <c r="RQH101" s="769"/>
      <c r="RQI101" s="769"/>
      <c r="RQJ101" s="769"/>
      <c r="RQK101" s="769"/>
      <c r="RQL101" s="769"/>
      <c r="RQM101" s="769"/>
      <c r="RQN101" s="769"/>
      <c r="RQO101" s="769"/>
      <c r="RQP101" s="769"/>
      <c r="RQQ101" s="769"/>
      <c r="RQR101" s="769"/>
      <c r="RQS101" s="769"/>
      <c r="RQT101" s="769"/>
      <c r="RQU101" s="769"/>
      <c r="RQV101" s="769"/>
      <c r="RQW101" s="769"/>
      <c r="RQX101" s="769"/>
      <c r="RQY101" s="769"/>
      <c r="RQZ101" s="769"/>
      <c r="RRA101" s="769"/>
      <c r="RRB101" s="769"/>
      <c r="RRC101" s="769"/>
      <c r="RRD101" s="769"/>
      <c r="RRE101" s="769"/>
      <c r="RRF101" s="769"/>
      <c r="RRG101" s="769"/>
      <c r="RRH101" s="769"/>
      <c r="RRI101" s="769"/>
      <c r="RRJ101" s="769"/>
      <c r="RRK101" s="769"/>
      <c r="RRL101" s="769"/>
      <c r="RRM101" s="769"/>
      <c r="RRN101" s="769"/>
      <c r="RRO101" s="769"/>
      <c r="RRP101" s="769"/>
      <c r="RRQ101" s="769"/>
      <c r="RRR101" s="769"/>
      <c r="RRS101" s="769"/>
      <c r="RRT101" s="769"/>
      <c r="RRU101" s="769"/>
      <c r="RRV101" s="769"/>
      <c r="RRW101" s="769"/>
      <c r="RRX101" s="769"/>
      <c r="RRY101" s="769"/>
      <c r="RRZ101" s="769"/>
      <c r="RSA101" s="769"/>
      <c r="RSB101" s="769"/>
      <c r="RSC101" s="769"/>
      <c r="RSD101" s="769"/>
      <c r="RSE101" s="769"/>
      <c r="RSF101" s="769"/>
      <c r="RSG101" s="769"/>
      <c r="RSH101" s="769"/>
      <c r="RSI101" s="769"/>
      <c r="RSJ101" s="769"/>
      <c r="RSK101" s="769"/>
      <c r="RSL101" s="769"/>
      <c r="RSM101" s="769"/>
      <c r="RSN101" s="769"/>
      <c r="RSO101" s="769"/>
      <c r="RSP101" s="769"/>
      <c r="RSQ101" s="769"/>
      <c r="RSR101" s="769"/>
      <c r="RSS101" s="769"/>
      <c r="RST101" s="769"/>
      <c r="RSU101" s="769"/>
      <c r="RSV101" s="769"/>
      <c r="RSW101" s="769"/>
      <c r="RSX101" s="769"/>
      <c r="RSY101" s="769"/>
      <c r="RSZ101" s="769"/>
      <c r="RTA101" s="769"/>
      <c r="RTB101" s="769"/>
      <c r="RTC101" s="769"/>
      <c r="RTD101" s="769"/>
      <c r="RTE101" s="769"/>
      <c r="RTF101" s="769"/>
      <c r="RTG101" s="769"/>
      <c r="RTH101" s="769"/>
      <c r="RTI101" s="769"/>
      <c r="RTJ101" s="769"/>
      <c r="RTK101" s="769"/>
      <c r="RTL101" s="769"/>
      <c r="RTM101" s="769"/>
      <c r="RTN101" s="769"/>
      <c r="RTO101" s="769"/>
      <c r="RTP101" s="769"/>
      <c r="RTQ101" s="769"/>
      <c r="RTR101" s="769"/>
      <c r="RTS101" s="769"/>
      <c r="RTT101" s="769"/>
      <c r="RTU101" s="769"/>
      <c r="RTV101" s="769"/>
      <c r="RTW101" s="769"/>
      <c r="RTX101" s="769"/>
      <c r="RTY101" s="769"/>
      <c r="RTZ101" s="769"/>
      <c r="RUA101" s="769"/>
      <c r="RUB101" s="769"/>
      <c r="RUC101" s="769"/>
      <c r="RUD101" s="769"/>
      <c r="RUE101" s="769"/>
      <c r="RUF101" s="769"/>
      <c r="RUG101" s="769"/>
      <c r="RUH101" s="769"/>
      <c r="RUI101" s="769"/>
      <c r="RUJ101" s="769"/>
      <c r="RUK101" s="769"/>
      <c r="RUL101" s="769"/>
      <c r="RUM101" s="769"/>
      <c r="RUN101" s="769"/>
      <c r="RUO101" s="769"/>
      <c r="RUP101" s="769"/>
      <c r="RUQ101" s="769"/>
      <c r="RUR101" s="769"/>
      <c r="RUS101" s="769"/>
      <c r="RUT101" s="769"/>
      <c r="RUU101" s="769"/>
      <c r="RUV101" s="769"/>
      <c r="RUW101" s="769"/>
      <c r="RUX101" s="769"/>
      <c r="RUY101" s="769"/>
      <c r="RUZ101" s="769"/>
      <c r="RVA101" s="769"/>
      <c r="RVB101" s="769"/>
      <c r="RVC101" s="769"/>
      <c r="RVD101" s="769"/>
      <c r="RVE101" s="769"/>
      <c r="RVF101" s="769"/>
      <c r="RVG101" s="769"/>
      <c r="RVH101" s="769"/>
      <c r="RVI101" s="769"/>
      <c r="RVJ101" s="769"/>
      <c r="RVK101" s="769"/>
      <c r="RVL101" s="769"/>
      <c r="RVM101" s="769"/>
      <c r="RVN101" s="769"/>
      <c r="RVO101" s="769"/>
      <c r="RVP101" s="769"/>
      <c r="RVQ101" s="769"/>
      <c r="RVR101" s="769"/>
      <c r="RVS101" s="769"/>
      <c r="RVT101" s="769"/>
      <c r="RVU101" s="769"/>
      <c r="RVV101" s="769"/>
      <c r="RVW101" s="769"/>
      <c r="RVX101" s="769"/>
      <c r="RVY101" s="769"/>
      <c r="RVZ101" s="769"/>
      <c r="RWA101" s="769"/>
      <c r="RWB101" s="769"/>
      <c r="RWC101" s="769"/>
      <c r="RWD101" s="769"/>
      <c r="RWE101" s="769"/>
      <c r="RWF101" s="769"/>
      <c r="RWG101" s="769"/>
      <c r="RWH101" s="769"/>
      <c r="RWI101" s="769"/>
      <c r="RWJ101" s="769"/>
      <c r="RWK101" s="769"/>
      <c r="RWL101" s="769"/>
      <c r="RWM101" s="769"/>
      <c r="RWN101" s="769"/>
      <c r="RWO101" s="769"/>
      <c r="RWP101" s="769"/>
      <c r="RWQ101" s="769"/>
      <c r="RWR101" s="769"/>
      <c r="RWS101" s="769"/>
      <c r="RWT101" s="769"/>
      <c r="RWU101" s="769"/>
      <c r="RWV101" s="769"/>
      <c r="RWW101" s="769"/>
      <c r="RWX101" s="769"/>
      <c r="RWY101" s="769"/>
      <c r="RWZ101" s="769"/>
      <c r="RXA101" s="769"/>
      <c r="RXB101" s="769"/>
      <c r="RXC101" s="769"/>
      <c r="RXD101" s="769"/>
      <c r="RXE101" s="769"/>
      <c r="RXF101" s="769"/>
      <c r="RXG101" s="769"/>
      <c r="RXH101" s="769"/>
      <c r="RXI101" s="769"/>
      <c r="RXJ101" s="769"/>
      <c r="RXK101" s="769"/>
      <c r="RXL101" s="769"/>
      <c r="RXM101" s="769"/>
      <c r="RXN101" s="769"/>
      <c r="RXO101" s="769"/>
      <c r="RXP101" s="769"/>
      <c r="RXQ101" s="769"/>
      <c r="RXR101" s="769"/>
      <c r="RXS101" s="769"/>
      <c r="RXT101" s="769"/>
      <c r="RXU101" s="769"/>
      <c r="RXV101" s="769"/>
      <c r="RXW101" s="769"/>
      <c r="RXX101" s="769"/>
      <c r="RXY101" s="769"/>
      <c r="RXZ101" s="769"/>
      <c r="RYA101" s="769"/>
      <c r="RYB101" s="769"/>
      <c r="RYC101" s="769"/>
      <c r="RYD101" s="769"/>
      <c r="RYE101" s="769"/>
      <c r="RYF101" s="769"/>
      <c r="RYG101" s="769"/>
      <c r="RYH101" s="769"/>
      <c r="RYI101" s="769"/>
      <c r="RYJ101" s="769"/>
      <c r="RYK101" s="769"/>
      <c r="RYL101" s="769"/>
      <c r="RYM101" s="769"/>
      <c r="RYN101" s="769"/>
      <c r="RYO101" s="769"/>
      <c r="RYP101" s="769"/>
      <c r="RYQ101" s="769"/>
      <c r="RYR101" s="769"/>
      <c r="RYS101" s="769"/>
      <c r="RYT101" s="769"/>
      <c r="RYU101" s="769"/>
      <c r="RYV101" s="769"/>
      <c r="RYW101" s="769"/>
      <c r="RYX101" s="769"/>
      <c r="RYY101" s="769"/>
      <c r="RYZ101" s="769"/>
      <c r="RZA101" s="769"/>
      <c r="RZB101" s="769"/>
      <c r="RZC101" s="769"/>
      <c r="RZD101" s="769"/>
      <c r="RZE101" s="769"/>
      <c r="RZF101" s="769"/>
      <c r="RZG101" s="769"/>
      <c r="RZH101" s="769"/>
      <c r="RZI101" s="769"/>
      <c r="RZJ101" s="769"/>
      <c r="RZK101" s="769"/>
      <c r="RZL101" s="769"/>
      <c r="RZM101" s="769"/>
      <c r="RZN101" s="769"/>
      <c r="RZO101" s="769"/>
      <c r="RZP101" s="769"/>
      <c r="RZQ101" s="769"/>
      <c r="RZR101" s="769"/>
      <c r="RZS101" s="769"/>
      <c r="RZT101" s="769"/>
      <c r="RZU101" s="769"/>
      <c r="RZV101" s="769"/>
      <c r="RZW101" s="769"/>
      <c r="RZX101" s="769"/>
      <c r="RZY101" s="769"/>
      <c r="RZZ101" s="769"/>
      <c r="SAA101" s="769"/>
      <c r="SAB101" s="769"/>
      <c r="SAC101" s="769"/>
      <c r="SAD101" s="769"/>
      <c r="SAE101" s="769"/>
      <c r="SAF101" s="769"/>
      <c r="SAG101" s="769"/>
      <c r="SAH101" s="769"/>
      <c r="SAI101" s="769"/>
      <c r="SAJ101" s="769"/>
      <c r="SAK101" s="769"/>
      <c r="SAL101" s="769"/>
      <c r="SAM101" s="769"/>
      <c r="SAN101" s="769"/>
      <c r="SAO101" s="769"/>
      <c r="SAP101" s="769"/>
      <c r="SAQ101" s="769"/>
      <c r="SAR101" s="769"/>
      <c r="SAS101" s="769"/>
      <c r="SAT101" s="769"/>
      <c r="SAU101" s="769"/>
      <c r="SAV101" s="769"/>
      <c r="SAW101" s="769"/>
      <c r="SAX101" s="769"/>
      <c r="SAY101" s="769"/>
      <c r="SAZ101" s="769"/>
      <c r="SBA101" s="769"/>
      <c r="SBB101" s="769"/>
      <c r="SBC101" s="769"/>
      <c r="SBD101" s="769"/>
      <c r="SBE101" s="769"/>
      <c r="SBF101" s="769"/>
      <c r="SBG101" s="769"/>
      <c r="SBH101" s="769"/>
      <c r="SBI101" s="769"/>
      <c r="SBJ101" s="769"/>
      <c r="SBK101" s="769"/>
      <c r="SBL101" s="769"/>
      <c r="SBM101" s="769"/>
      <c r="SBN101" s="769"/>
      <c r="SBO101" s="769"/>
      <c r="SBP101" s="769"/>
      <c r="SBQ101" s="769"/>
      <c r="SBR101" s="769"/>
      <c r="SBS101" s="769"/>
      <c r="SBT101" s="769"/>
      <c r="SBU101" s="769"/>
      <c r="SBV101" s="769"/>
      <c r="SBW101" s="769"/>
      <c r="SBX101" s="769"/>
      <c r="SBY101" s="769"/>
      <c r="SBZ101" s="769"/>
      <c r="SCA101" s="769"/>
      <c r="SCB101" s="769"/>
      <c r="SCC101" s="769"/>
      <c r="SCD101" s="769"/>
      <c r="SCE101" s="769"/>
      <c r="SCF101" s="769"/>
      <c r="SCG101" s="769"/>
      <c r="SCH101" s="769"/>
      <c r="SCI101" s="769"/>
      <c r="SCJ101" s="769"/>
      <c r="SCK101" s="769"/>
      <c r="SCL101" s="769"/>
      <c r="SCM101" s="769"/>
      <c r="SCN101" s="769"/>
      <c r="SCO101" s="769"/>
      <c r="SCP101" s="769"/>
      <c r="SCQ101" s="769"/>
      <c r="SCR101" s="769"/>
      <c r="SCS101" s="769"/>
      <c r="SCT101" s="769"/>
      <c r="SCU101" s="769"/>
      <c r="SCV101" s="769"/>
      <c r="SCW101" s="769"/>
      <c r="SCX101" s="769"/>
      <c r="SCY101" s="769"/>
      <c r="SCZ101" s="769"/>
      <c r="SDA101" s="769"/>
      <c r="SDB101" s="769"/>
      <c r="SDC101" s="769"/>
      <c r="SDD101" s="769"/>
      <c r="SDE101" s="769"/>
      <c r="SDF101" s="769"/>
      <c r="SDG101" s="769"/>
      <c r="SDH101" s="769"/>
      <c r="SDI101" s="769"/>
      <c r="SDJ101" s="769"/>
      <c r="SDK101" s="769"/>
      <c r="SDL101" s="769"/>
      <c r="SDM101" s="769"/>
      <c r="SDN101" s="769"/>
      <c r="SDO101" s="769"/>
      <c r="SDP101" s="769"/>
      <c r="SDQ101" s="769"/>
      <c r="SDR101" s="769"/>
      <c r="SDS101" s="769"/>
      <c r="SDT101" s="769"/>
      <c r="SDU101" s="769"/>
      <c r="SDV101" s="769"/>
      <c r="SDW101" s="769"/>
      <c r="SDX101" s="769"/>
      <c r="SDY101" s="769"/>
      <c r="SDZ101" s="769"/>
      <c r="SEA101" s="769"/>
      <c r="SEB101" s="769"/>
      <c r="SEC101" s="769"/>
      <c r="SED101" s="769"/>
      <c r="SEE101" s="769"/>
      <c r="SEF101" s="769"/>
      <c r="SEG101" s="769"/>
      <c r="SEH101" s="769"/>
      <c r="SEI101" s="769"/>
      <c r="SEJ101" s="769"/>
      <c r="SEK101" s="769"/>
      <c r="SEL101" s="769"/>
      <c r="SEM101" s="769"/>
      <c r="SEN101" s="769"/>
      <c r="SEO101" s="769"/>
      <c r="SEP101" s="769"/>
      <c r="SEQ101" s="769"/>
      <c r="SER101" s="769"/>
      <c r="SES101" s="769"/>
      <c r="SET101" s="769"/>
      <c r="SEU101" s="769"/>
      <c r="SEV101" s="769"/>
      <c r="SEW101" s="769"/>
      <c r="SEX101" s="769"/>
      <c r="SEY101" s="769"/>
      <c r="SEZ101" s="769"/>
      <c r="SFA101" s="769"/>
      <c r="SFB101" s="769"/>
      <c r="SFC101" s="769"/>
      <c r="SFD101" s="769"/>
      <c r="SFE101" s="769"/>
      <c r="SFF101" s="769"/>
      <c r="SFG101" s="769"/>
      <c r="SFH101" s="769"/>
      <c r="SFI101" s="769"/>
      <c r="SFJ101" s="769"/>
      <c r="SFK101" s="769"/>
      <c r="SFL101" s="769"/>
      <c r="SFM101" s="769"/>
      <c r="SFN101" s="769"/>
      <c r="SFO101" s="769"/>
      <c r="SFP101" s="769"/>
      <c r="SFQ101" s="769"/>
      <c r="SFR101" s="769"/>
      <c r="SFS101" s="769"/>
      <c r="SFT101" s="769"/>
      <c r="SFU101" s="769"/>
      <c r="SFV101" s="769"/>
      <c r="SFW101" s="769"/>
      <c r="SFX101" s="769"/>
      <c r="SFY101" s="769"/>
      <c r="SFZ101" s="769"/>
      <c r="SGA101" s="769"/>
      <c r="SGB101" s="769"/>
      <c r="SGC101" s="769"/>
      <c r="SGD101" s="769"/>
      <c r="SGE101" s="769"/>
      <c r="SGF101" s="769"/>
      <c r="SGG101" s="769"/>
      <c r="SGH101" s="769"/>
      <c r="SGI101" s="769"/>
      <c r="SGJ101" s="769"/>
      <c r="SGK101" s="769"/>
      <c r="SGL101" s="769"/>
      <c r="SGM101" s="769"/>
      <c r="SGN101" s="769"/>
      <c r="SGO101" s="769"/>
      <c r="SGP101" s="769"/>
      <c r="SGQ101" s="769"/>
      <c r="SGR101" s="769"/>
      <c r="SGS101" s="769"/>
      <c r="SGT101" s="769"/>
      <c r="SGU101" s="769"/>
      <c r="SGV101" s="769"/>
      <c r="SGW101" s="769"/>
      <c r="SGX101" s="769"/>
      <c r="SGY101" s="769"/>
      <c r="SGZ101" s="769"/>
      <c r="SHA101" s="769"/>
      <c r="SHB101" s="769"/>
      <c r="SHC101" s="769"/>
      <c r="SHD101" s="769"/>
      <c r="SHE101" s="769"/>
      <c r="SHF101" s="769"/>
      <c r="SHG101" s="769"/>
      <c r="SHH101" s="769"/>
      <c r="SHI101" s="769"/>
      <c r="SHJ101" s="769"/>
      <c r="SHK101" s="769"/>
      <c r="SHL101" s="769"/>
      <c r="SHM101" s="769"/>
      <c r="SHN101" s="769"/>
      <c r="SHO101" s="769"/>
      <c r="SHP101" s="769"/>
      <c r="SHQ101" s="769"/>
      <c r="SHR101" s="769"/>
      <c r="SHS101" s="769"/>
      <c r="SHT101" s="769"/>
      <c r="SHU101" s="769"/>
      <c r="SHV101" s="769"/>
      <c r="SHW101" s="769"/>
      <c r="SHX101" s="769"/>
      <c r="SHY101" s="769"/>
      <c r="SHZ101" s="769"/>
      <c r="SIA101" s="769"/>
      <c r="SIB101" s="769"/>
      <c r="SIC101" s="769"/>
      <c r="SID101" s="769"/>
      <c r="SIE101" s="769"/>
      <c r="SIF101" s="769"/>
      <c r="SIG101" s="769"/>
      <c r="SIH101" s="769"/>
      <c r="SII101" s="769"/>
      <c r="SIJ101" s="769"/>
      <c r="SIK101" s="769"/>
      <c r="SIL101" s="769"/>
      <c r="SIM101" s="769"/>
      <c r="SIN101" s="769"/>
      <c r="SIO101" s="769"/>
      <c r="SIP101" s="769"/>
      <c r="SIQ101" s="769"/>
      <c r="SIR101" s="769"/>
      <c r="SIS101" s="769"/>
      <c r="SIT101" s="769"/>
      <c r="SIU101" s="769"/>
      <c r="SIV101" s="769"/>
      <c r="SIW101" s="769"/>
      <c r="SIX101" s="769"/>
      <c r="SIY101" s="769"/>
      <c r="SIZ101" s="769"/>
      <c r="SJA101" s="769"/>
      <c r="SJB101" s="769"/>
      <c r="SJC101" s="769"/>
      <c r="SJD101" s="769"/>
      <c r="SJE101" s="769"/>
      <c r="SJF101" s="769"/>
      <c r="SJG101" s="769"/>
      <c r="SJH101" s="769"/>
      <c r="SJI101" s="769"/>
      <c r="SJJ101" s="769"/>
      <c r="SJK101" s="769"/>
      <c r="SJL101" s="769"/>
      <c r="SJM101" s="769"/>
      <c r="SJN101" s="769"/>
      <c r="SJO101" s="769"/>
      <c r="SJP101" s="769"/>
      <c r="SJQ101" s="769"/>
      <c r="SJR101" s="769"/>
      <c r="SJS101" s="769"/>
      <c r="SJT101" s="769"/>
      <c r="SJU101" s="769"/>
      <c r="SJV101" s="769"/>
      <c r="SJW101" s="769"/>
      <c r="SJX101" s="769"/>
      <c r="SJY101" s="769"/>
      <c r="SJZ101" s="769"/>
      <c r="SKA101" s="769"/>
      <c r="SKB101" s="769"/>
      <c r="SKC101" s="769"/>
      <c r="SKD101" s="769"/>
      <c r="SKE101" s="769"/>
      <c r="SKF101" s="769"/>
      <c r="SKG101" s="769"/>
      <c r="SKH101" s="769"/>
      <c r="SKI101" s="769"/>
      <c r="SKJ101" s="769"/>
      <c r="SKK101" s="769"/>
      <c r="SKL101" s="769"/>
      <c r="SKM101" s="769"/>
      <c r="SKN101" s="769"/>
      <c r="SKO101" s="769"/>
      <c r="SKP101" s="769"/>
      <c r="SKQ101" s="769"/>
      <c r="SKR101" s="769"/>
      <c r="SKS101" s="769"/>
      <c r="SKT101" s="769"/>
      <c r="SKU101" s="769"/>
      <c r="SKV101" s="769"/>
      <c r="SKW101" s="769"/>
      <c r="SKX101" s="769"/>
      <c r="SKY101" s="769"/>
      <c r="SKZ101" s="769"/>
      <c r="SLA101" s="769"/>
      <c r="SLB101" s="769"/>
      <c r="SLC101" s="769"/>
      <c r="SLD101" s="769"/>
      <c r="SLE101" s="769"/>
      <c r="SLF101" s="769"/>
      <c r="SLG101" s="769"/>
      <c r="SLH101" s="769"/>
      <c r="SLI101" s="769"/>
      <c r="SLJ101" s="769"/>
      <c r="SLK101" s="769"/>
      <c r="SLL101" s="769"/>
      <c r="SLM101" s="769"/>
      <c r="SLN101" s="769"/>
      <c r="SLO101" s="769"/>
      <c r="SLP101" s="769"/>
      <c r="SLQ101" s="769"/>
      <c r="SLR101" s="769"/>
      <c r="SLS101" s="769"/>
      <c r="SLT101" s="769"/>
      <c r="SLU101" s="769"/>
      <c r="SLV101" s="769"/>
      <c r="SLW101" s="769"/>
      <c r="SLX101" s="769"/>
      <c r="SLY101" s="769"/>
      <c r="SLZ101" s="769"/>
      <c r="SMA101" s="769"/>
      <c r="SMB101" s="769"/>
      <c r="SMC101" s="769"/>
      <c r="SMD101" s="769"/>
      <c r="SME101" s="769"/>
      <c r="SMF101" s="769"/>
      <c r="SMG101" s="769"/>
      <c r="SMH101" s="769"/>
      <c r="SMI101" s="769"/>
      <c r="SMJ101" s="769"/>
      <c r="SMK101" s="769"/>
      <c r="SML101" s="769"/>
      <c r="SMM101" s="769"/>
      <c r="SMN101" s="769"/>
      <c r="SMO101" s="769"/>
      <c r="SMP101" s="769"/>
      <c r="SMQ101" s="769"/>
      <c r="SMR101" s="769"/>
      <c r="SMS101" s="769"/>
      <c r="SMT101" s="769"/>
      <c r="SMU101" s="769"/>
      <c r="SMV101" s="769"/>
      <c r="SMW101" s="769"/>
      <c r="SMX101" s="769"/>
      <c r="SMY101" s="769"/>
      <c r="SMZ101" s="769"/>
      <c r="SNA101" s="769"/>
      <c r="SNB101" s="769"/>
      <c r="SNC101" s="769"/>
      <c r="SND101" s="769"/>
      <c r="SNE101" s="769"/>
      <c r="SNF101" s="769"/>
      <c r="SNG101" s="769"/>
      <c r="SNH101" s="769"/>
      <c r="SNI101" s="769"/>
      <c r="SNJ101" s="769"/>
      <c r="SNK101" s="769"/>
      <c r="SNL101" s="769"/>
      <c r="SNM101" s="769"/>
      <c r="SNN101" s="769"/>
      <c r="SNO101" s="769"/>
      <c r="SNP101" s="769"/>
      <c r="SNQ101" s="769"/>
      <c r="SNR101" s="769"/>
      <c r="SNS101" s="769"/>
      <c r="SNT101" s="769"/>
      <c r="SNU101" s="769"/>
      <c r="SNV101" s="769"/>
      <c r="SNW101" s="769"/>
      <c r="SNX101" s="769"/>
      <c r="SNY101" s="769"/>
      <c r="SNZ101" s="769"/>
      <c r="SOA101" s="769"/>
      <c r="SOB101" s="769"/>
      <c r="SOC101" s="769"/>
      <c r="SOD101" s="769"/>
      <c r="SOE101" s="769"/>
      <c r="SOF101" s="769"/>
      <c r="SOG101" s="769"/>
      <c r="SOH101" s="769"/>
      <c r="SOI101" s="769"/>
      <c r="SOJ101" s="769"/>
      <c r="SOK101" s="769"/>
      <c r="SOL101" s="769"/>
      <c r="SOM101" s="769"/>
      <c r="SON101" s="769"/>
      <c r="SOO101" s="769"/>
      <c r="SOP101" s="769"/>
      <c r="SOQ101" s="769"/>
      <c r="SOR101" s="769"/>
      <c r="SOS101" s="769"/>
      <c r="SOT101" s="769"/>
      <c r="SOU101" s="769"/>
      <c r="SOV101" s="769"/>
      <c r="SOW101" s="769"/>
      <c r="SOX101" s="769"/>
      <c r="SOY101" s="769"/>
      <c r="SOZ101" s="769"/>
      <c r="SPA101" s="769"/>
      <c r="SPB101" s="769"/>
      <c r="SPC101" s="769"/>
      <c r="SPD101" s="769"/>
      <c r="SPE101" s="769"/>
      <c r="SPF101" s="769"/>
      <c r="SPG101" s="769"/>
      <c r="SPH101" s="769"/>
      <c r="SPI101" s="769"/>
      <c r="SPJ101" s="769"/>
      <c r="SPK101" s="769"/>
      <c r="SPL101" s="769"/>
      <c r="SPM101" s="769"/>
      <c r="SPN101" s="769"/>
      <c r="SPO101" s="769"/>
      <c r="SPP101" s="769"/>
      <c r="SPQ101" s="769"/>
      <c r="SPR101" s="769"/>
      <c r="SPS101" s="769"/>
      <c r="SPT101" s="769"/>
      <c r="SPU101" s="769"/>
      <c r="SPV101" s="769"/>
      <c r="SPW101" s="769"/>
      <c r="SPX101" s="769"/>
      <c r="SPY101" s="769"/>
      <c r="SPZ101" s="769"/>
      <c r="SQA101" s="769"/>
      <c r="SQB101" s="769"/>
      <c r="SQC101" s="769"/>
      <c r="SQD101" s="769"/>
      <c r="SQE101" s="769"/>
      <c r="SQF101" s="769"/>
      <c r="SQG101" s="769"/>
      <c r="SQH101" s="769"/>
      <c r="SQI101" s="769"/>
      <c r="SQJ101" s="769"/>
      <c r="SQK101" s="769"/>
      <c r="SQL101" s="769"/>
      <c r="SQM101" s="769"/>
      <c r="SQN101" s="769"/>
      <c r="SQO101" s="769"/>
      <c r="SQP101" s="769"/>
      <c r="SQQ101" s="769"/>
      <c r="SQR101" s="769"/>
      <c r="SQS101" s="769"/>
      <c r="SQT101" s="769"/>
      <c r="SQU101" s="769"/>
      <c r="SQV101" s="769"/>
      <c r="SQW101" s="769"/>
      <c r="SQX101" s="769"/>
      <c r="SQY101" s="769"/>
      <c r="SQZ101" s="769"/>
      <c r="SRA101" s="769"/>
      <c r="SRB101" s="769"/>
      <c r="SRC101" s="769"/>
      <c r="SRD101" s="769"/>
      <c r="SRE101" s="769"/>
      <c r="SRF101" s="769"/>
      <c r="SRG101" s="769"/>
      <c r="SRH101" s="769"/>
      <c r="SRI101" s="769"/>
      <c r="SRJ101" s="769"/>
      <c r="SRK101" s="769"/>
      <c r="SRL101" s="769"/>
      <c r="SRM101" s="769"/>
      <c r="SRN101" s="769"/>
      <c r="SRO101" s="769"/>
      <c r="SRP101" s="769"/>
      <c r="SRQ101" s="769"/>
      <c r="SRR101" s="769"/>
      <c r="SRS101" s="769"/>
      <c r="SRT101" s="769"/>
      <c r="SRU101" s="769"/>
      <c r="SRV101" s="769"/>
      <c r="SRW101" s="769"/>
      <c r="SRX101" s="769"/>
      <c r="SRY101" s="769"/>
      <c r="SRZ101" s="769"/>
      <c r="SSA101" s="769"/>
      <c r="SSB101" s="769"/>
      <c r="SSC101" s="769"/>
      <c r="SSD101" s="769"/>
      <c r="SSE101" s="769"/>
      <c r="SSF101" s="769"/>
      <c r="SSG101" s="769"/>
      <c r="SSH101" s="769"/>
      <c r="SSI101" s="769"/>
      <c r="SSJ101" s="769"/>
      <c r="SSK101" s="769"/>
      <c r="SSL101" s="769"/>
      <c r="SSM101" s="769"/>
      <c r="SSN101" s="769"/>
      <c r="SSO101" s="769"/>
      <c r="SSP101" s="769"/>
      <c r="SSQ101" s="769"/>
      <c r="SSR101" s="769"/>
      <c r="SSS101" s="769"/>
      <c r="SST101" s="769"/>
      <c r="SSU101" s="769"/>
      <c r="SSV101" s="769"/>
      <c r="SSW101" s="769"/>
      <c r="SSX101" s="769"/>
      <c r="SSY101" s="769"/>
      <c r="SSZ101" s="769"/>
      <c r="STA101" s="769"/>
      <c r="STB101" s="769"/>
      <c r="STC101" s="769"/>
      <c r="STD101" s="769"/>
      <c r="STE101" s="769"/>
      <c r="STF101" s="769"/>
      <c r="STG101" s="769"/>
      <c r="STH101" s="769"/>
      <c r="STI101" s="769"/>
      <c r="STJ101" s="769"/>
      <c r="STK101" s="769"/>
      <c r="STL101" s="769"/>
      <c r="STM101" s="769"/>
      <c r="STN101" s="769"/>
      <c r="STO101" s="769"/>
      <c r="STP101" s="769"/>
      <c r="STQ101" s="769"/>
      <c r="STR101" s="769"/>
      <c r="STS101" s="769"/>
      <c r="STT101" s="769"/>
      <c r="STU101" s="769"/>
      <c r="STV101" s="769"/>
      <c r="STW101" s="769"/>
      <c r="STX101" s="769"/>
      <c r="STY101" s="769"/>
      <c r="STZ101" s="769"/>
      <c r="SUA101" s="769"/>
      <c r="SUB101" s="769"/>
      <c r="SUC101" s="769"/>
      <c r="SUD101" s="769"/>
      <c r="SUE101" s="769"/>
      <c r="SUF101" s="769"/>
      <c r="SUG101" s="769"/>
      <c r="SUH101" s="769"/>
      <c r="SUI101" s="769"/>
      <c r="SUJ101" s="769"/>
      <c r="SUK101" s="769"/>
      <c r="SUL101" s="769"/>
      <c r="SUM101" s="769"/>
      <c r="SUN101" s="769"/>
      <c r="SUO101" s="769"/>
      <c r="SUP101" s="769"/>
      <c r="SUQ101" s="769"/>
      <c r="SUR101" s="769"/>
      <c r="SUS101" s="769"/>
      <c r="SUT101" s="769"/>
      <c r="SUU101" s="769"/>
      <c r="SUV101" s="769"/>
      <c r="SUW101" s="769"/>
      <c r="SUX101" s="769"/>
      <c r="SUY101" s="769"/>
      <c r="SUZ101" s="769"/>
      <c r="SVA101" s="769"/>
      <c r="SVB101" s="769"/>
      <c r="SVC101" s="769"/>
      <c r="SVD101" s="769"/>
      <c r="SVE101" s="769"/>
      <c r="SVF101" s="769"/>
      <c r="SVG101" s="769"/>
      <c r="SVH101" s="769"/>
      <c r="SVI101" s="769"/>
      <c r="SVJ101" s="769"/>
      <c r="SVK101" s="769"/>
      <c r="SVL101" s="769"/>
      <c r="SVM101" s="769"/>
      <c r="SVN101" s="769"/>
      <c r="SVO101" s="769"/>
      <c r="SVP101" s="769"/>
      <c r="SVQ101" s="769"/>
      <c r="SVR101" s="769"/>
      <c r="SVS101" s="769"/>
      <c r="SVT101" s="769"/>
      <c r="SVU101" s="769"/>
      <c r="SVV101" s="769"/>
      <c r="SVW101" s="769"/>
      <c r="SVX101" s="769"/>
      <c r="SVY101" s="769"/>
      <c r="SVZ101" s="769"/>
      <c r="SWA101" s="769"/>
      <c r="SWB101" s="769"/>
      <c r="SWC101" s="769"/>
      <c r="SWD101" s="769"/>
      <c r="SWE101" s="769"/>
      <c r="SWF101" s="769"/>
      <c r="SWG101" s="769"/>
      <c r="SWH101" s="769"/>
      <c r="SWI101" s="769"/>
      <c r="SWJ101" s="769"/>
      <c r="SWK101" s="769"/>
      <c r="SWL101" s="769"/>
      <c r="SWM101" s="769"/>
      <c r="SWN101" s="769"/>
      <c r="SWO101" s="769"/>
      <c r="SWP101" s="769"/>
      <c r="SWQ101" s="769"/>
      <c r="SWR101" s="769"/>
      <c r="SWS101" s="769"/>
      <c r="SWT101" s="769"/>
      <c r="SWU101" s="769"/>
      <c r="SWV101" s="769"/>
      <c r="SWW101" s="769"/>
      <c r="SWX101" s="769"/>
      <c r="SWY101" s="769"/>
      <c r="SWZ101" s="769"/>
      <c r="SXA101" s="769"/>
      <c r="SXB101" s="769"/>
      <c r="SXC101" s="769"/>
      <c r="SXD101" s="769"/>
      <c r="SXE101" s="769"/>
      <c r="SXF101" s="769"/>
      <c r="SXG101" s="769"/>
      <c r="SXH101" s="769"/>
      <c r="SXI101" s="769"/>
      <c r="SXJ101" s="769"/>
      <c r="SXK101" s="769"/>
      <c r="SXL101" s="769"/>
      <c r="SXM101" s="769"/>
      <c r="SXN101" s="769"/>
      <c r="SXO101" s="769"/>
      <c r="SXP101" s="769"/>
      <c r="SXQ101" s="769"/>
      <c r="SXR101" s="769"/>
      <c r="SXS101" s="769"/>
      <c r="SXT101" s="769"/>
      <c r="SXU101" s="769"/>
      <c r="SXV101" s="769"/>
      <c r="SXW101" s="769"/>
      <c r="SXX101" s="769"/>
      <c r="SXY101" s="769"/>
      <c r="SXZ101" s="769"/>
      <c r="SYA101" s="769"/>
      <c r="SYB101" s="769"/>
      <c r="SYC101" s="769"/>
      <c r="SYD101" s="769"/>
      <c r="SYE101" s="769"/>
      <c r="SYF101" s="769"/>
      <c r="SYG101" s="769"/>
      <c r="SYH101" s="769"/>
      <c r="SYI101" s="769"/>
      <c r="SYJ101" s="769"/>
      <c r="SYK101" s="769"/>
      <c r="SYL101" s="769"/>
      <c r="SYM101" s="769"/>
      <c r="SYN101" s="769"/>
      <c r="SYO101" s="769"/>
      <c r="SYP101" s="769"/>
      <c r="SYQ101" s="769"/>
      <c r="SYR101" s="769"/>
      <c r="SYS101" s="769"/>
      <c r="SYT101" s="769"/>
      <c r="SYU101" s="769"/>
      <c r="SYV101" s="769"/>
      <c r="SYW101" s="769"/>
      <c r="SYX101" s="769"/>
      <c r="SYY101" s="769"/>
      <c r="SYZ101" s="769"/>
      <c r="SZA101" s="769"/>
      <c r="SZB101" s="769"/>
      <c r="SZC101" s="769"/>
      <c r="SZD101" s="769"/>
      <c r="SZE101" s="769"/>
      <c r="SZF101" s="769"/>
      <c r="SZG101" s="769"/>
      <c r="SZH101" s="769"/>
      <c r="SZI101" s="769"/>
      <c r="SZJ101" s="769"/>
      <c r="SZK101" s="769"/>
      <c r="SZL101" s="769"/>
      <c r="SZM101" s="769"/>
      <c r="SZN101" s="769"/>
      <c r="SZO101" s="769"/>
      <c r="SZP101" s="769"/>
      <c r="SZQ101" s="769"/>
      <c r="SZR101" s="769"/>
      <c r="SZS101" s="769"/>
      <c r="SZT101" s="769"/>
      <c r="SZU101" s="769"/>
      <c r="SZV101" s="769"/>
      <c r="SZW101" s="769"/>
      <c r="SZX101" s="769"/>
      <c r="SZY101" s="769"/>
      <c r="SZZ101" s="769"/>
      <c r="TAA101" s="769"/>
      <c r="TAB101" s="769"/>
      <c r="TAC101" s="769"/>
      <c r="TAD101" s="769"/>
      <c r="TAE101" s="769"/>
      <c r="TAF101" s="769"/>
      <c r="TAG101" s="769"/>
      <c r="TAH101" s="769"/>
      <c r="TAI101" s="769"/>
      <c r="TAJ101" s="769"/>
      <c r="TAK101" s="769"/>
      <c r="TAL101" s="769"/>
      <c r="TAM101" s="769"/>
      <c r="TAN101" s="769"/>
      <c r="TAO101" s="769"/>
      <c r="TAP101" s="769"/>
      <c r="TAQ101" s="769"/>
      <c r="TAR101" s="769"/>
      <c r="TAS101" s="769"/>
      <c r="TAT101" s="769"/>
      <c r="TAU101" s="769"/>
      <c r="TAV101" s="769"/>
      <c r="TAW101" s="769"/>
      <c r="TAX101" s="769"/>
      <c r="TAY101" s="769"/>
      <c r="TAZ101" s="769"/>
      <c r="TBA101" s="769"/>
      <c r="TBB101" s="769"/>
      <c r="TBC101" s="769"/>
      <c r="TBD101" s="769"/>
      <c r="TBE101" s="769"/>
      <c r="TBF101" s="769"/>
      <c r="TBG101" s="769"/>
      <c r="TBH101" s="769"/>
      <c r="TBI101" s="769"/>
      <c r="TBJ101" s="769"/>
      <c r="TBK101" s="769"/>
      <c r="TBL101" s="769"/>
      <c r="TBM101" s="769"/>
      <c r="TBN101" s="769"/>
      <c r="TBO101" s="769"/>
      <c r="TBP101" s="769"/>
      <c r="TBQ101" s="769"/>
      <c r="TBR101" s="769"/>
      <c r="TBS101" s="769"/>
      <c r="TBT101" s="769"/>
      <c r="TBU101" s="769"/>
      <c r="TBV101" s="769"/>
      <c r="TBW101" s="769"/>
      <c r="TBX101" s="769"/>
      <c r="TBY101" s="769"/>
      <c r="TBZ101" s="769"/>
      <c r="TCA101" s="769"/>
      <c r="TCB101" s="769"/>
      <c r="TCC101" s="769"/>
      <c r="TCD101" s="769"/>
      <c r="TCE101" s="769"/>
      <c r="TCF101" s="769"/>
      <c r="TCG101" s="769"/>
      <c r="TCH101" s="769"/>
      <c r="TCI101" s="769"/>
      <c r="TCJ101" s="769"/>
      <c r="TCK101" s="769"/>
      <c r="TCL101" s="769"/>
      <c r="TCM101" s="769"/>
      <c r="TCN101" s="769"/>
      <c r="TCO101" s="769"/>
      <c r="TCP101" s="769"/>
      <c r="TCQ101" s="769"/>
      <c r="TCR101" s="769"/>
      <c r="TCS101" s="769"/>
      <c r="TCT101" s="769"/>
      <c r="TCU101" s="769"/>
      <c r="TCV101" s="769"/>
      <c r="TCW101" s="769"/>
      <c r="TCX101" s="769"/>
      <c r="TCY101" s="769"/>
      <c r="TCZ101" s="769"/>
      <c r="TDA101" s="769"/>
      <c r="TDB101" s="769"/>
      <c r="TDC101" s="769"/>
      <c r="TDD101" s="769"/>
      <c r="TDE101" s="769"/>
      <c r="TDF101" s="769"/>
      <c r="TDG101" s="769"/>
      <c r="TDH101" s="769"/>
      <c r="TDI101" s="769"/>
      <c r="TDJ101" s="769"/>
      <c r="TDK101" s="769"/>
      <c r="TDL101" s="769"/>
      <c r="TDM101" s="769"/>
      <c r="TDN101" s="769"/>
      <c r="TDO101" s="769"/>
      <c r="TDP101" s="769"/>
      <c r="TDQ101" s="769"/>
      <c r="TDR101" s="769"/>
      <c r="TDS101" s="769"/>
      <c r="TDT101" s="769"/>
      <c r="TDU101" s="769"/>
      <c r="TDV101" s="769"/>
      <c r="TDW101" s="769"/>
      <c r="TDX101" s="769"/>
      <c r="TDY101" s="769"/>
      <c r="TDZ101" s="769"/>
      <c r="TEA101" s="769"/>
      <c r="TEB101" s="769"/>
      <c r="TEC101" s="769"/>
      <c r="TED101" s="769"/>
      <c r="TEE101" s="769"/>
      <c r="TEF101" s="769"/>
      <c r="TEG101" s="769"/>
      <c r="TEH101" s="769"/>
      <c r="TEI101" s="769"/>
      <c r="TEJ101" s="769"/>
      <c r="TEK101" s="769"/>
      <c r="TEL101" s="769"/>
      <c r="TEM101" s="769"/>
      <c r="TEN101" s="769"/>
      <c r="TEO101" s="769"/>
      <c r="TEP101" s="769"/>
      <c r="TEQ101" s="769"/>
      <c r="TER101" s="769"/>
      <c r="TES101" s="769"/>
      <c r="TET101" s="769"/>
      <c r="TEU101" s="769"/>
      <c r="TEV101" s="769"/>
      <c r="TEW101" s="769"/>
      <c r="TEX101" s="769"/>
      <c r="TEY101" s="769"/>
      <c r="TEZ101" s="769"/>
      <c r="TFA101" s="769"/>
      <c r="TFB101" s="769"/>
      <c r="TFC101" s="769"/>
      <c r="TFD101" s="769"/>
      <c r="TFE101" s="769"/>
      <c r="TFF101" s="769"/>
      <c r="TFG101" s="769"/>
      <c r="TFH101" s="769"/>
      <c r="TFI101" s="769"/>
      <c r="TFJ101" s="769"/>
      <c r="TFK101" s="769"/>
      <c r="TFL101" s="769"/>
      <c r="TFM101" s="769"/>
      <c r="TFN101" s="769"/>
      <c r="TFO101" s="769"/>
      <c r="TFP101" s="769"/>
      <c r="TFQ101" s="769"/>
      <c r="TFR101" s="769"/>
      <c r="TFS101" s="769"/>
      <c r="TFT101" s="769"/>
      <c r="TFU101" s="769"/>
      <c r="TFV101" s="769"/>
      <c r="TFW101" s="769"/>
      <c r="TFX101" s="769"/>
      <c r="TFY101" s="769"/>
      <c r="TFZ101" s="769"/>
      <c r="TGA101" s="769"/>
      <c r="TGB101" s="769"/>
      <c r="TGC101" s="769"/>
      <c r="TGD101" s="769"/>
      <c r="TGE101" s="769"/>
      <c r="TGF101" s="769"/>
      <c r="TGG101" s="769"/>
      <c r="TGH101" s="769"/>
      <c r="TGI101" s="769"/>
      <c r="TGJ101" s="769"/>
      <c r="TGK101" s="769"/>
      <c r="TGL101" s="769"/>
      <c r="TGM101" s="769"/>
      <c r="TGN101" s="769"/>
      <c r="TGO101" s="769"/>
      <c r="TGP101" s="769"/>
      <c r="TGQ101" s="769"/>
      <c r="TGR101" s="769"/>
      <c r="TGS101" s="769"/>
      <c r="TGT101" s="769"/>
      <c r="TGU101" s="769"/>
      <c r="TGV101" s="769"/>
      <c r="TGW101" s="769"/>
      <c r="TGX101" s="769"/>
      <c r="TGY101" s="769"/>
      <c r="TGZ101" s="769"/>
      <c r="THA101" s="769"/>
      <c r="THB101" s="769"/>
      <c r="THC101" s="769"/>
      <c r="THD101" s="769"/>
      <c r="THE101" s="769"/>
      <c r="THF101" s="769"/>
      <c r="THG101" s="769"/>
      <c r="THH101" s="769"/>
      <c r="THI101" s="769"/>
      <c r="THJ101" s="769"/>
      <c r="THK101" s="769"/>
      <c r="THL101" s="769"/>
      <c r="THM101" s="769"/>
      <c r="THN101" s="769"/>
      <c r="THO101" s="769"/>
      <c r="THP101" s="769"/>
      <c r="THQ101" s="769"/>
      <c r="THR101" s="769"/>
      <c r="THS101" s="769"/>
      <c r="THT101" s="769"/>
      <c r="THU101" s="769"/>
      <c r="THV101" s="769"/>
      <c r="THW101" s="769"/>
      <c r="THX101" s="769"/>
      <c r="THY101" s="769"/>
      <c r="THZ101" s="769"/>
      <c r="TIA101" s="769"/>
      <c r="TIB101" s="769"/>
      <c r="TIC101" s="769"/>
      <c r="TID101" s="769"/>
      <c r="TIE101" s="769"/>
      <c r="TIF101" s="769"/>
      <c r="TIG101" s="769"/>
      <c r="TIH101" s="769"/>
      <c r="TII101" s="769"/>
      <c r="TIJ101" s="769"/>
      <c r="TIK101" s="769"/>
      <c r="TIL101" s="769"/>
      <c r="TIM101" s="769"/>
      <c r="TIN101" s="769"/>
      <c r="TIO101" s="769"/>
      <c r="TIP101" s="769"/>
      <c r="TIQ101" s="769"/>
      <c r="TIR101" s="769"/>
      <c r="TIS101" s="769"/>
      <c r="TIT101" s="769"/>
      <c r="TIU101" s="769"/>
      <c r="TIV101" s="769"/>
      <c r="TIW101" s="769"/>
      <c r="TIX101" s="769"/>
      <c r="TIY101" s="769"/>
      <c r="TIZ101" s="769"/>
      <c r="TJA101" s="769"/>
      <c r="TJB101" s="769"/>
      <c r="TJC101" s="769"/>
      <c r="TJD101" s="769"/>
      <c r="TJE101" s="769"/>
      <c r="TJF101" s="769"/>
      <c r="TJG101" s="769"/>
      <c r="TJH101" s="769"/>
      <c r="TJI101" s="769"/>
      <c r="TJJ101" s="769"/>
      <c r="TJK101" s="769"/>
      <c r="TJL101" s="769"/>
      <c r="TJM101" s="769"/>
      <c r="TJN101" s="769"/>
      <c r="TJO101" s="769"/>
      <c r="TJP101" s="769"/>
      <c r="TJQ101" s="769"/>
      <c r="TJR101" s="769"/>
      <c r="TJS101" s="769"/>
      <c r="TJT101" s="769"/>
      <c r="TJU101" s="769"/>
      <c r="TJV101" s="769"/>
      <c r="TJW101" s="769"/>
      <c r="TJX101" s="769"/>
      <c r="TJY101" s="769"/>
      <c r="TJZ101" s="769"/>
      <c r="TKA101" s="769"/>
      <c r="TKB101" s="769"/>
      <c r="TKC101" s="769"/>
      <c r="TKD101" s="769"/>
      <c r="TKE101" s="769"/>
      <c r="TKF101" s="769"/>
      <c r="TKG101" s="769"/>
      <c r="TKH101" s="769"/>
      <c r="TKI101" s="769"/>
      <c r="TKJ101" s="769"/>
      <c r="TKK101" s="769"/>
      <c r="TKL101" s="769"/>
      <c r="TKM101" s="769"/>
      <c r="TKN101" s="769"/>
      <c r="TKO101" s="769"/>
      <c r="TKP101" s="769"/>
      <c r="TKQ101" s="769"/>
      <c r="TKR101" s="769"/>
      <c r="TKS101" s="769"/>
      <c r="TKT101" s="769"/>
      <c r="TKU101" s="769"/>
      <c r="TKV101" s="769"/>
      <c r="TKW101" s="769"/>
      <c r="TKX101" s="769"/>
      <c r="TKY101" s="769"/>
      <c r="TKZ101" s="769"/>
      <c r="TLA101" s="769"/>
      <c r="TLB101" s="769"/>
      <c r="TLC101" s="769"/>
      <c r="TLD101" s="769"/>
      <c r="TLE101" s="769"/>
      <c r="TLF101" s="769"/>
      <c r="TLG101" s="769"/>
      <c r="TLH101" s="769"/>
      <c r="TLI101" s="769"/>
      <c r="TLJ101" s="769"/>
      <c r="TLK101" s="769"/>
      <c r="TLL101" s="769"/>
      <c r="TLM101" s="769"/>
      <c r="TLN101" s="769"/>
      <c r="TLO101" s="769"/>
      <c r="TLP101" s="769"/>
      <c r="TLQ101" s="769"/>
      <c r="TLR101" s="769"/>
      <c r="TLS101" s="769"/>
      <c r="TLT101" s="769"/>
      <c r="TLU101" s="769"/>
      <c r="TLV101" s="769"/>
      <c r="TLW101" s="769"/>
      <c r="TLX101" s="769"/>
      <c r="TLY101" s="769"/>
      <c r="TLZ101" s="769"/>
      <c r="TMA101" s="769"/>
      <c r="TMB101" s="769"/>
      <c r="TMC101" s="769"/>
      <c r="TMD101" s="769"/>
      <c r="TME101" s="769"/>
      <c r="TMF101" s="769"/>
      <c r="TMG101" s="769"/>
      <c r="TMH101" s="769"/>
      <c r="TMI101" s="769"/>
      <c r="TMJ101" s="769"/>
      <c r="TMK101" s="769"/>
      <c r="TML101" s="769"/>
      <c r="TMM101" s="769"/>
      <c r="TMN101" s="769"/>
      <c r="TMO101" s="769"/>
      <c r="TMP101" s="769"/>
      <c r="TMQ101" s="769"/>
      <c r="TMR101" s="769"/>
      <c r="TMS101" s="769"/>
      <c r="TMT101" s="769"/>
      <c r="TMU101" s="769"/>
      <c r="TMV101" s="769"/>
      <c r="TMW101" s="769"/>
      <c r="TMX101" s="769"/>
      <c r="TMY101" s="769"/>
      <c r="TMZ101" s="769"/>
      <c r="TNA101" s="769"/>
      <c r="TNB101" s="769"/>
      <c r="TNC101" s="769"/>
      <c r="TND101" s="769"/>
      <c r="TNE101" s="769"/>
      <c r="TNF101" s="769"/>
      <c r="TNG101" s="769"/>
      <c r="TNH101" s="769"/>
      <c r="TNI101" s="769"/>
      <c r="TNJ101" s="769"/>
      <c r="TNK101" s="769"/>
      <c r="TNL101" s="769"/>
      <c r="TNM101" s="769"/>
      <c r="TNN101" s="769"/>
      <c r="TNO101" s="769"/>
      <c r="TNP101" s="769"/>
      <c r="TNQ101" s="769"/>
      <c r="TNR101" s="769"/>
      <c r="TNS101" s="769"/>
      <c r="TNT101" s="769"/>
      <c r="TNU101" s="769"/>
      <c r="TNV101" s="769"/>
      <c r="TNW101" s="769"/>
      <c r="TNX101" s="769"/>
      <c r="TNY101" s="769"/>
      <c r="TNZ101" s="769"/>
      <c r="TOA101" s="769"/>
      <c r="TOB101" s="769"/>
      <c r="TOC101" s="769"/>
      <c r="TOD101" s="769"/>
      <c r="TOE101" s="769"/>
      <c r="TOF101" s="769"/>
      <c r="TOG101" s="769"/>
      <c r="TOH101" s="769"/>
      <c r="TOI101" s="769"/>
      <c r="TOJ101" s="769"/>
      <c r="TOK101" s="769"/>
      <c r="TOL101" s="769"/>
      <c r="TOM101" s="769"/>
      <c r="TON101" s="769"/>
      <c r="TOO101" s="769"/>
      <c r="TOP101" s="769"/>
      <c r="TOQ101" s="769"/>
      <c r="TOR101" s="769"/>
      <c r="TOS101" s="769"/>
      <c r="TOT101" s="769"/>
      <c r="TOU101" s="769"/>
      <c r="TOV101" s="769"/>
      <c r="TOW101" s="769"/>
      <c r="TOX101" s="769"/>
      <c r="TOY101" s="769"/>
      <c r="TOZ101" s="769"/>
      <c r="TPA101" s="769"/>
      <c r="TPB101" s="769"/>
      <c r="TPC101" s="769"/>
      <c r="TPD101" s="769"/>
      <c r="TPE101" s="769"/>
      <c r="TPF101" s="769"/>
      <c r="TPG101" s="769"/>
      <c r="TPH101" s="769"/>
      <c r="TPI101" s="769"/>
      <c r="TPJ101" s="769"/>
      <c r="TPK101" s="769"/>
      <c r="TPL101" s="769"/>
      <c r="TPM101" s="769"/>
      <c r="TPN101" s="769"/>
      <c r="TPO101" s="769"/>
      <c r="TPP101" s="769"/>
      <c r="TPQ101" s="769"/>
      <c r="TPR101" s="769"/>
      <c r="TPS101" s="769"/>
      <c r="TPT101" s="769"/>
      <c r="TPU101" s="769"/>
      <c r="TPV101" s="769"/>
      <c r="TPW101" s="769"/>
      <c r="TPX101" s="769"/>
      <c r="TPY101" s="769"/>
      <c r="TPZ101" s="769"/>
      <c r="TQA101" s="769"/>
      <c r="TQB101" s="769"/>
      <c r="TQC101" s="769"/>
      <c r="TQD101" s="769"/>
      <c r="TQE101" s="769"/>
      <c r="TQF101" s="769"/>
      <c r="TQG101" s="769"/>
      <c r="TQH101" s="769"/>
      <c r="TQI101" s="769"/>
      <c r="TQJ101" s="769"/>
      <c r="TQK101" s="769"/>
      <c r="TQL101" s="769"/>
      <c r="TQM101" s="769"/>
      <c r="TQN101" s="769"/>
      <c r="TQO101" s="769"/>
      <c r="TQP101" s="769"/>
      <c r="TQQ101" s="769"/>
      <c r="TQR101" s="769"/>
      <c r="TQS101" s="769"/>
      <c r="TQT101" s="769"/>
      <c r="TQU101" s="769"/>
      <c r="TQV101" s="769"/>
      <c r="TQW101" s="769"/>
      <c r="TQX101" s="769"/>
      <c r="TQY101" s="769"/>
      <c r="TQZ101" s="769"/>
      <c r="TRA101" s="769"/>
      <c r="TRB101" s="769"/>
      <c r="TRC101" s="769"/>
      <c r="TRD101" s="769"/>
      <c r="TRE101" s="769"/>
      <c r="TRF101" s="769"/>
      <c r="TRG101" s="769"/>
      <c r="TRH101" s="769"/>
      <c r="TRI101" s="769"/>
      <c r="TRJ101" s="769"/>
      <c r="TRK101" s="769"/>
      <c r="TRL101" s="769"/>
      <c r="TRM101" s="769"/>
      <c r="TRN101" s="769"/>
      <c r="TRO101" s="769"/>
      <c r="TRP101" s="769"/>
      <c r="TRQ101" s="769"/>
      <c r="TRR101" s="769"/>
      <c r="TRS101" s="769"/>
      <c r="TRT101" s="769"/>
      <c r="TRU101" s="769"/>
      <c r="TRV101" s="769"/>
      <c r="TRW101" s="769"/>
      <c r="TRX101" s="769"/>
      <c r="TRY101" s="769"/>
      <c r="TRZ101" s="769"/>
      <c r="TSA101" s="769"/>
      <c r="TSB101" s="769"/>
      <c r="TSC101" s="769"/>
      <c r="TSD101" s="769"/>
      <c r="TSE101" s="769"/>
      <c r="TSF101" s="769"/>
      <c r="TSG101" s="769"/>
      <c r="TSH101" s="769"/>
      <c r="TSI101" s="769"/>
      <c r="TSJ101" s="769"/>
      <c r="TSK101" s="769"/>
      <c r="TSL101" s="769"/>
      <c r="TSM101" s="769"/>
      <c r="TSN101" s="769"/>
      <c r="TSO101" s="769"/>
      <c r="TSP101" s="769"/>
      <c r="TSQ101" s="769"/>
      <c r="TSR101" s="769"/>
      <c r="TSS101" s="769"/>
      <c r="TST101" s="769"/>
      <c r="TSU101" s="769"/>
      <c r="TSV101" s="769"/>
      <c r="TSW101" s="769"/>
      <c r="TSX101" s="769"/>
      <c r="TSY101" s="769"/>
      <c r="TSZ101" s="769"/>
      <c r="TTA101" s="769"/>
      <c r="TTB101" s="769"/>
      <c r="TTC101" s="769"/>
      <c r="TTD101" s="769"/>
      <c r="TTE101" s="769"/>
      <c r="TTF101" s="769"/>
      <c r="TTG101" s="769"/>
      <c r="TTH101" s="769"/>
      <c r="TTI101" s="769"/>
      <c r="TTJ101" s="769"/>
      <c r="TTK101" s="769"/>
      <c r="TTL101" s="769"/>
      <c r="TTM101" s="769"/>
      <c r="TTN101" s="769"/>
      <c r="TTO101" s="769"/>
      <c r="TTP101" s="769"/>
      <c r="TTQ101" s="769"/>
      <c r="TTR101" s="769"/>
      <c r="TTS101" s="769"/>
      <c r="TTT101" s="769"/>
      <c r="TTU101" s="769"/>
      <c r="TTV101" s="769"/>
      <c r="TTW101" s="769"/>
      <c r="TTX101" s="769"/>
      <c r="TTY101" s="769"/>
      <c r="TTZ101" s="769"/>
      <c r="TUA101" s="769"/>
      <c r="TUB101" s="769"/>
      <c r="TUC101" s="769"/>
      <c r="TUD101" s="769"/>
      <c r="TUE101" s="769"/>
      <c r="TUF101" s="769"/>
      <c r="TUG101" s="769"/>
      <c r="TUH101" s="769"/>
      <c r="TUI101" s="769"/>
      <c r="TUJ101" s="769"/>
      <c r="TUK101" s="769"/>
      <c r="TUL101" s="769"/>
      <c r="TUM101" s="769"/>
      <c r="TUN101" s="769"/>
      <c r="TUO101" s="769"/>
      <c r="TUP101" s="769"/>
      <c r="TUQ101" s="769"/>
      <c r="TUR101" s="769"/>
      <c r="TUS101" s="769"/>
      <c r="TUT101" s="769"/>
      <c r="TUU101" s="769"/>
      <c r="TUV101" s="769"/>
      <c r="TUW101" s="769"/>
      <c r="TUX101" s="769"/>
      <c r="TUY101" s="769"/>
      <c r="TUZ101" s="769"/>
      <c r="TVA101" s="769"/>
      <c r="TVB101" s="769"/>
      <c r="TVC101" s="769"/>
      <c r="TVD101" s="769"/>
      <c r="TVE101" s="769"/>
      <c r="TVF101" s="769"/>
      <c r="TVG101" s="769"/>
      <c r="TVH101" s="769"/>
      <c r="TVI101" s="769"/>
      <c r="TVJ101" s="769"/>
      <c r="TVK101" s="769"/>
      <c r="TVL101" s="769"/>
      <c r="TVM101" s="769"/>
      <c r="TVN101" s="769"/>
      <c r="TVO101" s="769"/>
      <c r="TVP101" s="769"/>
      <c r="TVQ101" s="769"/>
      <c r="TVR101" s="769"/>
      <c r="TVS101" s="769"/>
      <c r="TVT101" s="769"/>
      <c r="TVU101" s="769"/>
      <c r="TVV101" s="769"/>
      <c r="TVW101" s="769"/>
      <c r="TVX101" s="769"/>
      <c r="TVY101" s="769"/>
      <c r="TVZ101" s="769"/>
      <c r="TWA101" s="769"/>
      <c r="TWB101" s="769"/>
      <c r="TWC101" s="769"/>
      <c r="TWD101" s="769"/>
      <c r="TWE101" s="769"/>
      <c r="TWF101" s="769"/>
      <c r="TWG101" s="769"/>
      <c r="TWH101" s="769"/>
      <c r="TWI101" s="769"/>
      <c r="TWJ101" s="769"/>
      <c r="TWK101" s="769"/>
      <c r="TWL101" s="769"/>
      <c r="TWM101" s="769"/>
      <c r="TWN101" s="769"/>
      <c r="TWO101" s="769"/>
      <c r="TWP101" s="769"/>
      <c r="TWQ101" s="769"/>
      <c r="TWR101" s="769"/>
      <c r="TWS101" s="769"/>
      <c r="TWT101" s="769"/>
      <c r="TWU101" s="769"/>
      <c r="TWV101" s="769"/>
      <c r="TWW101" s="769"/>
      <c r="TWX101" s="769"/>
      <c r="TWY101" s="769"/>
      <c r="TWZ101" s="769"/>
      <c r="TXA101" s="769"/>
      <c r="TXB101" s="769"/>
      <c r="TXC101" s="769"/>
      <c r="TXD101" s="769"/>
      <c r="TXE101" s="769"/>
      <c r="TXF101" s="769"/>
      <c r="TXG101" s="769"/>
      <c r="TXH101" s="769"/>
      <c r="TXI101" s="769"/>
      <c r="TXJ101" s="769"/>
      <c r="TXK101" s="769"/>
      <c r="TXL101" s="769"/>
      <c r="TXM101" s="769"/>
      <c r="TXN101" s="769"/>
      <c r="TXO101" s="769"/>
      <c r="TXP101" s="769"/>
      <c r="TXQ101" s="769"/>
      <c r="TXR101" s="769"/>
      <c r="TXS101" s="769"/>
      <c r="TXT101" s="769"/>
      <c r="TXU101" s="769"/>
      <c r="TXV101" s="769"/>
      <c r="TXW101" s="769"/>
      <c r="TXX101" s="769"/>
      <c r="TXY101" s="769"/>
      <c r="TXZ101" s="769"/>
      <c r="TYA101" s="769"/>
      <c r="TYB101" s="769"/>
      <c r="TYC101" s="769"/>
      <c r="TYD101" s="769"/>
      <c r="TYE101" s="769"/>
      <c r="TYF101" s="769"/>
      <c r="TYG101" s="769"/>
      <c r="TYH101" s="769"/>
      <c r="TYI101" s="769"/>
      <c r="TYJ101" s="769"/>
      <c r="TYK101" s="769"/>
      <c r="TYL101" s="769"/>
      <c r="TYM101" s="769"/>
      <c r="TYN101" s="769"/>
      <c r="TYO101" s="769"/>
      <c r="TYP101" s="769"/>
      <c r="TYQ101" s="769"/>
      <c r="TYR101" s="769"/>
      <c r="TYS101" s="769"/>
      <c r="TYT101" s="769"/>
      <c r="TYU101" s="769"/>
      <c r="TYV101" s="769"/>
      <c r="TYW101" s="769"/>
      <c r="TYX101" s="769"/>
      <c r="TYY101" s="769"/>
      <c r="TYZ101" s="769"/>
      <c r="TZA101" s="769"/>
      <c r="TZB101" s="769"/>
      <c r="TZC101" s="769"/>
      <c r="TZD101" s="769"/>
      <c r="TZE101" s="769"/>
      <c r="TZF101" s="769"/>
      <c r="TZG101" s="769"/>
      <c r="TZH101" s="769"/>
      <c r="TZI101" s="769"/>
      <c r="TZJ101" s="769"/>
      <c r="TZK101" s="769"/>
      <c r="TZL101" s="769"/>
      <c r="TZM101" s="769"/>
      <c r="TZN101" s="769"/>
      <c r="TZO101" s="769"/>
      <c r="TZP101" s="769"/>
      <c r="TZQ101" s="769"/>
      <c r="TZR101" s="769"/>
      <c r="TZS101" s="769"/>
      <c r="TZT101" s="769"/>
      <c r="TZU101" s="769"/>
      <c r="TZV101" s="769"/>
      <c r="TZW101" s="769"/>
      <c r="TZX101" s="769"/>
      <c r="TZY101" s="769"/>
      <c r="TZZ101" s="769"/>
      <c r="UAA101" s="769"/>
      <c r="UAB101" s="769"/>
      <c r="UAC101" s="769"/>
      <c r="UAD101" s="769"/>
      <c r="UAE101" s="769"/>
      <c r="UAF101" s="769"/>
      <c r="UAG101" s="769"/>
      <c r="UAH101" s="769"/>
      <c r="UAI101" s="769"/>
      <c r="UAJ101" s="769"/>
      <c r="UAK101" s="769"/>
      <c r="UAL101" s="769"/>
      <c r="UAM101" s="769"/>
      <c r="UAN101" s="769"/>
      <c r="UAO101" s="769"/>
      <c r="UAP101" s="769"/>
      <c r="UAQ101" s="769"/>
      <c r="UAR101" s="769"/>
      <c r="UAS101" s="769"/>
      <c r="UAT101" s="769"/>
      <c r="UAU101" s="769"/>
      <c r="UAV101" s="769"/>
      <c r="UAW101" s="769"/>
      <c r="UAX101" s="769"/>
      <c r="UAY101" s="769"/>
      <c r="UAZ101" s="769"/>
      <c r="UBA101" s="769"/>
      <c r="UBB101" s="769"/>
      <c r="UBC101" s="769"/>
      <c r="UBD101" s="769"/>
      <c r="UBE101" s="769"/>
      <c r="UBF101" s="769"/>
      <c r="UBG101" s="769"/>
      <c r="UBH101" s="769"/>
      <c r="UBI101" s="769"/>
      <c r="UBJ101" s="769"/>
      <c r="UBK101" s="769"/>
      <c r="UBL101" s="769"/>
      <c r="UBM101" s="769"/>
      <c r="UBN101" s="769"/>
      <c r="UBO101" s="769"/>
      <c r="UBP101" s="769"/>
      <c r="UBQ101" s="769"/>
      <c r="UBR101" s="769"/>
      <c r="UBS101" s="769"/>
      <c r="UBT101" s="769"/>
      <c r="UBU101" s="769"/>
      <c r="UBV101" s="769"/>
      <c r="UBW101" s="769"/>
      <c r="UBX101" s="769"/>
      <c r="UBY101" s="769"/>
      <c r="UBZ101" s="769"/>
      <c r="UCA101" s="769"/>
      <c r="UCB101" s="769"/>
      <c r="UCC101" s="769"/>
      <c r="UCD101" s="769"/>
      <c r="UCE101" s="769"/>
      <c r="UCF101" s="769"/>
      <c r="UCG101" s="769"/>
      <c r="UCH101" s="769"/>
      <c r="UCI101" s="769"/>
      <c r="UCJ101" s="769"/>
      <c r="UCK101" s="769"/>
      <c r="UCL101" s="769"/>
      <c r="UCM101" s="769"/>
      <c r="UCN101" s="769"/>
      <c r="UCO101" s="769"/>
      <c r="UCP101" s="769"/>
      <c r="UCQ101" s="769"/>
      <c r="UCR101" s="769"/>
      <c r="UCS101" s="769"/>
      <c r="UCT101" s="769"/>
      <c r="UCU101" s="769"/>
      <c r="UCV101" s="769"/>
      <c r="UCW101" s="769"/>
      <c r="UCX101" s="769"/>
      <c r="UCY101" s="769"/>
      <c r="UCZ101" s="769"/>
      <c r="UDA101" s="769"/>
      <c r="UDB101" s="769"/>
      <c r="UDC101" s="769"/>
      <c r="UDD101" s="769"/>
      <c r="UDE101" s="769"/>
      <c r="UDF101" s="769"/>
      <c r="UDG101" s="769"/>
      <c r="UDH101" s="769"/>
      <c r="UDI101" s="769"/>
      <c r="UDJ101" s="769"/>
      <c r="UDK101" s="769"/>
      <c r="UDL101" s="769"/>
      <c r="UDM101" s="769"/>
      <c r="UDN101" s="769"/>
      <c r="UDO101" s="769"/>
      <c r="UDP101" s="769"/>
      <c r="UDQ101" s="769"/>
      <c r="UDR101" s="769"/>
      <c r="UDS101" s="769"/>
      <c r="UDT101" s="769"/>
      <c r="UDU101" s="769"/>
      <c r="UDV101" s="769"/>
      <c r="UDW101" s="769"/>
      <c r="UDX101" s="769"/>
      <c r="UDY101" s="769"/>
      <c r="UDZ101" s="769"/>
      <c r="UEA101" s="769"/>
      <c r="UEB101" s="769"/>
      <c r="UEC101" s="769"/>
      <c r="UED101" s="769"/>
      <c r="UEE101" s="769"/>
      <c r="UEF101" s="769"/>
      <c r="UEG101" s="769"/>
      <c r="UEH101" s="769"/>
      <c r="UEI101" s="769"/>
      <c r="UEJ101" s="769"/>
      <c r="UEK101" s="769"/>
      <c r="UEL101" s="769"/>
      <c r="UEM101" s="769"/>
      <c r="UEN101" s="769"/>
      <c r="UEO101" s="769"/>
      <c r="UEP101" s="769"/>
      <c r="UEQ101" s="769"/>
      <c r="UER101" s="769"/>
      <c r="UES101" s="769"/>
      <c r="UET101" s="769"/>
      <c r="UEU101" s="769"/>
      <c r="UEV101" s="769"/>
      <c r="UEW101" s="769"/>
      <c r="UEX101" s="769"/>
      <c r="UEY101" s="769"/>
      <c r="UEZ101" s="769"/>
      <c r="UFA101" s="769"/>
      <c r="UFB101" s="769"/>
      <c r="UFC101" s="769"/>
      <c r="UFD101" s="769"/>
      <c r="UFE101" s="769"/>
      <c r="UFF101" s="769"/>
      <c r="UFG101" s="769"/>
      <c r="UFH101" s="769"/>
      <c r="UFI101" s="769"/>
      <c r="UFJ101" s="769"/>
      <c r="UFK101" s="769"/>
      <c r="UFL101" s="769"/>
      <c r="UFM101" s="769"/>
      <c r="UFN101" s="769"/>
      <c r="UFO101" s="769"/>
      <c r="UFP101" s="769"/>
      <c r="UFQ101" s="769"/>
      <c r="UFR101" s="769"/>
      <c r="UFS101" s="769"/>
      <c r="UFT101" s="769"/>
      <c r="UFU101" s="769"/>
      <c r="UFV101" s="769"/>
      <c r="UFW101" s="769"/>
      <c r="UFX101" s="769"/>
      <c r="UFY101" s="769"/>
      <c r="UFZ101" s="769"/>
      <c r="UGA101" s="769"/>
      <c r="UGB101" s="769"/>
      <c r="UGC101" s="769"/>
      <c r="UGD101" s="769"/>
      <c r="UGE101" s="769"/>
      <c r="UGF101" s="769"/>
      <c r="UGG101" s="769"/>
      <c r="UGH101" s="769"/>
      <c r="UGI101" s="769"/>
      <c r="UGJ101" s="769"/>
      <c r="UGK101" s="769"/>
      <c r="UGL101" s="769"/>
      <c r="UGM101" s="769"/>
      <c r="UGN101" s="769"/>
      <c r="UGO101" s="769"/>
      <c r="UGP101" s="769"/>
      <c r="UGQ101" s="769"/>
      <c r="UGR101" s="769"/>
      <c r="UGS101" s="769"/>
      <c r="UGT101" s="769"/>
      <c r="UGU101" s="769"/>
      <c r="UGV101" s="769"/>
      <c r="UGW101" s="769"/>
      <c r="UGX101" s="769"/>
      <c r="UGY101" s="769"/>
      <c r="UGZ101" s="769"/>
      <c r="UHA101" s="769"/>
      <c r="UHB101" s="769"/>
      <c r="UHC101" s="769"/>
      <c r="UHD101" s="769"/>
      <c r="UHE101" s="769"/>
      <c r="UHF101" s="769"/>
      <c r="UHG101" s="769"/>
      <c r="UHH101" s="769"/>
      <c r="UHI101" s="769"/>
      <c r="UHJ101" s="769"/>
      <c r="UHK101" s="769"/>
      <c r="UHL101" s="769"/>
      <c r="UHM101" s="769"/>
      <c r="UHN101" s="769"/>
      <c r="UHO101" s="769"/>
      <c r="UHP101" s="769"/>
      <c r="UHQ101" s="769"/>
      <c r="UHR101" s="769"/>
      <c r="UHS101" s="769"/>
      <c r="UHT101" s="769"/>
      <c r="UHU101" s="769"/>
      <c r="UHV101" s="769"/>
      <c r="UHW101" s="769"/>
      <c r="UHX101" s="769"/>
      <c r="UHY101" s="769"/>
      <c r="UHZ101" s="769"/>
      <c r="UIA101" s="769"/>
      <c r="UIB101" s="769"/>
      <c r="UIC101" s="769"/>
      <c r="UID101" s="769"/>
      <c r="UIE101" s="769"/>
      <c r="UIF101" s="769"/>
      <c r="UIG101" s="769"/>
      <c r="UIH101" s="769"/>
      <c r="UII101" s="769"/>
      <c r="UIJ101" s="769"/>
      <c r="UIK101" s="769"/>
      <c r="UIL101" s="769"/>
      <c r="UIM101" s="769"/>
      <c r="UIN101" s="769"/>
      <c r="UIO101" s="769"/>
      <c r="UIP101" s="769"/>
      <c r="UIQ101" s="769"/>
      <c r="UIR101" s="769"/>
      <c r="UIS101" s="769"/>
      <c r="UIT101" s="769"/>
      <c r="UIU101" s="769"/>
      <c r="UIV101" s="769"/>
      <c r="UIW101" s="769"/>
      <c r="UIX101" s="769"/>
      <c r="UIY101" s="769"/>
      <c r="UIZ101" s="769"/>
      <c r="UJA101" s="769"/>
      <c r="UJB101" s="769"/>
      <c r="UJC101" s="769"/>
      <c r="UJD101" s="769"/>
      <c r="UJE101" s="769"/>
      <c r="UJF101" s="769"/>
      <c r="UJG101" s="769"/>
      <c r="UJH101" s="769"/>
      <c r="UJI101" s="769"/>
      <c r="UJJ101" s="769"/>
      <c r="UJK101" s="769"/>
      <c r="UJL101" s="769"/>
      <c r="UJM101" s="769"/>
      <c r="UJN101" s="769"/>
      <c r="UJO101" s="769"/>
      <c r="UJP101" s="769"/>
      <c r="UJQ101" s="769"/>
      <c r="UJR101" s="769"/>
      <c r="UJS101" s="769"/>
      <c r="UJT101" s="769"/>
      <c r="UJU101" s="769"/>
      <c r="UJV101" s="769"/>
      <c r="UJW101" s="769"/>
      <c r="UJX101" s="769"/>
      <c r="UJY101" s="769"/>
      <c r="UJZ101" s="769"/>
      <c r="UKA101" s="769"/>
      <c r="UKB101" s="769"/>
      <c r="UKC101" s="769"/>
      <c r="UKD101" s="769"/>
      <c r="UKE101" s="769"/>
      <c r="UKF101" s="769"/>
      <c r="UKG101" s="769"/>
      <c r="UKH101" s="769"/>
      <c r="UKI101" s="769"/>
      <c r="UKJ101" s="769"/>
      <c r="UKK101" s="769"/>
      <c r="UKL101" s="769"/>
      <c r="UKM101" s="769"/>
      <c r="UKN101" s="769"/>
      <c r="UKO101" s="769"/>
      <c r="UKP101" s="769"/>
      <c r="UKQ101" s="769"/>
      <c r="UKR101" s="769"/>
      <c r="UKS101" s="769"/>
      <c r="UKT101" s="769"/>
      <c r="UKU101" s="769"/>
      <c r="UKV101" s="769"/>
      <c r="UKW101" s="769"/>
      <c r="UKX101" s="769"/>
      <c r="UKY101" s="769"/>
      <c r="UKZ101" s="769"/>
      <c r="ULA101" s="769"/>
      <c r="ULB101" s="769"/>
      <c r="ULC101" s="769"/>
      <c r="ULD101" s="769"/>
      <c r="ULE101" s="769"/>
      <c r="ULF101" s="769"/>
      <c r="ULG101" s="769"/>
      <c r="ULH101" s="769"/>
      <c r="ULI101" s="769"/>
      <c r="ULJ101" s="769"/>
      <c r="ULK101" s="769"/>
      <c r="ULL101" s="769"/>
      <c r="ULM101" s="769"/>
      <c r="ULN101" s="769"/>
      <c r="ULO101" s="769"/>
      <c r="ULP101" s="769"/>
      <c r="ULQ101" s="769"/>
      <c r="ULR101" s="769"/>
      <c r="ULS101" s="769"/>
      <c r="ULT101" s="769"/>
      <c r="ULU101" s="769"/>
      <c r="ULV101" s="769"/>
      <c r="ULW101" s="769"/>
      <c r="ULX101" s="769"/>
      <c r="ULY101" s="769"/>
      <c r="ULZ101" s="769"/>
      <c r="UMA101" s="769"/>
      <c r="UMB101" s="769"/>
      <c r="UMC101" s="769"/>
      <c r="UMD101" s="769"/>
      <c r="UME101" s="769"/>
      <c r="UMF101" s="769"/>
      <c r="UMG101" s="769"/>
      <c r="UMH101" s="769"/>
      <c r="UMI101" s="769"/>
      <c r="UMJ101" s="769"/>
      <c r="UMK101" s="769"/>
      <c r="UML101" s="769"/>
      <c r="UMM101" s="769"/>
      <c r="UMN101" s="769"/>
      <c r="UMO101" s="769"/>
      <c r="UMP101" s="769"/>
      <c r="UMQ101" s="769"/>
      <c r="UMR101" s="769"/>
      <c r="UMS101" s="769"/>
      <c r="UMT101" s="769"/>
      <c r="UMU101" s="769"/>
      <c r="UMV101" s="769"/>
      <c r="UMW101" s="769"/>
      <c r="UMX101" s="769"/>
      <c r="UMY101" s="769"/>
      <c r="UMZ101" s="769"/>
      <c r="UNA101" s="769"/>
      <c r="UNB101" s="769"/>
      <c r="UNC101" s="769"/>
      <c r="UND101" s="769"/>
      <c r="UNE101" s="769"/>
      <c r="UNF101" s="769"/>
      <c r="UNG101" s="769"/>
      <c r="UNH101" s="769"/>
      <c r="UNI101" s="769"/>
      <c r="UNJ101" s="769"/>
      <c r="UNK101" s="769"/>
      <c r="UNL101" s="769"/>
      <c r="UNM101" s="769"/>
      <c r="UNN101" s="769"/>
      <c r="UNO101" s="769"/>
      <c r="UNP101" s="769"/>
      <c r="UNQ101" s="769"/>
      <c r="UNR101" s="769"/>
      <c r="UNS101" s="769"/>
      <c r="UNT101" s="769"/>
      <c r="UNU101" s="769"/>
      <c r="UNV101" s="769"/>
      <c r="UNW101" s="769"/>
      <c r="UNX101" s="769"/>
      <c r="UNY101" s="769"/>
      <c r="UNZ101" s="769"/>
      <c r="UOA101" s="769"/>
      <c r="UOB101" s="769"/>
      <c r="UOC101" s="769"/>
      <c r="UOD101" s="769"/>
      <c r="UOE101" s="769"/>
      <c r="UOF101" s="769"/>
      <c r="UOG101" s="769"/>
      <c r="UOH101" s="769"/>
      <c r="UOI101" s="769"/>
      <c r="UOJ101" s="769"/>
      <c r="UOK101" s="769"/>
      <c r="UOL101" s="769"/>
      <c r="UOM101" s="769"/>
      <c r="UON101" s="769"/>
      <c r="UOO101" s="769"/>
      <c r="UOP101" s="769"/>
      <c r="UOQ101" s="769"/>
      <c r="UOR101" s="769"/>
      <c r="UOS101" s="769"/>
      <c r="UOT101" s="769"/>
      <c r="UOU101" s="769"/>
      <c r="UOV101" s="769"/>
      <c r="UOW101" s="769"/>
      <c r="UOX101" s="769"/>
      <c r="UOY101" s="769"/>
      <c r="UOZ101" s="769"/>
      <c r="UPA101" s="769"/>
      <c r="UPB101" s="769"/>
      <c r="UPC101" s="769"/>
      <c r="UPD101" s="769"/>
      <c r="UPE101" s="769"/>
      <c r="UPF101" s="769"/>
      <c r="UPG101" s="769"/>
      <c r="UPH101" s="769"/>
      <c r="UPI101" s="769"/>
      <c r="UPJ101" s="769"/>
      <c r="UPK101" s="769"/>
      <c r="UPL101" s="769"/>
      <c r="UPM101" s="769"/>
      <c r="UPN101" s="769"/>
      <c r="UPO101" s="769"/>
      <c r="UPP101" s="769"/>
      <c r="UPQ101" s="769"/>
      <c r="UPR101" s="769"/>
      <c r="UPS101" s="769"/>
      <c r="UPT101" s="769"/>
      <c r="UPU101" s="769"/>
      <c r="UPV101" s="769"/>
      <c r="UPW101" s="769"/>
      <c r="UPX101" s="769"/>
      <c r="UPY101" s="769"/>
      <c r="UPZ101" s="769"/>
      <c r="UQA101" s="769"/>
      <c r="UQB101" s="769"/>
      <c r="UQC101" s="769"/>
      <c r="UQD101" s="769"/>
      <c r="UQE101" s="769"/>
      <c r="UQF101" s="769"/>
      <c r="UQG101" s="769"/>
      <c r="UQH101" s="769"/>
      <c r="UQI101" s="769"/>
      <c r="UQJ101" s="769"/>
      <c r="UQK101" s="769"/>
      <c r="UQL101" s="769"/>
      <c r="UQM101" s="769"/>
      <c r="UQN101" s="769"/>
      <c r="UQO101" s="769"/>
      <c r="UQP101" s="769"/>
      <c r="UQQ101" s="769"/>
      <c r="UQR101" s="769"/>
      <c r="UQS101" s="769"/>
      <c r="UQT101" s="769"/>
      <c r="UQU101" s="769"/>
      <c r="UQV101" s="769"/>
      <c r="UQW101" s="769"/>
      <c r="UQX101" s="769"/>
      <c r="UQY101" s="769"/>
      <c r="UQZ101" s="769"/>
      <c r="URA101" s="769"/>
      <c r="URB101" s="769"/>
      <c r="URC101" s="769"/>
      <c r="URD101" s="769"/>
      <c r="URE101" s="769"/>
      <c r="URF101" s="769"/>
      <c r="URG101" s="769"/>
      <c r="URH101" s="769"/>
      <c r="URI101" s="769"/>
      <c r="URJ101" s="769"/>
      <c r="URK101" s="769"/>
      <c r="URL101" s="769"/>
      <c r="URM101" s="769"/>
      <c r="URN101" s="769"/>
      <c r="URO101" s="769"/>
      <c r="URP101" s="769"/>
      <c r="URQ101" s="769"/>
      <c r="URR101" s="769"/>
      <c r="URS101" s="769"/>
      <c r="URT101" s="769"/>
      <c r="URU101" s="769"/>
      <c r="URV101" s="769"/>
      <c r="URW101" s="769"/>
      <c r="URX101" s="769"/>
      <c r="URY101" s="769"/>
      <c r="URZ101" s="769"/>
      <c r="USA101" s="769"/>
      <c r="USB101" s="769"/>
      <c r="USC101" s="769"/>
      <c r="USD101" s="769"/>
      <c r="USE101" s="769"/>
      <c r="USF101" s="769"/>
      <c r="USG101" s="769"/>
      <c r="USH101" s="769"/>
      <c r="USI101" s="769"/>
      <c r="USJ101" s="769"/>
      <c r="USK101" s="769"/>
      <c r="USL101" s="769"/>
      <c r="USM101" s="769"/>
      <c r="USN101" s="769"/>
      <c r="USO101" s="769"/>
      <c r="USP101" s="769"/>
      <c r="USQ101" s="769"/>
      <c r="USR101" s="769"/>
      <c r="USS101" s="769"/>
      <c r="UST101" s="769"/>
      <c r="USU101" s="769"/>
      <c r="USV101" s="769"/>
      <c r="USW101" s="769"/>
      <c r="USX101" s="769"/>
      <c r="USY101" s="769"/>
      <c r="USZ101" s="769"/>
      <c r="UTA101" s="769"/>
      <c r="UTB101" s="769"/>
      <c r="UTC101" s="769"/>
      <c r="UTD101" s="769"/>
      <c r="UTE101" s="769"/>
      <c r="UTF101" s="769"/>
      <c r="UTG101" s="769"/>
      <c r="UTH101" s="769"/>
      <c r="UTI101" s="769"/>
      <c r="UTJ101" s="769"/>
      <c r="UTK101" s="769"/>
      <c r="UTL101" s="769"/>
      <c r="UTM101" s="769"/>
      <c r="UTN101" s="769"/>
      <c r="UTO101" s="769"/>
      <c r="UTP101" s="769"/>
      <c r="UTQ101" s="769"/>
      <c r="UTR101" s="769"/>
      <c r="UTS101" s="769"/>
      <c r="UTT101" s="769"/>
      <c r="UTU101" s="769"/>
      <c r="UTV101" s="769"/>
      <c r="UTW101" s="769"/>
      <c r="UTX101" s="769"/>
      <c r="UTY101" s="769"/>
      <c r="UTZ101" s="769"/>
      <c r="UUA101" s="769"/>
      <c r="UUB101" s="769"/>
      <c r="UUC101" s="769"/>
      <c r="UUD101" s="769"/>
      <c r="UUE101" s="769"/>
      <c r="UUF101" s="769"/>
      <c r="UUG101" s="769"/>
      <c r="UUH101" s="769"/>
      <c r="UUI101" s="769"/>
      <c r="UUJ101" s="769"/>
      <c r="UUK101" s="769"/>
      <c r="UUL101" s="769"/>
      <c r="UUM101" s="769"/>
      <c r="UUN101" s="769"/>
      <c r="UUO101" s="769"/>
      <c r="UUP101" s="769"/>
      <c r="UUQ101" s="769"/>
      <c r="UUR101" s="769"/>
      <c r="UUS101" s="769"/>
      <c r="UUT101" s="769"/>
      <c r="UUU101" s="769"/>
      <c r="UUV101" s="769"/>
      <c r="UUW101" s="769"/>
      <c r="UUX101" s="769"/>
      <c r="UUY101" s="769"/>
      <c r="UUZ101" s="769"/>
      <c r="UVA101" s="769"/>
      <c r="UVB101" s="769"/>
      <c r="UVC101" s="769"/>
      <c r="UVD101" s="769"/>
      <c r="UVE101" s="769"/>
      <c r="UVF101" s="769"/>
      <c r="UVG101" s="769"/>
      <c r="UVH101" s="769"/>
      <c r="UVI101" s="769"/>
      <c r="UVJ101" s="769"/>
      <c r="UVK101" s="769"/>
      <c r="UVL101" s="769"/>
      <c r="UVM101" s="769"/>
      <c r="UVN101" s="769"/>
      <c r="UVO101" s="769"/>
      <c r="UVP101" s="769"/>
      <c r="UVQ101" s="769"/>
      <c r="UVR101" s="769"/>
      <c r="UVS101" s="769"/>
      <c r="UVT101" s="769"/>
      <c r="UVU101" s="769"/>
      <c r="UVV101" s="769"/>
      <c r="UVW101" s="769"/>
      <c r="UVX101" s="769"/>
      <c r="UVY101" s="769"/>
      <c r="UVZ101" s="769"/>
      <c r="UWA101" s="769"/>
      <c r="UWB101" s="769"/>
      <c r="UWC101" s="769"/>
      <c r="UWD101" s="769"/>
      <c r="UWE101" s="769"/>
      <c r="UWF101" s="769"/>
      <c r="UWG101" s="769"/>
      <c r="UWH101" s="769"/>
      <c r="UWI101" s="769"/>
      <c r="UWJ101" s="769"/>
      <c r="UWK101" s="769"/>
      <c r="UWL101" s="769"/>
      <c r="UWM101" s="769"/>
      <c r="UWN101" s="769"/>
      <c r="UWO101" s="769"/>
      <c r="UWP101" s="769"/>
      <c r="UWQ101" s="769"/>
      <c r="UWR101" s="769"/>
      <c r="UWS101" s="769"/>
      <c r="UWT101" s="769"/>
      <c r="UWU101" s="769"/>
      <c r="UWV101" s="769"/>
      <c r="UWW101" s="769"/>
      <c r="UWX101" s="769"/>
      <c r="UWY101" s="769"/>
      <c r="UWZ101" s="769"/>
      <c r="UXA101" s="769"/>
      <c r="UXB101" s="769"/>
      <c r="UXC101" s="769"/>
      <c r="UXD101" s="769"/>
      <c r="UXE101" s="769"/>
      <c r="UXF101" s="769"/>
      <c r="UXG101" s="769"/>
      <c r="UXH101" s="769"/>
      <c r="UXI101" s="769"/>
      <c r="UXJ101" s="769"/>
      <c r="UXK101" s="769"/>
      <c r="UXL101" s="769"/>
      <c r="UXM101" s="769"/>
      <c r="UXN101" s="769"/>
      <c r="UXO101" s="769"/>
      <c r="UXP101" s="769"/>
      <c r="UXQ101" s="769"/>
      <c r="UXR101" s="769"/>
      <c r="UXS101" s="769"/>
      <c r="UXT101" s="769"/>
      <c r="UXU101" s="769"/>
      <c r="UXV101" s="769"/>
      <c r="UXW101" s="769"/>
      <c r="UXX101" s="769"/>
      <c r="UXY101" s="769"/>
      <c r="UXZ101" s="769"/>
      <c r="UYA101" s="769"/>
      <c r="UYB101" s="769"/>
      <c r="UYC101" s="769"/>
      <c r="UYD101" s="769"/>
      <c r="UYE101" s="769"/>
      <c r="UYF101" s="769"/>
      <c r="UYG101" s="769"/>
      <c r="UYH101" s="769"/>
      <c r="UYI101" s="769"/>
      <c r="UYJ101" s="769"/>
      <c r="UYK101" s="769"/>
      <c r="UYL101" s="769"/>
      <c r="UYM101" s="769"/>
      <c r="UYN101" s="769"/>
      <c r="UYO101" s="769"/>
      <c r="UYP101" s="769"/>
      <c r="UYQ101" s="769"/>
      <c r="UYR101" s="769"/>
      <c r="UYS101" s="769"/>
      <c r="UYT101" s="769"/>
      <c r="UYU101" s="769"/>
      <c r="UYV101" s="769"/>
      <c r="UYW101" s="769"/>
      <c r="UYX101" s="769"/>
      <c r="UYY101" s="769"/>
      <c r="UYZ101" s="769"/>
      <c r="UZA101" s="769"/>
      <c r="UZB101" s="769"/>
      <c r="UZC101" s="769"/>
      <c r="UZD101" s="769"/>
      <c r="UZE101" s="769"/>
      <c r="UZF101" s="769"/>
      <c r="UZG101" s="769"/>
      <c r="UZH101" s="769"/>
      <c r="UZI101" s="769"/>
      <c r="UZJ101" s="769"/>
      <c r="UZK101" s="769"/>
      <c r="UZL101" s="769"/>
      <c r="UZM101" s="769"/>
      <c r="UZN101" s="769"/>
      <c r="UZO101" s="769"/>
      <c r="UZP101" s="769"/>
      <c r="UZQ101" s="769"/>
      <c r="UZR101" s="769"/>
      <c r="UZS101" s="769"/>
      <c r="UZT101" s="769"/>
      <c r="UZU101" s="769"/>
      <c r="UZV101" s="769"/>
      <c r="UZW101" s="769"/>
      <c r="UZX101" s="769"/>
      <c r="UZY101" s="769"/>
      <c r="UZZ101" s="769"/>
      <c r="VAA101" s="769"/>
      <c r="VAB101" s="769"/>
      <c r="VAC101" s="769"/>
      <c r="VAD101" s="769"/>
      <c r="VAE101" s="769"/>
      <c r="VAF101" s="769"/>
      <c r="VAG101" s="769"/>
      <c r="VAH101" s="769"/>
      <c r="VAI101" s="769"/>
      <c r="VAJ101" s="769"/>
      <c r="VAK101" s="769"/>
      <c r="VAL101" s="769"/>
      <c r="VAM101" s="769"/>
      <c r="VAN101" s="769"/>
      <c r="VAO101" s="769"/>
      <c r="VAP101" s="769"/>
      <c r="VAQ101" s="769"/>
      <c r="VAR101" s="769"/>
      <c r="VAS101" s="769"/>
      <c r="VAT101" s="769"/>
      <c r="VAU101" s="769"/>
      <c r="VAV101" s="769"/>
      <c r="VAW101" s="769"/>
      <c r="VAX101" s="769"/>
      <c r="VAY101" s="769"/>
      <c r="VAZ101" s="769"/>
      <c r="VBA101" s="769"/>
      <c r="VBB101" s="769"/>
      <c r="VBC101" s="769"/>
      <c r="VBD101" s="769"/>
      <c r="VBE101" s="769"/>
      <c r="VBF101" s="769"/>
      <c r="VBG101" s="769"/>
      <c r="VBH101" s="769"/>
      <c r="VBI101" s="769"/>
      <c r="VBJ101" s="769"/>
      <c r="VBK101" s="769"/>
      <c r="VBL101" s="769"/>
      <c r="VBM101" s="769"/>
      <c r="VBN101" s="769"/>
      <c r="VBO101" s="769"/>
      <c r="VBP101" s="769"/>
      <c r="VBQ101" s="769"/>
      <c r="VBR101" s="769"/>
      <c r="VBS101" s="769"/>
      <c r="VBT101" s="769"/>
      <c r="VBU101" s="769"/>
      <c r="VBV101" s="769"/>
      <c r="VBW101" s="769"/>
      <c r="VBX101" s="769"/>
      <c r="VBY101" s="769"/>
      <c r="VBZ101" s="769"/>
      <c r="VCA101" s="769"/>
      <c r="VCB101" s="769"/>
      <c r="VCC101" s="769"/>
      <c r="VCD101" s="769"/>
      <c r="VCE101" s="769"/>
      <c r="VCF101" s="769"/>
      <c r="VCG101" s="769"/>
      <c r="VCH101" s="769"/>
      <c r="VCI101" s="769"/>
      <c r="VCJ101" s="769"/>
      <c r="VCK101" s="769"/>
      <c r="VCL101" s="769"/>
      <c r="VCM101" s="769"/>
      <c r="VCN101" s="769"/>
      <c r="VCO101" s="769"/>
      <c r="VCP101" s="769"/>
      <c r="VCQ101" s="769"/>
      <c r="VCR101" s="769"/>
      <c r="VCS101" s="769"/>
      <c r="VCT101" s="769"/>
      <c r="VCU101" s="769"/>
      <c r="VCV101" s="769"/>
      <c r="VCW101" s="769"/>
      <c r="VCX101" s="769"/>
      <c r="VCY101" s="769"/>
      <c r="VCZ101" s="769"/>
      <c r="VDA101" s="769"/>
      <c r="VDB101" s="769"/>
      <c r="VDC101" s="769"/>
      <c r="VDD101" s="769"/>
      <c r="VDE101" s="769"/>
      <c r="VDF101" s="769"/>
      <c r="VDG101" s="769"/>
      <c r="VDH101" s="769"/>
      <c r="VDI101" s="769"/>
      <c r="VDJ101" s="769"/>
      <c r="VDK101" s="769"/>
      <c r="VDL101" s="769"/>
      <c r="VDM101" s="769"/>
      <c r="VDN101" s="769"/>
      <c r="VDO101" s="769"/>
      <c r="VDP101" s="769"/>
      <c r="VDQ101" s="769"/>
      <c r="VDR101" s="769"/>
      <c r="VDS101" s="769"/>
      <c r="VDT101" s="769"/>
      <c r="VDU101" s="769"/>
      <c r="VDV101" s="769"/>
      <c r="VDW101" s="769"/>
      <c r="VDX101" s="769"/>
      <c r="VDY101" s="769"/>
      <c r="VDZ101" s="769"/>
      <c r="VEA101" s="769"/>
      <c r="VEB101" s="769"/>
      <c r="VEC101" s="769"/>
      <c r="VED101" s="769"/>
      <c r="VEE101" s="769"/>
      <c r="VEF101" s="769"/>
      <c r="VEG101" s="769"/>
      <c r="VEH101" s="769"/>
      <c r="VEI101" s="769"/>
      <c r="VEJ101" s="769"/>
      <c r="VEK101" s="769"/>
      <c r="VEL101" s="769"/>
      <c r="VEM101" s="769"/>
      <c r="VEN101" s="769"/>
      <c r="VEO101" s="769"/>
      <c r="VEP101" s="769"/>
      <c r="VEQ101" s="769"/>
      <c r="VER101" s="769"/>
      <c r="VES101" s="769"/>
      <c r="VET101" s="769"/>
      <c r="VEU101" s="769"/>
      <c r="VEV101" s="769"/>
      <c r="VEW101" s="769"/>
      <c r="VEX101" s="769"/>
      <c r="VEY101" s="769"/>
      <c r="VEZ101" s="769"/>
      <c r="VFA101" s="769"/>
      <c r="VFB101" s="769"/>
      <c r="VFC101" s="769"/>
      <c r="VFD101" s="769"/>
      <c r="VFE101" s="769"/>
      <c r="VFF101" s="769"/>
      <c r="VFG101" s="769"/>
      <c r="VFH101" s="769"/>
      <c r="VFI101" s="769"/>
      <c r="VFJ101" s="769"/>
      <c r="VFK101" s="769"/>
      <c r="VFL101" s="769"/>
      <c r="VFM101" s="769"/>
      <c r="VFN101" s="769"/>
      <c r="VFO101" s="769"/>
      <c r="VFP101" s="769"/>
      <c r="VFQ101" s="769"/>
      <c r="VFR101" s="769"/>
      <c r="VFS101" s="769"/>
      <c r="VFT101" s="769"/>
      <c r="VFU101" s="769"/>
      <c r="VFV101" s="769"/>
      <c r="VFW101" s="769"/>
      <c r="VFX101" s="769"/>
      <c r="VFY101" s="769"/>
      <c r="VFZ101" s="769"/>
      <c r="VGA101" s="769"/>
      <c r="VGB101" s="769"/>
      <c r="VGC101" s="769"/>
      <c r="VGD101" s="769"/>
      <c r="VGE101" s="769"/>
      <c r="VGF101" s="769"/>
      <c r="VGG101" s="769"/>
      <c r="VGH101" s="769"/>
      <c r="VGI101" s="769"/>
      <c r="VGJ101" s="769"/>
      <c r="VGK101" s="769"/>
      <c r="VGL101" s="769"/>
      <c r="VGM101" s="769"/>
      <c r="VGN101" s="769"/>
      <c r="VGO101" s="769"/>
      <c r="VGP101" s="769"/>
      <c r="VGQ101" s="769"/>
      <c r="VGR101" s="769"/>
      <c r="VGS101" s="769"/>
      <c r="VGT101" s="769"/>
      <c r="VGU101" s="769"/>
      <c r="VGV101" s="769"/>
      <c r="VGW101" s="769"/>
      <c r="VGX101" s="769"/>
      <c r="VGY101" s="769"/>
      <c r="VGZ101" s="769"/>
      <c r="VHA101" s="769"/>
      <c r="VHB101" s="769"/>
      <c r="VHC101" s="769"/>
      <c r="VHD101" s="769"/>
      <c r="VHE101" s="769"/>
      <c r="VHF101" s="769"/>
      <c r="VHG101" s="769"/>
      <c r="VHH101" s="769"/>
      <c r="VHI101" s="769"/>
      <c r="VHJ101" s="769"/>
      <c r="VHK101" s="769"/>
      <c r="VHL101" s="769"/>
      <c r="VHM101" s="769"/>
      <c r="VHN101" s="769"/>
      <c r="VHO101" s="769"/>
      <c r="VHP101" s="769"/>
      <c r="VHQ101" s="769"/>
      <c r="VHR101" s="769"/>
      <c r="VHS101" s="769"/>
      <c r="VHT101" s="769"/>
      <c r="VHU101" s="769"/>
      <c r="VHV101" s="769"/>
      <c r="VHW101" s="769"/>
      <c r="VHX101" s="769"/>
      <c r="VHY101" s="769"/>
      <c r="VHZ101" s="769"/>
      <c r="VIA101" s="769"/>
      <c r="VIB101" s="769"/>
      <c r="VIC101" s="769"/>
      <c r="VID101" s="769"/>
      <c r="VIE101" s="769"/>
      <c r="VIF101" s="769"/>
      <c r="VIG101" s="769"/>
      <c r="VIH101" s="769"/>
      <c r="VII101" s="769"/>
      <c r="VIJ101" s="769"/>
      <c r="VIK101" s="769"/>
      <c r="VIL101" s="769"/>
      <c r="VIM101" s="769"/>
      <c r="VIN101" s="769"/>
      <c r="VIO101" s="769"/>
      <c r="VIP101" s="769"/>
      <c r="VIQ101" s="769"/>
      <c r="VIR101" s="769"/>
      <c r="VIS101" s="769"/>
      <c r="VIT101" s="769"/>
      <c r="VIU101" s="769"/>
      <c r="VIV101" s="769"/>
      <c r="VIW101" s="769"/>
      <c r="VIX101" s="769"/>
      <c r="VIY101" s="769"/>
      <c r="VIZ101" s="769"/>
      <c r="VJA101" s="769"/>
      <c r="VJB101" s="769"/>
      <c r="VJC101" s="769"/>
      <c r="VJD101" s="769"/>
      <c r="VJE101" s="769"/>
      <c r="VJF101" s="769"/>
      <c r="VJG101" s="769"/>
      <c r="VJH101" s="769"/>
      <c r="VJI101" s="769"/>
      <c r="VJJ101" s="769"/>
      <c r="VJK101" s="769"/>
      <c r="VJL101" s="769"/>
      <c r="VJM101" s="769"/>
      <c r="VJN101" s="769"/>
      <c r="VJO101" s="769"/>
      <c r="VJP101" s="769"/>
      <c r="VJQ101" s="769"/>
      <c r="VJR101" s="769"/>
      <c r="VJS101" s="769"/>
      <c r="VJT101" s="769"/>
      <c r="VJU101" s="769"/>
      <c r="VJV101" s="769"/>
      <c r="VJW101" s="769"/>
      <c r="VJX101" s="769"/>
      <c r="VJY101" s="769"/>
      <c r="VJZ101" s="769"/>
      <c r="VKA101" s="769"/>
      <c r="VKB101" s="769"/>
      <c r="VKC101" s="769"/>
      <c r="VKD101" s="769"/>
      <c r="VKE101" s="769"/>
      <c r="VKF101" s="769"/>
      <c r="VKG101" s="769"/>
      <c r="VKH101" s="769"/>
      <c r="VKI101" s="769"/>
      <c r="VKJ101" s="769"/>
      <c r="VKK101" s="769"/>
      <c r="VKL101" s="769"/>
      <c r="VKM101" s="769"/>
      <c r="VKN101" s="769"/>
      <c r="VKO101" s="769"/>
      <c r="VKP101" s="769"/>
      <c r="VKQ101" s="769"/>
      <c r="VKR101" s="769"/>
      <c r="VKS101" s="769"/>
      <c r="VKT101" s="769"/>
      <c r="VKU101" s="769"/>
      <c r="VKV101" s="769"/>
      <c r="VKW101" s="769"/>
      <c r="VKX101" s="769"/>
      <c r="VKY101" s="769"/>
      <c r="VKZ101" s="769"/>
      <c r="VLA101" s="769"/>
      <c r="VLB101" s="769"/>
      <c r="VLC101" s="769"/>
      <c r="VLD101" s="769"/>
      <c r="VLE101" s="769"/>
      <c r="VLF101" s="769"/>
      <c r="VLG101" s="769"/>
      <c r="VLH101" s="769"/>
      <c r="VLI101" s="769"/>
      <c r="VLJ101" s="769"/>
      <c r="VLK101" s="769"/>
      <c r="VLL101" s="769"/>
      <c r="VLM101" s="769"/>
      <c r="VLN101" s="769"/>
      <c r="VLO101" s="769"/>
      <c r="VLP101" s="769"/>
      <c r="VLQ101" s="769"/>
      <c r="VLR101" s="769"/>
      <c r="VLS101" s="769"/>
      <c r="VLT101" s="769"/>
      <c r="VLU101" s="769"/>
      <c r="VLV101" s="769"/>
      <c r="VLW101" s="769"/>
      <c r="VLX101" s="769"/>
      <c r="VLY101" s="769"/>
      <c r="VLZ101" s="769"/>
      <c r="VMA101" s="769"/>
      <c r="VMB101" s="769"/>
      <c r="VMC101" s="769"/>
      <c r="VMD101" s="769"/>
      <c r="VME101" s="769"/>
      <c r="VMF101" s="769"/>
      <c r="VMG101" s="769"/>
      <c r="VMH101" s="769"/>
      <c r="VMI101" s="769"/>
      <c r="VMJ101" s="769"/>
      <c r="VMK101" s="769"/>
      <c r="VML101" s="769"/>
      <c r="VMM101" s="769"/>
      <c r="VMN101" s="769"/>
      <c r="VMO101" s="769"/>
      <c r="VMP101" s="769"/>
      <c r="VMQ101" s="769"/>
      <c r="VMR101" s="769"/>
      <c r="VMS101" s="769"/>
      <c r="VMT101" s="769"/>
      <c r="VMU101" s="769"/>
      <c r="VMV101" s="769"/>
      <c r="VMW101" s="769"/>
      <c r="VMX101" s="769"/>
      <c r="VMY101" s="769"/>
      <c r="VMZ101" s="769"/>
      <c r="VNA101" s="769"/>
      <c r="VNB101" s="769"/>
      <c r="VNC101" s="769"/>
      <c r="VND101" s="769"/>
      <c r="VNE101" s="769"/>
      <c r="VNF101" s="769"/>
      <c r="VNG101" s="769"/>
      <c r="VNH101" s="769"/>
      <c r="VNI101" s="769"/>
      <c r="VNJ101" s="769"/>
      <c r="VNK101" s="769"/>
      <c r="VNL101" s="769"/>
      <c r="VNM101" s="769"/>
      <c r="VNN101" s="769"/>
      <c r="VNO101" s="769"/>
      <c r="VNP101" s="769"/>
      <c r="VNQ101" s="769"/>
      <c r="VNR101" s="769"/>
      <c r="VNS101" s="769"/>
      <c r="VNT101" s="769"/>
      <c r="VNU101" s="769"/>
      <c r="VNV101" s="769"/>
      <c r="VNW101" s="769"/>
      <c r="VNX101" s="769"/>
      <c r="VNY101" s="769"/>
      <c r="VNZ101" s="769"/>
      <c r="VOA101" s="769"/>
      <c r="VOB101" s="769"/>
      <c r="VOC101" s="769"/>
      <c r="VOD101" s="769"/>
      <c r="VOE101" s="769"/>
      <c r="VOF101" s="769"/>
      <c r="VOG101" s="769"/>
      <c r="VOH101" s="769"/>
      <c r="VOI101" s="769"/>
      <c r="VOJ101" s="769"/>
      <c r="VOK101" s="769"/>
      <c r="VOL101" s="769"/>
      <c r="VOM101" s="769"/>
      <c r="VON101" s="769"/>
      <c r="VOO101" s="769"/>
      <c r="VOP101" s="769"/>
      <c r="VOQ101" s="769"/>
      <c r="VOR101" s="769"/>
      <c r="VOS101" s="769"/>
      <c r="VOT101" s="769"/>
      <c r="VOU101" s="769"/>
      <c r="VOV101" s="769"/>
      <c r="VOW101" s="769"/>
      <c r="VOX101" s="769"/>
      <c r="VOY101" s="769"/>
      <c r="VOZ101" s="769"/>
      <c r="VPA101" s="769"/>
      <c r="VPB101" s="769"/>
      <c r="VPC101" s="769"/>
      <c r="VPD101" s="769"/>
      <c r="VPE101" s="769"/>
      <c r="VPF101" s="769"/>
      <c r="VPG101" s="769"/>
      <c r="VPH101" s="769"/>
      <c r="VPI101" s="769"/>
      <c r="VPJ101" s="769"/>
      <c r="VPK101" s="769"/>
      <c r="VPL101" s="769"/>
      <c r="VPM101" s="769"/>
      <c r="VPN101" s="769"/>
      <c r="VPO101" s="769"/>
      <c r="VPP101" s="769"/>
      <c r="VPQ101" s="769"/>
      <c r="VPR101" s="769"/>
      <c r="VPS101" s="769"/>
      <c r="VPT101" s="769"/>
      <c r="VPU101" s="769"/>
      <c r="VPV101" s="769"/>
      <c r="VPW101" s="769"/>
      <c r="VPX101" s="769"/>
      <c r="VPY101" s="769"/>
      <c r="VPZ101" s="769"/>
      <c r="VQA101" s="769"/>
      <c r="VQB101" s="769"/>
      <c r="VQC101" s="769"/>
      <c r="VQD101" s="769"/>
      <c r="VQE101" s="769"/>
      <c r="VQF101" s="769"/>
      <c r="VQG101" s="769"/>
      <c r="VQH101" s="769"/>
      <c r="VQI101" s="769"/>
      <c r="VQJ101" s="769"/>
      <c r="VQK101" s="769"/>
      <c r="VQL101" s="769"/>
      <c r="VQM101" s="769"/>
      <c r="VQN101" s="769"/>
      <c r="VQO101" s="769"/>
      <c r="VQP101" s="769"/>
      <c r="VQQ101" s="769"/>
      <c r="VQR101" s="769"/>
      <c r="VQS101" s="769"/>
      <c r="VQT101" s="769"/>
      <c r="VQU101" s="769"/>
      <c r="VQV101" s="769"/>
      <c r="VQW101" s="769"/>
      <c r="VQX101" s="769"/>
      <c r="VQY101" s="769"/>
      <c r="VQZ101" s="769"/>
      <c r="VRA101" s="769"/>
      <c r="VRB101" s="769"/>
      <c r="VRC101" s="769"/>
      <c r="VRD101" s="769"/>
      <c r="VRE101" s="769"/>
      <c r="VRF101" s="769"/>
      <c r="VRG101" s="769"/>
      <c r="VRH101" s="769"/>
      <c r="VRI101" s="769"/>
      <c r="VRJ101" s="769"/>
      <c r="VRK101" s="769"/>
      <c r="VRL101" s="769"/>
      <c r="VRM101" s="769"/>
      <c r="VRN101" s="769"/>
      <c r="VRO101" s="769"/>
      <c r="VRP101" s="769"/>
      <c r="VRQ101" s="769"/>
      <c r="VRR101" s="769"/>
      <c r="VRS101" s="769"/>
      <c r="VRT101" s="769"/>
      <c r="VRU101" s="769"/>
      <c r="VRV101" s="769"/>
      <c r="VRW101" s="769"/>
      <c r="VRX101" s="769"/>
      <c r="VRY101" s="769"/>
      <c r="VRZ101" s="769"/>
      <c r="VSA101" s="769"/>
      <c r="VSB101" s="769"/>
      <c r="VSC101" s="769"/>
      <c r="VSD101" s="769"/>
      <c r="VSE101" s="769"/>
      <c r="VSF101" s="769"/>
      <c r="VSG101" s="769"/>
      <c r="VSH101" s="769"/>
      <c r="VSI101" s="769"/>
      <c r="VSJ101" s="769"/>
      <c r="VSK101" s="769"/>
      <c r="VSL101" s="769"/>
      <c r="VSM101" s="769"/>
      <c r="VSN101" s="769"/>
      <c r="VSO101" s="769"/>
      <c r="VSP101" s="769"/>
      <c r="VSQ101" s="769"/>
      <c r="VSR101" s="769"/>
      <c r="VSS101" s="769"/>
      <c r="VST101" s="769"/>
      <c r="VSU101" s="769"/>
      <c r="VSV101" s="769"/>
      <c r="VSW101" s="769"/>
      <c r="VSX101" s="769"/>
      <c r="VSY101" s="769"/>
      <c r="VSZ101" s="769"/>
      <c r="VTA101" s="769"/>
      <c r="VTB101" s="769"/>
      <c r="VTC101" s="769"/>
      <c r="VTD101" s="769"/>
      <c r="VTE101" s="769"/>
      <c r="VTF101" s="769"/>
      <c r="VTG101" s="769"/>
      <c r="VTH101" s="769"/>
      <c r="VTI101" s="769"/>
      <c r="VTJ101" s="769"/>
      <c r="VTK101" s="769"/>
      <c r="VTL101" s="769"/>
      <c r="VTM101" s="769"/>
      <c r="VTN101" s="769"/>
      <c r="VTO101" s="769"/>
      <c r="VTP101" s="769"/>
      <c r="VTQ101" s="769"/>
      <c r="VTR101" s="769"/>
      <c r="VTS101" s="769"/>
      <c r="VTT101" s="769"/>
      <c r="VTU101" s="769"/>
      <c r="VTV101" s="769"/>
      <c r="VTW101" s="769"/>
      <c r="VTX101" s="769"/>
      <c r="VTY101" s="769"/>
      <c r="VTZ101" s="769"/>
      <c r="VUA101" s="769"/>
      <c r="VUB101" s="769"/>
      <c r="VUC101" s="769"/>
      <c r="VUD101" s="769"/>
      <c r="VUE101" s="769"/>
      <c r="VUF101" s="769"/>
      <c r="VUG101" s="769"/>
      <c r="VUH101" s="769"/>
      <c r="VUI101" s="769"/>
      <c r="VUJ101" s="769"/>
      <c r="VUK101" s="769"/>
      <c r="VUL101" s="769"/>
      <c r="VUM101" s="769"/>
      <c r="VUN101" s="769"/>
      <c r="VUO101" s="769"/>
      <c r="VUP101" s="769"/>
      <c r="VUQ101" s="769"/>
      <c r="VUR101" s="769"/>
      <c r="VUS101" s="769"/>
      <c r="VUT101" s="769"/>
      <c r="VUU101" s="769"/>
      <c r="VUV101" s="769"/>
      <c r="VUW101" s="769"/>
      <c r="VUX101" s="769"/>
      <c r="VUY101" s="769"/>
      <c r="VUZ101" s="769"/>
      <c r="VVA101" s="769"/>
      <c r="VVB101" s="769"/>
      <c r="VVC101" s="769"/>
      <c r="VVD101" s="769"/>
      <c r="VVE101" s="769"/>
      <c r="VVF101" s="769"/>
      <c r="VVG101" s="769"/>
      <c r="VVH101" s="769"/>
      <c r="VVI101" s="769"/>
      <c r="VVJ101" s="769"/>
      <c r="VVK101" s="769"/>
      <c r="VVL101" s="769"/>
      <c r="VVM101" s="769"/>
      <c r="VVN101" s="769"/>
      <c r="VVO101" s="769"/>
      <c r="VVP101" s="769"/>
      <c r="VVQ101" s="769"/>
      <c r="VVR101" s="769"/>
      <c r="VVS101" s="769"/>
      <c r="VVT101" s="769"/>
      <c r="VVU101" s="769"/>
      <c r="VVV101" s="769"/>
      <c r="VVW101" s="769"/>
      <c r="VVX101" s="769"/>
      <c r="VVY101" s="769"/>
      <c r="VVZ101" s="769"/>
      <c r="VWA101" s="769"/>
      <c r="VWB101" s="769"/>
      <c r="VWC101" s="769"/>
      <c r="VWD101" s="769"/>
      <c r="VWE101" s="769"/>
      <c r="VWF101" s="769"/>
      <c r="VWG101" s="769"/>
      <c r="VWH101" s="769"/>
      <c r="VWI101" s="769"/>
      <c r="VWJ101" s="769"/>
      <c r="VWK101" s="769"/>
      <c r="VWL101" s="769"/>
      <c r="VWM101" s="769"/>
      <c r="VWN101" s="769"/>
      <c r="VWO101" s="769"/>
      <c r="VWP101" s="769"/>
      <c r="VWQ101" s="769"/>
      <c r="VWR101" s="769"/>
      <c r="VWS101" s="769"/>
      <c r="VWT101" s="769"/>
      <c r="VWU101" s="769"/>
      <c r="VWV101" s="769"/>
      <c r="VWW101" s="769"/>
      <c r="VWX101" s="769"/>
      <c r="VWY101" s="769"/>
      <c r="VWZ101" s="769"/>
      <c r="VXA101" s="769"/>
      <c r="VXB101" s="769"/>
      <c r="VXC101" s="769"/>
      <c r="VXD101" s="769"/>
      <c r="VXE101" s="769"/>
      <c r="VXF101" s="769"/>
      <c r="VXG101" s="769"/>
      <c r="VXH101" s="769"/>
      <c r="VXI101" s="769"/>
      <c r="VXJ101" s="769"/>
      <c r="VXK101" s="769"/>
      <c r="VXL101" s="769"/>
      <c r="VXM101" s="769"/>
      <c r="VXN101" s="769"/>
      <c r="VXO101" s="769"/>
      <c r="VXP101" s="769"/>
      <c r="VXQ101" s="769"/>
      <c r="VXR101" s="769"/>
      <c r="VXS101" s="769"/>
      <c r="VXT101" s="769"/>
      <c r="VXU101" s="769"/>
      <c r="VXV101" s="769"/>
      <c r="VXW101" s="769"/>
      <c r="VXX101" s="769"/>
      <c r="VXY101" s="769"/>
      <c r="VXZ101" s="769"/>
      <c r="VYA101" s="769"/>
      <c r="VYB101" s="769"/>
      <c r="VYC101" s="769"/>
      <c r="VYD101" s="769"/>
      <c r="VYE101" s="769"/>
      <c r="VYF101" s="769"/>
      <c r="VYG101" s="769"/>
      <c r="VYH101" s="769"/>
      <c r="VYI101" s="769"/>
      <c r="VYJ101" s="769"/>
      <c r="VYK101" s="769"/>
      <c r="VYL101" s="769"/>
      <c r="VYM101" s="769"/>
      <c r="VYN101" s="769"/>
      <c r="VYO101" s="769"/>
      <c r="VYP101" s="769"/>
      <c r="VYQ101" s="769"/>
      <c r="VYR101" s="769"/>
      <c r="VYS101" s="769"/>
      <c r="VYT101" s="769"/>
      <c r="VYU101" s="769"/>
      <c r="VYV101" s="769"/>
      <c r="VYW101" s="769"/>
      <c r="VYX101" s="769"/>
      <c r="VYY101" s="769"/>
      <c r="VYZ101" s="769"/>
      <c r="VZA101" s="769"/>
      <c r="VZB101" s="769"/>
      <c r="VZC101" s="769"/>
      <c r="VZD101" s="769"/>
      <c r="VZE101" s="769"/>
      <c r="VZF101" s="769"/>
      <c r="VZG101" s="769"/>
      <c r="VZH101" s="769"/>
      <c r="VZI101" s="769"/>
      <c r="VZJ101" s="769"/>
      <c r="VZK101" s="769"/>
      <c r="VZL101" s="769"/>
      <c r="VZM101" s="769"/>
      <c r="VZN101" s="769"/>
      <c r="VZO101" s="769"/>
      <c r="VZP101" s="769"/>
      <c r="VZQ101" s="769"/>
      <c r="VZR101" s="769"/>
      <c r="VZS101" s="769"/>
      <c r="VZT101" s="769"/>
      <c r="VZU101" s="769"/>
      <c r="VZV101" s="769"/>
      <c r="VZW101" s="769"/>
      <c r="VZX101" s="769"/>
      <c r="VZY101" s="769"/>
      <c r="VZZ101" s="769"/>
      <c r="WAA101" s="769"/>
      <c r="WAB101" s="769"/>
      <c r="WAC101" s="769"/>
      <c r="WAD101" s="769"/>
      <c r="WAE101" s="769"/>
      <c r="WAF101" s="769"/>
      <c r="WAG101" s="769"/>
      <c r="WAH101" s="769"/>
      <c r="WAI101" s="769"/>
      <c r="WAJ101" s="769"/>
      <c r="WAK101" s="769"/>
      <c r="WAL101" s="769"/>
      <c r="WAM101" s="769"/>
      <c r="WAN101" s="769"/>
      <c r="WAO101" s="769"/>
      <c r="WAP101" s="769"/>
      <c r="WAQ101" s="769"/>
      <c r="WAR101" s="769"/>
      <c r="WAS101" s="769"/>
      <c r="WAT101" s="769"/>
      <c r="WAU101" s="769"/>
      <c r="WAV101" s="769"/>
      <c r="WAW101" s="769"/>
      <c r="WAX101" s="769"/>
      <c r="WAY101" s="769"/>
      <c r="WAZ101" s="769"/>
      <c r="WBA101" s="769"/>
      <c r="WBB101" s="769"/>
      <c r="WBC101" s="769"/>
      <c r="WBD101" s="769"/>
      <c r="WBE101" s="769"/>
      <c r="WBF101" s="769"/>
      <c r="WBG101" s="769"/>
      <c r="WBH101" s="769"/>
      <c r="WBI101" s="769"/>
      <c r="WBJ101" s="769"/>
      <c r="WBK101" s="769"/>
      <c r="WBL101" s="769"/>
      <c r="WBM101" s="769"/>
      <c r="WBN101" s="769"/>
      <c r="WBO101" s="769"/>
      <c r="WBP101" s="769"/>
      <c r="WBQ101" s="769"/>
      <c r="WBR101" s="769"/>
      <c r="WBS101" s="769"/>
      <c r="WBT101" s="769"/>
      <c r="WBU101" s="769"/>
      <c r="WBV101" s="769"/>
      <c r="WBW101" s="769"/>
      <c r="WBX101" s="769"/>
      <c r="WBY101" s="769"/>
      <c r="WBZ101" s="769"/>
      <c r="WCA101" s="769"/>
      <c r="WCB101" s="769"/>
      <c r="WCC101" s="769"/>
      <c r="WCD101" s="769"/>
      <c r="WCE101" s="769"/>
      <c r="WCF101" s="769"/>
      <c r="WCG101" s="769"/>
      <c r="WCH101" s="769"/>
      <c r="WCI101" s="769"/>
      <c r="WCJ101" s="769"/>
      <c r="WCK101" s="769"/>
      <c r="WCL101" s="769"/>
      <c r="WCM101" s="769"/>
      <c r="WCN101" s="769"/>
      <c r="WCO101" s="769"/>
      <c r="WCP101" s="769"/>
      <c r="WCQ101" s="769"/>
      <c r="WCR101" s="769"/>
      <c r="WCS101" s="769"/>
      <c r="WCT101" s="769"/>
      <c r="WCU101" s="769"/>
      <c r="WCV101" s="769"/>
      <c r="WCW101" s="769"/>
      <c r="WCX101" s="769"/>
      <c r="WCY101" s="769"/>
      <c r="WCZ101" s="769"/>
      <c r="WDA101" s="769"/>
      <c r="WDB101" s="769"/>
      <c r="WDC101" s="769"/>
      <c r="WDD101" s="769"/>
      <c r="WDE101" s="769"/>
      <c r="WDF101" s="769"/>
      <c r="WDG101" s="769"/>
      <c r="WDH101" s="769"/>
      <c r="WDI101" s="769"/>
      <c r="WDJ101" s="769"/>
      <c r="WDK101" s="769"/>
      <c r="WDL101" s="769"/>
      <c r="WDM101" s="769"/>
      <c r="WDN101" s="769"/>
      <c r="WDO101" s="769"/>
      <c r="WDP101" s="769"/>
      <c r="WDQ101" s="769"/>
      <c r="WDR101" s="769"/>
      <c r="WDS101" s="769"/>
      <c r="WDT101" s="769"/>
      <c r="WDU101" s="769"/>
      <c r="WDV101" s="769"/>
      <c r="WDW101" s="769"/>
      <c r="WDX101" s="769"/>
      <c r="WDY101" s="769"/>
      <c r="WDZ101" s="769"/>
      <c r="WEA101" s="769"/>
      <c r="WEB101" s="769"/>
      <c r="WEC101" s="769"/>
      <c r="WED101" s="769"/>
      <c r="WEE101" s="769"/>
      <c r="WEF101" s="769"/>
      <c r="WEG101" s="769"/>
      <c r="WEH101" s="769"/>
      <c r="WEI101" s="769"/>
      <c r="WEJ101" s="769"/>
      <c r="WEK101" s="769"/>
      <c r="WEL101" s="769"/>
      <c r="WEM101" s="769"/>
      <c r="WEN101" s="769"/>
      <c r="WEO101" s="769"/>
      <c r="WEP101" s="769"/>
      <c r="WEQ101" s="769"/>
      <c r="WER101" s="769"/>
      <c r="WES101" s="769"/>
      <c r="WET101" s="769"/>
      <c r="WEU101" s="769"/>
      <c r="WEV101" s="769"/>
      <c r="WEW101" s="769"/>
      <c r="WEX101" s="769"/>
      <c r="WEY101" s="769"/>
      <c r="WEZ101" s="769"/>
      <c r="WFA101" s="769"/>
      <c r="WFB101" s="769"/>
      <c r="WFC101" s="769"/>
      <c r="WFD101" s="769"/>
      <c r="WFE101" s="769"/>
      <c r="WFF101" s="769"/>
      <c r="WFG101" s="769"/>
      <c r="WFH101" s="769"/>
      <c r="WFI101" s="769"/>
      <c r="WFJ101" s="769"/>
      <c r="WFK101" s="769"/>
      <c r="WFL101" s="769"/>
      <c r="WFM101" s="769"/>
      <c r="WFN101" s="769"/>
      <c r="WFO101" s="769"/>
      <c r="WFP101" s="769"/>
      <c r="WFQ101" s="769"/>
      <c r="WFR101" s="769"/>
      <c r="WFS101" s="769"/>
      <c r="WFT101" s="769"/>
      <c r="WFU101" s="769"/>
      <c r="WFV101" s="769"/>
      <c r="WFW101" s="769"/>
      <c r="WFX101" s="769"/>
      <c r="WFY101" s="769"/>
      <c r="WFZ101" s="769"/>
      <c r="WGA101" s="769"/>
      <c r="WGB101" s="769"/>
      <c r="WGC101" s="769"/>
      <c r="WGD101" s="769"/>
      <c r="WGE101" s="769"/>
      <c r="WGF101" s="769"/>
      <c r="WGG101" s="769"/>
      <c r="WGH101" s="769"/>
      <c r="WGI101" s="769"/>
      <c r="WGJ101" s="769"/>
      <c r="WGK101" s="769"/>
      <c r="WGL101" s="769"/>
      <c r="WGM101" s="769"/>
      <c r="WGN101" s="769"/>
      <c r="WGO101" s="769"/>
      <c r="WGP101" s="769"/>
      <c r="WGQ101" s="769"/>
      <c r="WGR101" s="769"/>
      <c r="WGS101" s="769"/>
      <c r="WGT101" s="769"/>
      <c r="WGU101" s="769"/>
      <c r="WGV101" s="769"/>
      <c r="WGW101" s="769"/>
      <c r="WGX101" s="769"/>
      <c r="WGY101" s="769"/>
      <c r="WGZ101" s="769"/>
      <c r="WHA101" s="769"/>
      <c r="WHB101" s="769"/>
      <c r="WHC101" s="769"/>
      <c r="WHD101" s="769"/>
      <c r="WHE101" s="769"/>
      <c r="WHF101" s="769"/>
      <c r="WHG101" s="769"/>
      <c r="WHH101" s="769"/>
      <c r="WHI101" s="769"/>
      <c r="WHJ101" s="769"/>
      <c r="WHK101" s="769"/>
      <c r="WHL101" s="769"/>
      <c r="WHM101" s="769"/>
      <c r="WHN101" s="769"/>
      <c r="WHO101" s="769"/>
      <c r="WHP101" s="769"/>
      <c r="WHQ101" s="769"/>
      <c r="WHR101" s="769"/>
      <c r="WHS101" s="769"/>
      <c r="WHT101" s="769"/>
      <c r="WHU101" s="769"/>
      <c r="WHV101" s="769"/>
      <c r="WHW101" s="769"/>
      <c r="WHX101" s="769"/>
      <c r="WHY101" s="769"/>
      <c r="WHZ101" s="769"/>
      <c r="WIA101" s="769"/>
      <c r="WIB101" s="769"/>
      <c r="WIC101" s="769"/>
      <c r="WID101" s="769"/>
      <c r="WIE101" s="769"/>
      <c r="WIF101" s="769"/>
      <c r="WIG101" s="769"/>
      <c r="WIH101" s="769"/>
      <c r="WII101" s="769"/>
      <c r="WIJ101" s="769"/>
      <c r="WIK101" s="769"/>
      <c r="WIL101" s="769"/>
      <c r="WIM101" s="769"/>
      <c r="WIN101" s="769"/>
      <c r="WIO101" s="769"/>
      <c r="WIP101" s="769"/>
      <c r="WIQ101" s="769"/>
      <c r="WIR101" s="769"/>
      <c r="WIS101" s="769"/>
      <c r="WIT101" s="769"/>
      <c r="WIU101" s="769"/>
      <c r="WIV101" s="769"/>
      <c r="WIW101" s="769"/>
      <c r="WIX101" s="769"/>
      <c r="WIY101" s="769"/>
      <c r="WIZ101" s="769"/>
      <c r="WJA101" s="769"/>
      <c r="WJB101" s="769"/>
      <c r="WJC101" s="769"/>
      <c r="WJD101" s="769"/>
      <c r="WJE101" s="769"/>
      <c r="WJF101" s="769"/>
      <c r="WJG101" s="769"/>
      <c r="WJH101" s="769"/>
      <c r="WJI101" s="769"/>
      <c r="WJJ101" s="769"/>
      <c r="WJK101" s="769"/>
      <c r="WJL101" s="769"/>
      <c r="WJM101" s="769"/>
      <c r="WJN101" s="769"/>
      <c r="WJO101" s="769"/>
      <c r="WJP101" s="769"/>
      <c r="WJQ101" s="769"/>
      <c r="WJR101" s="769"/>
      <c r="WJS101" s="769"/>
      <c r="WJT101" s="769"/>
      <c r="WJU101" s="769"/>
      <c r="WJV101" s="769"/>
      <c r="WJW101" s="769"/>
      <c r="WJX101" s="769"/>
      <c r="WJY101" s="769"/>
      <c r="WJZ101" s="769"/>
      <c r="WKA101" s="769"/>
      <c r="WKB101" s="769"/>
      <c r="WKC101" s="769"/>
      <c r="WKD101" s="769"/>
      <c r="WKE101" s="769"/>
      <c r="WKF101" s="769"/>
      <c r="WKG101" s="769"/>
      <c r="WKH101" s="769"/>
      <c r="WKI101" s="769"/>
      <c r="WKJ101" s="769"/>
      <c r="WKK101" s="769"/>
      <c r="WKL101" s="769"/>
      <c r="WKM101" s="769"/>
      <c r="WKN101" s="769"/>
      <c r="WKO101" s="769"/>
      <c r="WKP101" s="769"/>
      <c r="WKQ101" s="769"/>
      <c r="WKR101" s="769"/>
      <c r="WKS101" s="769"/>
      <c r="WKT101" s="769"/>
      <c r="WKU101" s="769"/>
      <c r="WKV101" s="769"/>
      <c r="WKW101" s="769"/>
      <c r="WKX101" s="769"/>
      <c r="WKY101" s="769"/>
      <c r="WKZ101" s="769"/>
      <c r="WLA101" s="769"/>
      <c r="WLB101" s="769"/>
      <c r="WLC101" s="769"/>
      <c r="WLD101" s="769"/>
      <c r="WLE101" s="769"/>
      <c r="WLF101" s="769"/>
      <c r="WLG101" s="769"/>
      <c r="WLH101" s="769"/>
      <c r="WLI101" s="769"/>
      <c r="WLJ101" s="769"/>
      <c r="WLK101" s="769"/>
      <c r="WLL101" s="769"/>
      <c r="WLM101" s="769"/>
      <c r="WLN101" s="769"/>
      <c r="WLO101" s="769"/>
      <c r="WLP101" s="769"/>
      <c r="WLQ101" s="769"/>
      <c r="WLR101" s="769"/>
      <c r="WLS101" s="769"/>
      <c r="WLT101" s="769"/>
      <c r="WLU101" s="769"/>
      <c r="WLV101" s="769"/>
      <c r="WLW101" s="769"/>
      <c r="WLX101" s="769"/>
      <c r="WLY101" s="769"/>
      <c r="WLZ101" s="769"/>
      <c r="WMA101" s="769"/>
      <c r="WMB101" s="769"/>
      <c r="WMC101" s="769"/>
      <c r="WMD101" s="769"/>
      <c r="WME101" s="769"/>
      <c r="WMF101" s="769"/>
      <c r="WMG101" s="769"/>
      <c r="WMH101" s="769"/>
      <c r="WMI101" s="769"/>
      <c r="WMJ101" s="769"/>
      <c r="WMK101" s="769"/>
      <c r="WML101" s="769"/>
      <c r="WMM101" s="769"/>
      <c r="WMN101" s="769"/>
      <c r="WMO101" s="769"/>
      <c r="WMP101" s="769"/>
      <c r="WMQ101" s="769"/>
      <c r="WMR101" s="769"/>
      <c r="WMS101" s="769"/>
      <c r="WMT101" s="769"/>
      <c r="WMU101" s="769"/>
      <c r="WMV101" s="769"/>
      <c r="WMW101" s="769"/>
      <c r="WMX101" s="769"/>
      <c r="WMY101" s="769"/>
      <c r="WMZ101" s="769"/>
      <c r="WNA101" s="769"/>
      <c r="WNB101" s="769"/>
      <c r="WNC101" s="769"/>
      <c r="WND101" s="769"/>
      <c r="WNE101" s="769"/>
      <c r="WNF101" s="769"/>
      <c r="WNG101" s="769"/>
      <c r="WNH101" s="769"/>
      <c r="WNI101" s="769"/>
      <c r="WNJ101" s="769"/>
      <c r="WNK101" s="769"/>
      <c r="WNL101" s="769"/>
      <c r="WNM101" s="769"/>
      <c r="WNN101" s="769"/>
      <c r="WNO101" s="769"/>
      <c r="WNP101" s="769"/>
      <c r="WNQ101" s="769"/>
      <c r="WNR101" s="769"/>
      <c r="WNS101" s="769"/>
      <c r="WNT101" s="769"/>
      <c r="WNU101" s="769"/>
      <c r="WNV101" s="769"/>
      <c r="WNW101" s="769"/>
      <c r="WNX101" s="769"/>
      <c r="WNY101" s="769"/>
      <c r="WNZ101" s="769"/>
      <c r="WOA101" s="769"/>
      <c r="WOB101" s="769"/>
      <c r="WOC101" s="769"/>
      <c r="WOD101" s="769"/>
      <c r="WOE101" s="769"/>
      <c r="WOF101" s="769"/>
      <c r="WOG101" s="769"/>
      <c r="WOH101" s="769"/>
      <c r="WOI101" s="769"/>
      <c r="WOJ101" s="769"/>
      <c r="WOK101" s="769"/>
      <c r="WOL101" s="769"/>
      <c r="WOM101" s="769"/>
      <c r="WON101" s="769"/>
      <c r="WOO101" s="769"/>
      <c r="WOP101" s="769"/>
      <c r="WOQ101" s="769"/>
      <c r="WOR101" s="769"/>
      <c r="WOS101" s="769"/>
      <c r="WOT101" s="769"/>
      <c r="WOU101" s="769"/>
      <c r="WOV101" s="769"/>
      <c r="WOW101" s="769"/>
      <c r="WOX101" s="769"/>
      <c r="WOY101" s="769"/>
      <c r="WOZ101" s="769"/>
      <c r="WPA101" s="769"/>
      <c r="WPB101" s="769"/>
      <c r="WPC101" s="769"/>
      <c r="WPD101" s="769"/>
      <c r="WPE101" s="769"/>
      <c r="WPF101" s="769"/>
      <c r="WPG101" s="769"/>
      <c r="WPH101" s="769"/>
      <c r="WPI101" s="769"/>
      <c r="WPJ101" s="769"/>
      <c r="WPK101" s="769"/>
      <c r="WPL101" s="769"/>
      <c r="WPM101" s="769"/>
      <c r="WPN101" s="769"/>
      <c r="WPO101" s="769"/>
      <c r="WPP101" s="769"/>
      <c r="WPQ101" s="769"/>
      <c r="WPR101" s="769"/>
      <c r="WPS101" s="769"/>
      <c r="WPT101" s="769"/>
      <c r="WPU101" s="769"/>
      <c r="WPV101" s="769"/>
      <c r="WPW101" s="769"/>
      <c r="WPX101" s="769"/>
      <c r="WPY101" s="769"/>
      <c r="WPZ101" s="769"/>
      <c r="WQA101" s="769"/>
      <c r="WQB101" s="769"/>
      <c r="WQC101" s="769"/>
      <c r="WQD101" s="769"/>
      <c r="WQE101" s="769"/>
      <c r="WQF101" s="769"/>
      <c r="WQG101" s="769"/>
      <c r="WQH101" s="769"/>
      <c r="WQI101" s="769"/>
      <c r="WQJ101" s="769"/>
      <c r="WQK101" s="769"/>
      <c r="WQL101" s="769"/>
      <c r="WQM101" s="769"/>
      <c r="WQN101" s="769"/>
      <c r="WQO101" s="769"/>
      <c r="WQP101" s="769"/>
      <c r="WQQ101" s="769"/>
      <c r="WQR101" s="769"/>
      <c r="WQS101" s="769"/>
      <c r="WQT101" s="769"/>
      <c r="WQU101" s="769"/>
      <c r="WQV101" s="769"/>
      <c r="WQW101" s="769"/>
      <c r="WQX101" s="769"/>
      <c r="WQY101" s="769"/>
      <c r="WQZ101" s="769"/>
      <c r="WRA101" s="769"/>
      <c r="WRB101" s="769"/>
      <c r="WRC101" s="769"/>
      <c r="WRD101" s="769"/>
      <c r="WRE101" s="769"/>
      <c r="WRF101" s="769"/>
      <c r="WRG101" s="769"/>
      <c r="WRH101" s="769"/>
      <c r="WRI101" s="769"/>
      <c r="WRJ101" s="769"/>
      <c r="WRK101" s="769"/>
      <c r="WRL101" s="769"/>
      <c r="WRM101" s="769"/>
      <c r="WRN101" s="769"/>
      <c r="WRO101" s="769"/>
      <c r="WRP101" s="769"/>
      <c r="WRQ101" s="769"/>
      <c r="WRR101" s="769"/>
      <c r="WRS101" s="769"/>
      <c r="WRT101" s="769"/>
      <c r="WRU101" s="769"/>
      <c r="WRV101" s="769"/>
      <c r="WRW101" s="769"/>
      <c r="WRX101" s="769"/>
      <c r="WRY101" s="769"/>
      <c r="WRZ101" s="769"/>
      <c r="WSA101" s="769"/>
      <c r="WSB101" s="769"/>
      <c r="WSC101" s="769"/>
      <c r="WSD101" s="769"/>
      <c r="WSE101" s="769"/>
      <c r="WSF101" s="769"/>
      <c r="WSG101" s="769"/>
      <c r="WSH101" s="769"/>
      <c r="WSI101" s="769"/>
      <c r="WSJ101" s="769"/>
      <c r="WSK101" s="769"/>
      <c r="WSL101" s="769"/>
      <c r="WSM101" s="769"/>
      <c r="WSN101" s="769"/>
      <c r="WSO101" s="769"/>
      <c r="WSP101" s="769"/>
      <c r="WSQ101" s="769"/>
      <c r="WSR101" s="769"/>
      <c r="WSS101" s="769"/>
      <c r="WST101" s="769"/>
      <c r="WSU101" s="769"/>
      <c r="WSV101" s="769"/>
      <c r="WSW101" s="769"/>
      <c r="WSX101" s="769"/>
      <c r="WSY101" s="769"/>
      <c r="WSZ101" s="769"/>
      <c r="WTA101" s="769"/>
      <c r="WTB101" s="769"/>
      <c r="WTC101" s="769"/>
      <c r="WTD101" s="769"/>
      <c r="WTE101" s="769"/>
      <c r="WTF101" s="769"/>
      <c r="WTG101" s="769"/>
      <c r="WTH101" s="769"/>
      <c r="WTI101" s="769"/>
      <c r="WTJ101" s="769"/>
      <c r="WTK101" s="769"/>
      <c r="WTL101" s="769"/>
      <c r="WTM101" s="769"/>
      <c r="WTN101" s="769"/>
      <c r="WTO101" s="769"/>
      <c r="WTP101" s="769"/>
      <c r="WTQ101" s="769"/>
      <c r="WTR101" s="769"/>
      <c r="WTS101" s="769"/>
      <c r="WTT101" s="769"/>
      <c r="WTU101" s="769"/>
      <c r="WTV101" s="769"/>
      <c r="WTW101" s="769"/>
      <c r="WTX101" s="769"/>
      <c r="WTY101" s="769"/>
      <c r="WTZ101" s="769"/>
      <c r="WUA101" s="769"/>
      <c r="WUB101" s="769"/>
      <c r="WUC101" s="769"/>
      <c r="WUD101" s="769"/>
      <c r="WUE101" s="769"/>
      <c r="WUF101" s="769"/>
      <c r="WUG101" s="769"/>
      <c r="WUH101" s="769"/>
      <c r="WUI101" s="769"/>
      <c r="WUJ101" s="769"/>
      <c r="WUK101" s="769"/>
      <c r="WUL101" s="769"/>
      <c r="WUM101" s="769"/>
      <c r="WUN101" s="769"/>
      <c r="WUO101" s="769"/>
      <c r="WUP101" s="769"/>
      <c r="WUQ101" s="769"/>
      <c r="WUR101" s="769"/>
      <c r="WUS101" s="769"/>
      <c r="WUT101" s="769"/>
      <c r="WUU101" s="769"/>
      <c r="WUV101" s="769"/>
      <c r="WUW101" s="769"/>
      <c r="WUX101" s="769"/>
      <c r="WUY101" s="769"/>
      <c r="WUZ101" s="769"/>
      <c r="WVA101" s="769"/>
      <c r="WVB101" s="769"/>
      <c r="WVC101" s="769"/>
      <c r="WVD101" s="769"/>
      <c r="WVE101" s="769"/>
      <c r="WVF101" s="769"/>
      <c r="WVG101" s="769"/>
      <c r="WVH101" s="769"/>
      <c r="WVI101" s="769"/>
      <c r="WVJ101" s="769"/>
      <c r="WVK101" s="769"/>
      <c r="WVL101" s="769"/>
      <c r="WVM101" s="769"/>
      <c r="WVN101" s="769"/>
      <c r="WVO101" s="769"/>
      <c r="WVP101" s="769"/>
      <c r="WVQ101" s="769"/>
      <c r="WVR101" s="769"/>
      <c r="WVS101" s="769"/>
      <c r="WVT101" s="769"/>
      <c r="WVU101" s="769"/>
      <c r="WVV101" s="769"/>
      <c r="WVW101" s="769"/>
      <c r="WVX101" s="769"/>
      <c r="WVY101" s="769"/>
      <c r="WVZ101" s="769"/>
      <c r="WWA101" s="769"/>
      <c r="WWB101" s="769"/>
      <c r="WWC101" s="769"/>
      <c r="WWD101" s="769"/>
      <c r="WWE101" s="769"/>
      <c r="WWF101" s="769"/>
      <c r="WWG101" s="769"/>
      <c r="WWH101" s="769"/>
      <c r="WWI101" s="769"/>
      <c r="WWJ101" s="769"/>
      <c r="WWK101" s="769"/>
      <c r="WWL101" s="769"/>
      <c r="WWM101" s="769"/>
      <c r="WWN101" s="769"/>
      <c r="WWO101" s="769"/>
      <c r="WWP101" s="769"/>
      <c r="WWQ101" s="769"/>
      <c r="WWR101" s="769"/>
      <c r="WWS101" s="769"/>
      <c r="WWT101" s="769"/>
      <c r="WWU101" s="769"/>
      <c r="WWV101" s="769"/>
      <c r="WWW101" s="769"/>
      <c r="WWX101" s="769"/>
      <c r="WWY101" s="769"/>
      <c r="WWZ101" s="769"/>
      <c r="WXA101" s="769"/>
      <c r="WXB101" s="769"/>
      <c r="WXC101" s="769"/>
      <c r="WXD101" s="769"/>
      <c r="WXE101" s="769"/>
      <c r="WXF101" s="769"/>
      <c r="WXG101" s="769"/>
      <c r="WXH101" s="769"/>
      <c r="WXI101" s="769"/>
      <c r="WXJ101" s="769"/>
      <c r="WXK101" s="769"/>
      <c r="WXL101" s="769"/>
      <c r="WXM101" s="769"/>
      <c r="WXN101" s="769"/>
      <c r="WXO101" s="769"/>
      <c r="WXP101" s="769"/>
      <c r="WXQ101" s="769"/>
      <c r="WXR101" s="769"/>
      <c r="WXS101" s="769"/>
      <c r="WXT101" s="769"/>
      <c r="WXU101" s="769"/>
      <c r="WXV101" s="769"/>
      <c r="WXW101" s="769"/>
      <c r="WXX101" s="769"/>
      <c r="WXY101" s="769"/>
      <c r="WXZ101" s="769"/>
      <c r="WYA101" s="769"/>
      <c r="WYB101" s="769"/>
      <c r="WYC101" s="769"/>
      <c r="WYD101" s="769"/>
      <c r="WYE101" s="769"/>
      <c r="WYF101" s="769"/>
      <c r="WYG101" s="769"/>
      <c r="WYH101" s="769"/>
      <c r="WYI101" s="769"/>
      <c r="WYJ101" s="769"/>
      <c r="WYK101" s="769"/>
      <c r="WYL101" s="769"/>
      <c r="WYM101" s="769"/>
      <c r="WYN101" s="769"/>
      <c r="WYO101" s="769"/>
      <c r="WYP101" s="769"/>
      <c r="WYQ101" s="769"/>
      <c r="WYR101" s="769"/>
      <c r="WYS101" s="769"/>
      <c r="WYT101" s="769"/>
      <c r="WYU101" s="769"/>
      <c r="WYV101" s="769"/>
      <c r="WYW101" s="769"/>
      <c r="WYX101" s="769"/>
      <c r="WYY101" s="769"/>
      <c r="WYZ101" s="769"/>
      <c r="WZA101" s="769"/>
      <c r="WZB101" s="769"/>
      <c r="WZC101" s="769"/>
      <c r="WZD101" s="769"/>
      <c r="WZE101" s="769"/>
      <c r="WZF101" s="769"/>
      <c r="WZG101" s="769"/>
      <c r="WZH101" s="769"/>
      <c r="WZI101" s="769"/>
      <c r="WZJ101" s="769"/>
      <c r="WZK101" s="769"/>
      <c r="WZL101" s="769"/>
      <c r="WZM101" s="769"/>
      <c r="WZN101" s="769"/>
      <c r="WZO101" s="769"/>
      <c r="WZP101" s="769"/>
      <c r="WZQ101" s="769"/>
      <c r="WZR101" s="769"/>
      <c r="WZS101" s="769"/>
      <c r="WZT101" s="769"/>
      <c r="WZU101" s="769"/>
      <c r="WZV101" s="769"/>
      <c r="WZW101" s="769"/>
      <c r="WZX101" s="769"/>
      <c r="WZY101" s="769"/>
      <c r="WZZ101" s="769"/>
      <c r="XAA101" s="769"/>
      <c r="XAB101" s="769"/>
      <c r="XAC101" s="769"/>
      <c r="XAD101" s="769"/>
      <c r="XAE101" s="769"/>
      <c r="XAF101" s="769"/>
      <c r="XAG101" s="769"/>
      <c r="XAH101" s="769"/>
      <c r="XAI101" s="769"/>
      <c r="XAJ101" s="769"/>
      <c r="XAK101" s="769"/>
      <c r="XAL101" s="769"/>
      <c r="XAM101" s="769"/>
      <c r="XAN101" s="769"/>
      <c r="XAO101" s="769"/>
      <c r="XAP101" s="769"/>
      <c r="XAQ101" s="769"/>
      <c r="XAR101" s="769"/>
      <c r="XAS101" s="769"/>
      <c r="XAT101" s="769"/>
      <c r="XAU101" s="769"/>
      <c r="XAV101" s="769"/>
      <c r="XAW101" s="769"/>
      <c r="XAX101" s="769"/>
      <c r="XAY101" s="769"/>
      <c r="XAZ101" s="769"/>
      <c r="XBA101" s="769"/>
      <c r="XBB101" s="769"/>
      <c r="XBC101" s="769"/>
      <c r="XBD101" s="769"/>
      <c r="XBE101" s="769"/>
      <c r="XBF101" s="769"/>
      <c r="XBG101" s="769"/>
      <c r="XBH101" s="769"/>
      <c r="XBI101" s="769"/>
      <c r="XBJ101" s="769"/>
      <c r="XBK101" s="769"/>
      <c r="XBL101" s="769"/>
      <c r="XBM101" s="769"/>
      <c r="XBN101" s="769"/>
      <c r="XBO101" s="769"/>
      <c r="XBP101" s="769"/>
      <c r="XBQ101" s="769"/>
      <c r="XBR101" s="769"/>
      <c r="XBS101" s="769"/>
      <c r="XBT101" s="769"/>
      <c r="XBU101" s="769"/>
      <c r="XBV101" s="769"/>
      <c r="XBW101" s="769"/>
      <c r="XBX101" s="769"/>
      <c r="XBY101" s="769"/>
      <c r="XBZ101" s="769"/>
      <c r="XCA101" s="769"/>
      <c r="XCB101" s="769"/>
      <c r="XCC101" s="769"/>
      <c r="XCD101" s="769"/>
      <c r="XCE101" s="769"/>
      <c r="XCF101" s="769"/>
      <c r="XCG101" s="769"/>
      <c r="XCH101" s="769"/>
      <c r="XCI101" s="769"/>
      <c r="XCJ101" s="769"/>
      <c r="XCK101" s="769"/>
      <c r="XCL101" s="769"/>
      <c r="XCM101" s="769"/>
      <c r="XCN101" s="769"/>
      <c r="XCO101" s="769"/>
      <c r="XCP101" s="769"/>
      <c r="XCQ101" s="769"/>
      <c r="XCR101" s="769"/>
      <c r="XCS101" s="769"/>
      <c r="XCT101" s="769"/>
      <c r="XCU101" s="769"/>
      <c r="XCV101" s="769"/>
      <c r="XCW101" s="769"/>
      <c r="XCX101" s="769"/>
      <c r="XCY101" s="769"/>
      <c r="XCZ101" s="769"/>
      <c r="XDA101" s="769"/>
      <c r="XDB101" s="769"/>
      <c r="XDC101" s="769"/>
      <c r="XDD101" s="769"/>
      <c r="XDE101" s="769"/>
      <c r="XDF101" s="769"/>
      <c r="XDG101" s="769"/>
      <c r="XDH101" s="769"/>
      <c r="XDI101" s="769"/>
      <c r="XDJ101" s="769"/>
      <c r="XDK101" s="769"/>
      <c r="XDL101" s="769"/>
      <c r="XDM101" s="769"/>
      <c r="XDN101" s="769"/>
      <c r="XDO101" s="769"/>
      <c r="XDP101" s="769"/>
      <c r="XDQ101" s="769"/>
      <c r="XDR101" s="769"/>
      <c r="XDS101" s="769"/>
      <c r="XDT101" s="769"/>
      <c r="XDU101" s="769"/>
      <c r="XDV101" s="769"/>
      <c r="XDW101" s="769"/>
      <c r="XDX101" s="769"/>
      <c r="XDY101" s="769"/>
      <c r="XDZ101" s="769"/>
      <c r="XEA101" s="769"/>
      <c r="XEB101" s="769"/>
      <c r="XEC101" s="769"/>
      <c r="XED101" s="769"/>
      <c r="XEE101" s="769"/>
      <c r="XEF101" s="769"/>
      <c r="XEG101" s="769"/>
      <c r="XEH101" s="769"/>
      <c r="XEI101" s="769"/>
      <c r="XEJ101" s="769"/>
      <c r="XEK101" s="769"/>
      <c r="XEL101" s="769"/>
      <c r="XEM101" s="769"/>
      <c r="XEN101" s="769"/>
      <c r="XEO101" s="769"/>
      <c r="XEP101" s="769"/>
      <c r="XEQ101" s="769"/>
      <c r="XER101" s="769"/>
      <c r="XES101" s="769"/>
      <c r="XET101" s="769"/>
      <c r="XEU101" s="769"/>
      <c r="XEV101" s="769"/>
      <c r="XEW101" s="769"/>
      <c r="XEX101" s="769"/>
      <c r="XEY101" s="769"/>
      <c r="XEZ101" s="769"/>
      <c r="XFA101" s="769"/>
      <c r="XFB101" s="769"/>
    </row>
    <row r="102" spans="1:16382" ht="15.75" hidden="1" thickBot="1" x14ac:dyDescent="0.3">
      <c r="A102" s="769"/>
      <c r="B102" s="2188"/>
      <c r="C102" s="2218"/>
      <c r="D102" s="2200" t="s">
        <v>5509</v>
      </c>
      <c r="E102" s="2201"/>
      <c r="F102" s="2201"/>
      <c r="G102" s="2201"/>
      <c r="H102" s="2201"/>
      <c r="I102" s="2201"/>
      <c r="J102" s="2201"/>
      <c r="K102" s="2201"/>
      <c r="L102" s="2201"/>
      <c r="M102" s="2201"/>
      <c r="N102" s="2201"/>
      <c r="O102" s="2202"/>
      <c r="P102" s="2203">
        <f>SUM(P97:Q101)</f>
        <v>0</v>
      </c>
      <c r="Q102" s="2204"/>
      <c r="R102" s="769"/>
      <c r="S102" s="769"/>
      <c r="T102" s="769"/>
      <c r="U102" s="769"/>
      <c r="V102" s="769"/>
      <c r="W102" s="769"/>
      <c r="X102" s="769"/>
      <c r="Y102" s="769"/>
      <c r="Z102" s="769"/>
      <c r="AA102" s="769"/>
      <c r="AB102" s="769"/>
      <c r="AC102" s="769"/>
      <c r="AD102" s="769"/>
      <c r="AE102" s="769"/>
      <c r="AF102" s="769"/>
      <c r="AG102" s="769"/>
      <c r="AH102" s="769"/>
      <c r="AI102" s="769"/>
      <c r="AJ102" s="769"/>
      <c r="AK102" s="769"/>
      <c r="AL102" s="769"/>
      <c r="AM102" s="769"/>
      <c r="AN102" s="769"/>
      <c r="AO102" s="769"/>
      <c r="AP102" s="769"/>
      <c r="AQ102" s="769"/>
      <c r="AR102" s="769"/>
      <c r="AS102" s="769"/>
      <c r="AT102" s="769"/>
      <c r="AU102" s="769"/>
      <c r="AV102" s="769"/>
      <c r="AW102" s="769"/>
      <c r="AX102" s="769"/>
      <c r="AY102" s="769"/>
      <c r="AZ102" s="769"/>
      <c r="BA102" s="769"/>
      <c r="BB102" s="769"/>
      <c r="BC102" s="769"/>
      <c r="BD102" s="769"/>
      <c r="BE102" s="769"/>
      <c r="BF102" s="769"/>
      <c r="BG102" s="769"/>
      <c r="BH102" s="769"/>
      <c r="BI102" s="769"/>
      <c r="BJ102" s="769"/>
      <c r="BK102" s="769"/>
      <c r="BL102" s="769"/>
      <c r="BM102" s="769"/>
      <c r="BN102" s="769"/>
      <c r="BO102" s="769"/>
      <c r="BP102" s="769"/>
      <c r="BQ102" s="769"/>
      <c r="BR102" s="769"/>
      <c r="BS102" s="769"/>
      <c r="BT102" s="769"/>
      <c r="BU102" s="769"/>
      <c r="BV102" s="769"/>
      <c r="BW102" s="769"/>
      <c r="BX102" s="769"/>
      <c r="BY102" s="769"/>
      <c r="BZ102" s="769"/>
      <c r="CA102" s="769"/>
      <c r="CB102" s="769"/>
      <c r="CC102" s="769"/>
      <c r="CD102" s="769"/>
      <c r="CE102" s="769"/>
      <c r="CF102" s="769"/>
      <c r="CG102" s="769"/>
      <c r="CH102" s="769"/>
      <c r="CI102" s="769"/>
      <c r="CJ102" s="769"/>
      <c r="CK102" s="769"/>
      <c r="CL102" s="769"/>
      <c r="CM102" s="769"/>
      <c r="CN102" s="769"/>
      <c r="CO102" s="769"/>
      <c r="CP102" s="769"/>
      <c r="CQ102" s="769"/>
      <c r="CR102" s="769"/>
      <c r="CS102" s="769"/>
      <c r="CT102" s="769"/>
      <c r="CU102" s="769"/>
      <c r="CV102" s="769"/>
      <c r="CW102" s="769"/>
      <c r="CX102" s="769"/>
      <c r="CY102" s="769"/>
      <c r="CZ102" s="769"/>
      <c r="DA102" s="769"/>
      <c r="DB102" s="769"/>
      <c r="DC102" s="769"/>
      <c r="DD102" s="769"/>
      <c r="DE102" s="769"/>
      <c r="DF102" s="769"/>
      <c r="DG102" s="769"/>
      <c r="DH102" s="769"/>
      <c r="DI102" s="769"/>
      <c r="DJ102" s="769"/>
      <c r="DK102" s="769"/>
      <c r="DL102" s="769"/>
      <c r="DM102" s="769"/>
      <c r="DN102" s="769"/>
      <c r="DO102" s="769"/>
      <c r="DP102" s="769"/>
      <c r="DQ102" s="769"/>
      <c r="DR102" s="769"/>
      <c r="DS102" s="769"/>
      <c r="DT102" s="769"/>
      <c r="DU102" s="769"/>
      <c r="DV102" s="769"/>
      <c r="DW102" s="769"/>
      <c r="DX102" s="769"/>
      <c r="DY102" s="769"/>
      <c r="DZ102" s="769"/>
      <c r="EA102" s="769"/>
      <c r="EB102" s="769"/>
      <c r="EC102" s="769"/>
      <c r="ED102" s="769"/>
      <c r="EE102" s="769"/>
      <c r="EF102" s="769"/>
      <c r="EG102" s="769"/>
      <c r="EH102" s="769"/>
      <c r="EI102" s="769"/>
      <c r="EJ102" s="769"/>
      <c r="EK102" s="769"/>
      <c r="EL102" s="769"/>
      <c r="EM102" s="769"/>
      <c r="EN102" s="769"/>
      <c r="EO102" s="769"/>
      <c r="EP102" s="769"/>
      <c r="EQ102" s="769"/>
      <c r="ER102" s="769"/>
      <c r="ES102" s="769"/>
      <c r="ET102" s="769"/>
      <c r="EU102" s="769"/>
      <c r="EV102" s="769"/>
      <c r="EW102" s="769"/>
      <c r="EX102" s="769"/>
      <c r="EY102" s="769"/>
      <c r="EZ102" s="769"/>
      <c r="FA102" s="769"/>
      <c r="FB102" s="769"/>
      <c r="FC102" s="769"/>
      <c r="FD102" s="769"/>
      <c r="FE102" s="769"/>
      <c r="FF102" s="769"/>
      <c r="FG102" s="769"/>
      <c r="FH102" s="769"/>
      <c r="FI102" s="769"/>
      <c r="FJ102" s="769"/>
      <c r="FK102" s="769"/>
      <c r="FL102" s="769"/>
      <c r="FM102" s="769"/>
      <c r="FN102" s="769"/>
      <c r="FO102" s="769"/>
      <c r="FP102" s="769"/>
      <c r="FQ102" s="769"/>
      <c r="FR102" s="769"/>
      <c r="FS102" s="769"/>
      <c r="FT102" s="769"/>
      <c r="FU102" s="769"/>
      <c r="FV102" s="769"/>
      <c r="FW102" s="769"/>
      <c r="FX102" s="769"/>
      <c r="FY102" s="769"/>
      <c r="FZ102" s="769"/>
      <c r="GA102" s="769"/>
      <c r="GB102" s="769"/>
      <c r="GC102" s="769"/>
      <c r="GD102" s="769"/>
      <c r="GE102" s="769"/>
      <c r="GF102" s="769"/>
      <c r="GG102" s="769"/>
      <c r="GH102" s="769"/>
      <c r="GI102" s="769"/>
      <c r="GJ102" s="769"/>
      <c r="GK102" s="769"/>
      <c r="GL102" s="769"/>
      <c r="GM102" s="769"/>
      <c r="GN102" s="769"/>
      <c r="GO102" s="769"/>
      <c r="GP102" s="769"/>
      <c r="GQ102" s="769"/>
      <c r="GR102" s="769"/>
      <c r="GS102" s="769"/>
      <c r="GT102" s="769"/>
      <c r="GU102" s="769"/>
      <c r="GV102" s="769"/>
      <c r="GW102" s="769"/>
      <c r="GX102" s="769"/>
      <c r="GY102" s="769"/>
      <c r="GZ102" s="769"/>
      <c r="HA102" s="769"/>
      <c r="HB102" s="769"/>
      <c r="HC102" s="769"/>
      <c r="HD102" s="769"/>
      <c r="HE102" s="769"/>
      <c r="HF102" s="769"/>
      <c r="HG102" s="769"/>
      <c r="HH102" s="769"/>
      <c r="HI102" s="769"/>
      <c r="HJ102" s="769"/>
      <c r="HK102" s="769"/>
      <c r="HL102" s="769"/>
      <c r="HM102" s="769"/>
      <c r="HN102" s="769"/>
      <c r="HO102" s="769"/>
      <c r="HP102" s="769"/>
      <c r="HQ102" s="769"/>
      <c r="HR102" s="769"/>
      <c r="HS102" s="769"/>
      <c r="HT102" s="769"/>
      <c r="HU102" s="769"/>
      <c r="HV102" s="769"/>
      <c r="HW102" s="769"/>
      <c r="HX102" s="769"/>
      <c r="HY102" s="769"/>
      <c r="HZ102" s="769"/>
      <c r="IA102" s="769"/>
      <c r="IB102" s="769"/>
      <c r="IC102" s="769"/>
      <c r="ID102" s="769"/>
      <c r="IE102" s="769"/>
      <c r="IF102" s="769"/>
      <c r="IG102" s="769"/>
      <c r="IH102" s="769"/>
      <c r="II102" s="769"/>
      <c r="IJ102" s="769"/>
      <c r="IK102" s="769"/>
      <c r="IL102" s="769"/>
      <c r="IM102" s="769"/>
      <c r="IN102" s="769"/>
      <c r="IO102" s="769"/>
      <c r="IP102" s="769"/>
      <c r="IQ102" s="769"/>
      <c r="IR102" s="769"/>
      <c r="IS102" s="769"/>
      <c r="IT102" s="769"/>
      <c r="IU102" s="769"/>
      <c r="IV102" s="769"/>
      <c r="IW102" s="769"/>
      <c r="IX102" s="769"/>
      <c r="IY102" s="769"/>
      <c r="IZ102" s="769"/>
      <c r="JA102" s="769"/>
      <c r="JB102" s="769"/>
      <c r="JC102" s="769"/>
      <c r="JD102" s="769"/>
      <c r="JE102" s="769"/>
      <c r="JF102" s="769"/>
      <c r="JG102" s="769"/>
      <c r="JH102" s="769"/>
      <c r="JI102" s="769"/>
      <c r="JJ102" s="769"/>
      <c r="JK102" s="769"/>
      <c r="JL102" s="769"/>
      <c r="JM102" s="769"/>
      <c r="JN102" s="769"/>
      <c r="JO102" s="769"/>
      <c r="JP102" s="769"/>
      <c r="JQ102" s="769"/>
      <c r="JR102" s="769"/>
      <c r="JS102" s="769"/>
      <c r="JT102" s="769"/>
      <c r="JU102" s="769"/>
      <c r="JV102" s="769"/>
      <c r="JW102" s="769"/>
      <c r="JX102" s="769"/>
      <c r="JY102" s="769"/>
      <c r="JZ102" s="769"/>
      <c r="KA102" s="769"/>
      <c r="KB102" s="769"/>
      <c r="KC102" s="769"/>
      <c r="KD102" s="769"/>
      <c r="KE102" s="769"/>
      <c r="KF102" s="769"/>
      <c r="KG102" s="769"/>
      <c r="KH102" s="769"/>
      <c r="KI102" s="769"/>
      <c r="KJ102" s="769"/>
      <c r="KK102" s="769"/>
      <c r="KL102" s="769"/>
      <c r="KM102" s="769"/>
      <c r="KN102" s="769"/>
      <c r="KO102" s="769"/>
      <c r="KP102" s="769"/>
      <c r="KQ102" s="769"/>
      <c r="KR102" s="769"/>
      <c r="KS102" s="769"/>
      <c r="KT102" s="769"/>
      <c r="KU102" s="769"/>
      <c r="KV102" s="769"/>
      <c r="KW102" s="769"/>
      <c r="KX102" s="769"/>
      <c r="KY102" s="769"/>
      <c r="KZ102" s="769"/>
      <c r="LA102" s="769"/>
      <c r="LB102" s="769"/>
      <c r="LC102" s="769"/>
      <c r="LD102" s="769"/>
      <c r="LE102" s="769"/>
      <c r="LF102" s="769"/>
      <c r="LG102" s="769"/>
      <c r="LH102" s="769"/>
      <c r="LI102" s="769"/>
      <c r="LJ102" s="769"/>
      <c r="LK102" s="769"/>
      <c r="LL102" s="769"/>
      <c r="LM102" s="769"/>
      <c r="LN102" s="769"/>
      <c r="LO102" s="769"/>
      <c r="LP102" s="769"/>
      <c r="LQ102" s="769"/>
      <c r="LR102" s="769"/>
      <c r="LS102" s="769"/>
      <c r="LT102" s="769"/>
      <c r="LU102" s="769"/>
      <c r="LV102" s="769"/>
      <c r="LW102" s="769"/>
      <c r="LX102" s="769"/>
      <c r="LY102" s="769"/>
      <c r="LZ102" s="769"/>
      <c r="MA102" s="769"/>
      <c r="MB102" s="769"/>
      <c r="MC102" s="769"/>
      <c r="MD102" s="769"/>
      <c r="ME102" s="769"/>
      <c r="MF102" s="769"/>
      <c r="MG102" s="769"/>
      <c r="MH102" s="769"/>
      <c r="MI102" s="769"/>
      <c r="MJ102" s="769"/>
      <c r="MK102" s="769"/>
      <c r="ML102" s="769"/>
      <c r="MM102" s="769"/>
      <c r="MN102" s="769"/>
      <c r="MO102" s="769"/>
      <c r="MP102" s="769"/>
      <c r="MQ102" s="769"/>
      <c r="MR102" s="769"/>
      <c r="MS102" s="769"/>
      <c r="MT102" s="769"/>
      <c r="MU102" s="769"/>
      <c r="MV102" s="769"/>
      <c r="MW102" s="769"/>
      <c r="MX102" s="769"/>
      <c r="MY102" s="769"/>
      <c r="MZ102" s="769"/>
      <c r="NA102" s="769"/>
      <c r="NB102" s="769"/>
      <c r="NC102" s="769"/>
      <c r="ND102" s="769"/>
      <c r="NE102" s="769"/>
      <c r="NF102" s="769"/>
      <c r="NG102" s="769"/>
      <c r="NH102" s="769"/>
      <c r="NI102" s="769"/>
      <c r="NJ102" s="769"/>
      <c r="NK102" s="769"/>
      <c r="NL102" s="769"/>
      <c r="NM102" s="769"/>
      <c r="NN102" s="769"/>
      <c r="NO102" s="769"/>
      <c r="NP102" s="769"/>
      <c r="NQ102" s="769"/>
      <c r="NR102" s="769"/>
      <c r="NS102" s="769"/>
      <c r="NT102" s="769"/>
      <c r="NU102" s="769"/>
      <c r="NV102" s="769"/>
      <c r="NW102" s="769"/>
      <c r="NX102" s="769"/>
      <c r="NY102" s="769"/>
      <c r="NZ102" s="769"/>
      <c r="OA102" s="769"/>
      <c r="OB102" s="769"/>
      <c r="OC102" s="769"/>
      <c r="OD102" s="769"/>
      <c r="OE102" s="769"/>
      <c r="OF102" s="769"/>
      <c r="OG102" s="769"/>
      <c r="OH102" s="769"/>
      <c r="OI102" s="769"/>
      <c r="OJ102" s="769"/>
      <c r="OK102" s="769"/>
      <c r="OL102" s="769"/>
      <c r="OM102" s="769"/>
      <c r="ON102" s="769"/>
      <c r="OO102" s="769"/>
      <c r="OP102" s="769"/>
      <c r="OQ102" s="769"/>
      <c r="OR102" s="769"/>
      <c r="OS102" s="769"/>
      <c r="OT102" s="769"/>
      <c r="OU102" s="769"/>
      <c r="OV102" s="769"/>
      <c r="OW102" s="769"/>
      <c r="OX102" s="769"/>
      <c r="OY102" s="769"/>
      <c r="OZ102" s="769"/>
      <c r="PA102" s="769"/>
      <c r="PB102" s="769"/>
      <c r="PC102" s="769"/>
      <c r="PD102" s="769"/>
      <c r="PE102" s="769"/>
      <c r="PF102" s="769"/>
      <c r="PG102" s="769"/>
      <c r="PH102" s="769"/>
      <c r="PI102" s="769"/>
      <c r="PJ102" s="769"/>
      <c r="PK102" s="769"/>
      <c r="PL102" s="769"/>
      <c r="PM102" s="769"/>
      <c r="PN102" s="769"/>
      <c r="PO102" s="769"/>
      <c r="PP102" s="769"/>
      <c r="PQ102" s="769"/>
      <c r="PR102" s="769"/>
      <c r="PS102" s="769"/>
      <c r="PT102" s="769"/>
      <c r="PU102" s="769"/>
      <c r="PV102" s="769"/>
      <c r="PW102" s="769"/>
      <c r="PX102" s="769"/>
      <c r="PY102" s="769"/>
      <c r="PZ102" s="769"/>
      <c r="QA102" s="769"/>
      <c r="QB102" s="769"/>
      <c r="QC102" s="769"/>
      <c r="QD102" s="769"/>
      <c r="QE102" s="769"/>
      <c r="QF102" s="769"/>
      <c r="QG102" s="769"/>
      <c r="QH102" s="769"/>
      <c r="QI102" s="769"/>
      <c r="QJ102" s="769"/>
      <c r="QK102" s="769"/>
      <c r="QL102" s="769"/>
      <c r="QM102" s="769"/>
      <c r="QN102" s="769"/>
      <c r="QO102" s="769"/>
      <c r="QP102" s="769"/>
      <c r="QQ102" s="769"/>
      <c r="QR102" s="769"/>
      <c r="QS102" s="769"/>
      <c r="QT102" s="769"/>
      <c r="QU102" s="769"/>
      <c r="QV102" s="769"/>
      <c r="QW102" s="769"/>
      <c r="QX102" s="769"/>
      <c r="QY102" s="769"/>
      <c r="QZ102" s="769"/>
      <c r="RA102" s="769"/>
      <c r="RB102" s="769"/>
      <c r="RC102" s="769"/>
      <c r="RD102" s="769"/>
      <c r="RE102" s="769"/>
      <c r="RF102" s="769"/>
      <c r="RG102" s="769"/>
      <c r="RH102" s="769"/>
      <c r="RI102" s="769"/>
      <c r="RJ102" s="769"/>
      <c r="RK102" s="769"/>
      <c r="RL102" s="769"/>
      <c r="RM102" s="769"/>
      <c r="RN102" s="769"/>
      <c r="RO102" s="769"/>
      <c r="RP102" s="769"/>
      <c r="RQ102" s="769"/>
      <c r="RR102" s="769"/>
      <c r="RS102" s="769"/>
      <c r="RT102" s="769"/>
      <c r="RU102" s="769"/>
      <c r="RV102" s="769"/>
      <c r="RW102" s="769"/>
      <c r="RX102" s="769"/>
      <c r="RY102" s="769"/>
      <c r="RZ102" s="769"/>
      <c r="SA102" s="769"/>
      <c r="SB102" s="769"/>
      <c r="SC102" s="769"/>
      <c r="SD102" s="769"/>
      <c r="SE102" s="769"/>
      <c r="SF102" s="769"/>
      <c r="SG102" s="769"/>
      <c r="SH102" s="769"/>
      <c r="SI102" s="769"/>
      <c r="SJ102" s="769"/>
      <c r="SK102" s="769"/>
      <c r="SL102" s="769"/>
      <c r="SM102" s="769"/>
      <c r="SN102" s="769"/>
      <c r="SO102" s="769"/>
      <c r="SP102" s="769"/>
      <c r="SQ102" s="769"/>
      <c r="SR102" s="769"/>
      <c r="SS102" s="769"/>
      <c r="ST102" s="769"/>
      <c r="SU102" s="769"/>
      <c r="SV102" s="769"/>
      <c r="SW102" s="769"/>
      <c r="SX102" s="769"/>
      <c r="SY102" s="769"/>
      <c r="SZ102" s="769"/>
      <c r="TA102" s="769"/>
      <c r="TB102" s="769"/>
      <c r="TC102" s="769"/>
      <c r="TD102" s="769"/>
      <c r="TE102" s="769"/>
      <c r="TF102" s="769"/>
      <c r="TG102" s="769"/>
      <c r="TH102" s="769"/>
      <c r="TI102" s="769"/>
      <c r="TJ102" s="769"/>
      <c r="TK102" s="769"/>
      <c r="TL102" s="769"/>
      <c r="TM102" s="769"/>
      <c r="TN102" s="769"/>
      <c r="TO102" s="769"/>
      <c r="TP102" s="769"/>
      <c r="TQ102" s="769"/>
      <c r="TR102" s="769"/>
      <c r="TS102" s="769"/>
      <c r="TT102" s="769"/>
      <c r="TU102" s="769"/>
      <c r="TV102" s="769"/>
      <c r="TW102" s="769"/>
      <c r="TX102" s="769"/>
      <c r="TY102" s="769"/>
      <c r="TZ102" s="769"/>
      <c r="UA102" s="769"/>
      <c r="UB102" s="769"/>
      <c r="UC102" s="769"/>
      <c r="UD102" s="769"/>
      <c r="UE102" s="769"/>
      <c r="UF102" s="769"/>
      <c r="UG102" s="769"/>
      <c r="UH102" s="769"/>
      <c r="UI102" s="769"/>
      <c r="UJ102" s="769"/>
      <c r="UK102" s="769"/>
      <c r="UL102" s="769"/>
      <c r="UM102" s="769"/>
      <c r="UN102" s="769"/>
      <c r="UO102" s="769"/>
      <c r="UP102" s="769"/>
      <c r="UQ102" s="769"/>
      <c r="UR102" s="769"/>
      <c r="US102" s="769"/>
      <c r="UT102" s="769"/>
      <c r="UU102" s="769"/>
      <c r="UV102" s="769"/>
      <c r="UW102" s="769"/>
      <c r="UX102" s="769"/>
      <c r="UY102" s="769"/>
      <c r="UZ102" s="769"/>
      <c r="VA102" s="769"/>
      <c r="VB102" s="769"/>
      <c r="VC102" s="769"/>
      <c r="VD102" s="769"/>
      <c r="VE102" s="769"/>
      <c r="VF102" s="769"/>
      <c r="VG102" s="769"/>
      <c r="VH102" s="769"/>
      <c r="VI102" s="769"/>
      <c r="VJ102" s="769"/>
      <c r="VK102" s="769"/>
      <c r="VL102" s="769"/>
      <c r="VM102" s="769"/>
      <c r="VN102" s="769"/>
      <c r="VO102" s="769"/>
      <c r="VP102" s="769"/>
      <c r="VQ102" s="769"/>
      <c r="VR102" s="769"/>
      <c r="VS102" s="769"/>
      <c r="VT102" s="769"/>
      <c r="VU102" s="769"/>
      <c r="VV102" s="769"/>
      <c r="VW102" s="769"/>
      <c r="VX102" s="769"/>
      <c r="VY102" s="769"/>
      <c r="VZ102" s="769"/>
      <c r="WA102" s="769"/>
      <c r="WB102" s="769"/>
      <c r="WC102" s="769"/>
      <c r="WD102" s="769"/>
      <c r="WE102" s="769"/>
      <c r="WF102" s="769"/>
      <c r="WG102" s="769"/>
      <c r="WH102" s="769"/>
      <c r="WI102" s="769"/>
      <c r="WJ102" s="769"/>
      <c r="WK102" s="769"/>
      <c r="WL102" s="769"/>
      <c r="WM102" s="769"/>
      <c r="WN102" s="769"/>
      <c r="WO102" s="769"/>
      <c r="WP102" s="769"/>
      <c r="WQ102" s="769"/>
      <c r="WR102" s="769"/>
      <c r="WS102" s="769"/>
      <c r="WT102" s="769"/>
      <c r="WU102" s="769"/>
      <c r="WV102" s="769"/>
      <c r="WW102" s="769"/>
      <c r="WX102" s="769"/>
      <c r="WY102" s="769"/>
      <c r="WZ102" s="769"/>
      <c r="XA102" s="769"/>
      <c r="XB102" s="769"/>
      <c r="XC102" s="769"/>
      <c r="XD102" s="769"/>
      <c r="XE102" s="769"/>
      <c r="XF102" s="769"/>
      <c r="XG102" s="769"/>
      <c r="XH102" s="769"/>
      <c r="XI102" s="769"/>
      <c r="XJ102" s="769"/>
      <c r="XK102" s="769"/>
      <c r="XL102" s="769"/>
      <c r="XM102" s="769"/>
      <c r="XN102" s="769"/>
      <c r="XO102" s="769"/>
      <c r="XP102" s="769"/>
      <c r="XQ102" s="769"/>
      <c r="XR102" s="769"/>
      <c r="XS102" s="769"/>
      <c r="XT102" s="769"/>
      <c r="XU102" s="769"/>
      <c r="XV102" s="769"/>
      <c r="XW102" s="769"/>
      <c r="XX102" s="769"/>
      <c r="XY102" s="769"/>
      <c r="XZ102" s="769"/>
      <c r="YA102" s="769"/>
      <c r="YB102" s="769"/>
      <c r="YC102" s="769"/>
      <c r="YD102" s="769"/>
      <c r="YE102" s="769"/>
      <c r="YF102" s="769"/>
      <c r="YG102" s="769"/>
      <c r="YH102" s="769"/>
      <c r="YI102" s="769"/>
      <c r="YJ102" s="769"/>
      <c r="YK102" s="769"/>
      <c r="YL102" s="769"/>
      <c r="YM102" s="769"/>
      <c r="YN102" s="769"/>
      <c r="YO102" s="769"/>
      <c r="YP102" s="769"/>
      <c r="YQ102" s="769"/>
      <c r="YR102" s="769"/>
      <c r="YS102" s="769"/>
      <c r="YT102" s="769"/>
      <c r="YU102" s="769"/>
      <c r="YV102" s="769"/>
      <c r="YW102" s="769"/>
      <c r="YX102" s="769"/>
      <c r="YY102" s="769"/>
      <c r="YZ102" s="769"/>
      <c r="ZA102" s="769"/>
      <c r="ZB102" s="769"/>
      <c r="ZC102" s="769"/>
      <c r="ZD102" s="769"/>
      <c r="ZE102" s="769"/>
      <c r="ZF102" s="769"/>
      <c r="ZG102" s="769"/>
      <c r="ZH102" s="769"/>
      <c r="ZI102" s="769"/>
      <c r="ZJ102" s="769"/>
      <c r="ZK102" s="769"/>
      <c r="ZL102" s="769"/>
      <c r="ZM102" s="769"/>
      <c r="ZN102" s="769"/>
      <c r="ZO102" s="769"/>
      <c r="ZP102" s="769"/>
      <c r="ZQ102" s="769"/>
      <c r="ZR102" s="769"/>
      <c r="ZS102" s="769"/>
      <c r="ZT102" s="769"/>
      <c r="ZU102" s="769"/>
      <c r="ZV102" s="769"/>
      <c r="ZW102" s="769"/>
      <c r="ZX102" s="769"/>
      <c r="ZY102" s="769"/>
      <c r="ZZ102" s="769"/>
      <c r="AAA102" s="769"/>
      <c r="AAB102" s="769"/>
      <c r="AAC102" s="769"/>
      <c r="AAD102" s="769"/>
      <c r="AAE102" s="769"/>
      <c r="AAF102" s="769"/>
      <c r="AAG102" s="769"/>
      <c r="AAH102" s="769"/>
      <c r="AAI102" s="769"/>
      <c r="AAJ102" s="769"/>
      <c r="AAK102" s="769"/>
      <c r="AAL102" s="769"/>
      <c r="AAM102" s="769"/>
      <c r="AAN102" s="769"/>
      <c r="AAO102" s="769"/>
      <c r="AAP102" s="769"/>
      <c r="AAQ102" s="769"/>
      <c r="AAR102" s="769"/>
      <c r="AAS102" s="769"/>
      <c r="AAT102" s="769"/>
      <c r="AAU102" s="769"/>
      <c r="AAV102" s="769"/>
      <c r="AAW102" s="769"/>
      <c r="AAX102" s="769"/>
      <c r="AAY102" s="769"/>
      <c r="AAZ102" s="769"/>
      <c r="ABA102" s="769"/>
      <c r="ABB102" s="769"/>
      <c r="ABC102" s="769"/>
      <c r="ABD102" s="769"/>
      <c r="ABE102" s="769"/>
      <c r="ABF102" s="769"/>
      <c r="ABG102" s="769"/>
      <c r="ABH102" s="769"/>
      <c r="ABI102" s="769"/>
      <c r="ABJ102" s="769"/>
      <c r="ABK102" s="769"/>
      <c r="ABL102" s="769"/>
      <c r="ABM102" s="769"/>
      <c r="ABN102" s="769"/>
      <c r="ABO102" s="769"/>
      <c r="ABP102" s="769"/>
      <c r="ABQ102" s="769"/>
      <c r="ABR102" s="769"/>
      <c r="ABS102" s="769"/>
      <c r="ABT102" s="769"/>
      <c r="ABU102" s="769"/>
      <c r="ABV102" s="769"/>
      <c r="ABW102" s="769"/>
      <c r="ABX102" s="769"/>
      <c r="ABY102" s="769"/>
      <c r="ABZ102" s="769"/>
      <c r="ACA102" s="769"/>
      <c r="ACB102" s="769"/>
      <c r="ACC102" s="769"/>
      <c r="ACD102" s="769"/>
      <c r="ACE102" s="769"/>
      <c r="ACF102" s="769"/>
      <c r="ACG102" s="769"/>
      <c r="ACH102" s="769"/>
      <c r="ACI102" s="769"/>
      <c r="ACJ102" s="769"/>
      <c r="ACK102" s="769"/>
      <c r="ACL102" s="769"/>
      <c r="ACM102" s="769"/>
      <c r="ACN102" s="769"/>
      <c r="ACO102" s="769"/>
      <c r="ACP102" s="769"/>
      <c r="ACQ102" s="769"/>
      <c r="ACR102" s="769"/>
      <c r="ACS102" s="769"/>
      <c r="ACT102" s="769"/>
      <c r="ACU102" s="769"/>
      <c r="ACV102" s="769"/>
      <c r="ACW102" s="769"/>
      <c r="ACX102" s="769"/>
      <c r="ACY102" s="769"/>
      <c r="ACZ102" s="769"/>
      <c r="ADA102" s="769"/>
      <c r="ADB102" s="769"/>
      <c r="ADC102" s="769"/>
      <c r="ADD102" s="769"/>
      <c r="ADE102" s="769"/>
      <c r="ADF102" s="769"/>
      <c r="ADG102" s="769"/>
      <c r="ADH102" s="769"/>
      <c r="ADI102" s="769"/>
      <c r="ADJ102" s="769"/>
      <c r="ADK102" s="769"/>
      <c r="ADL102" s="769"/>
      <c r="ADM102" s="769"/>
      <c r="ADN102" s="769"/>
      <c r="ADO102" s="769"/>
      <c r="ADP102" s="769"/>
      <c r="ADQ102" s="769"/>
      <c r="ADR102" s="769"/>
      <c r="ADS102" s="769"/>
      <c r="ADT102" s="769"/>
      <c r="ADU102" s="769"/>
      <c r="ADV102" s="769"/>
      <c r="ADW102" s="769"/>
      <c r="ADX102" s="769"/>
      <c r="ADY102" s="769"/>
      <c r="ADZ102" s="769"/>
      <c r="AEA102" s="769"/>
      <c r="AEB102" s="769"/>
      <c r="AEC102" s="769"/>
      <c r="AED102" s="769"/>
      <c r="AEE102" s="769"/>
      <c r="AEF102" s="769"/>
      <c r="AEG102" s="769"/>
      <c r="AEH102" s="769"/>
      <c r="AEI102" s="769"/>
      <c r="AEJ102" s="769"/>
      <c r="AEK102" s="769"/>
      <c r="AEL102" s="769"/>
      <c r="AEM102" s="769"/>
      <c r="AEN102" s="769"/>
      <c r="AEO102" s="769"/>
      <c r="AEP102" s="769"/>
      <c r="AEQ102" s="769"/>
      <c r="AER102" s="769"/>
      <c r="AES102" s="769"/>
      <c r="AET102" s="769"/>
      <c r="AEU102" s="769"/>
      <c r="AEV102" s="769"/>
      <c r="AEW102" s="769"/>
      <c r="AEX102" s="769"/>
      <c r="AEY102" s="769"/>
      <c r="AEZ102" s="769"/>
      <c r="AFA102" s="769"/>
      <c r="AFB102" s="769"/>
      <c r="AFC102" s="769"/>
      <c r="AFD102" s="769"/>
      <c r="AFE102" s="769"/>
      <c r="AFF102" s="769"/>
      <c r="AFG102" s="769"/>
      <c r="AFH102" s="769"/>
      <c r="AFI102" s="769"/>
      <c r="AFJ102" s="769"/>
      <c r="AFK102" s="769"/>
      <c r="AFL102" s="769"/>
      <c r="AFM102" s="769"/>
      <c r="AFN102" s="769"/>
      <c r="AFO102" s="769"/>
      <c r="AFP102" s="769"/>
      <c r="AFQ102" s="769"/>
      <c r="AFR102" s="769"/>
      <c r="AFS102" s="769"/>
      <c r="AFT102" s="769"/>
      <c r="AFU102" s="769"/>
      <c r="AFV102" s="769"/>
      <c r="AFW102" s="769"/>
      <c r="AFX102" s="769"/>
      <c r="AFY102" s="769"/>
      <c r="AFZ102" s="769"/>
      <c r="AGA102" s="769"/>
      <c r="AGB102" s="769"/>
      <c r="AGC102" s="769"/>
      <c r="AGD102" s="769"/>
      <c r="AGE102" s="769"/>
      <c r="AGF102" s="769"/>
      <c r="AGG102" s="769"/>
      <c r="AGH102" s="769"/>
      <c r="AGI102" s="769"/>
      <c r="AGJ102" s="769"/>
      <c r="AGK102" s="769"/>
      <c r="AGL102" s="769"/>
      <c r="AGM102" s="769"/>
      <c r="AGN102" s="769"/>
      <c r="AGO102" s="769"/>
      <c r="AGP102" s="769"/>
      <c r="AGQ102" s="769"/>
      <c r="AGR102" s="769"/>
      <c r="AGS102" s="769"/>
      <c r="AGT102" s="769"/>
      <c r="AGU102" s="769"/>
      <c r="AGV102" s="769"/>
      <c r="AGW102" s="769"/>
      <c r="AGX102" s="769"/>
      <c r="AGY102" s="769"/>
      <c r="AGZ102" s="769"/>
      <c r="AHA102" s="769"/>
      <c r="AHB102" s="769"/>
      <c r="AHC102" s="769"/>
      <c r="AHD102" s="769"/>
      <c r="AHE102" s="769"/>
      <c r="AHF102" s="769"/>
      <c r="AHG102" s="769"/>
      <c r="AHH102" s="769"/>
      <c r="AHI102" s="769"/>
      <c r="AHJ102" s="769"/>
      <c r="AHK102" s="769"/>
      <c r="AHL102" s="769"/>
      <c r="AHM102" s="769"/>
      <c r="AHN102" s="769"/>
      <c r="AHO102" s="769"/>
      <c r="AHP102" s="769"/>
      <c r="AHQ102" s="769"/>
      <c r="AHR102" s="769"/>
      <c r="AHS102" s="769"/>
      <c r="AHT102" s="769"/>
      <c r="AHU102" s="769"/>
      <c r="AHV102" s="769"/>
      <c r="AHW102" s="769"/>
      <c r="AHX102" s="769"/>
      <c r="AHY102" s="769"/>
      <c r="AHZ102" s="769"/>
      <c r="AIA102" s="769"/>
      <c r="AIB102" s="769"/>
      <c r="AIC102" s="769"/>
      <c r="AID102" s="769"/>
      <c r="AIE102" s="769"/>
      <c r="AIF102" s="769"/>
      <c r="AIG102" s="769"/>
      <c r="AIH102" s="769"/>
      <c r="AII102" s="769"/>
      <c r="AIJ102" s="769"/>
      <c r="AIK102" s="769"/>
      <c r="AIL102" s="769"/>
      <c r="AIM102" s="769"/>
      <c r="AIN102" s="769"/>
      <c r="AIO102" s="769"/>
      <c r="AIP102" s="769"/>
      <c r="AIQ102" s="769"/>
      <c r="AIR102" s="769"/>
      <c r="AIS102" s="769"/>
      <c r="AIT102" s="769"/>
      <c r="AIU102" s="769"/>
      <c r="AIV102" s="769"/>
      <c r="AIW102" s="769"/>
      <c r="AIX102" s="769"/>
      <c r="AIY102" s="769"/>
      <c r="AIZ102" s="769"/>
      <c r="AJA102" s="769"/>
      <c r="AJB102" s="769"/>
      <c r="AJC102" s="769"/>
      <c r="AJD102" s="769"/>
      <c r="AJE102" s="769"/>
      <c r="AJF102" s="769"/>
      <c r="AJG102" s="769"/>
      <c r="AJH102" s="769"/>
      <c r="AJI102" s="769"/>
      <c r="AJJ102" s="769"/>
      <c r="AJK102" s="769"/>
      <c r="AJL102" s="769"/>
      <c r="AJM102" s="769"/>
      <c r="AJN102" s="769"/>
      <c r="AJO102" s="769"/>
      <c r="AJP102" s="769"/>
      <c r="AJQ102" s="769"/>
      <c r="AJR102" s="769"/>
      <c r="AJS102" s="769"/>
      <c r="AJT102" s="769"/>
      <c r="AJU102" s="769"/>
      <c r="AJV102" s="769"/>
      <c r="AJW102" s="769"/>
      <c r="AJX102" s="769"/>
      <c r="AJY102" s="769"/>
      <c r="AJZ102" s="769"/>
      <c r="AKA102" s="769"/>
      <c r="AKB102" s="769"/>
      <c r="AKC102" s="769"/>
      <c r="AKD102" s="769"/>
      <c r="AKE102" s="769"/>
      <c r="AKF102" s="769"/>
      <c r="AKG102" s="769"/>
      <c r="AKH102" s="769"/>
      <c r="AKI102" s="769"/>
      <c r="AKJ102" s="769"/>
      <c r="AKK102" s="769"/>
      <c r="AKL102" s="769"/>
      <c r="AKM102" s="769"/>
      <c r="AKN102" s="769"/>
      <c r="AKO102" s="769"/>
      <c r="AKP102" s="769"/>
      <c r="AKQ102" s="769"/>
      <c r="AKR102" s="769"/>
      <c r="AKS102" s="769"/>
      <c r="AKT102" s="769"/>
      <c r="AKU102" s="769"/>
      <c r="AKV102" s="769"/>
      <c r="AKW102" s="769"/>
      <c r="AKX102" s="769"/>
      <c r="AKY102" s="769"/>
      <c r="AKZ102" s="769"/>
      <c r="ALA102" s="769"/>
      <c r="ALB102" s="769"/>
      <c r="ALC102" s="769"/>
      <c r="ALD102" s="769"/>
      <c r="ALE102" s="769"/>
      <c r="ALF102" s="769"/>
      <c r="ALG102" s="769"/>
      <c r="ALH102" s="769"/>
      <c r="ALI102" s="769"/>
      <c r="ALJ102" s="769"/>
      <c r="ALK102" s="769"/>
      <c r="ALL102" s="769"/>
      <c r="ALM102" s="769"/>
      <c r="ALN102" s="769"/>
      <c r="ALO102" s="769"/>
      <c r="ALP102" s="769"/>
      <c r="ALQ102" s="769"/>
      <c r="ALR102" s="769"/>
      <c r="ALS102" s="769"/>
      <c r="ALT102" s="769"/>
      <c r="ALU102" s="769"/>
      <c r="ALV102" s="769"/>
      <c r="ALW102" s="769"/>
      <c r="ALX102" s="769"/>
      <c r="ALY102" s="769"/>
      <c r="ALZ102" s="769"/>
      <c r="AMA102" s="769"/>
      <c r="AMB102" s="769"/>
      <c r="AMC102" s="769"/>
      <c r="AMD102" s="769"/>
      <c r="AME102" s="769"/>
      <c r="AMF102" s="769"/>
      <c r="AMG102" s="769"/>
      <c r="AMH102" s="769"/>
      <c r="AMI102" s="769"/>
      <c r="AMJ102" s="769"/>
      <c r="AMK102" s="769"/>
      <c r="AML102" s="769"/>
      <c r="AMM102" s="769"/>
      <c r="AMN102" s="769"/>
      <c r="AMO102" s="769"/>
      <c r="AMP102" s="769"/>
      <c r="AMQ102" s="769"/>
      <c r="AMR102" s="769"/>
      <c r="AMS102" s="769"/>
      <c r="AMT102" s="769"/>
      <c r="AMU102" s="769"/>
      <c r="AMV102" s="769"/>
      <c r="AMW102" s="769"/>
      <c r="AMX102" s="769"/>
      <c r="AMY102" s="769"/>
      <c r="AMZ102" s="769"/>
      <c r="ANA102" s="769"/>
      <c r="ANB102" s="769"/>
      <c r="ANC102" s="769"/>
      <c r="AND102" s="769"/>
      <c r="ANE102" s="769"/>
      <c r="ANF102" s="769"/>
      <c r="ANG102" s="769"/>
      <c r="ANH102" s="769"/>
      <c r="ANI102" s="769"/>
      <c r="ANJ102" s="769"/>
      <c r="ANK102" s="769"/>
      <c r="ANL102" s="769"/>
      <c r="ANM102" s="769"/>
      <c r="ANN102" s="769"/>
      <c r="ANO102" s="769"/>
      <c r="ANP102" s="769"/>
      <c r="ANQ102" s="769"/>
      <c r="ANR102" s="769"/>
      <c r="ANS102" s="769"/>
      <c r="ANT102" s="769"/>
      <c r="ANU102" s="769"/>
      <c r="ANV102" s="769"/>
      <c r="ANW102" s="769"/>
      <c r="ANX102" s="769"/>
      <c r="ANY102" s="769"/>
      <c r="ANZ102" s="769"/>
      <c r="AOA102" s="769"/>
      <c r="AOB102" s="769"/>
      <c r="AOC102" s="769"/>
      <c r="AOD102" s="769"/>
      <c r="AOE102" s="769"/>
      <c r="AOF102" s="769"/>
      <c r="AOG102" s="769"/>
      <c r="AOH102" s="769"/>
      <c r="AOI102" s="769"/>
      <c r="AOJ102" s="769"/>
      <c r="AOK102" s="769"/>
      <c r="AOL102" s="769"/>
      <c r="AOM102" s="769"/>
      <c r="AON102" s="769"/>
      <c r="AOO102" s="769"/>
      <c r="AOP102" s="769"/>
      <c r="AOQ102" s="769"/>
      <c r="AOR102" s="769"/>
      <c r="AOS102" s="769"/>
      <c r="AOT102" s="769"/>
      <c r="AOU102" s="769"/>
      <c r="AOV102" s="769"/>
      <c r="AOW102" s="769"/>
      <c r="AOX102" s="769"/>
      <c r="AOY102" s="769"/>
      <c r="AOZ102" s="769"/>
      <c r="APA102" s="769"/>
      <c r="APB102" s="769"/>
      <c r="APC102" s="769"/>
      <c r="APD102" s="769"/>
      <c r="APE102" s="769"/>
      <c r="APF102" s="769"/>
      <c r="APG102" s="769"/>
      <c r="APH102" s="769"/>
      <c r="API102" s="769"/>
      <c r="APJ102" s="769"/>
      <c r="APK102" s="769"/>
      <c r="APL102" s="769"/>
      <c r="APM102" s="769"/>
      <c r="APN102" s="769"/>
      <c r="APO102" s="769"/>
      <c r="APP102" s="769"/>
      <c r="APQ102" s="769"/>
      <c r="APR102" s="769"/>
      <c r="APS102" s="769"/>
      <c r="APT102" s="769"/>
      <c r="APU102" s="769"/>
      <c r="APV102" s="769"/>
      <c r="APW102" s="769"/>
      <c r="APX102" s="769"/>
      <c r="APY102" s="769"/>
      <c r="APZ102" s="769"/>
      <c r="AQA102" s="769"/>
      <c r="AQB102" s="769"/>
      <c r="AQC102" s="769"/>
      <c r="AQD102" s="769"/>
      <c r="AQE102" s="769"/>
      <c r="AQF102" s="769"/>
      <c r="AQG102" s="769"/>
      <c r="AQH102" s="769"/>
      <c r="AQI102" s="769"/>
      <c r="AQJ102" s="769"/>
      <c r="AQK102" s="769"/>
      <c r="AQL102" s="769"/>
      <c r="AQM102" s="769"/>
      <c r="AQN102" s="769"/>
      <c r="AQO102" s="769"/>
      <c r="AQP102" s="769"/>
      <c r="AQQ102" s="769"/>
      <c r="AQR102" s="769"/>
      <c r="AQS102" s="769"/>
      <c r="AQT102" s="769"/>
      <c r="AQU102" s="769"/>
      <c r="AQV102" s="769"/>
      <c r="AQW102" s="769"/>
      <c r="AQX102" s="769"/>
      <c r="AQY102" s="769"/>
      <c r="AQZ102" s="769"/>
      <c r="ARA102" s="769"/>
      <c r="ARB102" s="769"/>
      <c r="ARC102" s="769"/>
      <c r="ARD102" s="769"/>
      <c r="ARE102" s="769"/>
      <c r="ARF102" s="769"/>
      <c r="ARG102" s="769"/>
      <c r="ARH102" s="769"/>
      <c r="ARI102" s="769"/>
      <c r="ARJ102" s="769"/>
      <c r="ARK102" s="769"/>
      <c r="ARL102" s="769"/>
      <c r="ARM102" s="769"/>
      <c r="ARN102" s="769"/>
      <c r="ARO102" s="769"/>
      <c r="ARP102" s="769"/>
      <c r="ARQ102" s="769"/>
      <c r="ARR102" s="769"/>
      <c r="ARS102" s="769"/>
      <c r="ART102" s="769"/>
      <c r="ARU102" s="769"/>
      <c r="ARV102" s="769"/>
      <c r="ARW102" s="769"/>
      <c r="ARX102" s="769"/>
      <c r="ARY102" s="769"/>
      <c r="ARZ102" s="769"/>
      <c r="ASA102" s="769"/>
      <c r="ASB102" s="769"/>
      <c r="ASC102" s="769"/>
      <c r="ASD102" s="769"/>
      <c r="ASE102" s="769"/>
      <c r="ASF102" s="769"/>
      <c r="ASG102" s="769"/>
      <c r="ASH102" s="769"/>
      <c r="ASI102" s="769"/>
      <c r="ASJ102" s="769"/>
      <c r="ASK102" s="769"/>
      <c r="ASL102" s="769"/>
      <c r="ASM102" s="769"/>
      <c r="ASN102" s="769"/>
      <c r="ASO102" s="769"/>
      <c r="ASP102" s="769"/>
      <c r="ASQ102" s="769"/>
      <c r="ASR102" s="769"/>
      <c r="ASS102" s="769"/>
      <c r="AST102" s="769"/>
      <c r="ASU102" s="769"/>
      <c r="ASV102" s="769"/>
      <c r="ASW102" s="769"/>
      <c r="ASX102" s="769"/>
      <c r="ASY102" s="769"/>
      <c r="ASZ102" s="769"/>
      <c r="ATA102" s="769"/>
      <c r="ATB102" s="769"/>
      <c r="ATC102" s="769"/>
      <c r="ATD102" s="769"/>
      <c r="ATE102" s="769"/>
      <c r="ATF102" s="769"/>
      <c r="ATG102" s="769"/>
      <c r="ATH102" s="769"/>
      <c r="ATI102" s="769"/>
      <c r="ATJ102" s="769"/>
      <c r="ATK102" s="769"/>
      <c r="ATL102" s="769"/>
      <c r="ATM102" s="769"/>
      <c r="ATN102" s="769"/>
      <c r="ATO102" s="769"/>
      <c r="ATP102" s="769"/>
      <c r="ATQ102" s="769"/>
      <c r="ATR102" s="769"/>
      <c r="ATS102" s="769"/>
      <c r="ATT102" s="769"/>
      <c r="ATU102" s="769"/>
      <c r="ATV102" s="769"/>
      <c r="ATW102" s="769"/>
      <c r="ATX102" s="769"/>
      <c r="ATY102" s="769"/>
      <c r="ATZ102" s="769"/>
      <c r="AUA102" s="769"/>
      <c r="AUB102" s="769"/>
      <c r="AUC102" s="769"/>
      <c r="AUD102" s="769"/>
      <c r="AUE102" s="769"/>
      <c r="AUF102" s="769"/>
      <c r="AUG102" s="769"/>
      <c r="AUH102" s="769"/>
      <c r="AUI102" s="769"/>
      <c r="AUJ102" s="769"/>
      <c r="AUK102" s="769"/>
      <c r="AUL102" s="769"/>
      <c r="AUM102" s="769"/>
      <c r="AUN102" s="769"/>
      <c r="AUO102" s="769"/>
      <c r="AUP102" s="769"/>
      <c r="AUQ102" s="769"/>
      <c r="AUR102" s="769"/>
      <c r="AUS102" s="769"/>
      <c r="AUT102" s="769"/>
      <c r="AUU102" s="769"/>
      <c r="AUV102" s="769"/>
      <c r="AUW102" s="769"/>
      <c r="AUX102" s="769"/>
      <c r="AUY102" s="769"/>
      <c r="AUZ102" s="769"/>
      <c r="AVA102" s="769"/>
      <c r="AVB102" s="769"/>
      <c r="AVC102" s="769"/>
      <c r="AVD102" s="769"/>
      <c r="AVE102" s="769"/>
      <c r="AVF102" s="769"/>
      <c r="AVG102" s="769"/>
      <c r="AVH102" s="769"/>
      <c r="AVI102" s="769"/>
      <c r="AVJ102" s="769"/>
      <c r="AVK102" s="769"/>
      <c r="AVL102" s="769"/>
      <c r="AVM102" s="769"/>
      <c r="AVN102" s="769"/>
      <c r="AVO102" s="769"/>
      <c r="AVP102" s="769"/>
      <c r="AVQ102" s="769"/>
      <c r="AVR102" s="769"/>
      <c r="AVS102" s="769"/>
      <c r="AVT102" s="769"/>
      <c r="AVU102" s="769"/>
      <c r="AVV102" s="769"/>
      <c r="AVW102" s="769"/>
      <c r="AVX102" s="769"/>
      <c r="AVY102" s="769"/>
      <c r="AVZ102" s="769"/>
      <c r="AWA102" s="769"/>
      <c r="AWB102" s="769"/>
      <c r="AWC102" s="769"/>
      <c r="AWD102" s="769"/>
      <c r="AWE102" s="769"/>
      <c r="AWF102" s="769"/>
      <c r="AWG102" s="769"/>
      <c r="AWH102" s="769"/>
      <c r="AWI102" s="769"/>
      <c r="AWJ102" s="769"/>
      <c r="AWK102" s="769"/>
      <c r="AWL102" s="769"/>
      <c r="AWM102" s="769"/>
      <c r="AWN102" s="769"/>
      <c r="AWO102" s="769"/>
      <c r="AWP102" s="769"/>
      <c r="AWQ102" s="769"/>
      <c r="AWR102" s="769"/>
      <c r="AWS102" s="769"/>
      <c r="AWT102" s="769"/>
      <c r="AWU102" s="769"/>
      <c r="AWV102" s="769"/>
      <c r="AWW102" s="769"/>
      <c r="AWX102" s="769"/>
      <c r="AWY102" s="769"/>
      <c r="AWZ102" s="769"/>
      <c r="AXA102" s="769"/>
      <c r="AXB102" s="769"/>
      <c r="AXC102" s="769"/>
      <c r="AXD102" s="769"/>
      <c r="AXE102" s="769"/>
      <c r="AXF102" s="769"/>
      <c r="AXG102" s="769"/>
      <c r="AXH102" s="769"/>
      <c r="AXI102" s="769"/>
      <c r="AXJ102" s="769"/>
      <c r="AXK102" s="769"/>
      <c r="AXL102" s="769"/>
      <c r="AXM102" s="769"/>
      <c r="AXN102" s="769"/>
      <c r="AXO102" s="769"/>
      <c r="AXP102" s="769"/>
      <c r="AXQ102" s="769"/>
      <c r="AXR102" s="769"/>
      <c r="AXS102" s="769"/>
      <c r="AXT102" s="769"/>
      <c r="AXU102" s="769"/>
      <c r="AXV102" s="769"/>
      <c r="AXW102" s="769"/>
      <c r="AXX102" s="769"/>
      <c r="AXY102" s="769"/>
      <c r="AXZ102" s="769"/>
      <c r="AYA102" s="769"/>
      <c r="AYB102" s="769"/>
      <c r="AYC102" s="769"/>
      <c r="AYD102" s="769"/>
      <c r="AYE102" s="769"/>
      <c r="AYF102" s="769"/>
      <c r="AYG102" s="769"/>
      <c r="AYH102" s="769"/>
      <c r="AYI102" s="769"/>
      <c r="AYJ102" s="769"/>
      <c r="AYK102" s="769"/>
      <c r="AYL102" s="769"/>
      <c r="AYM102" s="769"/>
      <c r="AYN102" s="769"/>
      <c r="AYO102" s="769"/>
      <c r="AYP102" s="769"/>
      <c r="AYQ102" s="769"/>
      <c r="AYR102" s="769"/>
      <c r="AYS102" s="769"/>
      <c r="AYT102" s="769"/>
      <c r="AYU102" s="769"/>
      <c r="AYV102" s="769"/>
      <c r="AYW102" s="769"/>
      <c r="AYX102" s="769"/>
      <c r="AYY102" s="769"/>
      <c r="AYZ102" s="769"/>
      <c r="AZA102" s="769"/>
      <c r="AZB102" s="769"/>
      <c r="AZC102" s="769"/>
      <c r="AZD102" s="769"/>
      <c r="AZE102" s="769"/>
      <c r="AZF102" s="769"/>
      <c r="AZG102" s="769"/>
      <c r="AZH102" s="769"/>
      <c r="AZI102" s="769"/>
      <c r="AZJ102" s="769"/>
      <c r="AZK102" s="769"/>
      <c r="AZL102" s="769"/>
      <c r="AZM102" s="769"/>
      <c r="AZN102" s="769"/>
      <c r="AZO102" s="769"/>
      <c r="AZP102" s="769"/>
      <c r="AZQ102" s="769"/>
      <c r="AZR102" s="769"/>
      <c r="AZS102" s="769"/>
      <c r="AZT102" s="769"/>
      <c r="AZU102" s="769"/>
      <c r="AZV102" s="769"/>
      <c r="AZW102" s="769"/>
      <c r="AZX102" s="769"/>
      <c r="AZY102" s="769"/>
      <c r="AZZ102" s="769"/>
      <c r="BAA102" s="769"/>
      <c r="BAB102" s="769"/>
      <c r="BAC102" s="769"/>
      <c r="BAD102" s="769"/>
      <c r="BAE102" s="769"/>
      <c r="BAF102" s="769"/>
      <c r="BAG102" s="769"/>
      <c r="BAH102" s="769"/>
      <c r="BAI102" s="769"/>
      <c r="BAJ102" s="769"/>
      <c r="BAK102" s="769"/>
      <c r="BAL102" s="769"/>
      <c r="BAM102" s="769"/>
      <c r="BAN102" s="769"/>
      <c r="BAO102" s="769"/>
      <c r="BAP102" s="769"/>
      <c r="BAQ102" s="769"/>
      <c r="BAR102" s="769"/>
      <c r="BAS102" s="769"/>
      <c r="BAT102" s="769"/>
      <c r="BAU102" s="769"/>
      <c r="BAV102" s="769"/>
      <c r="BAW102" s="769"/>
      <c r="BAX102" s="769"/>
      <c r="BAY102" s="769"/>
      <c r="BAZ102" s="769"/>
      <c r="BBA102" s="769"/>
      <c r="BBB102" s="769"/>
      <c r="BBC102" s="769"/>
      <c r="BBD102" s="769"/>
      <c r="BBE102" s="769"/>
      <c r="BBF102" s="769"/>
      <c r="BBG102" s="769"/>
      <c r="BBH102" s="769"/>
      <c r="BBI102" s="769"/>
      <c r="BBJ102" s="769"/>
      <c r="BBK102" s="769"/>
      <c r="BBL102" s="769"/>
      <c r="BBM102" s="769"/>
      <c r="BBN102" s="769"/>
      <c r="BBO102" s="769"/>
      <c r="BBP102" s="769"/>
      <c r="BBQ102" s="769"/>
      <c r="BBR102" s="769"/>
      <c r="BBS102" s="769"/>
      <c r="BBT102" s="769"/>
      <c r="BBU102" s="769"/>
      <c r="BBV102" s="769"/>
      <c r="BBW102" s="769"/>
      <c r="BBX102" s="769"/>
      <c r="BBY102" s="769"/>
      <c r="BBZ102" s="769"/>
      <c r="BCA102" s="769"/>
      <c r="BCB102" s="769"/>
      <c r="BCC102" s="769"/>
      <c r="BCD102" s="769"/>
      <c r="BCE102" s="769"/>
      <c r="BCF102" s="769"/>
      <c r="BCG102" s="769"/>
      <c r="BCH102" s="769"/>
      <c r="BCI102" s="769"/>
      <c r="BCJ102" s="769"/>
      <c r="BCK102" s="769"/>
      <c r="BCL102" s="769"/>
      <c r="BCM102" s="769"/>
      <c r="BCN102" s="769"/>
      <c r="BCO102" s="769"/>
      <c r="BCP102" s="769"/>
      <c r="BCQ102" s="769"/>
      <c r="BCR102" s="769"/>
      <c r="BCS102" s="769"/>
      <c r="BCT102" s="769"/>
      <c r="BCU102" s="769"/>
      <c r="BCV102" s="769"/>
      <c r="BCW102" s="769"/>
      <c r="BCX102" s="769"/>
      <c r="BCY102" s="769"/>
      <c r="BCZ102" s="769"/>
      <c r="BDA102" s="769"/>
      <c r="BDB102" s="769"/>
      <c r="BDC102" s="769"/>
      <c r="BDD102" s="769"/>
      <c r="BDE102" s="769"/>
      <c r="BDF102" s="769"/>
      <c r="BDG102" s="769"/>
      <c r="BDH102" s="769"/>
      <c r="BDI102" s="769"/>
      <c r="BDJ102" s="769"/>
      <c r="BDK102" s="769"/>
      <c r="BDL102" s="769"/>
      <c r="BDM102" s="769"/>
      <c r="BDN102" s="769"/>
      <c r="BDO102" s="769"/>
      <c r="BDP102" s="769"/>
      <c r="BDQ102" s="769"/>
      <c r="BDR102" s="769"/>
      <c r="BDS102" s="769"/>
      <c r="BDT102" s="769"/>
      <c r="BDU102" s="769"/>
      <c r="BDV102" s="769"/>
      <c r="BDW102" s="769"/>
      <c r="BDX102" s="769"/>
      <c r="BDY102" s="769"/>
      <c r="BDZ102" s="769"/>
      <c r="BEA102" s="769"/>
      <c r="BEB102" s="769"/>
      <c r="BEC102" s="769"/>
      <c r="BED102" s="769"/>
      <c r="BEE102" s="769"/>
      <c r="BEF102" s="769"/>
      <c r="BEG102" s="769"/>
      <c r="BEH102" s="769"/>
      <c r="BEI102" s="769"/>
      <c r="BEJ102" s="769"/>
      <c r="BEK102" s="769"/>
      <c r="BEL102" s="769"/>
      <c r="BEM102" s="769"/>
      <c r="BEN102" s="769"/>
      <c r="BEO102" s="769"/>
      <c r="BEP102" s="769"/>
      <c r="BEQ102" s="769"/>
      <c r="BER102" s="769"/>
      <c r="BES102" s="769"/>
      <c r="BET102" s="769"/>
      <c r="BEU102" s="769"/>
      <c r="BEV102" s="769"/>
      <c r="BEW102" s="769"/>
      <c r="BEX102" s="769"/>
      <c r="BEY102" s="769"/>
      <c r="BEZ102" s="769"/>
      <c r="BFA102" s="769"/>
      <c r="BFB102" s="769"/>
      <c r="BFC102" s="769"/>
      <c r="BFD102" s="769"/>
      <c r="BFE102" s="769"/>
      <c r="BFF102" s="769"/>
      <c r="BFG102" s="769"/>
      <c r="BFH102" s="769"/>
      <c r="BFI102" s="769"/>
      <c r="BFJ102" s="769"/>
      <c r="BFK102" s="769"/>
      <c r="BFL102" s="769"/>
      <c r="BFM102" s="769"/>
      <c r="BFN102" s="769"/>
      <c r="BFO102" s="769"/>
      <c r="BFP102" s="769"/>
      <c r="BFQ102" s="769"/>
      <c r="BFR102" s="769"/>
      <c r="BFS102" s="769"/>
      <c r="BFT102" s="769"/>
      <c r="BFU102" s="769"/>
      <c r="BFV102" s="769"/>
      <c r="BFW102" s="769"/>
      <c r="BFX102" s="769"/>
      <c r="BFY102" s="769"/>
      <c r="BFZ102" s="769"/>
      <c r="BGA102" s="769"/>
      <c r="BGB102" s="769"/>
      <c r="BGC102" s="769"/>
      <c r="BGD102" s="769"/>
      <c r="BGE102" s="769"/>
      <c r="BGF102" s="769"/>
      <c r="BGG102" s="769"/>
      <c r="BGH102" s="769"/>
      <c r="BGI102" s="769"/>
      <c r="BGJ102" s="769"/>
      <c r="BGK102" s="769"/>
      <c r="BGL102" s="769"/>
      <c r="BGM102" s="769"/>
      <c r="BGN102" s="769"/>
      <c r="BGO102" s="769"/>
      <c r="BGP102" s="769"/>
      <c r="BGQ102" s="769"/>
      <c r="BGR102" s="769"/>
      <c r="BGS102" s="769"/>
      <c r="BGT102" s="769"/>
      <c r="BGU102" s="769"/>
      <c r="BGV102" s="769"/>
      <c r="BGW102" s="769"/>
      <c r="BGX102" s="769"/>
      <c r="BGY102" s="769"/>
      <c r="BGZ102" s="769"/>
      <c r="BHA102" s="769"/>
      <c r="BHB102" s="769"/>
      <c r="BHC102" s="769"/>
      <c r="BHD102" s="769"/>
      <c r="BHE102" s="769"/>
      <c r="BHF102" s="769"/>
      <c r="BHG102" s="769"/>
      <c r="BHH102" s="769"/>
      <c r="BHI102" s="769"/>
      <c r="BHJ102" s="769"/>
      <c r="BHK102" s="769"/>
      <c r="BHL102" s="769"/>
      <c r="BHM102" s="769"/>
      <c r="BHN102" s="769"/>
      <c r="BHO102" s="769"/>
      <c r="BHP102" s="769"/>
      <c r="BHQ102" s="769"/>
      <c r="BHR102" s="769"/>
      <c r="BHS102" s="769"/>
      <c r="BHT102" s="769"/>
      <c r="BHU102" s="769"/>
      <c r="BHV102" s="769"/>
      <c r="BHW102" s="769"/>
      <c r="BHX102" s="769"/>
      <c r="BHY102" s="769"/>
      <c r="BHZ102" s="769"/>
      <c r="BIA102" s="769"/>
      <c r="BIB102" s="769"/>
      <c r="BIC102" s="769"/>
      <c r="BID102" s="769"/>
      <c r="BIE102" s="769"/>
      <c r="BIF102" s="769"/>
      <c r="BIG102" s="769"/>
      <c r="BIH102" s="769"/>
      <c r="BII102" s="769"/>
      <c r="BIJ102" s="769"/>
      <c r="BIK102" s="769"/>
      <c r="BIL102" s="769"/>
      <c r="BIM102" s="769"/>
      <c r="BIN102" s="769"/>
      <c r="BIO102" s="769"/>
      <c r="BIP102" s="769"/>
      <c r="BIQ102" s="769"/>
      <c r="BIR102" s="769"/>
      <c r="BIS102" s="769"/>
      <c r="BIT102" s="769"/>
      <c r="BIU102" s="769"/>
      <c r="BIV102" s="769"/>
      <c r="BIW102" s="769"/>
      <c r="BIX102" s="769"/>
      <c r="BIY102" s="769"/>
      <c r="BIZ102" s="769"/>
      <c r="BJA102" s="769"/>
      <c r="BJB102" s="769"/>
      <c r="BJC102" s="769"/>
      <c r="BJD102" s="769"/>
      <c r="BJE102" s="769"/>
      <c r="BJF102" s="769"/>
      <c r="BJG102" s="769"/>
      <c r="BJH102" s="769"/>
      <c r="BJI102" s="769"/>
      <c r="BJJ102" s="769"/>
      <c r="BJK102" s="769"/>
      <c r="BJL102" s="769"/>
      <c r="BJM102" s="769"/>
      <c r="BJN102" s="769"/>
      <c r="BJO102" s="769"/>
      <c r="BJP102" s="769"/>
      <c r="BJQ102" s="769"/>
      <c r="BJR102" s="769"/>
      <c r="BJS102" s="769"/>
      <c r="BJT102" s="769"/>
      <c r="BJU102" s="769"/>
      <c r="BJV102" s="769"/>
      <c r="BJW102" s="769"/>
      <c r="BJX102" s="769"/>
      <c r="BJY102" s="769"/>
      <c r="BJZ102" s="769"/>
      <c r="BKA102" s="769"/>
      <c r="BKB102" s="769"/>
      <c r="BKC102" s="769"/>
      <c r="BKD102" s="769"/>
      <c r="BKE102" s="769"/>
      <c r="BKF102" s="769"/>
      <c r="BKG102" s="769"/>
      <c r="BKH102" s="769"/>
      <c r="BKI102" s="769"/>
      <c r="BKJ102" s="769"/>
      <c r="BKK102" s="769"/>
      <c r="BKL102" s="769"/>
      <c r="BKM102" s="769"/>
      <c r="BKN102" s="769"/>
      <c r="BKO102" s="769"/>
      <c r="BKP102" s="769"/>
      <c r="BKQ102" s="769"/>
      <c r="BKR102" s="769"/>
      <c r="BKS102" s="769"/>
      <c r="BKT102" s="769"/>
      <c r="BKU102" s="769"/>
      <c r="BKV102" s="769"/>
      <c r="BKW102" s="769"/>
      <c r="BKX102" s="769"/>
      <c r="BKY102" s="769"/>
      <c r="BKZ102" s="769"/>
      <c r="BLA102" s="769"/>
      <c r="BLB102" s="769"/>
      <c r="BLC102" s="769"/>
      <c r="BLD102" s="769"/>
      <c r="BLE102" s="769"/>
      <c r="BLF102" s="769"/>
      <c r="BLG102" s="769"/>
      <c r="BLH102" s="769"/>
      <c r="BLI102" s="769"/>
      <c r="BLJ102" s="769"/>
      <c r="BLK102" s="769"/>
      <c r="BLL102" s="769"/>
      <c r="BLM102" s="769"/>
      <c r="BLN102" s="769"/>
      <c r="BLO102" s="769"/>
      <c r="BLP102" s="769"/>
      <c r="BLQ102" s="769"/>
      <c r="BLR102" s="769"/>
      <c r="BLS102" s="769"/>
      <c r="BLT102" s="769"/>
      <c r="BLU102" s="769"/>
      <c r="BLV102" s="769"/>
      <c r="BLW102" s="769"/>
      <c r="BLX102" s="769"/>
      <c r="BLY102" s="769"/>
      <c r="BLZ102" s="769"/>
      <c r="BMA102" s="769"/>
      <c r="BMB102" s="769"/>
      <c r="BMC102" s="769"/>
      <c r="BMD102" s="769"/>
      <c r="BME102" s="769"/>
      <c r="BMF102" s="769"/>
      <c r="BMG102" s="769"/>
      <c r="BMH102" s="769"/>
      <c r="BMI102" s="769"/>
      <c r="BMJ102" s="769"/>
      <c r="BMK102" s="769"/>
      <c r="BML102" s="769"/>
      <c r="BMM102" s="769"/>
      <c r="BMN102" s="769"/>
      <c r="BMO102" s="769"/>
      <c r="BMP102" s="769"/>
      <c r="BMQ102" s="769"/>
      <c r="BMR102" s="769"/>
      <c r="BMS102" s="769"/>
      <c r="BMT102" s="769"/>
      <c r="BMU102" s="769"/>
      <c r="BMV102" s="769"/>
      <c r="BMW102" s="769"/>
      <c r="BMX102" s="769"/>
      <c r="BMY102" s="769"/>
      <c r="BMZ102" s="769"/>
      <c r="BNA102" s="769"/>
      <c r="BNB102" s="769"/>
      <c r="BNC102" s="769"/>
      <c r="BND102" s="769"/>
      <c r="BNE102" s="769"/>
      <c r="BNF102" s="769"/>
      <c r="BNG102" s="769"/>
      <c r="BNH102" s="769"/>
      <c r="BNI102" s="769"/>
      <c r="BNJ102" s="769"/>
      <c r="BNK102" s="769"/>
      <c r="BNL102" s="769"/>
      <c r="BNM102" s="769"/>
      <c r="BNN102" s="769"/>
      <c r="BNO102" s="769"/>
      <c r="BNP102" s="769"/>
      <c r="BNQ102" s="769"/>
      <c r="BNR102" s="769"/>
      <c r="BNS102" s="769"/>
      <c r="BNT102" s="769"/>
      <c r="BNU102" s="769"/>
      <c r="BNV102" s="769"/>
      <c r="BNW102" s="769"/>
      <c r="BNX102" s="769"/>
      <c r="BNY102" s="769"/>
      <c r="BNZ102" s="769"/>
      <c r="BOA102" s="769"/>
      <c r="BOB102" s="769"/>
      <c r="BOC102" s="769"/>
      <c r="BOD102" s="769"/>
      <c r="BOE102" s="769"/>
      <c r="BOF102" s="769"/>
      <c r="BOG102" s="769"/>
      <c r="BOH102" s="769"/>
      <c r="BOI102" s="769"/>
      <c r="BOJ102" s="769"/>
      <c r="BOK102" s="769"/>
      <c r="BOL102" s="769"/>
      <c r="BOM102" s="769"/>
      <c r="BON102" s="769"/>
      <c r="BOO102" s="769"/>
      <c r="BOP102" s="769"/>
      <c r="BOQ102" s="769"/>
      <c r="BOR102" s="769"/>
      <c r="BOS102" s="769"/>
      <c r="BOT102" s="769"/>
      <c r="BOU102" s="769"/>
      <c r="BOV102" s="769"/>
      <c r="BOW102" s="769"/>
      <c r="BOX102" s="769"/>
      <c r="BOY102" s="769"/>
      <c r="BOZ102" s="769"/>
      <c r="BPA102" s="769"/>
      <c r="BPB102" s="769"/>
      <c r="BPC102" s="769"/>
      <c r="BPD102" s="769"/>
      <c r="BPE102" s="769"/>
      <c r="BPF102" s="769"/>
      <c r="BPG102" s="769"/>
      <c r="BPH102" s="769"/>
      <c r="BPI102" s="769"/>
      <c r="BPJ102" s="769"/>
      <c r="BPK102" s="769"/>
      <c r="BPL102" s="769"/>
      <c r="BPM102" s="769"/>
      <c r="BPN102" s="769"/>
      <c r="BPO102" s="769"/>
      <c r="BPP102" s="769"/>
      <c r="BPQ102" s="769"/>
      <c r="BPR102" s="769"/>
      <c r="BPS102" s="769"/>
      <c r="BPT102" s="769"/>
      <c r="BPU102" s="769"/>
      <c r="BPV102" s="769"/>
      <c r="BPW102" s="769"/>
      <c r="BPX102" s="769"/>
      <c r="BPY102" s="769"/>
      <c r="BPZ102" s="769"/>
      <c r="BQA102" s="769"/>
      <c r="BQB102" s="769"/>
      <c r="BQC102" s="769"/>
      <c r="BQD102" s="769"/>
      <c r="BQE102" s="769"/>
      <c r="BQF102" s="769"/>
      <c r="BQG102" s="769"/>
      <c r="BQH102" s="769"/>
      <c r="BQI102" s="769"/>
      <c r="BQJ102" s="769"/>
      <c r="BQK102" s="769"/>
      <c r="BQL102" s="769"/>
      <c r="BQM102" s="769"/>
      <c r="BQN102" s="769"/>
      <c r="BQO102" s="769"/>
      <c r="BQP102" s="769"/>
      <c r="BQQ102" s="769"/>
      <c r="BQR102" s="769"/>
      <c r="BQS102" s="769"/>
      <c r="BQT102" s="769"/>
      <c r="BQU102" s="769"/>
      <c r="BQV102" s="769"/>
      <c r="BQW102" s="769"/>
      <c r="BQX102" s="769"/>
      <c r="BQY102" s="769"/>
      <c r="BQZ102" s="769"/>
      <c r="BRA102" s="769"/>
      <c r="BRB102" s="769"/>
      <c r="BRC102" s="769"/>
      <c r="BRD102" s="769"/>
      <c r="BRE102" s="769"/>
      <c r="BRF102" s="769"/>
      <c r="BRG102" s="769"/>
      <c r="BRH102" s="769"/>
      <c r="BRI102" s="769"/>
      <c r="BRJ102" s="769"/>
      <c r="BRK102" s="769"/>
      <c r="BRL102" s="769"/>
      <c r="BRM102" s="769"/>
      <c r="BRN102" s="769"/>
      <c r="BRO102" s="769"/>
      <c r="BRP102" s="769"/>
      <c r="BRQ102" s="769"/>
      <c r="BRR102" s="769"/>
      <c r="BRS102" s="769"/>
      <c r="BRT102" s="769"/>
      <c r="BRU102" s="769"/>
      <c r="BRV102" s="769"/>
      <c r="BRW102" s="769"/>
      <c r="BRX102" s="769"/>
      <c r="BRY102" s="769"/>
      <c r="BRZ102" s="769"/>
      <c r="BSA102" s="769"/>
      <c r="BSB102" s="769"/>
      <c r="BSC102" s="769"/>
      <c r="BSD102" s="769"/>
      <c r="BSE102" s="769"/>
      <c r="BSF102" s="769"/>
      <c r="BSG102" s="769"/>
      <c r="BSH102" s="769"/>
      <c r="BSI102" s="769"/>
      <c r="BSJ102" s="769"/>
      <c r="BSK102" s="769"/>
      <c r="BSL102" s="769"/>
      <c r="BSM102" s="769"/>
      <c r="BSN102" s="769"/>
      <c r="BSO102" s="769"/>
      <c r="BSP102" s="769"/>
      <c r="BSQ102" s="769"/>
      <c r="BSR102" s="769"/>
      <c r="BSS102" s="769"/>
      <c r="BST102" s="769"/>
      <c r="BSU102" s="769"/>
      <c r="BSV102" s="769"/>
      <c r="BSW102" s="769"/>
      <c r="BSX102" s="769"/>
      <c r="BSY102" s="769"/>
      <c r="BSZ102" s="769"/>
      <c r="BTA102" s="769"/>
      <c r="BTB102" s="769"/>
      <c r="BTC102" s="769"/>
      <c r="BTD102" s="769"/>
      <c r="BTE102" s="769"/>
      <c r="BTF102" s="769"/>
      <c r="BTG102" s="769"/>
      <c r="BTH102" s="769"/>
      <c r="BTI102" s="769"/>
      <c r="BTJ102" s="769"/>
      <c r="BTK102" s="769"/>
      <c r="BTL102" s="769"/>
      <c r="BTM102" s="769"/>
      <c r="BTN102" s="769"/>
      <c r="BTO102" s="769"/>
      <c r="BTP102" s="769"/>
      <c r="BTQ102" s="769"/>
      <c r="BTR102" s="769"/>
      <c r="BTS102" s="769"/>
      <c r="BTT102" s="769"/>
      <c r="BTU102" s="769"/>
      <c r="BTV102" s="769"/>
      <c r="BTW102" s="769"/>
      <c r="BTX102" s="769"/>
      <c r="BTY102" s="769"/>
      <c r="BTZ102" s="769"/>
      <c r="BUA102" s="769"/>
      <c r="BUB102" s="769"/>
      <c r="BUC102" s="769"/>
      <c r="BUD102" s="769"/>
      <c r="BUE102" s="769"/>
      <c r="BUF102" s="769"/>
      <c r="BUG102" s="769"/>
      <c r="BUH102" s="769"/>
      <c r="BUI102" s="769"/>
      <c r="BUJ102" s="769"/>
      <c r="BUK102" s="769"/>
      <c r="BUL102" s="769"/>
      <c r="BUM102" s="769"/>
      <c r="BUN102" s="769"/>
      <c r="BUO102" s="769"/>
      <c r="BUP102" s="769"/>
      <c r="BUQ102" s="769"/>
      <c r="BUR102" s="769"/>
      <c r="BUS102" s="769"/>
      <c r="BUT102" s="769"/>
      <c r="BUU102" s="769"/>
      <c r="BUV102" s="769"/>
      <c r="BUW102" s="769"/>
      <c r="BUX102" s="769"/>
      <c r="BUY102" s="769"/>
      <c r="BUZ102" s="769"/>
      <c r="BVA102" s="769"/>
      <c r="BVB102" s="769"/>
      <c r="BVC102" s="769"/>
      <c r="BVD102" s="769"/>
      <c r="BVE102" s="769"/>
      <c r="BVF102" s="769"/>
      <c r="BVG102" s="769"/>
      <c r="BVH102" s="769"/>
      <c r="BVI102" s="769"/>
      <c r="BVJ102" s="769"/>
      <c r="BVK102" s="769"/>
      <c r="BVL102" s="769"/>
      <c r="BVM102" s="769"/>
      <c r="BVN102" s="769"/>
      <c r="BVO102" s="769"/>
      <c r="BVP102" s="769"/>
      <c r="BVQ102" s="769"/>
      <c r="BVR102" s="769"/>
      <c r="BVS102" s="769"/>
      <c r="BVT102" s="769"/>
      <c r="BVU102" s="769"/>
      <c r="BVV102" s="769"/>
      <c r="BVW102" s="769"/>
      <c r="BVX102" s="769"/>
      <c r="BVY102" s="769"/>
      <c r="BVZ102" s="769"/>
      <c r="BWA102" s="769"/>
      <c r="BWB102" s="769"/>
      <c r="BWC102" s="769"/>
      <c r="BWD102" s="769"/>
      <c r="BWE102" s="769"/>
      <c r="BWF102" s="769"/>
      <c r="BWG102" s="769"/>
      <c r="BWH102" s="769"/>
      <c r="BWI102" s="769"/>
      <c r="BWJ102" s="769"/>
      <c r="BWK102" s="769"/>
      <c r="BWL102" s="769"/>
      <c r="BWM102" s="769"/>
      <c r="BWN102" s="769"/>
      <c r="BWO102" s="769"/>
      <c r="BWP102" s="769"/>
      <c r="BWQ102" s="769"/>
      <c r="BWR102" s="769"/>
      <c r="BWS102" s="769"/>
      <c r="BWT102" s="769"/>
      <c r="BWU102" s="769"/>
      <c r="BWV102" s="769"/>
      <c r="BWW102" s="769"/>
      <c r="BWX102" s="769"/>
      <c r="BWY102" s="769"/>
      <c r="BWZ102" s="769"/>
      <c r="BXA102" s="769"/>
      <c r="BXB102" s="769"/>
      <c r="BXC102" s="769"/>
      <c r="BXD102" s="769"/>
      <c r="BXE102" s="769"/>
      <c r="BXF102" s="769"/>
      <c r="BXG102" s="769"/>
      <c r="BXH102" s="769"/>
      <c r="BXI102" s="769"/>
      <c r="BXJ102" s="769"/>
      <c r="BXK102" s="769"/>
      <c r="BXL102" s="769"/>
      <c r="BXM102" s="769"/>
      <c r="BXN102" s="769"/>
      <c r="BXO102" s="769"/>
      <c r="BXP102" s="769"/>
      <c r="BXQ102" s="769"/>
      <c r="BXR102" s="769"/>
      <c r="BXS102" s="769"/>
      <c r="BXT102" s="769"/>
      <c r="BXU102" s="769"/>
      <c r="BXV102" s="769"/>
      <c r="BXW102" s="769"/>
      <c r="BXX102" s="769"/>
      <c r="BXY102" s="769"/>
      <c r="BXZ102" s="769"/>
      <c r="BYA102" s="769"/>
      <c r="BYB102" s="769"/>
      <c r="BYC102" s="769"/>
      <c r="BYD102" s="769"/>
      <c r="BYE102" s="769"/>
      <c r="BYF102" s="769"/>
      <c r="BYG102" s="769"/>
      <c r="BYH102" s="769"/>
      <c r="BYI102" s="769"/>
      <c r="BYJ102" s="769"/>
      <c r="BYK102" s="769"/>
      <c r="BYL102" s="769"/>
      <c r="BYM102" s="769"/>
      <c r="BYN102" s="769"/>
      <c r="BYO102" s="769"/>
      <c r="BYP102" s="769"/>
      <c r="BYQ102" s="769"/>
      <c r="BYR102" s="769"/>
      <c r="BYS102" s="769"/>
      <c r="BYT102" s="769"/>
      <c r="BYU102" s="769"/>
      <c r="BYV102" s="769"/>
      <c r="BYW102" s="769"/>
      <c r="BYX102" s="769"/>
      <c r="BYY102" s="769"/>
      <c r="BYZ102" s="769"/>
      <c r="BZA102" s="769"/>
      <c r="BZB102" s="769"/>
      <c r="BZC102" s="769"/>
      <c r="BZD102" s="769"/>
      <c r="BZE102" s="769"/>
      <c r="BZF102" s="769"/>
      <c r="BZG102" s="769"/>
      <c r="BZH102" s="769"/>
      <c r="BZI102" s="769"/>
      <c r="BZJ102" s="769"/>
      <c r="BZK102" s="769"/>
      <c r="BZL102" s="769"/>
      <c r="BZM102" s="769"/>
      <c r="BZN102" s="769"/>
      <c r="BZO102" s="769"/>
      <c r="BZP102" s="769"/>
      <c r="BZQ102" s="769"/>
      <c r="BZR102" s="769"/>
      <c r="BZS102" s="769"/>
      <c r="BZT102" s="769"/>
      <c r="BZU102" s="769"/>
      <c r="BZV102" s="769"/>
      <c r="BZW102" s="769"/>
      <c r="BZX102" s="769"/>
      <c r="BZY102" s="769"/>
      <c r="BZZ102" s="769"/>
      <c r="CAA102" s="769"/>
      <c r="CAB102" s="769"/>
      <c r="CAC102" s="769"/>
      <c r="CAD102" s="769"/>
      <c r="CAE102" s="769"/>
      <c r="CAF102" s="769"/>
      <c r="CAG102" s="769"/>
      <c r="CAH102" s="769"/>
      <c r="CAI102" s="769"/>
      <c r="CAJ102" s="769"/>
      <c r="CAK102" s="769"/>
      <c r="CAL102" s="769"/>
      <c r="CAM102" s="769"/>
      <c r="CAN102" s="769"/>
      <c r="CAO102" s="769"/>
      <c r="CAP102" s="769"/>
      <c r="CAQ102" s="769"/>
      <c r="CAR102" s="769"/>
      <c r="CAS102" s="769"/>
      <c r="CAT102" s="769"/>
      <c r="CAU102" s="769"/>
      <c r="CAV102" s="769"/>
      <c r="CAW102" s="769"/>
      <c r="CAX102" s="769"/>
      <c r="CAY102" s="769"/>
      <c r="CAZ102" s="769"/>
      <c r="CBA102" s="769"/>
      <c r="CBB102" s="769"/>
      <c r="CBC102" s="769"/>
      <c r="CBD102" s="769"/>
      <c r="CBE102" s="769"/>
      <c r="CBF102" s="769"/>
      <c r="CBG102" s="769"/>
      <c r="CBH102" s="769"/>
      <c r="CBI102" s="769"/>
      <c r="CBJ102" s="769"/>
      <c r="CBK102" s="769"/>
      <c r="CBL102" s="769"/>
      <c r="CBM102" s="769"/>
      <c r="CBN102" s="769"/>
      <c r="CBO102" s="769"/>
      <c r="CBP102" s="769"/>
      <c r="CBQ102" s="769"/>
      <c r="CBR102" s="769"/>
      <c r="CBS102" s="769"/>
      <c r="CBT102" s="769"/>
      <c r="CBU102" s="769"/>
      <c r="CBV102" s="769"/>
      <c r="CBW102" s="769"/>
      <c r="CBX102" s="769"/>
      <c r="CBY102" s="769"/>
      <c r="CBZ102" s="769"/>
      <c r="CCA102" s="769"/>
      <c r="CCB102" s="769"/>
      <c r="CCC102" s="769"/>
      <c r="CCD102" s="769"/>
      <c r="CCE102" s="769"/>
      <c r="CCF102" s="769"/>
      <c r="CCG102" s="769"/>
      <c r="CCH102" s="769"/>
      <c r="CCI102" s="769"/>
      <c r="CCJ102" s="769"/>
      <c r="CCK102" s="769"/>
      <c r="CCL102" s="769"/>
      <c r="CCM102" s="769"/>
      <c r="CCN102" s="769"/>
      <c r="CCO102" s="769"/>
      <c r="CCP102" s="769"/>
      <c r="CCQ102" s="769"/>
      <c r="CCR102" s="769"/>
      <c r="CCS102" s="769"/>
      <c r="CCT102" s="769"/>
      <c r="CCU102" s="769"/>
      <c r="CCV102" s="769"/>
      <c r="CCW102" s="769"/>
      <c r="CCX102" s="769"/>
      <c r="CCY102" s="769"/>
      <c r="CCZ102" s="769"/>
      <c r="CDA102" s="769"/>
      <c r="CDB102" s="769"/>
      <c r="CDC102" s="769"/>
      <c r="CDD102" s="769"/>
      <c r="CDE102" s="769"/>
      <c r="CDF102" s="769"/>
      <c r="CDG102" s="769"/>
      <c r="CDH102" s="769"/>
      <c r="CDI102" s="769"/>
      <c r="CDJ102" s="769"/>
      <c r="CDK102" s="769"/>
      <c r="CDL102" s="769"/>
      <c r="CDM102" s="769"/>
      <c r="CDN102" s="769"/>
      <c r="CDO102" s="769"/>
      <c r="CDP102" s="769"/>
      <c r="CDQ102" s="769"/>
      <c r="CDR102" s="769"/>
      <c r="CDS102" s="769"/>
      <c r="CDT102" s="769"/>
      <c r="CDU102" s="769"/>
      <c r="CDV102" s="769"/>
      <c r="CDW102" s="769"/>
      <c r="CDX102" s="769"/>
      <c r="CDY102" s="769"/>
      <c r="CDZ102" s="769"/>
      <c r="CEA102" s="769"/>
      <c r="CEB102" s="769"/>
      <c r="CEC102" s="769"/>
      <c r="CED102" s="769"/>
      <c r="CEE102" s="769"/>
      <c r="CEF102" s="769"/>
      <c r="CEG102" s="769"/>
      <c r="CEH102" s="769"/>
      <c r="CEI102" s="769"/>
      <c r="CEJ102" s="769"/>
      <c r="CEK102" s="769"/>
      <c r="CEL102" s="769"/>
      <c r="CEM102" s="769"/>
      <c r="CEN102" s="769"/>
      <c r="CEO102" s="769"/>
      <c r="CEP102" s="769"/>
      <c r="CEQ102" s="769"/>
      <c r="CER102" s="769"/>
      <c r="CES102" s="769"/>
      <c r="CET102" s="769"/>
      <c r="CEU102" s="769"/>
      <c r="CEV102" s="769"/>
      <c r="CEW102" s="769"/>
      <c r="CEX102" s="769"/>
      <c r="CEY102" s="769"/>
      <c r="CEZ102" s="769"/>
      <c r="CFA102" s="769"/>
      <c r="CFB102" s="769"/>
      <c r="CFC102" s="769"/>
      <c r="CFD102" s="769"/>
      <c r="CFE102" s="769"/>
      <c r="CFF102" s="769"/>
      <c r="CFG102" s="769"/>
      <c r="CFH102" s="769"/>
      <c r="CFI102" s="769"/>
      <c r="CFJ102" s="769"/>
      <c r="CFK102" s="769"/>
      <c r="CFL102" s="769"/>
      <c r="CFM102" s="769"/>
      <c r="CFN102" s="769"/>
      <c r="CFO102" s="769"/>
      <c r="CFP102" s="769"/>
      <c r="CFQ102" s="769"/>
      <c r="CFR102" s="769"/>
      <c r="CFS102" s="769"/>
      <c r="CFT102" s="769"/>
      <c r="CFU102" s="769"/>
      <c r="CFV102" s="769"/>
      <c r="CFW102" s="769"/>
      <c r="CFX102" s="769"/>
      <c r="CFY102" s="769"/>
      <c r="CFZ102" s="769"/>
      <c r="CGA102" s="769"/>
      <c r="CGB102" s="769"/>
      <c r="CGC102" s="769"/>
      <c r="CGD102" s="769"/>
      <c r="CGE102" s="769"/>
      <c r="CGF102" s="769"/>
      <c r="CGG102" s="769"/>
      <c r="CGH102" s="769"/>
      <c r="CGI102" s="769"/>
      <c r="CGJ102" s="769"/>
      <c r="CGK102" s="769"/>
      <c r="CGL102" s="769"/>
      <c r="CGM102" s="769"/>
      <c r="CGN102" s="769"/>
      <c r="CGO102" s="769"/>
      <c r="CGP102" s="769"/>
      <c r="CGQ102" s="769"/>
      <c r="CGR102" s="769"/>
      <c r="CGS102" s="769"/>
      <c r="CGT102" s="769"/>
      <c r="CGU102" s="769"/>
      <c r="CGV102" s="769"/>
      <c r="CGW102" s="769"/>
      <c r="CGX102" s="769"/>
      <c r="CGY102" s="769"/>
      <c r="CGZ102" s="769"/>
      <c r="CHA102" s="769"/>
      <c r="CHB102" s="769"/>
      <c r="CHC102" s="769"/>
      <c r="CHD102" s="769"/>
      <c r="CHE102" s="769"/>
      <c r="CHF102" s="769"/>
      <c r="CHG102" s="769"/>
      <c r="CHH102" s="769"/>
      <c r="CHI102" s="769"/>
      <c r="CHJ102" s="769"/>
      <c r="CHK102" s="769"/>
      <c r="CHL102" s="769"/>
      <c r="CHM102" s="769"/>
      <c r="CHN102" s="769"/>
      <c r="CHO102" s="769"/>
      <c r="CHP102" s="769"/>
      <c r="CHQ102" s="769"/>
      <c r="CHR102" s="769"/>
      <c r="CHS102" s="769"/>
      <c r="CHT102" s="769"/>
      <c r="CHU102" s="769"/>
      <c r="CHV102" s="769"/>
      <c r="CHW102" s="769"/>
      <c r="CHX102" s="769"/>
      <c r="CHY102" s="769"/>
      <c r="CHZ102" s="769"/>
      <c r="CIA102" s="769"/>
      <c r="CIB102" s="769"/>
      <c r="CIC102" s="769"/>
      <c r="CID102" s="769"/>
      <c r="CIE102" s="769"/>
      <c r="CIF102" s="769"/>
      <c r="CIG102" s="769"/>
      <c r="CIH102" s="769"/>
      <c r="CII102" s="769"/>
      <c r="CIJ102" s="769"/>
      <c r="CIK102" s="769"/>
      <c r="CIL102" s="769"/>
      <c r="CIM102" s="769"/>
      <c r="CIN102" s="769"/>
      <c r="CIO102" s="769"/>
      <c r="CIP102" s="769"/>
      <c r="CIQ102" s="769"/>
      <c r="CIR102" s="769"/>
      <c r="CIS102" s="769"/>
      <c r="CIT102" s="769"/>
      <c r="CIU102" s="769"/>
      <c r="CIV102" s="769"/>
      <c r="CIW102" s="769"/>
      <c r="CIX102" s="769"/>
      <c r="CIY102" s="769"/>
      <c r="CIZ102" s="769"/>
      <c r="CJA102" s="769"/>
      <c r="CJB102" s="769"/>
      <c r="CJC102" s="769"/>
      <c r="CJD102" s="769"/>
      <c r="CJE102" s="769"/>
      <c r="CJF102" s="769"/>
      <c r="CJG102" s="769"/>
      <c r="CJH102" s="769"/>
      <c r="CJI102" s="769"/>
      <c r="CJJ102" s="769"/>
      <c r="CJK102" s="769"/>
      <c r="CJL102" s="769"/>
      <c r="CJM102" s="769"/>
      <c r="CJN102" s="769"/>
      <c r="CJO102" s="769"/>
      <c r="CJP102" s="769"/>
      <c r="CJQ102" s="769"/>
      <c r="CJR102" s="769"/>
      <c r="CJS102" s="769"/>
      <c r="CJT102" s="769"/>
      <c r="CJU102" s="769"/>
      <c r="CJV102" s="769"/>
      <c r="CJW102" s="769"/>
      <c r="CJX102" s="769"/>
      <c r="CJY102" s="769"/>
      <c r="CJZ102" s="769"/>
      <c r="CKA102" s="769"/>
      <c r="CKB102" s="769"/>
      <c r="CKC102" s="769"/>
      <c r="CKD102" s="769"/>
      <c r="CKE102" s="769"/>
      <c r="CKF102" s="769"/>
      <c r="CKG102" s="769"/>
      <c r="CKH102" s="769"/>
      <c r="CKI102" s="769"/>
      <c r="CKJ102" s="769"/>
      <c r="CKK102" s="769"/>
      <c r="CKL102" s="769"/>
      <c r="CKM102" s="769"/>
      <c r="CKN102" s="769"/>
      <c r="CKO102" s="769"/>
      <c r="CKP102" s="769"/>
      <c r="CKQ102" s="769"/>
      <c r="CKR102" s="769"/>
      <c r="CKS102" s="769"/>
      <c r="CKT102" s="769"/>
      <c r="CKU102" s="769"/>
      <c r="CKV102" s="769"/>
      <c r="CKW102" s="769"/>
      <c r="CKX102" s="769"/>
      <c r="CKY102" s="769"/>
      <c r="CKZ102" s="769"/>
      <c r="CLA102" s="769"/>
      <c r="CLB102" s="769"/>
      <c r="CLC102" s="769"/>
      <c r="CLD102" s="769"/>
      <c r="CLE102" s="769"/>
      <c r="CLF102" s="769"/>
      <c r="CLG102" s="769"/>
      <c r="CLH102" s="769"/>
      <c r="CLI102" s="769"/>
      <c r="CLJ102" s="769"/>
      <c r="CLK102" s="769"/>
      <c r="CLL102" s="769"/>
      <c r="CLM102" s="769"/>
      <c r="CLN102" s="769"/>
      <c r="CLO102" s="769"/>
      <c r="CLP102" s="769"/>
      <c r="CLQ102" s="769"/>
      <c r="CLR102" s="769"/>
      <c r="CLS102" s="769"/>
      <c r="CLT102" s="769"/>
      <c r="CLU102" s="769"/>
      <c r="CLV102" s="769"/>
      <c r="CLW102" s="769"/>
      <c r="CLX102" s="769"/>
      <c r="CLY102" s="769"/>
      <c r="CLZ102" s="769"/>
      <c r="CMA102" s="769"/>
      <c r="CMB102" s="769"/>
      <c r="CMC102" s="769"/>
      <c r="CMD102" s="769"/>
      <c r="CME102" s="769"/>
      <c r="CMF102" s="769"/>
      <c r="CMG102" s="769"/>
      <c r="CMH102" s="769"/>
      <c r="CMI102" s="769"/>
      <c r="CMJ102" s="769"/>
      <c r="CMK102" s="769"/>
      <c r="CML102" s="769"/>
      <c r="CMM102" s="769"/>
      <c r="CMN102" s="769"/>
      <c r="CMO102" s="769"/>
      <c r="CMP102" s="769"/>
      <c r="CMQ102" s="769"/>
      <c r="CMR102" s="769"/>
      <c r="CMS102" s="769"/>
      <c r="CMT102" s="769"/>
      <c r="CMU102" s="769"/>
      <c r="CMV102" s="769"/>
      <c r="CMW102" s="769"/>
      <c r="CMX102" s="769"/>
      <c r="CMY102" s="769"/>
      <c r="CMZ102" s="769"/>
      <c r="CNA102" s="769"/>
      <c r="CNB102" s="769"/>
      <c r="CNC102" s="769"/>
      <c r="CND102" s="769"/>
      <c r="CNE102" s="769"/>
      <c r="CNF102" s="769"/>
      <c r="CNG102" s="769"/>
      <c r="CNH102" s="769"/>
      <c r="CNI102" s="769"/>
      <c r="CNJ102" s="769"/>
      <c r="CNK102" s="769"/>
      <c r="CNL102" s="769"/>
      <c r="CNM102" s="769"/>
      <c r="CNN102" s="769"/>
      <c r="CNO102" s="769"/>
      <c r="CNP102" s="769"/>
      <c r="CNQ102" s="769"/>
      <c r="CNR102" s="769"/>
      <c r="CNS102" s="769"/>
      <c r="CNT102" s="769"/>
      <c r="CNU102" s="769"/>
      <c r="CNV102" s="769"/>
      <c r="CNW102" s="769"/>
      <c r="CNX102" s="769"/>
      <c r="CNY102" s="769"/>
      <c r="CNZ102" s="769"/>
      <c r="COA102" s="769"/>
      <c r="COB102" s="769"/>
      <c r="COC102" s="769"/>
      <c r="COD102" s="769"/>
      <c r="COE102" s="769"/>
      <c r="COF102" s="769"/>
      <c r="COG102" s="769"/>
      <c r="COH102" s="769"/>
      <c r="COI102" s="769"/>
      <c r="COJ102" s="769"/>
      <c r="COK102" s="769"/>
      <c r="COL102" s="769"/>
      <c r="COM102" s="769"/>
      <c r="CON102" s="769"/>
      <c r="COO102" s="769"/>
      <c r="COP102" s="769"/>
      <c r="COQ102" s="769"/>
      <c r="COR102" s="769"/>
      <c r="COS102" s="769"/>
      <c r="COT102" s="769"/>
      <c r="COU102" s="769"/>
      <c r="COV102" s="769"/>
      <c r="COW102" s="769"/>
      <c r="COX102" s="769"/>
      <c r="COY102" s="769"/>
      <c r="COZ102" s="769"/>
      <c r="CPA102" s="769"/>
      <c r="CPB102" s="769"/>
      <c r="CPC102" s="769"/>
      <c r="CPD102" s="769"/>
      <c r="CPE102" s="769"/>
      <c r="CPF102" s="769"/>
      <c r="CPG102" s="769"/>
      <c r="CPH102" s="769"/>
      <c r="CPI102" s="769"/>
      <c r="CPJ102" s="769"/>
      <c r="CPK102" s="769"/>
      <c r="CPL102" s="769"/>
      <c r="CPM102" s="769"/>
      <c r="CPN102" s="769"/>
      <c r="CPO102" s="769"/>
      <c r="CPP102" s="769"/>
      <c r="CPQ102" s="769"/>
      <c r="CPR102" s="769"/>
      <c r="CPS102" s="769"/>
      <c r="CPT102" s="769"/>
      <c r="CPU102" s="769"/>
      <c r="CPV102" s="769"/>
      <c r="CPW102" s="769"/>
      <c r="CPX102" s="769"/>
      <c r="CPY102" s="769"/>
      <c r="CPZ102" s="769"/>
      <c r="CQA102" s="769"/>
      <c r="CQB102" s="769"/>
      <c r="CQC102" s="769"/>
      <c r="CQD102" s="769"/>
      <c r="CQE102" s="769"/>
      <c r="CQF102" s="769"/>
      <c r="CQG102" s="769"/>
      <c r="CQH102" s="769"/>
      <c r="CQI102" s="769"/>
      <c r="CQJ102" s="769"/>
      <c r="CQK102" s="769"/>
      <c r="CQL102" s="769"/>
      <c r="CQM102" s="769"/>
      <c r="CQN102" s="769"/>
      <c r="CQO102" s="769"/>
      <c r="CQP102" s="769"/>
      <c r="CQQ102" s="769"/>
      <c r="CQR102" s="769"/>
      <c r="CQS102" s="769"/>
      <c r="CQT102" s="769"/>
      <c r="CQU102" s="769"/>
      <c r="CQV102" s="769"/>
      <c r="CQW102" s="769"/>
      <c r="CQX102" s="769"/>
      <c r="CQY102" s="769"/>
      <c r="CQZ102" s="769"/>
      <c r="CRA102" s="769"/>
      <c r="CRB102" s="769"/>
      <c r="CRC102" s="769"/>
      <c r="CRD102" s="769"/>
      <c r="CRE102" s="769"/>
      <c r="CRF102" s="769"/>
      <c r="CRG102" s="769"/>
      <c r="CRH102" s="769"/>
      <c r="CRI102" s="769"/>
      <c r="CRJ102" s="769"/>
      <c r="CRK102" s="769"/>
      <c r="CRL102" s="769"/>
      <c r="CRM102" s="769"/>
      <c r="CRN102" s="769"/>
      <c r="CRO102" s="769"/>
      <c r="CRP102" s="769"/>
      <c r="CRQ102" s="769"/>
      <c r="CRR102" s="769"/>
      <c r="CRS102" s="769"/>
      <c r="CRT102" s="769"/>
      <c r="CRU102" s="769"/>
      <c r="CRV102" s="769"/>
      <c r="CRW102" s="769"/>
      <c r="CRX102" s="769"/>
      <c r="CRY102" s="769"/>
      <c r="CRZ102" s="769"/>
      <c r="CSA102" s="769"/>
      <c r="CSB102" s="769"/>
      <c r="CSC102" s="769"/>
      <c r="CSD102" s="769"/>
      <c r="CSE102" s="769"/>
      <c r="CSF102" s="769"/>
      <c r="CSG102" s="769"/>
      <c r="CSH102" s="769"/>
      <c r="CSI102" s="769"/>
      <c r="CSJ102" s="769"/>
      <c r="CSK102" s="769"/>
      <c r="CSL102" s="769"/>
      <c r="CSM102" s="769"/>
      <c r="CSN102" s="769"/>
      <c r="CSO102" s="769"/>
      <c r="CSP102" s="769"/>
      <c r="CSQ102" s="769"/>
      <c r="CSR102" s="769"/>
      <c r="CSS102" s="769"/>
      <c r="CST102" s="769"/>
      <c r="CSU102" s="769"/>
      <c r="CSV102" s="769"/>
      <c r="CSW102" s="769"/>
      <c r="CSX102" s="769"/>
      <c r="CSY102" s="769"/>
      <c r="CSZ102" s="769"/>
      <c r="CTA102" s="769"/>
      <c r="CTB102" s="769"/>
      <c r="CTC102" s="769"/>
      <c r="CTD102" s="769"/>
      <c r="CTE102" s="769"/>
      <c r="CTF102" s="769"/>
      <c r="CTG102" s="769"/>
      <c r="CTH102" s="769"/>
      <c r="CTI102" s="769"/>
      <c r="CTJ102" s="769"/>
      <c r="CTK102" s="769"/>
      <c r="CTL102" s="769"/>
      <c r="CTM102" s="769"/>
      <c r="CTN102" s="769"/>
      <c r="CTO102" s="769"/>
      <c r="CTP102" s="769"/>
      <c r="CTQ102" s="769"/>
      <c r="CTR102" s="769"/>
      <c r="CTS102" s="769"/>
      <c r="CTT102" s="769"/>
      <c r="CTU102" s="769"/>
      <c r="CTV102" s="769"/>
      <c r="CTW102" s="769"/>
      <c r="CTX102" s="769"/>
      <c r="CTY102" s="769"/>
      <c r="CTZ102" s="769"/>
      <c r="CUA102" s="769"/>
      <c r="CUB102" s="769"/>
      <c r="CUC102" s="769"/>
      <c r="CUD102" s="769"/>
      <c r="CUE102" s="769"/>
      <c r="CUF102" s="769"/>
      <c r="CUG102" s="769"/>
      <c r="CUH102" s="769"/>
      <c r="CUI102" s="769"/>
      <c r="CUJ102" s="769"/>
      <c r="CUK102" s="769"/>
      <c r="CUL102" s="769"/>
      <c r="CUM102" s="769"/>
      <c r="CUN102" s="769"/>
      <c r="CUO102" s="769"/>
      <c r="CUP102" s="769"/>
      <c r="CUQ102" s="769"/>
      <c r="CUR102" s="769"/>
      <c r="CUS102" s="769"/>
      <c r="CUT102" s="769"/>
      <c r="CUU102" s="769"/>
      <c r="CUV102" s="769"/>
      <c r="CUW102" s="769"/>
      <c r="CUX102" s="769"/>
      <c r="CUY102" s="769"/>
      <c r="CUZ102" s="769"/>
      <c r="CVA102" s="769"/>
      <c r="CVB102" s="769"/>
      <c r="CVC102" s="769"/>
      <c r="CVD102" s="769"/>
      <c r="CVE102" s="769"/>
      <c r="CVF102" s="769"/>
      <c r="CVG102" s="769"/>
      <c r="CVH102" s="769"/>
      <c r="CVI102" s="769"/>
      <c r="CVJ102" s="769"/>
      <c r="CVK102" s="769"/>
      <c r="CVL102" s="769"/>
      <c r="CVM102" s="769"/>
      <c r="CVN102" s="769"/>
      <c r="CVO102" s="769"/>
      <c r="CVP102" s="769"/>
      <c r="CVQ102" s="769"/>
      <c r="CVR102" s="769"/>
      <c r="CVS102" s="769"/>
      <c r="CVT102" s="769"/>
      <c r="CVU102" s="769"/>
      <c r="CVV102" s="769"/>
      <c r="CVW102" s="769"/>
      <c r="CVX102" s="769"/>
      <c r="CVY102" s="769"/>
      <c r="CVZ102" s="769"/>
      <c r="CWA102" s="769"/>
      <c r="CWB102" s="769"/>
      <c r="CWC102" s="769"/>
      <c r="CWD102" s="769"/>
      <c r="CWE102" s="769"/>
      <c r="CWF102" s="769"/>
      <c r="CWG102" s="769"/>
      <c r="CWH102" s="769"/>
      <c r="CWI102" s="769"/>
      <c r="CWJ102" s="769"/>
      <c r="CWK102" s="769"/>
      <c r="CWL102" s="769"/>
      <c r="CWM102" s="769"/>
      <c r="CWN102" s="769"/>
      <c r="CWO102" s="769"/>
      <c r="CWP102" s="769"/>
      <c r="CWQ102" s="769"/>
      <c r="CWR102" s="769"/>
      <c r="CWS102" s="769"/>
      <c r="CWT102" s="769"/>
      <c r="CWU102" s="769"/>
      <c r="CWV102" s="769"/>
      <c r="CWW102" s="769"/>
      <c r="CWX102" s="769"/>
      <c r="CWY102" s="769"/>
      <c r="CWZ102" s="769"/>
      <c r="CXA102" s="769"/>
      <c r="CXB102" s="769"/>
      <c r="CXC102" s="769"/>
      <c r="CXD102" s="769"/>
      <c r="CXE102" s="769"/>
      <c r="CXF102" s="769"/>
      <c r="CXG102" s="769"/>
      <c r="CXH102" s="769"/>
      <c r="CXI102" s="769"/>
      <c r="CXJ102" s="769"/>
      <c r="CXK102" s="769"/>
      <c r="CXL102" s="769"/>
      <c r="CXM102" s="769"/>
      <c r="CXN102" s="769"/>
      <c r="CXO102" s="769"/>
      <c r="CXP102" s="769"/>
      <c r="CXQ102" s="769"/>
      <c r="CXR102" s="769"/>
      <c r="CXS102" s="769"/>
      <c r="CXT102" s="769"/>
      <c r="CXU102" s="769"/>
      <c r="CXV102" s="769"/>
      <c r="CXW102" s="769"/>
      <c r="CXX102" s="769"/>
      <c r="CXY102" s="769"/>
      <c r="CXZ102" s="769"/>
      <c r="CYA102" s="769"/>
      <c r="CYB102" s="769"/>
      <c r="CYC102" s="769"/>
      <c r="CYD102" s="769"/>
      <c r="CYE102" s="769"/>
      <c r="CYF102" s="769"/>
      <c r="CYG102" s="769"/>
      <c r="CYH102" s="769"/>
      <c r="CYI102" s="769"/>
      <c r="CYJ102" s="769"/>
      <c r="CYK102" s="769"/>
      <c r="CYL102" s="769"/>
      <c r="CYM102" s="769"/>
      <c r="CYN102" s="769"/>
      <c r="CYO102" s="769"/>
      <c r="CYP102" s="769"/>
      <c r="CYQ102" s="769"/>
      <c r="CYR102" s="769"/>
      <c r="CYS102" s="769"/>
      <c r="CYT102" s="769"/>
      <c r="CYU102" s="769"/>
      <c r="CYV102" s="769"/>
      <c r="CYW102" s="769"/>
      <c r="CYX102" s="769"/>
      <c r="CYY102" s="769"/>
      <c r="CYZ102" s="769"/>
      <c r="CZA102" s="769"/>
      <c r="CZB102" s="769"/>
      <c r="CZC102" s="769"/>
      <c r="CZD102" s="769"/>
      <c r="CZE102" s="769"/>
      <c r="CZF102" s="769"/>
      <c r="CZG102" s="769"/>
      <c r="CZH102" s="769"/>
      <c r="CZI102" s="769"/>
      <c r="CZJ102" s="769"/>
      <c r="CZK102" s="769"/>
      <c r="CZL102" s="769"/>
      <c r="CZM102" s="769"/>
      <c r="CZN102" s="769"/>
      <c r="CZO102" s="769"/>
      <c r="CZP102" s="769"/>
      <c r="CZQ102" s="769"/>
      <c r="CZR102" s="769"/>
      <c r="CZS102" s="769"/>
      <c r="CZT102" s="769"/>
      <c r="CZU102" s="769"/>
      <c r="CZV102" s="769"/>
      <c r="CZW102" s="769"/>
      <c r="CZX102" s="769"/>
      <c r="CZY102" s="769"/>
      <c r="CZZ102" s="769"/>
      <c r="DAA102" s="769"/>
      <c r="DAB102" s="769"/>
      <c r="DAC102" s="769"/>
      <c r="DAD102" s="769"/>
      <c r="DAE102" s="769"/>
      <c r="DAF102" s="769"/>
      <c r="DAG102" s="769"/>
      <c r="DAH102" s="769"/>
      <c r="DAI102" s="769"/>
      <c r="DAJ102" s="769"/>
      <c r="DAK102" s="769"/>
      <c r="DAL102" s="769"/>
      <c r="DAM102" s="769"/>
      <c r="DAN102" s="769"/>
      <c r="DAO102" s="769"/>
      <c r="DAP102" s="769"/>
      <c r="DAQ102" s="769"/>
      <c r="DAR102" s="769"/>
      <c r="DAS102" s="769"/>
      <c r="DAT102" s="769"/>
      <c r="DAU102" s="769"/>
      <c r="DAV102" s="769"/>
      <c r="DAW102" s="769"/>
      <c r="DAX102" s="769"/>
      <c r="DAY102" s="769"/>
      <c r="DAZ102" s="769"/>
      <c r="DBA102" s="769"/>
      <c r="DBB102" s="769"/>
      <c r="DBC102" s="769"/>
      <c r="DBD102" s="769"/>
      <c r="DBE102" s="769"/>
      <c r="DBF102" s="769"/>
      <c r="DBG102" s="769"/>
      <c r="DBH102" s="769"/>
      <c r="DBI102" s="769"/>
      <c r="DBJ102" s="769"/>
      <c r="DBK102" s="769"/>
      <c r="DBL102" s="769"/>
      <c r="DBM102" s="769"/>
      <c r="DBN102" s="769"/>
      <c r="DBO102" s="769"/>
      <c r="DBP102" s="769"/>
      <c r="DBQ102" s="769"/>
      <c r="DBR102" s="769"/>
      <c r="DBS102" s="769"/>
      <c r="DBT102" s="769"/>
      <c r="DBU102" s="769"/>
      <c r="DBV102" s="769"/>
      <c r="DBW102" s="769"/>
      <c r="DBX102" s="769"/>
      <c r="DBY102" s="769"/>
      <c r="DBZ102" s="769"/>
      <c r="DCA102" s="769"/>
      <c r="DCB102" s="769"/>
      <c r="DCC102" s="769"/>
      <c r="DCD102" s="769"/>
      <c r="DCE102" s="769"/>
      <c r="DCF102" s="769"/>
      <c r="DCG102" s="769"/>
      <c r="DCH102" s="769"/>
      <c r="DCI102" s="769"/>
      <c r="DCJ102" s="769"/>
      <c r="DCK102" s="769"/>
      <c r="DCL102" s="769"/>
      <c r="DCM102" s="769"/>
      <c r="DCN102" s="769"/>
      <c r="DCO102" s="769"/>
      <c r="DCP102" s="769"/>
      <c r="DCQ102" s="769"/>
      <c r="DCR102" s="769"/>
      <c r="DCS102" s="769"/>
      <c r="DCT102" s="769"/>
      <c r="DCU102" s="769"/>
      <c r="DCV102" s="769"/>
      <c r="DCW102" s="769"/>
      <c r="DCX102" s="769"/>
      <c r="DCY102" s="769"/>
      <c r="DCZ102" s="769"/>
      <c r="DDA102" s="769"/>
      <c r="DDB102" s="769"/>
      <c r="DDC102" s="769"/>
      <c r="DDD102" s="769"/>
      <c r="DDE102" s="769"/>
      <c r="DDF102" s="769"/>
      <c r="DDG102" s="769"/>
      <c r="DDH102" s="769"/>
      <c r="DDI102" s="769"/>
      <c r="DDJ102" s="769"/>
      <c r="DDK102" s="769"/>
      <c r="DDL102" s="769"/>
      <c r="DDM102" s="769"/>
      <c r="DDN102" s="769"/>
      <c r="DDO102" s="769"/>
      <c r="DDP102" s="769"/>
      <c r="DDQ102" s="769"/>
      <c r="DDR102" s="769"/>
      <c r="DDS102" s="769"/>
      <c r="DDT102" s="769"/>
      <c r="DDU102" s="769"/>
      <c r="DDV102" s="769"/>
      <c r="DDW102" s="769"/>
      <c r="DDX102" s="769"/>
      <c r="DDY102" s="769"/>
      <c r="DDZ102" s="769"/>
      <c r="DEA102" s="769"/>
      <c r="DEB102" s="769"/>
      <c r="DEC102" s="769"/>
      <c r="DED102" s="769"/>
      <c r="DEE102" s="769"/>
      <c r="DEF102" s="769"/>
      <c r="DEG102" s="769"/>
      <c r="DEH102" s="769"/>
      <c r="DEI102" s="769"/>
      <c r="DEJ102" s="769"/>
      <c r="DEK102" s="769"/>
      <c r="DEL102" s="769"/>
      <c r="DEM102" s="769"/>
      <c r="DEN102" s="769"/>
      <c r="DEO102" s="769"/>
      <c r="DEP102" s="769"/>
      <c r="DEQ102" s="769"/>
      <c r="DER102" s="769"/>
      <c r="DES102" s="769"/>
      <c r="DET102" s="769"/>
      <c r="DEU102" s="769"/>
      <c r="DEV102" s="769"/>
      <c r="DEW102" s="769"/>
      <c r="DEX102" s="769"/>
      <c r="DEY102" s="769"/>
      <c r="DEZ102" s="769"/>
      <c r="DFA102" s="769"/>
      <c r="DFB102" s="769"/>
      <c r="DFC102" s="769"/>
      <c r="DFD102" s="769"/>
      <c r="DFE102" s="769"/>
      <c r="DFF102" s="769"/>
      <c r="DFG102" s="769"/>
      <c r="DFH102" s="769"/>
      <c r="DFI102" s="769"/>
      <c r="DFJ102" s="769"/>
      <c r="DFK102" s="769"/>
      <c r="DFL102" s="769"/>
      <c r="DFM102" s="769"/>
      <c r="DFN102" s="769"/>
      <c r="DFO102" s="769"/>
      <c r="DFP102" s="769"/>
      <c r="DFQ102" s="769"/>
      <c r="DFR102" s="769"/>
      <c r="DFS102" s="769"/>
      <c r="DFT102" s="769"/>
      <c r="DFU102" s="769"/>
      <c r="DFV102" s="769"/>
      <c r="DFW102" s="769"/>
      <c r="DFX102" s="769"/>
      <c r="DFY102" s="769"/>
      <c r="DFZ102" s="769"/>
      <c r="DGA102" s="769"/>
      <c r="DGB102" s="769"/>
      <c r="DGC102" s="769"/>
      <c r="DGD102" s="769"/>
      <c r="DGE102" s="769"/>
      <c r="DGF102" s="769"/>
      <c r="DGG102" s="769"/>
      <c r="DGH102" s="769"/>
      <c r="DGI102" s="769"/>
      <c r="DGJ102" s="769"/>
      <c r="DGK102" s="769"/>
      <c r="DGL102" s="769"/>
      <c r="DGM102" s="769"/>
      <c r="DGN102" s="769"/>
      <c r="DGO102" s="769"/>
      <c r="DGP102" s="769"/>
      <c r="DGQ102" s="769"/>
      <c r="DGR102" s="769"/>
      <c r="DGS102" s="769"/>
      <c r="DGT102" s="769"/>
      <c r="DGU102" s="769"/>
      <c r="DGV102" s="769"/>
      <c r="DGW102" s="769"/>
      <c r="DGX102" s="769"/>
      <c r="DGY102" s="769"/>
      <c r="DGZ102" s="769"/>
      <c r="DHA102" s="769"/>
      <c r="DHB102" s="769"/>
      <c r="DHC102" s="769"/>
      <c r="DHD102" s="769"/>
      <c r="DHE102" s="769"/>
      <c r="DHF102" s="769"/>
      <c r="DHG102" s="769"/>
      <c r="DHH102" s="769"/>
      <c r="DHI102" s="769"/>
      <c r="DHJ102" s="769"/>
      <c r="DHK102" s="769"/>
      <c r="DHL102" s="769"/>
      <c r="DHM102" s="769"/>
      <c r="DHN102" s="769"/>
      <c r="DHO102" s="769"/>
      <c r="DHP102" s="769"/>
      <c r="DHQ102" s="769"/>
      <c r="DHR102" s="769"/>
      <c r="DHS102" s="769"/>
      <c r="DHT102" s="769"/>
      <c r="DHU102" s="769"/>
      <c r="DHV102" s="769"/>
      <c r="DHW102" s="769"/>
      <c r="DHX102" s="769"/>
      <c r="DHY102" s="769"/>
      <c r="DHZ102" s="769"/>
      <c r="DIA102" s="769"/>
      <c r="DIB102" s="769"/>
      <c r="DIC102" s="769"/>
      <c r="DID102" s="769"/>
      <c r="DIE102" s="769"/>
      <c r="DIF102" s="769"/>
      <c r="DIG102" s="769"/>
      <c r="DIH102" s="769"/>
      <c r="DII102" s="769"/>
      <c r="DIJ102" s="769"/>
      <c r="DIK102" s="769"/>
      <c r="DIL102" s="769"/>
      <c r="DIM102" s="769"/>
      <c r="DIN102" s="769"/>
      <c r="DIO102" s="769"/>
      <c r="DIP102" s="769"/>
      <c r="DIQ102" s="769"/>
      <c r="DIR102" s="769"/>
      <c r="DIS102" s="769"/>
      <c r="DIT102" s="769"/>
      <c r="DIU102" s="769"/>
      <c r="DIV102" s="769"/>
      <c r="DIW102" s="769"/>
      <c r="DIX102" s="769"/>
      <c r="DIY102" s="769"/>
      <c r="DIZ102" s="769"/>
      <c r="DJA102" s="769"/>
      <c r="DJB102" s="769"/>
      <c r="DJC102" s="769"/>
      <c r="DJD102" s="769"/>
      <c r="DJE102" s="769"/>
      <c r="DJF102" s="769"/>
      <c r="DJG102" s="769"/>
      <c r="DJH102" s="769"/>
      <c r="DJI102" s="769"/>
      <c r="DJJ102" s="769"/>
      <c r="DJK102" s="769"/>
      <c r="DJL102" s="769"/>
      <c r="DJM102" s="769"/>
      <c r="DJN102" s="769"/>
      <c r="DJO102" s="769"/>
      <c r="DJP102" s="769"/>
      <c r="DJQ102" s="769"/>
      <c r="DJR102" s="769"/>
      <c r="DJS102" s="769"/>
      <c r="DJT102" s="769"/>
      <c r="DJU102" s="769"/>
      <c r="DJV102" s="769"/>
      <c r="DJW102" s="769"/>
      <c r="DJX102" s="769"/>
      <c r="DJY102" s="769"/>
      <c r="DJZ102" s="769"/>
      <c r="DKA102" s="769"/>
      <c r="DKB102" s="769"/>
      <c r="DKC102" s="769"/>
      <c r="DKD102" s="769"/>
      <c r="DKE102" s="769"/>
      <c r="DKF102" s="769"/>
      <c r="DKG102" s="769"/>
      <c r="DKH102" s="769"/>
      <c r="DKI102" s="769"/>
      <c r="DKJ102" s="769"/>
      <c r="DKK102" s="769"/>
      <c r="DKL102" s="769"/>
      <c r="DKM102" s="769"/>
      <c r="DKN102" s="769"/>
      <c r="DKO102" s="769"/>
      <c r="DKP102" s="769"/>
      <c r="DKQ102" s="769"/>
      <c r="DKR102" s="769"/>
      <c r="DKS102" s="769"/>
      <c r="DKT102" s="769"/>
      <c r="DKU102" s="769"/>
      <c r="DKV102" s="769"/>
      <c r="DKW102" s="769"/>
      <c r="DKX102" s="769"/>
      <c r="DKY102" s="769"/>
      <c r="DKZ102" s="769"/>
      <c r="DLA102" s="769"/>
      <c r="DLB102" s="769"/>
      <c r="DLC102" s="769"/>
      <c r="DLD102" s="769"/>
      <c r="DLE102" s="769"/>
      <c r="DLF102" s="769"/>
      <c r="DLG102" s="769"/>
      <c r="DLH102" s="769"/>
      <c r="DLI102" s="769"/>
      <c r="DLJ102" s="769"/>
      <c r="DLK102" s="769"/>
      <c r="DLL102" s="769"/>
      <c r="DLM102" s="769"/>
      <c r="DLN102" s="769"/>
      <c r="DLO102" s="769"/>
      <c r="DLP102" s="769"/>
      <c r="DLQ102" s="769"/>
      <c r="DLR102" s="769"/>
      <c r="DLS102" s="769"/>
      <c r="DLT102" s="769"/>
      <c r="DLU102" s="769"/>
      <c r="DLV102" s="769"/>
      <c r="DLW102" s="769"/>
      <c r="DLX102" s="769"/>
      <c r="DLY102" s="769"/>
      <c r="DLZ102" s="769"/>
      <c r="DMA102" s="769"/>
      <c r="DMB102" s="769"/>
      <c r="DMC102" s="769"/>
      <c r="DMD102" s="769"/>
      <c r="DME102" s="769"/>
      <c r="DMF102" s="769"/>
      <c r="DMG102" s="769"/>
      <c r="DMH102" s="769"/>
      <c r="DMI102" s="769"/>
      <c r="DMJ102" s="769"/>
      <c r="DMK102" s="769"/>
      <c r="DML102" s="769"/>
      <c r="DMM102" s="769"/>
      <c r="DMN102" s="769"/>
      <c r="DMO102" s="769"/>
      <c r="DMP102" s="769"/>
      <c r="DMQ102" s="769"/>
      <c r="DMR102" s="769"/>
      <c r="DMS102" s="769"/>
      <c r="DMT102" s="769"/>
      <c r="DMU102" s="769"/>
      <c r="DMV102" s="769"/>
      <c r="DMW102" s="769"/>
      <c r="DMX102" s="769"/>
      <c r="DMY102" s="769"/>
      <c r="DMZ102" s="769"/>
      <c r="DNA102" s="769"/>
      <c r="DNB102" s="769"/>
      <c r="DNC102" s="769"/>
      <c r="DND102" s="769"/>
      <c r="DNE102" s="769"/>
      <c r="DNF102" s="769"/>
      <c r="DNG102" s="769"/>
      <c r="DNH102" s="769"/>
      <c r="DNI102" s="769"/>
      <c r="DNJ102" s="769"/>
      <c r="DNK102" s="769"/>
      <c r="DNL102" s="769"/>
      <c r="DNM102" s="769"/>
      <c r="DNN102" s="769"/>
      <c r="DNO102" s="769"/>
      <c r="DNP102" s="769"/>
      <c r="DNQ102" s="769"/>
      <c r="DNR102" s="769"/>
      <c r="DNS102" s="769"/>
      <c r="DNT102" s="769"/>
      <c r="DNU102" s="769"/>
      <c r="DNV102" s="769"/>
      <c r="DNW102" s="769"/>
      <c r="DNX102" s="769"/>
      <c r="DNY102" s="769"/>
      <c r="DNZ102" s="769"/>
      <c r="DOA102" s="769"/>
      <c r="DOB102" s="769"/>
      <c r="DOC102" s="769"/>
      <c r="DOD102" s="769"/>
      <c r="DOE102" s="769"/>
      <c r="DOF102" s="769"/>
      <c r="DOG102" s="769"/>
      <c r="DOH102" s="769"/>
      <c r="DOI102" s="769"/>
      <c r="DOJ102" s="769"/>
      <c r="DOK102" s="769"/>
      <c r="DOL102" s="769"/>
      <c r="DOM102" s="769"/>
      <c r="DON102" s="769"/>
      <c r="DOO102" s="769"/>
      <c r="DOP102" s="769"/>
      <c r="DOQ102" s="769"/>
      <c r="DOR102" s="769"/>
      <c r="DOS102" s="769"/>
      <c r="DOT102" s="769"/>
      <c r="DOU102" s="769"/>
      <c r="DOV102" s="769"/>
      <c r="DOW102" s="769"/>
      <c r="DOX102" s="769"/>
      <c r="DOY102" s="769"/>
      <c r="DOZ102" s="769"/>
      <c r="DPA102" s="769"/>
      <c r="DPB102" s="769"/>
      <c r="DPC102" s="769"/>
      <c r="DPD102" s="769"/>
      <c r="DPE102" s="769"/>
      <c r="DPF102" s="769"/>
      <c r="DPG102" s="769"/>
      <c r="DPH102" s="769"/>
      <c r="DPI102" s="769"/>
      <c r="DPJ102" s="769"/>
      <c r="DPK102" s="769"/>
      <c r="DPL102" s="769"/>
      <c r="DPM102" s="769"/>
      <c r="DPN102" s="769"/>
      <c r="DPO102" s="769"/>
      <c r="DPP102" s="769"/>
      <c r="DPQ102" s="769"/>
      <c r="DPR102" s="769"/>
      <c r="DPS102" s="769"/>
      <c r="DPT102" s="769"/>
      <c r="DPU102" s="769"/>
      <c r="DPV102" s="769"/>
      <c r="DPW102" s="769"/>
      <c r="DPX102" s="769"/>
      <c r="DPY102" s="769"/>
      <c r="DPZ102" s="769"/>
      <c r="DQA102" s="769"/>
      <c r="DQB102" s="769"/>
      <c r="DQC102" s="769"/>
      <c r="DQD102" s="769"/>
      <c r="DQE102" s="769"/>
      <c r="DQF102" s="769"/>
      <c r="DQG102" s="769"/>
      <c r="DQH102" s="769"/>
      <c r="DQI102" s="769"/>
      <c r="DQJ102" s="769"/>
      <c r="DQK102" s="769"/>
      <c r="DQL102" s="769"/>
      <c r="DQM102" s="769"/>
      <c r="DQN102" s="769"/>
      <c r="DQO102" s="769"/>
      <c r="DQP102" s="769"/>
      <c r="DQQ102" s="769"/>
      <c r="DQR102" s="769"/>
      <c r="DQS102" s="769"/>
      <c r="DQT102" s="769"/>
      <c r="DQU102" s="769"/>
      <c r="DQV102" s="769"/>
      <c r="DQW102" s="769"/>
      <c r="DQX102" s="769"/>
      <c r="DQY102" s="769"/>
      <c r="DQZ102" s="769"/>
      <c r="DRA102" s="769"/>
      <c r="DRB102" s="769"/>
      <c r="DRC102" s="769"/>
      <c r="DRD102" s="769"/>
      <c r="DRE102" s="769"/>
      <c r="DRF102" s="769"/>
      <c r="DRG102" s="769"/>
      <c r="DRH102" s="769"/>
      <c r="DRI102" s="769"/>
      <c r="DRJ102" s="769"/>
      <c r="DRK102" s="769"/>
      <c r="DRL102" s="769"/>
      <c r="DRM102" s="769"/>
      <c r="DRN102" s="769"/>
      <c r="DRO102" s="769"/>
      <c r="DRP102" s="769"/>
      <c r="DRQ102" s="769"/>
      <c r="DRR102" s="769"/>
      <c r="DRS102" s="769"/>
      <c r="DRT102" s="769"/>
      <c r="DRU102" s="769"/>
      <c r="DRV102" s="769"/>
      <c r="DRW102" s="769"/>
      <c r="DRX102" s="769"/>
      <c r="DRY102" s="769"/>
      <c r="DRZ102" s="769"/>
      <c r="DSA102" s="769"/>
      <c r="DSB102" s="769"/>
      <c r="DSC102" s="769"/>
      <c r="DSD102" s="769"/>
      <c r="DSE102" s="769"/>
      <c r="DSF102" s="769"/>
      <c r="DSG102" s="769"/>
      <c r="DSH102" s="769"/>
      <c r="DSI102" s="769"/>
      <c r="DSJ102" s="769"/>
      <c r="DSK102" s="769"/>
      <c r="DSL102" s="769"/>
      <c r="DSM102" s="769"/>
      <c r="DSN102" s="769"/>
      <c r="DSO102" s="769"/>
      <c r="DSP102" s="769"/>
      <c r="DSQ102" s="769"/>
      <c r="DSR102" s="769"/>
      <c r="DSS102" s="769"/>
      <c r="DST102" s="769"/>
      <c r="DSU102" s="769"/>
      <c r="DSV102" s="769"/>
      <c r="DSW102" s="769"/>
      <c r="DSX102" s="769"/>
      <c r="DSY102" s="769"/>
      <c r="DSZ102" s="769"/>
      <c r="DTA102" s="769"/>
      <c r="DTB102" s="769"/>
      <c r="DTC102" s="769"/>
      <c r="DTD102" s="769"/>
      <c r="DTE102" s="769"/>
      <c r="DTF102" s="769"/>
      <c r="DTG102" s="769"/>
      <c r="DTH102" s="769"/>
      <c r="DTI102" s="769"/>
      <c r="DTJ102" s="769"/>
      <c r="DTK102" s="769"/>
      <c r="DTL102" s="769"/>
      <c r="DTM102" s="769"/>
      <c r="DTN102" s="769"/>
      <c r="DTO102" s="769"/>
      <c r="DTP102" s="769"/>
      <c r="DTQ102" s="769"/>
      <c r="DTR102" s="769"/>
      <c r="DTS102" s="769"/>
      <c r="DTT102" s="769"/>
      <c r="DTU102" s="769"/>
      <c r="DTV102" s="769"/>
      <c r="DTW102" s="769"/>
      <c r="DTX102" s="769"/>
      <c r="DTY102" s="769"/>
      <c r="DTZ102" s="769"/>
      <c r="DUA102" s="769"/>
      <c r="DUB102" s="769"/>
      <c r="DUC102" s="769"/>
      <c r="DUD102" s="769"/>
      <c r="DUE102" s="769"/>
      <c r="DUF102" s="769"/>
      <c r="DUG102" s="769"/>
      <c r="DUH102" s="769"/>
      <c r="DUI102" s="769"/>
      <c r="DUJ102" s="769"/>
      <c r="DUK102" s="769"/>
      <c r="DUL102" s="769"/>
      <c r="DUM102" s="769"/>
      <c r="DUN102" s="769"/>
      <c r="DUO102" s="769"/>
      <c r="DUP102" s="769"/>
      <c r="DUQ102" s="769"/>
      <c r="DUR102" s="769"/>
      <c r="DUS102" s="769"/>
      <c r="DUT102" s="769"/>
      <c r="DUU102" s="769"/>
      <c r="DUV102" s="769"/>
      <c r="DUW102" s="769"/>
      <c r="DUX102" s="769"/>
      <c r="DUY102" s="769"/>
      <c r="DUZ102" s="769"/>
      <c r="DVA102" s="769"/>
      <c r="DVB102" s="769"/>
      <c r="DVC102" s="769"/>
      <c r="DVD102" s="769"/>
      <c r="DVE102" s="769"/>
      <c r="DVF102" s="769"/>
      <c r="DVG102" s="769"/>
      <c r="DVH102" s="769"/>
      <c r="DVI102" s="769"/>
      <c r="DVJ102" s="769"/>
      <c r="DVK102" s="769"/>
      <c r="DVL102" s="769"/>
      <c r="DVM102" s="769"/>
      <c r="DVN102" s="769"/>
      <c r="DVO102" s="769"/>
      <c r="DVP102" s="769"/>
      <c r="DVQ102" s="769"/>
      <c r="DVR102" s="769"/>
      <c r="DVS102" s="769"/>
      <c r="DVT102" s="769"/>
      <c r="DVU102" s="769"/>
      <c r="DVV102" s="769"/>
      <c r="DVW102" s="769"/>
      <c r="DVX102" s="769"/>
      <c r="DVY102" s="769"/>
      <c r="DVZ102" s="769"/>
      <c r="DWA102" s="769"/>
      <c r="DWB102" s="769"/>
      <c r="DWC102" s="769"/>
      <c r="DWD102" s="769"/>
      <c r="DWE102" s="769"/>
      <c r="DWF102" s="769"/>
      <c r="DWG102" s="769"/>
      <c r="DWH102" s="769"/>
      <c r="DWI102" s="769"/>
      <c r="DWJ102" s="769"/>
      <c r="DWK102" s="769"/>
      <c r="DWL102" s="769"/>
      <c r="DWM102" s="769"/>
      <c r="DWN102" s="769"/>
      <c r="DWO102" s="769"/>
      <c r="DWP102" s="769"/>
      <c r="DWQ102" s="769"/>
      <c r="DWR102" s="769"/>
      <c r="DWS102" s="769"/>
      <c r="DWT102" s="769"/>
      <c r="DWU102" s="769"/>
      <c r="DWV102" s="769"/>
      <c r="DWW102" s="769"/>
      <c r="DWX102" s="769"/>
      <c r="DWY102" s="769"/>
      <c r="DWZ102" s="769"/>
      <c r="DXA102" s="769"/>
      <c r="DXB102" s="769"/>
      <c r="DXC102" s="769"/>
      <c r="DXD102" s="769"/>
      <c r="DXE102" s="769"/>
      <c r="DXF102" s="769"/>
      <c r="DXG102" s="769"/>
      <c r="DXH102" s="769"/>
      <c r="DXI102" s="769"/>
      <c r="DXJ102" s="769"/>
      <c r="DXK102" s="769"/>
      <c r="DXL102" s="769"/>
      <c r="DXM102" s="769"/>
      <c r="DXN102" s="769"/>
      <c r="DXO102" s="769"/>
      <c r="DXP102" s="769"/>
      <c r="DXQ102" s="769"/>
      <c r="DXR102" s="769"/>
      <c r="DXS102" s="769"/>
      <c r="DXT102" s="769"/>
      <c r="DXU102" s="769"/>
      <c r="DXV102" s="769"/>
      <c r="DXW102" s="769"/>
      <c r="DXX102" s="769"/>
      <c r="DXY102" s="769"/>
      <c r="DXZ102" s="769"/>
      <c r="DYA102" s="769"/>
      <c r="DYB102" s="769"/>
      <c r="DYC102" s="769"/>
      <c r="DYD102" s="769"/>
      <c r="DYE102" s="769"/>
      <c r="DYF102" s="769"/>
      <c r="DYG102" s="769"/>
      <c r="DYH102" s="769"/>
      <c r="DYI102" s="769"/>
      <c r="DYJ102" s="769"/>
      <c r="DYK102" s="769"/>
      <c r="DYL102" s="769"/>
      <c r="DYM102" s="769"/>
      <c r="DYN102" s="769"/>
      <c r="DYO102" s="769"/>
      <c r="DYP102" s="769"/>
      <c r="DYQ102" s="769"/>
      <c r="DYR102" s="769"/>
      <c r="DYS102" s="769"/>
      <c r="DYT102" s="769"/>
      <c r="DYU102" s="769"/>
      <c r="DYV102" s="769"/>
      <c r="DYW102" s="769"/>
      <c r="DYX102" s="769"/>
      <c r="DYY102" s="769"/>
      <c r="DYZ102" s="769"/>
      <c r="DZA102" s="769"/>
      <c r="DZB102" s="769"/>
      <c r="DZC102" s="769"/>
      <c r="DZD102" s="769"/>
      <c r="DZE102" s="769"/>
      <c r="DZF102" s="769"/>
      <c r="DZG102" s="769"/>
      <c r="DZH102" s="769"/>
      <c r="DZI102" s="769"/>
      <c r="DZJ102" s="769"/>
      <c r="DZK102" s="769"/>
      <c r="DZL102" s="769"/>
      <c r="DZM102" s="769"/>
      <c r="DZN102" s="769"/>
      <c r="DZO102" s="769"/>
      <c r="DZP102" s="769"/>
      <c r="DZQ102" s="769"/>
      <c r="DZR102" s="769"/>
      <c r="DZS102" s="769"/>
      <c r="DZT102" s="769"/>
      <c r="DZU102" s="769"/>
      <c r="DZV102" s="769"/>
      <c r="DZW102" s="769"/>
      <c r="DZX102" s="769"/>
      <c r="DZY102" s="769"/>
      <c r="DZZ102" s="769"/>
      <c r="EAA102" s="769"/>
      <c r="EAB102" s="769"/>
      <c r="EAC102" s="769"/>
      <c r="EAD102" s="769"/>
      <c r="EAE102" s="769"/>
      <c r="EAF102" s="769"/>
      <c r="EAG102" s="769"/>
      <c r="EAH102" s="769"/>
      <c r="EAI102" s="769"/>
      <c r="EAJ102" s="769"/>
      <c r="EAK102" s="769"/>
      <c r="EAL102" s="769"/>
      <c r="EAM102" s="769"/>
      <c r="EAN102" s="769"/>
      <c r="EAO102" s="769"/>
      <c r="EAP102" s="769"/>
      <c r="EAQ102" s="769"/>
      <c r="EAR102" s="769"/>
      <c r="EAS102" s="769"/>
      <c r="EAT102" s="769"/>
      <c r="EAU102" s="769"/>
      <c r="EAV102" s="769"/>
      <c r="EAW102" s="769"/>
      <c r="EAX102" s="769"/>
      <c r="EAY102" s="769"/>
      <c r="EAZ102" s="769"/>
      <c r="EBA102" s="769"/>
      <c r="EBB102" s="769"/>
      <c r="EBC102" s="769"/>
      <c r="EBD102" s="769"/>
      <c r="EBE102" s="769"/>
      <c r="EBF102" s="769"/>
      <c r="EBG102" s="769"/>
      <c r="EBH102" s="769"/>
      <c r="EBI102" s="769"/>
      <c r="EBJ102" s="769"/>
      <c r="EBK102" s="769"/>
      <c r="EBL102" s="769"/>
      <c r="EBM102" s="769"/>
      <c r="EBN102" s="769"/>
      <c r="EBO102" s="769"/>
      <c r="EBP102" s="769"/>
      <c r="EBQ102" s="769"/>
      <c r="EBR102" s="769"/>
      <c r="EBS102" s="769"/>
      <c r="EBT102" s="769"/>
      <c r="EBU102" s="769"/>
      <c r="EBV102" s="769"/>
      <c r="EBW102" s="769"/>
      <c r="EBX102" s="769"/>
      <c r="EBY102" s="769"/>
      <c r="EBZ102" s="769"/>
      <c r="ECA102" s="769"/>
      <c r="ECB102" s="769"/>
      <c r="ECC102" s="769"/>
      <c r="ECD102" s="769"/>
      <c r="ECE102" s="769"/>
      <c r="ECF102" s="769"/>
      <c r="ECG102" s="769"/>
      <c r="ECH102" s="769"/>
      <c r="ECI102" s="769"/>
      <c r="ECJ102" s="769"/>
      <c r="ECK102" s="769"/>
      <c r="ECL102" s="769"/>
      <c r="ECM102" s="769"/>
      <c r="ECN102" s="769"/>
      <c r="ECO102" s="769"/>
      <c r="ECP102" s="769"/>
      <c r="ECQ102" s="769"/>
      <c r="ECR102" s="769"/>
      <c r="ECS102" s="769"/>
      <c r="ECT102" s="769"/>
      <c r="ECU102" s="769"/>
      <c r="ECV102" s="769"/>
      <c r="ECW102" s="769"/>
      <c r="ECX102" s="769"/>
      <c r="ECY102" s="769"/>
      <c r="ECZ102" s="769"/>
      <c r="EDA102" s="769"/>
      <c r="EDB102" s="769"/>
      <c r="EDC102" s="769"/>
      <c r="EDD102" s="769"/>
      <c r="EDE102" s="769"/>
      <c r="EDF102" s="769"/>
      <c r="EDG102" s="769"/>
      <c r="EDH102" s="769"/>
      <c r="EDI102" s="769"/>
      <c r="EDJ102" s="769"/>
      <c r="EDK102" s="769"/>
      <c r="EDL102" s="769"/>
      <c r="EDM102" s="769"/>
      <c r="EDN102" s="769"/>
      <c r="EDO102" s="769"/>
      <c r="EDP102" s="769"/>
      <c r="EDQ102" s="769"/>
      <c r="EDR102" s="769"/>
      <c r="EDS102" s="769"/>
      <c r="EDT102" s="769"/>
      <c r="EDU102" s="769"/>
      <c r="EDV102" s="769"/>
      <c r="EDW102" s="769"/>
      <c r="EDX102" s="769"/>
      <c r="EDY102" s="769"/>
      <c r="EDZ102" s="769"/>
      <c r="EEA102" s="769"/>
      <c r="EEB102" s="769"/>
      <c r="EEC102" s="769"/>
      <c r="EED102" s="769"/>
      <c r="EEE102" s="769"/>
      <c r="EEF102" s="769"/>
      <c r="EEG102" s="769"/>
      <c r="EEH102" s="769"/>
      <c r="EEI102" s="769"/>
      <c r="EEJ102" s="769"/>
      <c r="EEK102" s="769"/>
      <c r="EEL102" s="769"/>
      <c r="EEM102" s="769"/>
      <c r="EEN102" s="769"/>
      <c r="EEO102" s="769"/>
      <c r="EEP102" s="769"/>
      <c r="EEQ102" s="769"/>
      <c r="EER102" s="769"/>
      <c r="EES102" s="769"/>
      <c r="EET102" s="769"/>
      <c r="EEU102" s="769"/>
      <c r="EEV102" s="769"/>
      <c r="EEW102" s="769"/>
      <c r="EEX102" s="769"/>
      <c r="EEY102" s="769"/>
      <c r="EEZ102" s="769"/>
      <c r="EFA102" s="769"/>
      <c r="EFB102" s="769"/>
      <c r="EFC102" s="769"/>
      <c r="EFD102" s="769"/>
      <c r="EFE102" s="769"/>
      <c r="EFF102" s="769"/>
      <c r="EFG102" s="769"/>
      <c r="EFH102" s="769"/>
      <c r="EFI102" s="769"/>
      <c r="EFJ102" s="769"/>
      <c r="EFK102" s="769"/>
      <c r="EFL102" s="769"/>
      <c r="EFM102" s="769"/>
      <c r="EFN102" s="769"/>
      <c r="EFO102" s="769"/>
      <c r="EFP102" s="769"/>
      <c r="EFQ102" s="769"/>
      <c r="EFR102" s="769"/>
      <c r="EFS102" s="769"/>
      <c r="EFT102" s="769"/>
      <c r="EFU102" s="769"/>
      <c r="EFV102" s="769"/>
      <c r="EFW102" s="769"/>
      <c r="EFX102" s="769"/>
      <c r="EFY102" s="769"/>
      <c r="EFZ102" s="769"/>
      <c r="EGA102" s="769"/>
      <c r="EGB102" s="769"/>
      <c r="EGC102" s="769"/>
      <c r="EGD102" s="769"/>
      <c r="EGE102" s="769"/>
      <c r="EGF102" s="769"/>
      <c r="EGG102" s="769"/>
      <c r="EGH102" s="769"/>
      <c r="EGI102" s="769"/>
      <c r="EGJ102" s="769"/>
      <c r="EGK102" s="769"/>
      <c r="EGL102" s="769"/>
      <c r="EGM102" s="769"/>
      <c r="EGN102" s="769"/>
      <c r="EGO102" s="769"/>
      <c r="EGP102" s="769"/>
      <c r="EGQ102" s="769"/>
      <c r="EGR102" s="769"/>
      <c r="EGS102" s="769"/>
      <c r="EGT102" s="769"/>
      <c r="EGU102" s="769"/>
      <c r="EGV102" s="769"/>
      <c r="EGW102" s="769"/>
      <c r="EGX102" s="769"/>
      <c r="EGY102" s="769"/>
      <c r="EGZ102" s="769"/>
      <c r="EHA102" s="769"/>
      <c r="EHB102" s="769"/>
      <c r="EHC102" s="769"/>
      <c r="EHD102" s="769"/>
      <c r="EHE102" s="769"/>
      <c r="EHF102" s="769"/>
      <c r="EHG102" s="769"/>
      <c r="EHH102" s="769"/>
      <c r="EHI102" s="769"/>
      <c r="EHJ102" s="769"/>
      <c r="EHK102" s="769"/>
      <c r="EHL102" s="769"/>
      <c r="EHM102" s="769"/>
      <c r="EHN102" s="769"/>
      <c r="EHO102" s="769"/>
      <c r="EHP102" s="769"/>
      <c r="EHQ102" s="769"/>
      <c r="EHR102" s="769"/>
      <c r="EHS102" s="769"/>
      <c r="EHT102" s="769"/>
      <c r="EHU102" s="769"/>
      <c r="EHV102" s="769"/>
      <c r="EHW102" s="769"/>
      <c r="EHX102" s="769"/>
      <c r="EHY102" s="769"/>
      <c r="EHZ102" s="769"/>
      <c r="EIA102" s="769"/>
      <c r="EIB102" s="769"/>
      <c r="EIC102" s="769"/>
      <c r="EID102" s="769"/>
      <c r="EIE102" s="769"/>
      <c r="EIF102" s="769"/>
      <c r="EIG102" s="769"/>
      <c r="EIH102" s="769"/>
      <c r="EII102" s="769"/>
      <c r="EIJ102" s="769"/>
      <c r="EIK102" s="769"/>
      <c r="EIL102" s="769"/>
      <c r="EIM102" s="769"/>
      <c r="EIN102" s="769"/>
      <c r="EIO102" s="769"/>
      <c r="EIP102" s="769"/>
      <c r="EIQ102" s="769"/>
      <c r="EIR102" s="769"/>
      <c r="EIS102" s="769"/>
      <c r="EIT102" s="769"/>
      <c r="EIU102" s="769"/>
      <c r="EIV102" s="769"/>
      <c r="EIW102" s="769"/>
      <c r="EIX102" s="769"/>
      <c r="EIY102" s="769"/>
      <c r="EIZ102" s="769"/>
      <c r="EJA102" s="769"/>
      <c r="EJB102" s="769"/>
      <c r="EJC102" s="769"/>
      <c r="EJD102" s="769"/>
      <c r="EJE102" s="769"/>
      <c r="EJF102" s="769"/>
      <c r="EJG102" s="769"/>
      <c r="EJH102" s="769"/>
      <c r="EJI102" s="769"/>
      <c r="EJJ102" s="769"/>
      <c r="EJK102" s="769"/>
      <c r="EJL102" s="769"/>
      <c r="EJM102" s="769"/>
      <c r="EJN102" s="769"/>
      <c r="EJO102" s="769"/>
      <c r="EJP102" s="769"/>
      <c r="EJQ102" s="769"/>
      <c r="EJR102" s="769"/>
      <c r="EJS102" s="769"/>
      <c r="EJT102" s="769"/>
      <c r="EJU102" s="769"/>
      <c r="EJV102" s="769"/>
      <c r="EJW102" s="769"/>
      <c r="EJX102" s="769"/>
      <c r="EJY102" s="769"/>
      <c r="EJZ102" s="769"/>
      <c r="EKA102" s="769"/>
      <c r="EKB102" s="769"/>
      <c r="EKC102" s="769"/>
      <c r="EKD102" s="769"/>
      <c r="EKE102" s="769"/>
      <c r="EKF102" s="769"/>
      <c r="EKG102" s="769"/>
      <c r="EKH102" s="769"/>
      <c r="EKI102" s="769"/>
      <c r="EKJ102" s="769"/>
      <c r="EKK102" s="769"/>
      <c r="EKL102" s="769"/>
      <c r="EKM102" s="769"/>
      <c r="EKN102" s="769"/>
      <c r="EKO102" s="769"/>
      <c r="EKP102" s="769"/>
      <c r="EKQ102" s="769"/>
      <c r="EKR102" s="769"/>
      <c r="EKS102" s="769"/>
      <c r="EKT102" s="769"/>
      <c r="EKU102" s="769"/>
      <c r="EKV102" s="769"/>
      <c r="EKW102" s="769"/>
      <c r="EKX102" s="769"/>
      <c r="EKY102" s="769"/>
      <c r="EKZ102" s="769"/>
      <c r="ELA102" s="769"/>
      <c r="ELB102" s="769"/>
      <c r="ELC102" s="769"/>
      <c r="ELD102" s="769"/>
      <c r="ELE102" s="769"/>
      <c r="ELF102" s="769"/>
      <c r="ELG102" s="769"/>
      <c r="ELH102" s="769"/>
      <c r="ELI102" s="769"/>
      <c r="ELJ102" s="769"/>
      <c r="ELK102" s="769"/>
      <c r="ELL102" s="769"/>
      <c r="ELM102" s="769"/>
      <c r="ELN102" s="769"/>
      <c r="ELO102" s="769"/>
      <c r="ELP102" s="769"/>
      <c r="ELQ102" s="769"/>
      <c r="ELR102" s="769"/>
      <c r="ELS102" s="769"/>
      <c r="ELT102" s="769"/>
      <c r="ELU102" s="769"/>
      <c r="ELV102" s="769"/>
      <c r="ELW102" s="769"/>
      <c r="ELX102" s="769"/>
      <c r="ELY102" s="769"/>
      <c r="ELZ102" s="769"/>
      <c r="EMA102" s="769"/>
      <c r="EMB102" s="769"/>
      <c r="EMC102" s="769"/>
      <c r="EMD102" s="769"/>
      <c r="EME102" s="769"/>
      <c r="EMF102" s="769"/>
      <c r="EMG102" s="769"/>
      <c r="EMH102" s="769"/>
      <c r="EMI102" s="769"/>
      <c r="EMJ102" s="769"/>
      <c r="EMK102" s="769"/>
      <c r="EML102" s="769"/>
      <c r="EMM102" s="769"/>
      <c r="EMN102" s="769"/>
      <c r="EMO102" s="769"/>
      <c r="EMP102" s="769"/>
      <c r="EMQ102" s="769"/>
      <c r="EMR102" s="769"/>
      <c r="EMS102" s="769"/>
      <c r="EMT102" s="769"/>
      <c r="EMU102" s="769"/>
      <c r="EMV102" s="769"/>
      <c r="EMW102" s="769"/>
      <c r="EMX102" s="769"/>
      <c r="EMY102" s="769"/>
      <c r="EMZ102" s="769"/>
      <c r="ENA102" s="769"/>
      <c r="ENB102" s="769"/>
      <c r="ENC102" s="769"/>
      <c r="END102" s="769"/>
      <c r="ENE102" s="769"/>
      <c r="ENF102" s="769"/>
      <c r="ENG102" s="769"/>
      <c r="ENH102" s="769"/>
      <c r="ENI102" s="769"/>
      <c r="ENJ102" s="769"/>
      <c r="ENK102" s="769"/>
      <c r="ENL102" s="769"/>
      <c r="ENM102" s="769"/>
      <c r="ENN102" s="769"/>
      <c r="ENO102" s="769"/>
      <c r="ENP102" s="769"/>
      <c r="ENQ102" s="769"/>
      <c r="ENR102" s="769"/>
      <c r="ENS102" s="769"/>
      <c r="ENT102" s="769"/>
      <c r="ENU102" s="769"/>
      <c r="ENV102" s="769"/>
      <c r="ENW102" s="769"/>
      <c r="ENX102" s="769"/>
      <c r="ENY102" s="769"/>
      <c r="ENZ102" s="769"/>
      <c r="EOA102" s="769"/>
      <c r="EOB102" s="769"/>
      <c r="EOC102" s="769"/>
      <c r="EOD102" s="769"/>
      <c r="EOE102" s="769"/>
      <c r="EOF102" s="769"/>
      <c r="EOG102" s="769"/>
      <c r="EOH102" s="769"/>
      <c r="EOI102" s="769"/>
      <c r="EOJ102" s="769"/>
      <c r="EOK102" s="769"/>
      <c r="EOL102" s="769"/>
      <c r="EOM102" s="769"/>
      <c r="EON102" s="769"/>
      <c r="EOO102" s="769"/>
      <c r="EOP102" s="769"/>
      <c r="EOQ102" s="769"/>
      <c r="EOR102" s="769"/>
      <c r="EOS102" s="769"/>
      <c r="EOT102" s="769"/>
      <c r="EOU102" s="769"/>
      <c r="EOV102" s="769"/>
      <c r="EOW102" s="769"/>
      <c r="EOX102" s="769"/>
      <c r="EOY102" s="769"/>
      <c r="EOZ102" s="769"/>
      <c r="EPA102" s="769"/>
      <c r="EPB102" s="769"/>
      <c r="EPC102" s="769"/>
      <c r="EPD102" s="769"/>
      <c r="EPE102" s="769"/>
      <c r="EPF102" s="769"/>
      <c r="EPG102" s="769"/>
      <c r="EPH102" s="769"/>
      <c r="EPI102" s="769"/>
      <c r="EPJ102" s="769"/>
      <c r="EPK102" s="769"/>
      <c r="EPL102" s="769"/>
      <c r="EPM102" s="769"/>
      <c r="EPN102" s="769"/>
      <c r="EPO102" s="769"/>
      <c r="EPP102" s="769"/>
      <c r="EPQ102" s="769"/>
      <c r="EPR102" s="769"/>
      <c r="EPS102" s="769"/>
      <c r="EPT102" s="769"/>
      <c r="EPU102" s="769"/>
      <c r="EPV102" s="769"/>
      <c r="EPW102" s="769"/>
      <c r="EPX102" s="769"/>
      <c r="EPY102" s="769"/>
      <c r="EPZ102" s="769"/>
      <c r="EQA102" s="769"/>
      <c r="EQB102" s="769"/>
      <c r="EQC102" s="769"/>
      <c r="EQD102" s="769"/>
      <c r="EQE102" s="769"/>
      <c r="EQF102" s="769"/>
      <c r="EQG102" s="769"/>
      <c r="EQH102" s="769"/>
      <c r="EQI102" s="769"/>
      <c r="EQJ102" s="769"/>
      <c r="EQK102" s="769"/>
      <c r="EQL102" s="769"/>
      <c r="EQM102" s="769"/>
      <c r="EQN102" s="769"/>
      <c r="EQO102" s="769"/>
      <c r="EQP102" s="769"/>
      <c r="EQQ102" s="769"/>
      <c r="EQR102" s="769"/>
      <c r="EQS102" s="769"/>
      <c r="EQT102" s="769"/>
      <c r="EQU102" s="769"/>
      <c r="EQV102" s="769"/>
      <c r="EQW102" s="769"/>
      <c r="EQX102" s="769"/>
      <c r="EQY102" s="769"/>
      <c r="EQZ102" s="769"/>
      <c r="ERA102" s="769"/>
      <c r="ERB102" s="769"/>
      <c r="ERC102" s="769"/>
      <c r="ERD102" s="769"/>
      <c r="ERE102" s="769"/>
      <c r="ERF102" s="769"/>
      <c r="ERG102" s="769"/>
      <c r="ERH102" s="769"/>
      <c r="ERI102" s="769"/>
      <c r="ERJ102" s="769"/>
      <c r="ERK102" s="769"/>
      <c r="ERL102" s="769"/>
      <c r="ERM102" s="769"/>
      <c r="ERN102" s="769"/>
      <c r="ERO102" s="769"/>
      <c r="ERP102" s="769"/>
      <c r="ERQ102" s="769"/>
      <c r="ERR102" s="769"/>
      <c r="ERS102" s="769"/>
      <c r="ERT102" s="769"/>
      <c r="ERU102" s="769"/>
      <c r="ERV102" s="769"/>
      <c r="ERW102" s="769"/>
      <c r="ERX102" s="769"/>
      <c r="ERY102" s="769"/>
      <c r="ERZ102" s="769"/>
      <c r="ESA102" s="769"/>
      <c r="ESB102" s="769"/>
      <c r="ESC102" s="769"/>
      <c r="ESD102" s="769"/>
      <c r="ESE102" s="769"/>
      <c r="ESF102" s="769"/>
      <c r="ESG102" s="769"/>
      <c r="ESH102" s="769"/>
      <c r="ESI102" s="769"/>
      <c r="ESJ102" s="769"/>
      <c r="ESK102" s="769"/>
      <c r="ESL102" s="769"/>
      <c r="ESM102" s="769"/>
      <c r="ESN102" s="769"/>
      <c r="ESO102" s="769"/>
      <c r="ESP102" s="769"/>
      <c r="ESQ102" s="769"/>
      <c r="ESR102" s="769"/>
      <c r="ESS102" s="769"/>
      <c r="EST102" s="769"/>
      <c r="ESU102" s="769"/>
      <c r="ESV102" s="769"/>
      <c r="ESW102" s="769"/>
      <c r="ESX102" s="769"/>
      <c r="ESY102" s="769"/>
      <c r="ESZ102" s="769"/>
      <c r="ETA102" s="769"/>
      <c r="ETB102" s="769"/>
      <c r="ETC102" s="769"/>
      <c r="ETD102" s="769"/>
      <c r="ETE102" s="769"/>
      <c r="ETF102" s="769"/>
      <c r="ETG102" s="769"/>
      <c r="ETH102" s="769"/>
      <c r="ETI102" s="769"/>
      <c r="ETJ102" s="769"/>
      <c r="ETK102" s="769"/>
      <c r="ETL102" s="769"/>
      <c r="ETM102" s="769"/>
      <c r="ETN102" s="769"/>
      <c r="ETO102" s="769"/>
      <c r="ETP102" s="769"/>
      <c r="ETQ102" s="769"/>
      <c r="ETR102" s="769"/>
      <c r="ETS102" s="769"/>
      <c r="ETT102" s="769"/>
      <c r="ETU102" s="769"/>
      <c r="ETV102" s="769"/>
      <c r="ETW102" s="769"/>
      <c r="ETX102" s="769"/>
      <c r="ETY102" s="769"/>
      <c r="ETZ102" s="769"/>
      <c r="EUA102" s="769"/>
      <c r="EUB102" s="769"/>
      <c r="EUC102" s="769"/>
      <c r="EUD102" s="769"/>
      <c r="EUE102" s="769"/>
      <c r="EUF102" s="769"/>
      <c r="EUG102" s="769"/>
      <c r="EUH102" s="769"/>
      <c r="EUI102" s="769"/>
      <c r="EUJ102" s="769"/>
      <c r="EUK102" s="769"/>
      <c r="EUL102" s="769"/>
      <c r="EUM102" s="769"/>
      <c r="EUN102" s="769"/>
      <c r="EUO102" s="769"/>
      <c r="EUP102" s="769"/>
      <c r="EUQ102" s="769"/>
      <c r="EUR102" s="769"/>
      <c r="EUS102" s="769"/>
      <c r="EUT102" s="769"/>
      <c r="EUU102" s="769"/>
      <c r="EUV102" s="769"/>
      <c r="EUW102" s="769"/>
      <c r="EUX102" s="769"/>
      <c r="EUY102" s="769"/>
      <c r="EUZ102" s="769"/>
      <c r="EVA102" s="769"/>
      <c r="EVB102" s="769"/>
      <c r="EVC102" s="769"/>
      <c r="EVD102" s="769"/>
      <c r="EVE102" s="769"/>
      <c r="EVF102" s="769"/>
      <c r="EVG102" s="769"/>
      <c r="EVH102" s="769"/>
      <c r="EVI102" s="769"/>
      <c r="EVJ102" s="769"/>
      <c r="EVK102" s="769"/>
      <c r="EVL102" s="769"/>
      <c r="EVM102" s="769"/>
      <c r="EVN102" s="769"/>
      <c r="EVO102" s="769"/>
      <c r="EVP102" s="769"/>
      <c r="EVQ102" s="769"/>
      <c r="EVR102" s="769"/>
      <c r="EVS102" s="769"/>
      <c r="EVT102" s="769"/>
      <c r="EVU102" s="769"/>
      <c r="EVV102" s="769"/>
      <c r="EVW102" s="769"/>
      <c r="EVX102" s="769"/>
      <c r="EVY102" s="769"/>
      <c r="EVZ102" s="769"/>
      <c r="EWA102" s="769"/>
      <c r="EWB102" s="769"/>
      <c r="EWC102" s="769"/>
      <c r="EWD102" s="769"/>
      <c r="EWE102" s="769"/>
      <c r="EWF102" s="769"/>
      <c r="EWG102" s="769"/>
      <c r="EWH102" s="769"/>
      <c r="EWI102" s="769"/>
      <c r="EWJ102" s="769"/>
      <c r="EWK102" s="769"/>
      <c r="EWL102" s="769"/>
      <c r="EWM102" s="769"/>
      <c r="EWN102" s="769"/>
      <c r="EWO102" s="769"/>
      <c r="EWP102" s="769"/>
      <c r="EWQ102" s="769"/>
      <c r="EWR102" s="769"/>
      <c r="EWS102" s="769"/>
      <c r="EWT102" s="769"/>
      <c r="EWU102" s="769"/>
      <c r="EWV102" s="769"/>
      <c r="EWW102" s="769"/>
      <c r="EWX102" s="769"/>
      <c r="EWY102" s="769"/>
      <c r="EWZ102" s="769"/>
      <c r="EXA102" s="769"/>
      <c r="EXB102" s="769"/>
      <c r="EXC102" s="769"/>
      <c r="EXD102" s="769"/>
      <c r="EXE102" s="769"/>
      <c r="EXF102" s="769"/>
      <c r="EXG102" s="769"/>
      <c r="EXH102" s="769"/>
      <c r="EXI102" s="769"/>
      <c r="EXJ102" s="769"/>
      <c r="EXK102" s="769"/>
      <c r="EXL102" s="769"/>
      <c r="EXM102" s="769"/>
      <c r="EXN102" s="769"/>
      <c r="EXO102" s="769"/>
      <c r="EXP102" s="769"/>
      <c r="EXQ102" s="769"/>
      <c r="EXR102" s="769"/>
      <c r="EXS102" s="769"/>
      <c r="EXT102" s="769"/>
      <c r="EXU102" s="769"/>
      <c r="EXV102" s="769"/>
      <c r="EXW102" s="769"/>
      <c r="EXX102" s="769"/>
      <c r="EXY102" s="769"/>
      <c r="EXZ102" s="769"/>
      <c r="EYA102" s="769"/>
      <c r="EYB102" s="769"/>
      <c r="EYC102" s="769"/>
      <c r="EYD102" s="769"/>
      <c r="EYE102" s="769"/>
      <c r="EYF102" s="769"/>
      <c r="EYG102" s="769"/>
      <c r="EYH102" s="769"/>
      <c r="EYI102" s="769"/>
      <c r="EYJ102" s="769"/>
      <c r="EYK102" s="769"/>
      <c r="EYL102" s="769"/>
      <c r="EYM102" s="769"/>
      <c r="EYN102" s="769"/>
      <c r="EYO102" s="769"/>
      <c r="EYP102" s="769"/>
      <c r="EYQ102" s="769"/>
      <c r="EYR102" s="769"/>
      <c r="EYS102" s="769"/>
      <c r="EYT102" s="769"/>
      <c r="EYU102" s="769"/>
      <c r="EYV102" s="769"/>
      <c r="EYW102" s="769"/>
      <c r="EYX102" s="769"/>
      <c r="EYY102" s="769"/>
      <c r="EYZ102" s="769"/>
      <c r="EZA102" s="769"/>
      <c r="EZB102" s="769"/>
      <c r="EZC102" s="769"/>
      <c r="EZD102" s="769"/>
      <c r="EZE102" s="769"/>
      <c r="EZF102" s="769"/>
      <c r="EZG102" s="769"/>
      <c r="EZH102" s="769"/>
      <c r="EZI102" s="769"/>
      <c r="EZJ102" s="769"/>
      <c r="EZK102" s="769"/>
      <c r="EZL102" s="769"/>
      <c r="EZM102" s="769"/>
      <c r="EZN102" s="769"/>
      <c r="EZO102" s="769"/>
      <c r="EZP102" s="769"/>
      <c r="EZQ102" s="769"/>
      <c r="EZR102" s="769"/>
      <c r="EZS102" s="769"/>
      <c r="EZT102" s="769"/>
      <c r="EZU102" s="769"/>
      <c r="EZV102" s="769"/>
      <c r="EZW102" s="769"/>
      <c r="EZX102" s="769"/>
      <c r="EZY102" s="769"/>
      <c r="EZZ102" s="769"/>
      <c r="FAA102" s="769"/>
      <c r="FAB102" s="769"/>
      <c r="FAC102" s="769"/>
      <c r="FAD102" s="769"/>
      <c r="FAE102" s="769"/>
      <c r="FAF102" s="769"/>
      <c r="FAG102" s="769"/>
      <c r="FAH102" s="769"/>
      <c r="FAI102" s="769"/>
      <c r="FAJ102" s="769"/>
      <c r="FAK102" s="769"/>
      <c r="FAL102" s="769"/>
      <c r="FAM102" s="769"/>
      <c r="FAN102" s="769"/>
      <c r="FAO102" s="769"/>
      <c r="FAP102" s="769"/>
      <c r="FAQ102" s="769"/>
      <c r="FAR102" s="769"/>
      <c r="FAS102" s="769"/>
      <c r="FAT102" s="769"/>
      <c r="FAU102" s="769"/>
      <c r="FAV102" s="769"/>
      <c r="FAW102" s="769"/>
      <c r="FAX102" s="769"/>
      <c r="FAY102" s="769"/>
      <c r="FAZ102" s="769"/>
      <c r="FBA102" s="769"/>
      <c r="FBB102" s="769"/>
      <c r="FBC102" s="769"/>
      <c r="FBD102" s="769"/>
      <c r="FBE102" s="769"/>
      <c r="FBF102" s="769"/>
      <c r="FBG102" s="769"/>
      <c r="FBH102" s="769"/>
      <c r="FBI102" s="769"/>
      <c r="FBJ102" s="769"/>
      <c r="FBK102" s="769"/>
      <c r="FBL102" s="769"/>
      <c r="FBM102" s="769"/>
      <c r="FBN102" s="769"/>
      <c r="FBO102" s="769"/>
      <c r="FBP102" s="769"/>
      <c r="FBQ102" s="769"/>
      <c r="FBR102" s="769"/>
      <c r="FBS102" s="769"/>
      <c r="FBT102" s="769"/>
      <c r="FBU102" s="769"/>
      <c r="FBV102" s="769"/>
      <c r="FBW102" s="769"/>
      <c r="FBX102" s="769"/>
      <c r="FBY102" s="769"/>
      <c r="FBZ102" s="769"/>
      <c r="FCA102" s="769"/>
      <c r="FCB102" s="769"/>
      <c r="FCC102" s="769"/>
      <c r="FCD102" s="769"/>
      <c r="FCE102" s="769"/>
      <c r="FCF102" s="769"/>
      <c r="FCG102" s="769"/>
      <c r="FCH102" s="769"/>
      <c r="FCI102" s="769"/>
      <c r="FCJ102" s="769"/>
      <c r="FCK102" s="769"/>
      <c r="FCL102" s="769"/>
      <c r="FCM102" s="769"/>
      <c r="FCN102" s="769"/>
      <c r="FCO102" s="769"/>
      <c r="FCP102" s="769"/>
      <c r="FCQ102" s="769"/>
      <c r="FCR102" s="769"/>
      <c r="FCS102" s="769"/>
      <c r="FCT102" s="769"/>
      <c r="FCU102" s="769"/>
      <c r="FCV102" s="769"/>
      <c r="FCW102" s="769"/>
      <c r="FCX102" s="769"/>
      <c r="FCY102" s="769"/>
      <c r="FCZ102" s="769"/>
      <c r="FDA102" s="769"/>
      <c r="FDB102" s="769"/>
      <c r="FDC102" s="769"/>
      <c r="FDD102" s="769"/>
      <c r="FDE102" s="769"/>
      <c r="FDF102" s="769"/>
      <c r="FDG102" s="769"/>
      <c r="FDH102" s="769"/>
      <c r="FDI102" s="769"/>
      <c r="FDJ102" s="769"/>
      <c r="FDK102" s="769"/>
      <c r="FDL102" s="769"/>
      <c r="FDM102" s="769"/>
      <c r="FDN102" s="769"/>
      <c r="FDO102" s="769"/>
      <c r="FDP102" s="769"/>
      <c r="FDQ102" s="769"/>
      <c r="FDR102" s="769"/>
      <c r="FDS102" s="769"/>
      <c r="FDT102" s="769"/>
      <c r="FDU102" s="769"/>
      <c r="FDV102" s="769"/>
      <c r="FDW102" s="769"/>
      <c r="FDX102" s="769"/>
      <c r="FDY102" s="769"/>
      <c r="FDZ102" s="769"/>
      <c r="FEA102" s="769"/>
      <c r="FEB102" s="769"/>
      <c r="FEC102" s="769"/>
      <c r="FED102" s="769"/>
      <c r="FEE102" s="769"/>
      <c r="FEF102" s="769"/>
      <c r="FEG102" s="769"/>
      <c r="FEH102" s="769"/>
      <c r="FEI102" s="769"/>
      <c r="FEJ102" s="769"/>
      <c r="FEK102" s="769"/>
      <c r="FEL102" s="769"/>
      <c r="FEM102" s="769"/>
      <c r="FEN102" s="769"/>
      <c r="FEO102" s="769"/>
      <c r="FEP102" s="769"/>
      <c r="FEQ102" s="769"/>
      <c r="FER102" s="769"/>
      <c r="FES102" s="769"/>
      <c r="FET102" s="769"/>
      <c r="FEU102" s="769"/>
      <c r="FEV102" s="769"/>
      <c r="FEW102" s="769"/>
      <c r="FEX102" s="769"/>
      <c r="FEY102" s="769"/>
      <c r="FEZ102" s="769"/>
      <c r="FFA102" s="769"/>
      <c r="FFB102" s="769"/>
      <c r="FFC102" s="769"/>
      <c r="FFD102" s="769"/>
      <c r="FFE102" s="769"/>
      <c r="FFF102" s="769"/>
      <c r="FFG102" s="769"/>
      <c r="FFH102" s="769"/>
      <c r="FFI102" s="769"/>
      <c r="FFJ102" s="769"/>
      <c r="FFK102" s="769"/>
      <c r="FFL102" s="769"/>
      <c r="FFM102" s="769"/>
      <c r="FFN102" s="769"/>
      <c r="FFO102" s="769"/>
      <c r="FFP102" s="769"/>
      <c r="FFQ102" s="769"/>
      <c r="FFR102" s="769"/>
      <c r="FFS102" s="769"/>
      <c r="FFT102" s="769"/>
      <c r="FFU102" s="769"/>
      <c r="FFV102" s="769"/>
      <c r="FFW102" s="769"/>
      <c r="FFX102" s="769"/>
      <c r="FFY102" s="769"/>
      <c r="FFZ102" s="769"/>
      <c r="FGA102" s="769"/>
      <c r="FGB102" s="769"/>
      <c r="FGC102" s="769"/>
      <c r="FGD102" s="769"/>
      <c r="FGE102" s="769"/>
      <c r="FGF102" s="769"/>
      <c r="FGG102" s="769"/>
      <c r="FGH102" s="769"/>
      <c r="FGI102" s="769"/>
      <c r="FGJ102" s="769"/>
      <c r="FGK102" s="769"/>
      <c r="FGL102" s="769"/>
      <c r="FGM102" s="769"/>
      <c r="FGN102" s="769"/>
      <c r="FGO102" s="769"/>
      <c r="FGP102" s="769"/>
      <c r="FGQ102" s="769"/>
      <c r="FGR102" s="769"/>
      <c r="FGS102" s="769"/>
      <c r="FGT102" s="769"/>
      <c r="FGU102" s="769"/>
      <c r="FGV102" s="769"/>
      <c r="FGW102" s="769"/>
      <c r="FGX102" s="769"/>
      <c r="FGY102" s="769"/>
      <c r="FGZ102" s="769"/>
      <c r="FHA102" s="769"/>
      <c r="FHB102" s="769"/>
      <c r="FHC102" s="769"/>
      <c r="FHD102" s="769"/>
      <c r="FHE102" s="769"/>
      <c r="FHF102" s="769"/>
      <c r="FHG102" s="769"/>
      <c r="FHH102" s="769"/>
      <c r="FHI102" s="769"/>
      <c r="FHJ102" s="769"/>
      <c r="FHK102" s="769"/>
      <c r="FHL102" s="769"/>
      <c r="FHM102" s="769"/>
      <c r="FHN102" s="769"/>
      <c r="FHO102" s="769"/>
      <c r="FHP102" s="769"/>
      <c r="FHQ102" s="769"/>
      <c r="FHR102" s="769"/>
      <c r="FHS102" s="769"/>
      <c r="FHT102" s="769"/>
      <c r="FHU102" s="769"/>
      <c r="FHV102" s="769"/>
      <c r="FHW102" s="769"/>
      <c r="FHX102" s="769"/>
      <c r="FHY102" s="769"/>
      <c r="FHZ102" s="769"/>
      <c r="FIA102" s="769"/>
      <c r="FIB102" s="769"/>
      <c r="FIC102" s="769"/>
      <c r="FID102" s="769"/>
      <c r="FIE102" s="769"/>
      <c r="FIF102" s="769"/>
      <c r="FIG102" s="769"/>
      <c r="FIH102" s="769"/>
      <c r="FII102" s="769"/>
      <c r="FIJ102" s="769"/>
      <c r="FIK102" s="769"/>
      <c r="FIL102" s="769"/>
      <c r="FIM102" s="769"/>
      <c r="FIN102" s="769"/>
      <c r="FIO102" s="769"/>
      <c r="FIP102" s="769"/>
      <c r="FIQ102" s="769"/>
      <c r="FIR102" s="769"/>
      <c r="FIS102" s="769"/>
      <c r="FIT102" s="769"/>
      <c r="FIU102" s="769"/>
      <c r="FIV102" s="769"/>
      <c r="FIW102" s="769"/>
      <c r="FIX102" s="769"/>
      <c r="FIY102" s="769"/>
      <c r="FIZ102" s="769"/>
      <c r="FJA102" s="769"/>
      <c r="FJB102" s="769"/>
      <c r="FJC102" s="769"/>
      <c r="FJD102" s="769"/>
      <c r="FJE102" s="769"/>
      <c r="FJF102" s="769"/>
      <c r="FJG102" s="769"/>
      <c r="FJH102" s="769"/>
      <c r="FJI102" s="769"/>
      <c r="FJJ102" s="769"/>
      <c r="FJK102" s="769"/>
      <c r="FJL102" s="769"/>
      <c r="FJM102" s="769"/>
      <c r="FJN102" s="769"/>
      <c r="FJO102" s="769"/>
      <c r="FJP102" s="769"/>
      <c r="FJQ102" s="769"/>
      <c r="FJR102" s="769"/>
      <c r="FJS102" s="769"/>
      <c r="FJT102" s="769"/>
      <c r="FJU102" s="769"/>
      <c r="FJV102" s="769"/>
      <c r="FJW102" s="769"/>
      <c r="FJX102" s="769"/>
      <c r="FJY102" s="769"/>
      <c r="FJZ102" s="769"/>
      <c r="FKA102" s="769"/>
      <c r="FKB102" s="769"/>
      <c r="FKC102" s="769"/>
      <c r="FKD102" s="769"/>
      <c r="FKE102" s="769"/>
      <c r="FKF102" s="769"/>
      <c r="FKG102" s="769"/>
      <c r="FKH102" s="769"/>
      <c r="FKI102" s="769"/>
      <c r="FKJ102" s="769"/>
      <c r="FKK102" s="769"/>
      <c r="FKL102" s="769"/>
      <c r="FKM102" s="769"/>
      <c r="FKN102" s="769"/>
      <c r="FKO102" s="769"/>
      <c r="FKP102" s="769"/>
      <c r="FKQ102" s="769"/>
      <c r="FKR102" s="769"/>
      <c r="FKS102" s="769"/>
      <c r="FKT102" s="769"/>
      <c r="FKU102" s="769"/>
      <c r="FKV102" s="769"/>
      <c r="FKW102" s="769"/>
      <c r="FKX102" s="769"/>
      <c r="FKY102" s="769"/>
      <c r="FKZ102" s="769"/>
      <c r="FLA102" s="769"/>
      <c r="FLB102" s="769"/>
      <c r="FLC102" s="769"/>
      <c r="FLD102" s="769"/>
      <c r="FLE102" s="769"/>
      <c r="FLF102" s="769"/>
      <c r="FLG102" s="769"/>
      <c r="FLH102" s="769"/>
      <c r="FLI102" s="769"/>
      <c r="FLJ102" s="769"/>
      <c r="FLK102" s="769"/>
      <c r="FLL102" s="769"/>
      <c r="FLM102" s="769"/>
      <c r="FLN102" s="769"/>
      <c r="FLO102" s="769"/>
      <c r="FLP102" s="769"/>
      <c r="FLQ102" s="769"/>
      <c r="FLR102" s="769"/>
      <c r="FLS102" s="769"/>
      <c r="FLT102" s="769"/>
      <c r="FLU102" s="769"/>
      <c r="FLV102" s="769"/>
      <c r="FLW102" s="769"/>
      <c r="FLX102" s="769"/>
      <c r="FLY102" s="769"/>
      <c r="FLZ102" s="769"/>
      <c r="FMA102" s="769"/>
      <c r="FMB102" s="769"/>
      <c r="FMC102" s="769"/>
      <c r="FMD102" s="769"/>
      <c r="FME102" s="769"/>
      <c r="FMF102" s="769"/>
      <c r="FMG102" s="769"/>
      <c r="FMH102" s="769"/>
      <c r="FMI102" s="769"/>
      <c r="FMJ102" s="769"/>
      <c r="FMK102" s="769"/>
      <c r="FML102" s="769"/>
      <c r="FMM102" s="769"/>
      <c r="FMN102" s="769"/>
      <c r="FMO102" s="769"/>
      <c r="FMP102" s="769"/>
      <c r="FMQ102" s="769"/>
      <c r="FMR102" s="769"/>
      <c r="FMS102" s="769"/>
      <c r="FMT102" s="769"/>
      <c r="FMU102" s="769"/>
      <c r="FMV102" s="769"/>
      <c r="FMW102" s="769"/>
      <c r="FMX102" s="769"/>
      <c r="FMY102" s="769"/>
      <c r="FMZ102" s="769"/>
      <c r="FNA102" s="769"/>
      <c r="FNB102" s="769"/>
      <c r="FNC102" s="769"/>
      <c r="FND102" s="769"/>
      <c r="FNE102" s="769"/>
      <c r="FNF102" s="769"/>
      <c r="FNG102" s="769"/>
      <c r="FNH102" s="769"/>
      <c r="FNI102" s="769"/>
      <c r="FNJ102" s="769"/>
      <c r="FNK102" s="769"/>
      <c r="FNL102" s="769"/>
      <c r="FNM102" s="769"/>
      <c r="FNN102" s="769"/>
      <c r="FNO102" s="769"/>
      <c r="FNP102" s="769"/>
      <c r="FNQ102" s="769"/>
      <c r="FNR102" s="769"/>
      <c r="FNS102" s="769"/>
      <c r="FNT102" s="769"/>
      <c r="FNU102" s="769"/>
      <c r="FNV102" s="769"/>
      <c r="FNW102" s="769"/>
      <c r="FNX102" s="769"/>
      <c r="FNY102" s="769"/>
      <c r="FNZ102" s="769"/>
      <c r="FOA102" s="769"/>
      <c r="FOB102" s="769"/>
      <c r="FOC102" s="769"/>
      <c r="FOD102" s="769"/>
      <c r="FOE102" s="769"/>
      <c r="FOF102" s="769"/>
      <c r="FOG102" s="769"/>
      <c r="FOH102" s="769"/>
      <c r="FOI102" s="769"/>
      <c r="FOJ102" s="769"/>
      <c r="FOK102" s="769"/>
      <c r="FOL102" s="769"/>
      <c r="FOM102" s="769"/>
      <c r="FON102" s="769"/>
      <c r="FOO102" s="769"/>
      <c r="FOP102" s="769"/>
      <c r="FOQ102" s="769"/>
      <c r="FOR102" s="769"/>
      <c r="FOS102" s="769"/>
      <c r="FOT102" s="769"/>
      <c r="FOU102" s="769"/>
      <c r="FOV102" s="769"/>
      <c r="FOW102" s="769"/>
      <c r="FOX102" s="769"/>
      <c r="FOY102" s="769"/>
      <c r="FOZ102" s="769"/>
      <c r="FPA102" s="769"/>
      <c r="FPB102" s="769"/>
      <c r="FPC102" s="769"/>
      <c r="FPD102" s="769"/>
      <c r="FPE102" s="769"/>
      <c r="FPF102" s="769"/>
      <c r="FPG102" s="769"/>
      <c r="FPH102" s="769"/>
      <c r="FPI102" s="769"/>
      <c r="FPJ102" s="769"/>
      <c r="FPK102" s="769"/>
      <c r="FPL102" s="769"/>
      <c r="FPM102" s="769"/>
      <c r="FPN102" s="769"/>
      <c r="FPO102" s="769"/>
      <c r="FPP102" s="769"/>
      <c r="FPQ102" s="769"/>
      <c r="FPR102" s="769"/>
      <c r="FPS102" s="769"/>
      <c r="FPT102" s="769"/>
      <c r="FPU102" s="769"/>
      <c r="FPV102" s="769"/>
      <c r="FPW102" s="769"/>
      <c r="FPX102" s="769"/>
      <c r="FPY102" s="769"/>
      <c r="FPZ102" s="769"/>
      <c r="FQA102" s="769"/>
      <c r="FQB102" s="769"/>
      <c r="FQC102" s="769"/>
      <c r="FQD102" s="769"/>
      <c r="FQE102" s="769"/>
      <c r="FQF102" s="769"/>
      <c r="FQG102" s="769"/>
      <c r="FQH102" s="769"/>
      <c r="FQI102" s="769"/>
      <c r="FQJ102" s="769"/>
      <c r="FQK102" s="769"/>
      <c r="FQL102" s="769"/>
      <c r="FQM102" s="769"/>
      <c r="FQN102" s="769"/>
      <c r="FQO102" s="769"/>
      <c r="FQP102" s="769"/>
      <c r="FQQ102" s="769"/>
      <c r="FQR102" s="769"/>
      <c r="FQS102" s="769"/>
      <c r="FQT102" s="769"/>
      <c r="FQU102" s="769"/>
      <c r="FQV102" s="769"/>
      <c r="FQW102" s="769"/>
      <c r="FQX102" s="769"/>
      <c r="FQY102" s="769"/>
      <c r="FQZ102" s="769"/>
      <c r="FRA102" s="769"/>
      <c r="FRB102" s="769"/>
      <c r="FRC102" s="769"/>
      <c r="FRD102" s="769"/>
      <c r="FRE102" s="769"/>
      <c r="FRF102" s="769"/>
      <c r="FRG102" s="769"/>
      <c r="FRH102" s="769"/>
      <c r="FRI102" s="769"/>
      <c r="FRJ102" s="769"/>
      <c r="FRK102" s="769"/>
      <c r="FRL102" s="769"/>
      <c r="FRM102" s="769"/>
      <c r="FRN102" s="769"/>
      <c r="FRO102" s="769"/>
      <c r="FRP102" s="769"/>
      <c r="FRQ102" s="769"/>
      <c r="FRR102" s="769"/>
      <c r="FRS102" s="769"/>
      <c r="FRT102" s="769"/>
      <c r="FRU102" s="769"/>
      <c r="FRV102" s="769"/>
      <c r="FRW102" s="769"/>
      <c r="FRX102" s="769"/>
      <c r="FRY102" s="769"/>
      <c r="FRZ102" s="769"/>
      <c r="FSA102" s="769"/>
      <c r="FSB102" s="769"/>
      <c r="FSC102" s="769"/>
      <c r="FSD102" s="769"/>
      <c r="FSE102" s="769"/>
      <c r="FSF102" s="769"/>
      <c r="FSG102" s="769"/>
      <c r="FSH102" s="769"/>
      <c r="FSI102" s="769"/>
      <c r="FSJ102" s="769"/>
      <c r="FSK102" s="769"/>
      <c r="FSL102" s="769"/>
      <c r="FSM102" s="769"/>
      <c r="FSN102" s="769"/>
      <c r="FSO102" s="769"/>
      <c r="FSP102" s="769"/>
      <c r="FSQ102" s="769"/>
      <c r="FSR102" s="769"/>
      <c r="FSS102" s="769"/>
      <c r="FST102" s="769"/>
      <c r="FSU102" s="769"/>
      <c r="FSV102" s="769"/>
      <c r="FSW102" s="769"/>
      <c r="FSX102" s="769"/>
      <c r="FSY102" s="769"/>
      <c r="FSZ102" s="769"/>
      <c r="FTA102" s="769"/>
      <c r="FTB102" s="769"/>
      <c r="FTC102" s="769"/>
      <c r="FTD102" s="769"/>
      <c r="FTE102" s="769"/>
      <c r="FTF102" s="769"/>
      <c r="FTG102" s="769"/>
      <c r="FTH102" s="769"/>
      <c r="FTI102" s="769"/>
      <c r="FTJ102" s="769"/>
      <c r="FTK102" s="769"/>
      <c r="FTL102" s="769"/>
      <c r="FTM102" s="769"/>
      <c r="FTN102" s="769"/>
      <c r="FTO102" s="769"/>
      <c r="FTP102" s="769"/>
      <c r="FTQ102" s="769"/>
      <c r="FTR102" s="769"/>
      <c r="FTS102" s="769"/>
      <c r="FTT102" s="769"/>
      <c r="FTU102" s="769"/>
      <c r="FTV102" s="769"/>
      <c r="FTW102" s="769"/>
      <c r="FTX102" s="769"/>
      <c r="FTY102" s="769"/>
      <c r="FTZ102" s="769"/>
      <c r="FUA102" s="769"/>
      <c r="FUB102" s="769"/>
      <c r="FUC102" s="769"/>
      <c r="FUD102" s="769"/>
      <c r="FUE102" s="769"/>
      <c r="FUF102" s="769"/>
      <c r="FUG102" s="769"/>
      <c r="FUH102" s="769"/>
      <c r="FUI102" s="769"/>
      <c r="FUJ102" s="769"/>
      <c r="FUK102" s="769"/>
      <c r="FUL102" s="769"/>
      <c r="FUM102" s="769"/>
      <c r="FUN102" s="769"/>
      <c r="FUO102" s="769"/>
      <c r="FUP102" s="769"/>
      <c r="FUQ102" s="769"/>
      <c r="FUR102" s="769"/>
      <c r="FUS102" s="769"/>
      <c r="FUT102" s="769"/>
      <c r="FUU102" s="769"/>
      <c r="FUV102" s="769"/>
      <c r="FUW102" s="769"/>
      <c r="FUX102" s="769"/>
      <c r="FUY102" s="769"/>
      <c r="FUZ102" s="769"/>
      <c r="FVA102" s="769"/>
      <c r="FVB102" s="769"/>
      <c r="FVC102" s="769"/>
      <c r="FVD102" s="769"/>
      <c r="FVE102" s="769"/>
      <c r="FVF102" s="769"/>
      <c r="FVG102" s="769"/>
      <c r="FVH102" s="769"/>
      <c r="FVI102" s="769"/>
      <c r="FVJ102" s="769"/>
      <c r="FVK102" s="769"/>
      <c r="FVL102" s="769"/>
      <c r="FVM102" s="769"/>
      <c r="FVN102" s="769"/>
      <c r="FVO102" s="769"/>
      <c r="FVP102" s="769"/>
      <c r="FVQ102" s="769"/>
      <c r="FVR102" s="769"/>
      <c r="FVS102" s="769"/>
      <c r="FVT102" s="769"/>
      <c r="FVU102" s="769"/>
      <c r="FVV102" s="769"/>
      <c r="FVW102" s="769"/>
      <c r="FVX102" s="769"/>
      <c r="FVY102" s="769"/>
      <c r="FVZ102" s="769"/>
      <c r="FWA102" s="769"/>
      <c r="FWB102" s="769"/>
      <c r="FWC102" s="769"/>
      <c r="FWD102" s="769"/>
      <c r="FWE102" s="769"/>
      <c r="FWF102" s="769"/>
      <c r="FWG102" s="769"/>
      <c r="FWH102" s="769"/>
      <c r="FWI102" s="769"/>
      <c r="FWJ102" s="769"/>
      <c r="FWK102" s="769"/>
      <c r="FWL102" s="769"/>
      <c r="FWM102" s="769"/>
      <c r="FWN102" s="769"/>
      <c r="FWO102" s="769"/>
      <c r="FWP102" s="769"/>
      <c r="FWQ102" s="769"/>
      <c r="FWR102" s="769"/>
      <c r="FWS102" s="769"/>
      <c r="FWT102" s="769"/>
      <c r="FWU102" s="769"/>
      <c r="FWV102" s="769"/>
      <c r="FWW102" s="769"/>
      <c r="FWX102" s="769"/>
      <c r="FWY102" s="769"/>
      <c r="FWZ102" s="769"/>
      <c r="FXA102" s="769"/>
      <c r="FXB102" s="769"/>
      <c r="FXC102" s="769"/>
      <c r="FXD102" s="769"/>
      <c r="FXE102" s="769"/>
      <c r="FXF102" s="769"/>
      <c r="FXG102" s="769"/>
      <c r="FXH102" s="769"/>
      <c r="FXI102" s="769"/>
      <c r="FXJ102" s="769"/>
      <c r="FXK102" s="769"/>
      <c r="FXL102" s="769"/>
      <c r="FXM102" s="769"/>
      <c r="FXN102" s="769"/>
      <c r="FXO102" s="769"/>
      <c r="FXP102" s="769"/>
      <c r="FXQ102" s="769"/>
      <c r="FXR102" s="769"/>
      <c r="FXS102" s="769"/>
      <c r="FXT102" s="769"/>
      <c r="FXU102" s="769"/>
      <c r="FXV102" s="769"/>
      <c r="FXW102" s="769"/>
      <c r="FXX102" s="769"/>
      <c r="FXY102" s="769"/>
      <c r="FXZ102" s="769"/>
      <c r="FYA102" s="769"/>
      <c r="FYB102" s="769"/>
      <c r="FYC102" s="769"/>
      <c r="FYD102" s="769"/>
      <c r="FYE102" s="769"/>
      <c r="FYF102" s="769"/>
      <c r="FYG102" s="769"/>
      <c r="FYH102" s="769"/>
      <c r="FYI102" s="769"/>
      <c r="FYJ102" s="769"/>
      <c r="FYK102" s="769"/>
      <c r="FYL102" s="769"/>
      <c r="FYM102" s="769"/>
      <c r="FYN102" s="769"/>
      <c r="FYO102" s="769"/>
      <c r="FYP102" s="769"/>
      <c r="FYQ102" s="769"/>
      <c r="FYR102" s="769"/>
      <c r="FYS102" s="769"/>
      <c r="FYT102" s="769"/>
      <c r="FYU102" s="769"/>
      <c r="FYV102" s="769"/>
      <c r="FYW102" s="769"/>
      <c r="FYX102" s="769"/>
      <c r="FYY102" s="769"/>
      <c r="FYZ102" s="769"/>
      <c r="FZA102" s="769"/>
      <c r="FZB102" s="769"/>
      <c r="FZC102" s="769"/>
      <c r="FZD102" s="769"/>
      <c r="FZE102" s="769"/>
      <c r="FZF102" s="769"/>
      <c r="FZG102" s="769"/>
      <c r="FZH102" s="769"/>
      <c r="FZI102" s="769"/>
      <c r="FZJ102" s="769"/>
      <c r="FZK102" s="769"/>
      <c r="FZL102" s="769"/>
      <c r="FZM102" s="769"/>
      <c r="FZN102" s="769"/>
      <c r="FZO102" s="769"/>
      <c r="FZP102" s="769"/>
      <c r="FZQ102" s="769"/>
      <c r="FZR102" s="769"/>
      <c r="FZS102" s="769"/>
      <c r="FZT102" s="769"/>
      <c r="FZU102" s="769"/>
      <c r="FZV102" s="769"/>
      <c r="FZW102" s="769"/>
      <c r="FZX102" s="769"/>
      <c r="FZY102" s="769"/>
      <c r="FZZ102" s="769"/>
      <c r="GAA102" s="769"/>
      <c r="GAB102" s="769"/>
      <c r="GAC102" s="769"/>
      <c r="GAD102" s="769"/>
      <c r="GAE102" s="769"/>
      <c r="GAF102" s="769"/>
      <c r="GAG102" s="769"/>
      <c r="GAH102" s="769"/>
      <c r="GAI102" s="769"/>
      <c r="GAJ102" s="769"/>
      <c r="GAK102" s="769"/>
      <c r="GAL102" s="769"/>
      <c r="GAM102" s="769"/>
      <c r="GAN102" s="769"/>
      <c r="GAO102" s="769"/>
      <c r="GAP102" s="769"/>
      <c r="GAQ102" s="769"/>
      <c r="GAR102" s="769"/>
      <c r="GAS102" s="769"/>
      <c r="GAT102" s="769"/>
      <c r="GAU102" s="769"/>
      <c r="GAV102" s="769"/>
      <c r="GAW102" s="769"/>
      <c r="GAX102" s="769"/>
      <c r="GAY102" s="769"/>
      <c r="GAZ102" s="769"/>
      <c r="GBA102" s="769"/>
      <c r="GBB102" s="769"/>
      <c r="GBC102" s="769"/>
      <c r="GBD102" s="769"/>
      <c r="GBE102" s="769"/>
      <c r="GBF102" s="769"/>
      <c r="GBG102" s="769"/>
      <c r="GBH102" s="769"/>
      <c r="GBI102" s="769"/>
      <c r="GBJ102" s="769"/>
      <c r="GBK102" s="769"/>
      <c r="GBL102" s="769"/>
      <c r="GBM102" s="769"/>
      <c r="GBN102" s="769"/>
      <c r="GBO102" s="769"/>
      <c r="GBP102" s="769"/>
      <c r="GBQ102" s="769"/>
      <c r="GBR102" s="769"/>
      <c r="GBS102" s="769"/>
      <c r="GBT102" s="769"/>
      <c r="GBU102" s="769"/>
      <c r="GBV102" s="769"/>
      <c r="GBW102" s="769"/>
      <c r="GBX102" s="769"/>
      <c r="GBY102" s="769"/>
      <c r="GBZ102" s="769"/>
      <c r="GCA102" s="769"/>
      <c r="GCB102" s="769"/>
      <c r="GCC102" s="769"/>
      <c r="GCD102" s="769"/>
      <c r="GCE102" s="769"/>
      <c r="GCF102" s="769"/>
      <c r="GCG102" s="769"/>
      <c r="GCH102" s="769"/>
      <c r="GCI102" s="769"/>
      <c r="GCJ102" s="769"/>
      <c r="GCK102" s="769"/>
      <c r="GCL102" s="769"/>
      <c r="GCM102" s="769"/>
      <c r="GCN102" s="769"/>
      <c r="GCO102" s="769"/>
      <c r="GCP102" s="769"/>
      <c r="GCQ102" s="769"/>
      <c r="GCR102" s="769"/>
      <c r="GCS102" s="769"/>
      <c r="GCT102" s="769"/>
      <c r="GCU102" s="769"/>
      <c r="GCV102" s="769"/>
      <c r="GCW102" s="769"/>
      <c r="GCX102" s="769"/>
      <c r="GCY102" s="769"/>
      <c r="GCZ102" s="769"/>
      <c r="GDA102" s="769"/>
      <c r="GDB102" s="769"/>
      <c r="GDC102" s="769"/>
      <c r="GDD102" s="769"/>
      <c r="GDE102" s="769"/>
      <c r="GDF102" s="769"/>
      <c r="GDG102" s="769"/>
      <c r="GDH102" s="769"/>
      <c r="GDI102" s="769"/>
      <c r="GDJ102" s="769"/>
      <c r="GDK102" s="769"/>
      <c r="GDL102" s="769"/>
      <c r="GDM102" s="769"/>
      <c r="GDN102" s="769"/>
      <c r="GDO102" s="769"/>
      <c r="GDP102" s="769"/>
      <c r="GDQ102" s="769"/>
      <c r="GDR102" s="769"/>
      <c r="GDS102" s="769"/>
      <c r="GDT102" s="769"/>
      <c r="GDU102" s="769"/>
      <c r="GDV102" s="769"/>
      <c r="GDW102" s="769"/>
      <c r="GDX102" s="769"/>
      <c r="GDY102" s="769"/>
      <c r="GDZ102" s="769"/>
      <c r="GEA102" s="769"/>
      <c r="GEB102" s="769"/>
      <c r="GEC102" s="769"/>
      <c r="GED102" s="769"/>
      <c r="GEE102" s="769"/>
      <c r="GEF102" s="769"/>
      <c r="GEG102" s="769"/>
      <c r="GEH102" s="769"/>
      <c r="GEI102" s="769"/>
      <c r="GEJ102" s="769"/>
      <c r="GEK102" s="769"/>
      <c r="GEL102" s="769"/>
      <c r="GEM102" s="769"/>
      <c r="GEN102" s="769"/>
      <c r="GEO102" s="769"/>
      <c r="GEP102" s="769"/>
      <c r="GEQ102" s="769"/>
      <c r="GER102" s="769"/>
      <c r="GES102" s="769"/>
      <c r="GET102" s="769"/>
      <c r="GEU102" s="769"/>
      <c r="GEV102" s="769"/>
      <c r="GEW102" s="769"/>
      <c r="GEX102" s="769"/>
      <c r="GEY102" s="769"/>
      <c r="GEZ102" s="769"/>
      <c r="GFA102" s="769"/>
      <c r="GFB102" s="769"/>
      <c r="GFC102" s="769"/>
      <c r="GFD102" s="769"/>
      <c r="GFE102" s="769"/>
      <c r="GFF102" s="769"/>
      <c r="GFG102" s="769"/>
      <c r="GFH102" s="769"/>
      <c r="GFI102" s="769"/>
      <c r="GFJ102" s="769"/>
      <c r="GFK102" s="769"/>
      <c r="GFL102" s="769"/>
      <c r="GFM102" s="769"/>
      <c r="GFN102" s="769"/>
      <c r="GFO102" s="769"/>
      <c r="GFP102" s="769"/>
      <c r="GFQ102" s="769"/>
      <c r="GFR102" s="769"/>
      <c r="GFS102" s="769"/>
      <c r="GFT102" s="769"/>
      <c r="GFU102" s="769"/>
      <c r="GFV102" s="769"/>
      <c r="GFW102" s="769"/>
      <c r="GFX102" s="769"/>
      <c r="GFY102" s="769"/>
      <c r="GFZ102" s="769"/>
      <c r="GGA102" s="769"/>
      <c r="GGB102" s="769"/>
      <c r="GGC102" s="769"/>
      <c r="GGD102" s="769"/>
      <c r="GGE102" s="769"/>
      <c r="GGF102" s="769"/>
      <c r="GGG102" s="769"/>
      <c r="GGH102" s="769"/>
      <c r="GGI102" s="769"/>
      <c r="GGJ102" s="769"/>
      <c r="GGK102" s="769"/>
      <c r="GGL102" s="769"/>
      <c r="GGM102" s="769"/>
      <c r="GGN102" s="769"/>
      <c r="GGO102" s="769"/>
      <c r="GGP102" s="769"/>
      <c r="GGQ102" s="769"/>
      <c r="GGR102" s="769"/>
      <c r="GGS102" s="769"/>
      <c r="GGT102" s="769"/>
      <c r="GGU102" s="769"/>
      <c r="GGV102" s="769"/>
      <c r="GGW102" s="769"/>
      <c r="GGX102" s="769"/>
      <c r="GGY102" s="769"/>
      <c r="GGZ102" s="769"/>
      <c r="GHA102" s="769"/>
      <c r="GHB102" s="769"/>
      <c r="GHC102" s="769"/>
      <c r="GHD102" s="769"/>
      <c r="GHE102" s="769"/>
      <c r="GHF102" s="769"/>
      <c r="GHG102" s="769"/>
      <c r="GHH102" s="769"/>
      <c r="GHI102" s="769"/>
      <c r="GHJ102" s="769"/>
      <c r="GHK102" s="769"/>
      <c r="GHL102" s="769"/>
      <c r="GHM102" s="769"/>
      <c r="GHN102" s="769"/>
      <c r="GHO102" s="769"/>
      <c r="GHP102" s="769"/>
      <c r="GHQ102" s="769"/>
      <c r="GHR102" s="769"/>
      <c r="GHS102" s="769"/>
      <c r="GHT102" s="769"/>
      <c r="GHU102" s="769"/>
      <c r="GHV102" s="769"/>
      <c r="GHW102" s="769"/>
      <c r="GHX102" s="769"/>
      <c r="GHY102" s="769"/>
      <c r="GHZ102" s="769"/>
      <c r="GIA102" s="769"/>
      <c r="GIB102" s="769"/>
      <c r="GIC102" s="769"/>
      <c r="GID102" s="769"/>
      <c r="GIE102" s="769"/>
      <c r="GIF102" s="769"/>
      <c r="GIG102" s="769"/>
      <c r="GIH102" s="769"/>
      <c r="GII102" s="769"/>
      <c r="GIJ102" s="769"/>
      <c r="GIK102" s="769"/>
      <c r="GIL102" s="769"/>
      <c r="GIM102" s="769"/>
      <c r="GIN102" s="769"/>
      <c r="GIO102" s="769"/>
      <c r="GIP102" s="769"/>
      <c r="GIQ102" s="769"/>
      <c r="GIR102" s="769"/>
      <c r="GIS102" s="769"/>
      <c r="GIT102" s="769"/>
      <c r="GIU102" s="769"/>
      <c r="GIV102" s="769"/>
      <c r="GIW102" s="769"/>
      <c r="GIX102" s="769"/>
      <c r="GIY102" s="769"/>
      <c r="GIZ102" s="769"/>
      <c r="GJA102" s="769"/>
      <c r="GJB102" s="769"/>
      <c r="GJC102" s="769"/>
      <c r="GJD102" s="769"/>
      <c r="GJE102" s="769"/>
      <c r="GJF102" s="769"/>
      <c r="GJG102" s="769"/>
      <c r="GJH102" s="769"/>
      <c r="GJI102" s="769"/>
      <c r="GJJ102" s="769"/>
      <c r="GJK102" s="769"/>
      <c r="GJL102" s="769"/>
      <c r="GJM102" s="769"/>
      <c r="GJN102" s="769"/>
      <c r="GJO102" s="769"/>
      <c r="GJP102" s="769"/>
      <c r="GJQ102" s="769"/>
      <c r="GJR102" s="769"/>
      <c r="GJS102" s="769"/>
      <c r="GJT102" s="769"/>
      <c r="GJU102" s="769"/>
      <c r="GJV102" s="769"/>
      <c r="GJW102" s="769"/>
      <c r="GJX102" s="769"/>
      <c r="GJY102" s="769"/>
      <c r="GJZ102" s="769"/>
      <c r="GKA102" s="769"/>
      <c r="GKB102" s="769"/>
      <c r="GKC102" s="769"/>
      <c r="GKD102" s="769"/>
      <c r="GKE102" s="769"/>
      <c r="GKF102" s="769"/>
      <c r="GKG102" s="769"/>
      <c r="GKH102" s="769"/>
      <c r="GKI102" s="769"/>
      <c r="GKJ102" s="769"/>
      <c r="GKK102" s="769"/>
      <c r="GKL102" s="769"/>
      <c r="GKM102" s="769"/>
      <c r="GKN102" s="769"/>
      <c r="GKO102" s="769"/>
      <c r="GKP102" s="769"/>
      <c r="GKQ102" s="769"/>
      <c r="GKR102" s="769"/>
      <c r="GKS102" s="769"/>
      <c r="GKT102" s="769"/>
      <c r="GKU102" s="769"/>
      <c r="GKV102" s="769"/>
      <c r="GKW102" s="769"/>
      <c r="GKX102" s="769"/>
      <c r="GKY102" s="769"/>
      <c r="GKZ102" s="769"/>
      <c r="GLA102" s="769"/>
      <c r="GLB102" s="769"/>
      <c r="GLC102" s="769"/>
      <c r="GLD102" s="769"/>
      <c r="GLE102" s="769"/>
      <c r="GLF102" s="769"/>
      <c r="GLG102" s="769"/>
      <c r="GLH102" s="769"/>
      <c r="GLI102" s="769"/>
      <c r="GLJ102" s="769"/>
      <c r="GLK102" s="769"/>
      <c r="GLL102" s="769"/>
      <c r="GLM102" s="769"/>
      <c r="GLN102" s="769"/>
      <c r="GLO102" s="769"/>
      <c r="GLP102" s="769"/>
      <c r="GLQ102" s="769"/>
      <c r="GLR102" s="769"/>
      <c r="GLS102" s="769"/>
      <c r="GLT102" s="769"/>
      <c r="GLU102" s="769"/>
      <c r="GLV102" s="769"/>
      <c r="GLW102" s="769"/>
      <c r="GLX102" s="769"/>
      <c r="GLY102" s="769"/>
      <c r="GLZ102" s="769"/>
      <c r="GMA102" s="769"/>
      <c r="GMB102" s="769"/>
      <c r="GMC102" s="769"/>
      <c r="GMD102" s="769"/>
      <c r="GME102" s="769"/>
      <c r="GMF102" s="769"/>
      <c r="GMG102" s="769"/>
      <c r="GMH102" s="769"/>
      <c r="GMI102" s="769"/>
      <c r="GMJ102" s="769"/>
      <c r="GMK102" s="769"/>
      <c r="GML102" s="769"/>
      <c r="GMM102" s="769"/>
      <c r="GMN102" s="769"/>
      <c r="GMO102" s="769"/>
      <c r="GMP102" s="769"/>
      <c r="GMQ102" s="769"/>
      <c r="GMR102" s="769"/>
      <c r="GMS102" s="769"/>
      <c r="GMT102" s="769"/>
      <c r="GMU102" s="769"/>
      <c r="GMV102" s="769"/>
      <c r="GMW102" s="769"/>
      <c r="GMX102" s="769"/>
      <c r="GMY102" s="769"/>
      <c r="GMZ102" s="769"/>
      <c r="GNA102" s="769"/>
      <c r="GNB102" s="769"/>
      <c r="GNC102" s="769"/>
      <c r="GND102" s="769"/>
      <c r="GNE102" s="769"/>
      <c r="GNF102" s="769"/>
      <c r="GNG102" s="769"/>
      <c r="GNH102" s="769"/>
      <c r="GNI102" s="769"/>
      <c r="GNJ102" s="769"/>
      <c r="GNK102" s="769"/>
      <c r="GNL102" s="769"/>
      <c r="GNM102" s="769"/>
      <c r="GNN102" s="769"/>
      <c r="GNO102" s="769"/>
      <c r="GNP102" s="769"/>
      <c r="GNQ102" s="769"/>
      <c r="GNR102" s="769"/>
      <c r="GNS102" s="769"/>
      <c r="GNT102" s="769"/>
      <c r="GNU102" s="769"/>
      <c r="GNV102" s="769"/>
      <c r="GNW102" s="769"/>
      <c r="GNX102" s="769"/>
      <c r="GNY102" s="769"/>
      <c r="GNZ102" s="769"/>
      <c r="GOA102" s="769"/>
      <c r="GOB102" s="769"/>
      <c r="GOC102" s="769"/>
      <c r="GOD102" s="769"/>
      <c r="GOE102" s="769"/>
      <c r="GOF102" s="769"/>
      <c r="GOG102" s="769"/>
      <c r="GOH102" s="769"/>
      <c r="GOI102" s="769"/>
      <c r="GOJ102" s="769"/>
      <c r="GOK102" s="769"/>
      <c r="GOL102" s="769"/>
      <c r="GOM102" s="769"/>
      <c r="GON102" s="769"/>
      <c r="GOO102" s="769"/>
      <c r="GOP102" s="769"/>
      <c r="GOQ102" s="769"/>
      <c r="GOR102" s="769"/>
      <c r="GOS102" s="769"/>
      <c r="GOT102" s="769"/>
      <c r="GOU102" s="769"/>
      <c r="GOV102" s="769"/>
      <c r="GOW102" s="769"/>
      <c r="GOX102" s="769"/>
      <c r="GOY102" s="769"/>
      <c r="GOZ102" s="769"/>
      <c r="GPA102" s="769"/>
      <c r="GPB102" s="769"/>
      <c r="GPC102" s="769"/>
      <c r="GPD102" s="769"/>
      <c r="GPE102" s="769"/>
      <c r="GPF102" s="769"/>
      <c r="GPG102" s="769"/>
      <c r="GPH102" s="769"/>
      <c r="GPI102" s="769"/>
      <c r="GPJ102" s="769"/>
      <c r="GPK102" s="769"/>
      <c r="GPL102" s="769"/>
      <c r="GPM102" s="769"/>
      <c r="GPN102" s="769"/>
      <c r="GPO102" s="769"/>
      <c r="GPP102" s="769"/>
      <c r="GPQ102" s="769"/>
      <c r="GPR102" s="769"/>
      <c r="GPS102" s="769"/>
      <c r="GPT102" s="769"/>
      <c r="GPU102" s="769"/>
      <c r="GPV102" s="769"/>
      <c r="GPW102" s="769"/>
      <c r="GPX102" s="769"/>
      <c r="GPY102" s="769"/>
      <c r="GPZ102" s="769"/>
      <c r="GQA102" s="769"/>
      <c r="GQB102" s="769"/>
      <c r="GQC102" s="769"/>
      <c r="GQD102" s="769"/>
      <c r="GQE102" s="769"/>
      <c r="GQF102" s="769"/>
      <c r="GQG102" s="769"/>
      <c r="GQH102" s="769"/>
      <c r="GQI102" s="769"/>
      <c r="GQJ102" s="769"/>
      <c r="GQK102" s="769"/>
      <c r="GQL102" s="769"/>
      <c r="GQM102" s="769"/>
      <c r="GQN102" s="769"/>
      <c r="GQO102" s="769"/>
      <c r="GQP102" s="769"/>
      <c r="GQQ102" s="769"/>
      <c r="GQR102" s="769"/>
      <c r="GQS102" s="769"/>
      <c r="GQT102" s="769"/>
      <c r="GQU102" s="769"/>
      <c r="GQV102" s="769"/>
      <c r="GQW102" s="769"/>
      <c r="GQX102" s="769"/>
      <c r="GQY102" s="769"/>
      <c r="GQZ102" s="769"/>
      <c r="GRA102" s="769"/>
      <c r="GRB102" s="769"/>
      <c r="GRC102" s="769"/>
      <c r="GRD102" s="769"/>
      <c r="GRE102" s="769"/>
      <c r="GRF102" s="769"/>
      <c r="GRG102" s="769"/>
      <c r="GRH102" s="769"/>
      <c r="GRI102" s="769"/>
      <c r="GRJ102" s="769"/>
      <c r="GRK102" s="769"/>
      <c r="GRL102" s="769"/>
      <c r="GRM102" s="769"/>
      <c r="GRN102" s="769"/>
      <c r="GRO102" s="769"/>
      <c r="GRP102" s="769"/>
      <c r="GRQ102" s="769"/>
      <c r="GRR102" s="769"/>
      <c r="GRS102" s="769"/>
      <c r="GRT102" s="769"/>
      <c r="GRU102" s="769"/>
      <c r="GRV102" s="769"/>
      <c r="GRW102" s="769"/>
      <c r="GRX102" s="769"/>
      <c r="GRY102" s="769"/>
      <c r="GRZ102" s="769"/>
      <c r="GSA102" s="769"/>
      <c r="GSB102" s="769"/>
      <c r="GSC102" s="769"/>
      <c r="GSD102" s="769"/>
      <c r="GSE102" s="769"/>
      <c r="GSF102" s="769"/>
      <c r="GSG102" s="769"/>
      <c r="GSH102" s="769"/>
      <c r="GSI102" s="769"/>
      <c r="GSJ102" s="769"/>
      <c r="GSK102" s="769"/>
      <c r="GSL102" s="769"/>
      <c r="GSM102" s="769"/>
      <c r="GSN102" s="769"/>
      <c r="GSO102" s="769"/>
      <c r="GSP102" s="769"/>
      <c r="GSQ102" s="769"/>
      <c r="GSR102" s="769"/>
      <c r="GSS102" s="769"/>
      <c r="GST102" s="769"/>
      <c r="GSU102" s="769"/>
      <c r="GSV102" s="769"/>
      <c r="GSW102" s="769"/>
      <c r="GSX102" s="769"/>
      <c r="GSY102" s="769"/>
      <c r="GSZ102" s="769"/>
      <c r="GTA102" s="769"/>
      <c r="GTB102" s="769"/>
      <c r="GTC102" s="769"/>
      <c r="GTD102" s="769"/>
      <c r="GTE102" s="769"/>
      <c r="GTF102" s="769"/>
      <c r="GTG102" s="769"/>
      <c r="GTH102" s="769"/>
      <c r="GTI102" s="769"/>
      <c r="GTJ102" s="769"/>
      <c r="GTK102" s="769"/>
      <c r="GTL102" s="769"/>
      <c r="GTM102" s="769"/>
      <c r="GTN102" s="769"/>
      <c r="GTO102" s="769"/>
      <c r="GTP102" s="769"/>
      <c r="GTQ102" s="769"/>
      <c r="GTR102" s="769"/>
      <c r="GTS102" s="769"/>
      <c r="GTT102" s="769"/>
      <c r="GTU102" s="769"/>
      <c r="GTV102" s="769"/>
      <c r="GTW102" s="769"/>
      <c r="GTX102" s="769"/>
      <c r="GTY102" s="769"/>
      <c r="GTZ102" s="769"/>
      <c r="GUA102" s="769"/>
      <c r="GUB102" s="769"/>
      <c r="GUC102" s="769"/>
      <c r="GUD102" s="769"/>
      <c r="GUE102" s="769"/>
      <c r="GUF102" s="769"/>
      <c r="GUG102" s="769"/>
      <c r="GUH102" s="769"/>
      <c r="GUI102" s="769"/>
      <c r="GUJ102" s="769"/>
      <c r="GUK102" s="769"/>
      <c r="GUL102" s="769"/>
      <c r="GUM102" s="769"/>
      <c r="GUN102" s="769"/>
      <c r="GUO102" s="769"/>
      <c r="GUP102" s="769"/>
      <c r="GUQ102" s="769"/>
      <c r="GUR102" s="769"/>
      <c r="GUS102" s="769"/>
      <c r="GUT102" s="769"/>
      <c r="GUU102" s="769"/>
      <c r="GUV102" s="769"/>
      <c r="GUW102" s="769"/>
      <c r="GUX102" s="769"/>
      <c r="GUY102" s="769"/>
      <c r="GUZ102" s="769"/>
      <c r="GVA102" s="769"/>
      <c r="GVB102" s="769"/>
      <c r="GVC102" s="769"/>
      <c r="GVD102" s="769"/>
      <c r="GVE102" s="769"/>
      <c r="GVF102" s="769"/>
      <c r="GVG102" s="769"/>
      <c r="GVH102" s="769"/>
      <c r="GVI102" s="769"/>
      <c r="GVJ102" s="769"/>
      <c r="GVK102" s="769"/>
      <c r="GVL102" s="769"/>
      <c r="GVM102" s="769"/>
      <c r="GVN102" s="769"/>
      <c r="GVO102" s="769"/>
      <c r="GVP102" s="769"/>
      <c r="GVQ102" s="769"/>
      <c r="GVR102" s="769"/>
      <c r="GVS102" s="769"/>
      <c r="GVT102" s="769"/>
      <c r="GVU102" s="769"/>
      <c r="GVV102" s="769"/>
      <c r="GVW102" s="769"/>
      <c r="GVX102" s="769"/>
      <c r="GVY102" s="769"/>
      <c r="GVZ102" s="769"/>
      <c r="GWA102" s="769"/>
      <c r="GWB102" s="769"/>
      <c r="GWC102" s="769"/>
      <c r="GWD102" s="769"/>
      <c r="GWE102" s="769"/>
      <c r="GWF102" s="769"/>
      <c r="GWG102" s="769"/>
      <c r="GWH102" s="769"/>
      <c r="GWI102" s="769"/>
      <c r="GWJ102" s="769"/>
      <c r="GWK102" s="769"/>
      <c r="GWL102" s="769"/>
      <c r="GWM102" s="769"/>
      <c r="GWN102" s="769"/>
      <c r="GWO102" s="769"/>
      <c r="GWP102" s="769"/>
      <c r="GWQ102" s="769"/>
      <c r="GWR102" s="769"/>
      <c r="GWS102" s="769"/>
      <c r="GWT102" s="769"/>
      <c r="GWU102" s="769"/>
      <c r="GWV102" s="769"/>
      <c r="GWW102" s="769"/>
      <c r="GWX102" s="769"/>
      <c r="GWY102" s="769"/>
      <c r="GWZ102" s="769"/>
      <c r="GXA102" s="769"/>
      <c r="GXB102" s="769"/>
      <c r="GXC102" s="769"/>
      <c r="GXD102" s="769"/>
      <c r="GXE102" s="769"/>
      <c r="GXF102" s="769"/>
      <c r="GXG102" s="769"/>
      <c r="GXH102" s="769"/>
      <c r="GXI102" s="769"/>
      <c r="GXJ102" s="769"/>
      <c r="GXK102" s="769"/>
      <c r="GXL102" s="769"/>
      <c r="GXM102" s="769"/>
      <c r="GXN102" s="769"/>
      <c r="GXO102" s="769"/>
      <c r="GXP102" s="769"/>
      <c r="GXQ102" s="769"/>
      <c r="GXR102" s="769"/>
      <c r="GXS102" s="769"/>
      <c r="GXT102" s="769"/>
      <c r="GXU102" s="769"/>
      <c r="GXV102" s="769"/>
      <c r="GXW102" s="769"/>
      <c r="GXX102" s="769"/>
      <c r="GXY102" s="769"/>
      <c r="GXZ102" s="769"/>
      <c r="GYA102" s="769"/>
      <c r="GYB102" s="769"/>
      <c r="GYC102" s="769"/>
      <c r="GYD102" s="769"/>
      <c r="GYE102" s="769"/>
      <c r="GYF102" s="769"/>
      <c r="GYG102" s="769"/>
      <c r="GYH102" s="769"/>
      <c r="GYI102" s="769"/>
      <c r="GYJ102" s="769"/>
      <c r="GYK102" s="769"/>
      <c r="GYL102" s="769"/>
      <c r="GYM102" s="769"/>
      <c r="GYN102" s="769"/>
      <c r="GYO102" s="769"/>
      <c r="GYP102" s="769"/>
      <c r="GYQ102" s="769"/>
      <c r="GYR102" s="769"/>
      <c r="GYS102" s="769"/>
      <c r="GYT102" s="769"/>
      <c r="GYU102" s="769"/>
      <c r="GYV102" s="769"/>
      <c r="GYW102" s="769"/>
      <c r="GYX102" s="769"/>
      <c r="GYY102" s="769"/>
      <c r="GYZ102" s="769"/>
      <c r="GZA102" s="769"/>
      <c r="GZB102" s="769"/>
      <c r="GZC102" s="769"/>
      <c r="GZD102" s="769"/>
      <c r="GZE102" s="769"/>
      <c r="GZF102" s="769"/>
      <c r="GZG102" s="769"/>
      <c r="GZH102" s="769"/>
      <c r="GZI102" s="769"/>
      <c r="GZJ102" s="769"/>
      <c r="GZK102" s="769"/>
      <c r="GZL102" s="769"/>
      <c r="GZM102" s="769"/>
      <c r="GZN102" s="769"/>
      <c r="GZO102" s="769"/>
      <c r="GZP102" s="769"/>
      <c r="GZQ102" s="769"/>
      <c r="GZR102" s="769"/>
      <c r="GZS102" s="769"/>
      <c r="GZT102" s="769"/>
      <c r="GZU102" s="769"/>
      <c r="GZV102" s="769"/>
      <c r="GZW102" s="769"/>
      <c r="GZX102" s="769"/>
      <c r="GZY102" s="769"/>
      <c r="GZZ102" s="769"/>
      <c r="HAA102" s="769"/>
      <c r="HAB102" s="769"/>
      <c r="HAC102" s="769"/>
      <c r="HAD102" s="769"/>
      <c r="HAE102" s="769"/>
      <c r="HAF102" s="769"/>
      <c r="HAG102" s="769"/>
      <c r="HAH102" s="769"/>
      <c r="HAI102" s="769"/>
      <c r="HAJ102" s="769"/>
      <c r="HAK102" s="769"/>
      <c r="HAL102" s="769"/>
      <c r="HAM102" s="769"/>
      <c r="HAN102" s="769"/>
      <c r="HAO102" s="769"/>
      <c r="HAP102" s="769"/>
      <c r="HAQ102" s="769"/>
      <c r="HAR102" s="769"/>
      <c r="HAS102" s="769"/>
      <c r="HAT102" s="769"/>
      <c r="HAU102" s="769"/>
      <c r="HAV102" s="769"/>
      <c r="HAW102" s="769"/>
      <c r="HAX102" s="769"/>
      <c r="HAY102" s="769"/>
      <c r="HAZ102" s="769"/>
      <c r="HBA102" s="769"/>
      <c r="HBB102" s="769"/>
      <c r="HBC102" s="769"/>
      <c r="HBD102" s="769"/>
      <c r="HBE102" s="769"/>
      <c r="HBF102" s="769"/>
      <c r="HBG102" s="769"/>
      <c r="HBH102" s="769"/>
      <c r="HBI102" s="769"/>
      <c r="HBJ102" s="769"/>
      <c r="HBK102" s="769"/>
      <c r="HBL102" s="769"/>
      <c r="HBM102" s="769"/>
      <c r="HBN102" s="769"/>
      <c r="HBO102" s="769"/>
      <c r="HBP102" s="769"/>
      <c r="HBQ102" s="769"/>
      <c r="HBR102" s="769"/>
      <c r="HBS102" s="769"/>
      <c r="HBT102" s="769"/>
      <c r="HBU102" s="769"/>
      <c r="HBV102" s="769"/>
      <c r="HBW102" s="769"/>
      <c r="HBX102" s="769"/>
      <c r="HBY102" s="769"/>
      <c r="HBZ102" s="769"/>
      <c r="HCA102" s="769"/>
      <c r="HCB102" s="769"/>
      <c r="HCC102" s="769"/>
      <c r="HCD102" s="769"/>
      <c r="HCE102" s="769"/>
      <c r="HCF102" s="769"/>
      <c r="HCG102" s="769"/>
      <c r="HCH102" s="769"/>
      <c r="HCI102" s="769"/>
      <c r="HCJ102" s="769"/>
      <c r="HCK102" s="769"/>
      <c r="HCL102" s="769"/>
      <c r="HCM102" s="769"/>
      <c r="HCN102" s="769"/>
      <c r="HCO102" s="769"/>
      <c r="HCP102" s="769"/>
      <c r="HCQ102" s="769"/>
      <c r="HCR102" s="769"/>
      <c r="HCS102" s="769"/>
      <c r="HCT102" s="769"/>
      <c r="HCU102" s="769"/>
      <c r="HCV102" s="769"/>
      <c r="HCW102" s="769"/>
      <c r="HCX102" s="769"/>
      <c r="HCY102" s="769"/>
      <c r="HCZ102" s="769"/>
      <c r="HDA102" s="769"/>
      <c r="HDB102" s="769"/>
      <c r="HDC102" s="769"/>
      <c r="HDD102" s="769"/>
      <c r="HDE102" s="769"/>
      <c r="HDF102" s="769"/>
      <c r="HDG102" s="769"/>
      <c r="HDH102" s="769"/>
      <c r="HDI102" s="769"/>
      <c r="HDJ102" s="769"/>
      <c r="HDK102" s="769"/>
      <c r="HDL102" s="769"/>
      <c r="HDM102" s="769"/>
      <c r="HDN102" s="769"/>
      <c r="HDO102" s="769"/>
      <c r="HDP102" s="769"/>
      <c r="HDQ102" s="769"/>
      <c r="HDR102" s="769"/>
      <c r="HDS102" s="769"/>
      <c r="HDT102" s="769"/>
      <c r="HDU102" s="769"/>
      <c r="HDV102" s="769"/>
      <c r="HDW102" s="769"/>
      <c r="HDX102" s="769"/>
      <c r="HDY102" s="769"/>
      <c r="HDZ102" s="769"/>
      <c r="HEA102" s="769"/>
      <c r="HEB102" s="769"/>
      <c r="HEC102" s="769"/>
      <c r="HED102" s="769"/>
      <c r="HEE102" s="769"/>
      <c r="HEF102" s="769"/>
      <c r="HEG102" s="769"/>
      <c r="HEH102" s="769"/>
      <c r="HEI102" s="769"/>
      <c r="HEJ102" s="769"/>
      <c r="HEK102" s="769"/>
      <c r="HEL102" s="769"/>
      <c r="HEM102" s="769"/>
      <c r="HEN102" s="769"/>
      <c r="HEO102" s="769"/>
      <c r="HEP102" s="769"/>
      <c r="HEQ102" s="769"/>
      <c r="HER102" s="769"/>
      <c r="HES102" s="769"/>
      <c r="HET102" s="769"/>
      <c r="HEU102" s="769"/>
      <c r="HEV102" s="769"/>
      <c r="HEW102" s="769"/>
      <c r="HEX102" s="769"/>
      <c r="HEY102" s="769"/>
      <c r="HEZ102" s="769"/>
      <c r="HFA102" s="769"/>
      <c r="HFB102" s="769"/>
      <c r="HFC102" s="769"/>
      <c r="HFD102" s="769"/>
      <c r="HFE102" s="769"/>
      <c r="HFF102" s="769"/>
      <c r="HFG102" s="769"/>
      <c r="HFH102" s="769"/>
      <c r="HFI102" s="769"/>
      <c r="HFJ102" s="769"/>
      <c r="HFK102" s="769"/>
      <c r="HFL102" s="769"/>
      <c r="HFM102" s="769"/>
      <c r="HFN102" s="769"/>
      <c r="HFO102" s="769"/>
      <c r="HFP102" s="769"/>
      <c r="HFQ102" s="769"/>
      <c r="HFR102" s="769"/>
      <c r="HFS102" s="769"/>
      <c r="HFT102" s="769"/>
      <c r="HFU102" s="769"/>
      <c r="HFV102" s="769"/>
      <c r="HFW102" s="769"/>
      <c r="HFX102" s="769"/>
      <c r="HFY102" s="769"/>
      <c r="HFZ102" s="769"/>
      <c r="HGA102" s="769"/>
      <c r="HGB102" s="769"/>
      <c r="HGC102" s="769"/>
      <c r="HGD102" s="769"/>
      <c r="HGE102" s="769"/>
      <c r="HGF102" s="769"/>
      <c r="HGG102" s="769"/>
      <c r="HGH102" s="769"/>
      <c r="HGI102" s="769"/>
      <c r="HGJ102" s="769"/>
      <c r="HGK102" s="769"/>
      <c r="HGL102" s="769"/>
      <c r="HGM102" s="769"/>
      <c r="HGN102" s="769"/>
      <c r="HGO102" s="769"/>
      <c r="HGP102" s="769"/>
      <c r="HGQ102" s="769"/>
      <c r="HGR102" s="769"/>
      <c r="HGS102" s="769"/>
      <c r="HGT102" s="769"/>
      <c r="HGU102" s="769"/>
      <c r="HGV102" s="769"/>
      <c r="HGW102" s="769"/>
      <c r="HGX102" s="769"/>
      <c r="HGY102" s="769"/>
      <c r="HGZ102" s="769"/>
      <c r="HHA102" s="769"/>
      <c r="HHB102" s="769"/>
      <c r="HHC102" s="769"/>
      <c r="HHD102" s="769"/>
      <c r="HHE102" s="769"/>
      <c r="HHF102" s="769"/>
      <c r="HHG102" s="769"/>
      <c r="HHH102" s="769"/>
      <c r="HHI102" s="769"/>
      <c r="HHJ102" s="769"/>
      <c r="HHK102" s="769"/>
      <c r="HHL102" s="769"/>
      <c r="HHM102" s="769"/>
      <c r="HHN102" s="769"/>
      <c r="HHO102" s="769"/>
      <c r="HHP102" s="769"/>
      <c r="HHQ102" s="769"/>
      <c r="HHR102" s="769"/>
      <c r="HHS102" s="769"/>
      <c r="HHT102" s="769"/>
      <c r="HHU102" s="769"/>
      <c r="HHV102" s="769"/>
      <c r="HHW102" s="769"/>
      <c r="HHX102" s="769"/>
      <c r="HHY102" s="769"/>
      <c r="HHZ102" s="769"/>
      <c r="HIA102" s="769"/>
      <c r="HIB102" s="769"/>
      <c r="HIC102" s="769"/>
      <c r="HID102" s="769"/>
      <c r="HIE102" s="769"/>
      <c r="HIF102" s="769"/>
      <c r="HIG102" s="769"/>
      <c r="HIH102" s="769"/>
      <c r="HII102" s="769"/>
      <c r="HIJ102" s="769"/>
      <c r="HIK102" s="769"/>
      <c r="HIL102" s="769"/>
      <c r="HIM102" s="769"/>
      <c r="HIN102" s="769"/>
      <c r="HIO102" s="769"/>
      <c r="HIP102" s="769"/>
      <c r="HIQ102" s="769"/>
      <c r="HIR102" s="769"/>
      <c r="HIS102" s="769"/>
      <c r="HIT102" s="769"/>
      <c r="HIU102" s="769"/>
      <c r="HIV102" s="769"/>
      <c r="HIW102" s="769"/>
      <c r="HIX102" s="769"/>
      <c r="HIY102" s="769"/>
      <c r="HIZ102" s="769"/>
      <c r="HJA102" s="769"/>
      <c r="HJB102" s="769"/>
      <c r="HJC102" s="769"/>
      <c r="HJD102" s="769"/>
      <c r="HJE102" s="769"/>
      <c r="HJF102" s="769"/>
      <c r="HJG102" s="769"/>
      <c r="HJH102" s="769"/>
      <c r="HJI102" s="769"/>
      <c r="HJJ102" s="769"/>
      <c r="HJK102" s="769"/>
      <c r="HJL102" s="769"/>
      <c r="HJM102" s="769"/>
      <c r="HJN102" s="769"/>
      <c r="HJO102" s="769"/>
      <c r="HJP102" s="769"/>
      <c r="HJQ102" s="769"/>
      <c r="HJR102" s="769"/>
      <c r="HJS102" s="769"/>
      <c r="HJT102" s="769"/>
      <c r="HJU102" s="769"/>
      <c r="HJV102" s="769"/>
      <c r="HJW102" s="769"/>
      <c r="HJX102" s="769"/>
      <c r="HJY102" s="769"/>
      <c r="HJZ102" s="769"/>
      <c r="HKA102" s="769"/>
      <c r="HKB102" s="769"/>
      <c r="HKC102" s="769"/>
      <c r="HKD102" s="769"/>
      <c r="HKE102" s="769"/>
      <c r="HKF102" s="769"/>
      <c r="HKG102" s="769"/>
      <c r="HKH102" s="769"/>
      <c r="HKI102" s="769"/>
      <c r="HKJ102" s="769"/>
      <c r="HKK102" s="769"/>
      <c r="HKL102" s="769"/>
      <c r="HKM102" s="769"/>
      <c r="HKN102" s="769"/>
      <c r="HKO102" s="769"/>
      <c r="HKP102" s="769"/>
      <c r="HKQ102" s="769"/>
      <c r="HKR102" s="769"/>
      <c r="HKS102" s="769"/>
      <c r="HKT102" s="769"/>
      <c r="HKU102" s="769"/>
      <c r="HKV102" s="769"/>
      <c r="HKW102" s="769"/>
      <c r="HKX102" s="769"/>
      <c r="HKY102" s="769"/>
      <c r="HKZ102" s="769"/>
      <c r="HLA102" s="769"/>
      <c r="HLB102" s="769"/>
      <c r="HLC102" s="769"/>
      <c r="HLD102" s="769"/>
      <c r="HLE102" s="769"/>
      <c r="HLF102" s="769"/>
      <c r="HLG102" s="769"/>
      <c r="HLH102" s="769"/>
      <c r="HLI102" s="769"/>
      <c r="HLJ102" s="769"/>
      <c r="HLK102" s="769"/>
      <c r="HLL102" s="769"/>
      <c r="HLM102" s="769"/>
      <c r="HLN102" s="769"/>
      <c r="HLO102" s="769"/>
      <c r="HLP102" s="769"/>
      <c r="HLQ102" s="769"/>
      <c r="HLR102" s="769"/>
      <c r="HLS102" s="769"/>
      <c r="HLT102" s="769"/>
      <c r="HLU102" s="769"/>
      <c r="HLV102" s="769"/>
      <c r="HLW102" s="769"/>
      <c r="HLX102" s="769"/>
      <c r="HLY102" s="769"/>
      <c r="HLZ102" s="769"/>
      <c r="HMA102" s="769"/>
      <c r="HMB102" s="769"/>
      <c r="HMC102" s="769"/>
      <c r="HMD102" s="769"/>
      <c r="HME102" s="769"/>
      <c r="HMF102" s="769"/>
      <c r="HMG102" s="769"/>
      <c r="HMH102" s="769"/>
      <c r="HMI102" s="769"/>
      <c r="HMJ102" s="769"/>
      <c r="HMK102" s="769"/>
      <c r="HML102" s="769"/>
      <c r="HMM102" s="769"/>
      <c r="HMN102" s="769"/>
      <c r="HMO102" s="769"/>
      <c r="HMP102" s="769"/>
      <c r="HMQ102" s="769"/>
      <c r="HMR102" s="769"/>
      <c r="HMS102" s="769"/>
      <c r="HMT102" s="769"/>
      <c r="HMU102" s="769"/>
      <c r="HMV102" s="769"/>
      <c r="HMW102" s="769"/>
      <c r="HMX102" s="769"/>
      <c r="HMY102" s="769"/>
      <c r="HMZ102" s="769"/>
      <c r="HNA102" s="769"/>
      <c r="HNB102" s="769"/>
      <c r="HNC102" s="769"/>
      <c r="HND102" s="769"/>
      <c r="HNE102" s="769"/>
      <c r="HNF102" s="769"/>
      <c r="HNG102" s="769"/>
      <c r="HNH102" s="769"/>
      <c r="HNI102" s="769"/>
      <c r="HNJ102" s="769"/>
      <c r="HNK102" s="769"/>
      <c r="HNL102" s="769"/>
      <c r="HNM102" s="769"/>
      <c r="HNN102" s="769"/>
      <c r="HNO102" s="769"/>
      <c r="HNP102" s="769"/>
      <c r="HNQ102" s="769"/>
      <c r="HNR102" s="769"/>
      <c r="HNS102" s="769"/>
      <c r="HNT102" s="769"/>
      <c r="HNU102" s="769"/>
      <c r="HNV102" s="769"/>
      <c r="HNW102" s="769"/>
      <c r="HNX102" s="769"/>
      <c r="HNY102" s="769"/>
      <c r="HNZ102" s="769"/>
      <c r="HOA102" s="769"/>
      <c r="HOB102" s="769"/>
      <c r="HOC102" s="769"/>
      <c r="HOD102" s="769"/>
      <c r="HOE102" s="769"/>
      <c r="HOF102" s="769"/>
      <c r="HOG102" s="769"/>
      <c r="HOH102" s="769"/>
      <c r="HOI102" s="769"/>
      <c r="HOJ102" s="769"/>
      <c r="HOK102" s="769"/>
      <c r="HOL102" s="769"/>
      <c r="HOM102" s="769"/>
      <c r="HON102" s="769"/>
      <c r="HOO102" s="769"/>
      <c r="HOP102" s="769"/>
      <c r="HOQ102" s="769"/>
      <c r="HOR102" s="769"/>
      <c r="HOS102" s="769"/>
      <c r="HOT102" s="769"/>
      <c r="HOU102" s="769"/>
      <c r="HOV102" s="769"/>
      <c r="HOW102" s="769"/>
      <c r="HOX102" s="769"/>
      <c r="HOY102" s="769"/>
      <c r="HOZ102" s="769"/>
      <c r="HPA102" s="769"/>
      <c r="HPB102" s="769"/>
      <c r="HPC102" s="769"/>
      <c r="HPD102" s="769"/>
      <c r="HPE102" s="769"/>
      <c r="HPF102" s="769"/>
      <c r="HPG102" s="769"/>
      <c r="HPH102" s="769"/>
      <c r="HPI102" s="769"/>
      <c r="HPJ102" s="769"/>
      <c r="HPK102" s="769"/>
      <c r="HPL102" s="769"/>
      <c r="HPM102" s="769"/>
      <c r="HPN102" s="769"/>
      <c r="HPO102" s="769"/>
      <c r="HPP102" s="769"/>
      <c r="HPQ102" s="769"/>
      <c r="HPR102" s="769"/>
      <c r="HPS102" s="769"/>
      <c r="HPT102" s="769"/>
      <c r="HPU102" s="769"/>
      <c r="HPV102" s="769"/>
      <c r="HPW102" s="769"/>
      <c r="HPX102" s="769"/>
      <c r="HPY102" s="769"/>
      <c r="HPZ102" s="769"/>
      <c r="HQA102" s="769"/>
      <c r="HQB102" s="769"/>
      <c r="HQC102" s="769"/>
      <c r="HQD102" s="769"/>
      <c r="HQE102" s="769"/>
      <c r="HQF102" s="769"/>
      <c r="HQG102" s="769"/>
      <c r="HQH102" s="769"/>
      <c r="HQI102" s="769"/>
      <c r="HQJ102" s="769"/>
      <c r="HQK102" s="769"/>
      <c r="HQL102" s="769"/>
      <c r="HQM102" s="769"/>
      <c r="HQN102" s="769"/>
      <c r="HQO102" s="769"/>
      <c r="HQP102" s="769"/>
      <c r="HQQ102" s="769"/>
      <c r="HQR102" s="769"/>
      <c r="HQS102" s="769"/>
      <c r="HQT102" s="769"/>
      <c r="HQU102" s="769"/>
      <c r="HQV102" s="769"/>
      <c r="HQW102" s="769"/>
      <c r="HQX102" s="769"/>
      <c r="HQY102" s="769"/>
      <c r="HQZ102" s="769"/>
      <c r="HRA102" s="769"/>
      <c r="HRB102" s="769"/>
      <c r="HRC102" s="769"/>
      <c r="HRD102" s="769"/>
      <c r="HRE102" s="769"/>
      <c r="HRF102" s="769"/>
      <c r="HRG102" s="769"/>
      <c r="HRH102" s="769"/>
      <c r="HRI102" s="769"/>
      <c r="HRJ102" s="769"/>
      <c r="HRK102" s="769"/>
      <c r="HRL102" s="769"/>
      <c r="HRM102" s="769"/>
      <c r="HRN102" s="769"/>
      <c r="HRO102" s="769"/>
      <c r="HRP102" s="769"/>
      <c r="HRQ102" s="769"/>
      <c r="HRR102" s="769"/>
      <c r="HRS102" s="769"/>
      <c r="HRT102" s="769"/>
      <c r="HRU102" s="769"/>
      <c r="HRV102" s="769"/>
      <c r="HRW102" s="769"/>
      <c r="HRX102" s="769"/>
      <c r="HRY102" s="769"/>
      <c r="HRZ102" s="769"/>
      <c r="HSA102" s="769"/>
      <c r="HSB102" s="769"/>
      <c r="HSC102" s="769"/>
      <c r="HSD102" s="769"/>
      <c r="HSE102" s="769"/>
      <c r="HSF102" s="769"/>
      <c r="HSG102" s="769"/>
      <c r="HSH102" s="769"/>
      <c r="HSI102" s="769"/>
      <c r="HSJ102" s="769"/>
      <c r="HSK102" s="769"/>
      <c r="HSL102" s="769"/>
      <c r="HSM102" s="769"/>
      <c r="HSN102" s="769"/>
      <c r="HSO102" s="769"/>
      <c r="HSP102" s="769"/>
      <c r="HSQ102" s="769"/>
      <c r="HSR102" s="769"/>
      <c r="HSS102" s="769"/>
      <c r="HST102" s="769"/>
      <c r="HSU102" s="769"/>
      <c r="HSV102" s="769"/>
      <c r="HSW102" s="769"/>
      <c r="HSX102" s="769"/>
      <c r="HSY102" s="769"/>
      <c r="HSZ102" s="769"/>
      <c r="HTA102" s="769"/>
      <c r="HTB102" s="769"/>
      <c r="HTC102" s="769"/>
      <c r="HTD102" s="769"/>
      <c r="HTE102" s="769"/>
      <c r="HTF102" s="769"/>
      <c r="HTG102" s="769"/>
      <c r="HTH102" s="769"/>
      <c r="HTI102" s="769"/>
      <c r="HTJ102" s="769"/>
      <c r="HTK102" s="769"/>
      <c r="HTL102" s="769"/>
      <c r="HTM102" s="769"/>
      <c r="HTN102" s="769"/>
      <c r="HTO102" s="769"/>
      <c r="HTP102" s="769"/>
      <c r="HTQ102" s="769"/>
      <c r="HTR102" s="769"/>
      <c r="HTS102" s="769"/>
      <c r="HTT102" s="769"/>
      <c r="HTU102" s="769"/>
      <c r="HTV102" s="769"/>
      <c r="HTW102" s="769"/>
      <c r="HTX102" s="769"/>
      <c r="HTY102" s="769"/>
      <c r="HTZ102" s="769"/>
      <c r="HUA102" s="769"/>
      <c r="HUB102" s="769"/>
      <c r="HUC102" s="769"/>
      <c r="HUD102" s="769"/>
      <c r="HUE102" s="769"/>
      <c r="HUF102" s="769"/>
      <c r="HUG102" s="769"/>
      <c r="HUH102" s="769"/>
      <c r="HUI102" s="769"/>
      <c r="HUJ102" s="769"/>
      <c r="HUK102" s="769"/>
      <c r="HUL102" s="769"/>
      <c r="HUM102" s="769"/>
      <c r="HUN102" s="769"/>
      <c r="HUO102" s="769"/>
      <c r="HUP102" s="769"/>
      <c r="HUQ102" s="769"/>
      <c r="HUR102" s="769"/>
      <c r="HUS102" s="769"/>
      <c r="HUT102" s="769"/>
      <c r="HUU102" s="769"/>
      <c r="HUV102" s="769"/>
      <c r="HUW102" s="769"/>
      <c r="HUX102" s="769"/>
      <c r="HUY102" s="769"/>
      <c r="HUZ102" s="769"/>
      <c r="HVA102" s="769"/>
      <c r="HVB102" s="769"/>
      <c r="HVC102" s="769"/>
      <c r="HVD102" s="769"/>
      <c r="HVE102" s="769"/>
      <c r="HVF102" s="769"/>
      <c r="HVG102" s="769"/>
      <c r="HVH102" s="769"/>
      <c r="HVI102" s="769"/>
      <c r="HVJ102" s="769"/>
      <c r="HVK102" s="769"/>
      <c r="HVL102" s="769"/>
      <c r="HVM102" s="769"/>
      <c r="HVN102" s="769"/>
      <c r="HVO102" s="769"/>
      <c r="HVP102" s="769"/>
      <c r="HVQ102" s="769"/>
      <c r="HVR102" s="769"/>
      <c r="HVS102" s="769"/>
      <c r="HVT102" s="769"/>
      <c r="HVU102" s="769"/>
      <c r="HVV102" s="769"/>
      <c r="HVW102" s="769"/>
      <c r="HVX102" s="769"/>
      <c r="HVY102" s="769"/>
      <c r="HVZ102" s="769"/>
      <c r="HWA102" s="769"/>
      <c r="HWB102" s="769"/>
      <c r="HWC102" s="769"/>
      <c r="HWD102" s="769"/>
      <c r="HWE102" s="769"/>
      <c r="HWF102" s="769"/>
      <c r="HWG102" s="769"/>
      <c r="HWH102" s="769"/>
      <c r="HWI102" s="769"/>
      <c r="HWJ102" s="769"/>
      <c r="HWK102" s="769"/>
      <c r="HWL102" s="769"/>
      <c r="HWM102" s="769"/>
      <c r="HWN102" s="769"/>
      <c r="HWO102" s="769"/>
      <c r="HWP102" s="769"/>
      <c r="HWQ102" s="769"/>
      <c r="HWR102" s="769"/>
      <c r="HWS102" s="769"/>
      <c r="HWT102" s="769"/>
      <c r="HWU102" s="769"/>
      <c r="HWV102" s="769"/>
      <c r="HWW102" s="769"/>
      <c r="HWX102" s="769"/>
      <c r="HWY102" s="769"/>
      <c r="HWZ102" s="769"/>
      <c r="HXA102" s="769"/>
      <c r="HXB102" s="769"/>
      <c r="HXC102" s="769"/>
      <c r="HXD102" s="769"/>
      <c r="HXE102" s="769"/>
      <c r="HXF102" s="769"/>
      <c r="HXG102" s="769"/>
      <c r="HXH102" s="769"/>
      <c r="HXI102" s="769"/>
      <c r="HXJ102" s="769"/>
      <c r="HXK102" s="769"/>
      <c r="HXL102" s="769"/>
      <c r="HXM102" s="769"/>
      <c r="HXN102" s="769"/>
      <c r="HXO102" s="769"/>
      <c r="HXP102" s="769"/>
      <c r="HXQ102" s="769"/>
      <c r="HXR102" s="769"/>
      <c r="HXS102" s="769"/>
      <c r="HXT102" s="769"/>
      <c r="HXU102" s="769"/>
      <c r="HXV102" s="769"/>
      <c r="HXW102" s="769"/>
      <c r="HXX102" s="769"/>
      <c r="HXY102" s="769"/>
      <c r="HXZ102" s="769"/>
      <c r="HYA102" s="769"/>
      <c r="HYB102" s="769"/>
      <c r="HYC102" s="769"/>
      <c r="HYD102" s="769"/>
      <c r="HYE102" s="769"/>
      <c r="HYF102" s="769"/>
      <c r="HYG102" s="769"/>
      <c r="HYH102" s="769"/>
      <c r="HYI102" s="769"/>
      <c r="HYJ102" s="769"/>
      <c r="HYK102" s="769"/>
      <c r="HYL102" s="769"/>
      <c r="HYM102" s="769"/>
      <c r="HYN102" s="769"/>
      <c r="HYO102" s="769"/>
      <c r="HYP102" s="769"/>
      <c r="HYQ102" s="769"/>
      <c r="HYR102" s="769"/>
      <c r="HYS102" s="769"/>
      <c r="HYT102" s="769"/>
      <c r="HYU102" s="769"/>
      <c r="HYV102" s="769"/>
      <c r="HYW102" s="769"/>
      <c r="HYX102" s="769"/>
      <c r="HYY102" s="769"/>
      <c r="HYZ102" s="769"/>
      <c r="HZA102" s="769"/>
      <c r="HZB102" s="769"/>
      <c r="HZC102" s="769"/>
      <c r="HZD102" s="769"/>
      <c r="HZE102" s="769"/>
      <c r="HZF102" s="769"/>
      <c r="HZG102" s="769"/>
      <c r="HZH102" s="769"/>
      <c r="HZI102" s="769"/>
      <c r="HZJ102" s="769"/>
      <c r="HZK102" s="769"/>
      <c r="HZL102" s="769"/>
      <c r="HZM102" s="769"/>
      <c r="HZN102" s="769"/>
      <c r="HZO102" s="769"/>
      <c r="HZP102" s="769"/>
      <c r="HZQ102" s="769"/>
      <c r="HZR102" s="769"/>
      <c r="HZS102" s="769"/>
      <c r="HZT102" s="769"/>
      <c r="HZU102" s="769"/>
      <c r="HZV102" s="769"/>
      <c r="HZW102" s="769"/>
      <c r="HZX102" s="769"/>
      <c r="HZY102" s="769"/>
      <c r="HZZ102" s="769"/>
      <c r="IAA102" s="769"/>
      <c r="IAB102" s="769"/>
      <c r="IAC102" s="769"/>
      <c r="IAD102" s="769"/>
      <c r="IAE102" s="769"/>
      <c r="IAF102" s="769"/>
      <c r="IAG102" s="769"/>
      <c r="IAH102" s="769"/>
      <c r="IAI102" s="769"/>
      <c r="IAJ102" s="769"/>
      <c r="IAK102" s="769"/>
      <c r="IAL102" s="769"/>
      <c r="IAM102" s="769"/>
      <c r="IAN102" s="769"/>
      <c r="IAO102" s="769"/>
      <c r="IAP102" s="769"/>
      <c r="IAQ102" s="769"/>
      <c r="IAR102" s="769"/>
      <c r="IAS102" s="769"/>
      <c r="IAT102" s="769"/>
      <c r="IAU102" s="769"/>
      <c r="IAV102" s="769"/>
      <c r="IAW102" s="769"/>
      <c r="IAX102" s="769"/>
      <c r="IAY102" s="769"/>
      <c r="IAZ102" s="769"/>
      <c r="IBA102" s="769"/>
      <c r="IBB102" s="769"/>
      <c r="IBC102" s="769"/>
      <c r="IBD102" s="769"/>
      <c r="IBE102" s="769"/>
      <c r="IBF102" s="769"/>
      <c r="IBG102" s="769"/>
      <c r="IBH102" s="769"/>
      <c r="IBI102" s="769"/>
      <c r="IBJ102" s="769"/>
      <c r="IBK102" s="769"/>
      <c r="IBL102" s="769"/>
      <c r="IBM102" s="769"/>
      <c r="IBN102" s="769"/>
      <c r="IBO102" s="769"/>
      <c r="IBP102" s="769"/>
      <c r="IBQ102" s="769"/>
      <c r="IBR102" s="769"/>
      <c r="IBS102" s="769"/>
      <c r="IBT102" s="769"/>
      <c r="IBU102" s="769"/>
      <c r="IBV102" s="769"/>
      <c r="IBW102" s="769"/>
      <c r="IBX102" s="769"/>
      <c r="IBY102" s="769"/>
      <c r="IBZ102" s="769"/>
      <c r="ICA102" s="769"/>
      <c r="ICB102" s="769"/>
      <c r="ICC102" s="769"/>
      <c r="ICD102" s="769"/>
      <c r="ICE102" s="769"/>
      <c r="ICF102" s="769"/>
      <c r="ICG102" s="769"/>
      <c r="ICH102" s="769"/>
      <c r="ICI102" s="769"/>
      <c r="ICJ102" s="769"/>
      <c r="ICK102" s="769"/>
      <c r="ICL102" s="769"/>
      <c r="ICM102" s="769"/>
      <c r="ICN102" s="769"/>
      <c r="ICO102" s="769"/>
      <c r="ICP102" s="769"/>
      <c r="ICQ102" s="769"/>
      <c r="ICR102" s="769"/>
      <c r="ICS102" s="769"/>
      <c r="ICT102" s="769"/>
      <c r="ICU102" s="769"/>
      <c r="ICV102" s="769"/>
      <c r="ICW102" s="769"/>
      <c r="ICX102" s="769"/>
      <c r="ICY102" s="769"/>
      <c r="ICZ102" s="769"/>
      <c r="IDA102" s="769"/>
      <c r="IDB102" s="769"/>
      <c r="IDC102" s="769"/>
      <c r="IDD102" s="769"/>
      <c r="IDE102" s="769"/>
      <c r="IDF102" s="769"/>
      <c r="IDG102" s="769"/>
      <c r="IDH102" s="769"/>
      <c r="IDI102" s="769"/>
      <c r="IDJ102" s="769"/>
      <c r="IDK102" s="769"/>
      <c r="IDL102" s="769"/>
      <c r="IDM102" s="769"/>
      <c r="IDN102" s="769"/>
      <c r="IDO102" s="769"/>
      <c r="IDP102" s="769"/>
      <c r="IDQ102" s="769"/>
      <c r="IDR102" s="769"/>
      <c r="IDS102" s="769"/>
      <c r="IDT102" s="769"/>
      <c r="IDU102" s="769"/>
      <c r="IDV102" s="769"/>
      <c r="IDW102" s="769"/>
      <c r="IDX102" s="769"/>
      <c r="IDY102" s="769"/>
      <c r="IDZ102" s="769"/>
      <c r="IEA102" s="769"/>
      <c r="IEB102" s="769"/>
      <c r="IEC102" s="769"/>
      <c r="IED102" s="769"/>
      <c r="IEE102" s="769"/>
      <c r="IEF102" s="769"/>
      <c r="IEG102" s="769"/>
      <c r="IEH102" s="769"/>
      <c r="IEI102" s="769"/>
      <c r="IEJ102" s="769"/>
      <c r="IEK102" s="769"/>
      <c r="IEL102" s="769"/>
      <c r="IEM102" s="769"/>
      <c r="IEN102" s="769"/>
      <c r="IEO102" s="769"/>
      <c r="IEP102" s="769"/>
      <c r="IEQ102" s="769"/>
      <c r="IER102" s="769"/>
      <c r="IES102" s="769"/>
      <c r="IET102" s="769"/>
      <c r="IEU102" s="769"/>
      <c r="IEV102" s="769"/>
      <c r="IEW102" s="769"/>
      <c r="IEX102" s="769"/>
      <c r="IEY102" s="769"/>
      <c r="IEZ102" s="769"/>
      <c r="IFA102" s="769"/>
      <c r="IFB102" s="769"/>
      <c r="IFC102" s="769"/>
      <c r="IFD102" s="769"/>
      <c r="IFE102" s="769"/>
      <c r="IFF102" s="769"/>
      <c r="IFG102" s="769"/>
      <c r="IFH102" s="769"/>
      <c r="IFI102" s="769"/>
      <c r="IFJ102" s="769"/>
      <c r="IFK102" s="769"/>
      <c r="IFL102" s="769"/>
      <c r="IFM102" s="769"/>
      <c r="IFN102" s="769"/>
      <c r="IFO102" s="769"/>
      <c r="IFP102" s="769"/>
      <c r="IFQ102" s="769"/>
      <c r="IFR102" s="769"/>
      <c r="IFS102" s="769"/>
      <c r="IFT102" s="769"/>
      <c r="IFU102" s="769"/>
      <c r="IFV102" s="769"/>
      <c r="IFW102" s="769"/>
      <c r="IFX102" s="769"/>
      <c r="IFY102" s="769"/>
      <c r="IFZ102" s="769"/>
      <c r="IGA102" s="769"/>
      <c r="IGB102" s="769"/>
      <c r="IGC102" s="769"/>
      <c r="IGD102" s="769"/>
      <c r="IGE102" s="769"/>
      <c r="IGF102" s="769"/>
      <c r="IGG102" s="769"/>
      <c r="IGH102" s="769"/>
      <c r="IGI102" s="769"/>
      <c r="IGJ102" s="769"/>
      <c r="IGK102" s="769"/>
      <c r="IGL102" s="769"/>
      <c r="IGM102" s="769"/>
      <c r="IGN102" s="769"/>
      <c r="IGO102" s="769"/>
      <c r="IGP102" s="769"/>
      <c r="IGQ102" s="769"/>
      <c r="IGR102" s="769"/>
      <c r="IGS102" s="769"/>
      <c r="IGT102" s="769"/>
      <c r="IGU102" s="769"/>
      <c r="IGV102" s="769"/>
      <c r="IGW102" s="769"/>
      <c r="IGX102" s="769"/>
      <c r="IGY102" s="769"/>
      <c r="IGZ102" s="769"/>
      <c r="IHA102" s="769"/>
      <c r="IHB102" s="769"/>
      <c r="IHC102" s="769"/>
      <c r="IHD102" s="769"/>
      <c r="IHE102" s="769"/>
      <c r="IHF102" s="769"/>
      <c r="IHG102" s="769"/>
      <c r="IHH102" s="769"/>
      <c r="IHI102" s="769"/>
      <c r="IHJ102" s="769"/>
      <c r="IHK102" s="769"/>
      <c r="IHL102" s="769"/>
      <c r="IHM102" s="769"/>
      <c r="IHN102" s="769"/>
      <c r="IHO102" s="769"/>
      <c r="IHP102" s="769"/>
      <c r="IHQ102" s="769"/>
      <c r="IHR102" s="769"/>
      <c r="IHS102" s="769"/>
      <c r="IHT102" s="769"/>
      <c r="IHU102" s="769"/>
      <c r="IHV102" s="769"/>
      <c r="IHW102" s="769"/>
      <c r="IHX102" s="769"/>
      <c r="IHY102" s="769"/>
      <c r="IHZ102" s="769"/>
      <c r="IIA102" s="769"/>
      <c r="IIB102" s="769"/>
      <c r="IIC102" s="769"/>
      <c r="IID102" s="769"/>
      <c r="IIE102" s="769"/>
      <c r="IIF102" s="769"/>
      <c r="IIG102" s="769"/>
      <c r="IIH102" s="769"/>
      <c r="III102" s="769"/>
      <c r="IIJ102" s="769"/>
      <c r="IIK102" s="769"/>
      <c r="IIL102" s="769"/>
      <c r="IIM102" s="769"/>
      <c r="IIN102" s="769"/>
      <c r="IIO102" s="769"/>
      <c r="IIP102" s="769"/>
      <c r="IIQ102" s="769"/>
      <c r="IIR102" s="769"/>
      <c r="IIS102" s="769"/>
      <c r="IIT102" s="769"/>
      <c r="IIU102" s="769"/>
      <c r="IIV102" s="769"/>
      <c r="IIW102" s="769"/>
      <c r="IIX102" s="769"/>
      <c r="IIY102" s="769"/>
      <c r="IIZ102" s="769"/>
      <c r="IJA102" s="769"/>
      <c r="IJB102" s="769"/>
      <c r="IJC102" s="769"/>
      <c r="IJD102" s="769"/>
      <c r="IJE102" s="769"/>
      <c r="IJF102" s="769"/>
      <c r="IJG102" s="769"/>
      <c r="IJH102" s="769"/>
      <c r="IJI102" s="769"/>
      <c r="IJJ102" s="769"/>
      <c r="IJK102" s="769"/>
      <c r="IJL102" s="769"/>
      <c r="IJM102" s="769"/>
      <c r="IJN102" s="769"/>
      <c r="IJO102" s="769"/>
      <c r="IJP102" s="769"/>
      <c r="IJQ102" s="769"/>
      <c r="IJR102" s="769"/>
      <c r="IJS102" s="769"/>
      <c r="IJT102" s="769"/>
      <c r="IJU102" s="769"/>
      <c r="IJV102" s="769"/>
      <c r="IJW102" s="769"/>
      <c r="IJX102" s="769"/>
      <c r="IJY102" s="769"/>
      <c r="IJZ102" s="769"/>
      <c r="IKA102" s="769"/>
      <c r="IKB102" s="769"/>
      <c r="IKC102" s="769"/>
      <c r="IKD102" s="769"/>
      <c r="IKE102" s="769"/>
      <c r="IKF102" s="769"/>
      <c r="IKG102" s="769"/>
      <c r="IKH102" s="769"/>
      <c r="IKI102" s="769"/>
      <c r="IKJ102" s="769"/>
      <c r="IKK102" s="769"/>
      <c r="IKL102" s="769"/>
      <c r="IKM102" s="769"/>
      <c r="IKN102" s="769"/>
      <c r="IKO102" s="769"/>
      <c r="IKP102" s="769"/>
      <c r="IKQ102" s="769"/>
      <c r="IKR102" s="769"/>
      <c r="IKS102" s="769"/>
      <c r="IKT102" s="769"/>
      <c r="IKU102" s="769"/>
      <c r="IKV102" s="769"/>
      <c r="IKW102" s="769"/>
      <c r="IKX102" s="769"/>
      <c r="IKY102" s="769"/>
      <c r="IKZ102" s="769"/>
      <c r="ILA102" s="769"/>
      <c r="ILB102" s="769"/>
      <c r="ILC102" s="769"/>
      <c r="ILD102" s="769"/>
      <c r="ILE102" s="769"/>
      <c r="ILF102" s="769"/>
      <c r="ILG102" s="769"/>
      <c r="ILH102" s="769"/>
      <c r="ILI102" s="769"/>
      <c r="ILJ102" s="769"/>
      <c r="ILK102" s="769"/>
      <c r="ILL102" s="769"/>
      <c r="ILM102" s="769"/>
      <c r="ILN102" s="769"/>
      <c r="ILO102" s="769"/>
      <c r="ILP102" s="769"/>
      <c r="ILQ102" s="769"/>
      <c r="ILR102" s="769"/>
      <c r="ILS102" s="769"/>
      <c r="ILT102" s="769"/>
      <c r="ILU102" s="769"/>
      <c r="ILV102" s="769"/>
      <c r="ILW102" s="769"/>
      <c r="ILX102" s="769"/>
      <c r="ILY102" s="769"/>
      <c r="ILZ102" s="769"/>
      <c r="IMA102" s="769"/>
      <c r="IMB102" s="769"/>
      <c r="IMC102" s="769"/>
      <c r="IMD102" s="769"/>
      <c r="IME102" s="769"/>
      <c r="IMF102" s="769"/>
      <c r="IMG102" s="769"/>
      <c r="IMH102" s="769"/>
      <c r="IMI102" s="769"/>
      <c r="IMJ102" s="769"/>
      <c r="IMK102" s="769"/>
      <c r="IML102" s="769"/>
      <c r="IMM102" s="769"/>
      <c r="IMN102" s="769"/>
      <c r="IMO102" s="769"/>
      <c r="IMP102" s="769"/>
      <c r="IMQ102" s="769"/>
      <c r="IMR102" s="769"/>
      <c r="IMS102" s="769"/>
      <c r="IMT102" s="769"/>
      <c r="IMU102" s="769"/>
      <c r="IMV102" s="769"/>
      <c r="IMW102" s="769"/>
      <c r="IMX102" s="769"/>
      <c r="IMY102" s="769"/>
      <c r="IMZ102" s="769"/>
      <c r="INA102" s="769"/>
      <c r="INB102" s="769"/>
      <c r="INC102" s="769"/>
      <c r="IND102" s="769"/>
      <c r="INE102" s="769"/>
      <c r="INF102" s="769"/>
      <c r="ING102" s="769"/>
      <c r="INH102" s="769"/>
      <c r="INI102" s="769"/>
      <c r="INJ102" s="769"/>
      <c r="INK102" s="769"/>
      <c r="INL102" s="769"/>
      <c r="INM102" s="769"/>
      <c r="INN102" s="769"/>
      <c r="INO102" s="769"/>
      <c r="INP102" s="769"/>
      <c r="INQ102" s="769"/>
      <c r="INR102" s="769"/>
      <c r="INS102" s="769"/>
      <c r="INT102" s="769"/>
      <c r="INU102" s="769"/>
      <c r="INV102" s="769"/>
      <c r="INW102" s="769"/>
      <c r="INX102" s="769"/>
      <c r="INY102" s="769"/>
      <c r="INZ102" s="769"/>
      <c r="IOA102" s="769"/>
      <c r="IOB102" s="769"/>
      <c r="IOC102" s="769"/>
      <c r="IOD102" s="769"/>
      <c r="IOE102" s="769"/>
      <c r="IOF102" s="769"/>
      <c r="IOG102" s="769"/>
      <c r="IOH102" s="769"/>
      <c r="IOI102" s="769"/>
      <c r="IOJ102" s="769"/>
      <c r="IOK102" s="769"/>
      <c r="IOL102" s="769"/>
      <c r="IOM102" s="769"/>
      <c r="ION102" s="769"/>
      <c r="IOO102" s="769"/>
      <c r="IOP102" s="769"/>
      <c r="IOQ102" s="769"/>
      <c r="IOR102" s="769"/>
      <c r="IOS102" s="769"/>
      <c r="IOT102" s="769"/>
      <c r="IOU102" s="769"/>
      <c r="IOV102" s="769"/>
      <c r="IOW102" s="769"/>
      <c r="IOX102" s="769"/>
      <c r="IOY102" s="769"/>
      <c r="IOZ102" s="769"/>
      <c r="IPA102" s="769"/>
      <c r="IPB102" s="769"/>
      <c r="IPC102" s="769"/>
      <c r="IPD102" s="769"/>
      <c r="IPE102" s="769"/>
      <c r="IPF102" s="769"/>
      <c r="IPG102" s="769"/>
      <c r="IPH102" s="769"/>
      <c r="IPI102" s="769"/>
      <c r="IPJ102" s="769"/>
      <c r="IPK102" s="769"/>
      <c r="IPL102" s="769"/>
      <c r="IPM102" s="769"/>
      <c r="IPN102" s="769"/>
      <c r="IPO102" s="769"/>
      <c r="IPP102" s="769"/>
      <c r="IPQ102" s="769"/>
      <c r="IPR102" s="769"/>
      <c r="IPS102" s="769"/>
      <c r="IPT102" s="769"/>
      <c r="IPU102" s="769"/>
      <c r="IPV102" s="769"/>
      <c r="IPW102" s="769"/>
      <c r="IPX102" s="769"/>
      <c r="IPY102" s="769"/>
      <c r="IPZ102" s="769"/>
      <c r="IQA102" s="769"/>
      <c r="IQB102" s="769"/>
      <c r="IQC102" s="769"/>
      <c r="IQD102" s="769"/>
      <c r="IQE102" s="769"/>
      <c r="IQF102" s="769"/>
      <c r="IQG102" s="769"/>
      <c r="IQH102" s="769"/>
      <c r="IQI102" s="769"/>
      <c r="IQJ102" s="769"/>
      <c r="IQK102" s="769"/>
      <c r="IQL102" s="769"/>
      <c r="IQM102" s="769"/>
      <c r="IQN102" s="769"/>
      <c r="IQO102" s="769"/>
      <c r="IQP102" s="769"/>
      <c r="IQQ102" s="769"/>
      <c r="IQR102" s="769"/>
      <c r="IQS102" s="769"/>
      <c r="IQT102" s="769"/>
      <c r="IQU102" s="769"/>
      <c r="IQV102" s="769"/>
      <c r="IQW102" s="769"/>
      <c r="IQX102" s="769"/>
      <c r="IQY102" s="769"/>
      <c r="IQZ102" s="769"/>
      <c r="IRA102" s="769"/>
      <c r="IRB102" s="769"/>
      <c r="IRC102" s="769"/>
      <c r="IRD102" s="769"/>
      <c r="IRE102" s="769"/>
      <c r="IRF102" s="769"/>
      <c r="IRG102" s="769"/>
      <c r="IRH102" s="769"/>
      <c r="IRI102" s="769"/>
      <c r="IRJ102" s="769"/>
      <c r="IRK102" s="769"/>
      <c r="IRL102" s="769"/>
      <c r="IRM102" s="769"/>
      <c r="IRN102" s="769"/>
      <c r="IRO102" s="769"/>
      <c r="IRP102" s="769"/>
      <c r="IRQ102" s="769"/>
      <c r="IRR102" s="769"/>
      <c r="IRS102" s="769"/>
      <c r="IRT102" s="769"/>
      <c r="IRU102" s="769"/>
      <c r="IRV102" s="769"/>
      <c r="IRW102" s="769"/>
      <c r="IRX102" s="769"/>
      <c r="IRY102" s="769"/>
      <c r="IRZ102" s="769"/>
      <c r="ISA102" s="769"/>
      <c r="ISB102" s="769"/>
      <c r="ISC102" s="769"/>
      <c r="ISD102" s="769"/>
      <c r="ISE102" s="769"/>
      <c r="ISF102" s="769"/>
      <c r="ISG102" s="769"/>
      <c r="ISH102" s="769"/>
      <c r="ISI102" s="769"/>
      <c r="ISJ102" s="769"/>
      <c r="ISK102" s="769"/>
      <c r="ISL102" s="769"/>
      <c r="ISM102" s="769"/>
      <c r="ISN102" s="769"/>
      <c r="ISO102" s="769"/>
      <c r="ISP102" s="769"/>
      <c r="ISQ102" s="769"/>
      <c r="ISR102" s="769"/>
      <c r="ISS102" s="769"/>
      <c r="IST102" s="769"/>
      <c r="ISU102" s="769"/>
      <c r="ISV102" s="769"/>
      <c r="ISW102" s="769"/>
      <c r="ISX102" s="769"/>
      <c r="ISY102" s="769"/>
      <c r="ISZ102" s="769"/>
      <c r="ITA102" s="769"/>
      <c r="ITB102" s="769"/>
      <c r="ITC102" s="769"/>
      <c r="ITD102" s="769"/>
      <c r="ITE102" s="769"/>
      <c r="ITF102" s="769"/>
      <c r="ITG102" s="769"/>
      <c r="ITH102" s="769"/>
      <c r="ITI102" s="769"/>
      <c r="ITJ102" s="769"/>
      <c r="ITK102" s="769"/>
      <c r="ITL102" s="769"/>
      <c r="ITM102" s="769"/>
      <c r="ITN102" s="769"/>
      <c r="ITO102" s="769"/>
      <c r="ITP102" s="769"/>
      <c r="ITQ102" s="769"/>
      <c r="ITR102" s="769"/>
      <c r="ITS102" s="769"/>
      <c r="ITT102" s="769"/>
      <c r="ITU102" s="769"/>
      <c r="ITV102" s="769"/>
      <c r="ITW102" s="769"/>
      <c r="ITX102" s="769"/>
      <c r="ITY102" s="769"/>
      <c r="ITZ102" s="769"/>
      <c r="IUA102" s="769"/>
      <c r="IUB102" s="769"/>
      <c r="IUC102" s="769"/>
      <c r="IUD102" s="769"/>
      <c r="IUE102" s="769"/>
      <c r="IUF102" s="769"/>
      <c r="IUG102" s="769"/>
      <c r="IUH102" s="769"/>
      <c r="IUI102" s="769"/>
      <c r="IUJ102" s="769"/>
      <c r="IUK102" s="769"/>
      <c r="IUL102" s="769"/>
      <c r="IUM102" s="769"/>
      <c r="IUN102" s="769"/>
      <c r="IUO102" s="769"/>
      <c r="IUP102" s="769"/>
      <c r="IUQ102" s="769"/>
      <c r="IUR102" s="769"/>
      <c r="IUS102" s="769"/>
      <c r="IUT102" s="769"/>
      <c r="IUU102" s="769"/>
      <c r="IUV102" s="769"/>
      <c r="IUW102" s="769"/>
      <c r="IUX102" s="769"/>
      <c r="IUY102" s="769"/>
      <c r="IUZ102" s="769"/>
      <c r="IVA102" s="769"/>
      <c r="IVB102" s="769"/>
      <c r="IVC102" s="769"/>
      <c r="IVD102" s="769"/>
      <c r="IVE102" s="769"/>
      <c r="IVF102" s="769"/>
      <c r="IVG102" s="769"/>
      <c r="IVH102" s="769"/>
      <c r="IVI102" s="769"/>
      <c r="IVJ102" s="769"/>
      <c r="IVK102" s="769"/>
      <c r="IVL102" s="769"/>
      <c r="IVM102" s="769"/>
      <c r="IVN102" s="769"/>
      <c r="IVO102" s="769"/>
      <c r="IVP102" s="769"/>
      <c r="IVQ102" s="769"/>
      <c r="IVR102" s="769"/>
      <c r="IVS102" s="769"/>
      <c r="IVT102" s="769"/>
      <c r="IVU102" s="769"/>
      <c r="IVV102" s="769"/>
      <c r="IVW102" s="769"/>
      <c r="IVX102" s="769"/>
      <c r="IVY102" s="769"/>
      <c r="IVZ102" s="769"/>
      <c r="IWA102" s="769"/>
      <c r="IWB102" s="769"/>
      <c r="IWC102" s="769"/>
      <c r="IWD102" s="769"/>
      <c r="IWE102" s="769"/>
      <c r="IWF102" s="769"/>
      <c r="IWG102" s="769"/>
      <c r="IWH102" s="769"/>
      <c r="IWI102" s="769"/>
      <c r="IWJ102" s="769"/>
      <c r="IWK102" s="769"/>
      <c r="IWL102" s="769"/>
      <c r="IWM102" s="769"/>
      <c r="IWN102" s="769"/>
      <c r="IWO102" s="769"/>
      <c r="IWP102" s="769"/>
      <c r="IWQ102" s="769"/>
      <c r="IWR102" s="769"/>
      <c r="IWS102" s="769"/>
      <c r="IWT102" s="769"/>
      <c r="IWU102" s="769"/>
      <c r="IWV102" s="769"/>
      <c r="IWW102" s="769"/>
      <c r="IWX102" s="769"/>
      <c r="IWY102" s="769"/>
      <c r="IWZ102" s="769"/>
      <c r="IXA102" s="769"/>
      <c r="IXB102" s="769"/>
      <c r="IXC102" s="769"/>
      <c r="IXD102" s="769"/>
      <c r="IXE102" s="769"/>
      <c r="IXF102" s="769"/>
      <c r="IXG102" s="769"/>
      <c r="IXH102" s="769"/>
      <c r="IXI102" s="769"/>
      <c r="IXJ102" s="769"/>
      <c r="IXK102" s="769"/>
      <c r="IXL102" s="769"/>
      <c r="IXM102" s="769"/>
      <c r="IXN102" s="769"/>
      <c r="IXO102" s="769"/>
      <c r="IXP102" s="769"/>
      <c r="IXQ102" s="769"/>
      <c r="IXR102" s="769"/>
      <c r="IXS102" s="769"/>
      <c r="IXT102" s="769"/>
      <c r="IXU102" s="769"/>
      <c r="IXV102" s="769"/>
      <c r="IXW102" s="769"/>
      <c r="IXX102" s="769"/>
      <c r="IXY102" s="769"/>
      <c r="IXZ102" s="769"/>
      <c r="IYA102" s="769"/>
      <c r="IYB102" s="769"/>
      <c r="IYC102" s="769"/>
      <c r="IYD102" s="769"/>
      <c r="IYE102" s="769"/>
      <c r="IYF102" s="769"/>
      <c r="IYG102" s="769"/>
      <c r="IYH102" s="769"/>
      <c r="IYI102" s="769"/>
      <c r="IYJ102" s="769"/>
      <c r="IYK102" s="769"/>
      <c r="IYL102" s="769"/>
      <c r="IYM102" s="769"/>
      <c r="IYN102" s="769"/>
      <c r="IYO102" s="769"/>
      <c r="IYP102" s="769"/>
      <c r="IYQ102" s="769"/>
      <c r="IYR102" s="769"/>
      <c r="IYS102" s="769"/>
      <c r="IYT102" s="769"/>
      <c r="IYU102" s="769"/>
      <c r="IYV102" s="769"/>
      <c r="IYW102" s="769"/>
      <c r="IYX102" s="769"/>
      <c r="IYY102" s="769"/>
      <c r="IYZ102" s="769"/>
      <c r="IZA102" s="769"/>
      <c r="IZB102" s="769"/>
      <c r="IZC102" s="769"/>
      <c r="IZD102" s="769"/>
      <c r="IZE102" s="769"/>
      <c r="IZF102" s="769"/>
      <c r="IZG102" s="769"/>
      <c r="IZH102" s="769"/>
      <c r="IZI102" s="769"/>
      <c r="IZJ102" s="769"/>
      <c r="IZK102" s="769"/>
      <c r="IZL102" s="769"/>
      <c r="IZM102" s="769"/>
      <c r="IZN102" s="769"/>
      <c r="IZO102" s="769"/>
      <c r="IZP102" s="769"/>
      <c r="IZQ102" s="769"/>
      <c r="IZR102" s="769"/>
      <c r="IZS102" s="769"/>
      <c r="IZT102" s="769"/>
      <c r="IZU102" s="769"/>
      <c r="IZV102" s="769"/>
      <c r="IZW102" s="769"/>
      <c r="IZX102" s="769"/>
      <c r="IZY102" s="769"/>
      <c r="IZZ102" s="769"/>
      <c r="JAA102" s="769"/>
      <c r="JAB102" s="769"/>
      <c r="JAC102" s="769"/>
      <c r="JAD102" s="769"/>
      <c r="JAE102" s="769"/>
      <c r="JAF102" s="769"/>
      <c r="JAG102" s="769"/>
      <c r="JAH102" s="769"/>
      <c r="JAI102" s="769"/>
      <c r="JAJ102" s="769"/>
      <c r="JAK102" s="769"/>
      <c r="JAL102" s="769"/>
      <c r="JAM102" s="769"/>
      <c r="JAN102" s="769"/>
      <c r="JAO102" s="769"/>
      <c r="JAP102" s="769"/>
      <c r="JAQ102" s="769"/>
      <c r="JAR102" s="769"/>
      <c r="JAS102" s="769"/>
      <c r="JAT102" s="769"/>
      <c r="JAU102" s="769"/>
      <c r="JAV102" s="769"/>
      <c r="JAW102" s="769"/>
      <c r="JAX102" s="769"/>
      <c r="JAY102" s="769"/>
      <c r="JAZ102" s="769"/>
      <c r="JBA102" s="769"/>
      <c r="JBB102" s="769"/>
      <c r="JBC102" s="769"/>
      <c r="JBD102" s="769"/>
      <c r="JBE102" s="769"/>
      <c r="JBF102" s="769"/>
      <c r="JBG102" s="769"/>
      <c r="JBH102" s="769"/>
      <c r="JBI102" s="769"/>
      <c r="JBJ102" s="769"/>
      <c r="JBK102" s="769"/>
      <c r="JBL102" s="769"/>
      <c r="JBM102" s="769"/>
      <c r="JBN102" s="769"/>
      <c r="JBO102" s="769"/>
      <c r="JBP102" s="769"/>
      <c r="JBQ102" s="769"/>
      <c r="JBR102" s="769"/>
      <c r="JBS102" s="769"/>
      <c r="JBT102" s="769"/>
      <c r="JBU102" s="769"/>
      <c r="JBV102" s="769"/>
      <c r="JBW102" s="769"/>
      <c r="JBX102" s="769"/>
      <c r="JBY102" s="769"/>
      <c r="JBZ102" s="769"/>
      <c r="JCA102" s="769"/>
      <c r="JCB102" s="769"/>
      <c r="JCC102" s="769"/>
      <c r="JCD102" s="769"/>
      <c r="JCE102" s="769"/>
      <c r="JCF102" s="769"/>
      <c r="JCG102" s="769"/>
      <c r="JCH102" s="769"/>
      <c r="JCI102" s="769"/>
      <c r="JCJ102" s="769"/>
      <c r="JCK102" s="769"/>
      <c r="JCL102" s="769"/>
      <c r="JCM102" s="769"/>
      <c r="JCN102" s="769"/>
      <c r="JCO102" s="769"/>
      <c r="JCP102" s="769"/>
      <c r="JCQ102" s="769"/>
      <c r="JCR102" s="769"/>
      <c r="JCS102" s="769"/>
      <c r="JCT102" s="769"/>
      <c r="JCU102" s="769"/>
      <c r="JCV102" s="769"/>
      <c r="JCW102" s="769"/>
      <c r="JCX102" s="769"/>
      <c r="JCY102" s="769"/>
      <c r="JCZ102" s="769"/>
      <c r="JDA102" s="769"/>
      <c r="JDB102" s="769"/>
      <c r="JDC102" s="769"/>
      <c r="JDD102" s="769"/>
      <c r="JDE102" s="769"/>
      <c r="JDF102" s="769"/>
      <c r="JDG102" s="769"/>
      <c r="JDH102" s="769"/>
      <c r="JDI102" s="769"/>
      <c r="JDJ102" s="769"/>
      <c r="JDK102" s="769"/>
      <c r="JDL102" s="769"/>
      <c r="JDM102" s="769"/>
      <c r="JDN102" s="769"/>
      <c r="JDO102" s="769"/>
      <c r="JDP102" s="769"/>
      <c r="JDQ102" s="769"/>
      <c r="JDR102" s="769"/>
      <c r="JDS102" s="769"/>
      <c r="JDT102" s="769"/>
      <c r="JDU102" s="769"/>
      <c r="JDV102" s="769"/>
      <c r="JDW102" s="769"/>
      <c r="JDX102" s="769"/>
      <c r="JDY102" s="769"/>
      <c r="JDZ102" s="769"/>
      <c r="JEA102" s="769"/>
      <c r="JEB102" s="769"/>
      <c r="JEC102" s="769"/>
      <c r="JED102" s="769"/>
      <c r="JEE102" s="769"/>
      <c r="JEF102" s="769"/>
      <c r="JEG102" s="769"/>
      <c r="JEH102" s="769"/>
      <c r="JEI102" s="769"/>
      <c r="JEJ102" s="769"/>
      <c r="JEK102" s="769"/>
      <c r="JEL102" s="769"/>
      <c r="JEM102" s="769"/>
      <c r="JEN102" s="769"/>
      <c r="JEO102" s="769"/>
      <c r="JEP102" s="769"/>
      <c r="JEQ102" s="769"/>
      <c r="JER102" s="769"/>
      <c r="JES102" s="769"/>
      <c r="JET102" s="769"/>
      <c r="JEU102" s="769"/>
      <c r="JEV102" s="769"/>
      <c r="JEW102" s="769"/>
      <c r="JEX102" s="769"/>
      <c r="JEY102" s="769"/>
      <c r="JEZ102" s="769"/>
      <c r="JFA102" s="769"/>
      <c r="JFB102" s="769"/>
      <c r="JFC102" s="769"/>
      <c r="JFD102" s="769"/>
      <c r="JFE102" s="769"/>
      <c r="JFF102" s="769"/>
      <c r="JFG102" s="769"/>
      <c r="JFH102" s="769"/>
      <c r="JFI102" s="769"/>
      <c r="JFJ102" s="769"/>
      <c r="JFK102" s="769"/>
      <c r="JFL102" s="769"/>
      <c r="JFM102" s="769"/>
      <c r="JFN102" s="769"/>
      <c r="JFO102" s="769"/>
      <c r="JFP102" s="769"/>
      <c r="JFQ102" s="769"/>
      <c r="JFR102" s="769"/>
      <c r="JFS102" s="769"/>
      <c r="JFT102" s="769"/>
      <c r="JFU102" s="769"/>
      <c r="JFV102" s="769"/>
      <c r="JFW102" s="769"/>
      <c r="JFX102" s="769"/>
      <c r="JFY102" s="769"/>
      <c r="JFZ102" s="769"/>
      <c r="JGA102" s="769"/>
      <c r="JGB102" s="769"/>
      <c r="JGC102" s="769"/>
      <c r="JGD102" s="769"/>
      <c r="JGE102" s="769"/>
      <c r="JGF102" s="769"/>
      <c r="JGG102" s="769"/>
      <c r="JGH102" s="769"/>
      <c r="JGI102" s="769"/>
      <c r="JGJ102" s="769"/>
      <c r="JGK102" s="769"/>
      <c r="JGL102" s="769"/>
      <c r="JGM102" s="769"/>
      <c r="JGN102" s="769"/>
      <c r="JGO102" s="769"/>
      <c r="JGP102" s="769"/>
      <c r="JGQ102" s="769"/>
      <c r="JGR102" s="769"/>
      <c r="JGS102" s="769"/>
      <c r="JGT102" s="769"/>
      <c r="JGU102" s="769"/>
      <c r="JGV102" s="769"/>
      <c r="JGW102" s="769"/>
      <c r="JGX102" s="769"/>
      <c r="JGY102" s="769"/>
      <c r="JGZ102" s="769"/>
      <c r="JHA102" s="769"/>
      <c r="JHB102" s="769"/>
      <c r="JHC102" s="769"/>
      <c r="JHD102" s="769"/>
      <c r="JHE102" s="769"/>
      <c r="JHF102" s="769"/>
      <c r="JHG102" s="769"/>
      <c r="JHH102" s="769"/>
      <c r="JHI102" s="769"/>
      <c r="JHJ102" s="769"/>
      <c r="JHK102" s="769"/>
      <c r="JHL102" s="769"/>
      <c r="JHM102" s="769"/>
      <c r="JHN102" s="769"/>
      <c r="JHO102" s="769"/>
      <c r="JHP102" s="769"/>
      <c r="JHQ102" s="769"/>
      <c r="JHR102" s="769"/>
      <c r="JHS102" s="769"/>
      <c r="JHT102" s="769"/>
      <c r="JHU102" s="769"/>
      <c r="JHV102" s="769"/>
      <c r="JHW102" s="769"/>
      <c r="JHX102" s="769"/>
      <c r="JHY102" s="769"/>
      <c r="JHZ102" s="769"/>
      <c r="JIA102" s="769"/>
      <c r="JIB102" s="769"/>
      <c r="JIC102" s="769"/>
      <c r="JID102" s="769"/>
      <c r="JIE102" s="769"/>
      <c r="JIF102" s="769"/>
      <c r="JIG102" s="769"/>
      <c r="JIH102" s="769"/>
      <c r="JII102" s="769"/>
      <c r="JIJ102" s="769"/>
      <c r="JIK102" s="769"/>
      <c r="JIL102" s="769"/>
      <c r="JIM102" s="769"/>
      <c r="JIN102" s="769"/>
      <c r="JIO102" s="769"/>
      <c r="JIP102" s="769"/>
      <c r="JIQ102" s="769"/>
      <c r="JIR102" s="769"/>
      <c r="JIS102" s="769"/>
      <c r="JIT102" s="769"/>
      <c r="JIU102" s="769"/>
      <c r="JIV102" s="769"/>
      <c r="JIW102" s="769"/>
      <c r="JIX102" s="769"/>
      <c r="JIY102" s="769"/>
      <c r="JIZ102" s="769"/>
      <c r="JJA102" s="769"/>
      <c r="JJB102" s="769"/>
      <c r="JJC102" s="769"/>
      <c r="JJD102" s="769"/>
      <c r="JJE102" s="769"/>
      <c r="JJF102" s="769"/>
      <c r="JJG102" s="769"/>
      <c r="JJH102" s="769"/>
      <c r="JJI102" s="769"/>
      <c r="JJJ102" s="769"/>
      <c r="JJK102" s="769"/>
      <c r="JJL102" s="769"/>
      <c r="JJM102" s="769"/>
      <c r="JJN102" s="769"/>
      <c r="JJO102" s="769"/>
      <c r="JJP102" s="769"/>
      <c r="JJQ102" s="769"/>
      <c r="JJR102" s="769"/>
      <c r="JJS102" s="769"/>
      <c r="JJT102" s="769"/>
      <c r="JJU102" s="769"/>
      <c r="JJV102" s="769"/>
      <c r="JJW102" s="769"/>
      <c r="JJX102" s="769"/>
      <c r="JJY102" s="769"/>
      <c r="JJZ102" s="769"/>
      <c r="JKA102" s="769"/>
      <c r="JKB102" s="769"/>
      <c r="JKC102" s="769"/>
      <c r="JKD102" s="769"/>
      <c r="JKE102" s="769"/>
      <c r="JKF102" s="769"/>
      <c r="JKG102" s="769"/>
      <c r="JKH102" s="769"/>
      <c r="JKI102" s="769"/>
      <c r="JKJ102" s="769"/>
      <c r="JKK102" s="769"/>
      <c r="JKL102" s="769"/>
      <c r="JKM102" s="769"/>
      <c r="JKN102" s="769"/>
      <c r="JKO102" s="769"/>
      <c r="JKP102" s="769"/>
      <c r="JKQ102" s="769"/>
      <c r="JKR102" s="769"/>
      <c r="JKS102" s="769"/>
      <c r="JKT102" s="769"/>
      <c r="JKU102" s="769"/>
      <c r="JKV102" s="769"/>
      <c r="JKW102" s="769"/>
      <c r="JKX102" s="769"/>
      <c r="JKY102" s="769"/>
      <c r="JKZ102" s="769"/>
      <c r="JLA102" s="769"/>
      <c r="JLB102" s="769"/>
      <c r="JLC102" s="769"/>
      <c r="JLD102" s="769"/>
      <c r="JLE102" s="769"/>
      <c r="JLF102" s="769"/>
      <c r="JLG102" s="769"/>
      <c r="JLH102" s="769"/>
      <c r="JLI102" s="769"/>
      <c r="JLJ102" s="769"/>
      <c r="JLK102" s="769"/>
      <c r="JLL102" s="769"/>
      <c r="JLM102" s="769"/>
      <c r="JLN102" s="769"/>
      <c r="JLO102" s="769"/>
      <c r="JLP102" s="769"/>
      <c r="JLQ102" s="769"/>
      <c r="JLR102" s="769"/>
      <c r="JLS102" s="769"/>
      <c r="JLT102" s="769"/>
      <c r="JLU102" s="769"/>
      <c r="JLV102" s="769"/>
      <c r="JLW102" s="769"/>
      <c r="JLX102" s="769"/>
      <c r="JLY102" s="769"/>
      <c r="JLZ102" s="769"/>
      <c r="JMA102" s="769"/>
      <c r="JMB102" s="769"/>
      <c r="JMC102" s="769"/>
      <c r="JMD102" s="769"/>
      <c r="JME102" s="769"/>
      <c r="JMF102" s="769"/>
      <c r="JMG102" s="769"/>
      <c r="JMH102" s="769"/>
      <c r="JMI102" s="769"/>
      <c r="JMJ102" s="769"/>
      <c r="JMK102" s="769"/>
      <c r="JML102" s="769"/>
      <c r="JMM102" s="769"/>
      <c r="JMN102" s="769"/>
      <c r="JMO102" s="769"/>
      <c r="JMP102" s="769"/>
      <c r="JMQ102" s="769"/>
      <c r="JMR102" s="769"/>
      <c r="JMS102" s="769"/>
      <c r="JMT102" s="769"/>
      <c r="JMU102" s="769"/>
      <c r="JMV102" s="769"/>
      <c r="JMW102" s="769"/>
      <c r="JMX102" s="769"/>
      <c r="JMY102" s="769"/>
      <c r="JMZ102" s="769"/>
      <c r="JNA102" s="769"/>
      <c r="JNB102" s="769"/>
      <c r="JNC102" s="769"/>
      <c r="JND102" s="769"/>
      <c r="JNE102" s="769"/>
      <c r="JNF102" s="769"/>
      <c r="JNG102" s="769"/>
      <c r="JNH102" s="769"/>
      <c r="JNI102" s="769"/>
      <c r="JNJ102" s="769"/>
      <c r="JNK102" s="769"/>
      <c r="JNL102" s="769"/>
      <c r="JNM102" s="769"/>
      <c r="JNN102" s="769"/>
      <c r="JNO102" s="769"/>
      <c r="JNP102" s="769"/>
      <c r="JNQ102" s="769"/>
      <c r="JNR102" s="769"/>
      <c r="JNS102" s="769"/>
      <c r="JNT102" s="769"/>
      <c r="JNU102" s="769"/>
      <c r="JNV102" s="769"/>
      <c r="JNW102" s="769"/>
      <c r="JNX102" s="769"/>
      <c r="JNY102" s="769"/>
      <c r="JNZ102" s="769"/>
      <c r="JOA102" s="769"/>
      <c r="JOB102" s="769"/>
      <c r="JOC102" s="769"/>
      <c r="JOD102" s="769"/>
      <c r="JOE102" s="769"/>
      <c r="JOF102" s="769"/>
      <c r="JOG102" s="769"/>
      <c r="JOH102" s="769"/>
      <c r="JOI102" s="769"/>
      <c r="JOJ102" s="769"/>
      <c r="JOK102" s="769"/>
      <c r="JOL102" s="769"/>
      <c r="JOM102" s="769"/>
      <c r="JON102" s="769"/>
      <c r="JOO102" s="769"/>
      <c r="JOP102" s="769"/>
      <c r="JOQ102" s="769"/>
      <c r="JOR102" s="769"/>
      <c r="JOS102" s="769"/>
      <c r="JOT102" s="769"/>
      <c r="JOU102" s="769"/>
      <c r="JOV102" s="769"/>
      <c r="JOW102" s="769"/>
      <c r="JOX102" s="769"/>
      <c r="JOY102" s="769"/>
      <c r="JOZ102" s="769"/>
      <c r="JPA102" s="769"/>
      <c r="JPB102" s="769"/>
      <c r="JPC102" s="769"/>
      <c r="JPD102" s="769"/>
      <c r="JPE102" s="769"/>
      <c r="JPF102" s="769"/>
      <c r="JPG102" s="769"/>
      <c r="JPH102" s="769"/>
      <c r="JPI102" s="769"/>
      <c r="JPJ102" s="769"/>
      <c r="JPK102" s="769"/>
      <c r="JPL102" s="769"/>
      <c r="JPM102" s="769"/>
      <c r="JPN102" s="769"/>
      <c r="JPO102" s="769"/>
      <c r="JPP102" s="769"/>
      <c r="JPQ102" s="769"/>
      <c r="JPR102" s="769"/>
      <c r="JPS102" s="769"/>
      <c r="JPT102" s="769"/>
      <c r="JPU102" s="769"/>
      <c r="JPV102" s="769"/>
      <c r="JPW102" s="769"/>
      <c r="JPX102" s="769"/>
      <c r="JPY102" s="769"/>
      <c r="JPZ102" s="769"/>
      <c r="JQA102" s="769"/>
      <c r="JQB102" s="769"/>
      <c r="JQC102" s="769"/>
      <c r="JQD102" s="769"/>
      <c r="JQE102" s="769"/>
      <c r="JQF102" s="769"/>
      <c r="JQG102" s="769"/>
      <c r="JQH102" s="769"/>
      <c r="JQI102" s="769"/>
      <c r="JQJ102" s="769"/>
      <c r="JQK102" s="769"/>
      <c r="JQL102" s="769"/>
      <c r="JQM102" s="769"/>
      <c r="JQN102" s="769"/>
      <c r="JQO102" s="769"/>
      <c r="JQP102" s="769"/>
      <c r="JQQ102" s="769"/>
      <c r="JQR102" s="769"/>
      <c r="JQS102" s="769"/>
      <c r="JQT102" s="769"/>
      <c r="JQU102" s="769"/>
      <c r="JQV102" s="769"/>
      <c r="JQW102" s="769"/>
      <c r="JQX102" s="769"/>
      <c r="JQY102" s="769"/>
      <c r="JQZ102" s="769"/>
      <c r="JRA102" s="769"/>
      <c r="JRB102" s="769"/>
      <c r="JRC102" s="769"/>
      <c r="JRD102" s="769"/>
      <c r="JRE102" s="769"/>
      <c r="JRF102" s="769"/>
      <c r="JRG102" s="769"/>
      <c r="JRH102" s="769"/>
      <c r="JRI102" s="769"/>
      <c r="JRJ102" s="769"/>
      <c r="JRK102" s="769"/>
      <c r="JRL102" s="769"/>
      <c r="JRM102" s="769"/>
      <c r="JRN102" s="769"/>
      <c r="JRO102" s="769"/>
      <c r="JRP102" s="769"/>
      <c r="JRQ102" s="769"/>
      <c r="JRR102" s="769"/>
      <c r="JRS102" s="769"/>
      <c r="JRT102" s="769"/>
      <c r="JRU102" s="769"/>
      <c r="JRV102" s="769"/>
      <c r="JRW102" s="769"/>
      <c r="JRX102" s="769"/>
      <c r="JRY102" s="769"/>
      <c r="JRZ102" s="769"/>
      <c r="JSA102" s="769"/>
      <c r="JSB102" s="769"/>
      <c r="JSC102" s="769"/>
      <c r="JSD102" s="769"/>
      <c r="JSE102" s="769"/>
      <c r="JSF102" s="769"/>
      <c r="JSG102" s="769"/>
      <c r="JSH102" s="769"/>
      <c r="JSI102" s="769"/>
      <c r="JSJ102" s="769"/>
      <c r="JSK102" s="769"/>
      <c r="JSL102" s="769"/>
      <c r="JSM102" s="769"/>
      <c r="JSN102" s="769"/>
      <c r="JSO102" s="769"/>
      <c r="JSP102" s="769"/>
      <c r="JSQ102" s="769"/>
      <c r="JSR102" s="769"/>
      <c r="JSS102" s="769"/>
      <c r="JST102" s="769"/>
      <c r="JSU102" s="769"/>
      <c r="JSV102" s="769"/>
      <c r="JSW102" s="769"/>
      <c r="JSX102" s="769"/>
      <c r="JSY102" s="769"/>
      <c r="JSZ102" s="769"/>
      <c r="JTA102" s="769"/>
      <c r="JTB102" s="769"/>
      <c r="JTC102" s="769"/>
      <c r="JTD102" s="769"/>
      <c r="JTE102" s="769"/>
      <c r="JTF102" s="769"/>
      <c r="JTG102" s="769"/>
      <c r="JTH102" s="769"/>
      <c r="JTI102" s="769"/>
      <c r="JTJ102" s="769"/>
      <c r="JTK102" s="769"/>
      <c r="JTL102" s="769"/>
      <c r="JTM102" s="769"/>
      <c r="JTN102" s="769"/>
      <c r="JTO102" s="769"/>
      <c r="JTP102" s="769"/>
      <c r="JTQ102" s="769"/>
      <c r="JTR102" s="769"/>
      <c r="JTS102" s="769"/>
      <c r="JTT102" s="769"/>
      <c r="JTU102" s="769"/>
      <c r="JTV102" s="769"/>
      <c r="JTW102" s="769"/>
      <c r="JTX102" s="769"/>
      <c r="JTY102" s="769"/>
      <c r="JTZ102" s="769"/>
      <c r="JUA102" s="769"/>
      <c r="JUB102" s="769"/>
      <c r="JUC102" s="769"/>
      <c r="JUD102" s="769"/>
      <c r="JUE102" s="769"/>
      <c r="JUF102" s="769"/>
      <c r="JUG102" s="769"/>
      <c r="JUH102" s="769"/>
      <c r="JUI102" s="769"/>
      <c r="JUJ102" s="769"/>
      <c r="JUK102" s="769"/>
      <c r="JUL102" s="769"/>
      <c r="JUM102" s="769"/>
      <c r="JUN102" s="769"/>
      <c r="JUO102" s="769"/>
      <c r="JUP102" s="769"/>
      <c r="JUQ102" s="769"/>
      <c r="JUR102" s="769"/>
      <c r="JUS102" s="769"/>
      <c r="JUT102" s="769"/>
      <c r="JUU102" s="769"/>
      <c r="JUV102" s="769"/>
      <c r="JUW102" s="769"/>
      <c r="JUX102" s="769"/>
      <c r="JUY102" s="769"/>
      <c r="JUZ102" s="769"/>
      <c r="JVA102" s="769"/>
      <c r="JVB102" s="769"/>
      <c r="JVC102" s="769"/>
      <c r="JVD102" s="769"/>
      <c r="JVE102" s="769"/>
      <c r="JVF102" s="769"/>
      <c r="JVG102" s="769"/>
      <c r="JVH102" s="769"/>
      <c r="JVI102" s="769"/>
      <c r="JVJ102" s="769"/>
      <c r="JVK102" s="769"/>
      <c r="JVL102" s="769"/>
      <c r="JVM102" s="769"/>
      <c r="JVN102" s="769"/>
      <c r="JVO102" s="769"/>
      <c r="JVP102" s="769"/>
      <c r="JVQ102" s="769"/>
      <c r="JVR102" s="769"/>
      <c r="JVS102" s="769"/>
      <c r="JVT102" s="769"/>
      <c r="JVU102" s="769"/>
      <c r="JVV102" s="769"/>
      <c r="JVW102" s="769"/>
      <c r="JVX102" s="769"/>
      <c r="JVY102" s="769"/>
      <c r="JVZ102" s="769"/>
      <c r="JWA102" s="769"/>
      <c r="JWB102" s="769"/>
      <c r="JWC102" s="769"/>
      <c r="JWD102" s="769"/>
      <c r="JWE102" s="769"/>
      <c r="JWF102" s="769"/>
      <c r="JWG102" s="769"/>
      <c r="JWH102" s="769"/>
      <c r="JWI102" s="769"/>
      <c r="JWJ102" s="769"/>
      <c r="JWK102" s="769"/>
      <c r="JWL102" s="769"/>
      <c r="JWM102" s="769"/>
      <c r="JWN102" s="769"/>
      <c r="JWO102" s="769"/>
      <c r="JWP102" s="769"/>
      <c r="JWQ102" s="769"/>
      <c r="JWR102" s="769"/>
      <c r="JWS102" s="769"/>
      <c r="JWT102" s="769"/>
      <c r="JWU102" s="769"/>
      <c r="JWV102" s="769"/>
      <c r="JWW102" s="769"/>
      <c r="JWX102" s="769"/>
      <c r="JWY102" s="769"/>
      <c r="JWZ102" s="769"/>
      <c r="JXA102" s="769"/>
      <c r="JXB102" s="769"/>
      <c r="JXC102" s="769"/>
      <c r="JXD102" s="769"/>
      <c r="JXE102" s="769"/>
      <c r="JXF102" s="769"/>
      <c r="JXG102" s="769"/>
      <c r="JXH102" s="769"/>
      <c r="JXI102" s="769"/>
      <c r="JXJ102" s="769"/>
      <c r="JXK102" s="769"/>
      <c r="JXL102" s="769"/>
      <c r="JXM102" s="769"/>
      <c r="JXN102" s="769"/>
      <c r="JXO102" s="769"/>
      <c r="JXP102" s="769"/>
      <c r="JXQ102" s="769"/>
      <c r="JXR102" s="769"/>
      <c r="JXS102" s="769"/>
      <c r="JXT102" s="769"/>
      <c r="JXU102" s="769"/>
      <c r="JXV102" s="769"/>
      <c r="JXW102" s="769"/>
      <c r="JXX102" s="769"/>
      <c r="JXY102" s="769"/>
      <c r="JXZ102" s="769"/>
      <c r="JYA102" s="769"/>
      <c r="JYB102" s="769"/>
      <c r="JYC102" s="769"/>
      <c r="JYD102" s="769"/>
      <c r="JYE102" s="769"/>
      <c r="JYF102" s="769"/>
      <c r="JYG102" s="769"/>
      <c r="JYH102" s="769"/>
      <c r="JYI102" s="769"/>
      <c r="JYJ102" s="769"/>
      <c r="JYK102" s="769"/>
      <c r="JYL102" s="769"/>
      <c r="JYM102" s="769"/>
      <c r="JYN102" s="769"/>
      <c r="JYO102" s="769"/>
      <c r="JYP102" s="769"/>
      <c r="JYQ102" s="769"/>
      <c r="JYR102" s="769"/>
      <c r="JYS102" s="769"/>
      <c r="JYT102" s="769"/>
      <c r="JYU102" s="769"/>
      <c r="JYV102" s="769"/>
      <c r="JYW102" s="769"/>
      <c r="JYX102" s="769"/>
      <c r="JYY102" s="769"/>
      <c r="JYZ102" s="769"/>
      <c r="JZA102" s="769"/>
      <c r="JZB102" s="769"/>
      <c r="JZC102" s="769"/>
      <c r="JZD102" s="769"/>
      <c r="JZE102" s="769"/>
      <c r="JZF102" s="769"/>
      <c r="JZG102" s="769"/>
      <c r="JZH102" s="769"/>
      <c r="JZI102" s="769"/>
      <c r="JZJ102" s="769"/>
      <c r="JZK102" s="769"/>
      <c r="JZL102" s="769"/>
      <c r="JZM102" s="769"/>
      <c r="JZN102" s="769"/>
      <c r="JZO102" s="769"/>
      <c r="JZP102" s="769"/>
      <c r="JZQ102" s="769"/>
      <c r="JZR102" s="769"/>
      <c r="JZS102" s="769"/>
      <c r="JZT102" s="769"/>
      <c r="JZU102" s="769"/>
      <c r="JZV102" s="769"/>
      <c r="JZW102" s="769"/>
      <c r="JZX102" s="769"/>
      <c r="JZY102" s="769"/>
      <c r="JZZ102" s="769"/>
      <c r="KAA102" s="769"/>
      <c r="KAB102" s="769"/>
      <c r="KAC102" s="769"/>
      <c r="KAD102" s="769"/>
      <c r="KAE102" s="769"/>
      <c r="KAF102" s="769"/>
      <c r="KAG102" s="769"/>
      <c r="KAH102" s="769"/>
      <c r="KAI102" s="769"/>
      <c r="KAJ102" s="769"/>
      <c r="KAK102" s="769"/>
      <c r="KAL102" s="769"/>
      <c r="KAM102" s="769"/>
      <c r="KAN102" s="769"/>
      <c r="KAO102" s="769"/>
      <c r="KAP102" s="769"/>
      <c r="KAQ102" s="769"/>
      <c r="KAR102" s="769"/>
      <c r="KAS102" s="769"/>
      <c r="KAT102" s="769"/>
      <c r="KAU102" s="769"/>
      <c r="KAV102" s="769"/>
      <c r="KAW102" s="769"/>
      <c r="KAX102" s="769"/>
      <c r="KAY102" s="769"/>
      <c r="KAZ102" s="769"/>
      <c r="KBA102" s="769"/>
      <c r="KBB102" s="769"/>
      <c r="KBC102" s="769"/>
      <c r="KBD102" s="769"/>
      <c r="KBE102" s="769"/>
      <c r="KBF102" s="769"/>
      <c r="KBG102" s="769"/>
      <c r="KBH102" s="769"/>
      <c r="KBI102" s="769"/>
      <c r="KBJ102" s="769"/>
      <c r="KBK102" s="769"/>
      <c r="KBL102" s="769"/>
      <c r="KBM102" s="769"/>
      <c r="KBN102" s="769"/>
      <c r="KBO102" s="769"/>
      <c r="KBP102" s="769"/>
      <c r="KBQ102" s="769"/>
      <c r="KBR102" s="769"/>
      <c r="KBS102" s="769"/>
      <c r="KBT102" s="769"/>
      <c r="KBU102" s="769"/>
      <c r="KBV102" s="769"/>
      <c r="KBW102" s="769"/>
      <c r="KBX102" s="769"/>
      <c r="KBY102" s="769"/>
      <c r="KBZ102" s="769"/>
      <c r="KCA102" s="769"/>
      <c r="KCB102" s="769"/>
      <c r="KCC102" s="769"/>
      <c r="KCD102" s="769"/>
      <c r="KCE102" s="769"/>
      <c r="KCF102" s="769"/>
      <c r="KCG102" s="769"/>
      <c r="KCH102" s="769"/>
      <c r="KCI102" s="769"/>
      <c r="KCJ102" s="769"/>
      <c r="KCK102" s="769"/>
      <c r="KCL102" s="769"/>
      <c r="KCM102" s="769"/>
      <c r="KCN102" s="769"/>
      <c r="KCO102" s="769"/>
      <c r="KCP102" s="769"/>
      <c r="KCQ102" s="769"/>
      <c r="KCR102" s="769"/>
      <c r="KCS102" s="769"/>
      <c r="KCT102" s="769"/>
      <c r="KCU102" s="769"/>
      <c r="KCV102" s="769"/>
      <c r="KCW102" s="769"/>
      <c r="KCX102" s="769"/>
      <c r="KCY102" s="769"/>
      <c r="KCZ102" s="769"/>
      <c r="KDA102" s="769"/>
      <c r="KDB102" s="769"/>
      <c r="KDC102" s="769"/>
      <c r="KDD102" s="769"/>
      <c r="KDE102" s="769"/>
      <c r="KDF102" s="769"/>
      <c r="KDG102" s="769"/>
      <c r="KDH102" s="769"/>
      <c r="KDI102" s="769"/>
      <c r="KDJ102" s="769"/>
      <c r="KDK102" s="769"/>
      <c r="KDL102" s="769"/>
      <c r="KDM102" s="769"/>
      <c r="KDN102" s="769"/>
      <c r="KDO102" s="769"/>
      <c r="KDP102" s="769"/>
      <c r="KDQ102" s="769"/>
      <c r="KDR102" s="769"/>
      <c r="KDS102" s="769"/>
      <c r="KDT102" s="769"/>
      <c r="KDU102" s="769"/>
      <c r="KDV102" s="769"/>
      <c r="KDW102" s="769"/>
      <c r="KDX102" s="769"/>
      <c r="KDY102" s="769"/>
      <c r="KDZ102" s="769"/>
      <c r="KEA102" s="769"/>
      <c r="KEB102" s="769"/>
      <c r="KEC102" s="769"/>
      <c r="KED102" s="769"/>
      <c r="KEE102" s="769"/>
      <c r="KEF102" s="769"/>
      <c r="KEG102" s="769"/>
      <c r="KEH102" s="769"/>
      <c r="KEI102" s="769"/>
      <c r="KEJ102" s="769"/>
      <c r="KEK102" s="769"/>
      <c r="KEL102" s="769"/>
      <c r="KEM102" s="769"/>
      <c r="KEN102" s="769"/>
      <c r="KEO102" s="769"/>
      <c r="KEP102" s="769"/>
      <c r="KEQ102" s="769"/>
      <c r="KER102" s="769"/>
      <c r="KES102" s="769"/>
      <c r="KET102" s="769"/>
      <c r="KEU102" s="769"/>
      <c r="KEV102" s="769"/>
      <c r="KEW102" s="769"/>
      <c r="KEX102" s="769"/>
      <c r="KEY102" s="769"/>
      <c r="KEZ102" s="769"/>
      <c r="KFA102" s="769"/>
      <c r="KFB102" s="769"/>
      <c r="KFC102" s="769"/>
      <c r="KFD102" s="769"/>
      <c r="KFE102" s="769"/>
      <c r="KFF102" s="769"/>
      <c r="KFG102" s="769"/>
      <c r="KFH102" s="769"/>
      <c r="KFI102" s="769"/>
      <c r="KFJ102" s="769"/>
      <c r="KFK102" s="769"/>
      <c r="KFL102" s="769"/>
      <c r="KFM102" s="769"/>
      <c r="KFN102" s="769"/>
      <c r="KFO102" s="769"/>
      <c r="KFP102" s="769"/>
      <c r="KFQ102" s="769"/>
      <c r="KFR102" s="769"/>
      <c r="KFS102" s="769"/>
      <c r="KFT102" s="769"/>
      <c r="KFU102" s="769"/>
      <c r="KFV102" s="769"/>
      <c r="KFW102" s="769"/>
      <c r="KFX102" s="769"/>
      <c r="KFY102" s="769"/>
      <c r="KFZ102" s="769"/>
      <c r="KGA102" s="769"/>
      <c r="KGB102" s="769"/>
      <c r="KGC102" s="769"/>
      <c r="KGD102" s="769"/>
      <c r="KGE102" s="769"/>
      <c r="KGF102" s="769"/>
      <c r="KGG102" s="769"/>
      <c r="KGH102" s="769"/>
      <c r="KGI102" s="769"/>
      <c r="KGJ102" s="769"/>
      <c r="KGK102" s="769"/>
      <c r="KGL102" s="769"/>
      <c r="KGM102" s="769"/>
      <c r="KGN102" s="769"/>
      <c r="KGO102" s="769"/>
      <c r="KGP102" s="769"/>
      <c r="KGQ102" s="769"/>
      <c r="KGR102" s="769"/>
      <c r="KGS102" s="769"/>
      <c r="KGT102" s="769"/>
      <c r="KGU102" s="769"/>
      <c r="KGV102" s="769"/>
      <c r="KGW102" s="769"/>
      <c r="KGX102" s="769"/>
      <c r="KGY102" s="769"/>
      <c r="KGZ102" s="769"/>
      <c r="KHA102" s="769"/>
      <c r="KHB102" s="769"/>
      <c r="KHC102" s="769"/>
      <c r="KHD102" s="769"/>
      <c r="KHE102" s="769"/>
      <c r="KHF102" s="769"/>
      <c r="KHG102" s="769"/>
      <c r="KHH102" s="769"/>
      <c r="KHI102" s="769"/>
      <c r="KHJ102" s="769"/>
      <c r="KHK102" s="769"/>
      <c r="KHL102" s="769"/>
      <c r="KHM102" s="769"/>
      <c r="KHN102" s="769"/>
      <c r="KHO102" s="769"/>
      <c r="KHP102" s="769"/>
      <c r="KHQ102" s="769"/>
      <c r="KHR102" s="769"/>
      <c r="KHS102" s="769"/>
      <c r="KHT102" s="769"/>
      <c r="KHU102" s="769"/>
      <c r="KHV102" s="769"/>
      <c r="KHW102" s="769"/>
      <c r="KHX102" s="769"/>
      <c r="KHY102" s="769"/>
      <c r="KHZ102" s="769"/>
      <c r="KIA102" s="769"/>
      <c r="KIB102" s="769"/>
      <c r="KIC102" s="769"/>
      <c r="KID102" s="769"/>
      <c r="KIE102" s="769"/>
      <c r="KIF102" s="769"/>
      <c r="KIG102" s="769"/>
      <c r="KIH102" s="769"/>
      <c r="KII102" s="769"/>
      <c r="KIJ102" s="769"/>
      <c r="KIK102" s="769"/>
      <c r="KIL102" s="769"/>
      <c r="KIM102" s="769"/>
      <c r="KIN102" s="769"/>
      <c r="KIO102" s="769"/>
      <c r="KIP102" s="769"/>
      <c r="KIQ102" s="769"/>
      <c r="KIR102" s="769"/>
      <c r="KIS102" s="769"/>
      <c r="KIT102" s="769"/>
      <c r="KIU102" s="769"/>
      <c r="KIV102" s="769"/>
      <c r="KIW102" s="769"/>
      <c r="KIX102" s="769"/>
      <c r="KIY102" s="769"/>
      <c r="KIZ102" s="769"/>
      <c r="KJA102" s="769"/>
      <c r="KJB102" s="769"/>
      <c r="KJC102" s="769"/>
      <c r="KJD102" s="769"/>
      <c r="KJE102" s="769"/>
      <c r="KJF102" s="769"/>
      <c r="KJG102" s="769"/>
      <c r="KJH102" s="769"/>
      <c r="KJI102" s="769"/>
      <c r="KJJ102" s="769"/>
      <c r="KJK102" s="769"/>
      <c r="KJL102" s="769"/>
      <c r="KJM102" s="769"/>
      <c r="KJN102" s="769"/>
      <c r="KJO102" s="769"/>
      <c r="KJP102" s="769"/>
      <c r="KJQ102" s="769"/>
      <c r="KJR102" s="769"/>
      <c r="KJS102" s="769"/>
      <c r="KJT102" s="769"/>
      <c r="KJU102" s="769"/>
      <c r="KJV102" s="769"/>
      <c r="KJW102" s="769"/>
      <c r="KJX102" s="769"/>
      <c r="KJY102" s="769"/>
      <c r="KJZ102" s="769"/>
      <c r="KKA102" s="769"/>
      <c r="KKB102" s="769"/>
      <c r="KKC102" s="769"/>
      <c r="KKD102" s="769"/>
      <c r="KKE102" s="769"/>
      <c r="KKF102" s="769"/>
      <c r="KKG102" s="769"/>
      <c r="KKH102" s="769"/>
      <c r="KKI102" s="769"/>
      <c r="KKJ102" s="769"/>
      <c r="KKK102" s="769"/>
      <c r="KKL102" s="769"/>
      <c r="KKM102" s="769"/>
      <c r="KKN102" s="769"/>
      <c r="KKO102" s="769"/>
      <c r="KKP102" s="769"/>
      <c r="KKQ102" s="769"/>
      <c r="KKR102" s="769"/>
      <c r="KKS102" s="769"/>
      <c r="KKT102" s="769"/>
      <c r="KKU102" s="769"/>
      <c r="KKV102" s="769"/>
      <c r="KKW102" s="769"/>
      <c r="KKX102" s="769"/>
      <c r="KKY102" s="769"/>
      <c r="KKZ102" s="769"/>
      <c r="KLA102" s="769"/>
      <c r="KLB102" s="769"/>
      <c r="KLC102" s="769"/>
      <c r="KLD102" s="769"/>
      <c r="KLE102" s="769"/>
      <c r="KLF102" s="769"/>
      <c r="KLG102" s="769"/>
      <c r="KLH102" s="769"/>
      <c r="KLI102" s="769"/>
      <c r="KLJ102" s="769"/>
      <c r="KLK102" s="769"/>
      <c r="KLL102" s="769"/>
      <c r="KLM102" s="769"/>
      <c r="KLN102" s="769"/>
      <c r="KLO102" s="769"/>
      <c r="KLP102" s="769"/>
      <c r="KLQ102" s="769"/>
      <c r="KLR102" s="769"/>
      <c r="KLS102" s="769"/>
      <c r="KLT102" s="769"/>
      <c r="KLU102" s="769"/>
      <c r="KLV102" s="769"/>
      <c r="KLW102" s="769"/>
      <c r="KLX102" s="769"/>
      <c r="KLY102" s="769"/>
      <c r="KLZ102" s="769"/>
      <c r="KMA102" s="769"/>
      <c r="KMB102" s="769"/>
      <c r="KMC102" s="769"/>
      <c r="KMD102" s="769"/>
      <c r="KME102" s="769"/>
      <c r="KMF102" s="769"/>
      <c r="KMG102" s="769"/>
      <c r="KMH102" s="769"/>
      <c r="KMI102" s="769"/>
      <c r="KMJ102" s="769"/>
      <c r="KMK102" s="769"/>
      <c r="KML102" s="769"/>
      <c r="KMM102" s="769"/>
      <c r="KMN102" s="769"/>
      <c r="KMO102" s="769"/>
      <c r="KMP102" s="769"/>
      <c r="KMQ102" s="769"/>
      <c r="KMR102" s="769"/>
      <c r="KMS102" s="769"/>
      <c r="KMT102" s="769"/>
      <c r="KMU102" s="769"/>
      <c r="KMV102" s="769"/>
      <c r="KMW102" s="769"/>
      <c r="KMX102" s="769"/>
      <c r="KMY102" s="769"/>
      <c r="KMZ102" s="769"/>
      <c r="KNA102" s="769"/>
      <c r="KNB102" s="769"/>
      <c r="KNC102" s="769"/>
      <c r="KND102" s="769"/>
      <c r="KNE102" s="769"/>
      <c r="KNF102" s="769"/>
      <c r="KNG102" s="769"/>
      <c r="KNH102" s="769"/>
      <c r="KNI102" s="769"/>
      <c r="KNJ102" s="769"/>
      <c r="KNK102" s="769"/>
      <c r="KNL102" s="769"/>
      <c r="KNM102" s="769"/>
      <c r="KNN102" s="769"/>
      <c r="KNO102" s="769"/>
      <c r="KNP102" s="769"/>
      <c r="KNQ102" s="769"/>
      <c r="KNR102" s="769"/>
      <c r="KNS102" s="769"/>
      <c r="KNT102" s="769"/>
      <c r="KNU102" s="769"/>
      <c r="KNV102" s="769"/>
      <c r="KNW102" s="769"/>
      <c r="KNX102" s="769"/>
      <c r="KNY102" s="769"/>
      <c r="KNZ102" s="769"/>
      <c r="KOA102" s="769"/>
      <c r="KOB102" s="769"/>
      <c r="KOC102" s="769"/>
      <c r="KOD102" s="769"/>
      <c r="KOE102" s="769"/>
      <c r="KOF102" s="769"/>
      <c r="KOG102" s="769"/>
      <c r="KOH102" s="769"/>
      <c r="KOI102" s="769"/>
      <c r="KOJ102" s="769"/>
      <c r="KOK102" s="769"/>
      <c r="KOL102" s="769"/>
      <c r="KOM102" s="769"/>
      <c r="KON102" s="769"/>
      <c r="KOO102" s="769"/>
      <c r="KOP102" s="769"/>
      <c r="KOQ102" s="769"/>
      <c r="KOR102" s="769"/>
      <c r="KOS102" s="769"/>
      <c r="KOT102" s="769"/>
      <c r="KOU102" s="769"/>
      <c r="KOV102" s="769"/>
      <c r="KOW102" s="769"/>
      <c r="KOX102" s="769"/>
      <c r="KOY102" s="769"/>
      <c r="KOZ102" s="769"/>
      <c r="KPA102" s="769"/>
      <c r="KPB102" s="769"/>
      <c r="KPC102" s="769"/>
      <c r="KPD102" s="769"/>
      <c r="KPE102" s="769"/>
      <c r="KPF102" s="769"/>
      <c r="KPG102" s="769"/>
      <c r="KPH102" s="769"/>
      <c r="KPI102" s="769"/>
      <c r="KPJ102" s="769"/>
      <c r="KPK102" s="769"/>
      <c r="KPL102" s="769"/>
      <c r="KPM102" s="769"/>
      <c r="KPN102" s="769"/>
      <c r="KPO102" s="769"/>
      <c r="KPP102" s="769"/>
      <c r="KPQ102" s="769"/>
      <c r="KPR102" s="769"/>
      <c r="KPS102" s="769"/>
      <c r="KPT102" s="769"/>
      <c r="KPU102" s="769"/>
      <c r="KPV102" s="769"/>
      <c r="KPW102" s="769"/>
      <c r="KPX102" s="769"/>
      <c r="KPY102" s="769"/>
      <c r="KPZ102" s="769"/>
      <c r="KQA102" s="769"/>
      <c r="KQB102" s="769"/>
      <c r="KQC102" s="769"/>
      <c r="KQD102" s="769"/>
      <c r="KQE102" s="769"/>
      <c r="KQF102" s="769"/>
      <c r="KQG102" s="769"/>
      <c r="KQH102" s="769"/>
      <c r="KQI102" s="769"/>
      <c r="KQJ102" s="769"/>
      <c r="KQK102" s="769"/>
      <c r="KQL102" s="769"/>
      <c r="KQM102" s="769"/>
      <c r="KQN102" s="769"/>
      <c r="KQO102" s="769"/>
      <c r="KQP102" s="769"/>
      <c r="KQQ102" s="769"/>
      <c r="KQR102" s="769"/>
      <c r="KQS102" s="769"/>
      <c r="KQT102" s="769"/>
      <c r="KQU102" s="769"/>
      <c r="KQV102" s="769"/>
      <c r="KQW102" s="769"/>
      <c r="KQX102" s="769"/>
      <c r="KQY102" s="769"/>
      <c r="KQZ102" s="769"/>
      <c r="KRA102" s="769"/>
      <c r="KRB102" s="769"/>
      <c r="KRC102" s="769"/>
      <c r="KRD102" s="769"/>
      <c r="KRE102" s="769"/>
      <c r="KRF102" s="769"/>
      <c r="KRG102" s="769"/>
      <c r="KRH102" s="769"/>
      <c r="KRI102" s="769"/>
      <c r="KRJ102" s="769"/>
      <c r="KRK102" s="769"/>
      <c r="KRL102" s="769"/>
      <c r="KRM102" s="769"/>
      <c r="KRN102" s="769"/>
      <c r="KRO102" s="769"/>
      <c r="KRP102" s="769"/>
      <c r="KRQ102" s="769"/>
      <c r="KRR102" s="769"/>
      <c r="KRS102" s="769"/>
      <c r="KRT102" s="769"/>
      <c r="KRU102" s="769"/>
      <c r="KRV102" s="769"/>
      <c r="KRW102" s="769"/>
      <c r="KRX102" s="769"/>
      <c r="KRY102" s="769"/>
      <c r="KRZ102" s="769"/>
      <c r="KSA102" s="769"/>
      <c r="KSB102" s="769"/>
      <c r="KSC102" s="769"/>
      <c r="KSD102" s="769"/>
      <c r="KSE102" s="769"/>
      <c r="KSF102" s="769"/>
      <c r="KSG102" s="769"/>
      <c r="KSH102" s="769"/>
      <c r="KSI102" s="769"/>
      <c r="KSJ102" s="769"/>
      <c r="KSK102" s="769"/>
      <c r="KSL102" s="769"/>
      <c r="KSM102" s="769"/>
      <c r="KSN102" s="769"/>
      <c r="KSO102" s="769"/>
      <c r="KSP102" s="769"/>
      <c r="KSQ102" s="769"/>
      <c r="KSR102" s="769"/>
      <c r="KSS102" s="769"/>
      <c r="KST102" s="769"/>
      <c r="KSU102" s="769"/>
      <c r="KSV102" s="769"/>
      <c r="KSW102" s="769"/>
      <c r="KSX102" s="769"/>
      <c r="KSY102" s="769"/>
      <c r="KSZ102" s="769"/>
      <c r="KTA102" s="769"/>
      <c r="KTB102" s="769"/>
      <c r="KTC102" s="769"/>
      <c r="KTD102" s="769"/>
      <c r="KTE102" s="769"/>
      <c r="KTF102" s="769"/>
      <c r="KTG102" s="769"/>
      <c r="KTH102" s="769"/>
      <c r="KTI102" s="769"/>
      <c r="KTJ102" s="769"/>
      <c r="KTK102" s="769"/>
      <c r="KTL102" s="769"/>
      <c r="KTM102" s="769"/>
      <c r="KTN102" s="769"/>
      <c r="KTO102" s="769"/>
      <c r="KTP102" s="769"/>
      <c r="KTQ102" s="769"/>
      <c r="KTR102" s="769"/>
      <c r="KTS102" s="769"/>
      <c r="KTT102" s="769"/>
      <c r="KTU102" s="769"/>
      <c r="KTV102" s="769"/>
      <c r="KTW102" s="769"/>
      <c r="KTX102" s="769"/>
      <c r="KTY102" s="769"/>
      <c r="KTZ102" s="769"/>
      <c r="KUA102" s="769"/>
      <c r="KUB102" s="769"/>
      <c r="KUC102" s="769"/>
      <c r="KUD102" s="769"/>
      <c r="KUE102" s="769"/>
      <c r="KUF102" s="769"/>
      <c r="KUG102" s="769"/>
      <c r="KUH102" s="769"/>
      <c r="KUI102" s="769"/>
      <c r="KUJ102" s="769"/>
      <c r="KUK102" s="769"/>
      <c r="KUL102" s="769"/>
      <c r="KUM102" s="769"/>
      <c r="KUN102" s="769"/>
      <c r="KUO102" s="769"/>
      <c r="KUP102" s="769"/>
      <c r="KUQ102" s="769"/>
      <c r="KUR102" s="769"/>
      <c r="KUS102" s="769"/>
      <c r="KUT102" s="769"/>
      <c r="KUU102" s="769"/>
      <c r="KUV102" s="769"/>
      <c r="KUW102" s="769"/>
      <c r="KUX102" s="769"/>
      <c r="KUY102" s="769"/>
      <c r="KUZ102" s="769"/>
      <c r="KVA102" s="769"/>
      <c r="KVB102" s="769"/>
      <c r="KVC102" s="769"/>
      <c r="KVD102" s="769"/>
      <c r="KVE102" s="769"/>
      <c r="KVF102" s="769"/>
      <c r="KVG102" s="769"/>
      <c r="KVH102" s="769"/>
      <c r="KVI102" s="769"/>
      <c r="KVJ102" s="769"/>
      <c r="KVK102" s="769"/>
      <c r="KVL102" s="769"/>
      <c r="KVM102" s="769"/>
      <c r="KVN102" s="769"/>
      <c r="KVO102" s="769"/>
      <c r="KVP102" s="769"/>
      <c r="KVQ102" s="769"/>
      <c r="KVR102" s="769"/>
      <c r="KVS102" s="769"/>
      <c r="KVT102" s="769"/>
      <c r="KVU102" s="769"/>
      <c r="KVV102" s="769"/>
      <c r="KVW102" s="769"/>
      <c r="KVX102" s="769"/>
      <c r="KVY102" s="769"/>
      <c r="KVZ102" s="769"/>
      <c r="KWA102" s="769"/>
      <c r="KWB102" s="769"/>
      <c r="KWC102" s="769"/>
      <c r="KWD102" s="769"/>
      <c r="KWE102" s="769"/>
      <c r="KWF102" s="769"/>
      <c r="KWG102" s="769"/>
      <c r="KWH102" s="769"/>
      <c r="KWI102" s="769"/>
      <c r="KWJ102" s="769"/>
      <c r="KWK102" s="769"/>
      <c r="KWL102" s="769"/>
      <c r="KWM102" s="769"/>
      <c r="KWN102" s="769"/>
      <c r="KWO102" s="769"/>
      <c r="KWP102" s="769"/>
      <c r="KWQ102" s="769"/>
      <c r="KWR102" s="769"/>
      <c r="KWS102" s="769"/>
      <c r="KWT102" s="769"/>
      <c r="KWU102" s="769"/>
      <c r="KWV102" s="769"/>
      <c r="KWW102" s="769"/>
      <c r="KWX102" s="769"/>
      <c r="KWY102" s="769"/>
      <c r="KWZ102" s="769"/>
      <c r="KXA102" s="769"/>
      <c r="KXB102" s="769"/>
      <c r="KXC102" s="769"/>
      <c r="KXD102" s="769"/>
      <c r="KXE102" s="769"/>
      <c r="KXF102" s="769"/>
      <c r="KXG102" s="769"/>
      <c r="KXH102" s="769"/>
      <c r="KXI102" s="769"/>
      <c r="KXJ102" s="769"/>
      <c r="KXK102" s="769"/>
      <c r="KXL102" s="769"/>
      <c r="KXM102" s="769"/>
      <c r="KXN102" s="769"/>
      <c r="KXO102" s="769"/>
      <c r="KXP102" s="769"/>
      <c r="KXQ102" s="769"/>
      <c r="KXR102" s="769"/>
      <c r="KXS102" s="769"/>
      <c r="KXT102" s="769"/>
      <c r="KXU102" s="769"/>
      <c r="KXV102" s="769"/>
      <c r="KXW102" s="769"/>
      <c r="KXX102" s="769"/>
      <c r="KXY102" s="769"/>
      <c r="KXZ102" s="769"/>
      <c r="KYA102" s="769"/>
      <c r="KYB102" s="769"/>
      <c r="KYC102" s="769"/>
      <c r="KYD102" s="769"/>
      <c r="KYE102" s="769"/>
      <c r="KYF102" s="769"/>
      <c r="KYG102" s="769"/>
      <c r="KYH102" s="769"/>
      <c r="KYI102" s="769"/>
      <c r="KYJ102" s="769"/>
      <c r="KYK102" s="769"/>
      <c r="KYL102" s="769"/>
      <c r="KYM102" s="769"/>
      <c r="KYN102" s="769"/>
      <c r="KYO102" s="769"/>
      <c r="KYP102" s="769"/>
      <c r="KYQ102" s="769"/>
      <c r="KYR102" s="769"/>
      <c r="KYS102" s="769"/>
      <c r="KYT102" s="769"/>
      <c r="KYU102" s="769"/>
      <c r="KYV102" s="769"/>
      <c r="KYW102" s="769"/>
      <c r="KYX102" s="769"/>
      <c r="KYY102" s="769"/>
      <c r="KYZ102" s="769"/>
      <c r="KZA102" s="769"/>
      <c r="KZB102" s="769"/>
      <c r="KZC102" s="769"/>
      <c r="KZD102" s="769"/>
      <c r="KZE102" s="769"/>
      <c r="KZF102" s="769"/>
      <c r="KZG102" s="769"/>
      <c r="KZH102" s="769"/>
      <c r="KZI102" s="769"/>
      <c r="KZJ102" s="769"/>
      <c r="KZK102" s="769"/>
      <c r="KZL102" s="769"/>
      <c r="KZM102" s="769"/>
      <c r="KZN102" s="769"/>
      <c r="KZO102" s="769"/>
      <c r="KZP102" s="769"/>
      <c r="KZQ102" s="769"/>
      <c r="KZR102" s="769"/>
      <c r="KZS102" s="769"/>
      <c r="KZT102" s="769"/>
      <c r="KZU102" s="769"/>
      <c r="KZV102" s="769"/>
      <c r="KZW102" s="769"/>
      <c r="KZX102" s="769"/>
      <c r="KZY102" s="769"/>
      <c r="KZZ102" s="769"/>
      <c r="LAA102" s="769"/>
      <c r="LAB102" s="769"/>
      <c r="LAC102" s="769"/>
      <c r="LAD102" s="769"/>
      <c r="LAE102" s="769"/>
      <c r="LAF102" s="769"/>
      <c r="LAG102" s="769"/>
      <c r="LAH102" s="769"/>
      <c r="LAI102" s="769"/>
      <c r="LAJ102" s="769"/>
      <c r="LAK102" s="769"/>
      <c r="LAL102" s="769"/>
      <c r="LAM102" s="769"/>
      <c r="LAN102" s="769"/>
      <c r="LAO102" s="769"/>
      <c r="LAP102" s="769"/>
      <c r="LAQ102" s="769"/>
      <c r="LAR102" s="769"/>
      <c r="LAS102" s="769"/>
      <c r="LAT102" s="769"/>
      <c r="LAU102" s="769"/>
      <c r="LAV102" s="769"/>
      <c r="LAW102" s="769"/>
      <c r="LAX102" s="769"/>
      <c r="LAY102" s="769"/>
      <c r="LAZ102" s="769"/>
      <c r="LBA102" s="769"/>
      <c r="LBB102" s="769"/>
      <c r="LBC102" s="769"/>
      <c r="LBD102" s="769"/>
      <c r="LBE102" s="769"/>
      <c r="LBF102" s="769"/>
      <c r="LBG102" s="769"/>
      <c r="LBH102" s="769"/>
      <c r="LBI102" s="769"/>
      <c r="LBJ102" s="769"/>
      <c r="LBK102" s="769"/>
      <c r="LBL102" s="769"/>
      <c r="LBM102" s="769"/>
      <c r="LBN102" s="769"/>
      <c r="LBO102" s="769"/>
      <c r="LBP102" s="769"/>
      <c r="LBQ102" s="769"/>
      <c r="LBR102" s="769"/>
      <c r="LBS102" s="769"/>
      <c r="LBT102" s="769"/>
      <c r="LBU102" s="769"/>
      <c r="LBV102" s="769"/>
      <c r="LBW102" s="769"/>
      <c r="LBX102" s="769"/>
      <c r="LBY102" s="769"/>
      <c r="LBZ102" s="769"/>
      <c r="LCA102" s="769"/>
      <c r="LCB102" s="769"/>
      <c r="LCC102" s="769"/>
      <c r="LCD102" s="769"/>
      <c r="LCE102" s="769"/>
      <c r="LCF102" s="769"/>
      <c r="LCG102" s="769"/>
      <c r="LCH102" s="769"/>
      <c r="LCI102" s="769"/>
      <c r="LCJ102" s="769"/>
      <c r="LCK102" s="769"/>
      <c r="LCL102" s="769"/>
      <c r="LCM102" s="769"/>
      <c r="LCN102" s="769"/>
      <c r="LCO102" s="769"/>
      <c r="LCP102" s="769"/>
      <c r="LCQ102" s="769"/>
      <c r="LCR102" s="769"/>
      <c r="LCS102" s="769"/>
      <c r="LCT102" s="769"/>
      <c r="LCU102" s="769"/>
      <c r="LCV102" s="769"/>
      <c r="LCW102" s="769"/>
      <c r="LCX102" s="769"/>
      <c r="LCY102" s="769"/>
      <c r="LCZ102" s="769"/>
      <c r="LDA102" s="769"/>
      <c r="LDB102" s="769"/>
      <c r="LDC102" s="769"/>
      <c r="LDD102" s="769"/>
      <c r="LDE102" s="769"/>
      <c r="LDF102" s="769"/>
      <c r="LDG102" s="769"/>
      <c r="LDH102" s="769"/>
      <c r="LDI102" s="769"/>
      <c r="LDJ102" s="769"/>
      <c r="LDK102" s="769"/>
      <c r="LDL102" s="769"/>
      <c r="LDM102" s="769"/>
      <c r="LDN102" s="769"/>
      <c r="LDO102" s="769"/>
      <c r="LDP102" s="769"/>
      <c r="LDQ102" s="769"/>
      <c r="LDR102" s="769"/>
      <c r="LDS102" s="769"/>
      <c r="LDT102" s="769"/>
      <c r="LDU102" s="769"/>
      <c r="LDV102" s="769"/>
      <c r="LDW102" s="769"/>
      <c r="LDX102" s="769"/>
      <c r="LDY102" s="769"/>
      <c r="LDZ102" s="769"/>
      <c r="LEA102" s="769"/>
      <c r="LEB102" s="769"/>
      <c r="LEC102" s="769"/>
      <c r="LED102" s="769"/>
      <c r="LEE102" s="769"/>
      <c r="LEF102" s="769"/>
      <c r="LEG102" s="769"/>
      <c r="LEH102" s="769"/>
      <c r="LEI102" s="769"/>
      <c r="LEJ102" s="769"/>
      <c r="LEK102" s="769"/>
      <c r="LEL102" s="769"/>
      <c r="LEM102" s="769"/>
      <c r="LEN102" s="769"/>
      <c r="LEO102" s="769"/>
      <c r="LEP102" s="769"/>
      <c r="LEQ102" s="769"/>
      <c r="LER102" s="769"/>
      <c r="LES102" s="769"/>
      <c r="LET102" s="769"/>
      <c r="LEU102" s="769"/>
      <c r="LEV102" s="769"/>
      <c r="LEW102" s="769"/>
      <c r="LEX102" s="769"/>
      <c r="LEY102" s="769"/>
      <c r="LEZ102" s="769"/>
      <c r="LFA102" s="769"/>
      <c r="LFB102" s="769"/>
      <c r="LFC102" s="769"/>
      <c r="LFD102" s="769"/>
      <c r="LFE102" s="769"/>
      <c r="LFF102" s="769"/>
      <c r="LFG102" s="769"/>
      <c r="LFH102" s="769"/>
      <c r="LFI102" s="769"/>
      <c r="LFJ102" s="769"/>
      <c r="LFK102" s="769"/>
      <c r="LFL102" s="769"/>
      <c r="LFM102" s="769"/>
      <c r="LFN102" s="769"/>
      <c r="LFO102" s="769"/>
      <c r="LFP102" s="769"/>
      <c r="LFQ102" s="769"/>
      <c r="LFR102" s="769"/>
      <c r="LFS102" s="769"/>
      <c r="LFT102" s="769"/>
      <c r="LFU102" s="769"/>
      <c r="LFV102" s="769"/>
      <c r="LFW102" s="769"/>
      <c r="LFX102" s="769"/>
      <c r="LFY102" s="769"/>
      <c r="LFZ102" s="769"/>
      <c r="LGA102" s="769"/>
      <c r="LGB102" s="769"/>
      <c r="LGC102" s="769"/>
      <c r="LGD102" s="769"/>
      <c r="LGE102" s="769"/>
      <c r="LGF102" s="769"/>
      <c r="LGG102" s="769"/>
      <c r="LGH102" s="769"/>
      <c r="LGI102" s="769"/>
      <c r="LGJ102" s="769"/>
      <c r="LGK102" s="769"/>
      <c r="LGL102" s="769"/>
      <c r="LGM102" s="769"/>
      <c r="LGN102" s="769"/>
      <c r="LGO102" s="769"/>
      <c r="LGP102" s="769"/>
      <c r="LGQ102" s="769"/>
      <c r="LGR102" s="769"/>
      <c r="LGS102" s="769"/>
      <c r="LGT102" s="769"/>
      <c r="LGU102" s="769"/>
      <c r="LGV102" s="769"/>
      <c r="LGW102" s="769"/>
      <c r="LGX102" s="769"/>
      <c r="LGY102" s="769"/>
      <c r="LGZ102" s="769"/>
      <c r="LHA102" s="769"/>
      <c r="LHB102" s="769"/>
      <c r="LHC102" s="769"/>
      <c r="LHD102" s="769"/>
      <c r="LHE102" s="769"/>
      <c r="LHF102" s="769"/>
      <c r="LHG102" s="769"/>
      <c r="LHH102" s="769"/>
      <c r="LHI102" s="769"/>
      <c r="LHJ102" s="769"/>
      <c r="LHK102" s="769"/>
      <c r="LHL102" s="769"/>
      <c r="LHM102" s="769"/>
      <c r="LHN102" s="769"/>
      <c r="LHO102" s="769"/>
      <c r="LHP102" s="769"/>
      <c r="LHQ102" s="769"/>
      <c r="LHR102" s="769"/>
      <c r="LHS102" s="769"/>
      <c r="LHT102" s="769"/>
      <c r="LHU102" s="769"/>
      <c r="LHV102" s="769"/>
      <c r="LHW102" s="769"/>
      <c r="LHX102" s="769"/>
      <c r="LHY102" s="769"/>
      <c r="LHZ102" s="769"/>
      <c r="LIA102" s="769"/>
      <c r="LIB102" s="769"/>
      <c r="LIC102" s="769"/>
      <c r="LID102" s="769"/>
      <c r="LIE102" s="769"/>
      <c r="LIF102" s="769"/>
      <c r="LIG102" s="769"/>
      <c r="LIH102" s="769"/>
      <c r="LII102" s="769"/>
      <c r="LIJ102" s="769"/>
      <c r="LIK102" s="769"/>
      <c r="LIL102" s="769"/>
      <c r="LIM102" s="769"/>
      <c r="LIN102" s="769"/>
      <c r="LIO102" s="769"/>
      <c r="LIP102" s="769"/>
      <c r="LIQ102" s="769"/>
      <c r="LIR102" s="769"/>
      <c r="LIS102" s="769"/>
      <c r="LIT102" s="769"/>
      <c r="LIU102" s="769"/>
      <c r="LIV102" s="769"/>
      <c r="LIW102" s="769"/>
      <c r="LIX102" s="769"/>
      <c r="LIY102" s="769"/>
      <c r="LIZ102" s="769"/>
      <c r="LJA102" s="769"/>
      <c r="LJB102" s="769"/>
      <c r="LJC102" s="769"/>
      <c r="LJD102" s="769"/>
      <c r="LJE102" s="769"/>
      <c r="LJF102" s="769"/>
      <c r="LJG102" s="769"/>
      <c r="LJH102" s="769"/>
      <c r="LJI102" s="769"/>
      <c r="LJJ102" s="769"/>
      <c r="LJK102" s="769"/>
      <c r="LJL102" s="769"/>
      <c r="LJM102" s="769"/>
      <c r="LJN102" s="769"/>
      <c r="LJO102" s="769"/>
      <c r="LJP102" s="769"/>
      <c r="LJQ102" s="769"/>
      <c r="LJR102" s="769"/>
      <c r="LJS102" s="769"/>
      <c r="LJT102" s="769"/>
      <c r="LJU102" s="769"/>
      <c r="LJV102" s="769"/>
      <c r="LJW102" s="769"/>
      <c r="LJX102" s="769"/>
      <c r="LJY102" s="769"/>
      <c r="LJZ102" s="769"/>
      <c r="LKA102" s="769"/>
      <c r="LKB102" s="769"/>
      <c r="LKC102" s="769"/>
      <c r="LKD102" s="769"/>
      <c r="LKE102" s="769"/>
      <c r="LKF102" s="769"/>
      <c r="LKG102" s="769"/>
      <c r="LKH102" s="769"/>
      <c r="LKI102" s="769"/>
      <c r="LKJ102" s="769"/>
      <c r="LKK102" s="769"/>
      <c r="LKL102" s="769"/>
      <c r="LKM102" s="769"/>
      <c r="LKN102" s="769"/>
      <c r="LKO102" s="769"/>
      <c r="LKP102" s="769"/>
      <c r="LKQ102" s="769"/>
      <c r="LKR102" s="769"/>
      <c r="LKS102" s="769"/>
      <c r="LKT102" s="769"/>
      <c r="LKU102" s="769"/>
      <c r="LKV102" s="769"/>
      <c r="LKW102" s="769"/>
      <c r="LKX102" s="769"/>
      <c r="LKY102" s="769"/>
      <c r="LKZ102" s="769"/>
      <c r="LLA102" s="769"/>
      <c r="LLB102" s="769"/>
      <c r="LLC102" s="769"/>
      <c r="LLD102" s="769"/>
      <c r="LLE102" s="769"/>
      <c r="LLF102" s="769"/>
      <c r="LLG102" s="769"/>
      <c r="LLH102" s="769"/>
      <c r="LLI102" s="769"/>
      <c r="LLJ102" s="769"/>
      <c r="LLK102" s="769"/>
      <c r="LLL102" s="769"/>
      <c r="LLM102" s="769"/>
      <c r="LLN102" s="769"/>
      <c r="LLO102" s="769"/>
      <c r="LLP102" s="769"/>
      <c r="LLQ102" s="769"/>
      <c r="LLR102" s="769"/>
      <c r="LLS102" s="769"/>
      <c r="LLT102" s="769"/>
      <c r="LLU102" s="769"/>
      <c r="LLV102" s="769"/>
      <c r="LLW102" s="769"/>
      <c r="LLX102" s="769"/>
      <c r="LLY102" s="769"/>
      <c r="LLZ102" s="769"/>
      <c r="LMA102" s="769"/>
      <c r="LMB102" s="769"/>
      <c r="LMC102" s="769"/>
      <c r="LMD102" s="769"/>
      <c r="LME102" s="769"/>
      <c r="LMF102" s="769"/>
      <c r="LMG102" s="769"/>
      <c r="LMH102" s="769"/>
      <c r="LMI102" s="769"/>
      <c r="LMJ102" s="769"/>
      <c r="LMK102" s="769"/>
      <c r="LML102" s="769"/>
      <c r="LMM102" s="769"/>
      <c r="LMN102" s="769"/>
      <c r="LMO102" s="769"/>
      <c r="LMP102" s="769"/>
      <c r="LMQ102" s="769"/>
      <c r="LMR102" s="769"/>
      <c r="LMS102" s="769"/>
      <c r="LMT102" s="769"/>
      <c r="LMU102" s="769"/>
      <c r="LMV102" s="769"/>
      <c r="LMW102" s="769"/>
      <c r="LMX102" s="769"/>
      <c r="LMY102" s="769"/>
      <c r="LMZ102" s="769"/>
      <c r="LNA102" s="769"/>
      <c r="LNB102" s="769"/>
      <c r="LNC102" s="769"/>
      <c r="LND102" s="769"/>
      <c r="LNE102" s="769"/>
      <c r="LNF102" s="769"/>
      <c r="LNG102" s="769"/>
      <c r="LNH102" s="769"/>
      <c r="LNI102" s="769"/>
      <c r="LNJ102" s="769"/>
      <c r="LNK102" s="769"/>
      <c r="LNL102" s="769"/>
      <c r="LNM102" s="769"/>
      <c r="LNN102" s="769"/>
      <c r="LNO102" s="769"/>
      <c r="LNP102" s="769"/>
      <c r="LNQ102" s="769"/>
      <c r="LNR102" s="769"/>
      <c r="LNS102" s="769"/>
      <c r="LNT102" s="769"/>
      <c r="LNU102" s="769"/>
      <c r="LNV102" s="769"/>
      <c r="LNW102" s="769"/>
      <c r="LNX102" s="769"/>
      <c r="LNY102" s="769"/>
      <c r="LNZ102" s="769"/>
      <c r="LOA102" s="769"/>
      <c r="LOB102" s="769"/>
      <c r="LOC102" s="769"/>
      <c r="LOD102" s="769"/>
      <c r="LOE102" s="769"/>
      <c r="LOF102" s="769"/>
      <c r="LOG102" s="769"/>
      <c r="LOH102" s="769"/>
      <c r="LOI102" s="769"/>
      <c r="LOJ102" s="769"/>
      <c r="LOK102" s="769"/>
      <c r="LOL102" s="769"/>
      <c r="LOM102" s="769"/>
      <c r="LON102" s="769"/>
      <c r="LOO102" s="769"/>
      <c r="LOP102" s="769"/>
      <c r="LOQ102" s="769"/>
      <c r="LOR102" s="769"/>
      <c r="LOS102" s="769"/>
      <c r="LOT102" s="769"/>
      <c r="LOU102" s="769"/>
      <c r="LOV102" s="769"/>
      <c r="LOW102" s="769"/>
      <c r="LOX102" s="769"/>
      <c r="LOY102" s="769"/>
      <c r="LOZ102" s="769"/>
      <c r="LPA102" s="769"/>
      <c r="LPB102" s="769"/>
      <c r="LPC102" s="769"/>
      <c r="LPD102" s="769"/>
      <c r="LPE102" s="769"/>
      <c r="LPF102" s="769"/>
      <c r="LPG102" s="769"/>
      <c r="LPH102" s="769"/>
      <c r="LPI102" s="769"/>
      <c r="LPJ102" s="769"/>
      <c r="LPK102" s="769"/>
      <c r="LPL102" s="769"/>
      <c r="LPM102" s="769"/>
      <c r="LPN102" s="769"/>
      <c r="LPO102" s="769"/>
      <c r="LPP102" s="769"/>
      <c r="LPQ102" s="769"/>
      <c r="LPR102" s="769"/>
      <c r="LPS102" s="769"/>
      <c r="LPT102" s="769"/>
      <c r="LPU102" s="769"/>
      <c r="LPV102" s="769"/>
      <c r="LPW102" s="769"/>
      <c r="LPX102" s="769"/>
      <c r="LPY102" s="769"/>
      <c r="LPZ102" s="769"/>
      <c r="LQA102" s="769"/>
      <c r="LQB102" s="769"/>
      <c r="LQC102" s="769"/>
      <c r="LQD102" s="769"/>
      <c r="LQE102" s="769"/>
      <c r="LQF102" s="769"/>
      <c r="LQG102" s="769"/>
      <c r="LQH102" s="769"/>
      <c r="LQI102" s="769"/>
      <c r="LQJ102" s="769"/>
      <c r="LQK102" s="769"/>
      <c r="LQL102" s="769"/>
      <c r="LQM102" s="769"/>
      <c r="LQN102" s="769"/>
      <c r="LQO102" s="769"/>
      <c r="LQP102" s="769"/>
      <c r="LQQ102" s="769"/>
      <c r="LQR102" s="769"/>
      <c r="LQS102" s="769"/>
      <c r="LQT102" s="769"/>
      <c r="LQU102" s="769"/>
      <c r="LQV102" s="769"/>
      <c r="LQW102" s="769"/>
      <c r="LQX102" s="769"/>
      <c r="LQY102" s="769"/>
      <c r="LQZ102" s="769"/>
      <c r="LRA102" s="769"/>
      <c r="LRB102" s="769"/>
      <c r="LRC102" s="769"/>
      <c r="LRD102" s="769"/>
      <c r="LRE102" s="769"/>
      <c r="LRF102" s="769"/>
      <c r="LRG102" s="769"/>
      <c r="LRH102" s="769"/>
      <c r="LRI102" s="769"/>
      <c r="LRJ102" s="769"/>
      <c r="LRK102" s="769"/>
      <c r="LRL102" s="769"/>
      <c r="LRM102" s="769"/>
      <c r="LRN102" s="769"/>
      <c r="LRO102" s="769"/>
      <c r="LRP102" s="769"/>
      <c r="LRQ102" s="769"/>
      <c r="LRR102" s="769"/>
      <c r="LRS102" s="769"/>
      <c r="LRT102" s="769"/>
      <c r="LRU102" s="769"/>
      <c r="LRV102" s="769"/>
      <c r="LRW102" s="769"/>
      <c r="LRX102" s="769"/>
      <c r="LRY102" s="769"/>
      <c r="LRZ102" s="769"/>
      <c r="LSA102" s="769"/>
      <c r="LSB102" s="769"/>
      <c r="LSC102" s="769"/>
      <c r="LSD102" s="769"/>
      <c r="LSE102" s="769"/>
      <c r="LSF102" s="769"/>
      <c r="LSG102" s="769"/>
      <c r="LSH102" s="769"/>
      <c r="LSI102" s="769"/>
      <c r="LSJ102" s="769"/>
      <c r="LSK102" s="769"/>
      <c r="LSL102" s="769"/>
      <c r="LSM102" s="769"/>
      <c r="LSN102" s="769"/>
      <c r="LSO102" s="769"/>
      <c r="LSP102" s="769"/>
      <c r="LSQ102" s="769"/>
      <c r="LSR102" s="769"/>
      <c r="LSS102" s="769"/>
      <c r="LST102" s="769"/>
      <c r="LSU102" s="769"/>
      <c r="LSV102" s="769"/>
      <c r="LSW102" s="769"/>
      <c r="LSX102" s="769"/>
      <c r="LSY102" s="769"/>
      <c r="LSZ102" s="769"/>
      <c r="LTA102" s="769"/>
      <c r="LTB102" s="769"/>
      <c r="LTC102" s="769"/>
      <c r="LTD102" s="769"/>
      <c r="LTE102" s="769"/>
      <c r="LTF102" s="769"/>
      <c r="LTG102" s="769"/>
      <c r="LTH102" s="769"/>
      <c r="LTI102" s="769"/>
      <c r="LTJ102" s="769"/>
      <c r="LTK102" s="769"/>
      <c r="LTL102" s="769"/>
      <c r="LTM102" s="769"/>
      <c r="LTN102" s="769"/>
      <c r="LTO102" s="769"/>
      <c r="LTP102" s="769"/>
      <c r="LTQ102" s="769"/>
      <c r="LTR102" s="769"/>
      <c r="LTS102" s="769"/>
      <c r="LTT102" s="769"/>
      <c r="LTU102" s="769"/>
      <c r="LTV102" s="769"/>
      <c r="LTW102" s="769"/>
      <c r="LTX102" s="769"/>
      <c r="LTY102" s="769"/>
      <c r="LTZ102" s="769"/>
      <c r="LUA102" s="769"/>
      <c r="LUB102" s="769"/>
      <c r="LUC102" s="769"/>
      <c r="LUD102" s="769"/>
      <c r="LUE102" s="769"/>
      <c r="LUF102" s="769"/>
      <c r="LUG102" s="769"/>
      <c r="LUH102" s="769"/>
      <c r="LUI102" s="769"/>
      <c r="LUJ102" s="769"/>
      <c r="LUK102" s="769"/>
      <c r="LUL102" s="769"/>
      <c r="LUM102" s="769"/>
      <c r="LUN102" s="769"/>
      <c r="LUO102" s="769"/>
      <c r="LUP102" s="769"/>
      <c r="LUQ102" s="769"/>
      <c r="LUR102" s="769"/>
      <c r="LUS102" s="769"/>
      <c r="LUT102" s="769"/>
      <c r="LUU102" s="769"/>
      <c r="LUV102" s="769"/>
      <c r="LUW102" s="769"/>
      <c r="LUX102" s="769"/>
      <c r="LUY102" s="769"/>
      <c r="LUZ102" s="769"/>
      <c r="LVA102" s="769"/>
      <c r="LVB102" s="769"/>
      <c r="LVC102" s="769"/>
      <c r="LVD102" s="769"/>
      <c r="LVE102" s="769"/>
      <c r="LVF102" s="769"/>
      <c r="LVG102" s="769"/>
      <c r="LVH102" s="769"/>
      <c r="LVI102" s="769"/>
      <c r="LVJ102" s="769"/>
      <c r="LVK102" s="769"/>
      <c r="LVL102" s="769"/>
      <c r="LVM102" s="769"/>
      <c r="LVN102" s="769"/>
      <c r="LVO102" s="769"/>
      <c r="LVP102" s="769"/>
      <c r="LVQ102" s="769"/>
      <c r="LVR102" s="769"/>
      <c r="LVS102" s="769"/>
      <c r="LVT102" s="769"/>
      <c r="LVU102" s="769"/>
      <c r="LVV102" s="769"/>
      <c r="LVW102" s="769"/>
      <c r="LVX102" s="769"/>
      <c r="LVY102" s="769"/>
      <c r="LVZ102" s="769"/>
      <c r="LWA102" s="769"/>
      <c r="LWB102" s="769"/>
      <c r="LWC102" s="769"/>
      <c r="LWD102" s="769"/>
      <c r="LWE102" s="769"/>
      <c r="LWF102" s="769"/>
      <c r="LWG102" s="769"/>
      <c r="LWH102" s="769"/>
      <c r="LWI102" s="769"/>
      <c r="LWJ102" s="769"/>
      <c r="LWK102" s="769"/>
      <c r="LWL102" s="769"/>
      <c r="LWM102" s="769"/>
      <c r="LWN102" s="769"/>
      <c r="LWO102" s="769"/>
      <c r="LWP102" s="769"/>
      <c r="LWQ102" s="769"/>
      <c r="LWR102" s="769"/>
      <c r="LWS102" s="769"/>
      <c r="LWT102" s="769"/>
      <c r="LWU102" s="769"/>
      <c r="LWV102" s="769"/>
      <c r="LWW102" s="769"/>
      <c r="LWX102" s="769"/>
      <c r="LWY102" s="769"/>
      <c r="LWZ102" s="769"/>
      <c r="LXA102" s="769"/>
      <c r="LXB102" s="769"/>
      <c r="LXC102" s="769"/>
      <c r="LXD102" s="769"/>
      <c r="LXE102" s="769"/>
      <c r="LXF102" s="769"/>
      <c r="LXG102" s="769"/>
      <c r="LXH102" s="769"/>
      <c r="LXI102" s="769"/>
      <c r="LXJ102" s="769"/>
      <c r="LXK102" s="769"/>
      <c r="LXL102" s="769"/>
      <c r="LXM102" s="769"/>
      <c r="LXN102" s="769"/>
      <c r="LXO102" s="769"/>
      <c r="LXP102" s="769"/>
      <c r="LXQ102" s="769"/>
      <c r="LXR102" s="769"/>
      <c r="LXS102" s="769"/>
      <c r="LXT102" s="769"/>
      <c r="LXU102" s="769"/>
      <c r="LXV102" s="769"/>
      <c r="LXW102" s="769"/>
      <c r="LXX102" s="769"/>
      <c r="LXY102" s="769"/>
      <c r="LXZ102" s="769"/>
      <c r="LYA102" s="769"/>
      <c r="LYB102" s="769"/>
      <c r="LYC102" s="769"/>
      <c r="LYD102" s="769"/>
      <c r="LYE102" s="769"/>
      <c r="LYF102" s="769"/>
      <c r="LYG102" s="769"/>
      <c r="LYH102" s="769"/>
      <c r="LYI102" s="769"/>
      <c r="LYJ102" s="769"/>
      <c r="LYK102" s="769"/>
      <c r="LYL102" s="769"/>
      <c r="LYM102" s="769"/>
      <c r="LYN102" s="769"/>
      <c r="LYO102" s="769"/>
      <c r="LYP102" s="769"/>
      <c r="LYQ102" s="769"/>
      <c r="LYR102" s="769"/>
      <c r="LYS102" s="769"/>
      <c r="LYT102" s="769"/>
      <c r="LYU102" s="769"/>
      <c r="LYV102" s="769"/>
      <c r="LYW102" s="769"/>
      <c r="LYX102" s="769"/>
      <c r="LYY102" s="769"/>
      <c r="LYZ102" s="769"/>
      <c r="LZA102" s="769"/>
      <c r="LZB102" s="769"/>
      <c r="LZC102" s="769"/>
      <c r="LZD102" s="769"/>
      <c r="LZE102" s="769"/>
      <c r="LZF102" s="769"/>
      <c r="LZG102" s="769"/>
      <c r="LZH102" s="769"/>
      <c r="LZI102" s="769"/>
      <c r="LZJ102" s="769"/>
      <c r="LZK102" s="769"/>
      <c r="LZL102" s="769"/>
      <c r="LZM102" s="769"/>
      <c r="LZN102" s="769"/>
      <c r="LZO102" s="769"/>
      <c r="LZP102" s="769"/>
      <c r="LZQ102" s="769"/>
      <c r="LZR102" s="769"/>
      <c r="LZS102" s="769"/>
      <c r="LZT102" s="769"/>
      <c r="LZU102" s="769"/>
      <c r="LZV102" s="769"/>
      <c r="LZW102" s="769"/>
      <c r="LZX102" s="769"/>
      <c r="LZY102" s="769"/>
      <c r="LZZ102" s="769"/>
      <c r="MAA102" s="769"/>
      <c r="MAB102" s="769"/>
      <c r="MAC102" s="769"/>
      <c r="MAD102" s="769"/>
      <c r="MAE102" s="769"/>
      <c r="MAF102" s="769"/>
      <c r="MAG102" s="769"/>
      <c r="MAH102" s="769"/>
      <c r="MAI102" s="769"/>
      <c r="MAJ102" s="769"/>
      <c r="MAK102" s="769"/>
      <c r="MAL102" s="769"/>
      <c r="MAM102" s="769"/>
      <c r="MAN102" s="769"/>
      <c r="MAO102" s="769"/>
      <c r="MAP102" s="769"/>
      <c r="MAQ102" s="769"/>
      <c r="MAR102" s="769"/>
      <c r="MAS102" s="769"/>
      <c r="MAT102" s="769"/>
      <c r="MAU102" s="769"/>
      <c r="MAV102" s="769"/>
      <c r="MAW102" s="769"/>
      <c r="MAX102" s="769"/>
      <c r="MAY102" s="769"/>
      <c r="MAZ102" s="769"/>
      <c r="MBA102" s="769"/>
      <c r="MBB102" s="769"/>
      <c r="MBC102" s="769"/>
      <c r="MBD102" s="769"/>
      <c r="MBE102" s="769"/>
      <c r="MBF102" s="769"/>
      <c r="MBG102" s="769"/>
      <c r="MBH102" s="769"/>
      <c r="MBI102" s="769"/>
      <c r="MBJ102" s="769"/>
      <c r="MBK102" s="769"/>
      <c r="MBL102" s="769"/>
      <c r="MBM102" s="769"/>
      <c r="MBN102" s="769"/>
      <c r="MBO102" s="769"/>
      <c r="MBP102" s="769"/>
      <c r="MBQ102" s="769"/>
      <c r="MBR102" s="769"/>
      <c r="MBS102" s="769"/>
      <c r="MBT102" s="769"/>
      <c r="MBU102" s="769"/>
      <c r="MBV102" s="769"/>
      <c r="MBW102" s="769"/>
      <c r="MBX102" s="769"/>
      <c r="MBY102" s="769"/>
      <c r="MBZ102" s="769"/>
      <c r="MCA102" s="769"/>
      <c r="MCB102" s="769"/>
      <c r="MCC102" s="769"/>
      <c r="MCD102" s="769"/>
      <c r="MCE102" s="769"/>
      <c r="MCF102" s="769"/>
      <c r="MCG102" s="769"/>
      <c r="MCH102" s="769"/>
      <c r="MCI102" s="769"/>
      <c r="MCJ102" s="769"/>
      <c r="MCK102" s="769"/>
      <c r="MCL102" s="769"/>
      <c r="MCM102" s="769"/>
      <c r="MCN102" s="769"/>
      <c r="MCO102" s="769"/>
      <c r="MCP102" s="769"/>
      <c r="MCQ102" s="769"/>
      <c r="MCR102" s="769"/>
      <c r="MCS102" s="769"/>
      <c r="MCT102" s="769"/>
      <c r="MCU102" s="769"/>
      <c r="MCV102" s="769"/>
      <c r="MCW102" s="769"/>
      <c r="MCX102" s="769"/>
      <c r="MCY102" s="769"/>
      <c r="MCZ102" s="769"/>
      <c r="MDA102" s="769"/>
      <c r="MDB102" s="769"/>
      <c r="MDC102" s="769"/>
      <c r="MDD102" s="769"/>
      <c r="MDE102" s="769"/>
      <c r="MDF102" s="769"/>
      <c r="MDG102" s="769"/>
      <c r="MDH102" s="769"/>
      <c r="MDI102" s="769"/>
      <c r="MDJ102" s="769"/>
      <c r="MDK102" s="769"/>
      <c r="MDL102" s="769"/>
      <c r="MDM102" s="769"/>
      <c r="MDN102" s="769"/>
      <c r="MDO102" s="769"/>
      <c r="MDP102" s="769"/>
      <c r="MDQ102" s="769"/>
      <c r="MDR102" s="769"/>
      <c r="MDS102" s="769"/>
      <c r="MDT102" s="769"/>
      <c r="MDU102" s="769"/>
      <c r="MDV102" s="769"/>
      <c r="MDW102" s="769"/>
      <c r="MDX102" s="769"/>
      <c r="MDY102" s="769"/>
      <c r="MDZ102" s="769"/>
      <c r="MEA102" s="769"/>
      <c r="MEB102" s="769"/>
      <c r="MEC102" s="769"/>
      <c r="MED102" s="769"/>
      <c r="MEE102" s="769"/>
      <c r="MEF102" s="769"/>
      <c r="MEG102" s="769"/>
      <c r="MEH102" s="769"/>
      <c r="MEI102" s="769"/>
      <c r="MEJ102" s="769"/>
      <c r="MEK102" s="769"/>
      <c r="MEL102" s="769"/>
      <c r="MEM102" s="769"/>
      <c r="MEN102" s="769"/>
      <c r="MEO102" s="769"/>
      <c r="MEP102" s="769"/>
      <c r="MEQ102" s="769"/>
      <c r="MER102" s="769"/>
      <c r="MES102" s="769"/>
      <c r="MET102" s="769"/>
      <c r="MEU102" s="769"/>
      <c r="MEV102" s="769"/>
      <c r="MEW102" s="769"/>
      <c r="MEX102" s="769"/>
      <c r="MEY102" s="769"/>
      <c r="MEZ102" s="769"/>
      <c r="MFA102" s="769"/>
      <c r="MFB102" s="769"/>
      <c r="MFC102" s="769"/>
      <c r="MFD102" s="769"/>
      <c r="MFE102" s="769"/>
      <c r="MFF102" s="769"/>
      <c r="MFG102" s="769"/>
      <c r="MFH102" s="769"/>
      <c r="MFI102" s="769"/>
      <c r="MFJ102" s="769"/>
      <c r="MFK102" s="769"/>
      <c r="MFL102" s="769"/>
      <c r="MFM102" s="769"/>
      <c r="MFN102" s="769"/>
      <c r="MFO102" s="769"/>
      <c r="MFP102" s="769"/>
      <c r="MFQ102" s="769"/>
      <c r="MFR102" s="769"/>
      <c r="MFS102" s="769"/>
      <c r="MFT102" s="769"/>
      <c r="MFU102" s="769"/>
      <c r="MFV102" s="769"/>
      <c r="MFW102" s="769"/>
      <c r="MFX102" s="769"/>
      <c r="MFY102" s="769"/>
      <c r="MFZ102" s="769"/>
      <c r="MGA102" s="769"/>
      <c r="MGB102" s="769"/>
      <c r="MGC102" s="769"/>
      <c r="MGD102" s="769"/>
      <c r="MGE102" s="769"/>
      <c r="MGF102" s="769"/>
      <c r="MGG102" s="769"/>
      <c r="MGH102" s="769"/>
      <c r="MGI102" s="769"/>
      <c r="MGJ102" s="769"/>
      <c r="MGK102" s="769"/>
      <c r="MGL102" s="769"/>
      <c r="MGM102" s="769"/>
      <c r="MGN102" s="769"/>
      <c r="MGO102" s="769"/>
      <c r="MGP102" s="769"/>
      <c r="MGQ102" s="769"/>
      <c r="MGR102" s="769"/>
      <c r="MGS102" s="769"/>
      <c r="MGT102" s="769"/>
      <c r="MGU102" s="769"/>
      <c r="MGV102" s="769"/>
      <c r="MGW102" s="769"/>
      <c r="MGX102" s="769"/>
      <c r="MGY102" s="769"/>
      <c r="MGZ102" s="769"/>
      <c r="MHA102" s="769"/>
      <c r="MHB102" s="769"/>
      <c r="MHC102" s="769"/>
      <c r="MHD102" s="769"/>
      <c r="MHE102" s="769"/>
      <c r="MHF102" s="769"/>
      <c r="MHG102" s="769"/>
      <c r="MHH102" s="769"/>
      <c r="MHI102" s="769"/>
      <c r="MHJ102" s="769"/>
      <c r="MHK102" s="769"/>
      <c r="MHL102" s="769"/>
      <c r="MHM102" s="769"/>
      <c r="MHN102" s="769"/>
      <c r="MHO102" s="769"/>
      <c r="MHP102" s="769"/>
      <c r="MHQ102" s="769"/>
      <c r="MHR102" s="769"/>
      <c r="MHS102" s="769"/>
      <c r="MHT102" s="769"/>
      <c r="MHU102" s="769"/>
      <c r="MHV102" s="769"/>
      <c r="MHW102" s="769"/>
      <c r="MHX102" s="769"/>
      <c r="MHY102" s="769"/>
      <c r="MHZ102" s="769"/>
      <c r="MIA102" s="769"/>
      <c r="MIB102" s="769"/>
      <c r="MIC102" s="769"/>
      <c r="MID102" s="769"/>
      <c r="MIE102" s="769"/>
      <c r="MIF102" s="769"/>
      <c r="MIG102" s="769"/>
      <c r="MIH102" s="769"/>
      <c r="MII102" s="769"/>
      <c r="MIJ102" s="769"/>
      <c r="MIK102" s="769"/>
      <c r="MIL102" s="769"/>
      <c r="MIM102" s="769"/>
      <c r="MIN102" s="769"/>
      <c r="MIO102" s="769"/>
      <c r="MIP102" s="769"/>
      <c r="MIQ102" s="769"/>
      <c r="MIR102" s="769"/>
      <c r="MIS102" s="769"/>
      <c r="MIT102" s="769"/>
      <c r="MIU102" s="769"/>
      <c r="MIV102" s="769"/>
      <c r="MIW102" s="769"/>
      <c r="MIX102" s="769"/>
      <c r="MIY102" s="769"/>
      <c r="MIZ102" s="769"/>
      <c r="MJA102" s="769"/>
      <c r="MJB102" s="769"/>
      <c r="MJC102" s="769"/>
      <c r="MJD102" s="769"/>
      <c r="MJE102" s="769"/>
      <c r="MJF102" s="769"/>
      <c r="MJG102" s="769"/>
      <c r="MJH102" s="769"/>
      <c r="MJI102" s="769"/>
      <c r="MJJ102" s="769"/>
      <c r="MJK102" s="769"/>
      <c r="MJL102" s="769"/>
      <c r="MJM102" s="769"/>
      <c r="MJN102" s="769"/>
      <c r="MJO102" s="769"/>
      <c r="MJP102" s="769"/>
      <c r="MJQ102" s="769"/>
      <c r="MJR102" s="769"/>
      <c r="MJS102" s="769"/>
      <c r="MJT102" s="769"/>
      <c r="MJU102" s="769"/>
      <c r="MJV102" s="769"/>
      <c r="MJW102" s="769"/>
      <c r="MJX102" s="769"/>
      <c r="MJY102" s="769"/>
      <c r="MJZ102" s="769"/>
      <c r="MKA102" s="769"/>
      <c r="MKB102" s="769"/>
      <c r="MKC102" s="769"/>
      <c r="MKD102" s="769"/>
      <c r="MKE102" s="769"/>
      <c r="MKF102" s="769"/>
      <c r="MKG102" s="769"/>
      <c r="MKH102" s="769"/>
      <c r="MKI102" s="769"/>
      <c r="MKJ102" s="769"/>
      <c r="MKK102" s="769"/>
      <c r="MKL102" s="769"/>
      <c r="MKM102" s="769"/>
      <c r="MKN102" s="769"/>
      <c r="MKO102" s="769"/>
      <c r="MKP102" s="769"/>
      <c r="MKQ102" s="769"/>
      <c r="MKR102" s="769"/>
      <c r="MKS102" s="769"/>
      <c r="MKT102" s="769"/>
      <c r="MKU102" s="769"/>
      <c r="MKV102" s="769"/>
      <c r="MKW102" s="769"/>
      <c r="MKX102" s="769"/>
      <c r="MKY102" s="769"/>
      <c r="MKZ102" s="769"/>
      <c r="MLA102" s="769"/>
      <c r="MLB102" s="769"/>
      <c r="MLC102" s="769"/>
      <c r="MLD102" s="769"/>
      <c r="MLE102" s="769"/>
      <c r="MLF102" s="769"/>
      <c r="MLG102" s="769"/>
      <c r="MLH102" s="769"/>
      <c r="MLI102" s="769"/>
      <c r="MLJ102" s="769"/>
      <c r="MLK102" s="769"/>
      <c r="MLL102" s="769"/>
      <c r="MLM102" s="769"/>
      <c r="MLN102" s="769"/>
      <c r="MLO102" s="769"/>
      <c r="MLP102" s="769"/>
      <c r="MLQ102" s="769"/>
      <c r="MLR102" s="769"/>
      <c r="MLS102" s="769"/>
      <c r="MLT102" s="769"/>
      <c r="MLU102" s="769"/>
      <c r="MLV102" s="769"/>
      <c r="MLW102" s="769"/>
      <c r="MLX102" s="769"/>
      <c r="MLY102" s="769"/>
      <c r="MLZ102" s="769"/>
      <c r="MMA102" s="769"/>
      <c r="MMB102" s="769"/>
      <c r="MMC102" s="769"/>
      <c r="MMD102" s="769"/>
      <c r="MME102" s="769"/>
      <c r="MMF102" s="769"/>
      <c r="MMG102" s="769"/>
      <c r="MMH102" s="769"/>
      <c r="MMI102" s="769"/>
      <c r="MMJ102" s="769"/>
      <c r="MMK102" s="769"/>
      <c r="MML102" s="769"/>
      <c r="MMM102" s="769"/>
      <c r="MMN102" s="769"/>
      <c r="MMO102" s="769"/>
      <c r="MMP102" s="769"/>
      <c r="MMQ102" s="769"/>
      <c r="MMR102" s="769"/>
      <c r="MMS102" s="769"/>
      <c r="MMT102" s="769"/>
      <c r="MMU102" s="769"/>
      <c r="MMV102" s="769"/>
      <c r="MMW102" s="769"/>
      <c r="MMX102" s="769"/>
      <c r="MMY102" s="769"/>
      <c r="MMZ102" s="769"/>
      <c r="MNA102" s="769"/>
      <c r="MNB102" s="769"/>
      <c r="MNC102" s="769"/>
      <c r="MND102" s="769"/>
      <c r="MNE102" s="769"/>
      <c r="MNF102" s="769"/>
      <c r="MNG102" s="769"/>
      <c r="MNH102" s="769"/>
      <c r="MNI102" s="769"/>
      <c r="MNJ102" s="769"/>
      <c r="MNK102" s="769"/>
      <c r="MNL102" s="769"/>
      <c r="MNM102" s="769"/>
      <c r="MNN102" s="769"/>
      <c r="MNO102" s="769"/>
      <c r="MNP102" s="769"/>
      <c r="MNQ102" s="769"/>
      <c r="MNR102" s="769"/>
      <c r="MNS102" s="769"/>
      <c r="MNT102" s="769"/>
      <c r="MNU102" s="769"/>
      <c r="MNV102" s="769"/>
      <c r="MNW102" s="769"/>
      <c r="MNX102" s="769"/>
      <c r="MNY102" s="769"/>
      <c r="MNZ102" s="769"/>
      <c r="MOA102" s="769"/>
      <c r="MOB102" s="769"/>
      <c r="MOC102" s="769"/>
      <c r="MOD102" s="769"/>
      <c r="MOE102" s="769"/>
      <c r="MOF102" s="769"/>
      <c r="MOG102" s="769"/>
      <c r="MOH102" s="769"/>
      <c r="MOI102" s="769"/>
      <c r="MOJ102" s="769"/>
      <c r="MOK102" s="769"/>
      <c r="MOL102" s="769"/>
      <c r="MOM102" s="769"/>
      <c r="MON102" s="769"/>
      <c r="MOO102" s="769"/>
      <c r="MOP102" s="769"/>
      <c r="MOQ102" s="769"/>
      <c r="MOR102" s="769"/>
      <c r="MOS102" s="769"/>
      <c r="MOT102" s="769"/>
      <c r="MOU102" s="769"/>
      <c r="MOV102" s="769"/>
      <c r="MOW102" s="769"/>
      <c r="MOX102" s="769"/>
      <c r="MOY102" s="769"/>
      <c r="MOZ102" s="769"/>
      <c r="MPA102" s="769"/>
      <c r="MPB102" s="769"/>
      <c r="MPC102" s="769"/>
      <c r="MPD102" s="769"/>
      <c r="MPE102" s="769"/>
      <c r="MPF102" s="769"/>
      <c r="MPG102" s="769"/>
      <c r="MPH102" s="769"/>
      <c r="MPI102" s="769"/>
      <c r="MPJ102" s="769"/>
      <c r="MPK102" s="769"/>
      <c r="MPL102" s="769"/>
      <c r="MPM102" s="769"/>
      <c r="MPN102" s="769"/>
      <c r="MPO102" s="769"/>
      <c r="MPP102" s="769"/>
      <c r="MPQ102" s="769"/>
      <c r="MPR102" s="769"/>
      <c r="MPS102" s="769"/>
      <c r="MPT102" s="769"/>
      <c r="MPU102" s="769"/>
      <c r="MPV102" s="769"/>
      <c r="MPW102" s="769"/>
      <c r="MPX102" s="769"/>
      <c r="MPY102" s="769"/>
      <c r="MPZ102" s="769"/>
      <c r="MQA102" s="769"/>
      <c r="MQB102" s="769"/>
      <c r="MQC102" s="769"/>
      <c r="MQD102" s="769"/>
      <c r="MQE102" s="769"/>
      <c r="MQF102" s="769"/>
      <c r="MQG102" s="769"/>
      <c r="MQH102" s="769"/>
      <c r="MQI102" s="769"/>
      <c r="MQJ102" s="769"/>
      <c r="MQK102" s="769"/>
      <c r="MQL102" s="769"/>
      <c r="MQM102" s="769"/>
      <c r="MQN102" s="769"/>
      <c r="MQO102" s="769"/>
      <c r="MQP102" s="769"/>
      <c r="MQQ102" s="769"/>
      <c r="MQR102" s="769"/>
      <c r="MQS102" s="769"/>
      <c r="MQT102" s="769"/>
      <c r="MQU102" s="769"/>
      <c r="MQV102" s="769"/>
      <c r="MQW102" s="769"/>
      <c r="MQX102" s="769"/>
      <c r="MQY102" s="769"/>
      <c r="MQZ102" s="769"/>
      <c r="MRA102" s="769"/>
      <c r="MRB102" s="769"/>
      <c r="MRC102" s="769"/>
      <c r="MRD102" s="769"/>
      <c r="MRE102" s="769"/>
      <c r="MRF102" s="769"/>
      <c r="MRG102" s="769"/>
      <c r="MRH102" s="769"/>
      <c r="MRI102" s="769"/>
      <c r="MRJ102" s="769"/>
      <c r="MRK102" s="769"/>
      <c r="MRL102" s="769"/>
      <c r="MRM102" s="769"/>
      <c r="MRN102" s="769"/>
      <c r="MRO102" s="769"/>
      <c r="MRP102" s="769"/>
      <c r="MRQ102" s="769"/>
      <c r="MRR102" s="769"/>
      <c r="MRS102" s="769"/>
      <c r="MRT102" s="769"/>
      <c r="MRU102" s="769"/>
      <c r="MRV102" s="769"/>
      <c r="MRW102" s="769"/>
      <c r="MRX102" s="769"/>
      <c r="MRY102" s="769"/>
      <c r="MRZ102" s="769"/>
      <c r="MSA102" s="769"/>
      <c r="MSB102" s="769"/>
      <c r="MSC102" s="769"/>
      <c r="MSD102" s="769"/>
      <c r="MSE102" s="769"/>
      <c r="MSF102" s="769"/>
      <c r="MSG102" s="769"/>
      <c r="MSH102" s="769"/>
      <c r="MSI102" s="769"/>
      <c r="MSJ102" s="769"/>
      <c r="MSK102" s="769"/>
      <c r="MSL102" s="769"/>
      <c r="MSM102" s="769"/>
      <c r="MSN102" s="769"/>
      <c r="MSO102" s="769"/>
      <c r="MSP102" s="769"/>
      <c r="MSQ102" s="769"/>
      <c r="MSR102" s="769"/>
      <c r="MSS102" s="769"/>
      <c r="MST102" s="769"/>
      <c r="MSU102" s="769"/>
      <c r="MSV102" s="769"/>
      <c r="MSW102" s="769"/>
      <c r="MSX102" s="769"/>
      <c r="MSY102" s="769"/>
      <c r="MSZ102" s="769"/>
      <c r="MTA102" s="769"/>
      <c r="MTB102" s="769"/>
      <c r="MTC102" s="769"/>
      <c r="MTD102" s="769"/>
      <c r="MTE102" s="769"/>
      <c r="MTF102" s="769"/>
      <c r="MTG102" s="769"/>
      <c r="MTH102" s="769"/>
      <c r="MTI102" s="769"/>
      <c r="MTJ102" s="769"/>
      <c r="MTK102" s="769"/>
      <c r="MTL102" s="769"/>
      <c r="MTM102" s="769"/>
      <c r="MTN102" s="769"/>
      <c r="MTO102" s="769"/>
      <c r="MTP102" s="769"/>
      <c r="MTQ102" s="769"/>
      <c r="MTR102" s="769"/>
      <c r="MTS102" s="769"/>
      <c r="MTT102" s="769"/>
      <c r="MTU102" s="769"/>
      <c r="MTV102" s="769"/>
      <c r="MTW102" s="769"/>
      <c r="MTX102" s="769"/>
      <c r="MTY102" s="769"/>
      <c r="MTZ102" s="769"/>
      <c r="MUA102" s="769"/>
      <c r="MUB102" s="769"/>
      <c r="MUC102" s="769"/>
      <c r="MUD102" s="769"/>
      <c r="MUE102" s="769"/>
      <c r="MUF102" s="769"/>
      <c r="MUG102" s="769"/>
      <c r="MUH102" s="769"/>
      <c r="MUI102" s="769"/>
      <c r="MUJ102" s="769"/>
      <c r="MUK102" s="769"/>
      <c r="MUL102" s="769"/>
      <c r="MUM102" s="769"/>
      <c r="MUN102" s="769"/>
      <c r="MUO102" s="769"/>
      <c r="MUP102" s="769"/>
      <c r="MUQ102" s="769"/>
      <c r="MUR102" s="769"/>
      <c r="MUS102" s="769"/>
      <c r="MUT102" s="769"/>
      <c r="MUU102" s="769"/>
      <c r="MUV102" s="769"/>
      <c r="MUW102" s="769"/>
      <c r="MUX102" s="769"/>
      <c r="MUY102" s="769"/>
      <c r="MUZ102" s="769"/>
      <c r="MVA102" s="769"/>
      <c r="MVB102" s="769"/>
      <c r="MVC102" s="769"/>
      <c r="MVD102" s="769"/>
      <c r="MVE102" s="769"/>
      <c r="MVF102" s="769"/>
      <c r="MVG102" s="769"/>
      <c r="MVH102" s="769"/>
      <c r="MVI102" s="769"/>
      <c r="MVJ102" s="769"/>
      <c r="MVK102" s="769"/>
      <c r="MVL102" s="769"/>
      <c r="MVM102" s="769"/>
      <c r="MVN102" s="769"/>
      <c r="MVO102" s="769"/>
      <c r="MVP102" s="769"/>
      <c r="MVQ102" s="769"/>
      <c r="MVR102" s="769"/>
      <c r="MVS102" s="769"/>
      <c r="MVT102" s="769"/>
      <c r="MVU102" s="769"/>
      <c r="MVV102" s="769"/>
      <c r="MVW102" s="769"/>
      <c r="MVX102" s="769"/>
      <c r="MVY102" s="769"/>
      <c r="MVZ102" s="769"/>
      <c r="MWA102" s="769"/>
      <c r="MWB102" s="769"/>
      <c r="MWC102" s="769"/>
      <c r="MWD102" s="769"/>
      <c r="MWE102" s="769"/>
      <c r="MWF102" s="769"/>
      <c r="MWG102" s="769"/>
      <c r="MWH102" s="769"/>
      <c r="MWI102" s="769"/>
      <c r="MWJ102" s="769"/>
      <c r="MWK102" s="769"/>
      <c r="MWL102" s="769"/>
      <c r="MWM102" s="769"/>
      <c r="MWN102" s="769"/>
      <c r="MWO102" s="769"/>
      <c r="MWP102" s="769"/>
      <c r="MWQ102" s="769"/>
      <c r="MWR102" s="769"/>
      <c r="MWS102" s="769"/>
      <c r="MWT102" s="769"/>
      <c r="MWU102" s="769"/>
      <c r="MWV102" s="769"/>
      <c r="MWW102" s="769"/>
      <c r="MWX102" s="769"/>
      <c r="MWY102" s="769"/>
      <c r="MWZ102" s="769"/>
      <c r="MXA102" s="769"/>
      <c r="MXB102" s="769"/>
      <c r="MXC102" s="769"/>
      <c r="MXD102" s="769"/>
      <c r="MXE102" s="769"/>
      <c r="MXF102" s="769"/>
      <c r="MXG102" s="769"/>
      <c r="MXH102" s="769"/>
      <c r="MXI102" s="769"/>
      <c r="MXJ102" s="769"/>
      <c r="MXK102" s="769"/>
      <c r="MXL102" s="769"/>
      <c r="MXM102" s="769"/>
      <c r="MXN102" s="769"/>
      <c r="MXO102" s="769"/>
      <c r="MXP102" s="769"/>
      <c r="MXQ102" s="769"/>
      <c r="MXR102" s="769"/>
      <c r="MXS102" s="769"/>
      <c r="MXT102" s="769"/>
      <c r="MXU102" s="769"/>
      <c r="MXV102" s="769"/>
      <c r="MXW102" s="769"/>
      <c r="MXX102" s="769"/>
      <c r="MXY102" s="769"/>
      <c r="MXZ102" s="769"/>
      <c r="MYA102" s="769"/>
      <c r="MYB102" s="769"/>
      <c r="MYC102" s="769"/>
      <c r="MYD102" s="769"/>
      <c r="MYE102" s="769"/>
      <c r="MYF102" s="769"/>
      <c r="MYG102" s="769"/>
      <c r="MYH102" s="769"/>
      <c r="MYI102" s="769"/>
      <c r="MYJ102" s="769"/>
      <c r="MYK102" s="769"/>
      <c r="MYL102" s="769"/>
      <c r="MYM102" s="769"/>
      <c r="MYN102" s="769"/>
      <c r="MYO102" s="769"/>
      <c r="MYP102" s="769"/>
      <c r="MYQ102" s="769"/>
      <c r="MYR102" s="769"/>
      <c r="MYS102" s="769"/>
      <c r="MYT102" s="769"/>
      <c r="MYU102" s="769"/>
      <c r="MYV102" s="769"/>
      <c r="MYW102" s="769"/>
      <c r="MYX102" s="769"/>
      <c r="MYY102" s="769"/>
      <c r="MYZ102" s="769"/>
      <c r="MZA102" s="769"/>
      <c r="MZB102" s="769"/>
      <c r="MZC102" s="769"/>
      <c r="MZD102" s="769"/>
      <c r="MZE102" s="769"/>
      <c r="MZF102" s="769"/>
      <c r="MZG102" s="769"/>
      <c r="MZH102" s="769"/>
      <c r="MZI102" s="769"/>
      <c r="MZJ102" s="769"/>
      <c r="MZK102" s="769"/>
      <c r="MZL102" s="769"/>
      <c r="MZM102" s="769"/>
      <c r="MZN102" s="769"/>
      <c r="MZO102" s="769"/>
      <c r="MZP102" s="769"/>
      <c r="MZQ102" s="769"/>
      <c r="MZR102" s="769"/>
      <c r="MZS102" s="769"/>
      <c r="MZT102" s="769"/>
      <c r="MZU102" s="769"/>
      <c r="MZV102" s="769"/>
      <c r="MZW102" s="769"/>
      <c r="MZX102" s="769"/>
      <c r="MZY102" s="769"/>
      <c r="MZZ102" s="769"/>
      <c r="NAA102" s="769"/>
      <c r="NAB102" s="769"/>
      <c r="NAC102" s="769"/>
      <c r="NAD102" s="769"/>
      <c r="NAE102" s="769"/>
      <c r="NAF102" s="769"/>
      <c r="NAG102" s="769"/>
      <c r="NAH102" s="769"/>
      <c r="NAI102" s="769"/>
      <c r="NAJ102" s="769"/>
      <c r="NAK102" s="769"/>
      <c r="NAL102" s="769"/>
      <c r="NAM102" s="769"/>
      <c r="NAN102" s="769"/>
      <c r="NAO102" s="769"/>
      <c r="NAP102" s="769"/>
      <c r="NAQ102" s="769"/>
      <c r="NAR102" s="769"/>
      <c r="NAS102" s="769"/>
      <c r="NAT102" s="769"/>
      <c r="NAU102" s="769"/>
      <c r="NAV102" s="769"/>
      <c r="NAW102" s="769"/>
      <c r="NAX102" s="769"/>
      <c r="NAY102" s="769"/>
      <c r="NAZ102" s="769"/>
      <c r="NBA102" s="769"/>
      <c r="NBB102" s="769"/>
      <c r="NBC102" s="769"/>
      <c r="NBD102" s="769"/>
      <c r="NBE102" s="769"/>
      <c r="NBF102" s="769"/>
      <c r="NBG102" s="769"/>
      <c r="NBH102" s="769"/>
      <c r="NBI102" s="769"/>
      <c r="NBJ102" s="769"/>
      <c r="NBK102" s="769"/>
      <c r="NBL102" s="769"/>
      <c r="NBM102" s="769"/>
      <c r="NBN102" s="769"/>
      <c r="NBO102" s="769"/>
      <c r="NBP102" s="769"/>
      <c r="NBQ102" s="769"/>
      <c r="NBR102" s="769"/>
      <c r="NBS102" s="769"/>
      <c r="NBT102" s="769"/>
      <c r="NBU102" s="769"/>
      <c r="NBV102" s="769"/>
      <c r="NBW102" s="769"/>
      <c r="NBX102" s="769"/>
      <c r="NBY102" s="769"/>
      <c r="NBZ102" s="769"/>
      <c r="NCA102" s="769"/>
      <c r="NCB102" s="769"/>
      <c r="NCC102" s="769"/>
      <c r="NCD102" s="769"/>
      <c r="NCE102" s="769"/>
      <c r="NCF102" s="769"/>
      <c r="NCG102" s="769"/>
      <c r="NCH102" s="769"/>
      <c r="NCI102" s="769"/>
      <c r="NCJ102" s="769"/>
      <c r="NCK102" s="769"/>
      <c r="NCL102" s="769"/>
      <c r="NCM102" s="769"/>
      <c r="NCN102" s="769"/>
      <c r="NCO102" s="769"/>
      <c r="NCP102" s="769"/>
      <c r="NCQ102" s="769"/>
      <c r="NCR102" s="769"/>
      <c r="NCS102" s="769"/>
      <c r="NCT102" s="769"/>
      <c r="NCU102" s="769"/>
      <c r="NCV102" s="769"/>
      <c r="NCW102" s="769"/>
      <c r="NCX102" s="769"/>
      <c r="NCY102" s="769"/>
      <c r="NCZ102" s="769"/>
      <c r="NDA102" s="769"/>
      <c r="NDB102" s="769"/>
      <c r="NDC102" s="769"/>
      <c r="NDD102" s="769"/>
      <c r="NDE102" s="769"/>
      <c r="NDF102" s="769"/>
      <c r="NDG102" s="769"/>
      <c r="NDH102" s="769"/>
      <c r="NDI102" s="769"/>
      <c r="NDJ102" s="769"/>
      <c r="NDK102" s="769"/>
      <c r="NDL102" s="769"/>
      <c r="NDM102" s="769"/>
      <c r="NDN102" s="769"/>
      <c r="NDO102" s="769"/>
      <c r="NDP102" s="769"/>
      <c r="NDQ102" s="769"/>
      <c r="NDR102" s="769"/>
      <c r="NDS102" s="769"/>
      <c r="NDT102" s="769"/>
      <c r="NDU102" s="769"/>
      <c r="NDV102" s="769"/>
      <c r="NDW102" s="769"/>
      <c r="NDX102" s="769"/>
      <c r="NDY102" s="769"/>
      <c r="NDZ102" s="769"/>
      <c r="NEA102" s="769"/>
      <c r="NEB102" s="769"/>
      <c r="NEC102" s="769"/>
      <c r="NED102" s="769"/>
      <c r="NEE102" s="769"/>
      <c r="NEF102" s="769"/>
      <c r="NEG102" s="769"/>
      <c r="NEH102" s="769"/>
      <c r="NEI102" s="769"/>
      <c r="NEJ102" s="769"/>
      <c r="NEK102" s="769"/>
      <c r="NEL102" s="769"/>
      <c r="NEM102" s="769"/>
      <c r="NEN102" s="769"/>
      <c r="NEO102" s="769"/>
      <c r="NEP102" s="769"/>
      <c r="NEQ102" s="769"/>
      <c r="NER102" s="769"/>
      <c r="NES102" s="769"/>
      <c r="NET102" s="769"/>
      <c r="NEU102" s="769"/>
      <c r="NEV102" s="769"/>
      <c r="NEW102" s="769"/>
      <c r="NEX102" s="769"/>
      <c r="NEY102" s="769"/>
      <c r="NEZ102" s="769"/>
      <c r="NFA102" s="769"/>
      <c r="NFB102" s="769"/>
      <c r="NFC102" s="769"/>
      <c r="NFD102" s="769"/>
      <c r="NFE102" s="769"/>
      <c r="NFF102" s="769"/>
      <c r="NFG102" s="769"/>
      <c r="NFH102" s="769"/>
      <c r="NFI102" s="769"/>
      <c r="NFJ102" s="769"/>
      <c r="NFK102" s="769"/>
      <c r="NFL102" s="769"/>
      <c r="NFM102" s="769"/>
      <c r="NFN102" s="769"/>
      <c r="NFO102" s="769"/>
      <c r="NFP102" s="769"/>
      <c r="NFQ102" s="769"/>
      <c r="NFR102" s="769"/>
      <c r="NFS102" s="769"/>
      <c r="NFT102" s="769"/>
      <c r="NFU102" s="769"/>
      <c r="NFV102" s="769"/>
      <c r="NFW102" s="769"/>
      <c r="NFX102" s="769"/>
      <c r="NFY102" s="769"/>
      <c r="NFZ102" s="769"/>
      <c r="NGA102" s="769"/>
      <c r="NGB102" s="769"/>
      <c r="NGC102" s="769"/>
      <c r="NGD102" s="769"/>
      <c r="NGE102" s="769"/>
      <c r="NGF102" s="769"/>
      <c r="NGG102" s="769"/>
      <c r="NGH102" s="769"/>
      <c r="NGI102" s="769"/>
      <c r="NGJ102" s="769"/>
      <c r="NGK102" s="769"/>
      <c r="NGL102" s="769"/>
      <c r="NGM102" s="769"/>
      <c r="NGN102" s="769"/>
      <c r="NGO102" s="769"/>
      <c r="NGP102" s="769"/>
      <c r="NGQ102" s="769"/>
      <c r="NGR102" s="769"/>
      <c r="NGS102" s="769"/>
      <c r="NGT102" s="769"/>
      <c r="NGU102" s="769"/>
      <c r="NGV102" s="769"/>
      <c r="NGW102" s="769"/>
      <c r="NGX102" s="769"/>
      <c r="NGY102" s="769"/>
      <c r="NGZ102" s="769"/>
      <c r="NHA102" s="769"/>
      <c r="NHB102" s="769"/>
      <c r="NHC102" s="769"/>
      <c r="NHD102" s="769"/>
      <c r="NHE102" s="769"/>
      <c r="NHF102" s="769"/>
      <c r="NHG102" s="769"/>
      <c r="NHH102" s="769"/>
      <c r="NHI102" s="769"/>
      <c r="NHJ102" s="769"/>
      <c r="NHK102" s="769"/>
      <c r="NHL102" s="769"/>
      <c r="NHM102" s="769"/>
      <c r="NHN102" s="769"/>
      <c r="NHO102" s="769"/>
      <c r="NHP102" s="769"/>
      <c r="NHQ102" s="769"/>
      <c r="NHR102" s="769"/>
      <c r="NHS102" s="769"/>
      <c r="NHT102" s="769"/>
      <c r="NHU102" s="769"/>
      <c r="NHV102" s="769"/>
      <c r="NHW102" s="769"/>
      <c r="NHX102" s="769"/>
      <c r="NHY102" s="769"/>
      <c r="NHZ102" s="769"/>
      <c r="NIA102" s="769"/>
      <c r="NIB102" s="769"/>
      <c r="NIC102" s="769"/>
      <c r="NID102" s="769"/>
      <c r="NIE102" s="769"/>
      <c r="NIF102" s="769"/>
      <c r="NIG102" s="769"/>
      <c r="NIH102" s="769"/>
      <c r="NII102" s="769"/>
      <c r="NIJ102" s="769"/>
      <c r="NIK102" s="769"/>
      <c r="NIL102" s="769"/>
      <c r="NIM102" s="769"/>
      <c r="NIN102" s="769"/>
      <c r="NIO102" s="769"/>
      <c r="NIP102" s="769"/>
      <c r="NIQ102" s="769"/>
      <c r="NIR102" s="769"/>
      <c r="NIS102" s="769"/>
      <c r="NIT102" s="769"/>
      <c r="NIU102" s="769"/>
      <c r="NIV102" s="769"/>
      <c r="NIW102" s="769"/>
      <c r="NIX102" s="769"/>
      <c r="NIY102" s="769"/>
      <c r="NIZ102" s="769"/>
      <c r="NJA102" s="769"/>
      <c r="NJB102" s="769"/>
      <c r="NJC102" s="769"/>
      <c r="NJD102" s="769"/>
      <c r="NJE102" s="769"/>
      <c r="NJF102" s="769"/>
      <c r="NJG102" s="769"/>
      <c r="NJH102" s="769"/>
      <c r="NJI102" s="769"/>
      <c r="NJJ102" s="769"/>
      <c r="NJK102" s="769"/>
      <c r="NJL102" s="769"/>
      <c r="NJM102" s="769"/>
      <c r="NJN102" s="769"/>
      <c r="NJO102" s="769"/>
      <c r="NJP102" s="769"/>
      <c r="NJQ102" s="769"/>
      <c r="NJR102" s="769"/>
      <c r="NJS102" s="769"/>
      <c r="NJT102" s="769"/>
      <c r="NJU102" s="769"/>
      <c r="NJV102" s="769"/>
      <c r="NJW102" s="769"/>
      <c r="NJX102" s="769"/>
      <c r="NJY102" s="769"/>
      <c r="NJZ102" s="769"/>
      <c r="NKA102" s="769"/>
      <c r="NKB102" s="769"/>
      <c r="NKC102" s="769"/>
      <c r="NKD102" s="769"/>
      <c r="NKE102" s="769"/>
      <c r="NKF102" s="769"/>
      <c r="NKG102" s="769"/>
      <c r="NKH102" s="769"/>
      <c r="NKI102" s="769"/>
      <c r="NKJ102" s="769"/>
      <c r="NKK102" s="769"/>
      <c r="NKL102" s="769"/>
      <c r="NKM102" s="769"/>
      <c r="NKN102" s="769"/>
      <c r="NKO102" s="769"/>
      <c r="NKP102" s="769"/>
      <c r="NKQ102" s="769"/>
      <c r="NKR102" s="769"/>
      <c r="NKS102" s="769"/>
      <c r="NKT102" s="769"/>
      <c r="NKU102" s="769"/>
      <c r="NKV102" s="769"/>
      <c r="NKW102" s="769"/>
      <c r="NKX102" s="769"/>
      <c r="NKY102" s="769"/>
      <c r="NKZ102" s="769"/>
      <c r="NLA102" s="769"/>
      <c r="NLB102" s="769"/>
      <c r="NLC102" s="769"/>
      <c r="NLD102" s="769"/>
      <c r="NLE102" s="769"/>
      <c r="NLF102" s="769"/>
      <c r="NLG102" s="769"/>
      <c r="NLH102" s="769"/>
      <c r="NLI102" s="769"/>
      <c r="NLJ102" s="769"/>
      <c r="NLK102" s="769"/>
      <c r="NLL102" s="769"/>
      <c r="NLM102" s="769"/>
      <c r="NLN102" s="769"/>
      <c r="NLO102" s="769"/>
      <c r="NLP102" s="769"/>
      <c r="NLQ102" s="769"/>
      <c r="NLR102" s="769"/>
      <c r="NLS102" s="769"/>
      <c r="NLT102" s="769"/>
      <c r="NLU102" s="769"/>
      <c r="NLV102" s="769"/>
      <c r="NLW102" s="769"/>
      <c r="NLX102" s="769"/>
      <c r="NLY102" s="769"/>
      <c r="NLZ102" s="769"/>
      <c r="NMA102" s="769"/>
      <c r="NMB102" s="769"/>
      <c r="NMC102" s="769"/>
      <c r="NMD102" s="769"/>
      <c r="NME102" s="769"/>
      <c r="NMF102" s="769"/>
      <c r="NMG102" s="769"/>
      <c r="NMH102" s="769"/>
      <c r="NMI102" s="769"/>
      <c r="NMJ102" s="769"/>
      <c r="NMK102" s="769"/>
      <c r="NML102" s="769"/>
      <c r="NMM102" s="769"/>
      <c r="NMN102" s="769"/>
      <c r="NMO102" s="769"/>
      <c r="NMP102" s="769"/>
      <c r="NMQ102" s="769"/>
      <c r="NMR102" s="769"/>
      <c r="NMS102" s="769"/>
      <c r="NMT102" s="769"/>
      <c r="NMU102" s="769"/>
      <c r="NMV102" s="769"/>
      <c r="NMW102" s="769"/>
      <c r="NMX102" s="769"/>
      <c r="NMY102" s="769"/>
      <c r="NMZ102" s="769"/>
      <c r="NNA102" s="769"/>
      <c r="NNB102" s="769"/>
      <c r="NNC102" s="769"/>
      <c r="NND102" s="769"/>
      <c r="NNE102" s="769"/>
      <c r="NNF102" s="769"/>
      <c r="NNG102" s="769"/>
      <c r="NNH102" s="769"/>
      <c r="NNI102" s="769"/>
      <c r="NNJ102" s="769"/>
      <c r="NNK102" s="769"/>
      <c r="NNL102" s="769"/>
      <c r="NNM102" s="769"/>
      <c r="NNN102" s="769"/>
      <c r="NNO102" s="769"/>
      <c r="NNP102" s="769"/>
      <c r="NNQ102" s="769"/>
      <c r="NNR102" s="769"/>
      <c r="NNS102" s="769"/>
      <c r="NNT102" s="769"/>
      <c r="NNU102" s="769"/>
      <c r="NNV102" s="769"/>
      <c r="NNW102" s="769"/>
      <c r="NNX102" s="769"/>
      <c r="NNY102" s="769"/>
      <c r="NNZ102" s="769"/>
      <c r="NOA102" s="769"/>
      <c r="NOB102" s="769"/>
      <c r="NOC102" s="769"/>
      <c r="NOD102" s="769"/>
      <c r="NOE102" s="769"/>
      <c r="NOF102" s="769"/>
      <c r="NOG102" s="769"/>
      <c r="NOH102" s="769"/>
      <c r="NOI102" s="769"/>
      <c r="NOJ102" s="769"/>
      <c r="NOK102" s="769"/>
      <c r="NOL102" s="769"/>
      <c r="NOM102" s="769"/>
      <c r="NON102" s="769"/>
      <c r="NOO102" s="769"/>
      <c r="NOP102" s="769"/>
      <c r="NOQ102" s="769"/>
      <c r="NOR102" s="769"/>
      <c r="NOS102" s="769"/>
      <c r="NOT102" s="769"/>
      <c r="NOU102" s="769"/>
      <c r="NOV102" s="769"/>
      <c r="NOW102" s="769"/>
      <c r="NOX102" s="769"/>
      <c r="NOY102" s="769"/>
      <c r="NOZ102" s="769"/>
      <c r="NPA102" s="769"/>
      <c r="NPB102" s="769"/>
      <c r="NPC102" s="769"/>
      <c r="NPD102" s="769"/>
      <c r="NPE102" s="769"/>
      <c r="NPF102" s="769"/>
      <c r="NPG102" s="769"/>
      <c r="NPH102" s="769"/>
      <c r="NPI102" s="769"/>
      <c r="NPJ102" s="769"/>
      <c r="NPK102" s="769"/>
      <c r="NPL102" s="769"/>
      <c r="NPM102" s="769"/>
      <c r="NPN102" s="769"/>
      <c r="NPO102" s="769"/>
      <c r="NPP102" s="769"/>
      <c r="NPQ102" s="769"/>
      <c r="NPR102" s="769"/>
      <c r="NPS102" s="769"/>
      <c r="NPT102" s="769"/>
      <c r="NPU102" s="769"/>
      <c r="NPV102" s="769"/>
      <c r="NPW102" s="769"/>
      <c r="NPX102" s="769"/>
      <c r="NPY102" s="769"/>
      <c r="NPZ102" s="769"/>
      <c r="NQA102" s="769"/>
      <c r="NQB102" s="769"/>
      <c r="NQC102" s="769"/>
      <c r="NQD102" s="769"/>
      <c r="NQE102" s="769"/>
      <c r="NQF102" s="769"/>
      <c r="NQG102" s="769"/>
      <c r="NQH102" s="769"/>
      <c r="NQI102" s="769"/>
      <c r="NQJ102" s="769"/>
      <c r="NQK102" s="769"/>
      <c r="NQL102" s="769"/>
      <c r="NQM102" s="769"/>
      <c r="NQN102" s="769"/>
      <c r="NQO102" s="769"/>
      <c r="NQP102" s="769"/>
      <c r="NQQ102" s="769"/>
      <c r="NQR102" s="769"/>
      <c r="NQS102" s="769"/>
      <c r="NQT102" s="769"/>
      <c r="NQU102" s="769"/>
      <c r="NQV102" s="769"/>
      <c r="NQW102" s="769"/>
      <c r="NQX102" s="769"/>
      <c r="NQY102" s="769"/>
      <c r="NQZ102" s="769"/>
      <c r="NRA102" s="769"/>
      <c r="NRB102" s="769"/>
      <c r="NRC102" s="769"/>
      <c r="NRD102" s="769"/>
      <c r="NRE102" s="769"/>
      <c r="NRF102" s="769"/>
      <c r="NRG102" s="769"/>
      <c r="NRH102" s="769"/>
      <c r="NRI102" s="769"/>
      <c r="NRJ102" s="769"/>
      <c r="NRK102" s="769"/>
      <c r="NRL102" s="769"/>
      <c r="NRM102" s="769"/>
      <c r="NRN102" s="769"/>
      <c r="NRO102" s="769"/>
      <c r="NRP102" s="769"/>
      <c r="NRQ102" s="769"/>
      <c r="NRR102" s="769"/>
      <c r="NRS102" s="769"/>
      <c r="NRT102" s="769"/>
      <c r="NRU102" s="769"/>
      <c r="NRV102" s="769"/>
      <c r="NRW102" s="769"/>
      <c r="NRX102" s="769"/>
      <c r="NRY102" s="769"/>
      <c r="NRZ102" s="769"/>
      <c r="NSA102" s="769"/>
      <c r="NSB102" s="769"/>
      <c r="NSC102" s="769"/>
      <c r="NSD102" s="769"/>
      <c r="NSE102" s="769"/>
      <c r="NSF102" s="769"/>
      <c r="NSG102" s="769"/>
      <c r="NSH102" s="769"/>
      <c r="NSI102" s="769"/>
      <c r="NSJ102" s="769"/>
      <c r="NSK102" s="769"/>
      <c r="NSL102" s="769"/>
      <c r="NSM102" s="769"/>
      <c r="NSN102" s="769"/>
      <c r="NSO102" s="769"/>
      <c r="NSP102" s="769"/>
      <c r="NSQ102" s="769"/>
      <c r="NSR102" s="769"/>
      <c r="NSS102" s="769"/>
      <c r="NST102" s="769"/>
      <c r="NSU102" s="769"/>
      <c r="NSV102" s="769"/>
      <c r="NSW102" s="769"/>
      <c r="NSX102" s="769"/>
      <c r="NSY102" s="769"/>
      <c r="NSZ102" s="769"/>
      <c r="NTA102" s="769"/>
      <c r="NTB102" s="769"/>
      <c r="NTC102" s="769"/>
      <c r="NTD102" s="769"/>
      <c r="NTE102" s="769"/>
      <c r="NTF102" s="769"/>
      <c r="NTG102" s="769"/>
      <c r="NTH102" s="769"/>
      <c r="NTI102" s="769"/>
      <c r="NTJ102" s="769"/>
      <c r="NTK102" s="769"/>
      <c r="NTL102" s="769"/>
      <c r="NTM102" s="769"/>
      <c r="NTN102" s="769"/>
      <c r="NTO102" s="769"/>
      <c r="NTP102" s="769"/>
      <c r="NTQ102" s="769"/>
      <c r="NTR102" s="769"/>
      <c r="NTS102" s="769"/>
      <c r="NTT102" s="769"/>
      <c r="NTU102" s="769"/>
      <c r="NTV102" s="769"/>
      <c r="NTW102" s="769"/>
      <c r="NTX102" s="769"/>
      <c r="NTY102" s="769"/>
      <c r="NTZ102" s="769"/>
      <c r="NUA102" s="769"/>
      <c r="NUB102" s="769"/>
      <c r="NUC102" s="769"/>
      <c r="NUD102" s="769"/>
      <c r="NUE102" s="769"/>
      <c r="NUF102" s="769"/>
      <c r="NUG102" s="769"/>
      <c r="NUH102" s="769"/>
      <c r="NUI102" s="769"/>
      <c r="NUJ102" s="769"/>
      <c r="NUK102" s="769"/>
      <c r="NUL102" s="769"/>
      <c r="NUM102" s="769"/>
      <c r="NUN102" s="769"/>
      <c r="NUO102" s="769"/>
      <c r="NUP102" s="769"/>
      <c r="NUQ102" s="769"/>
      <c r="NUR102" s="769"/>
      <c r="NUS102" s="769"/>
      <c r="NUT102" s="769"/>
      <c r="NUU102" s="769"/>
      <c r="NUV102" s="769"/>
      <c r="NUW102" s="769"/>
      <c r="NUX102" s="769"/>
      <c r="NUY102" s="769"/>
      <c r="NUZ102" s="769"/>
      <c r="NVA102" s="769"/>
      <c r="NVB102" s="769"/>
      <c r="NVC102" s="769"/>
      <c r="NVD102" s="769"/>
      <c r="NVE102" s="769"/>
      <c r="NVF102" s="769"/>
      <c r="NVG102" s="769"/>
      <c r="NVH102" s="769"/>
      <c r="NVI102" s="769"/>
      <c r="NVJ102" s="769"/>
      <c r="NVK102" s="769"/>
      <c r="NVL102" s="769"/>
      <c r="NVM102" s="769"/>
      <c r="NVN102" s="769"/>
      <c r="NVO102" s="769"/>
      <c r="NVP102" s="769"/>
      <c r="NVQ102" s="769"/>
      <c r="NVR102" s="769"/>
      <c r="NVS102" s="769"/>
      <c r="NVT102" s="769"/>
      <c r="NVU102" s="769"/>
      <c r="NVV102" s="769"/>
      <c r="NVW102" s="769"/>
      <c r="NVX102" s="769"/>
      <c r="NVY102" s="769"/>
      <c r="NVZ102" s="769"/>
      <c r="NWA102" s="769"/>
      <c r="NWB102" s="769"/>
      <c r="NWC102" s="769"/>
      <c r="NWD102" s="769"/>
      <c r="NWE102" s="769"/>
      <c r="NWF102" s="769"/>
      <c r="NWG102" s="769"/>
      <c r="NWH102" s="769"/>
      <c r="NWI102" s="769"/>
      <c r="NWJ102" s="769"/>
      <c r="NWK102" s="769"/>
      <c r="NWL102" s="769"/>
      <c r="NWM102" s="769"/>
      <c r="NWN102" s="769"/>
      <c r="NWO102" s="769"/>
      <c r="NWP102" s="769"/>
      <c r="NWQ102" s="769"/>
      <c r="NWR102" s="769"/>
      <c r="NWS102" s="769"/>
      <c r="NWT102" s="769"/>
      <c r="NWU102" s="769"/>
      <c r="NWV102" s="769"/>
      <c r="NWW102" s="769"/>
      <c r="NWX102" s="769"/>
      <c r="NWY102" s="769"/>
      <c r="NWZ102" s="769"/>
      <c r="NXA102" s="769"/>
      <c r="NXB102" s="769"/>
      <c r="NXC102" s="769"/>
      <c r="NXD102" s="769"/>
      <c r="NXE102" s="769"/>
      <c r="NXF102" s="769"/>
      <c r="NXG102" s="769"/>
      <c r="NXH102" s="769"/>
      <c r="NXI102" s="769"/>
      <c r="NXJ102" s="769"/>
      <c r="NXK102" s="769"/>
      <c r="NXL102" s="769"/>
      <c r="NXM102" s="769"/>
      <c r="NXN102" s="769"/>
      <c r="NXO102" s="769"/>
      <c r="NXP102" s="769"/>
      <c r="NXQ102" s="769"/>
      <c r="NXR102" s="769"/>
      <c r="NXS102" s="769"/>
      <c r="NXT102" s="769"/>
      <c r="NXU102" s="769"/>
      <c r="NXV102" s="769"/>
      <c r="NXW102" s="769"/>
      <c r="NXX102" s="769"/>
      <c r="NXY102" s="769"/>
      <c r="NXZ102" s="769"/>
      <c r="NYA102" s="769"/>
      <c r="NYB102" s="769"/>
      <c r="NYC102" s="769"/>
      <c r="NYD102" s="769"/>
      <c r="NYE102" s="769"/>
      <c r="NYF102" s="769"/>
      <c r="NYG102" s="769"/>
      <c r="NYH102" s="769"/>
      <c r="NYI102" s="769"/>
      <c r="NYJ102" s="769"/>
      <c r="NYK102" s="769"/>
      <c r="NYL102" s="769"/>
      <c r="NYM102" s="769"/>
      <c r="NYN102" s="769"/>
      <c r="NYO102" s="769"/>
      <c r="NYP102" s="769"/>
      <c r="NYQ102" s="769"/>
      <c r="NYR102" s="769"/>
      <c r="NYS102" s="769"/>
      <c r="NYT102" s="769"/>
      <c r="NYU102" s="769"/>
      <c r="NYV102" s="769"/>
      <c r="NYW102" s="769"/>
      <c r="NYX102" s="769"/>
      <c r="NYY102" s="769"/>
      <c r="NYZ102" s="769"/>
      <c r="NZA102" s="769"/>
      <c r="NZB102" s="769"/>
      <c r="NZC102" s="769"/>
      <c r="NZD102" s="769"/>
      <c r="NZE102" s="769"/>
      <c r="NZF102" s="769"/>
      <c r="NZG102" s="769"/>
      <c r="NZH102" s="769"/>
      <c r="NZI102" s="769"/>
      <c r="NZJ102" s="769"/>
      <c r="NZK102" s="769"/>
      <c r="NZL102" s="769"/>
      <c r="NZM102" s="769"/>
      <c r="NZN102" s="769"/>
      <c r="NZO102" s="769"/>
      <c r="NZP102" s="769"/>
      <c r="NZQ102" s="769"/>
      <c r="NZR102" s="769"/>
      <c r="NZS102" s="769"/>
      <c r="NZT102" s="769"/>
      <c r="NZU102" s="769"/>
      <c r="NZV102" s="769"/>
      <c r="NZW102" s="769"/>
      <c r="NZX102" s="769"/>
      <c r="NZY102" s="769"/>
      <c r="NZZ102" s="769"/>
      <c r="OAA102" s="769"/>
      <c r="OAB102" s="769"/>
      <c r="OAC102" s="769"/>
      <c r="OAD102" s="769"/>
      <c r="OAE102" s="769"/>
      <c r="OAF102" s="769"/>
      <c r="OAG102" s="769"/>
      <c r="OAH102" s="769"/>
      <c r="OAI102" s="769"/>
      <c r="OAJ102" s="769"/>
      <c r="OAK102" s="769"/>
      <c r="OAL102" s="769"/>
      <c r="OAM102" s="769"/>
      <c r="OAN102" s="769"/>
      <c r="OAO102" s="769"/>
      <c r="OAP102" s="769"/>
      <c r="OAQ102" s="769"/>
      <c r="OAR102" s="769"/>
      <c r="OAS102" s="769"/>
      <c r="OAT102" s="769"/>
      <c r="OAU102" s="769"/>
      <c r="OAV102" s="769"/>
      <c r="OAW102" s="769"/>
      <c r="OAX102" s="769"/>
      <c r="OAY102" s="769"/>
      <c r="OAZ102" s="769"/>
      <c r="OBA102" s="769"/>
      <c r="OBB102" s="769"/>
      <c r="OBC102" s="769"/>
      <c r="OBD102" s="769"/>
      <c r="OBE102" s="769"/>
      <c r="OBF102" s="769"/>
      <c r="OBG102" s="769"/>
      <c r="OBH102" s="769"/>
      <c r="OBI102" s="769"/>
      <c r="OBJ102" s="769"/>
      <c r="OBK102" s="769"/>
      <c r="OBL102" s="769"/>
      <c r="OBM102" s="769"/>
      <c r="OBN102" s="769"/>
      <c r="OBO102" s="769"/>
      <c r="OBP102" s="769"/>
      <c r="OBQ102" s="769"/>
      <c r="OBR102" s="769"/>
      <c r="OBS102" s="769"/>
      <c r="OBT102" s="769"/>
      <c r="OBU102" s="769"/>
      <c r="OBV102" s="769"/>
      <c r="OBW102" s="769"/>
      <c r="OBX102" s="769"/>
      <c r="OBY102" s="769"/>
      <c r="OBZ102" s="769"/>
      <c r="OCA102" s="769"/>
      <c r="OCB102" s="769"/>
      <c r="OCC102" s="769"/>
      <c r="OCD102" s="769"/>
      <c r="OCE102" s="769"/>
      <c r="OCF102" s="769"/>
      <c r="OCG102" s="769"/>
      <c r="OCH102" s="769"/>
      <c r="OCI102" s="769"/>
      <c r="OCJ102" s="769"/>
      <c r="OCK102" s="769"/>
      <c r="OCL102" s="769"/>
      <c r="OCM102" s="769"/>
      <c r="OCN102" s="769"/>
      <c r="OCO102" s="769"/>
      <c r="OCP102" s="769"/>
      <c r="OCQ102" s="769"/>
      <c r="OCR102" s="769"/>
      <c r="OCS102" s="769"/>
      <c r="OCT102" s="769"/>
      <c r="OCU102" s="769"/>
      <c r="OCV102" s="769"/>
      <c r="OCW102" s="769"/>
      <c r="OCX102" s="769"/>
      <c r="OCY102" s="769"/>
      <c r="OCZ102" s="769"/>
      <c r="ODA102" s="769"/>
      <c r="ODB102" s="769"/>
      <c r="ODC102" s="769"/>
      <c r="ODD102" s="769"/>
      <c r="ODE102" s="769"/>
      <c r="ODF102" s="769"/>
      <c r="ODG102" s="769"/>
      <c r="ODH102" s="769"/>
      <c r="ODI102" s="769"/>
      <c r="ODJ102" s="769"/>
      <c r="ODK102" s="769"/>
      <c r="ODL102" s="769"/>
      <c r="ODM102" s="769"/>
      <c r="ODN102" s="769"/>
      <c r="ODO102" s="769"/>
      <c r="ODP102" s="769"/>
      <c r="ODQ102" s="769"/>
      <c r="ODR102" s="769"/>
      <c r="ODS102" s="769"/>
      <c r="ODT102" s="769"/>
      <c r="ODU102" s="769"/>
      <c r="ODV102" s="769"/>
      <c r="ODW102" s="769"/>
      <c r="ODX102" s="769"/>
      <c r="ODY102" s="769"/>
      <c r="ODZ102" s="769"/>
      <c r="OEA102" s="769"/>
      <c r="OEB102" s="769"/>
      <c r="OEC102" s="769"/>
      <c r="OED102" s="769"/>
      <c r="OEE102" s="769"/>
      <c r="OEF102" s="769"/>
      <c r="OEG102" s="769"/>
      <c r="OEH102" s="769"/>
      <c r="OEI102" s="769"/>
      <c r="OEJ102" s="769"/>
      <c r="OEK102" s="769"/>
      <c r="OEL102" s="769"/>
      <c r="OEM102" s="769"/>
      <c r="OEN102" s="769"/>
      <c r="OEO102" s="769"/>
      <c r="OEP102" s="769"/>
      <c r="OEQ102" s="769"/>
      <c r="OER102" s="769"/>
      <c r="OES102" s="769"/>
      <c r="OET102" s="769"/>
      <c r="OEU102" s="769"/>
      <c r="OEV102" s="769"/>
      <c r="OEW102" s="769"/>
      <c r="OEX102" s="769"/>
      <c r="OEY102" s="769"/>
      <c r="OEZ102" s="769"/>
      <c r="OFA102" s="769"/>
      <c r="OFB102" s="769"/>
      <c r="OFC102" s="769"/>
      <c r="OFD102" s="769"/>
      <c r="OFE102" s="769"/>
      <c r="OFF102" s="769"/>
      <c r="OFG102" s="769"/>
      <c r="OFH102" s="769"/>
      <c r="OFI102" s="769"/>
      <c r="OFJ102" s="769"/>
      <c r="OFK102" s="769"/>
      <c r="OFL102" s="769"/>
      <c r="OFM102" s="769"/>
      <c r="OFN102" s="769"/>
      <c r="OFO102" s="769"/>
      <c r="OFP102" s="769"/>
      <c r="OFQ102" s="769"/>
      <c r="OFR102" s="769"/>
      <c r="OFS102" s="769"/>
      <c r="OFT102" s="769"/>
      <c r="OFU102" s="769"/>
      <c r="OFV102" s="769"/>
      <c r="OFW102" s="769"/>
      <c r="OFX102" s="769"/>
      <c r="OFY102" s="769"/>
      <c r="OFZ102" s="769"/>
      <c r="OGA102" s="769"/>
      <c r="OGB102" s="769"/>
      <c r="OGC102" s="769"/>
      <c r="OGD102" s="769"/>
      <c r="OGE102" s="769"/>
      <c r="OGF102" s="769"/>
      <c r="OGG102" s="769"/>
      <c r="OGH102" s="769"/>
      <c r="OGI102" s="769"/>
      <c r="OGJ102" s="769"/>
      <c r="OGK102" s="769"/>
      <c r="OGL102" s="769"/>
      <c r="OGM102" s="769"/>
      <c r="OGN102" s="769"/>
      <c r="OGO102" s="769"/>
      <c r="OGP102" s="769"/>
      <c r="OGQ102" s="769"/>
      <c r="OGR102" s="769"/>
      <c r="OGS102" s="769"/>
      <c r="OGT102" s="769"/>
      <c r="OGU102" s="769"/>
      <c r="OGV102" s="769"/>
      <c r="OGW102" s="769"/>
      <c r="OGX102" s="769"/>
      <c r="OGY102" s="769"/>
      <c r="OGZ102" s="769"/>
      <c r="OHA102" s="769"/>
      <c r="OHB102" s="769"/>
      <c r="OHC102" s="769"/>
      <c r="OHD102" s="769"/>
      <c r="OHE102" s="769"/>
      <c r="OHF102" s="769"/>
      <c r="OHG102" s="769"/>
      <c r="OHH102" s="769"/>
      <c r="OHI102" s="769"/>
      <c r="OHJ102" s="769"/>
      <c r="OHK102" s="769"/>
      <c r="OHL102" s="769"/>
      <c r="OHM102" s="769"/>
      <c r="OHN102" s="769"/>
      <c r="OHO102" s="769"/>
      <c r="OHP102" s="769"/>
      <c r="OHQ102" s="769"/>
      <c r="OHR102" s="769"/>
      <c r="OHS102" s="769"/>
      <c r="OHT102" s="769"/>
      <c r="OHU102" s="769"/>
      <c r="OHV102" s="769"/>
      <c r="OHW102" s="769"/>
      <c r="OHX102" s="769"/>
      <c r="OHY102" s="769"/>
      <c r="OHZ102" s="769"/>
      <c r="OIA102" s="769"/>
      <c r="OIB102" s="769"/>
      <c r="OIC102" s="769"/>
      <c r="OID102" s="769"/>
      <c r="OIE102" s="769"/>
      <c r="OIF102" s="769"/>
      <c r="OIG102" s="769"/>
      <c r="OIH102" s="769"/>
      <c r="OII102" s="769"/>
      <c r="OIJ102" s="769"/>
      <c r="OIK102" s="769"/>
      <c r="OIL102" s="769"/>
      <c r="OIM102" s="769"/>
      <c r="OIN102" s="769"/>
      <c r="OIO102" s="769"/>
      <c r="OIP102" s="769"/>
      <c r="OIQ102" s="769"/>
      <c r="OIR102" s="769"/>
      <c r="OIS102" s="769"/>
      <c r="OIT102" s="769"/>
      <c r="OIU102" s="769"/>
      <c r="OIV102" s="769"/>
      <c r="OIW102" s="769"/>
      <c r="OIX102" s="769"/>
      <c r="OIY102" s="769"/>
      <c r="OIZ102" s="769"/>
      <c r="OJA102" s="769"/>
      <c r="OJB102" s="769"/>
      <c r="OJC102" s="769"/>
      <c r="OJD102" s="769"/>
      <c r="OJE102" s="769"/>
      <c r="OJF102" s="769"/>
      <c r="OJG102" s="769"/>
      <c r="OJH102" s="769"/>
      <c r="OJI102" s="769"/>
      <c r="OJJ102" s="769"/>
      <c r="OJK102" s="769"/>
      <c r="OJL102" s="769"/>
      <c r="OJM102" s="769"/>
      <c r="OJN102" s="769"/>
      <c r="OJO102" s="769"/>
      <c r="OJP102" s="769"/>
      <c r="OJQ102" s="769"/>
      <c r="OJR102" s="769"/>
      <c r="OJS102" s="769"/>
      <c r="OJT102" s="769"/>
      <c r="OJU102" s="769"/>
      <c r="OJV102" s="769"/>
      <c r="OJW102" s="769"/>
      <c r="OJX102" s="769"/>
      <c r="OJY102" s="769"/>
      <c r="OJZ102" s="769"/>
      <c r="OKA102" s="769"/>
      <c r="OKB102" s="769"/>
      <c r="OKC102" s="769"/>
      <c r="OKD102" s="769"/>
      <c r="OKE102" s="769"/>
      <c r="OKF102" s="769"/>
      <c r="OKG102" s="769"/>
      <c r="OKH102" s="769"/>
      <c r="OKI102" s="769"/>
      <c r="OKJ102" s="769"/>
      <c r="OKK102" s="769"/>
      <c r="OKL102" s="769"/>
      <c r="OKM102" s="769"/>
      <c r="OKN102" s="769"/>
      <c r="OKO102" s="769"/>
      <c r="OKP102" s="769"/>
      <c r="OKQ102" s="769"/>
      <c r="OKR102" s="769"/>
      <c r="OKS102" s="769"/>
      <c r="OKT102" s="769"/>
      <c r="OKU102" s="769"/>
      <c r="OKV102" s="769"/>
      <c r="OKW102" s="769"/>
      <c r="OKX102" s="769"/>
      <c r="OKY102" s="769"/>
      <c r="OKZ102" s="769"/>
      <c r="OLA102" s="769"/>
      <c r="OLB102" s="769"/>
      <c r="OLC102" s="769"/>
      <c r="OLD102" s="769"/>
      <c r="OLE102" s="769"/>
      <c r="OLF102" s="769"/>
      <c r="OLG102" s="769"/>
      <c r="OLH102" s="769"/>
      <c r="OLI102" s="769"/>
      <c r="OLJ102" s="769"/>
      <c r="OLK102" s="769"/>
      <c r="OLL102" s="769"/>
      <c r="OLM102" s="769"/>
      <c r="OLN102" s="769"/>
      <c r="OLO102" s="769"/>
      <c r="OLP102" s="769"/>
      <c r="OLQ102" s="769"/>
      <c r="OLR102" s="769"/>
      <c r="OLS102" s="769"/>
      <c r="OLT102" s="769"/>
      <c r="OLU102" s="769"/>
      <c r="OLV102" s="769"/>
      <c r="OLW102" s="769"/>
      <c r="OLX102" s="769"/>
      <c r="OLY102" s="769"/>
      <c r="OLZ102" s="769"/>
      <c r="OMA102" s="769"/>
      <c r="OMB102" s="769"/>
      <c r="OMC102" s="769"/>
      <c r="OMD102" s="769"/>
      <c r="OME102" s="769"/>
      <c r="OMF102" s="769"/>
      <c r="OMG102" s="769"/>
      <c r="OMH102" s="769"/>
      <c r="OMI102" s="769"/>
      <c r="OMJ102" s="769"/>
      <c r="OMK102" s="769"/>
      <c r="OML102" s="769"/>
      <c r="OMM102" s="769"/>
      <c r="OMN102" s="769"/>
      <c r="OMO102" s="769"/>
      <c r="OMP102" s="769"/>
      <c r="OMQ102" s="769"/>
      <c r="OMR102" s="769"/>
      <c r="OMS102" s="769"/>
      <c r="OMT102" s="769"/>
      <c r="OMU102" s="769"/>
      <c r="OMV102" s="769"/>
      <c r="OMW102" s="769"/>
      <c r="OMX102" s="769"/>
      <c r="OMY102" s="769"/>
      <c r="OMZ102" s="769"/>
      <c r="ONA102" s="769"/>
      <c r="ONB102" s="769"/>
      <c r="ONC102" s="769"/>
      <c r="OND102" s="769"/>
      <c r="ONE102" s="769"/>
      <c r="ONF102" s="769"/>
      <c r="ONG102" s="769"/>
      <c r="ONH102" s="769"/>
      <c r="ONI102" s="769"/>
      <c r="ONJ102" s="769"/>
      <c r="ONK102" s="769"/>
      <c r="ONL102" s="769"/>
      <c r="ONM102" s="769"/>
      <c r="ONN102" s="769"/>
      <c r="ONO102" s="769"/>
      <c r="ONP102" s="769"/>
      <c r="ONQ102" s="769"/>
      <c r="ONR102" s="769"/>
      <c r="ONS102" s="769"/>
      <c r="ONT102" s="769"/>
      <c r="ONU102" s="769"/>
      <c r="ONV102" s="769"/>
      <c r="ONW102" s="769"/>
      <c r="ONX102" s="769"/>
      <c r="ONY102" s="769"/>
      <c r="ONZ102" s="769"/>
      <c r="OOA102" s="769"/>
      <c r="OOB102" s="769"/>
      <c r="OOC102" s="769"/>
      <c r="OOD102" s="769"/>
      <c r="OOE102" s="769"/>
      <c r="OOF102" s="769"/>
      <c r="OOG102" s="769"/>
      <c r="OOH102" s="769"/>
      <c r="OOI102" s="769"/>
      <c r="OOJ102" s="769"/>
      <c r="OOK102" s="769"/>
      <c r="OOL102" s="769"/>
      <c r="OOM102" s="769"/>
      <c r="OON102" s="769"/>
      <c r="OOO102" s="769"/>
      <c r="OOP102" s="769"/>
      <c r="OOQ102" s="769"/>
      <c r="OOR102" s="769"/>
      <c r="OOS102" s="769"/>
      <c r="OOT102" s="769"/>
      <c r="OOU102" s="769"/>
      <c r="OOV102" s="769"/>
      <c r="OOW102" s="769"/>
      <c r="OOX102" s="769"/>
      <c r="OOY102" s="769"/>
      <c r="OOZ102" s="769"/>
      <c r="OPA102" s="769"/>
      <c r="OPB102" s="769"/>
      <c r="OPC102" s="769"/>
      <c r="OPD102" s="769"/>
      <c r="OPE102" s="769"/>
      <c r="OPF102" s="769"/>
      <c r="OPG102" s="769"/>
      <c r="OPH102" s="769"/>
      <c r="OPI102" s="769"/>
      <c r="OPJ102" s="769"/>
      <c r="OPK102" s="769"/>
      <c r="OPL102" s="769"/>
      <c r="OPM102" s="769"/>
      <c r="OPN102" s="769"/>
      <c r="OPO102" s="769"/>
      <c r="OPP102" s="769"/>
      <c r="OPQ102" s="769"/>
      <c r="OPR102" s="769"/>
      <c r="OPS102" s="769"/>
      <c r="OPT102" s="769"/>
      <c r="OPU102" s="769"/>
      <c r="OPV102" s="769"/>
      <c r="OPW102" s="769"/>
      <c r="OPX102" s="769"/>
      <c r="OPY102" s="769"/>
      <c r="OPZ102" s="769"/>
      <c r="OQA102" s="769"/>
      <c r="OQB102" s="769"/>
      <c r="OQC102" s="769"/>
      <c r="OQD102" s="769"/>
      <c r="OQE102" s="769"/>
      <c r="OQF102" s="769"/>
      <c r="OQG102" s="769"/>
      <c r="OQH102" s="769"/>
      <c r="OQI102" s="769"/>
      <c r="OQJ102" s="769"/>
      <c r="OQK102" s="769"/>
      <c r="OQL102" s="769"/>
      <c r="OQM102" s="769"/>
      <c r="OQN102" s="769"/>
      <c r="OQO102" s="769"/>
      <c r="OQP102" s="769"/>
      <c r="OQQ102" s="769"/>
      <c r="OQR102" s="769"/>
      <c r="OQS102" s="769"/>
      <c r="OQT102" s="769"/>
      <c r="OQU102" s="769"/>
      <c r="OQV102" s="769"/>
      <c r="OQW102" s="769"/>
      <c r="OQX102" s="769"/>
      <c r="OQY102" s="769"/>
      <c r="OQZ102" s="769"/>
      <c r="ORA102" s="769"/>
      <c r="ORB102" s="769"/>
      <c r="ORC102" s="769"/>
      <c r="ORD102" s="769"/>
      <c r="ORE102" s="769"/>
      <c r="ORF102" s="769"/>
      <c r="ORG102" s="769"/>
      <c r="ORH102" s="769"/>
      <c r="ORI102" s="769"/>
      <c r="ORJ102" s="769"/>
      <c r="ORK102" s="769"/>
      <c r="ORL102" s="769"/>
      <c r="ORM102" s="769"/>
      <c r="ORN102" s="769"/>
      <c r="ORO102" s="769"/>
      <c r="ORP102" s="769"/>
      <c r="ORQ102" s="769"/>
      <c r="ORR102" s="769"/>
      <c r="ORS102" s="769"/>
      <c r="ORT102" s="769"/>
      <c r="ORU102" s="769"/>
      <c r="ORV102" s="769"/>
      <c r="ORW102" s="769"/>
      <c r="ORX102" s="769"/>
      <c r="ORY102" s="769"/>
      <c r="ORZ102" s="769"/>
      <c r="OSA102" s="769"/>
      <c r="OSB102" s="769"/>
      <c r="OSC102" s="769"/>
      <c r="OSD102" s="769"/>
      <c r="OSE102" s="769"/>
      <c r="OSF102" s="769"/>
      <c r="OSG102" s="769"/>
      <c r="OSH102" s="769"/>
      <c r="OSI102" s="769"/>
      <c r="OSJ102" s="769"/>
      <c r="OSK102" s="769"/>
      <c r="OSL102" s="769"/>
      <c r="OSM102" s="769"/>
      <c r="OSN102" s="769"/>
      <c r="OSO102" s="769"/>
      <c r="OSP102" s="769"/>
      <c r="OSQ102" s="769"/>
      <c r="OSR102" s="769"/>
      <c r="OSS102" s="769"/>
      <c r="OST102" s="769"/>
      <c r="OSU102" s="769"/>
      <c r="OSV102" s="769"/>
      <c r="OSW102" s="769"/>
      <c r="OSX102" s="769"/>
      <c r="OSY102" s="769"/>
      <c r="OSZ102" s="769"/>
      <c r="OTA102" s="769"/>
      <c r="OTB102" s="769"/>
      <c r="OTC102" s="769"/>
      <c r="OTD102" s="769"/>
      <c r="OTE102" s="769"/>
      <c r="OTF102" s="769"/>
      <c r="OTG102" s="769"/>
      <c r="OTH102" s="769"/>
      <c r="OTI102" s="769"/>
      <c r="OTJ102" s="769"/>
      <c r="OTK102" s="769"/>
      <c r="OTL102" s="769"/>
      <c r="OTM102" s="769"/>
      <c r="OTN102" s="769"/>
      <c r="OTO102" s="769"/>
      <c r="OTP102" s="769"/>
      <c r="OTQ102" s="769"/>
      <c r="OTR102" s="769"/>
      <c r="OTS102" s="769"/>
      <c r="OTT102" s="769"/>
      <c r="OTU102" s="769"/>
      <c r="OTV102" s="769"/>
      <c r="OTW102" s="769"/>
      <c r="OTX102" s="769"/>
      <c r="OTY102" s="769"/>
      <c r="OTZ102" s="769"/>
      <c r="OUA102" s="769"/>
      <c r="OUB102" s="769"/>
      <c r="OUC102" s="769"/>
      <c r="OUD102" s="769"/>
      <c r="OUE102" s="769"/>
      <c r="OUF102" s="769"/>
      <c r="OUG102" s="769"/>
      <c r="OUH102" s="769"/>
      <c r="OUI102" s="769"/>
      <c r="OUJ102" s="769"/>
      <c r="OUK102" s="769"/>
      <c r="OUL102" s="769"/>
      <c r="OUM102" s="769"/>
      <c r="OUN102" s="769"/>
      <c r="OUO102" s="769"/>
      <c r="OUP102" s="769"/>
      <c r="OUQ102" s="769"/>
      <c r="OUR102" s="769"/>
      <c r="OUS102" s="769"/>
      <c r="OUT102" s="769"/>
      <c r="OUU102" s="769"/>
      <c r="OUV102" s="769"/>
      <c r="OUW102" s="769"/>
      <c r="OUX102" s="769"/>
      <c r="OUY102" s="769"/>
      <c r="OUZ102" s="769"/>
      <c r="OVA102" s="769"/>
      <c r="OVB102" s="769"/>
      <c r="OVC102" s="769"/>
      <c r="OVD102" s="769"/>
      <c r="OVE102" s="769"/>
      <c r="OVF102" s="769"/>
      <c r="OVG102" s="769"/>
      <c r="OVH102" s="769"/>
      <c r="OVI102" s="769"/>
      <c r="OVJ102" s="769"/>
      <c r="OVK102" s="769"/>
      <c r="OVL102" s="769"/>
      <c r="OVM102" s="769"/>
      <c r="OVN102" s="769"/>
      <c r="OVO102" s="769"/>
      <c r="OVP102" s="769"/>
      <c r="OVQ102" s="769"/>
      <c r="OVR102" s="769"/>
      <c r="OVS102" s="769"/>
      <c r="OVT102" s="769"/>
      <c r="OVU102" s="769"/>
      <c r="OVV102" s="769"/>
      <c r="OVW102" s="769"/>
      <c r="OVX102" s="769"/>
      <c r="OVY102" s="769"/>
      <c r="OVZ102" s="769"/>
      <c r="OWA102" s="769"/>
      <c r="OWB102" s="769"/>
      <c r="OWC102" s="769"/>
      <c r="OWD102" s="769"/>
      <c r="OWE102" s="769"/>
      <c r="OWF102" s="769"/>
      <c r="OWG102" s="769"/>
      <c r="OWH102" s="769"/>
      <c r="OWI102" s="769"/>
      <c r="OWJ102" s="769"/>
      <c r="OWK102" s="769"/>
      <c r="OWL102" s="769"/>
      <c r="OWM102" s="769"/>
      <c r="OWN102" s="769"/>
      <c r="OWO102" s="769"/>
      <c r="OWP102" s="769"/>
      <c r="OWQ102" s="769"/>
      <c r="OWR102" s="769"/>
      <c r="OWS102" s="769"/>
      <c r="OWT102" s="769"/>
      <c r="OWU102" s="769"/>
      <c r="OWV102" s="769"/>
      <c r="OWW102" s="769"/>
      <c r="OWX102" s="769"/>
      <c r="OWY102" s="769"/>
      <c r="OWZ102" s="769"/>
      <c r="OXA102" s="769"/>
      <c r="OXB102" s="769"/>
      <c r="OXC102" s="769"/>
      <c r="OXD102" s="769"/>
      <c r="OXE102" s="769"/>
      <c r="OXF102" s="769"/>
      <c r="OXG102" s="769"/>
      <c r="OXH102" s="769"/>
      <c r="OXI102" s="769"/>
      <c r="OXJ102" s="769"/>
      <c r="OXK102" s="769"/>
      <c r="OXL102" s="769"/>
      <c r="OXM102" s="769"/>
      <c r="OXN102" s="769"/>
      <c r="OXO102" s="769"/>
      <c r="OXP102" s="769"/>
      <c r="OXQ102" s="769"/>
      <c r="OXR102" s="769"/>
      <c r="OXS102" s="769"/>
      <c r="OXT102" s="769"/>
      <c r="OXU102" s="769"/>
      <c r="OXV102" s="769"/>
      <c r="OXW102" s="769"/>
      <c r="OXX102" s="769"/>
      <c r="OXY102" s="769"/>
      <c r="OXZ102" s="769"/>
      <c r="OYA102" s="769"/>
      <c r="OYB102" s="769"/>
      <c r="OYC102" s="769"/>
      <c r="OYD102" s="769"/>
      <c r="OYE102" s="769"/>
      <c r="OYF102" s="769"/>
      <c r="OYG102" s="769"/>
      <c r="OYH102" s="769"/>
      <c r="OYI102" s="769"/>
      <c r="OYJ102" s="769"/>
      <c r="OYK102" s="769"/>
      <c r="OYL102" s="769"/>
      <c r="OYM102" s="769"/>
      <c r="OYN102" s="769"/>
      <c r="OYO102" s="769"/>
      <c r="OYP102" s="769"/>
      <c r="OYQ102" s="769"/>
      <c r="OYR102" s="769"/>
      <c r="OYS102" s="769"/>
      <c r="OYT102" s="769"/>
      <c r="OYU102" s="769"/>
      <c r="OYV102" s="769"/>
      <c r="OYW102" s="769"/>
      <c r="OYX102" s="769"/>
      <c r="OYY102" s="769"/>
      <c r="OYZ102" s="769"/>
      <c r="OZA102" s="769"/>
      <c r="OZB102" s="769"/>
      <c r="OZC102" s="769"/>
      <c r="OZD102" s="769"/>
      <c r="OZE102" s="769"/>
      <c r="OZF102" s="769"/>
      <c r="OZG102" s="769"/>
      <c r="OZH102" s="769"/>
      <c r="OZI102" s="769"/>
      <c r="OZJ102" s="769"/>
      <c r="OZK102" s="769"/>
      <c r="OZL102" s="769"/>
      <c r="OZM102" s="769"/>
      <c r="OZN102" s="769"/>
      <c r="OZO102" s="769"/>
      <c r="OZP102" s="769"/>
      <c r="OZQ102" s="769"/>
      <c r="OZR102" s="769"/>
      <c r="OZS102" s="769"/>
      <c r="OZT102" s="769"/>
      <c r="OZU102" s="769"/>
      <c r="OZV102" s="769"/>
      <c r="OZW102" s="769"/>
      <c r="OZX102" s="769"/>
      <c r="OZY102" s="769"/>
      <c r="OZZ102" s="769"/>
      <c r="PAA102" s="769"/>
      <c r="PAB102" s="769"/>
      <c r="PAC102" s="769"/>
      <c r="PAD102" s="769"/>
      <c r="PAE102" s="769"/>
      <c r="PAF102" s="769"/>
      <c r="PAG102" s="769"/>
      <c r="PAH102" s="769"/>
      <c r="PAI102" s="769"/>
      <c r="PAJ102" s="769"/>
      <c r="PAK102" s="769"/>
      <c r="PAL102" s="769"/>
      <c r="PAM102" s="769"/>
      <c r="PAN102" s="769"/>
      <c r="PAO102" s="769"/>
      <c r="PAP102" s="769"/>
      <c r="PAQ102" s="769"/>
      <c r="PAR102" s="769"/>
      <c r="PAS102" s="769"/>
      <c r="PAT102" s="769"/>
      <c r="PAU102" s="769"/>
      <c r="PAV102" s="769"/>
      <c r="PAW102" s="769"/>
      <c r="PAX102" s="769"/>
      <c r="PAY102" s="769"/>
      <c r="PAZ102" s="769"/>
      <c r="PBA102" s="769"/>
      <c r="PBB102" s="769"/>
      <c r="PBC102" s="769"/>
      <c r="PBD102" s="769"/>
      <c r="PBE102" s="769"/>
      <c r="PBF102" s="769"/>
      <c r="PBG102" s="769"/>
      <c r="PBH102" s="769"/>
      <c r="PBI102" s="769"/>
      <c r="PBJ102" s="769"/>
      <c r="PBK102" s="769"/>
      <c r="PBL102" s="769"/>
      <c r="PBM102" s="769"/>
      <c r="PBN102" s="769"/>
      <c r="PBO102" s="769"/>
      <c r="PBP102" s="769"/>
      <c r="PBQ102" s="769"/>
      <c r="PBR102" s="769"/>
      <c r="PBS102" s="769"/>
      <c r="PBT102" s="769"/>
      <c r="PBU102" s="769"/>
      <c r="PBV102" s="769"/>
      <c r="PBW102" s="769"/>
      <c r="PBX102" s="769"/>
      <c r="PBY102" s="769"/>
      <c r="PBZ102" s="769"/>
      <c r="PCA102" s="769"/>
      <c r="PCB102" s="769"/>
      <c r="PCC102" s="769"/>
      <c r="PCD102" s="769"/>
      <c r="PCE102" s="769"/>
      <c r="PCF102" s="769"/>
      <c r="PCG102" s="769"/>
      <c r="PCH102" s="769"/>
      <c r="PCI102" s="769"/>
      <c r="PCJ102" s="769"/>
      <c r="PCK102" s="769"/>
      <c r="PCL102" s="769"/>
      <c r="PCM102" s="769"/>
      <c r="PCN102" s="769"/>
      <c r="PCO102" s="769"/>
      <c r="PCP102" s="769"/>
      <c r="PCQ102" s="769"/>
      <c r="PCR102" s="769"/>
      <c r="PCS102" s="769"/>
      <c r="PCT102" s="769"/>
      <c r="PCU102" s="769"/>
      <c r="PCV102" s="769"/>
      <c r="PCW102" s="769"/>
      <c r="PCX102" s="769"/>
      <c r="PCY102" s="769"/>
      <c r="PCZ102" s="769"/>
      <c r="PDA102" s="769"/>
      <c r="PDB102" s="769"/>
      <c r="PDC102" s="769"/>
      <c r="PDD102" s="769"/>
      <c r="PDE102" s="769"/>
      <c r="PDF102" s="769"/>
      <c r="PDG102" s="769"/>
      <c r="PDH102" s="769"/>
      <c r="PDI102" s="769"/>
      <c r="PDJ102" s="769"/>
      <c r="PDK102" s="769"/>
      <c r="PDL102" s="769"/>
      <c r="PDM102" s="769"/>
      <c r="PDN102" s="769"/>
      <c r="PDO102" s="769"/>
      <c r="PDP102" s="769"/>
      <c r="PDQ102" s="769"/>
      <c r="PDR102" s="769"/>
      <c r="PDS102" s="769"/>
      <c r="PDT102" s="769"/>
      <c r="PDU102" s="769"/>
      <c r="PDV102" s="769"/>
      <c r="PDW102" s="769"/>
      <c r="PDX102" s="769"/>
      <c r="PDY102" s="769"/>
      <c r="PDZ102" s="769"/>
      <c r="PEA102" s="769"/>
      <c r="PEB102" s="769"/>
      <c r="PEC102" s="769"/>
      <c r="PED102" s="769"/>
      <c r="PEE102" s="769"/>
      <c r="PEF102" s="769"/>
      <c r="PEG102" s="769"/>
      <c r="PEH102" s="769"/>
      <c r="PEI102" s="769"/>
      <c r="PEJ102" s="769"/>
      <c r="PEK102" s="769"/>
      <c r="PEL102" s="769"/>
      <c r="PEM102" s="769"/>
      <c r="PEN102" s="769"/>
      <c r="PEO102" s="769"/>
      <c r="PEP102" s="769"/>
      <c r="PEQ102" s="769"/>
      <c r="PER102" s="769"/>
      <c r="PES102" s="769"/>
      <c r="PET102" s="769"/>
      <c r="PEU102" s="769"/>
      <c r="PEV102" s="769"/>
      <c r="PEW102" s="769"/>
      <c r="PEX102" s="769"/>
      <c r="PEY102" s="769"/>
      <c r="PEZ102" s="769"/>
      <c r="PFA102" s="769"/>
      <c r="PFB102" s="769"/>
      <c r="PFC102" s="769"/>
      <c r="PFD102" s="769"/>
      <c r="PFE102" s="769"/>
      <c r="PFF102" s="769"/>
      <c r="PFG102" s="769"/>
      <c r="PFH102" s="769"/>
      <c r="PFI102" s="769"/>
      <c r="PFJ102" s="769"/>
      <c r="PFK102" s="769"/>
      <c r="PFL102" s="769"/>
      <c r="PFM102" s="769"/>
      <c r="PFN102" s="769"/>
      <c r="PFO102" s="769"/>
      <c r="PFP102" s="769"/>
      <c r="PFQ102" s="769"/>
      <c r="PFR102" s="769"/>
      <c r="PFS102" s="769"/>
      <c r="PFT102" s="769"/>
      <c r="PFU102" s="769"/>
      <c r="PFV102" s="769"/>
      <c r="PFW102" s="769"/>
      <c r="PFX102" s="769"/>
      <c r="PFY102" s="769"/>
      <c r="PFZ102" s="769"/>
      <c r="PGA102" s="769"/>
      <c r="PGB102" s="769"/>
      <c r="PGC102" s="769"/>
      <c r="PGD102" s="769"/>
      <c r="PGE102" s="769"/>
      <c r="PGF102" s="769"/>
      <c r="PGG102" s="769"/>
      <c r="PGH102" s="769"/>
      <c r="PGI102" s="769"/>
      <c r="PGJ102" s="769"/>
      <c r="PGK102" s="769"/>
      <c r="PGL102" s="769"/>
      <c r="PGM102" s="769"/>
      <c r="PGN102" s="769"/>
      <c r="PGO102" s="769"/>
      <c r="PGP102" s="769"/>
      <c r="PGQ102" s="769"/>
      <c r="PGR102" s="769"/>
      <c r="PGS102" s="769"/>
      <c r="PGT102" s="769"/>
      <c r="PGU102" s="769"/>
      <c r="PGV102" s="769"/>
      <c r="PGW102" s="769"/>
      <c r="PGX102" s="769"/>
      <c r="PGY102" s="769"/>
      <c r="PGZ102" s="769"/>
      <c r="PHA102" s="769"/>
      <c r="PHB102" s="769"/>
      <c r="PHC102" s="769"/>
      <c r="PHD102" s="769"/>
      <c r="PHE102" s="769"/>
      <c r="PHF102" s="769"/>
      <c r="PHG102" s="769"/>
      <c r="PHH102" s="769"/>
      <c r="PHI102" s="769"/>
      <c r="PHJ102" s="769"/>
      <c r="PHK102" s="769"/>
      <c r="PHL102" s="769"/>
      <c r="PHM102" s="769"/>
      <c r="PHN102" s="769"/>
      <c r="PHO102" s="769"/>
      <c r="PHP102" s="769"/>
      <c r="PHQ102" s="769"/>
      <c r="PHR102" s="769"/>
      <c r="PHS102" s="769"/>
      <c r="PHT102" s="769"/>
      <c r="PHU102" s="769"/>
      <c r="PHV102" s="769"/>
      <c r="PHW102" s="769"/>
      <c r="PHX102" s="769"/>
      <c r="PHY102" s="769"/>
      <c r="PHZ102" s="769"/>
      <c r="PIA102" s="769"/>
      <c r="PIB102" s="769"/>
      <c r="PIC102" s="769"/>
      <c r="PID102" s="769"/>
      <c r="PIE102" s="769"/>
      <c r="PIF102" s="769"/>
      <c r="PIG102" s="769"/>
      <c r="PIH102" s="769"/>
      <c r="PII102" s="769"/>
      <c r="PIJ102" s="769"/>
      <c r="PIK102" s="769"/>
      <c r="PIL102" s="769"/>
      <c r="PIM102" s="769"/>
      <c r="PIN102" s="769"/>
      <c r="PIO102" s="769"/>
      <c r="PIP102" s="769"/>
      <c r="PIQ102" s="769"/>
      <c r="PIR102" s="769"/>
      <c r="PIS102" s="769"/>
      <c r="PIT102" s="769"/>
      <c r="PIU102" s="769"/>
      <c r="PIV102" s="769"/>
      <c r="PIW102" s="769"/>
      <c r="PIX102" s="769"/>
      <c r="PIY102" s="769"/>
      <c r="PIZ102" s="769"/>
      <c r="PJA102" s="769"/>
      <c r="PJB102" s="769"/>
      <c r="PJC102" s="769"/>
      <c r="PJD102" s="769"/>
      <c r="PJE102" s="769"/>
      <c r="PJF102" s="769"/>
      <c r="PJG102" s="769"/>
      <c r="PJH102" s="769"/>
      <c r="PJI102" s="769"/>
      <c r="PJJ102" s="769"/>
      <c r="PJK102" s="769"/>
      <c r="PJL102" s="769"/>
      <c r="PJM102" s="769"/>
      <c r="PJN102" s="769"/>
      <c r="PJO102" s="769"/>
      <c r="PJP102" s="769"/>
      <c r="PJQ102" s="769"/>
      <c r="PJR102" s="769"/>
      <c r="PJS102" s="769"/>
      <c r="PJT102" s="769"/>
      <c r="PJU102" s="769"/>
      <c r="PJV102" s="769"/>
      <c r="PJW102" s="769"/>
      <c r="PJX102" s="769"/>
      <c r="PJY102" s="769"/>
      <c r="PJZ102" s="769"/>
      <c r="PKA102" s="769"/>
      <c r="PKB102" s="769"/>
      <c r="PKC102" s="769"/>
      <c r="PKD102" s="769"/>
      <c r="PKE102" s="769"/>
      <c r="PKF102" s="769"/>
      <c r="PKG102" s="769"/>
      <c r="PKH102" s="769"/>
      <c r="PKI102" s="769"/>
      <c r="PKJ102" s="769"/>
      <c r="PKK102" s="769"/>
      <c r="PKL102" s="769"/>
      <c r="PKM102" s="769"/>
      <c r="PKN102" s="769"/>
      <c r="PKO102" s="769"/>
      <c r="PKP102" s="769"/>
      <c r="PKQ102" s="769"/>
      <c r="PKR102" s="769"/>
      <c r="PKS102" s="769"/>
      <c r="PKT102" s="769"/>
      <c r="PKU102" s="769"/>
      <c r="PKV102" s="769"/>
      <c r="PKW102" s="769"/>
      <c r="PKX102" s="769"/>
      <c r="PKY102" s="769"/>
      <c r="PKZ102" s="769"/>
      <c r="PLA102" s="769"/>
      <c r="PLB102" s="769"/>
      <c r="PLC102" s="769"/>
      <c r="PLD102" s="769"/>
      <c r="PLE102" s="769"/>
      <c r="PLF102" s="769"/>
      <c r="PLG102" s="769"/>
      <c r="PLH102" s="769"/>
      <c r="PLI102" s="769"/>
      <c r="PLJ102" s="769"/>
      <c r="PLK102" s="769"/>
      <c r="PLL102" s="769"/>
      <c r="PLM102" s="769"/>
      <c r="PLN102" s="769"/>
      <c r="PLO102" s="769"/>
      <c r="PLP102" s="769"/>
      <c r="PLQ102" s="769"/>
      <c r="PLR102" s="769"/>
      <c r="PLS102" s="769"/>
      <c r="PLT102" s="769"/>
      <c r="PLU102" s="769"/>
      <c r="PLV102" s="769"/>
      <c r="PLW102" s="769"/>
      <c r="PLX102" s="769"/>
      <c r="PLY102" s="769"/>
      <c r="PLZ102" s="769"/>
      <c r="PMA102" s="769"/>
      <c r="PMB102" s="769"/>
      <c r="PMC102" s="769"/>
      <c r="PMD102" s="769"/>
      <c r="PME102" s="769"/>
      <c r="PMF102" s="769"/>
      <c r="PMG102" s="769"/>
      <c r="PMH102" s="769"/>
      <c r="PMI102" s="769"/>
      <c r="PMJ102" s="769"/>
      <c r="PMK102" s="769"/>
      <c r="PML102" s="769"/>
      <c r="PMM102" s="769"/>
      <c r="PMN102" s="769"/>
      <c r="PMO102" s="769"/>
      <c r="PMP102" s="769"/>
      <c r="PMQ102" s="769"/>
      <c r="PMR102" s="769"/>
      <c r="PMS102" s="769"/>
      <c r="PMT102" s="769"/>
      <c r="PMU102" s="769"/>
      <c r="PMV102" s="769"/>
      <c r="PMW102" s="769"/>
      <c r="PMX102" s="769"/>
      <c r="PMY102" s="769"/>
      <c r="PMZ102" s="769"/>
      <c r="PNA102" s="769"/>
      <c r="PNB102" s="769"/>
      <c r="PNC102" s="769"/>
      <c r="PND102" s="769"/>
      <c r="PNE102" s="769"/>
      <c r="PNF102" s="769"/>
      <c r="PNG102" s="769"/>
      <c r="PNH102" s="769"/>
      <c r="PNI102" s="769"/>
      <c r="PNJ102" s="769"/>
      <c r="PNK102" s="769"/>
      <c r="PNL102" s="769"/>
      <c r="PNM102" s="769"/>
      <c r="PNN102" s="769"/>
      <c r="PNO102" s="769"/>
      <c r="PNP102" s="769"/>
      <c r="PNQ102" s="769"/>
      <c r="PNR102" s="769"/>
      <c r="PNS102" s="769"/>
      <c r="PNT102" s="769"/>
      <c r="PNU102" s="769"/>
      <c r="PNV102" s="769"/>
      <c r="PNW102" s="769"/>
      <c r="PNX102" s="769"/>
      <c r="PNY102" s="769"/>
      <c r="PNZ102" s="769"/>
      <c r="POA102" s="769"/>
      <c r="POB102" s="769"/>
      <c r="POC102" s="769"/>
      <c r="POD102" s="769"/>
      <c r="POE102" s="769"/>
      <c r="POF102" s="769"/>
      <c r="POG102" s="769"/>
      <c r="POH102" s="769"/>
      <c r="POI102" s="769"/>
      <c r="POJ102" s="769"/>
      <c r="POK102" s="769"/>
      <c r="POL102" s="769"/>
      <c r="POM102" s="769"/>
      <c r="PON102" s="769"/>
      <c r="POO102" s="769"/>
      <c r="POP102" s="769"/>
      <c r="POQ102" s="769"/>
      <c r="POR102" s="769"/>
      <c r="POS102" s="769"/>
      <c r="POT102" s="769"/>
      <c r="POU102" s="769"/>
      <c r="POV102" s="769"/>
      <c r="POW102" s="769"/>
      <c r="POX102" s="769"/>
      <c r="POY102" s="769"/>
      <c r="POZ102" s="769"/>
      <c r="PPA102" s="769"/>
      <c r="PPB102" s="769"/>
      <c r="PPC102" s="769"/>
      <c r="PPD102" s="769"/>
      <c r="PPE102" s="769"/>
      <c r="PPF102" s="769"/>
      <c r="PPG102" s="769"/>
      <c r="PPH102" s="769"/>
      <c r="PPI102" s="769"/>
      <c r="PPJ102" s="769"/>
      <c r="PPK102" s="769"/>
      <c r="PPL102" s="769"/>
      <c r="PPM102" s="769"/>
      <c r="PPN102" s="769"/>
      <c r="PPO102" s="769"/>
      <c r="PPP102" s="769"/>
      <c r="PPQ102" s="769"/>
      <c r="PPR102" s="769"/>
      <c r="PPS102" s="769"/>
      <c r="PPT102" s="769"/>
      <c r="PPU102" s="769"/>
      <c r="PPV102" s="769"/>
      <c r="PPW102" s="769"/>
      <c r="PPX102" s="769"/>
      <c r="PPY102" s="769"/>
      <c r="PPZ102" s="769"/>
      <c r="PQA102" s="769"/>
      <c r="PQB102" s="769"/>
      <c r="PQC102" s="769"/>
      <c r="PQD102" s="769"/>
      <c r="PQE102" s="769"/>
      <c r="PQF102" s="769"/>
      <c r="PQG102" s="769"/>
      <c r="PQH102" s="769"/>
      <c r="PQI102" s="769"/>
      <c r="PQJ102" s="769"/>
      <c r="PQK102" s="769"/>
      <c r="PQL102" s="769"/>
      <c r="PQM102" s="769"/>
      <c r="PQN102" s="769"/>
      <c r="PQO102" s="769"/>
      <c r="PQP102" s="769"/>
      <c r="PQQ102" s="769"/>
      <c r="PQR102" s="769"/>
      <c r="PQS102" s="769"/>
      <c r="PQT102" s="769"/>
      <c r="PQU102" s="769"/>
      <c r="PQV102" s="769"/>
      <c r="PQW102" s="769"/>
      <c r="PQX102" s="769"/>
      <c r="PQY102" s="769"/>
      <c r="PQZ102" s="769"/>
      <c r="PRA102" s="769"/>
      <c r="PRB102" s="769"/>
      <c r="PRC102" s="769"/>
      <c r="PRD102" s="769"/>
      <c r="PRE102" s="769"/>
      <c r="PRF102" s="769"/>
      <c r="PRG102" s="769"/>
      <c r="PRH102" s="769"/>
      <c r="PRI102" s="769"/>
      <c r="PRJ102" s="769"/>
      <c r="PRK102" s="769"/>
      <c r="PRL102" s="769"/>
      <c r="PRM102" s="769"/>
      <c r="PRN102" s="769"/>
      <c r="PRO102" s="769"/>
      <c r="PRP102" s="769"/>
      <c r="PRQ102" s="769"/>
      <c r="PRR102" s="769"/>
      <c r="PRS102" s="769"/>
      <c r="PRT102" s="769"/>
      <c r="PRU102" s="769"/>
      <c r="PRV102" s="769"/>
      <c r="PRW102" s="769"/>
      <c r="PRX102" s="769"/>
      <c r="PRY102" s="769"/>
      <c r="PRZ102" s="769"/>
      <c r="PSA102" s="769"/>
      <c r="PSB102" s="769"/>
      <c r="PSC102" s="769"/>
      <c r="PSD102" s="769"/>
      <c r="PSE102" s="769"/>
      <c r="PSF102" s="769"/>
      <c r="PSG102" s="769"/>
      <c r="PSH102" s="769"/>
      <c r="PSI102" s="769"/>
      <c r="PSJ102" s="769"/>
      <c r="PSK102" s="769"/>
      <c r="PSL102" s="769"/>
      <c r="PSM102" s="769"/>
      <c r="PSN102" s="769"/>
      <c r="PSO102" s="769"/>
      <c r="PSP102" s="769"/>
      <c r="PSQ102" s="769"/>
      <c r="PSR102" s="769"/>
      <c r="PSS102" s="769"/>
      <c r="PST102" s="769"/>
      <c r="PSU102" s="769"/>
      <c r="PSV102" s="769"/>
      <c r="PSW102" s="769"/>
      <c r="PSX102" s="769"/>
      <c r="PSY102" s="769"/>
      <c r="PSZ102" s="769"/>
      <c r="PTA102" s="769"/>
      <c r="PTB102" s="769"/>
      <c r="PTC102" s="769"/>
      <c r="PTD102" s="769"/>
      <c r="PTE102" s="769"/>
      <c r="PTF102" s="769"/>
      <c r="PTG102" s="769"/>
      <c r="PTH102" s="769"/>
      <c r="PTI102" s="769"/>
      <c r="PTJ102" s="769"/>
      <c r="PTK102" s="769"/>
      <c r="PTL102" s="769"/>
      <c r="PTM102" s="769"/>
      <c r="PTN102" s="769"/>
      <c r="PTO102" s="769"/>
      <c r="PTP102" s="769"/>
      <c r="PTQ102" s="769"/>
      <c r="PTR102" s="769"/>
      <c r="PTS102" s="769"/>
      <c r="PTT102" s="769"/>
      <c r="PTU102" s="769"/>
      <c r="PTV102" s="769"/>
      <c r="PTW102" s="769"/>
      <c r="PTX102" s="769"/>
      <c r="PTY102" s="769"/>
      <c r="PTZ102" s="769"/>
      <c r="PUA102" s="769"/>
      <c r="PUB102" s="769"/>
      <c r="PUC102" s="769"/>
      <c r="PUD102" s="769"/>
      <c r="PUE102" s="769"/>
      <c r="PUF102" s="769"/>
      <c r="PUG102" s="769"/>
      <c r="PUH102" s="769"/>
      <c r="PUI102" s="769"/>
      <c r="PUJ102" s="769"/>
      <c r="PUK102" s="769"/>
      <c r="PUL102" s="769"/>
      <c r="PUM102" s="769"/>
      <c r="PUN102" s="769"/>
      <c r="PUO102" s="769"/>
      <c r="PUP102" s="769"/>
      <c r="PUQ102" s="769"/>
      <c r="PUR102" s="769"/>
      <c r="PUS102" s="769"/>
      <c r="PUT102" s="769"/>
      <c r="PUU102" s="769"/>
      <c r="PUV102" s="769"/>
      <c r="PUW102" s="769"/>
      <c r="PUX102" s="769"/>
      <c r="PUY102" s="769"/>
      <c r="PUZ102" s="769"/>
      <c r="PVA102" s="769"/>
      <c r="PVB102" s="769"/>
      <c r="PVC102" s="769"/>
      <c r="PVD102" s="769"/>
      <c r="PVE102" s="769"/>
      <c r="PVF102" s="769"/>
      <c r="PVG102" s="769"/>
      <c r="PVH102" s="769"/>
      <c r="PVI102" s="769"/>
      <c r="PVJ102" s="769"/>
      <c r="PVK102" s="769"/>
      <c r="PVL102" s="769"/>
      <c r="PVM102" s="769"/>
      <c r="PVN102" s="769"/>
      <c r="PVO102" s="769"/>
      <c r="PVP102" s="769"/>
      <c r="PVQ102" s="769"/>
      <c r="PVR102" s="769"/>
      <c r="PVS102" s="769"/>
      <c r="PVT102" s="769"/>
      <c r="PVU102" s="769"/>
      <c r="PVV102" s="769"/>
      <c r="PVW102" s="769"/>
      <c r="PVX102" s="769"/>
      <c r="PVY102" s="769"/>
      <c r="PVZ102" s="769"/>
      <c r="PWA102" s="769"/>
      <c r="PWB102" s="769"/>
      <c r="PWC102" s="769"/>
      <c r="PWD102" s="769"/>
      <c r="PWE102" s="769"/>
      <c r="PWF102" s="769"/>
      <c r="PWG102" s="769"/>
      <c r="PWH102" s="769"/>
      <c r="PWI102" s="769"/>
      <c r="PWJ102" s="769"/>
      <c r="PWK102" s="769"/>
      <c r="PWL102" s="769"/>
      <c r="PWM102" s="769"/>
      <c r="PWN102" s="769"/>
      <c r="PWO102" s="769"/>
      <c r="PWP102" s="769"/>
      <c r="PWQ102" s="769"/>
      <c r="PWR102" s="769"/>
      <c r="PWS102" s="769"/>
      <c r="PWT102" s="769"/>
      <c r="PWU102" s="769"/>
      <c r="PWV102" s="769"/>
      <c r="PWW102" s="769"/>
      <c r="PWX102" s="769"/>
      <c r="PWY102" s="769"/>
      <c r="PWZ102" s="769"/>
      <c r="PXA102" s="769"/>
      <c r="PXB102" s="769"/>
      <c r="PXC102" s="769"/>
      <c r="PXD102" s="769"/>
      <c r="PXE102" s="769"/>
      <c r="PXF102" s="769"/>
      <c r="PXG102" s="769"/>
      <c r="PXH102" s="769"/>
      <c r="PXI102" s="769"/>
      <c r="PXJ102" s="769"/>
      <c r="PXK102" s="769"/>
      <c r="PXL102" s="769"/>
      <c r="PXM102" s="769"/>
      <c r="PXN102" s="769"/>
      <c r="PXO102" s="769"/>
      <c r="PXP102" s="769"/>
      <c r="PXQ102" s="769"/>
      <c r="PXR102" s="769"/>
      <c r="PXS102" s="769"/>
      <c r="PXT102" s="769"/>
      <c r="PXU102" s="769"/>
      <c r="PXV102" s="769"/>
      <c r="PXW102" s="769"/>
      <c r="PXX102" s="769"/>
      <c r="PXY102" s="769"/>
      <c r="PXZ102" s="769"/>
      <c r="PYA102" s="769"/>
      <c r="PYB102" s="769"/>
      <c r="PYC102" s="769"/>
      <c r="PYD102" s="769"/>
      <c r="PYE102" s="769"/>
      <c r="PYF102" s="769"/>
      <c r="PYG102" s="769"/>
      <c r="PYH102" s="769"/>
      <c r="PYI102" s="769"/>
      <c r="PYJ102" s="769"/>
      <c r="PYK102" s="769"/>
      <c r="PYL102" s="769"/>
      <c r="PYM102" s="769"/>
      <c r="PYN102" s="769"/>
      <c r="PYO102" s="769"/>
      <c r="PYP102" s="769"/>
      <c r="PYQ102" s="769"/>
      <c r="PYR102" s="769"/>
      <c r="PYS102" s="769"/>
      <c r="PYT102" s="769"/>
      <c r="PYU102" s="769"/>
      <c r="PYV102" s="769"/>
      <c r="PYW102" s="769"/>
      <c r="PYX102" s="769"/>
      <c r="PYY102" s="769"/>
      <c r="PYZ102" s="769"/>
      <c r="PZA102" s="769"/>
      <c r="PZB102" s="769"/>
      <c r="PZC102" s="769"/>
      <c r="PZD102" s="769"/>
      <c r="PZE102" s="769"/>
      <c r="PZF102" s="769"/>
      <c r="PZG102" s="769"/>
      <c r="PZH102" s="769"/>
      <c r="PZI102" s="769"/>
      <c r="PZJ102" s="769"/>
      <c r="PZK102" s="769"/>
      <c r="PZL102" s="769"/>
      <c r="PZM102" s="769"/>
      <c r="PZN102" s="769"/>
      <c r="PZO102" s="769"/>
      <c r="PZP102" s="769"/>
      <c r="PZQ102" s="769"/>
      <c r="PZR102" s="769"/>
      <c r="PZS102" s="769"/>
      <c r="PZT102" s="769"/>
      <c r="PZU102" s="769"/>
      <c r="PZV102" s="769"/>
      <c r="PZW102" s="769"/>
      <c r="PZX102" s="769"/>
      <c r="PZY102" s="769"/>
      <c r="PZZ102" s="769"/>
      <c r="QAA102" s="769"/>
      <c r="QAB102" s="769"/>
      <c r="QAC102" s="769"/>
      <c r="QAD102" s="769"/>
      <c r="QAE102" s="769"/>
      <c r="QAF102" s="769"/>
      <c r="QAG102" s="769"/>
      <c r="QAH102" s="769"/>
      <c r="QAI102" s="769"/>
      <c r="QAJ102" s="769"/>
      <c r="QAK102" s="769"/>
      <c r="QAL102" s="769"/>
      <c r="QAM102" s="769"/>
      <c r="QAN102" s="769"/>
      <c r="QAO102" s="769"/>
      <c r="QAP102" s="769"/>
      <c r="QAQ102" s="769"/>
      <c r="QAR102" s="769"/>
      <c r="QAS102" s="769"/>
      <c r="QAT102" s="769"/>
      <c r="QAU102" s="769"/>
      <c r="QAV102" s="769"/>
      <c r="QAW102" s="769"/>
      <c r="QAX102" s="769"/>
      <c r="QAY102" s="769"/>
      <c r="QAZ102" s="769"/>
      <c r="QBA102" s="769"/>
      <c r="QBB102" s="769"/>
      <c r="QBC102" s="769"/>
      <c r="QBD102" s="769"/>
      <c r="QBE102" s="769"/>
      <c r="QBF102" s="769"/>
      <c r="QBG102" s="769"/>
      <c r="QBH102" s="769"/>
      <c r="QBI102" s="769"/>
      <c r="QBJ102" s="769"/>
      <c r="QBK102" s="769"/>
      <c r="QBL102" s="769"/>
      <c r="QBM102" s="769"/>
      <c r="QBN102" s="769"/>
      <c r="QBO102" s="769"/>
      <c r="QBP102" s="769"/>
      <c r="QBQ102" s="769"/>
      <c r="QBR102" s="769"/>
      <c r="QBS102" s="769"/>
      <c r="QBT102" s="769"/>
      <c r="QBU102" s="769"/>
      <c r="QBV102" s="769"/>
      <c r="QBW102" s="769"/>
      <c r="QBX102" s="769"/>
      <c r="QBY102" s="769"/>
      <c r="QBZ102" s="769"/>
      <c r="QCA102" s="769"/>
      <c r="QCB102" s="769"/>
      <c r="QCC102" s="769"/>
      <c r="QCD102" s="769"/>
      <c r="QCE102" s="769"/>
      <c r="QCF102" s="769"/>
      <c r="QCG102" s="769"/>
      <c r="QCH102" s="769"/>
      <c r="QCI102" s="769"/>
      <c r="QCJ102" s="769"/>
      <c r="QCK102" s="769"/>
      <c r="QCL102" s="769"/>
      <c r="QCM102" s="769"/>
      <c r="QCN102" s="769"/>
      <c r="QCO102" s="769"/>
      <c r="QCP102" s="769"/>
      <c r="QCQ102" s="769"/>
      <c r="QCR102" s="769"/>
      <c r="QCS102" s="769"/>
      <c r="QCT102" s="769"/>
      <c r="QCU102" s="769"/>
      <c r="QCV102" s="769"/>
      <c r="QCW102" s="769"/>
      <c r="QCX102" s="769"/>
      <c r="QCY102" s="769"/>
      <c r="QCZ102" s="769"/>
      <c r="QDA102" s="769"/>
      <c r="QDB102" s="769"/>
      <c r="QDC102" s="769"/>
      <c r="QDD102" s="769"/>
      <c r="QDE102" s="769"/>
      <c r="QDF102" s="769"/>
      <c r="QDG102" s="769"/>
      <c r="QDH102" s="769"/>
      <c r="QDI102" s="769"/>
      <c r="QDJ102" s="769"/>
      <c r="QDK102" s="769"/>
      <c r="QDL102" s="769"/>
      <c r="QDM102" s="769"/>
      <c r="QDN102" s="769"/>
      <c r="QDO102" s="769"/>
      <c r="QDP102" s="769"/>
      <c r="QDQ102" s="769"/>
      <c r="QDR102" s="769"/>
      <c r="QDS102" s="769"/>
      <c r="QDT102" s="769"/>
      <c r="QDU102" s="769"/>
      <c r="QDV102" s="769"/>
      <c r="QDW102" s="769"/>
      <c r="QDX102" s="769"/>
      <c r="QDY102" s="769"/>
      <c r="QDZ102" s="769"/>
      <c r="QEA102" s="769"/>
      <c r="QEB102" s="769"/>
      <c r="QEC102" s="769"/>
      <c r="QED102" s="769"/>
      <c r="QEE102" s="769"/>
      <c r="QEF102" s="769"/>
      <c r="QEG102" s="769"/>
      <c r="QEH102" s="769"/>
      <c r="QEI102" s="769"/>
      <c r="QEJ102" s="769"/>
      <c r="QEK102" s="769"/>
      <c r="QEL102" s="769"/>
      <c r="QEM102" s="769"/>
      <c r="QEN102" s="769"/>
      <c r="QEO102" s="769"/>
      <c r="QEP102" s="769"/>
      <c r="QEQ102" s="769"/>
      <c r="QER102" s="769"/>
      <c r="QES102" s="769"/>
      <c r="QET102" s="769"/>
      <c r="QEU102" s="769"/>
      <c r="QEV102" s="769"/>
      <c r="QEW102" s="769"/>
      <c r="QEX102" s="769"/>
      <c r="QEY102" s="769"/>
      <c r="QEZ102" s="769"/>
      <c r="QFA102" s="769"/>
      <c r="QFB102" s="769"/>
      <c r="QFC102" s="769"/>
      <c r="QFD102" s="769"/>
      <c r="QFE102" s="769"/>
      <c r="QFF102" s="769"/>
      <c r="QFG102" s="769"/>
      <c r="QFH102" s="769"/>
      <c r="QFI102" s="769"/>
      <c r="QFJ102" s="769"/>
      <c r="QFK102" s="769"/>
      <c r="QFL102" s="769"/>
      <c r="QFM102" s="769"/>
      <c r="QFN102" s="769"/>
      <c r="QFO102" s="769"/>
      <c r="QFP102" s="769"/>
      <c r="QFQ102" s="769"/>
      <c r="QFR102" s="769"/>
      <c r="QFS102" s="769"/>
      <c r="QFT102" s="769"/>
      <c r="QFU102" s="769"/>
      <c r="QFV102" s="769"/>
      <c r="QFW102" s="769"/>
      <c r="QFX102" s="769"/>
      <c r="QFY102" s="769"/>
      <c r="QFZ102" s="769"/>
      <c r="QGA102" s="769"/>
      <c r="QGB102" s="769"/>
      <c r="QGC102" s="769"/>
      <c r="QGD102" s="769"/>
      <c r="QGE102" s="769"/>
      <c r="QGF102" s="769"/>
      <c r="QGG102" s="769"/>
      <c r="QGH102" s="769"/>
      <c r="QGI102" s="769"/>
      <c r="QGJ102" s="769"/>
      <c r="QGK102" s="769"/>
      <c r="QGL102" s="769"/>
      <c r="QGM102" s="769"/>
      <c r="QGN102" s="769"/>
      <c r="QGO102" s="769"/>
      <c r="QGP102" s="769"/>
      <c r="QGQ102" s="769"/>
      <c r="QGR102" s="769"/>
      <c r="QGS102" s="769"/>
      <c r="QGT102" s="769"/>
      <c r="QGU102" s="769"/>
      <c r="QGV102" s="769"/>
      <c r="QGW102" s="769"/>
      <c r="QGX102" s="769"/>
      <c r="QGY102" s="769"/>
      <c r="QGZ102" s="769"/>
      <c r="QHA102" s="769"/>
      <c r="QHB102" s="769"/>
      <c r="QHC102" s="769"/>
      <c r="QHD102" s="769"/>
      <c r="QHE102" s="769"/>
      <c r="QHF102" s="769"/>
      <c r="QHG102" s="769"/>
      <c r="QHH102" s="769"/>
      <c r="QHI102" s="769"/>
      <c r="QHJ102" s="769"/>
      <c r="QHK102" s="769"/>
      <c r="QHL102" s="769"/>
      <c r="QHM102" s="769"/>
      <c r="QHN102" s="769"/>
      <c r="QHO102" s="769"/>
      <c r="QHP102" s="769"/>
      <c r="QHQ102" s="769"/>
      <c r="QHR102" s="769"/>
      <c r="QHS102" s="769"/>
      <c r="QHT102" s="769"/>
      <c r="QHU102" s="769"/>
      <c r="QHV102" s="769"/>
      <c r="QHW102" s="769"/>
      <c r="QHX102" s="769"/>
      <c r="QHY102" s="769"/>
      <c r="QHZ102" s="769"/>
      <c r="QIA102" s="769"/>
      <c r="QIB102" s="769"/>
      <c r="QIC102" s="769"/>
      <c r="QID102" s="769"/>
      <c r="QIE102" s="769"/>
      <c r="QIF102" s="769"/>
      <c r="QIG102" s="769"/>
      <c r="QIH102" s="769"/>
      <c r="QII102" s="769"/>
      <c r="QIJ102" s="769"/>
      <c r="QIK102" s="769"/>
      <c r="QIL102" s="769"/>
      <c r="QIM102" s="769"/>
      <c r="QIN102" s="769"/>
      <c r="QIO102" s="769"/>
      <c r="QIP102" s="769"/>
      <c r="QIQ102" s="769"/>
      <c r="QIR102" s="769"/>
      <c r="QIS102" s="769"/>
      <c r="QIT102" s="769"/>
      <c r="QIU102" s="769"/>
      <c r="QIV102" s="769"/>
      <c r="QIW102" s="769"/>
      <c r="QIX102" s="769"/>
      <c r="QIY102" s="769"/>
      <c r="QIZ102" s="769"/>
      <c r="QJA102" s="769"/>
      <c r="QJB102" s="769"/>
      <c r="QJC102" s="769"/>
      <c r="QJD102" s="769"/>
      <c r="QJE102" s="769"/>
      <c r="QJF102" s="769"/>
      <c r="QJG102" s="769"/>
      <c r="QJH102" s="769"/>
      <c r="QJI102" s="769"/>
      <c r="QJJ102" s="769"/>
      <c r="QJK102" s="769"/>
      <c r="QJL102" s="769"/>
      <c r="QJM102" s="769"/>
      <c r="QJN102" s="769"/>
      <c r="QJO102" s="769"/>
      <c r="QJP102" s="769"/>
      <c r="QJQ102" s="769"/>
      <c r="QJR102" s="769"/>
      <c r="QJS102" s="769"/>
      <c r="QJT102" s="769"/>
      <c r="QJU102" s="769"/>
      <c r="QJV102" s="769"/>
      <c r="QJW102" s="769"/>
      <c r="QJX102" s="769"/>
      <c r="QJY102" s="769"/>
      <c r="QJZ102" s="769"/>
      <c r="QKA102" s="769"/>
      <c r="QKB102" s="769"/>
      <c r="QKC102" s="769"/>
      <c r="QKD102" s="769"/>
      <c r="QKE102" s="769"/>
      <c r="QKF102" s="769"/>
      <c r="QKG102" s="769"/>
      <c r="QKH102" s="769"/>
      <c r="QKI102" s="769"/>
      <c r="QKJ102" s="769"/>
      <c r="QKK102" s="769"/>
      <c r="QKL102" s="769"/>
      <c r="QKM102" s="769"/>
      <c r="QKN102" s="769"/>
      <c r="QKO102" s="769"/>
      <c r="QKP102" s="769"/>
      <c r="QKQ102" s="769"/>
      <c r="QKR102" s="769"/>
      <c r="QKS102" s="769"/>
      <c r="QKT102" s="769"/>
      <c r="QKU102" s="769"/>
      <c r="QKV102" s="769"/>
      <c r="QKW102" s="769"/>
      <c r="QKX102" s="769"/>
      <c r="QKY102" s="769"/>
      <c r="QKZ102" s="769"/>
      <c r="QLA102" s="769"/>
      <c r="QLB102" s="769"/>
      <c r="QLC102" s="769"/>
      <c r="QLD102" s="769"/>
      <c r="QLE102" s="769"/>
      <c r="QLF102" s="769"/>
      <c r="QLG102" s="769"/>
      <c r="QLH102" s="769"/>
      <c r="QLI102" s="769"/>
      <c r="QLJ102" s="769"/>
      <c r="QLK102" s="769"/>
      <c r="QLL102" s="769"/>
      <c r="QLM102" s="769"/>
      <c r="QLN102" s="769"/>
      <c r="QLO102" s="769"/>
      <c r="QLP102" s="769"/>
      <c r="QLQ102" s="769"/>
      <c r="QLR102" s="769"/>
      <c r="QLS102" s="769"/>
      <c r="QLT102" s="769"/>
      <c r="QLU102" s="769"/>
      <c r="QLV102" s="769"/>
      <c r="QLW102" s="769"/>
      <c r="QLX102" s="769"/>
      <c r="QLY102" s="769"/>
      <c r="QLZ102" s="769"/>
      <c r="QMA102" s="769"/>
      <c r="QMB102" s="769"/>
      <c r="QMC102" s="769"/>
      <c r="QMD102" s="769"/>
      <c r="QME102" s="769"/>
      <c r="QMF102" s="769"/>
      <c r="QMG102" s="769"/>
      <c r="QMH102" s="769"/>
      <c r="QMI102" s="769"/>
      <c r="QMJ102" s="769"/>
      <c r="QMK102" s="769"/>
      <c r="QML102" s="769"/>
      <c r="QMM102" s="769"/>
      <c r="QMN102" s="769"/>
      <c r="QMO102" s="769"/>
      <c r="QMP102" s="769"/>
      <c r="QMQ102" s="769"/>
      <c r="QMR102" s="769"/>
      <c r="QMS102" s="769"/>
      <c r="QMT102" s="769"/>
      <c r="QMU102" s="769"/>
      <c r="QMV102" s="769"/>
      <c r="QMW102" s="769"/>
      <c r="QMX102" s="769"/>
      <c r="QMY102" s="769"/>
      <c r="QMZ102" s="769"/>
      <c r="QNA102" s="769"/>
      <c r="QNB102" s="769"/>
      <c r="QNC102" s="769"/>
      <c r="QND102" s="769"/>
      <c r="QNE102" s="769"/>
      <c r="QNF102" s="769"/>
      <c r="QNG102" s="769"/>
      <c r="QNH102" s="769"/>
      <c r="QNI102" s="769"/>
      <c r="QNJ102" s="769"/>
      <c r="QNK102" s="769"/>
      <c r="QNL102" s="769"/>
      <c r="QNM102" s="769"/>
      <c r="QNN102" s="769"/>
      <c r="QNO102" s="769"/>
      <c r="QNP102" s="769"/>
      <c r="QNQ102" s="769"/>
      <c r="QNR102" s="769"/>
      <c r="QNS102" s="769"/>
      <c r="QNT102" s="769"/>
      <c r="QNU102" s="769"/>
      <c r="QNV102" s="769"/>
      <c r="QNW102" s="769"/>
      <c r="QNX102" s="769"/>
      <c r="QNY102" s="769"/>
      <c r="QNZ102" s="769"/>
      <c r="QOA102" s="769"/>
      <c r="QOB102" s="769"/>
      <c r="QOC102" s="769"/>
      <c r="QOD102" s="769"/>
      <c r="QOE102" s="769"/>
      <c r="QOF102" s="769"/>
      <c r="QOG102" s="769"/>
      <c r="QOH102" s="769"/>
      <c r="QOI102" s="769"/>
      <c r="QOJ102" s="769"/>
      <c r="QOK102" s="769"/>
      <c r="QOL102" s="769"/>
      <c r="QOM102" s="769"/>
      <c r="QON102" s="769"/>
      <c r="QOO102" s="769"/>
      <c r="QOP102" s="769"/>
      <c r="QOQ102" s="769"/>
      <c r="QOR102" s="769"/>
      <c r="QOS102" s="769"/>
      <c r="QOT102" s="769"/>
      <c r="QOU102" s="769"/>
      <c r="QOV102" s="769"/>
      <c r="QOW102" s="769"/>
      <c r="QOX102" s="769"/>
      <c r="QOY102" s="769"/>
      <c r="QOZ102" s="769"/>
      <c r="QPA102" s="769"/>
      <c r="QPB102" s="769"/>
      <c r="QPC102" s="769"/>
      <c r="QPD102" s="769"/>
      <c r="QPE102" s="769"/>
      <c r="QPF102" s="769"/>
      <c r="QPG102" s="769"/>
      <c r="QPH102" s="769"/>
      <c r="QPI102" s="769"/>
      <c r="QPJ102" s="769"/>
      <c r="QPK102" s="769"/>
      <c r="QPL102" s="769"/>
      <c r="QPM102" s="769"/>
      <c r="QPN102" s="769"/>
      <c r="QPO102" s="769"/>
      <c r="QPP102" s="769"/>
      <c r="QPQ102" s="769"/>
      <c r="QPR102" s="769"/>
      <c r="QPS102" s="769"/>
      <c r="QPT102" s="769"/>
      <c r="QPU102" s="769"/>
      <c r="QPV102" s="769"/>
      <c r="QPW102" s="769"/>
      <c r="QPX102" s="769"/>
      <c r="QPY102" s="769"/>
      <c r="QPZ102" s="769"/>
      <c r="QQA102" s="769"/>
      <c r="QQB102" s="769"/>
      <c r="QQC102" s="769"/>
      <c r="QQD102" s="769"/>
      <c r="QQE102" s="769"/>
      <c r="QQF102" s="769"/>
      <c r="QQG102" s="769"/>
      <c r="QQH102" s="769"/>
      <c r="QQI102" s="769"/>
      <c r="QQJ102" s="769"/>
      <c r="QQK102" s="769"/>
      <c r="QQL102" s="769"/>
      <c r="QQM102" s="769"/>
      <c r="QQN102" s="769"/>
      <c r="QQO102" s="769"/>
      <c r="QQP102" s="769"/>
      <c r="QQQ102" s="769"/>
      <c r="QQR102" s="769"/>
      <c r="QQS102" s="769"/>
      <c r="QQT102" s="769"/>
      <c r="QQU102" s="769"/>
      <c r="QQV102" s="769"/>
      <c r="QQW102" s="769"/>
      <c r="QQX102" s="769"/>
      <c r="QQY102" s="769"/>
      <c r="QQZ102" s="769"/>
      <c r="QRA102" s="769"/>
      <c r="QRB102" s="769"/>
      <c r="QRC102" s="769"/>
      <c r="QRD102" s="769"/>
      <c r="QRE102" s="769"/>
      <c r="QRF102" s="769"/>
      <c r="QRG102" s="769"/>
      <c r="QRH102" s="769"/>
      <c r="QRI102" s="769"/>
      <c r="QRJ102" s="769"/>
      <c r="QRK102" s="769"/>
      <c r="QRL102" s="769"/>
      <c r="QRM102" s="769"/>
      <c r="QRN102" s="769"/>
      <c r="QRO102" s="769"/>
      <c r="QRP102" s="769"/>
      <c r="QRQ102" s="769"/>
      <c r="QRR102" s="769"/>
      <c r="QRS102" s="769"/>
      <c r="QRT102" s="769"/>
      <c r="QRU102" s="769"/>
      <c r="QRV102" s="769"/>
      <c r="QRW102" s="769"/>
      <c r="QRX102" s="769"/>
      <c r="QRY102" s="769"/>
      <c r="QRZ102" s="769"/>
      <c r="QSA102" s="769"/>
      <c r="QSB102" s="769"/>
      <c r="QSC102" s="769"/>
      <c r="QSD102" s="769"/>
      <c r="QSE102" s="769"/>
      <c r="QSF102" s="769"/>
      <c r="QSG102" s="769"/>
      <c r="QSH102" s="769"/>
      <c r="QSI102" s="769"/>
      <c r="QSJ102" s="769"/>
      <c r="QSK102" s="769"/>
      <c r="QSL102" s="769"/>
      <c r="QSM102" s="769"/>
      <c r="QSN102" s="769"/>
      <c r="QSO102" s="769"/>
      <c r="QSP102" s="769"/>
      <c r="QSQ102" s="769"/>
      <c r="QSR102" s="769"/>
      <c r="QSS102" s="769"/>
      <c r="QST102" s="769"/>
      <c r="QSU102" s="769"/>
      <c r="QSV102" s="769"/>
      <c r="QSW102" s="769"/>
      <c r="QSX102" s="769"/>
      <c r="QSY102" s="769"/>
      <c r="QSZ102" s="769"/>
      <c r="QTA102" s="769"/>
      <c r="QTB102" s="769"/>
      <c r="QTC102" s="769"/>
      <c r="QTD102" s="769"/>
      <c r="QTE102" s="769"/>
      <c r="QTF102" s="769"/>
      <c r="QTG102" s="769"/>
      <c r="QTH102" s="769"/>
      <c r="QTI102" s="769"/>
      <c r="QTJ102" s="769"/>
      <c r="QTK102" s="769"/>
      <c r="QTL102" s="769"/>
      <c r="QTM102" s="769"/>
      <c r="QTN102" s="769"/>
      <c r="QTO102" s="769"/>
      <c r="QTP102" s="769"/>
      <c r="QTQ102" s="769"/>
      <c r="QTR102" s="769"/>
      <c r="QTS102" s="769"/>
      <c r="QTT102" s="769"/>
      <c r="QTU102" s="769"/>
      <c r="QTV102" s="769"/>
      <c r="QTW102" s="769"/>
      <c r="QTX102" s="769"/>
      <c r="QTY102" s="769"/>
      <c r="QTZ102" s="769"/>
      <c r="QUA102" s="769"/>
      <c r="QUB102" s="769"/>
      <c r="QUC102" s="769"/>
      <c r="QUD102" s="769"/>
      <c r="QUE102" s="769"/>
      <c r="QUF102" s="769"/>
      <c r="QUG102" s="769"/>
      <c r="QUH102" s="769"/>
      <c r="QUI102" s="769"/>
      <c r="QUJ102" s="769"/>
      <c r="QUK102" s="769"/>
      <c r="QUL102" s="769"/>
      <c r="QUM102" s="769"/>
      <c r="QUN102" s="769"/>
      <c r="QUO102" s="769"/>
      <c r="QUP102" s="769"/>
      <c r="QUQ102" s="769"/>
      <c r="QUR102" s="769"/>
      <c r="QUS102" s="769"/>
      <c r="QUT102" s="769"/>
      <c r="QUU102" s="769"/>
      <c r="QUV102" s="769"/>
      <c r="QUW102" s="769"/>
      <c r="QUX102" s="769"/>
      <c r="QUY102" s="769"/>
      <c r="QUZ102" s="769"/>
      <c r="QVA102" s="769"/>
      <c r="QVB102" s="769"/>
      <c r="QVC102" s="769"/>
      <c r="QVD102" s="769"/>
      <c r="QVE102" s="769"/>
      <c r="QVF102" s="769"/>
      <c r="QVG102" s="769"/>
      <c r="QVH102" s="769"/>
      <c r="QVI102" s="769"/>
      <c r="QVJ102" s="769"/>
      <c r="QVK102" s="769"/>
      <c r="QVL102" s="769"/>
      <c r="QVM102" s="769"/>
      <c r="QVN102" s="769"/>
      <c r="QVO102" s="769"/>
      <c r="QVP102" s="769"/>
      <c r="QVQ102" s="769"/>
      <c r="QVR102" s="769"/>
      <c r="QVS102" s="769"/>
      <c r="QVT102" s="769"/>
      <c r="QVU102" s="769"/>
      <c r="QVV102" s="769"/>
      <c r="QVW102" s="769"/>
      <c r="QVX102" s="769"/>
      <c r="QVY102" s="769"/>
      <c r="QVZ102" s="769"/>
      <c r="QWA102" s="769"/>
      <c r="QWB102" s="769"/>
      <c r="QWC102" s="769"/>
      <c r="QWD102" s="769"/>
      <c r="QWE102" s="769"/>
      <c r="QWF102" s="769"/>
      <c r="QWG102" s="769"/>
      <c r="QWH102" s="769"/>
      <c r="QWI102" s="769"/>
      <c r="QWJ102" s="769"/>
      <c r="QWK102" s="769"/>
      <c r="QWL102" s="769"/>
      <c r="QWM102" s="769"/>
      <c r="QWN102" s="769"/>
      <c r="QWO102" s="769"/>
      <c r="QWP102" s="769"/>
      <c r="QWQ102" s="769"/>
      <c r="QWR102" s="769"/>
      <c r="QWS102" s="769"/>
      <c r="QWT102" s="769"/>
      <c r="QWU102" s="769"/>
      <c r="QWV102" s="769"/>
      <c r="QWW102" s="769"/>
      <c r="QWX102" s="769"/>
      <c r="QWY102" s="769"/>
      <c r="QWZ102" s="769"/>
      <c r="QXA102" s="769"/>
      <c r="QXB102" s="769"/>
      <c r="QXC102" s="769"/>
      <c r="QXD102" s="769"/>
      <c r="QXE102" s="769"/>
      <c r="QXF102" s="769"/>
      <c r="QXG102" s="769"/>
      <c r="QXH102" s="769"/>
      <c r="QXI102" s="769"/>
      <c r="QXJ102" s="769"/>
      <c r="QXK102" s="769"/>
      <c r="QXL102" s="769"/>
      <c r="QXM102" s="769"/>
      <c r="QXN102" s="769"/>
      <c r="QXO102" s="769"/>
      <c r="QXP102" s="769"/>
      <c r="QXQ102" s="769"/>
      <c r="QXR102" s="769"/>
      <c r="QXS102" s="769"/>
      <c r="QXT102" s="769"/>
      <c r="QXU102" s="769"/>
      <c r="QXV102" s="769"/>
      <c r="QXW102" s="769"/>
      <c r="QXX102" s="769"/>
      <c r="QXY102" s="769"/>
      <c r="QXZ102" s="769"/>
      <c r="QYA102" s="769"/>
      <c r="QYB102" s="769"/>
      <c r="QYC102" s="769"/>
      <c r="QYD102" s="769"/>
      <c r="QYE102" s="769"/>
      <c r="QYF102" s="769"/>
      <c r="QYG102" s="769"/>
      <c r="QYH102" s="769"/>
      <c r="QYI102" s="769"/>
      <c r="QYJ102" s="769"/>
      <c r="QYK102" s="769"/>
      <c r="QYL102" s="769"/>
      <c r="QYM102" s="769"/>
      <c r="QYN102" s="769"/>
      <c r="QYO102" s="769"/>
      <c r="QYP102" s="769"/>
      <c r="QYQ102" s="769"/>
      <c r="QYR102" s="769"/>
      <c r="QYS102" s="769"/>
      <c r="QYT102" s="769"/>
      <c r="QYU102" s="769"/>
      <c r="QYV102" s="769"/>
      <c r="QYW102" s="769"/>
      <c r="QYX102" s="769"/>
      <c r="QYY102" s="769"/>
      <c r="QYZ102" s="769"/>
      <c r="QZA102" s="769"/>
      <c r="QZB102" s="769"/>
      <c r="QZC102" s="769"/>
      <c r="QZD102" s="769"/>
      <c r="QZE102" s="769"/>
      <c r="QZF102" s="769"/>
      <c r="QZG102" s="769"/>
      <c r="QZH102" s="769"/>
      <c r="QZI102" s="769"/>
      <c r="QZJ102" s="769"/>
      <c r="QZK102" s="769"/>
      <c r="QZL102" s="769"/>
      <c r="QZM102" s="769"/>
      <c r="QZN102" s="769"/>
      <c r="QZO102" s="769"/>
      <c r="QZP102" s="769"/>
      <c r="QZQ102" s="769"/>
      <c r="QZR102" s="769"/>
      <c r="QZS102" s="769"/>
      <c r="QZT102" s="769"/>
      <c r="QZU102" s="769"/>
      <c r="QZV102" s="769"/>
      <c r="QZW102" s="769"/>
      <c r="QZX102" s="769"/>
      <c r="QZY102" s="769"/>
      <c r="QZZ102" s="769"/>
      <c r="RAA102" s="769"/>
      <c r="RAB102" s="769"/>
      <c r="RAC102" s="769"/>
      <c r="RAD102" s="769"/>
      <c r="RAE102" s="769"/>
      <c r="RAF102" s="769"/>
      <c r="RAG102" s="769"/>
      <c r="RAH102" s="769"/>
      <c r="RAI102" s="769"/>
      <c r="RAJ102" s="769"/>
      <c r="RAK102" s="769"/>
      <c r="RAL102" s="769"/>
      <c r="RAM102" s="769"/>
      <c r="RAN102" s="769"/>
      <c r="RAO102" s="769"/>
      <c r="RAP102" s="769"/>
      <c r="RAQ102" s="769"/>
      <c r="RAR102" s="769"/>
      <c r="RAS102" s="769"/>
      <c r="RAT102" s="769"/>
      <c r="RAU102" s="769"/>
      <c r="RAV102" s="769"/>
      <c r="RAW102" s="769"/>
      <c r="RAX102" s="769"/>
      <c r="RAY102" s="769"/>
      <c r="RAZ102" s="769"/>
      <c r="RBA102" s="769"/>
      <c r="RBB102" s="769"/>
      <c r="RBC102" s="769"/>
      <c r="RBD102" s="769"/>
      <c r="RBE102" s="769"/>
      <c r="RBF102" s="769"/>
      <c r="RBG102" s="769"/>
      <c r="RBH102" s="769"/>
      <c r="RBI102" s="769"/>
      <c r="RBJ102" s="769"/>
      <c r="RBK102" s="769"/>
      <c r="RBL102" s="769"/>
      <c r="RBM102" s="769"/>
      <c r="RBN102" s="769"/>
      <c r="RBO102" s="769"/>
      <c r="RBP102" s="769"/>
      <c r="RBQ102" s="769"/>
      <c r="RBR102" s="769"/>
      <c r="RBS102" s="769"/>
      <c r="RBT102" s="769"/>
      <c r="RBU102" s="769"/>
      <c r="RBV102" s="769"/>
      <c r="RBW102" s="769"/>
      <c r="RBX102" s="769"/>
      <c r="RBY102" s="769"/>
      <c r="RBZ102" s="769"/>
      <c r="RCA102" s="769"/>
      <c r="RCB102" s="769"/>
      <c r="RCC102" s="769"/>
      <c r="RCD102" s="769"/>
      <c r="RCE102" s="769"/>
      <c r="RCF102" s="769"/>
      <c r="RCG102" s="769"/>
      <c r="RCH102" s="769"/>
      <c r="RCI102" s="769"/>
      <c r="RCJ102" s="769"/>
      <c r="RCK102" s="769"/>
      <c r="RCL102" s="769"/>
      <c r="RCM102" s="769"/>
      <c r="RCN102" s="769"/>
      <c r="RCO102" s="769"/>
      <c r="RCP102" s="769"/>
      <c r="RCQ102" s="769"/>
      <c r="RCR102" s="769"/>
      <c r="RCS102" s="769"/>
      <c r="RCT102" s="769"/>
      <c r="RCU102" s="769"/>
      <c r="RCV102" s="769"/>
      <c r="RCW102" s="769"/>
      <c r="RCX102" s="769"/>
      <c r="RCY102" s="769"/>
      <c r="RCZ102" s="769"/>
      <c r="RDA102" s="769"/>
      <c r="RDB102" s="769"/>
      <c r="RDC102" s="769"/>
      <c r="RDD102" s="769"/>
      <c r="RDE102" s="769"/>
      <c r="RDF102" s="769"/>
      <c r="RDG102" s="769"/>
      <c r="RDH102" s="769"/>
      <c r="RDI102" s="769"/>
      <c r="RDJ102" s="769"/>
      <c r="RDK102" s="769"/>
      <c r="RDL102" s="769"/>
      <c r="RDM102" s="769"/>
      <c r="RDN102" s="769"/>
      <c r="RDO102" s="769"/>
      <c r="RDP102" s="769"/>
      <c r="RDQ102" s="769"/>
      <c r="RDR102" s="769"/>
      <c r="RDS102" s="769"/>
      <c r="RDT102" s="769"/>
      <c r="RDU102" s="769"/>
      <c r="RDV102" s="769"/>
      <c r="RDW102" s="769"/>
      <c r="RDX102" s="769"/>
      <c r="RDY102" s="769"/>
      <c r="RDZ102" s="769"/>
      <c r="REA102" s="769"/>
      <c r="REB102" s="769"/>
      <c r="REC102" s="769"/>
      <c r="RED102" s="769"/>
      <c r="REE102" s="769"/>
      <c r="REF102" s="769"/>
      <c r="REG102" s="769"/>
      <c r="REH102" s="769"/>
      <c r="REI102" s="769"/>
      <c r="REJ102" s="769"/>
      <c r="REK102" s="769"/>
      <c r="REL102" s="769"/>
      <c r="REM102" s="769"/>
      <c r="REN102" s="769"/>
      <c r="REO102" s="769"/>
      <c r="REP102" s="769"/>
      <c r="REQ102" s="769"/>
      <c r="RER102" s="769"/>
      <c r="RES102" s="769"/>
      <c r="RET102" s="769"/>
      <c r="REU102" s="769"/>
      <c r="REV102" s="769"/>
      <c r="REW102" s="769"/>
      <c r="REX102" s="769"/>
      <c r="REY102" s="769"/>
      <c r="REZ102" s="769"/>
      <c r="RFA102" s="769"/>
      <c r="RFB102" s="769"/>
      <c r="RFC102" s="769"/>
      <c r="RFD102" s="769"/>
      <c r="RFE102" s="769"/>
      <c r="RFF102" s="769"/>
      <c r="RFG102" s="769"/>
      <c r="RFH102" s="769"/>
      <c r="RFI102" s="769"/>
      <c r="RFJ102" s="769"/>
      <c r="RFK102" s="769"/>
      <c r="RFL102" s="769"/>
      <c r="RFM102" s="769"/>
      <c r="RFN102" s="769"/>
      <c r="RFO102" s="769"/>
      <c r="RFP102" s="769"/>
      <c r="RFQ102" s="769"/>
      <c r="RFR102" s="769"/>
      <c r="RFS102" s="769"/>
      <c r="RFT102" s="769"/>
      <c r="RFU102" s="769"/>
      <c r="RFV102" s="769"/>
      <c r="RFW102" s="769"/>
      <c r="RFX102" s="769"/>
      <c r="RFY102" s="769"/>
      <c r="RFZ102" s="769"/>
      <c r="RGA102" s="769"/>
      <c r="RGB102" s="769"/>
      <c r="RGC102" s="769"/>
      <c r="RGD102" s="769"/>
      <c r="RGE102" s="769"/>
      <c r="RGF102" s="769"/>
      <c r="RGG102" s="769"/>
      <c r="RGH102" s="769"/>
      <c r="RGI102" s="769"/>
      <c r="RGJ102" s="769"/>
      <c r="RGK102" s="769"/>
      <c r="RGL102" s="769"/>
      <c r="RGM102" s="769"/>
      <c r="RGN102" s="769"/>
      <c r="RGO102" s="769"/>
      <c r="RGP102" s="769"/>
      <c r="RGQ102" s="769"/>
      <c r="RGR102" s="769"/>
      <c r="RGS102" s="769"/>
      <c r="RGT102" s="769"/>
      <c r="RGU102" s="769"/>
      <c r="RGV102" s="769"/>
      <c r="RGW102" s="769"/>
      <c r="RGX102" s="769"/>
      <c r="RGY102" s="769"/>
      <c r="RGZ102" s="769"/>
      <c r="RHA102" s="769"/>
      <c r="RHB102" s="769"/>
      <c r="RHC102" s="769"/>
      <c r="RHD102" s="769"/>
      <c r="RHE102" s="769"/>
      <c r="RHF102" s="769"/>
      <c r="RHG102" s="769"/>
      <c r="RHH102" s="769"/>
      <c r="RHI102" s="769"/>
      <c r="RHJ102" s="769"/>
      <c r="RHK102" s="769"/>
      <c r="RHL102" s="769"/>
      <c r="RHM102" s="769"/>
      <c r="RHN102" s="769"/>
      <c r="RHO102" s="769"/>
      <c r="RHP102" s="769"/>
      <c r="RHQ102" s="769"/>
      <c r="RHR102" s="769"/>
      <c r="RHS102" s="769"/>
      <c r="RHT102" s="769"/>
      <c r="RHU102" s="769"/>
      <c r="RHV102" s="769"/>
      <c r="RHW102" s="769"/>
      <c r="RHX102" s="769"/>
      <c r="RHY102" s="769"/>
      <c r="RHZ102" s="769"/>
      <c r="RIA102" s="769"/>
      <c r="RIB102" s="769"/>
      <c r="RIC102" s="769"/>
      <c r="RID102" s="769"/>
      <c r="RIE102" s="769"/>
      <c r="RIF102" s="769"/>
      <c r="RIG102" s="769"/>
      <c r="RIH102" s="769"/>
      <c r="RII102" s="769"/>
      <c r="RIJ102" s="769"/>
      <c r="RIK102" s="769"/>
      <c r="RIL102" s="769"/>
      <c r="RIM102" s="769"/>
      <c r="RIN102" s="769"/>
      <c r="RIO102" s="769"/>
      <c r="RIP102" s="769"/>
      <c r="RIQ102" s="769"/>
      <c r="RIR102" s="769"/>
      <c r="RIS102" s="769"/>
      <c r="RIT102" s="769"/>
      <c r="RIU102" s="769"/>
      <c r="RIV102" s="769"/>
      <c r="RIW102" s="769"/>
      <c r="RIX102" s="769"/>
      <c r="RIY102" s="769"/>
      <c r="RIZ102" s="769"/>
      <c r="RJA102" s="769"/>
      <c r="RJB102" s="769"/>
      <c r="RJC102" s="769"/>
      <c r="RJD102" s="769"/>
      <c r="RJE102" s="769"/>
      <c r="RJF102" s="769"/>
      <c r="RJG102" s="769"/>
      <c r="RJH102" s="769"/>
      <c r="RJI102" s="769"/>
      <c r="RJJ102" s="769"/>
      <c r="RJK102" s="769"/>
      <c r="RJL102" s="769"/>
      <c r="RJM102" s="769"/>
      <c r="RJN102" s="769"/>
      <c r="RJO102" s="769"/>
      <c r="RJP102" s="769"/>
      <c r="RJQ102" s="769"/>
      <c r="RJR102" s="769"/>
      <c r="RJS102" s="769"/>
      <c r="RJT102" s="769"/>
      <c r="RJU102" s="769"/>
      <c r="RJV102" s="769"/>
      <c r="RJW102" s="769"/>
      <c r="RJX102" s="769"/>
      <c r="RJY102" s="769"/>
      <c r="RJZ102" s="769"/>
      <c r="RKA102" s="769"/>
      <c r="RKB102" s="769"/>
      <c r="RKC102" s="769"/>
      <c r="RKD102" s="769"/>
      <c r="RKE102" s="769"/>
      <c r="RKF102" s="769"/>
      <c r="RKG102" s="769"/>
      <c r="RKH102" s="769"/>
      <c r="RKI102" s="769"/>
      <c r="RKJ102" s="769"/>
      <c r="RKK102" s="769"/>
      <c r="RKL102" s="769"/>
      <c r="RKM102" s="769"/>
      <c r="RKN102" s="769"/>
      <c r="RKO102" s="769"/>
      <c r="RKP102" s="769"/>
      <c r="RKQ102" s="769"/>
      <c r="RKR102" s="769"/>
      <c r="RKS102" s="769"/>
      <c r="RKT102" s="769"/>
      <c r="RKU102" s="769"/>
      <c r="RKV102" s="769"/>
      <c r="RKW102" s="769"/>
      <c r="RKX102" s="769"/>
      <c r="RKY102" s="769"/>
      <c r="RKZ102" s="769"/>
      <c r="RLA102" s="769"/>
      <c r="RLB102" s="769"/>
      <c r="RLC102" s="769"/>
      <c r="RLD102" s="769"/>
      <c r="RLE102" s="769"/>
      <c r="RLF102" s="769"/>
      <c r="RLG102" s="769"/>
      <c r="RLH102" s="769"/>
      <c r="RLI102" s="769"/>
      <c r="RLJ102" s="769"/>
      <c r="RLK102" s="769"/>
      <c r="RLL102" s="769"/>
      <c r="RLM102" s="769"/>
      <c r="RLN102" s="769"/>
      <c r="RLO102" s="769"/>
      <c r="RLP102" s="769"/>
      <c r="RLQ102" s="769"/>
      <c r="RLR102" s="769"/>
      <c r="RLS102" s="769"/>
      <c r="RLT102" s="769"/>
      <c r="RLU102" s="769"/>
      <c r="RLV102" s="769"/>
      <c r="RLW102" s="769"/>
      <c r="RLX102" s="769"/>
      <c r="RLY102" s="769"/>
      <c r="RLZ102" s="769"/>
      <c r="RMA102" s="769"/>
      <c r="RMB102" s="769"/>
      <c r="RMC102" s="769"/>
      <c r="RMD102" s="769"/>
      <c r="RME102" s="769"/>
      <c r="RMF102" s="769"/>
      <c r="RMG102" s="769"/>
      <c r="RMH102" s="769"/>
      <c r="RMI102" s="769"/>
      <c r="RMJ102" s="769"/>
      <c r="RMK102" s="769"/>
      <c r="RML102" s="769"/>
      <c r="RMM102" s="769"/>
      <c r="RMN102" s="769"/>
      <c r="RMO102" s="769"/>
      <c r="RMP102" s="769"/>
      <c r="RMQ102" s="769"/>
      <c r="RMR102" s="769"/>
      <c r="RMS102" s="769"/>
      <c r="RMT102" s="769"/>
      <c r="RMU102" s="769"/>
      <c r="RMV102" s="769"/>
      <c r="RMW102" s="769"/>
      <c r="RMX102" s="769"/>
      <c r="RMY102" s="769"/>
      <c r="RMZ102" s="769"/>
      <c r="RNA102" s="769"/>
      <c r="RNB102" s="769"/>
      <c r="RNC102" s="769"/>
      <c r="RND102" s="769"/>
      <c r="RNE102" s="769"/>
      <c r="RNF102" s="769"/>
      <c r="RNG102" s="769"/>
      <c r="RNH102" s="769"/>
      <c r="RNI102" s="769"/>
      <c r="RNJ102" s="769"/>
      <c r="RNK102" s="769"/>
      <c r="RNL102" s="769"/>
      <c r="RNM102" s="769"/>
      <c r="RNN102" s="769"/>
      <c r="RNO102" s="769"/>
      <c r="RNP102" s="769"/>
      <c r="RNQ102" s="769"/>
      <c r="RNR102" s="769"/>
      <c r="RNS102" s="769"/>
      <c r="RNT102" s="769"/>
      <c r="RNU102" s="769"/>
      <c r="RNV102" s="769"/>
      <c r="RNW102" s="769"/>
      <c r="RNX102" s="769"/>
      <c r="RNY102" s="769"/>
      <c r="RNZ102" s="769"/>
      <c r="ROA102" s="769"/>
      <c r="ROB102" s="769"/>
      <c r="ROC102" s="769"/>
      <c r="ROD102" s="769"/>
      <c r="ROE102" s="769"/>
      <c r="ROF102" s="769"/>
      <c r="ROG102" s="769"/>
      <c r="ROH102" s="769"/>
      <c r="ROI102" s="769"/>
      <c r="ROJ102" s="769"/>
      <c r="ROK102" s="769"/>
      <c r="ROL102" s="769"/>
      <c r="ROM102" s="769"/>
      <c r="RON102" s="769"/>
      <c r="ROO102" s="769"/>
      <c r="ROP102" s="769"/>
      <c r="ROQ102" s="769"/>
      <c r="ROR102" s="769"/>
      <c r="ROS102" s="769"/>
      <c r="ROT102" s="769"/>
      <c r="ROU102" s="769"/>
      <c r="ROV102" s="769"/>
      <c r="ROW102" s="769"/>
      <c r="ROX102" s="769"/>
      <c r="ROY102" s="769"/>
      <c r="ROZ102" s="769"/>
      <c r="RPA102" s="769"/>
      <c r="RPB102" s="769"/>
      <c r="RPC102" s="769"/>
      <c r="RPD102" s="769"/>
      <c r="RPE102" s="769"/>
      <c r="RPF102" s="769"/>
      <c r="RPG102" s="769"/>
      <c r="RPH102" s="769"/>
      <c r="RPI102" s="769"/>
      <c r="RPJ102" s="769"/>
      <c r="RPK102" s="769"/>
      <c r="RPL102" s="769"/>
      <c r="RPM102" s="769"/>
      <c r="RPN102" s="769"/>
      <c r="RPO102" s="769"/>
      <c r="RPP102" s="769"/>
      <c r="RPQ102" s="769"/>
      <c r="RPR102" s="769"/>
      <c r="RPS102" s="769"/>
      <c r="RPT102" s="769"/>
      <c r="RPU102" s="769"/>
      <c r="RPV102" s="769"/>
      <c r="RPW102" s="769"/>
      <c r="RPX102" s="769"/>
      <c r="RPY102" s="769"/>
      <c r="RPZ102" s="769"/>
      <c r="RQA102" s="769"/>
      <c r="RQB102" s="769"/>
      <c r="RQC102" s="769"/>
      <c r="RQD102" s="769"/>
      <c r="RQE102" s="769"/>
      <c r="RQF102" s="769"/>
      <c r="RQG102" s="769"/>
      <c r="RQH102" s="769"/>
      <c r="RQI102" s="769"/>
      <c r="RQJ102" s="769"/>
      <c r="RQK102" s="769"/>
      <c r="RQL102" s="769"/>
      <c r="RQM102" s="769"/>
      <c r="RQN102" s="769"/>
      <c r="RQO102" s="769"/>
      <c r="RQP102" s="769"/>
      <c r="RQQ102" s="769"/>
      <c r="RQR102" s="769"/>
      <c r="RQS102" s="769"/>
      <c r="RQT102" s="769"/>
      <c r="RQU102" s="769"/>
      <c r="RQV102" s="769"/>
      <c r="RQW102" s="769"/>
      <c r="RQX102" s="769"/>
      <c r="RQY102" s="769"/>
      <c r="RQZ102" s="769"/>
      <c r="RRA102" s="769"/>
      <c r="RRB102" s="769"/>
      <c r="RRC102" s="769"/>
      <c r="RRD102" s="769"/>
      <c r="RRE102" s="769"/>
      <c r="RRF102" s="769"/>
      <c r="RRG102" s="769"/>
      <c r="RRH102" s="769"/>
      <c r="RRI102" s="769"/>
      <c r="RRJ102" s="769"/>
      <c r="RRK102" s="769"/>
      <c r="RRL102" s="769"/>
      <c r="RRM102" s="769"/>
      <c r="RRN102" s="769"/>
      <c r="RRO102" s="769"/>
      <c r="RRP102" s="769"/>
      <c r="RRQ102" s="769"/>
      <c r="RRR102" s="769"/>
      <c r="RRS102" s="769"/>
      <c r="RRT102" s="769"/>
      <c r="RRU102" s="769"/>
      <c r="RRV102" s="769"/>
      <c r="RRW102" s="769"/>
      <c r="RRX102" s="769"/>
      <c r="RRY102" s="769"/>
      <c r="RRZ102" s="769"/>
      <c r="RSA102" s="769"/>
      <c r="RSB102" s="769"/>
      <c r="RSC102" s="769"/>
      <c r="RSD102" s="769"/>
      <c r="RSE102" s="769"/>
      <c r="RSF102" s="769"/>
      <c r="RSG102" s="769"/>
      <c r="RSH102" s="769"/>
      <c r="RSI102" s="769"/>
      <c r="RSJ102" s="769"/>
      <c r="RSK102" s="769"/>
      <c r="RSL102" s="769"/>
      <c r="RSM102" s="769"/>
      <c r="RSN102" s="769"/>
      <c r="RSO102" s="769"/>
      <c r="RSP102" s="769"/>
      <c r="RSQ102" s="769"/>
      <c r="RSR102" s="769"/>
      <c r="RSS102" s="769"/>
      <c r="RST102" s="769"/>
      <c r="RSU102" s="769"/>
      <c r="RSV102" s="769"/>
      <c r="RSW102" s="769"/>
      <c r="RSX102" s="769"/>
      <c r="RSY102" s="769"/>
      <c r="RSZ102" s="769"/>
      <c r="RTA102" s="769"/>
      <c r="RTB102" s="769"/>
      <c r="RTC102" s="769"/>
      <c r="RTD102" s="769"/>
      <c r="RTE102" s="769"/>
      <c r="RTF102" s="769"/>
      <c r="RTG102" s="769"/>
      <c r="RTH102" s="769"/>
      <c r="RTI102" s="769"/>
      <c r="RTJ102" s="769"/>
      <c r="RTK102" s="769"/>
      <c r="RTL102" s="769"/>
      <c r="RTM102" s="769"/>
      <c r="RTN102" s="769"/>
      <c r="RTO102" s="769"/>
      <c r="RTP102" s="769"/>
      <c r="RTQ102" s="769"/>
      <c r="RTR102" s="769"/>
      <c r="RTS102" s="769"/>
      <c r="RTT102" s="769"/>
      <c r="RTU102" s="769"/>
      <c r="RTV102" s="769"/>
      <c r="RTW102" s="769"/>
      <c r="RTX102" s="769"/>
      <c r="RTY102" s="769"/>
      <c r="RTZ102" s="769"/>
      <c r="RUA102" s="769"/>
      <c r="RUB102" s="769"/>
      <c r="RUC102" s="769"/>
      <c r="RUD102" s="769"/>
      <c r="RUE102" s="769"/>
      <c r="RUF102" s="769"/>
      <c r="RUG102" s="769"/>
      <c r="RUH102" s="769"/>
      <c r="RUI102" s="769"/>
      <c r="RUJ102" s="769"/>
      <c r="RUK102" s="769"/>
      <c r="RUL102" s="769"/>
      <c r="RUM102" s="769"/>
      <c r="RUN102" s="769"/>
      <c r="RUO102" s="769"/>
      <c r="RUP102" s="769"/>
      <c r="RUQ102" s="769"/>
      <c r="RUR102" s="769"/>
      <c r="RUS102" s="769"/>
      <c r="RUT102" s="769"/>
      <c r="RUU102" s="769"/>
      <c r="RUV102" s="769"/>
      <c r="RUW102" s="769"/>
      <c r="RUX102" s="769"/>
      <c r="RUY102" s="769"/>
      <c r="RUZ102" s="769"/>
      <c r="RVA102" s="769"/>
      <c r="RVB102" s="769"/>
      <c r="RVC102" s="769"/>
      <c r="RVD102" s="769"/>
      <c r="RVE102" s="769"/>
      <c r="RVF102" s="769"/>
      <c r="RVG102" s="769"/>
      <c r="RVH102" s="769"/>
      <c r="RVI102" s="769"/>
      <c r="RVJ102" s="769"/>
      <c r="RVK102" s="769"/>
      <c r="RVL102" s="769"/>
      <c r="RVM102" s="769"/>
      <c r="RVN102" s="769"/>
      <c r="RVO102" s="769"/>
      <c r="RVP102" s="769"/>
      <c r="RVQ102" s="769"/>
      <c r="RVR102" s="769"/>
      <c r="RVS102" s="769"/>
      <c r="RVT102" s="769"/>
      <c r="RVU102" s="769"/>
      <c r="RVV102" s="769"/>
      <c r="RVW102" s="769"/>
      <c r="RVX102" s="769"/>
      <c r="RVY102" s="769"/>
      <c r="RVZ102" s="769"/>
      <c r="RWA102" s="769"/>
      <c r="RWB102" s="769"/>
      <c r="RWC102" s="769"/>
      <c r="RWD102" s="769"/>
      <c r="RWE102" s="769"/>
      <c r="RWF102" s="769"/>
      <c r="RWG102" s="769"/>
      <c r="RWH102" s="769"/>
      <c r="RWI102" s="769"/>
      <c r="RWJ102" s="769"/>
      <c r="RWK102" s="769"/>
      <c r="RWL102" s="769"/>
      <c r="RWM102" s="769"/>
      <c r="RWN102" s="769"/>
      <c r="RWO102" s="769"/>
      <c r="RWP102" s="769"/>
      <c r="RWQ102" s="769"/>
      <c r="RWR102" s="769"/>
      <c r="RWS102" s="769"/>
      <c r="RWT102" s="769"/>
      <c r="RWU102" s="769"/>
      <c r="RWV102" s="769"/>
      <c r="RWW102" s="769"/>
      <c r="RWX102" s="769"/>
      <c r="RWY102" s="769"/>
      <c r="RWZ102" s="769"/>
      <c r="RXA102" s="769"/>
      <c r="RXB102" s="769"/>
      <c r="RXC102" s="769"/>
      <c r="RXD102" s="769"/>
      <c r="RXE102" s="769"/>
      <c r="RXF102" s="769"/>
      <c r="RXG102" s="769"/>
      <c r="RXH102" s="769"/>
      <c r="RXI102" s="769"/>
      <c r="RXJ102" s="769"/>
      <c r="RXK102" s="769"/>
      <c r="RXL102" s="769"/>
      <c r="RXM102" s="769"/>
      <c r="RXN102" s="769"/>
      <c r="RXO102" s="769"/>
      <c r="RXP102" s="769"/>
      <c r="RXQ102" s="769"/>
      <c r="RXR102" s="769"/>
      <c r="RXS102" s="769"/>
      <c r="RXT102" s="769"/>
      <c r="RXU102" s="769"/>
      <c r="RXV102" s="769"/>
      <c r="RXW102" s="769"/>
      <c r="RXX102" s="769"/>
      <c r="RXY102" s="769"/>
      <c r="RXZ102" s="769"/>
      <c r="RYA102" s="769"/>
      <c r="RYB102" s="769"/>
      <c r="RYC102" s="769"/>
      <c r="RYD102" s="769"/>
      <c r="RYE102" s="769"/>
      <c r="RYF102" s="769"/>
      <c r="RYG102" s="769"/>
      <c r="RYH102" s="769"/>
      <c r="RYI102" s="769"/>
      <c r="RYJ102" s="769"/>
      <c r="RYK102" s="769"/>
      <c r="RYL102" s="769"/>
      <c r="RYM102" s="769"/>
      <c r="RYN102" s="769"/>
      <c r="RYO102" s="769"/>
      <c r="RYP102" s="769"/>
      <c r="RYQ102" s="769"/>
      <c r="RYR102" s="769"/>
      <c r="RYS102" s="769"/>
      <c r="RYT102" s="769"/>
      <c r="RYU102" s="769"/>
      <c r="RYV102" s="769"/>
      <c r="RYW102" s="769"/>
      <c r="RYX102" s="769"/>
      <c r="RYY102" s="769"/>
      <c r="RYZ102" s="769"/>
      <c r="RZA102" s="769"/>
      <c r="RZB102" s="769"/>
      <c r="RZC102" s="769"/>
      <c r="RZD102" s="769"/>
      <c r="RZE102" s="769"/>
      <c r="RZF102" s="769"/>
      <c r="RZG102" s="769"/>
      <c r="RZH102" s="769"/>
      <c r="RZI102" s="769"/>
      <c r="RZJ102" s="769"/>
      <c r="RZK102" s="769"/>
      <c r="RZL102" s="769"/>
      <c r="RZM102" s="769"/>
      <c r="RZN102" s="769"/>
      <c r="RZO102" s="769"/>
      <c r="RZP102" s="769"/>
      <c r="RZQ102" s="769"/>
      <c r="RZR102" s="769"/>
      <c r="RZS102" s="769"/>
      <c r="RZT102" s="769"/>
      <c r="RZU102" s="769"/>
      <c r="RZV102" s="769"/>
      <c r="RZW102" s="769"/>
      <c r="RZX102" s="769"/>
      <c r="RZY102" s="769"/>
      <c r="RZZ102" s="769"/>
      <c r="SAA102" s="769"/>
      <c r="SAB102" s="769"/>
      <c r="SAC102" s="769"/>
      <c r="SAD102" s="769"/>
      <c r="SAE102" s="769"/>
      <c r="SAF102" s="769"/>
      <c r="SAG102" s="769"/>
      <c r="SAH102" s="769"/>
      <c r="SAI102" s="769"/>
      <c r="SAJ102" s="769"/>
      <c r="SAK102" s="769"/>
      <c r="SAL102" s="769"/>
      <c r="SAM102" s="769"/>
      <c r="SAN102" s="769"/>
      <c r="SAO102" s="769"/>
      <c r="SAP102" s="769"/>
      <c r="SAQ102" s="769"/>
      <c r="SAR102" s="769"/>
      <c r="SAS102" s="769"/>
      <c r="SAT102" s="769"/>
      <c r="SAU102" s="769"/>
      <c r="SAV102" s="769"/>
      <c r="SAW102" s="769"/>
      <c r="SAX102" s="769"/>
      <c r="SAY102" s="769"/>
      <c r="SAZ102" s="769"/>
      <c r="SBA102" s="769"/>
      <c r="SBB102" s="769"/>
      <c r="SBC102" s="769"/>
      <c r="SBD102" s="769"/>
      <c r="SBE102" s="769"/>
      <c r="SBF102" s="769"/>
      <c r="SBG102" s="769"/>
      <c r="SBH102" s="769"/>
      <c r="SBI102" s="769"/>
      <c r="SBJ102" s="769"/>
      <c r="SBK102" s="769"/>
      <c r="SBL102" s="769"/>
      <c r="SBM102" s="769"/>
      <c r="SBN102" s="769"/>
      <c r="SBO102" s="769"/>
      <c r="SBP102" s="769"/>
      <c r="SBQ102" s="769"/>
      <c r="SBR102" s="769"/>
      <c r="SBS102" s="769"/>
      <c r="SBT102" s="769"/>
      <c r="SBU102" s="769"/>
      <c r="SBV102" s="769"/>
      <c r="SBW102" s="769"/>
      <c r="SBX102" s="769"/>
      <c r="SBY102" s="769"/>
      <c r="SBZ102" s="769"/>
      <c r="SCA102" s="769"/>
      <c r="SCB102" s="769"/>
      <c r="SCC102" s="769"/>
      <c r="SCD102" s="769"/>
      <c r="SCE102" s="769"/>
      <c r="SCF102" s="769"/>
      <c r="SCG102" s="769"/>
      <c r="SCH102" s="769"/>
      <c r="SCI102" s="769"/>
      <c r="SCJ102" s="769"/>
      <c r="SCK102" s="769"/>
      <c r="SCL102" s="769"/>
      <c r="SCM102" s="769"/>
      <c r="SCN102" s="769"/>
      <c r="SCO102" s="769"/>
      <c r="SCP102" s="769"/>
      <c r="SCQ102" s="769"/>
      <c r="SCR102" s="769"/>
      <c r="SCS102" s="769"/>
      <c r="SCT102" s="769"/>
      <c r="SCU102" s="769"/>
      <c r="SCV102" s="769"/>
      <c r="SCW102" s="769"/>
      <c r="SCX102" s="769"/>
      <c r="SCY102" s="769"/>
      <c r="SCZ102" s="769"/>
      <c r="SDA102" s="769"/>
      <c r="SDB102" s="769"/>
      <c r="SDC102" s="769"/>
      <c r="SDD102" s="769"/>
      <c r="SDE102" s="769"/>
      <c r="SDF102" s="769"/>
      <c r="SDG102" s="769"/>
      <c r="SDH102" s="769"/>
      <c r="SDI102" s="769"/>
      <c r="SDJ102" s="769"/>
      <c r="SDK102" s="769"/>
      <c r="SDL102" s="769"/>
      <c r="SDM102" s="769"/>
      <c r="SDN102" s="769"/>
      <c r="SDO102" s="769"/>
      <c r="SDP102" s="769"/>
      <c r="SDQ102" s="769"/>
      <c r="SDR102" s="769"/>
      <c r="SDS102" s="769"/>
      <c r="SDT102" s="769"/>
      <c r="SDU102" s="769"/>
      <c r="SDV102" s="769"/>
      <c r="SDW102" s="769"/>
      <c r="SDX102" s="769"/>
      <c r="SDY102" s="769"/>
      <c r="SDZ102" s="769"/>
      <c r="SEA102" s="769"/>
      <c r="SEB102" s="769"/>
      <c r="SEC102" s="769"/>
      <c r="SED102" s="769"/>
      <c r="SEE102" s="769"/>
      <c r="SEF102" s="769"/>
      <c r="SEG102" s="769"/>
      <c r="SEH102" s="769"/>
      <c r="SEI102" s="769"/>
      <c r="SEJ102" s="769"/>
      <c r="SEK102" s="769"/>
      <c r="SEL102" s="769"/>
      <c r="SEM102" s="769"/>
      <c r="SEN102" s="769"/>
      <c r="SEO102" s="769"/>
      <c r="SEP102" s="769"/>
      <c r="SEQ102" s="769"/>
      <c r="SER102" s="769"/>
      <c r="SES102" s="769"/>
      <c r="SET102" s="769"/>
      <c r="SEU102" s="769"/>
      <c r="SEV102" s="769"/>
      <c r="SEW102" s="769"/>
      <c r="SEX102" s="769"/>
      <c r="SEY102" s="769"/>
      <c r="SEZ102" s="769"/>
      <c r="SFA102" s="769"/>
      <c r="SFB102" s="769"/>
      <c r="SFC102" s="769"/>
      <c r="SFD102" s="769"/>
      <c r="SFE102" s="769"/>
      <c r="SFF102" s="769"/>
      <c r="SFG102" s="769"/>
      <c r="SFH102" s="769"/>
      <c r="SFI102" s="769"/>
      <c r="SFJ102" s="769"/>
      <c r="SFK102" s="769"/>
      <c r="SFL102" s="769"/>
      <c r="SFM102" s="769"/>
      <c r="SFN102" s="769"/>
      <c r="SFO102" s="769"/>
      <c r="SFP102" s="769"/>
      <c r="SFQ102" s="769"/>
      <c r="SFR102" s="769"/>
      <c r="SFS102" s="769"/>
      <c r="SFT102" s="769"/>
      <c r="SFU102" s="769"/>
      <c r="SFV102" s="769"/>
      <c r="SFW102" s="769"/>
      <c r="SFX102" s="769"/>
      <c r="SFY102" s="769"/>
      <c r="SFZ102" s="769"/>
      <c r="SGA102" s="769"/>
      <c r="SGB102" s="769"/>
      <c r="SGC102" s="769"/>
      <c r="SGD102" s="769"/>
      <c r="SGE102" s="769"/>
      <c r="SGF102" s="769"/>
      <c r="SGG102" s="769"/>
      <c r="SGH102" s="769"/>
      <c r="SGI102" s="769"/>
      <c r="SGJ102" s="769"/>
      <c r="SGK102" s="769"/>
      <c r="SGL102" s="769"/>
      <c r="SGM102" s="769"/>
      <c r="SGN102" s="769"/>
      <c r="SGO102" s="769"/>
      <c r="SGP102" s="769"/>
      <c r="SGQ102" s="769"/>
      <c r="SGR102" s="769"/>
      <c r="SGS102" s="769"/>
      <c r="SGT102" s="769"/>
      <c r="SGU102" s="769"/>
      <c r="SGV102" s="769"/>
      <c r="SGW102" s="769"/>
      <c r="SGX102" s="769"/>
      <c r="SGY102" s="769"/>
      <c r="SGZ102" s="769"/>
      <c r="SHA102" s="769"/>
      <c r="SHB102" s="769"/>
      <c r="SHC102" s="769"/>
      <c r="SHD102" s="769"/>
      <c r="SHE102" s="769"/>
      <c r="SHF102" s="769"/>
      <c r="SHG102" s="769"/>
      <c r="SHH102" s="769"/>
      <c r="SHI102" s="769"/>
      <c r="SHJ102" s="769"/>
      <c r="SHK102" s="769"/>
      <c r="SHL102" s="769"/>
      <c r="SHM102" s="769"/>
      <c r="SHN102" s="769"/>
      <c r="SHO102" s="769"/>
      <c r="SHP102" s="769"/>
      <c r="SHQ102" s="769"/>
      <c r="SHR102" s="769"/>
      <c r="SHS102" s="769"/>
      <c r="SHT102" s="769"/>
      <c r="SHU102" s="769"/>
      <c r="SHV102" s="769"/>
      <c r="SHW102" s="769"/>
      <c r="SHX102" s="769"/>
      <c r="SHY102" s="769"/>
      <c r="SHZ102" s="769"/>
      <c r="SIA102" s="769"/>
      <c r="SIB102" s="769"/>
      <c r="SIC102" s="769"/>
      <c r="SID102" s="769"/>
      <c r="SIE102" s="769"/>
      <c r="SIF102" s="769"/>
      <c r="SIG102" s="769"/>
      <c r="SIH102" s="769"/>
      <c r="SII102" s="769"/>
      <c r="SIJ102" s="769"/>
      <c r="SIK102" s="769"/>
      <c r="SIL102" s="769"/>
      <c r="SIM102" s="769"/>
      <c r="SIN102" s="769"/>
      <c r="SIO102" s="769"/>
      <c r="SIP102" s="769"/>
      <c r="SIQ102" s="769"/>
      <c r="SIR102" s="769"/>
      <c r="SIS102" s="769"/>
      <c r="SIT102" s="769"/>
      <c r="SIU102" s="769"/>
      <c r="SIV102" s="769"/>
      <c r="SIW102" s="769"/>
      <c r="SIX102" s="769"/>
      <c r="SIY102" s="769"/>
      <c r="SIZ102" s="769"/>
      <c r="SJA102" s="769"/>
      <c r="SJB102" s="769"/>
      <c r="SJC102" s="769"/>
      <c r="SJD102" s="769"/>
      <c r="SJE102" s="769"/>
      <c r="SJF102" s="769"/>
      <c r="SJG102" s="769"/>
      <c r="SJH102" s="769"/>
      <c r="SJI102" s="769"/>
      <c r="SJJ102" s="769"/>
      <c r="SJK102" s="769"/>
      <c r="SJL102" s="769"/>
      <c r="SJM102" s="769"/>
      <c r="SJN102" s="769"/>
      <c r="SJO102" s="769"/>
      <c r="SJP102" s="769"/>
      <c r="SJQ102" s="769"/>
      <c r="SJR102" s="769"/>
      <c r="SJS102" s="769"/>
      <c r="SJT102" s="769"/>
      <c r="SJU102" s="769"/>
      <c r="SJV102" s="769"/>
      <c r="SJW102" s="769"/>
      <c r="SJX102" s="769"/>
      <c r="SJY102" s="769"/>
      <c r="SJZ102" s="769"/>
      <c r="SKA102" s="769"/>
      <c r="SKB102" s="769"/>
      <c r="SKC102" s="769"/>
      <c r="SKD102" s="769"/>
      <c r="SKE102" s="769"/>
      <c r="SKF102" s="769"/>
      <c r="SKG102" s="769"/>
      <c r="SKH102" s="769"/>
      <c r="SKI102" s="769"/>
      <c r="SKJ102" s="769"/>
      <c r="SKK102" s="769"/>
      <c r="SKL102" s="769"/>
      <c r="SKM102" s="769"/>
      <c r="SKN102" s="769"/>
      <c r="SKO102" s="769"/>
      <c r="SKP102" s="769"/>
      <c r="SKQ102" s="769"/>
      <c r="SKR102" s="769"/>
      <c r="SKS102" s="769"/>
      <c r="SKT102" s="769"/>
      <c r="SKU102" s="769"/>
      <c r="SKV102" s="769"/>
      <c r="SKW102" s="769"/>
      <c r="SKX102" s="769"/>
      <c r="SKY102" s="769"/>
      <c r="SKZ102" s="769"/>
      <c r="SLA102" s="769"/>
      <c r="SLB102" s="769"/>
      <c r="SLC102" s="769"/>
      <c r="SLD102" s="769"/>
      <c r="SLE102" s="769"/>
      <c r="SLF102" s="769"/>
      <c r="SLG102" s="769"/>
      <c r="SLH102" s="769"/>
      <c r="SLI102" s="769"/>
      <c r="SLJ102" s="769"/>
      <c r="SLK102" s="769"/>
      <c r="SLL102" s="769"/>
      <c r="SLM102" s="769"/>
      <c r="SLN102" s="769"/>
      <c r="SLO102" s="769"/>
      <c r="SLP102" s="769"/>
      <c r="SLQ102" s="769"/>
      <c r="SLR102" s="769"/>
      <c r="SLS102" s="769"/>
      <c r="SLT102" s="769"/>
      <c r="SLU102" s="769"/>
      <c r="SLV102" s="769"/>
      <c r="SLW102" s="769"/>
      <c r="SLX102" s="769"/>
      <c r="SLY102" s="769"/>
      <c r="SLZ102" s="769"/>
      <c r="SMA102" s="769"/>
      <c r="SMB102" s="769"/>
      <c r="SMC102" s="769"/>
      <c r="SMD102" s="769"/>
      <c r="SME102" s="769"/>
      <c r="SMF102" s="769"/>
      <c r="SMG102" s="769"/>
      <c r="SMH102" s="769"/>
      <c r="SMI102" s="769"/>
      <c r="SMJ102" s="769"/>
      <c r="SMK102" s="769"/>
      <c r="SML102" s="769"/>
      <c r="SMM102" s="769"/>
      <c r="SMN102" s="769"/>
      <c r="SMO102" s="769"/>
      <c r="SMP102" s="769"/>
      <c r="SMQ102" s="769"/>
      <c r="SMR102" s="769"/>
      <c r="SMS102" s="769"/>
      <c r="SMT102" s="769"/>
      <c r="SMU102" s="769"/>
      <c r="SMV102" s="769"/>
      <c r="SMW102" s="769"/>
      <c r="SMX102" s="769"/>
      <c r="SMY102" s="769"/>
      <c r="SMZ102" s="769"/>
      <c r="SNA102" s="769"/>
      <c r="SNB102" s="769"/>
      <c r="SNC102" s="769"/>
      <c r="SND102" s="769"/>
      <c r="SNE102" s="769"/>
      <c r="SNF102" s="769"/>
      <c r="SNG102" s="769"/>
      <c r="SNH102" s="769"/>
      <c r="SNI102" s="769"/>
      <c r="SNJ102" s="769"/>
      <c r="SNK102" s="769"/>
      <c r="SNL102" s="769"/>
      <c r="SNM102" s="769"/>
      <c r="SNN102" s="769"/>
      <c r="SNO102" s="769"/>
      <c r="SNP102" s="769"/>
      <c r="SNQ102" s="769"/>
      <c r="SNR102" s="769"/>
      <c r="SNS102" s="769"/>
      <c r="SNT102" s="769"/>
      <c r="SNU102" s="769"/>
      <c r="SNV102" s="769"/>
      <c r="SNW102" s="769"/>
      <c r="SNX102" s="769"/>
      <c r="SNY102" s="769"/>
      <c r="SNZ102" s="769"/>
      <c r="SOA102" s="769"/>
      <c r="SOB102" s="769"/>
      <c r="SOC102" s="769"/>
      <c r="SOD102" s="769"/>
      <c r="SOE102" s="769"/>
      <c r="SOF102" s="769"/>
      <c r="SOG102" s="769"/>
      <c r="SOH102" s="769"/>
      <c r="SOI102" s="769"/>
      <c r="SOJ102" s="769"/>
      <c r="SOK102" s="769"/>
      <c r="SOL102" s="769"/>
      <c r="SOM102" s="769"/>
      <c r="SON102" s="769"/>
      <c r="SOO102" s="769"/>
      <c r="SOP102" s="769"/>
      <c r="SOQ102" s="769"/>
      <c r="SOR102" s="769"/>
      <c r="SOS102" s="769"/>
      <c r="SOT102" s="769"/>
      <c r="SOU102" s="769"/>
      <c r="SOV102" s="769"/>
      <c r="SOW102" s="769"/>
      <c r="SOX102" s="769"/>
      <c r="SOY102" s="769"/>
      <c r="SOZ102" s="769"/>
      <c r="SPA102" s="769"/>
      <c r="SPB102" s="769"/>
      <c r="SPC102" s="769"/>
      <c r="SPD102" s="769"/>
      <c r="SPE102" s="769"/>
      <c r="SPF102" s="769"/>
      <c r="SPG102" s="769"/>
      <c r="SPH102" s="769"/>
      <c r="SPI102" s="769"/>
      <c r="SPJ102" s="769"/>
      <c r="SPK102" s="769"/>
      <c r="SPL102" s="769"/>
      <c r="SPM102" s="769"/>
      <c r="SPN102" s="769"/>
      <c r="SPO102" s="769"/>
      <c r="SPP102" s="769"/>
      <c r="SPQ102" s="769"/>
      <c r="SPR102" s="769"/>
      <c r="SPS102" s="769"/>
      <c r="SPT102" s="769"/>
      <c r="SPU102" s="769"/>
      <c r="SPV102" s="769"/>
      <c r="SPW102" s="769"/>
      <c r="SPX102" s="769"/>
      <c r="SPY102" s="769"/>
      <c r="SPZ102" s="769"/>
      <c r="SQA102" s="769"/>
      <c r="SQB102" s="769"/>
      <c r="SQC102" s="769"/>
      <c r="SQD102" s="769"/>
      <c r="SQE102" s="769"/>
      <c r="SQF102" s="769"/>
      <c r="SQG102" s="769"/>
      <c r="SQH102" s="769"/>
      <c r="SQI102" s="769"/>
      <c r="SQJ102" s="769"/>
      <c r="SQK102" s="769"/>
      <c r="SQL102" s="769"/>
      <c r="SQM102" s="769"/>
      <c r="SQN102" s="769"/>
      <c r="SQO102" s="769"/>
      <c r="SQP102" s="769"/>
      <c r="SQQ102" s="769"/>
      <c r="SQR102" s="769"/>
      <c r="SQS102" s="769"/>
      <c r="SQT102" s="769"/>
      <c r="SQU102" s="769"/>
      <c r="SQV102" s="769"/>
      <c r="SQW102" s="769"/>
      <c r="SQX102" s="769"/>
      <c r="SQY102" s="769"/>
      <c r="SQZ102" s="769"/>
      <c r="SRA102" s="769"/>
      <c r="SRB102" s="769"/>
      <c r="SRC102" s="769"/>
      <c r="SRD102" s="769"/>
      <c r="SRE102" s="769"/>
      <c r="SRF102" s="769"/>
      <c r="SRG102" s="769"/>
      <c r="SRH102" s="769"/>
      <c r="SRI102" s="769"/>
      <c r="SRJ102" s="769"/>
      <c r="SRK102" s="769"/>
      <c r="SRL102" s="769"/>
      <c r="SRM102" s="769"/>
      <c r="SRN102" s="769"/>
      <c r="SRO102" s="769"/>
      <c r="SRP102" s="769"/>
      <c r="SRQ102" s="769"/>
      <c r="SRR102" s="769"/>
      <c r="SRS102" s="769"/>
      <c r="SRT102" s="769"/>
      <c r="SRU102" s="769"/>
      <c r="SRV102" s="769"/>
      <c r="SRW102" s="769"/>
      <c r="SRX102" s="769"/>
      <c r="SRY102" s="769"/>
      <c r="SRZ102" s="769"/>
      <c r="SSA102" s="769"/>
      <c r="SSB102" s="769"/>
      <c r="SSC102" s="769"/>
      <c r="SSD102" s="769"/>
      <c r="SSE102" s="769"/>
      <c r="SSF102" s="769"/>
      <c r="SSG102" s="769"/>
      <c r="SSH102" s="769"/>
      <c r="SSI102" s="769"/>
      <c r="SSJ102" s="769"/>
      <c r="SSK102" s="769"/>
      <c r="SSL102" s="769"/>
      <c r="SSM102" s="769"/>
      <c r="SSN102" s="769"/>
      <c r="SSO102" s="769"/>
      <c r="SSP102" s="769"/>
      <c r="SSQ102" s="769"/>
      <c r="SSR102" s="769"/>
      <c r="SSS102" s="769"/>
      <c r="SST102" s="769"/>
      <c r="SSU102" s="769"/>
      <c r="SSV102" s="769"/>
      <c r="SSW102" s="769"/>
      <c r="SSX102" s="769"/>
      <c r="SSY102" s="769"/>
      <c r="SSZ102" s="769"/>
      <c r="STA102" s="769"/>
      <c r="STB102" s="769"/>
      <c r="STC102" s="769"/>
      <c r="STD102" s="769"/>
      <c r="STE102" s="769"/>
      <c r="STF102" s="769"/>
      <c r="STG102" s="769"/>
      <c r="STH102" s="769"/>
      <c r="STI102" s="769"/>
      <c r="STJ102" s="769"/>
      <c r="STK102" s="769"/>
      <c r="STL102" s="769"/>
      <c r="STM102" s="769"/>
      <c r="STN102" s="769"/>
      <c r="STO102" s="769"/>
      <c r="STP102" s="769"/>
      <c r="STQ102" s="769"/>
      <c r="STR102" s="769"/>
      <c r="STS102" s="769"/>
      <c r="STT102" s="769"/>
      <c r="STU102" s="769"/>
      <c r="STV102" s="769"/>
      <c r="STW102" s="769"/>
      <c r="STX102" s="769"/>
      <c r="STY102" s="769"/>
      <c r="STZ102" s="769"/>
      <c r="SUA102" s="769"/>
      <c r="SUB102" s="769"/>
      <c r="SUC102" s="769"/>
      <c r="SUD102" s="769"/>
      <c r="SUE102" s="769"/>
      <c r="SUF102" s="769"/>
      <c r="SUG102" s="769"/>
      <c r="SUH102" s="769"/>
      <c r="SUI102" s="769"/>
      <c r="SUJ102" s="769"/>
      <c r="SUK102" s="769"/>
      <c r="SUL102" s="769"/>
      <c r="SUM102" s="769"/>
      <c r="SUN102" s="769"/>
      <c r="SUO102" s="769"/>
      <c r="SUP102" s="769"/>
      <c r="SUQ102" s="769"/>
      <c r="SUR102" s="769"/>
      <c r="SUS102" s="769"/>
      <c r="SUT102" s="769"/>
      <c r="SUU102" s="769"/>
      <c r="SUV102" s="769"/>
      <c r="SUW102" s="769"/>
      <c r="SUX102" s="769"/>
      <c r="SUY102" s="769"/>
      <c r="SUZ102" s="769"/>
      <c r="SVA102" s="769"/>
      <c r="SVB102" s="769"/>
      <c r="SVC102" s="769"/>
      <c r="SVD102" s="769"/>
      <c r="SVE102" s="769"/>
      <c r="SVF102" s="769"/>
      <c r="SVG102" s="769"/>
      <c r="SVH102" s="769"/>
      <c r="SVI102" s="769"/>
      <c r="SVJ102" s="769"/>
      <c r="SVK102" s="769"/>
      <c r="SVL102" s="769"/>
      <c r="SVM102" s="769"/>
      <c r="SVN102" s="769"/>
      <c r="SVO102" s="769"/>
      <c r="SVP102" s="769"/>
      <c r="SVQ102" s="769"/>
      <c r="SVR102" s="769"/>
      <c r="SVS102" s="769"/>
      <c r="SVT102" s="769"/>
      <c r="SVU102" s="769"/>
      <c r="SVV102" s="769"/>
      <c r="SVW102" s="769"/>
      <c r="SVX102" s="769"/>
      <c r="SVY102" s="769"/>
      <c r="SVZ102" s="769"/>
      <c r="SWA102" s="769"/>
      <c r="SWB102" s="769"/>
      <c r="SWC102" s="769"/>
      <c r="SWD102" s="769"/>
      <c r="SWE102" s="769"/>
      <c r="SWF102" s="769"/>
      <c r="SWG102" s="769"/>
      <c r="SWH102" s="769"/>
      <c r="SWI102" s="769"/>
      <c r="SWJ102" s="769"/>
      <c r="SWK102" s="769"/>
      <c r="SWL102" s="769"/>
      <c r="SWM102" s="769"/>
      <c r="SWN102" s="769"/>
      <c r="SWO102" s="769"/>
      <c r="SWP102" s="769"/>
      <c r="SWQ102" s="769"/>
      <c r="SWR102" s="769"/>
      <c r="SWS102" s="769"/>
      <c r="SWT102" s="769"/>
      <c r="SWU102" s="769"/>
      <c r="SWV102" s="769"/>
      <c r="SWW102" s="769"/>
      <c r="SWX102" s="769"/>
      <c r="SWY102" s="769"/>
      <c r="SWZ102" s="769"/>
      <c r="SXA102" s="769"/>
      <c r="SXB102" s="769"/>
      <c r="SXC102" s="769"/>
      <c r="SXD102" s="769"/>
      <c r="SXE102" s="769"/>
      <c r="SXF102" s="769"/>
      <c r="SXG102" s="769"/>
      <c r="SXH102" s="769"/>
      <c r="SXI102" s="769"/>
      <c r="SXJ102" s="769"/>
      <c r="SXK102" s="769"/>
      <c r="SXL102" s="769"/>
      <c r="SXM102" s="769"/>
      <c r="SXN102" s="769"/>
      <c r="SXO102" s="769"/>
      <c r="SXP102" s="769"/>
      <c r="SXQ102" s="769"/>
      <c r="SXR102" s="769"/>
      <c r="SXS102" s="769"/>
      <c r="SXT102" s="769"/>
      <c r="SXU102" s="769"/>
      <c r="SXV102" s="769"/>
      <c r="SXW102" s="769"/>
      <c r="SXX102" s="769"/>
      <c r="SXY102" s="769"/>
      <c r="SXZ102" s="769"/>
      <c r="SYA102" s="769"/>
      <c r="SYB102" s="769"/>
      <c r="SYC102" s="769"/>
      <c r="SYD102" s="769"/>
      <c r="SYE102" s="769"/>
      <c r="SYF102" s="769"/>
      <c r="SYG102" s="769"/>
      <c r="SYH102" s="769"/>
      <c r="SYI102" s="769"/>
      <c r="SYJ102" s="769"/>
      <c r="SYK102" s="769"/>
      <c r="SYL102" s="769"/>
      <c r="SYM102" s="769"/>
      <c r="SYN102" s="769"/>
      <c r="SYO102" s="769"/>
      <c r="SYP102" s="769"/>
      <c r="SYQ102" s="769"/>
      <c r="SYR102" s="769"/>
      <c r="SYS102" s="769"/>
      <c r="SYT102" s="769"/>
      <c r="SYU102" s="769"/>
      <c r="SYV102" s="769"/>
      <c r="SYW102" s="769"/>
      <c r="SYX102" s="769"/>
      <c r="SYY102" s="769"/>
      <c r="SYZ102" s="769"/>
      <c r="SZA102" s="769"/>
      <c r="SZB102" s="769"/>
      <c r="SZC102" s="769"/>
      <c r="SZD102" s="769"/>
      <c r="SZE102" s="769"/>
      <c r="SZF102" s="769"/>
      <c r="SZG102" s="769"/>
      <c r="SZH102" s="769"/>
      <c r="SZI102" s="769"/>
      <c r="SZJ102" s="769"/>
      <c r="SZK102" s="769"/>
      <c r="SZL102" s="769"/>
      <c r="SZM102" s="769"/>
      <c r="SZN102" s="769"/>
      <c r="SZO102" s="769"/>
      <c r="SZP102" s="769"/>
      <c r="SZQ102" s="769"/>
      <c r="SZR102" s="769"/>
      <c r="SZS102" s="769"/>
      <c r="SZT102" s="769"/>
      <c r="SZU102" s="769"/>
      <c r="SZV102" s="769"/>
      <c r="SZW102" s="769"/>
      <c r="SZX102" s="769"/>
      <c r="SZY102" s="769"/>
      <c r="SZZ102" s="769"/>
      <c r="TAA102" s="769"/>
      <c r="TAB102" s="769"/>
      <c r="TAC102" s="769"/>
      <c r="TAD102" s="769"/>
      <c r="TAE102" s="769"/>
      <c r="TAF102" s="769"/>
      <c r="TAG102" s="769"/>
      <c r="TAH102" s="769"/>
      <c r="TAI102" s="769"/>
      <c r="TAJ102" s="769"/>
      <c r="TAK102" s="769"/>
      <c r="TAL102" s="769"/>
      <c r="TAM102" s="769"/>
      <c r="TAN102" s="769"/>
      <c r="TAO102" s="769"/>
      <c r="TAP102" s="769"/>
      <c r="TAQ102" s="769"/>
      <c r="TAR102" s="769"/>
      <c r="TAS102" s="769"/>
      <c r="TAT102" s="769"/>
      <c r="TAU102" s="769"/>
      <c r="TAV102" s="769"/>
      <c r="TAW102" s="769"/>
      <c r="TAX102" s="769"/>
      <c r="TAY102" s="769"/>
      <c r="TAZ102" s="769"/>
      <c r="TBA102" s="769"/>
      <c r="TBB102" s="769"/>
      <c r="TBC102" s="769"/>
      <c r="TBD102" s="769"/>
      <c r="TBE102" s="769"/>
      <c r="TBF102" s="769"/>
      <c r="TBG102" s="769"/>
      <c r="TBH102" s="769"/>
      <c r="TBI102" s="769"/>
      <c r="TBJ102" s="769"/>
      <c r="TBK102" s="769"/>
      <c r="TBL102" s="769"/>
      <c r="TBM102" s="769"/>
      <c r="TBN102" s="769"/>
      <c r="TBO102" s="769"/>
      <c r="TBP102" s="769"/>
      <c r="TBQ102" s="769"/>
      <c r="TBR102" s="769"/>
      <c r="TBS102" s="769"/>
      <c r="TBT102" s="769"/>
      <c r="TBU102" s="769"/>
      <c r="TBV102" s="769"/>
      <c r="TBW102" s="769"/>
      <c r="TBX102" s="769"/>
      <c r="TBY102" s="769"/>
      <c r="TBZ102" s="769"/>
      <c r="TCA102" s="769"/>
      <c r="TCB102" s="769"/>
      <c r="TCC102" s="769"/>
      <c r="TCD102" s="769"/>
      <c r="TCE102" s="769"/>
      <c r="TCF102" s="769"/>
      <c r="TCG102" s="769"/>
      <c r="TCH102" s="769"/>
      <c r="TCI102" s="769"/>
      <c r="TCJ102" s="769"/>
      <c r="TCK102" s="769"/>
      <c r="TCL102" s="769"/>
      <c r="TCM102" s="769"/>
      <c r="TCN102" s="769"/>
      <c r="TCO102" s="769"/>
      <c r="TCP102" s="769"/>
      <c r="TCQ102" s="769"/>
      <c r="TCR102" s="769"/>
      <c r="TCS102" s="769"/>
      <c r="TCT102" s="769"/>
      <c r="TCU102" s="769"/>
      <c r="TCV102" s="769"/>
      <c r="TCW102" s="769"/>
      <c r="TCX102" s="769"/>
      <c r="TCY102" s="769"/>
      <c r="TCZ102" s="769"/>
      <c r="TDA102" s="769"/>
      <c r="TDB102" s="769"/>
      <c r="TDC102" s="769"/>
      <c r="TDD102" s="769"/>
      <c r="TDE102" s="769"/>
      <c r="TDF102" s="769"/>
      <c r="TDG102" s="769"/>
      <c r="TDH102" s="769"/>
      <c r="TDI102" s="769"/>
      <c r="TDJ102" s="769"/>
      <c r="TDK102" s="769"/>
      <c r="TDL102" s="769"/>
      <c r="TDM102" s="769"/>
      <c r="TDN102" s="769"/>
      <c r="TDO102" s="769"/>
      <c r="TDP102" s="769"/>
      <c r="TDQ102" s="769"/>
      <c r="TDR102" s="769"/>
      <c r="TDS102" s="769"/>
      <c r="TDT102" s="769"/>
      <c r="TDU102" s="769"/>
      <c r="TDV102" s="769"/>
      <c r="TDW102" s="769"/>
      <c r="TDX102" s="769"/>
      <c r="TDY102" s="769"/>
      <c r="TDZ102" s="769"/>
      <c r="TEA102" s="769"/>
      <c r="TEB102" s="769"/>
      <c r="TEC102" s="769"/>
      <c r="TED102" s="769"/>
      <c r="TEE102" s="769"/>
      <c r="TEF102" s="769"/>
      <c r="TEG102" s="769"/>
      <c r="TEH102" s="769"/>
      <c r="TEI102" s="769"/>
      <c r="TEJ102" s="769"/>
      <c r="TEK102" s="769"/>
      <c r="TEL102" s="769"/>
      <c r="TEM102" s="769"/>
      <c r="TEN102" s="769"/>
      <c r="TEO102" s="769"/>
      <c r="TEP102" s="769"/>
      <c r="TEQ102" s="769"/>
      <c r="TER102" s="769"/>
      <c r="TES102" s="769"/>
      <c r="TET102" s="769"/>
      <c r="TEU102" s="769"/>
      <c r="TEV102" s="769"/>
      <c r="TEW102" s="769"/>
      <c r="TEX102" s="769"/>
      <c r="TEY102" s="769"/>
      <c r="TEZ102" s="769"/>
      <c r="TFA102" s="769"/>
      <c r="TFB102" s="769"/>
      <c r="TFC102" s="769"/>
      <c r="TFD102" s="769"/>
      <c r="TFE102" s="769"/>
      <c r="TFF102" s="769"/>
      <c r="TFG102" s="769"/>
      <c r="TFH102" s="769"/>
      <c r="TFI102" s="769"/>
      <c r="TFJ102" s="769"/>
      <c r="TFK102" s="769"/>
      <c r="TFL102" s="769"/>
      <c r="TFM102" s="769"/>
      <c r="TFN102" s="769"/>
      <c r="TFO102" s="769"/>
      <c r="TFP102" s="769"/>
      <c r="TFQ102" s="769"/>
      <c r="TFR102" s="769"/>
      <c r="TFS102" s="769"/>
      <c r="TFT102" s="769"/>
      <c r="TFU102" s="769"/>
      <c r="TFV102" s="769"/>
      <c r="TFW102" s="769"/>
      <c r="TFX102" s="769"/>
      <c r="TFY102" s="769"/>
      <c r="TFZ102" s="769"/>
      <c r="TGA102" s="769"/>
      <c r="TGB102" s="769"/>
      <c r="TGC102" s="769"/>
      <c r="TGD102" s="769"/>
      <c r="TGE102" s="769"/>
      <c r="TGF102" s="769"/>
      <c r="TGG102" s="769"/>
      <c r="TGH102" s="769"/>
      <c r="TGI102" s="769"/>
      <c r="TGJ102" s="769"/>
      <c r="TGK102" s="769"/>
      <c r="TGL102" s="769"/>
      <c r="TGM102" s="769"/>
      <c r="TGN102" s="769"/>
      <c r="TGO102" s="769"/>
      <c r="TGP102" s="769"/>
      <c r="TGQ102" s="769"/>
      <c r="TGR102" s="769"/>
      <c r="TGS102" s="769"/>
      <c r="TGT102" s="769"/>
      <c r="TGU102" s="769"/>
      <c r="TGV102" s="769"/>
      <c r="TGW102" s="769"/>
      <c r="TGX102" s="769"/>
      <c r="TGY102" s="769"/>
      <c r="TGZ102" s="769"/>
      <c r="THA102" s="769"/>
      <c r="THB102" s="769"/>
      <c r="THC102" s="769"/>
      <c r="THD102" s="769"/>
      <c r="THE102" s="769"/>
      <c r="THF102" s="769"/>
      <c r="THG102" s="769"/>
      <c r="THH102" s="769"/>
      <c r="THI102" s="769"/>
      <c r="THJ102" s="769"/>
      <c r="THK102" s="769"/>
      <c r="THL102" s="769"/>
      <c r="THM102" s="769"/>
      <c r="THN102" s="769"/>
      <c r="THO102" s="769"/>
      <c r="THP102" s="769"/>
      <c r="THQ102" s="769"/>
      <c r="THR102" s="769"/>
      <c r="THS102" s="769"/>
      <c r="THT102" s="769"/>
      <c r="THU102" s="769"/>
      <c r="THV102" s="769"/>
      <c r="THW102" s="769"/>
      <c r="THX102" s="769"/>
      <c r="THY102" s="769"/>
      <c r="THZ102" s="769"/>
      <c r="TIA102" s="769"/>
      <c r="TIB102" s="769"/>
      <c r="TIC102" s="769"/>
      <c r="TID102" s="769"/>
      <c r="TIE102" s="769"/>
      <c r="TIF102" s="769"/>
      <c r="TIG102" s="769"/>
      <c r="TIH102" s="769"/>
      <c r="TII102" s="769"/>
      <c r="TIJ102" s="769"/>
      <c r="TIK102" s="769"/>
      <c r="TIL102" s="769"/>
      <c r="TIM102" s="769"/>
      <c r="TIN102" s="769"/>
      <c r="TIO102" s="769"/>
      <c r="TIP102" s="769"/>
      <c r="TIQ102" s="769"/>
      <c r="TIR102" s="769"/>
      <c r="TIS102" s="769"/>
      <c r="TIT102" s="769"/>
      <c r="TIU102" s="769"/>
      <c r="TIV102" s="769"/>
      <c r="TIW102" s="769"/>
      <c r="TIX102" s="769"/>
      <c r="TIY102" s="769"/>
      <c r="TIZ102" s="769"/>
      <c r="TJA102" s="769"/>
      <c r="TJB102" s="769"/>
      <c r="TJC102" s="769"/>
      <c r="TJD102" s="769"/>
      <c r="TJE102" s="769"/>
      <c r="TJF102" s="769"/>
      <c r="TJG102" s="769"/>
      <c r="TJH102" s="769"/>
      <c r="TJI102" s="769"/>
      <c r="TJJ102" s="769"/>
      <c r="TJK102" s="769"/>
      <c r="TJL102" s="769"/>
      <c r="TJM102" s="769"/>
      <c r="TJN102" s="769"/>
      <c r="TJO102" s="769"/>
      <c r="TJP102" s="769"/>
      <c r="TJQ102" s="769"/>
      <c r="TJR102" s="769"/>
      <c r="TJS102" s="769"/>
      <c r="TJT102" s="769"/>
      <c r="TJU102" s="769"/>
      <c r="TJV102" s="769"/>
      <c r="TJW102" s="769"/>
      <c r="TJX102" s="769"/>
      <c r="TJY102" s="769"/>
      <c r="TJZ102" s="769"/>
      <c r="TKA102" s="769"/>
      <c r="TKB102" s="769"/>
      <c r="TKC102" s="769"/>
      <c r="TKD102" s="769"/>
      <c r="TKE102" s="769"/>
      <c r="TKF102" s="769"/>
      <c r="TKG102" s="769"/>
      <c r="TKH102" s="769"/>
      <c r="TKI102" s="769"/>
      <c r="TKJ102" s="769"/>
      <c r="TKK102" s="769"/>
      <c r="TKL102" s="769"/>
      <c r="TKM102" s="769"/>
      <c r="TKN102" s="769"/>
      <c r="TKO102" s="769"/>
      <c r="TKP102" s="769"/>
      <c r="TKQ102" s="769"/>
      <c r="TKR102" s="769"/>
      <c r="TKS102" s="769"/>
      <c r="TKT102" s="769"/>
      <c r="TKU102" s="769"/>
      <c r="TKV102" s="769"/>
      <c r="TKW102" s="769"/>
      <c r="TKX102" s="769"/>
      <c r="TKY102" s="769"/>
      <c r="TKZ102" s="769"/>
      <c r="TLA102" s="769"/>
      <c r="TLB102" s="769"/>
      <c r="TLC102" s="769"/>
      <c r="TLD102" s="769"/>
      <c r="TLE102" s="769"/>
      <c r="TLF102" s="769"/>
      <c r="TLG102" s="769"/>
      <c r="TLH102" s="769"/>
      <c r="TLI102" s="769"/>
      <c r="TLJ102" s="769"/>
      <c r="TLK102" s="769"/>
      <c r="TLL102" s="769"/>
      <c r="TLM102" s="769"/>
      <c r="TLN102" s="769"/>
      <c r="TLO102" s="769"/>
      <c r="TLP102" s="769"/>
      <c r="TLQ102" s="769"/>
      <c r="TLR102" s="769"/>
      <c r="TLS102" s="769"/>
      <c r="TLT102" s="769"/>
      <c r="TLU102" s="769"/>
      <c r="TLV102" s="769"/>
      <c r="TLW102" s="769"/>
      <c r="TLX102" s="769"/>
      <c r="TLY102" s="769"/>
      <c r="TLZ102" s="769"/>
      <c r="TMA102" s="769"/>
      <c r="TMB102" s="769"/>
      <c r="TMC102" s="769"/>
      <c r="TMD102" s="769"/>
      <c r="TME102" s="769"/>
      <c r="TMF102" s="769"/>
      <c r="TMG102" s="769"/>
      <c r="TMH102" s="769"/>
      <c r="TMI102" s="769"/>
      <c r="TMJ102" s="769"/>
      <c r="TMK102" s="769"/>
      <c r="TML102" s="769"/>
      <c r="TMM102" s="769"/>
      <c r="TMN102" s="769"/>
      <c r="TMO102" s="769"/>
      <c r="TMP102" s="769"/>
      <c r="TMQ102" s="769"/>
      <c r="TMR102" s="769"/>
      <c r="TMS102" s="769"/>
      <c r="TMT102" s="769"/>
      <c r="TMU102" s="769"/>
      <c r="TMV102" s="769"/>
      <c r="TMW102" s="769"/>
      <c r="TMX102" s="769"/>
      <c r="TMY102" s="769"/>
      <c r="TMZ102" s="769"/>
      <c r="TNA102" s="769"/>
      <c r="TNB102" s="769"/>
      <c r="TNC102" s="769"/>
      <c r="TND102" s="769"/>
      <c r="TNE102" s="769"/>
      <c r="TNF102" s="769"/>
      <c r="TNG102" s="769"/>
      <c r="TNH102" s="769"/>
      <c r="TNI102" s="769"/>
      <c r="TNJ102" s="769"/>
      <c r="TNK102" s="769"/>
      <c r="TNL102" s="769"/>
      <c r="TNM102" s="769"/>
      <c r="TNN102" s="769"/>
      <c r="TNO102" s="769"/>
      <c r="TNP102" s="769"/>
      <c r="TNQ102" s="769"/>
      <c r="TNR102" s="769"/>
      <c r="TNS102" s="769"/>
      <c r="TNT102" s="769"/>
      <c r="TNU102" s="769"/>
      <c r="TNV102" s="769"/>
      <c r="TNW102" s="769"/>
      <c r="TNX102" s="769"/>
      <c r="TNY102" s="769"/>
      <c r="TNZ102" s="769"/>
      <c r="TOA102" s="769"/>
      <c r="TOB102" s="769"/>
      <c r="TOC102" s="769"/>
      <c r="TOD102" s="769"/>
      <c r="TOE102" s="769"/>
      <c r="TOF102" s="769"/>
      <c r="TOG102" s="769"/>
      <c r="TOH102" s="769"/>
      <c r="TOI102" s="769"/>
      <c r="TOJ102" s="769"/>
      <c r="TOK102" s="769"/>
      <c r="TOL102" s="769"/>
      <c r="TOM102" s="769"/>
      <c r="TON102" s="769"/>
      <c r="TOO102" s="769"/>
      <c r="TOP102" s="769"/>
      <c r="TOQ102" s="769"/>
      <c r="TOR102" s="769"/>
      <c r="TOS102" s="769"/>
      <c r="TOT102" s="769"/>
      <c r="TOU102" s="769"/>
      <c r="TOV102" s="769"/>
      <c r="TOW102" s="769"/>
      <c r="TOX102" s="769"/>
      <c r="TOY102" s="769"/>
      <c r="TOZ102" s="769"/>
      <c r="TPA102" s="769"/>
      <c r="TPB102" s="769"/>
      <c r="TPC102" s="769"/>
      <c r="TPD102" s="769"/>
      <c r="TPE102" s="769"/>
      <c r="TPF102" s="769"/>
      <c r="TPG102" s="769"/>
      <c r="TPH102" s="769"/>
      <c r="TPI102" s="769"/>
      <c r="TPJ102" s="769"/>
      <c r="TPK102" s="769"/>
      <c r="TPL102" s="769"/>
      <c r="TPM102" s="769"/>
      <c r="TPN102" s="769"/>
      <c r="TPO102" s="769"/>
      <c r="TPP102" s="769"/>
      <c r="TPQ102" s="769"/>
      <c r="TPR102" s="769"/>
      <c r="TPS102" s="769"/>
      <c r="TPT102" s="769"/>
      <c r="TPU102" s="769"/>
      <c r="TPV102" s="769"/>
      <c r="TPW102" s="769"/>
      <c r="TPX102" s="769"/>
      <c r="TPY102" s="769"/>
      <c r="TPZ102" s="769"/>
      <c r="TQA102" s="769"/>
      <c r="TQB102" s="769"/>
      <c r="TQC102" s="769"/>
      <c r="TQD102" s="769"/>
      <c r="TQE102" s="769"/>
      <c r="TQF102" s="769"/>
      <c r="TQG102" s="769"/>
      <c r="TQH102" s="769"/>
      <c r="TQI102" s="769"/>
      <c r="TQJ102" s="769"/>
      <c r="TQK102" s="769"/>
      <c r="TQL102" s="769"/>
      <c r="TQM102" s="769"/>
      <c r="TQN102" s="769"/>
      <c r="TQO102" s="769"/>
      <c r="TQP102" s="769"/>
      <c r="TQQ102" s="769"/>
      <c r="TQR102" s="769"/>
      <c r="TQS102" s="769"/>
      <c r="TQT102" s="769"/>
      <c r="TQU102" s="769"/>
      <c r="TQV102" s="769"/>
      <c r="TQW102" s="769"/>
      <c r="TQX102" s="769"/>
      <c r="TQY102" s="769"/>
      <c r="TQZ102" s="769"/>
      <c r="TRA102" s="769"/>
      <c r="TRB102" s="769"/>
      <c r="TRC102" s="769"/>
      <c r="TRD102" s="769"/>
      <c r="TRE102" s="769"/>
      <c r="TRF102" s="769"/>
      <c r="TRG102" s="769"/>
      <c r="TRH102" s="769"/>
      <c r="TRI102" s="769"/>
      <c r="TRJ102" s="769"/>
      <c r="TRK102" s="769"/>
      <c r="TRL102" s="769"/>
      <c r="TRM102" s="769"/>
      <c r="TRN102" s="769"/>
      <c r="TRO102" s="769"/>
      <c r="TRP102" s="769"/>
      <c r="TRQ102" s="769"/>
      <c r="TRR102" s="769"/>
      <c r="TRS102" s="769"/>
      <c r="TRT102" s="769"/>
      <c r="TRU102" s="769"/>
      <c r="TRV102" s="769"/>
      <c r="TRW102" s="769"/>
      <c r="TRX102" s="769"/>
      <c r="TRY102" s="769"/>
      <c r="TRZ102" s="769"/>
      <c r="TSA102" s="769"/>
      <c r="TSB102" s="769"/>
      <c r="TSC102" s="769"/>
      <c r="TSD102" s="769"/>
      <c r="TSE102" s="769"/>
      <c r="TSF102" s="769"/>
      <c r="TSG102" s="769"/>
      <c r="TSH102" s="769"/>
      <c r="TSI102" s="769"/>
      <c r="TSJ102" s="769"/>
      <c r="TSK102" s="769"/>
      <c r="TSL102" s="769"/>
      <c r="TSM102" s="769"/>
      <c r="TSN102" s="769"/>
      <c r="TSO102" s="769"/>
      <c r="TSP102" s="769"/>
      <c r="TSQ102" s="769"/>
      <c r="TSR102" s="769"/>
      <c r="TSS102" s="769"/>
      <c r="TST102" s="769"/>
      <c r="TSU102" s="769"/>
      <c r="TSV102" s="769"/>
      <c r="TSW102" s="769"/>
      <c r="TSX102" s="769"/>
      <c r="TSY102" s="769"/>
      <c r="TSZ102" s="769"/>
      <c r="TTA102" s="769"/>
      <c r="TTB102" s="769"/>
      <c r="TTC102" s="769"/>
      <c r="TTD102" s="769"/>
      <c r="TTE102" s="769"/>
      <c r="TTF102" s="769"/>
      <c r="TTG102" s="769"/>
      <c r="TTH102" s="769"/>
      <c r="TTI102" s="769"/>
      <c r="TTJ102" s="769"/>
      <c r="TTK102" s="769"/>
      <c r="TTL102" s="769"/>
      <c r="TTM102" s="769"/>
      <c r="TTN102" s="769"/>
      <c r="TTO102" s="769"/>
      <c r="TTP102" s="769"/>
      <c r="TTQ102" s="769"/>
      <c r="TTR102" s="769"/>
      <c r="TTS102" s="769"/>
      <c r="TTT102" s="769"/>
      <c r="TTU102" s="769"/>
      <c r="TTV102" s="769"/>
      <c r="TTW102" s="769"/>
      <c r="TTX102" s="769"/>
      <c r="TTY102" s="769"/>
      <c r="TTZ102" s="769"/>
      <c r="TUA102" s="769"/>
      <c r="TUB102" s="769"/>
      <c r="TUC102" s="769"/>
      <c r="TUD102" s="769"/>
      <c r="TUE102" s="769"/>
      <c r="TUF102" s="769"/>
      <c r="TUG102" s="769"/>
      <c r="TUH102" s="769"/>
      <c r="TUI102" s="769"/>
      <c r="TUJ102" s="769"/>
      <c r="TUK102" s="769"/>
      <c r="TUL102" s="769"/>
      <c r="TUM102" s="769"/>
      <c r="TUN102" s="769"/>
      <c r="TUO102" s="769"/>
      <c r="TUP102" s="769"/>
      <c r="TUQ102" s="769"/>
      <c r="TUR102" s="769"/>
      <c r="TUS102" s="769"/>
      <c r="TUT102" s="769"/>
      <c r="TUU102" s="769"/>
      <c r="TUV102" s="769"/>
      <c r="TUW102" s="769"/>
      <c r="TUX102" s="769"/>
      <c r="TUY102" s="769"/>
      <c r="TUZ102" s="769"/>
      <c r="TVA102" s="769"/>
      <c r="TVB102" s="769"/>
      <c r="TVC102" s="769"/>
      <c r="TVD102" s="769"/>
      <c r="TVE102" s="769"/>
      <c r="TVF102" s="769"/>
      <c r="TVG102" s="769"/>
      <c r="TVH102" s="769"/>
      <c r="TVI102" s="769"/>
      <c r="TVJ102" s="769"/>
      <c r="TVK102" s="769"/>
      <c r="TVL102" s="769"/>
      <c r="TVM102" s="769"/>
      <c r="TVN102" s="769"/>
      <c r="TVO102" s="769"/>
      <c r="TVP102" s="769"/>
      <c r="TVQ102" s="769"/>
      <c r="TVR102" s="769"/>
      <c r="TVS102" s="769"/>
      <c r="TVT102" s="769"/>
      <c r="TVU102" s="769"/>
      <c r="TVV102" s="769"/>
      <c r="TVW102" s="769"/>
      <c r="TVX102" s="769"/>
      <c r="TVY102" s="769"/>
      <c r="TVZ102" s="769"/>
      <c r="TWA102" s="769"/>
      <c r="TWB102" s="769"/>
      <c r="TWC102" s="769"/>
      <c r="TWD102" s="769"/>
      <c r="TWE102" s="769"/>
      <c r="TWF102" s="769"/>
      <c r="TWG102" s="769"/>
      <c r="TWH102" s="769"/>
      <c r="TWI102" s="769"/>
      <c r="TWJ102" s="769"/>
      <c r="TWK102" s="769"/>
      <c r="TWL102" s="769"/>
      <c r="TWM102" s="769"/>
      <c r="TWN102" s="769"/>
      <c r="TWO102" s="769"/>
      <c r="TWP102" s="769"/>
      <c r="TWQ102" s="769"/>
      <c r="TWR102" s="769"/>
      <c r="TWS102" s="769"/>
      <c r="TWT102" s="769"/>
      <c r="TWU102" s="769"/>
      <c r="TWV102" s="769"/>
      <c r="TWW102" s="769"/>
      <c r="TWX102" s="769"/>
      <c r="TWY102" s="769"/>
      <c r="TWZ102" s="769"/>
      <c r="TXA102" s="769"/>
      <c r="TXB102" s="769"/>
      <c r="TXC102" s="769"/>
      <c r="TXD102" s="769"/>
      <c r="TXE102" s="769"/>
      <c r="TXF102" s="769"/>
      <c r="TXG102" s="769"/>
      <c r="TXH102" s="769"/>
      <c r="TXI102" s="769"/>
      <c r="TXJ102" s="769"/>
      <c r="TXK102" s="769"/>
      <c r="TXL102" s="769"/>
      <c r="TXM102" s="769"/>
      <c r="TXN102" s="769"/>
      <c r="TXO102" s="769"/>
      <c r="TXP102" s="769"/>
      <c r="TXQ102" s="769"/>
      <c r="TXR102" s="769"/>
      <c r="TXS102" s="769"/>
      <c r="TXT102" s="769"/>
      <c r="TXU102" s="769"/>
      <c r="TXV102" s="769"/>
      <c r="TXW102" s="769"/>
      <c r="TXX102" s="769"/>
      <c r="TXY102" s="769"/>
      <c r="TXZ102" s="769"/>
      <c r="TYA102" s="769"/>
      <c r="TYB102" s="769"/>
      <c r="TYC102" s="769"/>
      <c r="TYD102" s="769"/>
      <c r="TYE102" s="769"/>
      <c r="TYF102" s="769"/>
      <c r="TYG102" s="769"/>
      <c r="TYH102" s="769"/>
      <c r="TYI102" s="769"/>
      <c r="TYJ102" s="769"/>
      <c r="TYK102" s="769"/>
      <c r="TYL102" s="769"/>
      <c r="TYM102" s="769"/>
      <c r="TYN102" s="769"/>
      <c r="TYO102" s="769"/>
      <c r="TYP102" s="769"/>
      <c r="TYQ102" s="769"/>
      <c r="TYR102" s="769"/>
      <c r="TYS102" s="769"/>
      <c r="TYT102" s="769"/>
      <c r="TYU102" s="769"/>
      <c r="TYV102" s="769"/>
      <c r="TYW102" s="769"/>
      <c r="TYX102" s="769"/>
      <c r="TYY102" s="769"/>
      <c r="TYZ102" s="769"/>
      <c r="TZA102" s="769"/>
      <c r="TZB102" s="769"/>
      <c r="TZC102" s="769"/>
      <c r="TZD102" s="769"/>
      <c r="TZE102" s="769"/>
      <c r="TZF102" s="769"/>
      <c r="TZG102" s="769"/>
      <c r="TZH102" s="769"/>
      <c r="TZI102" s="769"/>
      <c r="TZJ102" s="769"/>
      <c r="TZK102" s="769"/>
      <c r="TZL102" s="769"/>
      <c r="TZM102" s="769"/>
      <c r="TZN102" s="769"/>
      <c r="TZO102" s="769"/>
      <c r="TZP102" s="769"/>
      <c r="TZQ102" s="769"/>
      <c r="TZR102" s="769"/>
      <c r="TZS102" s="769"/>
      <c r="TZT102" s="769"/>
      <c r="TZU102" s="769"/>
      <c r="TZV102" s="769"/>
      <c r="TZW102" s="769"/>
      <c r="TZX102" s="769"/>
      <c r="TZY102" s="769"/>
      <c r="TZZ102" s="769"/>
      <c r="UAA102" s="769"/>
      <c r="UAB102" s="769"/>
      <c r="UAC102" s="769"/>
      <c r="UAD102" s="769"/>
      <c r="UAE102" s="769"/>
      <c r="UAF102" s="769"/>
      <c r="UAG102" s="769"/>
      <c r="UAH102" s="769"/>
      <c r="UAI102" s="769"/>
      <c r="UAJ102" s="769"/>
      <c r="UAK102" s="769"/>
      <c r="UAL102" s="769"/>
      <c r="UAM102" s="769"/>
      <c r="UAN102" s="769"/>
      <c r="UAO102" s="769"/>
      <c r="UAP102" s="769"/>
      <c r="UAQ102" s="769"/>
      <c r="UAR102" s="769"/>
      <c r="UAS102" s="769"/>
      <c r="UAT102" s="769"/>
      <c r="UAU102" s="769"/>
      <c r="UAV102" s="769"/>
      <c r="UAW102" s="769"/>
      <c r="UAX102" s="769"/>
      <c r="UAY102" s="769"/>
      <c r="UAZ102" s="769"/>
      <c r="UBA102" s="769"/>
      <c r="UBB102" s="769"/>
      <c r="UBC102" s="769"/>
      <c r="UBD102" s="769"/>
      <c r="UBE102" s="769"/>
      <c r="UBF102" s="769"/>
      <c r="UBG102" s="769"/>
      <c r="UBH102" s="769"/>
      <c r="UBI102" s="769"/>
      <c r="UBJ102" s="769"/>
      <c r="UBK102" s="769"/>
      <c r="UBL102" s="769"/>
      <c r="UBM102" s="769"/>
      <c r="UBN102" s="769"/>
      <c r="UBO102" s="769"/>
      <c r="UBP102" s="769"/>
      <c r="UBQ102" s="769"/>
      <c r="UBR102" s="769"/>
      <c r="UBS102" s="769"/>
      <c r="UBT102" s="769"/>
      <c r="UBU102" s="769"/>
      <c r="UBV102" s="769"/>
      <c r="UBW102" s="769"/>
      <c r="UBX102" s="769"/>
      <c r="UBY102" s="769"/>
      <c r="UBZ102" s="769"/>
      <c r="UCA102" s="769"/>
      <c r="UCB102" s="769"/>
      <c r="UCC102" s="769"/>
      <c r="UCD102" s="769"/>
      <c r="UCE102" s="769"/>
      <c r="UCF102" s="769"/>
      <c r="UCG102" s="769"/>
      <c r="UCH102" s="769"/>
      <c r="UCI102" s="769"/>
      <c r="UCJ102" s="769"/>
      <c r="UCK102" s="769"/>
      <c r="UCL102" s="769"/>
      <c r="UCM102" s="769"/>
      <c r="UCN102" s="769"/>
      <c r="UCO102" s="769"/>
      <c r="UCP102" s="769"/>
      <c r="UCQ102" s="769"/>
      <c r="UCR102" s="769"/>
      <c r="UCS102" s="769"/>
      <c r="UCT102" s="769"/>
      <c r="UCU102" s="769"/>
      <c r="UCV102" s="769"/>
      <c r="UCW102" s="769"/>
      <c r="UCX102" s="769"/>
      <c r="UCY102" s="769"/>
      <c r="UCZ102" s="769"/>
      <c r="UDA102" s="769"/>
      <c r="UDB102" s="769"/>
      <c r="UDC102" s="769"/>
      <c r="UDD102" s="769"/>
      <c r="UDE102" s="769"/>
      <c r="UDF102" s="769"/>
      <c r="UDG102" s="769"/>
      <c r="UDH102" s="769"/>
      <c r="UDI102" s="769"/>
      <c r="UDJ102" s="769"/>
      <c r="UDK102" s="769"/>
      <c r="UDL102" s="769"/>
      <c r="UDM102" s="769"/>
      <c r="UDN102" s="769"/>
      <c r="UDO102" s="769"/>
      <c r="UDP102" s="769"/>
      <c r="UDQ102" s="769"/>
      <c r="UDR102" s="769"/>
      <c r="UDS102" s="769"/>
      <c r="UDT102" s="769"/>
      <c r="UDU102" s="769"/>
      <c r="UDV102" s="769"/>
      <c r="UDW102" s="769"/>
      <c r="UDX102" s="769"/>
      <c r="UDY102" s="769"/>
      <c r="UDZ102" s="769"/>
      <c r="UEA102" s="769"/>
      <c r="UEB102" s="769"/>
      <c r="UEC102" s="769"/>
      <c r="UED102" s="769"/>
      <c r="UEE102" s="769"/>
      <c r="UEF102" s="769"/>
      <c r="UEG102" s="769"/>
      <c r="UEH102" s="769"/>
      <c r="UEI102" s="769"/>
      <c r="UEJ102" s="769"/>
      <c r="UEK102" s="769"/>
      <c r="UEL102" s="769"/>
      <c r="UEM102" s="769"/>
      <c r="UEN102" s="769"/>
      <c r="UEO102" s="769"/>
      <c r="UEP102" s="769"/>
      <c r="UEQ102" s="769"/>
      <c r="UER102" s="769"/>
      <c r="UES102" s="769"/>
      <c r="UET102" s="769"/>
      <c r="UEU102" s="769"/>
      <c r="UEV102" s="769"/>
      <c r="UEW102" s="769"/>
      <c r="UEX102" s="769"/>
      <c r="UEY102" s="769"/>
      <c r="UEZ102" s="769"/>
      <c r="UFA102" s="769"/>
      <c r="UFB102" s="769"/>
      <c r="UFC102" s="769"/>
      <c r="UFD102" s="769"/>
      <c r="UFE102" s="769"/>
      <c r="UFF102" s="769"/>
      <c r="UFG102" s="769"/>
      <c r="UFH102" s="769"/>
      <c r="UFI102" s="769"/>
      <c r="UFJ102" s="769"/>
      <c r="UFK102" s="769"/>
      <c r="UFL102" s="769"/>
      <c r="UFM102" s="769"/>
      <c r="UFN102" s="769"/>
      <c r="UFO102" s="769"/>
      <c r="UFP102" s="769"/>
      <c r="UFQ102" s="769"/>
      <c r="UFR102" s="769"/>
      <c r="UFS102" s="769"/>
      <c r="UFT102" s="769"/>
      <c r="UFU102" s="769"/>
      <c r="UFV102" s="769"/>
      <c r="UFW102" s="769"/>
      <c r="UFX102" s="769"/>
      <c r="UFY102" s="769"/>
      <c r="UFZ102" s="769"/>
      <c r="UGA102" s="769"/>
      <c r="UGB102" s="769"/>
      <c r="UGC102" s="769"/>
      <c r="UGD102" s="769"/>
      <c r="UGE102" s="769"/>
      <c r="UGF102" s="769"/>
      <c r="UGG102" s="769"/>
      <c r="UGH102" s="769"/>
      <c r="UGI102" s="769"/>
      <c r="UGJ102" s="769"/>
      <c r="UGK102" s="769"/>
      <c r="UGL102" s="769"/>
      <c r="UGM102" s="769"/>
      <c r="UGN102" s="769"/>
      <c r="UGO102" s="769"/>
      <c r="UGP102" s="769"/>
      <c r="UGQ102" s="769"/>
      <c r="UGR102" s="769"/>
      <c r="UGS102" s="769"/>
      <c r="UGT102" s="769"/>
      <c r="UGU102" s="769"/>
      <c r="UGV102" s="769"/>
      <c r="UGW102" s="769"/>
      <c r="UGX102" s="769"/>
      <c r="UGY102" s="769"/>
      <c r="UGZ102" s="769"/>
      <c r="UHA102" s="769"/>
      <c r="UHB102" s="769"/>
      <c r="UHC102" s="769"/>
      <c r="UHD102" s="769"/>
      <c r="UHE102" s="769"/>
      <c r="UHF102" s="769"/>
      <c r="UHG102" s="769"/>
      <c r="UHH102" s="769"/>
      <c r="UHI102" s="769"/>
      <c r="UHJ102" s="769"/>
      <c r="UHK102" s="769"/>
      <c r="UHL102" s="769"/>
      <c r="UHM102" s="769"/>
      <c r="UHN102" s="769"/>
      <c r="UHO102" s="769"/>
      <c r="UHP102" s="769"/>
      <c r="UHQ102" s="769"/>
      <c r="UHR102" s="769"/>
      <c r="UHS102" s="769"/>
      <c r="UHT102" s="769"/>
      <c r="UHU102" s="769"/>
      <c r="UHV102" s="769"/>
      <c r="UHW102" s="769"/>
      <c r="UHX102" s="769"/>
      <c r="UHY102" s="769"/>
      <c r="UHZ102" s="769"/>
      <c r="UIA102" s="769"/>
      <c r="UIB102" s="769"/>
      <c r="UIC102" s="769"/>
      <c r="UID102" s="769"/>
      <c r="UIE102" s="769"/>
      <c r="UIF102" s="769"/>
      <c r="UIG102" s="769"/>
      <c r="UIH102" s="769"/>
      <c r="UII102" s="769"/>
      <c r="UIJ102" s="769"/>
      <c r="UIK102" s="769"/>
      <c r="UIL102" s="769"/>
      <c r="UIM102" s="769"/>
      <c r="UIN102" s="769"/>
      <c r="UIO102" s="769"/>
      <c r="UIP102" s="769"/>
      <c r="UIQ102" s="769"/>
      <c r="UIR102" s="769"/>
      <c r="UIS102" s="769"/>
      <c r="UIT102" s="769"/>
      <c r="UIU102" s="769"/>
      <c r="UIV102" s="769"/>
      <c r="UIW102" s="769"/>
      <c r="UIX102" s="769"/>
      <c r="UIY102" s="769"/>
      <c r="UIZ102" s="769"/>
      <c r="UJA102" s="769"/>
      <c r="UJB102" s="769"/>
      <c r="UJC102" s="769"/>
      <c r="UJD102" s="769"/>
      <c r="UJE102" s="769"/>
      <c r="UJF102" s="769"/>
      <c r="UJG102" s="769"/>
      <c r="UJH102" s="769"/>
      <c r="UJI102" s="769"/>
      <c r="UJJ102" s="769"/>
      <c r="UJK102" s="769"/>
      <c r="UJL102" s="769"/>
      <c r="UJM102" s="769"/>
      <c r="UJN102" s="769"/>
      <c r="UJO102" s="769"/>
      <c r="UJP102" s="769"/>
      <c r="UJQ102" s="769"/>
      <c r="UJR102" s="769"/>
      <c r="UJS102" s="769"/>
      <c r="UJT102" s="769"/>
      <c r="UJU102" s="769"/>
      <c r="UJV102" s="769"/>
      <c r="UJW102" s="769"/>
      <c r="UJX102" s="769"/>
      <c r="UJY102" s="769"/>
      <c r="UJZ102" s="769"/>
      <c r="UKA102" s="769"/>
      <c r="UKB102" s="769"/>
      <c r="UKC102" s="769"/>
      <c r="UKD102" s="769"/>
      <c r="UKE102" s="769"/>
      <c r="UKF102" s="769"/>
      <c r="UKG102" s="769"/>
      <c r="UKH102" s="769"/>
      <c r="UKI102" s="769"/>
      <c r="UKJ102" s="769"/>
      <c r="UKK102" s="769"/>
      <c r="UKL102" s="769"/>
      <c r="UKM102" s="769"/>
      <c r="UKN102" s="769"/>
      <c r="UKO102" s="769"/>
      <c r="UKP102" s="769"/>
      <c r="UKQ102" s="769"/>
      <c r="UKR102" s="769"/>
      <c r="UKS102" s="769"/>
      <c r="UKT102" s="769"/>
      <c r="UKU102" s="769"/>
      <c r="UKV102" s="769"/>
      <c r="UKW102" s="769"/>
      <c r="UKX102" s="769"/>
      <c r="UKY102" s="769"/>
      <c r="UKZ102" s="769"/>
      <c r="ULA102" s="769"/>
      <c r="ULB102" s="769"/>
      <c r="ULC102" s="769"/>
      <c r="ULD102" s="769"/>
      <c r="ULE102" s="769"/>
      <c r="ULF102" s="769"/>
      <c r="ULG102" s="769"/>
      <c r="ULH102" s="769"/>
      <c r="ULI102" s="769"/>
      <c r="ULJ102" s="769"/>
      <c r="ULK102" s="769"/>
      <c r="ULL102" s="769"/>
      <c r="ULM102" s="769"/>
      <c r="ULN102" s="769"/>
      <c r="ULO102" s="769"/>
      <c r="ULP102" s="769"/>
      <c r="ULQ102" s="769"/>
      <c r="ULR102" s="769"/>
      <c r="ULS102" s="769"/>
      <c r="ULT102" s="769"/>
      <c r="ULU102" s="769"/>
      <c r="ULV102" s="769"/>
      <c r="ULW102" s="769"/>
      <c r="ULX102" s="769"/>
      <c r="ULY102" s="769"/>
      <c r="ULZ102" s="769"/>
      <c r="UMA102" s="769"/>
      <c r="UMB102" s="769"/>
      <c r="UMC102" s="769"/>
      <c r="UMD102" s="769"/>
      <c r="UME102" s="769"/>
      <c r="UMF102" s="769"/>
      <c r="UMG102" s="769"/>
      <c r="UMH102" s="769"/>
      <c r="UMI102" s="769"/>
      <c r="UMJ102" s="769"/>
      <c r="UMK102" s="769"/>
      <c r="UML102" s="769"/>
      <c r="UMM102" s="769"/>
      <c r="UMN102" s="769"/>
      <c r="UMO102" s="769"/>
      <c r="UMP102" s="769"/>
      <c r="UMQ102" s="769"/>
      <c r="UMR102" s="769"/>
      <c r="UMS102" s="769"/>
      <c r="UMT102" s="769"/>
      <c r="UMU102" s="769"/>
      <c r="UMV102" s="769"/>
      <c r="UMW102" s="769"/>
      <c r="UMX102" s="769"/>
      <c r="UMY102" s="769"/>
      <c r="UMZ102" s="769"/>
      <c r="UNA102" s="769"/>
      <c r="UNB102" s="769"/>
      <c r="UNC102" s="769"/>
      <c r="UND102" s="769"/>
      <c r="UNE102" s="769"/>
      <c r="UNF102" s="769"/>
      <c r="UNG102" s="769"/>
      <c r="UNH102" s="769"/>
      <c r="UNI102" s="769"/>
      <c r="UNJ102" s="769"/>
      <c r="UNK102" s="769"/>
      <c r="UNL102" s="769"/>
      <c r="UNM102" s="769"/>
      <c r="UNN102" s="769"/>
      <c r="UNO102" s="769"/>
      <c r="UNP102" s="769"/>
      <c r="UNQ102" s="769"/>
      <c r="UNR102" s="769"/>
      <c r="UNS102" s="769"/>
      <c r="UNT102" s="769"/>
      <c r="UNU102" s="769"/>
      <c r="UNV102" s="769"/>
      <c r="UNW102" s="769"/>
      <c r="UNX102" s="769"/>
      <c r="UNY102" s="769"/>
      <c r="UNZ102" s="769"/>
      <c r="UOA102" s="769"/>
      <c r="UOB102" s="769"/>
      <c r="UOC102" s="769"/>
      <c r="UOD102" s="769"/>
      <c r="UOE102" s="769"/>
      <c r="UOF102" s="769"/>
      <c r="UOG102" s="769"/>
      <c r="UOH102" s="769"/>
      <c r="UOI102" s="769"/>
      <c r="UOJ102" s="769"/>
      <c r="UOK102" s="769"/>
      <c r="UOL102" s="769"/>
      <c r="UOM102" s="769"/>
      <c r="UON102" s="769"/>
      <c r="UOO102" s="769"/>
      <c r="UOP102" s="769"/>
      <c r="UOQ102" s="769"/>
      <c r="UOR102" s="769"/>
      <c r="UOS102" s="769"/>
      <c r="UOT102" s="769"/>
      <c r="UOU102" s="769"/>
      <c r="UOV102" s="769"/>
      <c r="UOW102" s="769"/>
      <c r="UOX102" s="769"/>
      <c r="UOY102" s="769"/>
      <c r="UOZ102" s="769"/>
      <c r="UPA102" s="769"/>
      <c r="UPB102" s="769"/>
      <c r="UPC102" s="769"/>
      <c r="UPD102" s="769"/>
      <c r="UPE102" s="769"/>
      <c r="UPF102" s="769"/>
      <c r="UPG102" s="769"/>
      <c r="UPH102" s="769"/>
      <c r="UPI102" s="769"/>
      <c r="UPJ102" s="769"/>
      <c r="UPK102" s="769"/>
      <c r="UPL102" s="769"/>
      <c r="UPM102" s="769"/>
      <c r="UPN102" s="769"/>
      <c r="UPO102" s="769"/>
      <c r="UPP102" s="769"/>
      <c r="UPQ102" s="769"/>
      <c r="UPR102" s="769"/>
      <c r="UPS102" s="769"/>
      <c r="UPT102" s="769"/>
      <c r="UPU102" s="769"/>
      <c r="UPV102" s="769"/>
      <c r="UPW102" s="769"/>
      <c r="UPX102" s="769"/>
      <c r="UPY102" s="769"/>
      <c r="UPZ102" s="769"/>
      <c r="UQA102" s="769"/>
      <c r="UQB102" s="769"/>
      <c r="UQC102" s="769"/>
      <c r="UQD102" s="769"/>
      <c r="UQE102" s="769"/>
      <c r="UQF102" s="769"/>
      <c r="UQG102" s="769"/>
      <c r="UQH102" s="769"/>
      <c r="UQI102" s="769"/>
      <c r="UQJ102" s="769"/>
      <c r="UQK102" s="769"/>
      <c r="UQL102" s="769"/>
      <c r="UQM102" s="769"/>
      <c r="UQN102" s="769"/>
      <c r="UQO102" s="769"/>
      <c r="UQP102" s="769"/>
      <c r="UQQ102" s="769"/>
      <c r="UQR102" s="769"/>
      <c r="UQS102" s="769"/>
      <c r="UQT102" s="769"/>
      <c r="UQU102" s="769"/>
      <c r="UQV102" s="769"/>
      <c r="UQW102" s="769"/>
      <c r="UQX102" s="769"/>
      <c r="UQY102" s="769"/>
      <c r="UQZ102" s="769"/>
      <c r="URA102" s="769"/>
      <c r="URB102" s="769"/>
      <c r="URC102" s="769"/>
      <c r="URD102" s="769"/>
      <c r="URE102" s="769"/>
      <c r="URF102" s="769"/>
      <c r="URG102" s="769"/>
      <c r="URH102" s="769"/>
      <c r="URI102" s="769"/>
      <c r="URJ102" s="769"/>
      <c r="URK102" s="769"/>
      <c r="URL102" s="769"/>
      <c r="URM102" s="769"/>
      <c r="URN102" s="769"/>
      <c r="URO102" s="769"/>
      <c r="URP102" s="769"/>
      <c r="URQ102" s="769"/>
      <c r="URR102" s="769"/>
      <c r="URS102" s="769"/>
      <c r="URT102" s="769"/>
      <c r="URU102" s="769"/>
      <c r="URV102" s="769"/>
      <c r="URW102" s="769"/>
      <c r="URX102" s="769"/>
      <c r="URY102" s="769"/>
      <c r="URZ102" s="769"/>
      <c r="USA102" s="769"/>
      <c r="USB102" s="769"/>
      <c r="USC102" s="769"/>
      <c r="USD102" s="769"/>
      <c r="USE102" s="769"/>
      <c r="USF102" s="769"/>
      <c r="USG102" s="769"/>
      <c r="USH102" s="769"/>
      <c r="USI102" s="769"/>
      <c r="USJ102" s="769"/>
      <c r="USK102" s="769"/>
      <c r="USL102" s="769"/>
      <c r="USM102" s="769"/>
      <c r="USN102" s="769"/>
      <c r="USO102" s="769"/>
      <c r="USP102" s="769"/>
      <c r="USQ102" s="769"/>
      <c r="USR102" s="769"/>
      <c r="USS102" s="769"/>
      <c r="UST102" s="769"/>
      <c r="USU102" s="769"/>
      <c r="USV102" s="769"/>
      <c r="USW102" s="769"/>
      <c r="USX102" s="769"/>
      <c r="USY102" s="769"/>
      <c r="USZ102" s="769"/>
      <c r="UTA102" s="769"/>
      <c r="UTB102" s="769"/>
      <c r="UTC102" s="769"/>
      <c r="UTD102" s="769"/>
      <c r="UTE102" s="769"/>
      <c r="UTF102" s="769"/>
      <c r="UTG102" s="769"/>
      <c r="UTH102" s="769"/>
      <c r="UTI102" s="769"/>
      <c r="UTJ102" s="769"/>
      <c r="UTK102" s="769"/>
      <c r="UTL102" s="769"/>
      <c r="UTM102" s="769"/>
      <c r="UTN102" s="769"/>
      <c r="UTO102" s="769"/>
      <c r="UTP102" s="769"/>
      <c r="UTQ102" s="769"/>
      <c r="UTR102" s="769"/>
      <c r="UTS102" s="769"/>
      <c r="UTT102" s="769"/>
      <c r="UTU102" s="769"/>
      <c r="UTV102" s="769"/>
      <c r="UTW102" s="769"/>
      <c r="UTX102" s="769"/>
      <c r="UTY102" s="769"/>
      <c r="UTZ102" s="769"/>
      <c r="UUA102" s="769"/>
      <c r="UUB102" s="769"/>
      <c r="UUC102" s="769"/>
      <c r="UUD102" s="769"/>
      <c r="UUE102" s="769"/>
      <c r="UUF102" s="769"/>
      <c r="UUG102" s="769"/>
      <c r="UUH102" s="769"/>
      <c r="UUI102" s="769"/>
      <c r="UUJ102" s="769"/>
      <c r="UUK102" s="769"/>
      <c r="UUL102" s="769"/>
      <c r="UUM102" s="769"/>
      <c r="UUN102" s="769"/>
      <c r="UUO102" s="769"/>
      <c r="UUP102" s="769"/>
      <c r="UUQ102" s="769"/>
      <c r="UUR102" s="769"/>
      <c r="UUS102" s="769"/>
      <c r="UUT102" s="769"/>
      <c r="UUU102" s="769"/>
      <c r="UUV102" s="769"/>
      <c r="UUW102" s="769"/>
      <c r="UUX102" s="769"/>
      <c r="UUY102" s="769"/>
      <c r="UUZ102" s="769"/>
      <c r="UVA102" s="769"/>
      <c r="UVB102" s="769"/>
      <c r="UVC102" s="769"/>
      <c r="UVD102" s="769"/>
      <c r="UVE102" s="769"/>
      <c r="UVF102" s="769"/>
      <c r="UVG102" s="769"/>
      <c r="UVH102" s="769"/>
      <c r="UVI102" s="769"/>
      <c r="UVJ102" s="769"/>
      <c r="UVK102" s="769"/>
      <c r="UVL102" s="769"/>
      <c r="UVM102" s="769"/>
      <c r="UVN102" s="769"/>
      <c r="UVO102" s="769"/>
      <c r="UVP102" s="769"/>
      <c r="UVQ102" s="769"/>
      <c r="UVR102" s="769"/>
      <c r="UVS102" s="769"/>
      <c r="UVT102" s="769"/>
      <c r="UVU102" s="769"/>
      <c r="UVV102" s="769"/>
      <c r="UVW102" s="769"/>
      <c r="UVX102" s="769"/>
      <c r="UVY102" s="769"/>
      <c r="UVZ102" s="769"/>
      <c r="UWA102" s="769"/>
      <c r="UWB102" s="769"/>
      <c r="UWC102" s="769"/>
      <c r="UWD102" s="769"/>
      <c r="UWE102" s="769"/>
      <c r="UWF102" s="769"/>
      <c r="UWG102" s="769"/>
      <c r="UWH102" s="769"/>
      <c r="UWI102" s="769"/>
      <c r="UWJ102" s="769"/>
      <c r="UWK102" s="769"/>
      <c r="UWL102" s="769"/>
      <c r="UWM102" s="769"/>
      <c r="UWN102" s="769"/>
      <c r="UWO102" s="769"/>
      <c r="UWP102" s="769"/>
      <c r="UWQ102" s="769"/>
      <c r="UWR102" s="769"/>
      <c r="UWS102" s="769"/>
      <c r="UWT102" s="769"/>
      <c r="UWU102" s="769"/>
      <c r="UWV102" s="769"/>
      <c r="UWW102" s="769"/>
      <c r="UWX102" s="769"/>
      <c r="UWY102" s="769"/>
      <c r="UWZ102" s="769"/>
      <c r="UXA102" s="769"/>
      <c r="UXB102" s="769"/>
      <c r="UXC102" s="769"/>
      <c r="UXD102" s="769"/>
      <c r="UXE102" s="769"/>
      <c r="UXF102" s="769"/>
      <c r="UXG102" s="769"/>
      <c r="UXH102" s="769"/>
      <c r="UXI102" s="769"/>
      <c r="UXJ102" s="769"/>
      <c r="UXK102" s="769"/>
      <c r="UXL102" s="769"/>
      <c r="UXM102" s="769"/>
      <c r="UXN102" s="769"/>
      <c r="UXO102" s="769"/>
      <c r="UXP102" s="769"/>
      <c r="UXQ102" s="769"/>
      <c r="UXR102" s="769"/>
      <c r="UXS102" s="769"/>
      <c r="UXT102" s="769"/>
      <c r="UXU102" s="769"/>
      <c r="UXV102" s="769"/>
      <c r="UXW102" s="769"/>
      <c r="UXX102" s="769"/>
      <c r="UXY102" s="769"/>
      <c r="UXZ102" s="769"/>
      <c r="UYA102" s="769"/>
      <c r="UYB102" s="769"/>
      <c r="UYC102" s="769"/>
      <c r="UYD102" s="769"/>
      <c r="UYE102" s="769"/>
      <c r="UYF102" s="769"/>
      <c r="UYG102" s="769"/>
      <c r="UYH102" s="769"/>
      <c r="UYI102" s="769"/>
      <c r="UYJ102" s="769"/>
      <c r="UYK102" s="769"/>
      <c r="UYL102" s="769"/>
      <c r="UYM102" s="769"/>
      <c r="UYN102" s="769"/>
      <c r="UYO102" s="769"/>
      <c r="UYP102" s="769"/>
      <c r="UYQ102" s="769"/>
      <c r="UYR102" s="769"/>
      <c r="UYS102" s="769"/>
      <c r="UYT102" s="769"/>
      <c r="UYU102" s="769"/>
      <c r="UYV102" s="769"/>
      <c r="UYW102" s="769"/>
      <c r="UYX102" s="769"/>
      <c r="UYY102" s="769"/>
      <c r="UYZ102" s="769"/>
      <c r="UZA102" s="769"/>
      <c r="UZB102" s="769"/>
      <c r="UZC102" s="769"/>
      <c r="UZD102" s="769"/>
      <c r="UZE102" s="769"/>
      <c r="UZF102" s="769"/>
      <c r="UZG102" s="769"/>
      <c r="UZH102" s="769"/>
      <c r="UZI102" s="769"/>
      <c r="UZJ102" s="769"/>
      <c r="UZK102" s="769"/>
      <c r="UZL102" s="769"/>
      <c r="UZM102" s="769"/>
      <c r="UZN102" s="769"/>
      <c r="UZO102" s="769"/>
      <c r="UZP102" s="769"/>
      <c r="UZQ102" s="769"/>
      <c r="UZR102" s="769"/>
      <c r="UZS102" s="769"/>
      <c r="UZT102" s="769"/>
      <c r="UZU102" s="769"/>
      <c r="UZV102" s="769"/>
      <c r="UZW102" s="769"/>
      <c r="UZX102" s="769"/>
      <c r="UZY102" s="769"/>
      <c r="UZZ102" s="769"/>
      <c r="VAA102" s="769"/>
      <c r="VAB102" s="769"/>
      <c r="VAC102" s="769"/>
      <c r="VAD102" s="769"/>
      <c r="VAE102" s="769"/>
      <c r="VAF102" s="769"/>
      <c r="VAG102" s="769"/>
      <c r="VAH102" s="769"/>
      <c r="VAI102" s="769"/>
      <c r="VAJ102" s="769"/>
      <c r="VAK102" s="769"/>
      <c r="VAL102" s="769"/>
      <c r="VAM102" s="769"/>
      <c r="VAN102" s="769"/>
      <c r="VAO102" s="769"/>
      <c r="VAP102" s="769"/>
      <c r="VAQ102" s="769"/>
      <c r="VAR102" s="769"/>
      <c r="VAS102" s="769"/>
      <c r="VAT102" s="769"/>
      <c r="VAU102" s="769"/>
      <c r="VAV102" s="769"/>
      <c r="VAW102" s="769"/>
      <c r="VAX102" s="769"/>
      <c r="VAY102" s="769"/>
      <c r="VAZ102" s="769"/>
      <c r="VBA102" s="769"/>
      <c r="VBB102" s="769"/>
      <c r="VBC102" s="769"/>
      <c r="VBD102" s="769"/>
      <c r="VBE102" s="769"/>
      <c r="VBF102" s="769"/>
      <c r="VBG102" s="769"/>
      <c r="VBH102" s="769"/>
      <c r="VBI102" s="769"/>
      <c r="VBJ102" s="769"/>
      <c r="VBK102" s="769"/>
      <c r="VBL102" s="769"/>
      <c r="VBM102" s="769"/>
      <c r="VBN102" s="769"/>
      <c r="VBO102" s="769"/>
      <c r="VBP102" s="769"/>
      <c r="VBQ102" s="769"/>
      <c r="VBR102" s="769"/>
      <c r="VBS102" s="769"/>
      <c r="VBT102" s="769"/>
      <c r="VBU102" s="769"/>
      <c r="VBV102" s="769"/>
      <c r="VBW102" s="769"/>
      <c r="VBX102" s="769"/>
      <c r="VBY102" s="769"/>
      <c r="VBZ102" s="769"/>
      <c r="VCA102" s="769"/>
      <c r="VCB102" s="769"/>
      <c r="VCC102" s="769"/>
      <c r="VCD102" s="769"/>
      <c r="VCE102" s="769"/>
      <c r="VCF102" s="769"/>
      <c r="VCG102" s="769"/>
      <c r="VCH102" s="769"/>
      <c r="VCI102" s="769"/>
      <c r="VCJ102" s="769"/>
      <c r="VCK102" s="769"/>
      <c r="VCL102" s="769"/>
      <c r="VCM102" s="769"/>
      <c r="VCN102" s="769"/>
      <c r="VCO102" s="769"/>
      <c r="VCP102" s="769"/>
      <c r="VCQ102" s="769"/>
      <c r="VCR102" s="769"/>
      <c r="VCS102" s="769"/>
      <c r="VCT102" s="769"/>
      <c r="VCU102" s="769"/>
      <c r="VCV102" s="769"/>
      <c r="VCW102" s="769"/>
      <c r="VCX102" s="769"/>
      <c r="VCY102" s="769"/>
      <c r="VCZ102" s="769"/>
      <c r="VDA102" s="769"/>
      <c r="VDB102" s="769"/>
      <c r="VDC102" s="769"/>
      <c r="VDD102" s="769"/>
      <c r="VDE102" s="769"/>
      <c r="VDF102" s="769"/>
      <c r="VDG102" s="769"/>
      <c r="VDH102" s="769"/>
      <c r="VDI102" s="769"/>
      <c r="VDJ102" s="769"/>
      <c r="VDK102" s="769"/>
      <c r="VDL102" s="769"/>
      <c r="VDM102" s="769"/>
      <c r="VDN102" s="769"/>
      <c r="VDO102" s="769"/>
      <c r="VDP102" s="769"/>
      <c r="VDQ102" s="769"/>
      <c r="VDR102" s="769"/>
      <c r="VDS102" s="769"/>
      <c r="VDT102" s="769"/>
      <c r="VDU102" s="769"/>
      <c r="VDV102" s="769"/>
      <c r="VDW102" s="769"/>
      <c r="VDX102" s="769"/>
      <c r="VDY102" s="769"/>
      <c r="VDZ102" s="769"/>
      <c r="VEA102" s="769"/>
      <c r="VEB102" s="769"/>
      <c r="VEC102" s="769"/>
      <c r="VED102" s="769"/>
      <c r="VEE102" s="769"/>
      <c r="VEF102" s="769"/>
      <c r="VEG102" s="769"/>
      <c r="VEH102" s="769"/>
      <c r="VEI102" s="769"/>
      <c r="VEJ102" s="769"/>
      <c r="VEK102" s="769"/>
      <c r="VEL102" s="769"/>
      <c r="VEM102" s="769"/>
      <c r="VEN102" s="769"/>
      <c r="VEO102" s="769"/>
      <c r="VEP102" s="769"/>
      <c r="VEQ102" s="769"/>
      <c r="VER102" s="769"/>
      <c r="VES102" s="769"/>
      <c r="VET102" s="769"/>
      <c r="VEU102" s="769"/>
      <c r="VEV102" s="769"/>
      <c r="VEW102" s="769"/>
      <c r="VEX102" s="769"/>
      <c r="VEY102" s="769"/>
      <c r="VEZ102" s="769"/>
      <c r="VFA102" s="769"/>
      <c r="VFB102" s="769"/>
      <c r="VFC102" s="769"/>
      <c r="VFD102" s="769"/>
      <c r="VFE102" s="769"/>
      <c r="VFF102" s="769"/>
      <c r="VFG102" s="769"/>
      <c r="VFH102" s="769"/>
      <c r="VFI102" s="769"/>
      <c r="VFJ102" s="769"/>
      <c r="VFK102" s="769"/>
      <c r="VFL102" s="769"/>
      <c r="VFM102" s="769"/>
      <c r="VFN102" s="769"/>
      <c r="VFO102" s="769"/>
      <c r="VFP102" s="769"/>
      <c r="VFQ102" s="769"/>
      <c r="VFR102" s="769"/>
      <c r="VFS102" s="769"/>
      <c r="VFT102" s="769"/>
      <c r="VFU102" s="769"/>
      <c r="VFV102" s="769"/>
      <c r="VFW102" s="769"/>
      <c r="VFX102" s="769"/>
      <c r="VFY102" s="769"/>
      <c r="VFZ102" s="769"/>
      <c r="VGA102" s="769"/>
      <c r="VGB102" s="769"/>
      <c r="VGC102" s="769"/>
      <c r="VGD102" s="769"/>
      <c r="VGE102" s="769"/>
      <c r="VGF102" s="769"/>
      <c r="VGG102" s="769"/>
      <c r="VGH102" s="769"/>
      <c r="VGI102" s="769"/>
      <c r="VGJ102" s="769"/>
      <c r="VGK102" s="769"/>
      <c r="VGL102" s="769"/>
      <c r="VGM102" s="769"/>
      <c r="VGN102" s="769"/>
      <c r="VGO102" s="769"/>
      <c r="VGP102" s="769"/>
      <c r="VGQ102" s="769"/>
      <c r="VGR102" s="769"/>
      <c r="VGS102" s="769"/>
      <c r="VGT102" s="769"/>
      <c r="VGU102" s="769"/>
      <c r="VGV102" s="769"/>
      <c r="VGW102" s="769"/>
      <c r="VGX102" s="769"/>
      <c r="VGY102" s="769"/>
      <c r="VGZ102" s="769"/>
      <c r="VHA102" s="769"/>
      <c r="VHB102" s="769"/>
      <c r="VHC102" s="769"/>
      <c r="VHD102" s="769"/>
      <c r="VHE102" s="769"/>
      <c r="VHF102" s="769"/>
      <c r="VHG102" s="769"/>
      <c r="VHH102" s="769"/>
      <c r="VHI102" s="769"/>
      <c r="VHJ102" s="769"/>
      <c r="VHK102" s="769"/>
      <c r="VHL102" s="769"/>
      <c r="VHM102" s="769"/>
      <c r="VHN102" s="769"/>
      <c r="VHO102" s="769"/>
      <c r="VHP102" s="769"/>
      <c r="VHQ102" s="769"/>
      <c r="VHR102" s="769"/>
      <c r="VHS102" s="769"/>
      <c r="VHT102" s="769"/>
      <c r="VHU102" s="769"/>
      <c r="VHV102" s="769"/>
      <c r="VHW102" s="769"/>
      <c r="VHX102" s="769"/>
      <c r="VHY102" s="769"/>
      <c r="VHZ102" s="769"/>
      <c r="VIA102" s="769"/>
      <c r="VIB102" s="769"/>
      <c r="VIC102" s="769"/>
      <c r="VID102" s="769"/>
      <c r="VIE102" s="769"/>
      <c r="VIF102" s="769"/>
      <c r="VIG102" s="769"/>
      <c r="VIH102" s="769"/>
      <c r="VII102" s="769"/>
      <c r="VIJ102" s="769"/>
      <c r="VIK102" s="769"/>
      <c r="VIL102" s="769"/>
      <c r="VIM102" s="769"/>
      <c r="VIN102" s="769"/>
      <c r="VIO102" s="769"/>
      <c r="VIP102" s="769"/>
      <c r="VIQ102" s="769"/>
      <c r="VIR102" s="769"/>
      <c r="VIS102" s="769"/>
      <c r="VIT102" s="769"/>
      <c r="VIU102" s="769"/>
      <c r="VIV102" s="769"/>
      <c r="VIW102" s="769"/>
      <c r="VIX102" s="769"/>
      <c r="VIY102" s="769"/>
      <c r="VIZ102" s="769"/>
      <c r="VJA102" s="769"/>
      <c r="VJB102" s="769"/>
      <c r="VJC102" s="769"/>
      <c r="VJD102" s="769"/>
      <c r="VJE102" s="769"/>
      <c r="VJF102" s="769"/>
      <c r="VJG102" s="769"/>
      <c r="VJH102" s="769"/>
      <c r="VJI102" s="769"/>
      <c r="VJJ102" s="769"/>
      <c r="VJK102" s="769"/>
      <c r="VJL102" s="769"/>
      <c r="VJM102" s="769"/>
      <c r="VJN102" s="769"/>
      <c r="VJO102" s="769"/>
      <c r="VJP102" s="769"/>
      <c r="VJQ102" s="769"/>
      <c r="VJR102" s="769"/>
      <c r="VJS102" s="769"/>
      <c r="VJT102" s="769"/>
      <c r="VJU102" s="769"/>
      <c r="VJV102" s="769"/>
      <c r="VJW102" s="769"/>
      <c r="VJX102" s="769"/>
      <c r="VJY102" s="769"/>
      <c r="VJZ102" s="769"/>
      <c r="VKA102" s="769"/>
      <c r="VKB102" s="769"/>
      <c r="VKC102" s="769"/>
      <c r="VKD102" s="769"/>
      <c r="VKE102" s="769"/>
      <c r="VKF102" s="769"/>
      <c r="VKG102" s="769"/>
      <c r="VKH102" s="769"/>
      <c r="VKI102" s="769"/>
      <c r="VKJ102" s="769"/>
      <c r="VKK102" s="769"/>
      <c r="VKL102" s="769"/>
      <c r="VKM102" s="769"/>
      <c r="VKN102" s="769"/>
      <c r="VKO102" s="769"/>
      <c r="VKP102" s="769"/>
      <c r="VKQ102" s="769"/>
      <c r="VKR102" s="769"/>
      <c r="VKS102" s="769"/>
      <c r="VKT102" s="769"/>
      <c r="VKU102" s="769"/>
      <c r="VKV102" s="769"/>
      <c r="VKW102" s="769"/>
      <c r="VKX102" s="769"/>
      <c r="VKY102" s="769"/>
      <c r="VKZ102" s="769"/>
      <c r="VLA102" s="769"/>
      <c r="VLB102" s="769"/>
      <c r="VLC102" s="769"/>
      <c r="VLD102" s="769"/>
      <c r="VLE102" s="769"/>
      <c r="VLF102" s="769"/>
      <c r="VLG102" s="769"/>
      <c r="VLH102" s="769"/>
      <c r="VLI102" s="769"/>
      <c r="VLJ102" s="769"/>
      <c r="VLK102" s="769"/>
      <c r="VLL102" s="769"/>
      <c r="VLM102" s="769"/>
      <c r="VLN102" s="769"/>
      <c r="VLO102" s="769"/>
      <c r="VLP102" s="769"/>
      <c r="VLQ102" s="769"/>
      <c r="VLR102" s="769"/>
      <c r="VLS102" s="769"/>
      <c r="VLT102" s="769"/>
      <c r="VLU102" s="769"/>
      <c r="VLV102" s="769"/>
      <c r="VLW102" s="769"/>
      <c r="VLX102" s="769"/>
      <c r="VLY102" s="769"/>
      <c r="VLZ102" s="769"/>
      <c r="VMA102" s="769"/>
      <c r="VMB102" s="769"/>
      <c r="VMC102" s="769"/>
      <c r="VMD102" s="769"/>
      <c r="VME102" s="769"/>
      <c r="VMF102" s="769"/>
      <c r="VMG102" s="769"/>
      <c r="VMH102" s="769"/>
      <c r="VMI102" s="769"/>
      <c r="VMJ102" s="769"/>
      <c r="VMK102" s="769"/>
      <c r="VML102" s="769"/>
      <c r="VMM102" s="769"/>
      <c r="VMN102" s="769"/>
      <c r="VMO102" s="769"/>
      <c r="VMP102" s="769"/>
      <c r="VMQ102" s="769"/>
      <c r="VMR102" s="769"/>
      <c r="VMS102" s="769"/>
      <c r="VMT102" s="769"/>
      <c r="VMU102" s="769"/>
      <c r="VMV102" s="769"/>
      <c r="VMW102" s="769"/>
      <c r="VMX102" s="769"/>
      <c r="VMY102" s="769"/>
      <c r="VMZ102" s="769"/>
      <c r="VNA102" s="769"/>
      <c r="VNB102" s="769"/>
      <c r="VNC102" s="769"/>
      <c r="VND102" s="769"/>
      <c r="VNE102" s="769"/>
      <c r="VNF102" s="769"/>
      <c r="VNG102" s="769"/>
      <c r="VNH102" s="769"/>
      <c r="VNI102" s="769"/>
      <c r="VNJ102" s="769"/>
      <c r="VNK102" s="769"/>
      <c r="VNL102" s="769"/>
      <c r="VNM102" s="769"/>
      <c r="VNN102" s="769"/>
      <c r="VNO102" s="769"/>
      <c r="VNP102" s="769"/>
      <c r="VNQ102" s="769"/>
      <c r="VNR102" s="769"/>
      <c r="VNS102" s="769"/>
      <c r="VNT102" s="769"/>
      <c r="VNU102" s="769"/>
      <c r="VNV102" s="769"/>
      <c r="VNW102" s="769"/>
      <c r="VNX102" s="769"/>
      <c r="VNY102" s="769"/>
      <c r="VNZ102" s="769"/>
      <c r="VOA102" s="769"/>
      <c r="VOB102" s="769"/>
      <c r="VOC102" s="769"/>
      <c r="VOD102" s="769"/>
      <c r="VOE102" s="769"/>
      <c r="VOF102" s="769"/>
      <c r="VOG102" s="769"/>
      <c r="VOH102" s="769"/>
      <c r="VOI102" s="769"/>
      <c r="VOJ102" s="769"/>
      <c r="VOK102" s="769"/>
      <c r="VOL102" s="769"/>
      <c r="VOM102" s="769"/>
      <c r="VON102" s="769"/>
      <c r="VOO102" s="769"/>
      <c r="VOP102" s="769"/>
      <c r="VOQ102" s="769"/>
      <c r="VOR102" s="769"/>
      <c r="VOS102" s="769"/>
      <c r="VOT102" s="769"/>
      <c r="VOU102" s="769"/>
      <c r="VOV102" s="769"/>
      <c r="VOW102" s="769"/>
      <c r="VOX102" s="769"/>
      <c r="VOY102" s="769"/>
      <c r="VOZ102" s="769"/>
      <c r="VPA102" s="769"/>
      <c r="VPB102" s="769"/>
      <c r="VPC102" s="769"/>
      <c r="VPD102" s="769"/>
      <c r="VPE102" s="769"/>
      <c r="VPF102" s="769"/>
      <c r="VPG102" s="769"/>
      <c r="VPH102" s="769"/>
      <c r="VPI102" s="769"/>
      <c r="VPJ102" s="769"/>
      <c r="VPK102" s="769"/>
      <c r="VPL102" s="769"/>
      <c r="VPM102" s="769"/>
      <c r="VPN102" s="769"/>
      <c r="VPO102" s="769"/>
      <c r="VPP102" s="769"/>
      <c r="VPQ102" s="769"/>
      <c r="VPR102" s="769"/>
      <c r="VPS102" s="769"/>
      <c r="VPT102" s="769"/>
      <c r="VPU102" s="769"/>
      <c r="VPV102" s="769"/>
      <c r="VPW102" s="769"/>
      <c r="VPX102" s="769"/>
      <c r="VPY102" s="769"/>
      <c r="VPZ102" s="769"/>
      <c r="VQA102" s="769"/>
      <c r="VQB102" s="769"/>
      <c r="VQC102" s="769"/>
      <c r="VQD102" s="769"/>
      <c r="VQE102" s="769"/>
      <c r="VQF102" s="769"/>
      <c r="VQG102" s="769"/>
      <c r="VQH102" s="769"/>
      <c r="VQI102" s="769"/>
      <c r="VQJ102" s="769"/>
      <c r="VQK102" s="769"/>
      <c r="VQL102" s="769"/>
      <c r="VQM102" s="769"/>
      <c r="VQN102" s="769"/>
      <c r="VQO102" s="769"/>
      <c r="VQP102" s="769"/>
      <c r="VQQ102" s="769"/>
      <c r="VQR102" s="769"/>
      <c r="VQS102" s="769"/>
      <c r="VQT102" s="769"/>
      <c r="VQU102" s="769"/>
      <c r="VQV102" s="769"/>
      <c r="VQW102" s="769"/>
      <c r="VQX102" s="769"/>
      <c r="VQY102" s="769"/>
      <c r="VQZ102" s="769"/>
      <c r="VRA102" s="769"/>
      <c r="VRB102" s="769"/>
      <c r="VRC102" s="769"/>
      <c r="VRD102" s="769"/>
      <c r="VRE102" s="769"/>
      <c r="VRF102" s="769"/>
      <c r="VRG102" s="769"/>
      <c r="VRH102" s="769"/>
      <c r="VRI102" s="769"/>
      <c r="VRJ102" s="769"/>
      <c r="VRK102" s="769"/>
      <c r="VRL102" s="769"/>
      <c r="VRM102" s="769"/>
      <c r="VRN102" s="769"/>
      <c r="VRO102" s="769"/>
      <c r="VRP102" s="769"/>
      <c r="VRQ102" s="769"/>
      <c r="VRR102" s="769"/>
      <c r="VRS102" s="769"/>
      <c r="VRT102" s="769"/>
      <c r="VRU102" s="769"/>
      <c r="VRV102" s="769"/>
      <c r="VRW102" s="769"/>
      <c r="VRX102" s="769"/>
      <c r="VRY102" s="769"/>
      <c r="VRZ102" s="769"/>
      <c r="VSA102" s="769"/>
      <c r="VSB102" s="769"/>
      <c r="VSC102" s="769"/>
      <c r="VSD102" s="769"/>
      <c r="VSE102" s="769"/>
      <c r="VSF102" s="769"/>
      <c r="VSG102" s="769"/>
      <c r="VSH102" s="769"/>
      <c r="VSI102" s="769"/>
      <c r="VSJ102" s="769"/>
      <c r="VSK102" s="769"/>
      <c r="VSL102" s="769"/>
      <c r="VSM102" s="769"/>
      <c r="VSN102" s="769"/>
      <c r="VSO102" s="769"/>
      <c r="VSP102" s="769"/>
      <c r="VSQ102" s="769"/>
      <c r="VSR102" s="769"/>
      <c r="VSS102" s="769"/>
      <c r="VST102" s="769"/>
      <c r="VSU102" s="769"/>
      <c r="VSV102" s="769"/>
      <c r="VSW102" s="769"/>
      <c r="VSX102" s="769"/>
      <c r="VSY102" s="769"/>
      <c r="VSZ102" s="769"/>
      <c r="VTA102" s="769"/>
      <c r="VTB102" s="769"/>
      <c r="VTC102" s="769"/>
      <c r="VTD102" s="769"/>
      <c r="VTE102" s="769"/>
      <c r="VTF102" s="769"/>
      <c r="VTG102" s="769"/>
      <c r="VTH102" s="769"/>
      <c r="VTI102" s="769"/>
      <c r="VTJ102" s="769"/>
      <c r="VTK102" s="769"/>
      <c r="VTL102" s="769"/>
      <c r="VTM102" s="769"/>
      <c r="VTN102" s="769"/>
      <c r="VTO102" s="769"/>
      <c r="VTP102" s="769"/>
      <c r="VTQ102" s="769"/>
      <c r="VTR102" s="769"/>
      <c r="VTS102" s="769"/>
      <c r="VTT102" s="769"/>
      <c r="VTU102" s="769"/>
      <c r="VTV102" s="769"/>
      <c r="VTW102" s="769"/>
      <c r="VTX102" s="769"/>
      <c r="VTY102" s="769"/>
      <c r="VTZ102" s="769"/>
      <c r="VUA102" s="769"/>
      <c r="VUB102" s="769"/>
      <c r="VUC102" s="769"/>
      <c r="VUD102" s="769"/>
      <c r="VUE102" s="769"/>
      <c r="VUF102" s="769"/>
      <c r="VUG102" s="769"/>
      <c r="VUH102" s="769"/>
      <c r="VUI102" s="769"/>
      <c r="VUJ102" s="769"/>
      <c r="VUK102" s="769"/>
      <c r="VUL102" s="769"/>
      <c r="VUM102" s="769"/>
      <c r="VUN102" s="769"/>
      <c r="VUO102" s="769"/>
      <c r="VUP102" s="769"/>
      <c r="VUQ102" s="769"/>
      <c r="VUR102" s="769"/>
      <c r="VUS102" s="769"/>
      <c r="VUT102" s="769"/>
      <c r="VUU102" s="769"/>
      <c r="VUV102" s="769"/>
      <c r="VUW102" s="769"/>
      <c r="VUX102" s="769"/>
      <c r="VUY102" s="769"/>
      <c r="VUZ102" s="769"/>
      <c r="VVA102" s="769"/>
      <c r="VVB102" s="769"/>
      <c r="VVC102" s="769"/>
      <c r="VVD102" s="769"/>
      <c r="VVE102" s="769"/>
      <c r="VVF102" s="769"/>
      <c r="VVG102" s="769"/>
      <c r="VVH102" s="769"/>
      <c r="VVI102" s="769"/>
      <c r="VVJ102" s="769"/>
      <c r="VVK102" s="769"/>
      <c r="VVL102" s="769"/>
      <c r="VVM102" s="769"/>
      <c r="VVN102" s="769"/>
      <c r="VVO102" s="769"/>
      <c r="VVP102" s="769"/>
      <c r="VVQ102" s="769"/>
      <c r="VVR102" s="769"/>
      <c r="VVS102" s="769"/>
      <c r="VVT102" s="769"/>
      <c r="VVU102" s="769"/>
      <c r="VVV102" s="769"/>
      <c r="VVW102" s="769"/>
      <c r="VVX102" s="769"/>
      <c r="VVY102" s="769"/>
      <c r="VVZ102" s="769"/>
      <c r="VWA102" s="769"/>
      <c r="VWB102" s="769"/>
      <c r="VWC102" s="769"/>
      <c r="VWD102" s="769"/>
      <c r="VWE102" s="769"/>
      <c r="VWF102" s="769"/>
      <c r="VWG102" s="769"/>
      <c r="VWH102" s="769"/>
      <c r="VWI102" s="769"/>
      <c r="VWJ102" s="769"/>
      <c r="VWK102" s="769"/>
      <c r="VWL102" s="769"/>
      <c r="VWM102" s="769"/>
      <c r="VWN102" s="769"/>
      <c r="VWO102" s="769"/>
      <c r="VWP102" s="769"/>
      <c r="VWQ102" s="769"/>
      <c r="VWR102" s="769"/>
      <c r="VWS102" s="769"/>
      <c r="VWT102" s="769"/>
      <c r="VWU102" s="769"/>
      <c r="VWV102" s="769"/>
      <c r="VWW102" s="769"/>
      <c r="VWX102" s="769"/>
      <c r="VWY102" s="769"/>
      <c r="VWZ102" s="769"/>
      <c r="VXA102" s="769"/>
      <c r="VXB102" s="769"/>
      <c r="VXC102" s="769"/>
      <c r="VXD102" s="769"/>
      <c r="VXE102" s="769"/>
      <c r="VXF102" s="769"/>
      <c r="VXG102" s="769"/>
      <c r="VXH102" s="769"/>
      <c r="VXI102" s="769"/>
      <c r="VXJ102" s="769"/>
      <c r="VXK102" s="769"/>
      <c r="VXL102" s="769"/>
      <c r="VXM102" s="769"/>
      <c r="VXN102" s="769"/>
      <c r="VXO102" s="769"/>
      <c r="VXP102" s="769"/>
      <c r="VXQ102" s="769"/>
      <c r="VXR102" s="769"/>
      <c r="VXS102" s="769"/>
      <c r="VXT102" s="769"/>
      <c r="VXU102" s="769"/>
      <c r="VXV102" s="769"/>
      <c r="VXW102" s="769"/>
      <c r="VXX102" s="769"/>
      <c r="VXY102" s="769"/>
      <c r="VXZ102" s="769"/>
      <c r="VYA102" s="769"/>
      <c r="VYB102" s="769"/>
      <c r="VYC102" s="769"/>
      <c r="VYD102" s="769"/>
      <c r="VYE102" s="769"/>
      <c r="VYF102" s="769"/>
      <c r="VYG102" s="769"/>
      <c r="VYH102" s="769"/>
      <c r="VYI102" s="769"/>
      <c r="VYJ102" s="769"/>
      <c r="VYK102" s="769"/>
      <c r="VYL102" s="769"/>
      <c r="VYM102" s="769"/>
      <c r="VYN102" s="769"/>
      <c r="VYO102" s="769"/>
      <c r="VYP102" s="769"/>
      <c r="VYQ102" s="769"/>
      <c r="VYR102" s="769"/>
      <c r="VYS102" s="769"/>
      <c r="VYT102" s="769"/>
      <c r="VYU102" s="769"/>
      <c r="VYV102" s="769"/>
      <c r="VYW102" s="769"/>
      <c r="VYX102" s="769"/>
      <c r="VYY102" s="769"/>
      <c r="VYZ102" s="769"/>
      <c r="VZA102" s="769"/>
      <c r="VZB102" s="769"/>
      <c r="VZC102" s="769"/>
      <c r="VZD102" s="769"/>
      <c r="VZE102" s="769"/>
      <c r="VZF102" s="769"/>
      <c r="VZG102" s="769"/>
      <c r="VZH102" s="769"/>
      <c r="VZI102" s="769"/>
      <c r="VZJ102" s="769"/>
      <c r="VZK102" s="769"/>
      <c r="VZL102" s="769"/>
      <c r="VZM102" s="769"/>
      <c r="VZN102" s="769"/>
      <c r="VZO102" s="769"/>
      <c r="VZP102" s="769"/>
      <c r="VZQ102" s="769"/>
      <c r="VZR102" s="769"/>
      <c r="VZS102" s="769"/>
      <c r="VZT102" s="769"/>
      <c r="VZU102" s="769"/>
      <c r="VZV102" s="769"/>
      <c r="VZW102" s="769"/>
      <c r="VZX102" s="769"/>
      <c r="VZY102" s="769"/>
      <c r="VZZ102" s="769"/>
      <c r="WAA102" s="769"/>
      <c r="WAB102" s="769"/>
      <c r="WAC102" s="769"/>
      <c r="WAD102" s="769"/>
      <c r="WAE102" s="769"/>
      <c r="WAF102" s="769"/>
      <c r="WAG102" s="769"/>
      <c r="WAH102" s="769"/>
      <c r="WAI102" s="769"/>
      <c r="WAJ102" s="769"/>
      <c r="WAK102" s="769"/>
      <c r="WAL102" s="769"/>
      <c r="WAM102" s="769"/>
      <c r="WAN102" s="769"/>
      <c r="WAO102" s="769"/>
      <c r="WAP102" s="769"/>
      <c r="WAQ102" s="769"/>
      <c r="WAR102" s="769"/>
      <c r="WAS102" s="769"/>
      <c r="WAT102" s="769"/>
      <c r="WAU102" s="769"/>
      <c r="WAV102" s="769"/>
      <c r="WAW102" s="769"/>
      <c r="WAX102" s="769"/>
      <c r="WAY102" s="769"/>
      <c r="WAZ102" s="769"/>
      <c r="WBA102" s="769"/>
      <c r="WBB102" s="769"/>
      <c r="WBC102" s="769"/>
      <c r="WBD102" s="769"/>
      <c r="WBE102" s="769"/>
      <c r="WBF102" s="769"/>
      <c r="WBG102" s="769"/>
      <c r="WBH102" s="769"/>
      <c r="WBI102" s="769"/>
      <c r="WBJ102" s="769"/>
      <c r="WBK102" s="769"/>
      <c r="WBL102" s="769"/>
      <c r="WBM102" s="769"/>
      <c r="WBN102" s="769"/>
      <c r="WBO102" s="769"/>
      <c r="WBP102" s="769"/>
      <c r="WBQ102" s="769"/>
      <c r="WBR102" s="769"/>
      <c r="WBS102" s="769"/>
      <c r="WBT102" s="769"/>
      <c r="WBU102" s="769"/>
      <c r="WBV102" s="769"/>
      <c r="WBW102" s="769"/>
      <c r="WBX102" s="769"/>
      <c r="WBY102" s="769"/>
      <c r="WBZ102" s="769"/>
      <c r="WCA102" s="769"/>
      <c r="WCB102" s="769"/>
      <c r="WCC102" s="769"/>
      <c r="WCD102" s="769"/>
      <c r="WCE102" s="769"/>
      <c r="WCF102" s="769"/>
      <c r="WCG102" s="769"/>
      <c r="WCH102" s="769"/>
      <c r="WCI102" s="769"/>
      <c r="WCJ102" s="769"/>
      <c r="WCK102" s="769"/>
      <c r="WCL102" s="769"/>
      <c r="WCM102" s="769"/>
      <c r="WCN102" s="769"/>
      <c r="WCO102" s="769"/>
      <c r="WCP102" s="769"/>
      <c r="WCQ102" s="769"/>
      <c r="WCR102" s="769"/>
      <c r="WCS102" s="769"/>
      <c r="WCT102" s="769"/>
      <c r="WCU102" s="769"/>
      <c r="WCV102" s="769"/>
      <c r="WCW102" s="769"/>
      <c r="WCX102" s="769"/>
      <c r="WCY102" s="769"/>
      <c r="WCZ102" s="769"/>
      <c r="WDA102" s="769"/>
      <c r="WDB102" s="769"/>
      <c r="WDC102" s="769"/>
      <c r="WDD102" s="769"/>
      <c r="WDE102" s="769"/>
      <c r="WDF102" s="769"/>
      <c r="WDG102" s="769"/>
      <c r="WDH102" s="769"/>
      <c r="WDI102" s="769"/>
      <c r="WDJ102" s="769"/>
      <c r="WDK102" s="769"/>
      <c r="WDL102" s="769"/>
      <c r="WDM102" s="769"/>
      <c r="WDN102" s="769"/>
      <c r="WDO102" s="769"/>
      <c r="WDP102" s="769"/>
      <c r="WDQ102" s="769"/>
      <c r="WDR102" s="769"/>
      <c r="WDS102" s="769"/>
      <c r="WDT102" s="769"/>
      <c r="WDU102" s="769"/>
      <c r="WDV102" s="769"/>
      <c r="WDW102" s="769"/>
      <c r="WDX102" s="769"/>
      <c r="WDY102" s="769"/>
      <c r="WDZ102" s="769"/>
      <c r="WEA102" s="769"/>
      <c r="WEB102" s="769"/>
      <c r="WEC102" s="769"/>
      <c r="WED102" s="769"/>
      <c r="WEE102" s="769"/>
      <c r="WEF102" s="769"/>
      <c r="WEG102" s="769"/>
      <c r="WEH102" s="769"/>
      <c r="WEI102" s="769"/>
      <c r="WEJ102" s="769"/>
      <c r="WEK102" s="769"/>
      <c r="WEL102" s="769"/>
      <c r="WEM102" s="769"/>
      <c r="WEN102" s="769"/>
      <c r="WEO102" s="769"/>
      <c r="WEP102" s="769"/>
      <c r="WEQ102" s="769"/>
      <c r="WER102" s="769"/>
      <c r="WES102" s="769"/>
      <c r="WET102" s="769"/>
      <c r="WEU102" s="769"/>
      <c r="WEV102" s="769"/>
      <c r="WEW102" s="769"/>
      <c r="WEX102" s="769"/>
      <c r="WEY102" s="769"/>
      <c r="WEZ102" s="769"/>
      <c r="WFA102" s="769"/>
      <c r="WFB102" s="769"/>
      <c r="WFC102" s="769"/>
      <c r="WFD102" s="769"/>
      <c r="WFE102" s="769"/>
      <c r="WFF102" s="769"/>
      <c r="WFG102" s="769"/>
      <c r="WFH102" s="769"/>
      <c r="WFI102" s="769"/>
      <c r="WFJ102" s="769"/>
      <c r="WFK102" s="769"/>
      <c r="WFL102" s="769"/>
      <c r="WFM102" s="769"/>
      <c r="WFN102" s="769"/>
      <c r="WFO102" s="769"/>
      <c r="WFP102" s="769"/>
      <c r="WFQ102" s="769"/>
      <c r="WFR102" s="769"/>
      <c r="WFS102" s="769"/>
      <c r="WFT102" s="769"/>
      <c r="WFU102" s="769"/>
      <c r="WFV102" s="769"/>
      <c r="WFW102" s="769"/>
      <c r="WFX102" s="769"/>
      <c r="WFY102" s="769"/>
      <c r="WFZ102" s="769"/>
      <c r="WGA102" s="769"/>
      <c r="WGB102" s="769"/>
      <c r="WGC102" s="769"/>
      <c r="WGD102" s="769"/>
      <c r="WGE102" s="769"/>
      <c r="WGF102" s="769"/>
      <c r="WGG102" s="769"/>
      <c r="WGH102" s="769"/>
      <c r="WGI102" s="769"/>
      <c r="WGJ102" s="769"/>
      <c r="WGK102" s="769"/>
      <c r="WGL102" s="769"/>
      <c r="WGM102" s="769"/>
      <c r="WGN102" s="769"/>
      <c r="WGO102" s="769"/>
      <c r="WGP102" s="769"/>
      <c r="WGQ102" s="769"/>
      <c r="WGR102" s="769"/>
      <c r="WGS102" s="769"/>
      <c r="WGT102" s="769"/>
      <c r="WGU102" s="769"/>
      <c r="WGV102" s="769"/>
      <c r="WGW102" s="769"/>
      <c r="WGX102" s="769"/>
      <c r="WGY102" s="769"/>
      <c r="WGZ102" s="769"/>
      <c r="WHA102" s="769"/>
      <c r="WHB102" s="769"/>
      <c r="WHC102" s="769"/>
      <c r="WHD102" s="769"/>
      <c r="WHE102" s="769"/>
      <c r="WHF102" s="769"/>
      <c r="WHG102" s="769"/>
      <c r="WHH102" s="769"/>
      <c r="WHI102" s="769"/>
      <c r="WHJ102" s="769"/>
      <c r="WHK102" s="769"/>
      <c r="WHL102" s="769"/>
      <c r="WHM102" s="769"/>
      <c r="WHN102" s="769"/>
      <c r="WHO102" s="769"/>
      <c r="WHP102" s="769"/>
      <c r="WHQ102" s="769"/>
      <c r="WHR102" s="769"/>
      <c r="WHS102" s="769"/>
      <c r="WHT102" s="769"/>
      <c r="WHU102" s="769"/>
      <c r="WHV102" s="769"/>
      <c r="WHW102" s="769"/>
      <c r="WHX102" s="769"/>
      <c r="WHY102" s="769"/>
      <c r="WHZ102" s="769"/>
      <c r="WIA102" s="769"/>
      <c r="WIB102" s="769"/>
      <c r="WIC102" s="769"/>
      <c r="WID102" s="769"/>
      <c r="WIE102" s="769"/>
      <c r="WIF102" s="769"/>
      <c r="WIG102" s="769"/>
      <c r="WIH102" s="769"/>
      <c r="WII102" s="769"/>
      <c r="WIJ102" s="769"/>
      <c r="WIK102" s="769"/>
      <c r="WIL102" s="769"/>
      <c r="WIM102" s="769"/>
      <c r="WIN102" s="769"/>
      <c r="WIO102" s="769"/>
      <c r="WIP102" s="769"/>
      <c r="WIQ102" s="769"/>
      <c r="WIR102" s="769"/>
      <c r="WIS102" s="769"/>
      <c r="WIT102" s="769"/>
      <c r="WIU102" s="769"/>
      <c r="WIV102" s="769"/>
      <c r="WIW102" s="769"/>
      <c r="WIX102" s="769"/>
      <c r="WIY102" s="769"/>
      <c r="WIZ102" s="769"/>
      <c r="WJA102" s="769"/>
      <c r="WJB102" s="769"/>
      <c r="WJC102" s="769"/>
      <c r="WJD102" s="769"/>
      <c r="WJE102" s="769"/>
      <c r="WJF102" s="769"/>
      <c r="WJG102" s="769"/>
      <c r="WJH102" s="769"/>
      <c r="WJI102" s="769"/>
      <c r="WJJ102" s="769"/>
      <c r="WJK102" s="769"/>
      <c r="WJL102" s="769"/>
      <c r="WJM102" s="769"/>
      <c r="WJN102" s="769"/>
      <c r="WJO102" s="769"/>
      <c r="WJP102" s="769"/>
      <c r="WJQ102" s="769"/>
      <c r="WJR102" s="769"/>
      <c r="WJS102" s="769"/>
      <c r="WJT102" s="769"/>
      <c r="WJU102" s="769"/>
      <c r="WJV102" s="769"/>
      <c r="WJW102" s="769"/>
      <c r="WJX102" s="769"/>
      <c r="WJY102" s="769"/>
      <c r="WJZ102" s="769"/>
      <c r="WKA102" s="769"/>
      <c r="WKB102" s="769"/>
      <c r="WKC102" s="769"/>
      <c r="WKD102" s="769"/>
      <c r="WKE102" s="769"/>
      <c r="WKF102" s="769"/>
      <c r="WKG102" s="769"/>
      <c r="WKH102" s="769"/>
      <c r="WKI102" s="769"/>
      <c r="WKJ102" s="769"/>
      <c r="WKK102" s="769"/>
      <c r="WKL102" s="769"/>
      <c r="WKM102" s="769"/>
      <c r="WKN102" s="769"/>
      <c r="WKO102" s="769"/>
      <c r="WKP102" s="769"/>
      <c r="WKQ102" s="769"/>
      <c r="WKR102" s="769"/>
      <c r="WKS102" s="769"/>
      <c r="WKT102" s="769"/>
      <c r="WKU102" s="769"/>
      <c r="WKV102" s="769"/>
      <c r="WKW102" s="769"/>
      <c r="WKX102" s="769"/>
      <c r="WKY102" s="769"/>
      <c r="WKZ102" s="769"/>
      <c r="WLA102" s="769"/>
      <c r="WLB102" s="769"/>
      <c r="WLC102" s="769"/>
      <c r="WLD102" s="769"/>
      <c r="WLE102" s="769"/>
      <c r="WLF102" s="769"/>
      <c r="WLG102" s="769"/>
      <c r="WLH102" s="769"/>
      <c r="WLI102" s="769"/>
      <c r="WLJ102" s="769"/>
      <c r="WLK102" s="769"/>
      <c r="WLL102" s="769"/>
      <c r="WLM102" s="769"/>
      <c r="WLN102" s="769"/>
      <c r="WLO102" s="769"/>
      <c r="WLP102" s="769"/>
      <c r="WLQ102" s="769"/>
      <c r="WLR102" s="769"/>
      <c r="WLS102" s="769"/>
      <c r="WLT102" s="769"/>
      <c r="WLU102" s="769"/>
      <c r="WLV102" s="769"/>
      <c r="WLW102" s="769"/>
      <c r="WLX102" s="769"/>
      <c r="WLY102" s="769"/>
      <c r="WLZ102" s="769"/>
      <c r="WMA102" s="769"/>
      <c r="WMB102" s="769"/>
      <c r="WMC102" s="769"/>
      <c r="WMD102" s="769"/>
      <c r="WME102" s="769"/>
      <c r="WMF102" s="769"/>
      <c r="WMG102" s="769"/>
      <c r="WMH102" s="769"/>
      <c r="WMI102" s="769"/>
      <c r="WMJ102" s="769"/>
      <c r="WMK102" s="769"/>
      <c r="WML102" s="769"/>
      <c r="WMM102" s="769"/>
      <c r="WMN102" s="769"/>
      <c r="WMO102" s="769"/>
      <c r="WMP102" s="769"/>
      <c r="WMQ102" s="769"/>
      <c r="WMR102" s="769"/>
      <c r="WMS102" s="769"/>
      <c r="WMT102" s="769"/>
      <c r="WMU102" s="769"/>
      <c r="WMV102" s="769"/>
      <c r="WMW102" s="769"/>
      <c r="WMX102" s="769"/>
      <c r="WMY102" s="769"/>
      <c r="WMZ102" s="769"/>
      <c r="WNA102" s="769"/>
      <c r="WNB102" s="769"/>
      <c r="WNC102" s="769"/>
      <c r="WND102" s="769"/>
      <c r="WNE102" s="769"/>
      <c r="WNF102" s="769"/>
      <c r="WNG102" s="769"/>
      <c r="WNH102" s="769"/>
      <c r="WNI102" s="769"/>
      <c r="WNJ102" s="769"/>
      <c r="WNK102" s="769"/>
      <c r="WNL102" s="769"/>
      <c r="WNM102" s="769"/>
      <c r="WNN102" s="769"/>
      <c r="WNO102" s="769"/>
      <c r="WNP102" s="769"/>
      <c r="WNQ102" s="769"/>
      <c r="WNR102" s="769"/>
      <c r="WNS102" s="769"/>
      <c r="WNT102" s="769"/>
      <c r="WNU102" s="769"/>
      <c r="WNV102" s="769"/>
      <c r="WNW102" s="769"/>
      <c r="WNX102" s="769"/>
      <c r="WNY102" s="769"/>
      <c r="WNZ102" s="769"/>
      <c r="WOA102" s="769"/>
      <c r="WOB102" s="769"/>
      <c r="WOC102" s="769"/>
      <c r="WOD102" s="769"/>
      <c r="WOE102" s="769"/>
      <c r="WOF102" s="769"/>
      <c r="WOG102" s="769"/>
      <c r="WOH102" s="769"/>
      <c r="WOI102" s="769"/>
      <c r="WOJ102" s="769"/>
      <c r="WOK102" s="769"/>
      <c r="WOL102" s="769"/>
      <c r="WOM102" s="769"/>
      <c r="WON102" s="769"/>
      <c r="WOO102" s="769"/>
      <c r="WOP102" s="769"/>
      <c r="WOQ102" s="769"/>
      <c r="WOR102" s="769"/>
      <c r="WOS102" s="769"/>
      <c r="WOT102" s="769"/>
      <c r="WOU102" s="769"/>
      <c r="WOV102" s="769"/>
      <c r="WOW102" s="769"/>
      <c r="WOX102" s="769"/>
      <c r="WOY102" s="769"/>
      <c r="WOZ102" s="769"/>
      <c r="WPA102" s="769"/>
      <c r="WPB102" s="769"/>
      <c r="WPC102" s="769"/>
      <c r="WPD102" s="769"/>
      <c r="WPE102" s="769"/>
      <c r="WPF102" s="769"/>
      <c r="WPG102" s="769"/>
      <c r="WPH102" s="769"/>
      <c r="WPI102" s="769"/>
      <c r="WPJ102" s="769"/>
      <c r="WPK102" s="769"/>
      <c r="WPL102" s="769"/>
      <c r="WPM102" s="769"/>
      <c r="WPN102" s="769"/>
      <c r="WPO102" s="769"/>
      <c r="WPP102" s="769"/>
      <c r="WPQ102" s="769"/>
      <c r="WPR102" s="769"/>
      <c r="WPS102" s="769"/>
      <c r="WPT102" s="769"/>
      <c r="WPU102" s="769"/>
      <c r="WPV102" s="769"/>
      <c r="WPW102" s="769"/>
      <c r="WPX102" s="769"/>
      <c r="WPY102" s="769"/>
      <c r="WPZ102" s="769"/>
      <c r="WQA102" s="769"/>
      <c r="WQB102" s="769"/>
      <c r="WQC102" s="769"/>
      <c r="WQD102" s="769"/>
      <c r="WQE102" s="769"/>
      <c r="WQF102" s="769"/>
      <c r="WQG102" s="769"/>
      <c r="WQH102" s="769"/>
      <c r="WQI102" s="769"/>
      <c r="WQJ102" s="769"/>
      <c r="WQK102" s="769"/>
      <c r="WQL102" s="769"/>
      <c r="WQM102" s="769"/>
      <c r="WQN102" s="769"/>
      <c r="WQO102" s="769"/>
      <c r="WQP102" s="769"/>
      <c r="WQQ102" s="769"/>
      <c r="WQR102" s="769"/>
      <c r="WQS102" s="769"/>
      <c r="WQT102" s="769"/>
      <c r="WQU102" s="769"/>
      <c r="WQV102" s="769"/>
      <c r="WQW102" s="769"/>
      <c r="WQX102" s="769"/>
      <c r="WQY102" s="769"/>
      <c r="WQZ102" s="769"/>
      <c r="WRA102" s="769"/>
      <c r="WRB102" s="769"/>
      <c r="WRC102" s="769"/>
      <c r="WRD102" s="769"/>
      <c r="WRE102" s="769"/>
      <c r="WRF102" s="769"/>
      <c r="WRG102" s="769"/>
      <c r="WRH102" s="769"/>
      <c r="WRI102" s="769"/>
      <c r="WRJ102" s="769"/>
      <c r="WRK102" s="769"/>
      <c r="WRL102" s="769"/>
      <c r="WRM102" s="769"/>
      <c r="WRN102" s="769"/>
      <c r="WRO102" s="769"/>
      <c r="WRP102" s="769"/>
      <c r="WRQ102" s="769"/>
      <c r="WRR102" s="769"/>
      <c r="WRS102" s="769"/>
      <c r="WRT102" s="769"/>
      <c r="WRU102" s="769"/>
      <c r="WRV102" s="769"/>
      <c r="WRW102" s="769"/>
      <c r="WRX102" s="769"/>
      <c r="WRY102" s="769"/>
      <c r="WRZ102" s="769"/>
      <c r="WSA102" s="769"/>
      <c r="WSB102" s="769"/>
      <c r="WSC102" s="769"/>
      <c r="WSD102" s="769"/>
      <c r="WSE102" s="769"/>
      <c r="WSF102" s="769"/>
      <c r="WSG102" s="769"/>
      <c r="WSH102" s="769"/>
      <c r="WSI102" s="769"/>
      <c r="WSJ102" s="769"/>
      <c r="WSK102" s="769"/>
      <c r="WSL102" s="769"/>
      <c r="WSM102" s="769"/>
      <c r="WSN102" s="769"/>
      <c r="WSO102" s="769"/>
      <c r="WSP102" s="769"/>
      <c r="WSQ102" s="769"/>
      <c r="WSR102" s="769"/>
      <c r="WSS102" s="769"/>
      <c r="WST102" s="769"/>
      <c r="WSU102" s="769"/>
      <c r="WSV102" s="769"/>
      <c r="WSW102" s="769"/>
      <c r="WSX102" s="769"/>
      <c r="WSY102" s="769"/>
      <c r="WSZ102" s="769"/>
      <c r="WTA102" s="769"/>
      <c r="WTB102" s="769"/>
      <c r="WTC102" s="769"/>
      <c r="WTD102" s="769"/>
      <c r="WTE102" s="769"/>
      <c r="WTF102" s="769"/>
      <c r="WTG102" s="769"/>
      <c r="WTH102" s="769"/>
      <c r="WTI102" s="769"/>
      <c r="WTJ102" s="769"/>
      <c r="WTK102" s="769"/>
      <c r="WTL102" s="769"/>
      <c r="WTM102" s="769"/>
      <c r="WTN102" s="769"/>
      <c r="WTO102" s="769"/>
      <c r="WTP102" s="769"/>
      <c r="WTQ102" s="769"/>
      <c r="WTR102" s="769"/>
      <c r="WTS102" s="769"/>
      <c r="WTT102" s="769"/>
      <c r="WTU102" s="769"/>
      <c r="WTV102" s="769"/>
      <c r="WTW102" s="769"/>
      <c r="WTX102" s="769"/>
      <c r="WTY102" s="769"/>
      <c r="WTZ102" s="769"/>
      <c r="WUA102" s="769"/>
      <c r="WUB102" s="769"/>
      <c r="WUC102" s="769"/>
      <c r="WUD102" s="769"/>
      <c r="WUE102" s="769"/>
      <c r="WUF102" s="769"/>
      <c r="WUG102" s="769"/>
      <c r="WUH102" s="769"/>
      <c r="WUI102" s="769"/>
      <c r="WUJ102" s="769"/>
      <c r="WUK102" s="769"/>
      <c r="WUL102" s="769"/>
      <c r="WUM102" s="769"/>
      <c r="WUN102" s="769"/>
      <c r="WUO102" s="769"/>
      <c r="WUP102" s="769"/>
      <c r="WUQ102" s="769"/>
      <c r="WUR102" s="769"/>
      <c r="WUS102" s="769"/>
      <c r="WUT102" s="769"/>
      <c r="WUU102" s="769"/>
      <c r="WUV102" s="769"/>
      <c r="WUW102" s="769"/>
      <c r="WUX102" s="769"/>
      <c r="WUY102" s="769"/>
      <c r="WUZ102" s="769"/>
      <c r="WVA102" s="769"/>
      <c r="WVB102" s="769"/>
      <c r="WVC102" s="769"/>
      <c r="WVD102" s="769"/>
      <c r="WVE102" s="769"/>
      <c r="WVF102" s="769"/>
      <c r="WVG102" s="769"/>
      <c r="WVH102" s="769"/>
      <c r="WVI102" s="769"/>
      <c r="WVJ102" s="769"/>
      <c r="WVK102" s="769"/>
      <c r="WVL102" s="769"/>
      <c r="WVM102" s="769"/>
      <c r="WVN102" s="769"/>
      <c r="WVO102" s="769"/>
      <c r="WVP102" s="769"/>
      <c r="WVQ102" s="769"/>
      <c r="WVR102" s="769"/>
      <c r="WVS102" s="769"/>
      <c r="WVT102" s="769"/>
      <c r="WVU102" s="769"/>
      <c r="WVV102" s="769"/>
      <c r="WVW102" s="769"/>
      <c r="WVX102" s="769"/>
      <c r="WVY102" s="769"/>
      <c r="WVZ102" s="769"/>
      <c r="WWA102" s="769"/>
      <c r="WWB102" s="769"/>
      <c r="WWC102" s="769"/>
      <c r="WWD102" s="769"/>
      <c r="WWE102" s="769"/>
      <c r="WWF102" s="769"/>
      <c r="WWG102" s="769"/>
      <c r="WWH102" s="769"/>
      <c r="WWI102" s="769"/>
      <c r="WWJ102" s="769"/>
      <c r="WWK102" s="769"/>
      <c r="WWL102" s="769"/>
      <c r="WWM102" s="769"/>
      <c r="WWN102" s="769"/>
      <c r="WWO102" s="769"/>
      <c r="WWP102" s="769"/>
      <c r="WWQ102" s="769"/>
      <c r="WWR102" s="769"/>
      <c r="WWS102" s="769"/>
      <c r="WWT102" s="769"/>
      <c r="WWU102" s="769"/>
      <c r="WWV102" s="769"/>
      <c r="WWW102" s="769"/>
      <c r="WWX102" s="769"/>
      <c r="WWY102" s="769"/>
      <c r="WWZ102" s="769"/>
      <c r="WXA102" s="769"/>
      <c r="WXB102" s="769"/>
      <c r="WXC102" s="769"/>
      <c r="WXD102" s="769"/>
      <c r="WXE102" s="769"/>
      <c r="WXF102" s="769"/>
      <c r="WXG102" s="769"/>
      <c r="WXH102" s="769"/>
      <c r="WXI102" s="769"/>
      <c r="WXJ102" s="769"/>
      <c r="WXK102" s="769"/>
      <c r="WXL102" s="769"/>
      <c r="WXM102" s="769"/>
      <c r="WXN102" s="769"/>
      <c r="WXO102" s="769"/>
      <c r="WXP102" s="769"/>
      <c r="WXQ102" s="769"/>
      <c r="WXR102" s="769"/>
      <c r="WXS102" s="769"/>
      <c r="WXT102" s="769"/>
      <c r="WXU102" s="769"/>
      <c r="WXV102" s="769"/>
      <c r="WXW102" s="769"/>
      <c r="WXX102" s="769"/>
      <c r="WXY102" s="769"/>
      <c r="WXZ102" s="769"/>
      <c r="WYA102" s="769"/>
      <c r="WYB102" s="769"/>
      <c r="WYC102" s="769"/>
      <c r="WYD102" s="769"/>
      <c r="WYE102" s="769"/>
      <c r="WYF102" s="769"/>
      <c r="WYG102" s="769"/>
      <c r="WYH102" s="769"/>
      <c r="WYI102" s="769"/>
      <c r="WYJ102" s="769"/>
      <c r="WYK102" s="769"/>
      <c r="WYL102" s="769"/>
      <c r="WYM102" s="769"/>
      <c r="WYN102" s="769"/>
      <c r="WYO102" s="769"/>
      <c r="WYP102" s="769"/>
      <c r="WYQ102" s="769"/>
      <c r="WYR102" s="769"/>
      <c r="WYS102" s="769"/>
      <c r="WYT102" s="769"/>
      <c r="WYU102" s="769"/>
      <c r="WYV102" s="769"/>
      <c r="WYW102" s="769"/>
      <c r="WYX102" s="769"/>
      <c r="WYY102" s="769"/>
      <c r="WYZ102" s="769"/>
      <c r="WZA102" s="769"/>
      <c r="WZB102" s="769"/>
      <c r="WZC102" s="769"/>
      <c r="WZD102" s="769"/>
      <c r="WZE102" s="769"/>
      <c r="WZF102" s="769"/>
      <c r="WZG102" s="769"/>
      <c r="WZH102" s="769"/>
      <c r="WZI102" s="769"/>
      <c r="WZJ102" s="769"/>
      <c r="WZK102" s="769"/>
      <c r="WZL102" s="769"/>
      <c r="WZM102" s="769"/>
      <c r="WZN102" s="769"/>
      <c r="WZO102" s="769"/>
      <c r="WZP102" s="769"/>
      <c r="WZQ102" s="769"/>
      <c r="WZR102" s="769"/>
      <c r="WZS102" s="769"/>
      <c r="WZT102" s="769"/>
      <c r="WZU102" s="769"/>
      <c r="WZV102" s="769"/>
      <c r="WZW102" s="769"/>
      <c r="WZX102" s="769"/>
      <c r="WZY102" s="769"/>
      <c r="WZZ102" s="769"/>
      <c r="XAA102" s="769"/>
      <c r="XAB102" s="769"/>
      <c r="XAC102" s="769"/>
      <c r="XAD102" s="769"/>
      <c r="XAE102" s="769"/>
      <c r="XAF102" s="769"/>
      <c r="XAG102" s="769"/>
      <c r="XAH102" s="769"/>
      <c r="XAI102" s="769"/>
      <c r="XAJ102" s="769"/>
      <c r="XAK102" s="769"/>
      <c r="XAL102" s="769"/>
      <c r="XAM102" s="769"/>
      <c r="XAN102" s="769"/>
      <c r="XAO102" s="769"/>
      <c r="XAP102" s="769"/>
      <c r="XAQ102" s="769"/>
      <c r="XAR102" s="769"/>
      <c r="XAS102" s="769"/>
      <c r="XAT102" s="769"/>
      <c r="XAU102" s="769"/>
      <c r="XAV102" s="769"/>
      <c r="XAW102" s="769"/>
      <c r="XAX102" s="769"/>
      <c r="XAY102" s="769"/>
      <c r="XAZ102" s="769"/>
      <c r="XBA102" s="769"/>
      <c r="XBB102" s="769"/>
      <c r="XBC102" s="769"/>
      <c r="XBD102" s="769"/>
      <c r="XBE102" s="769"/>
      <c r="XBF102" s="769"/>
      <c r="XBG102" s="769"/>
      <c r="XBH102" s="769"/>
      <c r="XBI102" s="769"/>
      <c r="XBJ102" s="769"/>
      <c r="XBK102" s="769"/>
      <c r="XBL102" s="769"/>
      <c r="XBM102" s="769"/>
      <c r="XBN102" s="769"/>
      <c r="XBO102" s="769"/>
      <c r="XBP102" s="769"/>
      <c r="XBQ102" s="769"/>
      <c r="XBR102" s="769"/>
      <c r="XBS102" s="769"/>
      <c r="XBT102" s="769"/>
      <c r="XBU102" s="769"/>
      <c r="XBV102" s="769"/>
      <c r="XBW102" s="769"/>
      <c r="XBX102" s="769"/>
      <c r="XBY102" s="769"/>
      <c r="XBZ102" s="769"/>
      <c r="XCA102" s="769"/>
      <c r="XCB102" s="769"/>
      <c r="XCC102" s="769"/>
      <c r="XCD102" s="769"/>
      <c r="XCE102" s="769"/>
      <c r="XCF102" s="769"/>
      <c r="XCG102" s="769"/>
      <c r="XCH102" s="769"/>
      <c r="XCI102" s="769"/>
      <c r="XCJ102" s="769"/>
      <c r="XCK102" s="769"/>
      <c r="XCL102" s="769"/>
      <c r="XCM102" s="769"/>
      <c r="XCN102" s="769"/>
      <c r="XCO102" s="769"/>
      <c r="XCP102" s="769"/>
      <c r="XCQ102" s="769"/>
      <c r="XCR102" s="769"/>
      <c r="XCS102" s="769"/>
      <c r="XCT102" s="769"/>
      <c r="XCU102" s="769"/>
      <c r="XCV102" s="769"/>
      <c r="XCW102" s="769"/>
      <c r="XCX102" s="769"/>
      <c r="XCY102" s="769"/>
      <c r="XCZ102" s="769"/>
      <c r="XDA102" s="769"/>
      <c r="XDB102" s="769"/>
      <c r="XDC102" s="769"/>
      <c r="XDD102" s="769"/>
      <c r="XDE102" s="769"/>
      <c r="XDF102" s="769"/>
      <c r="XDG102" s="769"/>
      <c r="XDH102" s="769"/>
      <c r="XDI102" s="769"/>
      <c r="XDJ102" s="769"/>
      <c r="XDK102" s="769"/>
      <c r="XDL102" s="769"/>
      <c r="XDM102" s="769"/>
      <c r="XDN102" s="769"/>
      <c r="XDO102" s="769"/>
      <c r="XDP102" s="769"/>
      <c r="XDQ102" s="769"/>
      <c r="XDR102" s="769"/>
      <c r="XDS102" s="769"/>
      <c r="XDT102" s="769"/>
      <c r="XDU102" s="769"/>
      <c r="XDV102" s="769"/>
      <c r="XDW102" s="769"/>
      <c r="XDX102" s="769"/>
      <c r="XDY102" s="769"/>
      <c r="XDZ102" s="769"/>
      <c r="XEA102" s="769"/>
      <c r="XEB102" s="769"/>
      <c r="XEC102" s="769"/>
      <c r="XED102" s="769"/>
      <c r="XEE102" s="769"/>
      <c r="XEF102" s="769"/>
      <c r="XEG102" s="769"/>
      <c r="XEH102" s="769"/>
      <c r="XEI102" s="769"/>
      <c r="XEJ102" s="769"/>
      <c r="XEK102" s="769"/>
      <c r="XEL102" s="769"/>
      <c r="XEM102" s="769"/>
      <c r="XEN102" s="769"/>
      <c r="XEO102" s="769"/>
      <c r="XEP102" s="769"/>
      <c r="XEQ102" s="769"/>
      <c r="XER102" s="769"/>
      <c r="XES102" s="769"/>
      <c r="XET102" s="769"/>
      <c r="XEU102" s="769"/>
      <c r="XEV102" s="769"/>
      <c r="XEW102" s="769"/>
      <c r="XEX102" s="769"/>
      <c r="XEY102" s="769"/>
      <c r="XEZ102" s="769"/>
      <c r="XFA102" s="769"/>
      <c r="XFB102" s="769"/>
    </row>
    <row r="103" spans="1:16382" ht="15" hidden="1" customHeight="1" x14ac:dyDescent="0.25">
      <c r="A103" s="769"/>
      <c r="B103" s="2184"/>
      <c r="C103" s="2224"/>
      <c r="D103" s="2231"/>
      <c r="E103" s="2231"/>
      <c r="F103" s="2231"/>
      <c r="G103" s="2231"/>
      <c r="H103" s="2231"/>
      <c r="I103" s="2231"/>
      <c r="J103" s="2231"/>
      <c r="K103" s="2231"/>
      <c r="L103" s="2232"/>
      <c r="M103" s="2232"/>
      <c r="N103" s="2232"/>
      <c r="O103" s="2232"/>
      <c r="P103" s="2233"/>
      <c r="Q103" s="2234"/>
      <c r="R103" s="769"/>
      <c r="S103" s="769"/>
      <c r="T103" s="769"/>
      <c r="U103" s="769"/>
      <c r="V103" s="769"/>
      <c r="W103" s="769"/>
      <c r="X103" s="769"/>
      <c r="Y103" s="769"/>
      <c r="Z103" s="769"/>
      <c r="AA103" s="769"/>
      <c r="AB103" s="769"/>
      <c r="AC103" s="769"/>
      <c r="AD103" s="769"/>
      <c r="AE103" s="769"/>
      <c r="AF103" s="769"/>
      <c r="AG103" s="769"/>
      <c r="AH103" s="769"/>
      <c r="AI103" s="769"/>
      <c r="AJ103" s="769"/>
      <c r="AK103" s="769"/>
      <c r="AL103" s="769"/>
      <c r="AM103" s="769"/>
      <c r="AN103" s="769"/>
      <c r="AO103" s="769"/>
      <c r="AP103" s="769"/>
      <c r="AQ103" s="769"/>
      <c r="AR103" s="769"/>
      <c r="AS103" s="769"/>
      <c r="AT103" s="769"/>
      <c r="AU103" s="769"/>
      <c r="AV103" s="769"/>
      <c r="AW103" s="769"/>
      <c r="AX103" s="769"/>
      <c r="AY103" s="769"/>
      <c r="AZ103" s="769"/>
      <c r="BA103" s="769"/>
      <c r="BB103" s="769"/>
      <c r="BC103" s="769"/>
      <c r="BD103" s="769"/>
      <c r="BE103" s="769"/>
      <c r="BF103" s="769"/>
      <c r="BG103" s="769"/>
      <c r="BH103" s="769"/>
      <c r="BI103" s="769"/>
      <c r="BJ103" s="769"/>
      <c r="BK103" s="769"/>
      <c r="BL103" s="769"/>
      <c r="BM103" s="769"/>
      <c r="BN103" s="769"/>
      <c r="BO103" s="769"/>
      <c r="BP103" s="769"/>
      <c r="BQ103" s="769"/>
      <c r="BR103" s="769"/>
      <c r="BS103" s="769"/>
      <c r="BT103" s="769"/>
      <c r="BU103" s="769"/>
      <c r="BV103" s="769"/>
      <c r="BW103" s="769"/>
      <c r="BX103" s="769"/>
      <c r="BY103" s="769"/>
      <c r="BZ103" s="769"/>
      <c r="CA103" s="769"/>
      <c r="CB103" s="769"/>
      <c r="CC103" s="769"/>
      <c r="CD103" s="769"/>
      <c r="CE103" s="769"/>
      <c r="CF103" s="769"/>
      <c r="CG103" s="769"/>
      <c r="CH103" s="769"/>
      <c r="CI103" s="769"/>
      <c r="CJ103" s="769"/>
      <c r="CK103" s="769"/>
      <c r="CL103" s="769"/>
      <c r="CM103" s="769"/>
      <c r="CN103" s="769"/>
      <c r="CO103" s="769"/>
      <c r="CP103" s="769"/>
      <c r="CQ103" s="769"/>
      <c r="CR103" s="769"/>
      <c r="CS103" s="769"/>
      <c r="CT103" s="769"/>
      <c r="CU103" s="769"/>
      <c r="CV103" s="769"/>
      <c r="CW103" s="769"/>
      <c r="CX103" s="769"/>
      <c r="CY103" s="769"/>
      <c r="CZ103" s="769"/>
      <c r="DA103" s="769"/>
      <c r="DB103" s="769"/>
      <c r="DC103" s="769"/>
      <c r="DD103" s="769"/>
      <c r="DE103" s="769"/>
      <c r="DF103" s="769"/>
      <c r="DG103" s="769"/>
      <c r="DH103" s="769"/>
      <c r="DI103" s="769"/>
      <c r="DJ103" s="769"/>
      <c r="DK103" s="769"/>
      <c r="DL103" s="769"/>
      <c r="DM103" s="769"/>
      <c r="DN103" s="769"/>
      <c r="DO103" s="769"/>
      <c r="DP103" s="769"/>
      <c r="DQ103" s="769"/>
      <c r="DR103" s="769"/>
      <c r="DS103" s="769"/>
      <c r="DT103" s="769"/>
      <c r="DU103" s="769"/>
      <c r="DV103" s="769"/>
      <c r="DW103" s="769"/>
      <c r="DX103" s="769"/>
      <c r="DY103" s="769"/>
      <c r="DZ103" s="769"/>
      <c r="EA103" s="769"/>
      <c r="EB103" s="769"/>
      <c r="EC103" s="769"/>
      <c r="ED103" s="769"/>
      <c r="EE103" s="769"/>
      <c r="EF103" s="769"/>
      <c r="EG103" s="769"/>
      <c r="EH103" s="769"/>
      <c r="EI103" s="769"/>
      <c r="EJ103" s="769"/>
      <c r="EK103" s="769"/>
      <c r="EL103" s="769"/>
      <c r="EM103" s="769"/>
      <c r="EN103" s="769"/>
      <c r="EO103" s="769"/>
      <c r="EP103" s="769"/>
      <c r="EQ103" s="769"/>
      <c r="ER103" s="769"/>
      <c r="ES103" s="769"/>
      <c r="ET103" s="769"/>
      <c r="EU103" s="769"/>
      <c r="EV103" s="769"/>
      <c r="EW103" s="769"/>
      <c r="EX103" s="769"/>
      <c r="EY103" s="769"/>
      <c r="EZ103" s="769"/>
      <c r="FA103" s="769"/>
      <c r="FB103" s="769"/>
      <c r="FC103" s="769"/>
      <c r="FD103" s="769"/>
      <c r="FE103" s="769"/>
      <c r="FF103" s="769"/>
      <c r="FG103" s="769"/>
      <c r="FH103" s="769"/>
      <c r="FI103" s="769"/>
      <c r="FJ103" s="769"/>
      <c r="FK103" s="769"/>
      <c r="FL103" s="769"/>
      <c r="FM103" s="769"/>
      <c r="FN103" s="769"/>
      <c r="FO103" s="769"/>
      <c r="FP103" s="769"/>
      <c r="FQ103" s="769"/>
      <c r="FR103" s="769"/>
      <c r="FS103" s="769"/>
      <c r="FT103" s="769"/>
      <c r="FU103" s="769"/>
      <c r="FV103" s="769"/>
      <c r="FW103" s="769"/>
      <c r="FX103" s="769"/>
      <c r="FY103" s="769"/>
      <c r="FZ103" s="769"/>
      <c r="GA103" s="769"/>
      <c r="GB103" s="769"/>
      <c r="GC103" s="769"/>
      <c r="GD103" s="769"/>
      <c r="GE103" s="769"/>
      <c r="GF103" s="769"/>
      <c r="GG103" s="769"/>
      <c r="GH103" s="769"/>
      <c r="GI103" s="769"/>
      <c r="GJ103" s="769"/>
      <c r="GK103" s="769"/>
      <c r="GL103" s="769"/>
      <c r="GM103" s="769"/>
      <c r="GN103" s="769"/>
      <c r="GO103" s="769"/>
      <c r="GP103" s="769"/>
      <c r="GQ103" s="769"/>
      <c r="GR103" s="769"/>
      <c r="GS103" s="769"/>
      <c r="GT103" s="769"/>
      <c r="GU103" s="769"/>
      <c r="GV103" s="769"/>
      <c r="GW103" s="769"/>
      <c r="GX103" s="769"/>
      <c r="GY103" s="769"/>
      <c r="GZ103" s="769"/>
      <c r="HA103" s="769"/>
      <c r="HB103" s="769"/>
      <c r="HC103" s="769"/>
      <c r="HD103" s="769"/>
      <c r="HE103" s="769"/>
      <c r="HF103" s="769"/>
      <c r="HG103" s="769"/>
      <c r="HH103" s="769"/>
      <c r="HI103" s="769"/>
      <c r="HJ103" s="769"/>
      <c r="HK103" s="769"/>
      <c r="HL103" s="769"/>
      <c r="HM103" s="769"/>
      <c r="HN103" s="769"/>
      <c r="HO103" s="769"/>
      <c r="HP103" s="769"/>
      <c r="HQ103" s="769"/>
      <c r="HR103" s="769"/>
      <c r="HS103" s="769"/>
      <c r="HT103" s="769"/>
      <c r="HU103" s="769"/>
      <c r="HV103" s="769"/>
      <c r="HW103" s="769"/>
      <c r="HX103" s="769"/>
      <c r="HY103" s="769"/>
      <c r="HZ103" s="769"/>
      <c r="IA103" s="769"/>
      <c r="IB103" s="769"/>
      <c r="IC103" s="769"/>
      <c r="ID103" s="769"/>
      <c r="IE103" s="769"/>
      <c r="IF103" s="769"/>
      <c r="IG103" s="769"/>
      <c r="IH103" s="769"/>
      <c r="II103" s="769"/>
      <c r="IJ103" s="769"/>
      <c r="IK103" s="769"/>
      <c r="IL103" s="769"/>
      <c r="IM103" s="769"/>
      <c r="IN103" s="769"/>
      <c r="IO103" s="769"/>
      <c r="IP103" s="769"/>
      <c r="IQ103" s="769"/>
      <c r="IR103" s="769"/>
      <c r="IS103" s="769"/>
      <c r="IT103" s="769"/>
      <c r="IU103" s="769"/>
      <c r="IV103" s="769"/>
      <c r="IW103" s="769"/>
      <c r="IX103" s="769"/>
      <c r="IY103" s="769"/>
      <c r="IZ103" s="769"/>
      <c r="JA103" s="769"/>
      <c r="JB103" s="769"/>
      <c r="JC103" s="769"/>
      <c r="JD103" s="769"/>
      <c r="JE103" s="769"/>
      <c r="JF103" s="769"/>
      <c r="JG103" s="769"/>
      <c r="JH103" s="769"/>
      <c r="JI103" s="769"/>
      <c r="JJ103" s="769"/>
      <c r="JK103" s="769"/>
      <c r="JL103" s="769"/>
      <c r="JM103" s="769"/>
      <c r="JN103" s="769"/>
      <c r="JO103" s="769"/>
      <c r="JP103" s="769"/>
      <c r="JQ103" s="769"/>
      <c r="JR103" s="769"/>
      <c r="JS103" s="769"/>
      <c r="JT103" s="769"/>
      <c r="JU103" s="769"/>
      <c r="JV103" s="769"/>
      <c r="JW103" s="769"/>
      <c r="JX103" s="769"/>
      <c r="JY103" s="769"/>
      <c r="JZ103" s="769"/>
      <c r="KA103" s="769"/>
      <c r="KB103" s="769"/>
      <c r="KC103" s="769"/>
      <c r="KD103" s="769"/>
      <c r="KE103" s="769"/>
      <c r="KF103" s="769"/>
      <c r="KG103" s="769"/>
      <c r="KH103" s="769"/>
      <c r="KI103" s="769"/>
      <c r="KJ103" s="769"/>
      <c r="KK103" s="769"/>
      <c r="KL103" s="769"/>
      <c r="KM103" s="769"/>
      <c r="KN103" s="769"/>
      <c r="KO103" s="769"/>
      <c r="KP103" s="769"/>
      <c r="KQ103" s="769"/>
      <c r="KR103" s="769"/>
      <c r="KS103" s="769"/>
      <c r="KT103" s="769"/>
      <c r="KU103" s="769"/>
      <c r="KV103" s="769"/>
      <c r="KW103" s="769"/>
      <c r="KX103" s="769"/>
      <c r="KY103" s="769"/>
      <c r="KZ103" s="769"/>
      <c r="LA103" s="769"/>
      <c r="LB103" s="769"/>
      <c r="LC103" s="769"/>
      <c r="LD103" s="769"/>
      <c r="LE103" s="769"/>
      <c r="LF103" s="769"/>
      <c r="LG103" s="769"/>
      <c r="LH103" s="769"/>
      <c r="LI103" s="769"/>
      <c r="LJ103" s="769"/>
      <c r="LK103" s="769"/>
      <c r="LL103" s="769"/>
      <c r="LM103" s="769"/>
      <c r="LN103" s="769"/>
      <c r="LO103" s="769"/>
      <c r="LP103" s="769"/>
      <c r="LQ103" s="769"/>
      <c r="LR103" s="769"/>
      <c r="LS103" s="769"/>
      <c r="LT103" s="769"/>
      <c r="LU103" s="769"/>
      <c r="LV103" s="769"/>
      <c r="LW103" s="769"/>
      <c r="LX103" s="769"/>
      <c r="LY103" s="769"/>
      <c r="LZ103" s="769"/>
      <c r="MA103" s="769"/>
      <c r="MB103" s="769"/>
      <c r="MC103" s="769"/>
      <c r="MD103" s="769"/>
      <c r="ME103" s="769"/>
      <c r="MF103" s="769"/>
      <c r="MG103" s="769"/>
      <c r="MH103" s="769"/>
      <c r="MI103" s="769"/>
      <c r="MJ103" s="769"/>
      <c r="MK103" s="769"/>
      <c r="ML103" s="769"/>
      <c r="MM103" s="769"/>
      <c r="MN103" s="769"/>
      <c r="MO103" s="769"/>
      <c r="MP103" s="769"/>
      <c r="MQ103" s="769"/>
      <c r="MR103" s="769"/>
      <c r="MS103" s="769"/>
      <c r="MT103" s="769"/>
      <c r="MU103" s="769"/>
      <c r="MV103" s="769"/>
      <c r="MW103" s="769"/>
      <c r="MX103" s="769"/>
      <c r="MY103" s="769"/>
      <c r="MZ103" s="769"/>
      <c r="NA103" s="769"/>
      <c r="NB103" s="769"/>
      <c r="NC103" s="769"/>
      <c r="ND103" s="769"/>
      <c r="NE103" s="769"/>
      <c r="NF103" s="769"/>
      <c r="NG103" s="769"/>
      <c r="NH103" s="769"/>
      <c r="NI103" s="769"/>
      <c r="NJ103" s="769"/>
      <c r="NK103" s="769"/>
      <c r="NL103" s="769"/>
      <c r="NM103" s="769"/>
      <c r="NN103" s="769"/>
      <c r="NO103" s="769"/>
      <c r="NP103" s="769"/>
      <c r="NQ103" s="769"/>
      <c r="NR103" s="769"/>
      <c r="NS103" s="769"/>
      <c r="NT103" s="769"/>
      <c r="NU103" s="769"/>
      <c r="NV103" s="769"/>
      <c r="NW103" s="769"/>
      <c r="NX103" s="769"/>
      <c r="NY103" s="769"/>
      <c r="NZ103" s="769"/>
      <c r="OA103" s="769"/>
      <c r="OB103" s="769"/>
      <c r="OC103" s="769"/>
      <c r="OD103" s="769"/>
      <c r="OE103" s="769"/>
      <c r="OF103" s="769"/>
      <c r="OG103" s="769"/>
      <c r="OH103" s="769"/>
      <c r="OI103" s="769"/>
      <c r="OJ103" s="769"/>
      <c r="OK103" s="769"/>
      <c r="OL103" s="769"/>
      <c r="OM103" s="769"/>
      <c r="ON103" s="769"/>
      <c r="OO103" s="769"/>
      <c r="OP103" s="769"/>
      <c r="OQ103" s="769"/>
      <c r="OR103" s="769"/>
      <c r="OS103" s="769"/>
      <c r="OT103" s="769"/>
      <c r="OU103" s="769"/>
      <c r="OV103" s="769"/>
      <c r="OW103" s="769"/>
      <c r="OX103" s="769"/>
      <c r="OY103" s="769"/>
      <c r="OZ103" s="769"/>
      <c r="PA103" s="769"/>
      <c r="PB103" s="769"/>
      <c r="PC103" s="769"/>
      <c r="PD103" s="769"/>
      <c r="PE103" s="769"/>
      <c r="PF103" s="769"/>
      <c r="PG103" s="769"/>
      <c r="PH103" s="769"/>
      <c r="PI103" s="769"/>
      <c r="PJ103" s="769"/>
      <c r="PK103" s="769"/>
      <c r="PL103" s="769"/>
      <c r="PM103" s="769"/>
      <c r="PN103" s="769"/>
      <c r="PO103" s="769"/>
      <c r="PP103" s="769"/>
      <c r="PQ103" s="769"/>
      <c r="PR103" s="769"/>
      <c r="PS103" s="769"/>
      <c r="PT103" s="769"/>
      <c r="PU103" s="769"/>
      <c r="PV103" s="769"/>
      <c r="PW103" s="769"/>
      <c r="PX103" s="769"/>
      <c r="PY103" s="769"/>
      <c r="PZ103" s="769"/>
      <c r="QA103" s="769"/>
      <c r="QB103" s="769"/>
      <c r="QC103" s="769"/>
      <c r="QD103" s="769"/>
      <c r="QE103" s="769"/>
      <c r="QF103" s="769"/>
      <c r="QG103" s="769"/>
      <c r="QH103" s="769"/>
      <c r="QI103" s="769"/>
      <c r="QJ103" s="769"/>
      <c r="QK103" s="769"/>
      <c r="QL103" s="769"/>
      <c r="QM103" s="769"/>
      <c r="QN103" s="769"/>
      <c r="QO103" s="769"/>
      <c r="QP103" s="769"/>
      <c r="QQ103" s="769"/>
      <c r="QR103" s="769"/>
      <c r="QS103" s="769"/>
      <c r="QT103" s="769"/>
      <c r="QU103" s="769"/>
      <c r="QV103" s="769"/>
      <c r="QW103" s="769"/>
      <c r="QX103" s="769"/>
      <c r="QY103" s="769"/>
      <c r="QZ103" s="769"/>
      <c r="RA103" s="769"/>
      <c r="RB103" s="769"/>
      <c r="RC103" s="769"/>
      <c r="RD103" s="769"/>
      <c r="RE103" s="769"/>
      <c r="RF103" s="769"/>
      <c r="RG103" s="769"/>
      <c r="RH103" s="769"/>
      <c r="RI103" s="769"/>
      <c r="RJ103" s="769"/>
      <c r="RK103" s="769"/>
      <c r="RL103" s="769"/>
      <c r="RM103" s="769"/>
      <c r="RN103" s="769"/>
      <c r="RO103" s="769"/>
      <c r="RP103" s="769"/>
      <c r="RQ103" s="769"/>
      <c r="RR103" s="769"/>
      <c r="RS103" s="769"/>
      <c r="RT103" s="769"/>
      <c r="RU103" s="769"/>
      <c r="RV103" s="769"/>
      <c r="RW103" s="769"/>
      <c r="RX103" s="769"/>
      <c r="RY103" s="769"/>
      <c r="RZ103" s="769"/>
      <c r="SA103" s="769"/>
      <c r="SB103" s="769"/>
      <c r="SC103" s="769"/>
      <c r="SD103" s="769"/>
      <c r="SE103" s="769"/>
      <c r="SF103" s="769"/>
      <c r="SG103" s="769"/>
      <c r="SH103" s="769"/>
      <c r="SI103" s="769"/>
      <c r="SJ103" s="769"/>
      <c r="SK103" s="769"/>
      <c r="SL103" s="769"/>
      <c r="SM103" s="769"/>
      <c r="SN103" s="769"/>
      <c r="SO103" s="769"/>
      <c r="SP103" s="769"/>
      <c r="SQ103" s="769"/>
      <c r="SR103" s="769"/>
      <c r="SS103" s="769"/>
      <c r="ST103" s="769"/>
      <c r="SU103" s="769"/>
      <c r="SV103" s="769"/>
      <c r="SW103" s="769"/>
      <c r="SX103" s="769"/>
      <c r="SY103" s="769"/>
      <c r="SZ103" s="769"/>
      <c r="TA103" s="769"/>
      <c r="TB103" s="769"/>
      <c r="TC103" s="769"/>
      <c r="TD103" s="769"/>
      <c r="TE103" s="769"/>
      <c r="TF103" s="769"/>
      <c r="TG103" s="769"/>
      <c r="TH103" s="769"/>
      <c r="TI103" s="769"/>
      <c r="TJ103" s="769"/>
      <c r="TK103" s="769"/>
      <c r="TL103" s="769"/>
      <c r="TM103" s="769"/>
      <c r="TN103" s="769"/>
      <c r="TO103" s="769"/>
      <c r="TP103" s="769"/>
      <c r="TQ103" s="769"/>
      <c r="TR103" s="769"/>
      <c r="TS103" s="769"/>
      <c r="TT103" s="769"/>
      <c r="TU103" s="769"/>
      <c r="TV103" s="769"/>
      <c r="TW103" s="769"/>
      <c r="TX103" s="769"/>
      <c r="TY103" s="769"/>
      <c r="TZ103" s="769"/>
      <c r="UA103" s="769"/>
      <c r="UB103" s="769"/>
      <c r="UC103" s="769"/>
      <c r="UD103" s="769"/>
      <c r="UE103" s="769"/>
      <c r="UF103" s="769"/>
      <c r="UG103" s="769"/>
      <c r="UH103" s="769"/>
      <c r="UI103" s="769"/>
      <c r="UJ103" s="769"/>
      <c r="UK103" s="769"/>
      <c r="UL103" s="769"/>
      <c r="UM103" s="769"/>
      <c r="UN103" s="769"/>
      <c r="UO103" s="769"/>
      <c r="UP103" s="769"/>
      <c r="UQ103" s="769"/>
      <c r="UR103" s="769"/>
      <c r="US103" s="769"/>
      <c r="UT103" s="769"/>
      <c r="UU103" s="769"/>
      <c r="UV103" s="769"/>
      <c r="UW103" s="769"/>
      <c r="UX103" s="769"/>
      <c r="UY103" s="769"/>
      <c r="UZ103" s="769"/>
      <c r="VA103" s="769"/>
      <c r="VB103" s="769"/>
      <c r="VC103" s="769"/>
      <c r="VD103" s="769"/>
      <c r="VE103" s="769"/>
      <c r="VF103" s="769"/>
      <c r="VG103" s="769"/>
      <c r="VH103" s="769"/>
      <c r="VI103" s="769"/>
      <c r="VJ103" s="769"/>
      <c r="VK103" s="769"/>
      <c r="VL103" s="769"/>
      <c r="VM103" s="769"/>
      <c r="VN103" s="769"/>
      <c r="VO103" s="769"/>
      <c r="VP103" s="769"/>
      <c r="VQ103" s="769"/>
      <c r="VR103" s="769"/>
      <c r="VS103" s="769"/>
      <c r="VT103" s="769"/>
      <c r="VU103" s="769"/>
      <c r="VV103" s="769"/>
      <c r="VW103" s="769"/>
      <c r="VX103" s="769"/>
      <c r="VY103" s="769"/>
      <c r="VZ103" s="769"/>
      <c r="WA103" s="769"/>
      <c r="WB103" s="769"/>
      <c r="WC103" s="769"/>
      <c r="WD103" s="769"/>
      <c r="WE103" s="769"/>
      <c r="WF103" s="769"/>
      <c r="WG103" s="769"/>
      <c r="WH103" s="769"/>
      <c r="WI103" s="769"/>
      <c r="WJ103" s="769"/>
      <c r="WK103" s="769"/>
      <c r="WL103" s="769"/>
      <c r="WM103" s="769"/>
      <c r="WN103" s="769"/>
      <c r="WO103" s="769"/>
      <c r="WP103" s="769"/>
      <c r="WQ103" s="769"/>
      <c r="WR103" s="769"/>
      <c r="WS103" s="769"/>
      <c r="WT103" s="769"/>
      <c r="WU103" s="769"/>
      <c r="WV103" s="769"/>
      <c r="WW103" s="769"/>
      <c r="WX103" s="769"/>
      <c r="WY103" s="769"/>
      <c r="WZ103" s="769"/>
      <c r="XA103" s="769"/>
      <c r="XB103" s="769"/>
      <c r="XC103" s="769"/>
      <c r="XD103" s="769"/>
      <c r="XE103" s="769"/>
      <c r="XF103" s="769"/>
      <c r="XG103" s="769"/>
      <c r="XH103" s="769"/>
      <c r="XI103" s="769"/>
      <c r="XJ103" s="769"/>
      <c r="XK103" s="769"/>
      <c r="XL103" s="769"/>
      <c r="XM103" s="769"/>
      <c r="XN103" s="769"/>
      <c r="XO103" s="769"/>
      <c r="XP103" s="769"/>
      <c r="XQ103" s="769"/>
      <c r="XR103" s="769"/>
      <c r="XS103" s="769"/>
      <c r="XT103" s="769"/>
      <c r="XU103" s="769"/>
      <c r="XV103" s="769"/>
      <c r="XW103" s="769"/>
      <c r="XX103" s="769"/>
      <c r="XY103" s="769"/>
      <c r="XZ103" s="769"/>
      <c r="YA103" s="769"/>
      <c r="YB103" s="769"/>
      <c r="YC103" s="769"/>
      <c r="YD103" s="769"/>
      <c r="YE103" s="769"/>
      <c r="YF103" s="769"/>
      <c r="YG103" s="769"/>
      <c r="YH103" s="769"/>
      <c r="YI103" s="769"/>
      <c r="YJ103" s="769"/>
      <c r="YK103" s="769"/>
      <c r="YL103" s="769"/>
      <c r="YM103" s="769"/>
      <c r="YN103" s="769"/>
      <c r="YO103" s="769"/>
      <c r="YP103" s="769"/>
      <c r="YQ103" s="769"/>
      <c r="YR103" s="769"/>
      <c r="YS103" s="769"/>
      <c r="YT103" s="769"/>
      <c r="YU103" s="769"/>
      <c r="YV103" s="769"/>
      <c r="YW103" s="769"/>
      <c r="YX103" s="769"/>
      <c r="YY103" s="769"/>
      <c r="YZ103" s="769"/>
      <c r="ZA103" s="769"/>
      <c r="ZB103" s="769"/>
      <c r="ZC103" s="769"/>
      <c r="ZD103" s="769"/>
      <c r="ZE103" s="769"/>
      <c r="ZF103" s="769"/>
      <c r="ZG103" s="769"/>
      <c r="ZH103" s="769"/>
      <c r="ZI103" s="769"/>
      <c r="ZJ103" s="769"/>
      <c r="ZK103" s="769"/>
      <c r="ZL103" s="769"/>
      <c r="ZM103" s="769"/>
      <c r="ZN103" s="769"/>
      <c r="ZO103" s="769"/>
      <c r="ZP103" s="769"/>
      <c r="ZQ103" s="769"/>
      <c r="ZR103" s="769"/>
      <c r="ZS103" s="769"/>
      <c r="ZT103" s="769"/>
      <c r="ZU103" s="769"/>
      <c r="ZV103" s="769"/>
      <c r="ZW103" s="769"/>
      <c r="ZX103" s="769"/>
      <c r="ZY103" s="769"/>
      <c r="ZZ103" s="769"/>
      <c r="AAA103" s="769"/>
      <c r="AAB103" s="769"/>
      <c r="AAC103" s="769"/>
      <c r="AAD103" s="769"/>
      <c r="AAE103" s="769"/>
      <c r="AAF103" s="769"/>
      <c r="AAG103" s="769"/>
      <c r="AAH103" s="769"/>
      <c r="AAI103" s="769"/>
      <c r="AAJ103" s="769"/>
      <c r="AAK103" s="769"/>
      <c r="AAL103" s="769"/>
      <c r="AAM103" s="769"/>
      <c r="AAN103" s="769"/>
      <c r="AAO103" s="769"/>
      <c r="AAP103" s="769"/>
      <c r="AAQ103" s="769"/>
      <c r="AAR103" s="769"/>
      <c r="AAS103" s="769"/>
      <c r="AAT103" s="769"/>
      <c r="AAU103" s="769"/>
      <c r="AAV103" s="769"/>
      <c r="AAW103" s="769"/>
      <c r="AAX103" s="769"/>
      <c r="AAY103" s="769"/>
      <c r="AAZ103" s="769"/>
      <c r="ABA103" s="769"/>
      <c r="ABB103" s="769"/>
      <c r="ABC103" s="769"/>
      <c r="ABD103" s="769"/>
      <c r="ABE103" s="769"/>
      <c r="ABF103" s="769"/>
      <c r="ABG103" s="769"/>
      <c r="ABH103" s="769"/>
      <c r="ABI103" s="769"/>
      <c r="ABJ103" s="769"/>
      <c r="ABK103" s="769"/>
      <c r="ABL103" s="769"/>
      <c r="ABM103" s="769"/>
      <c r="ABN103" s="769"/>
      <c r="ABO103" s="769"/>
      <c r="ABP103" s="769"/>
      <c r="ABQ103" s="769"/>
      <c r="ABR103" s="769"/>
      <c r="ABS103" s="769"/>
      <c r="ABT103" s="769"/>
      <c r="ABU103" s="769"/>
      <c r="ABV103" s="769"/>
      <c r="ABW103" s="769"/>
      <c r="ABX103" s="769"/>
      <c r="ABY103" s="769"/>
      <c r="ABZ103" s="769"/>
      <c r="ACA103" s="769"/>
      <c r="ACB103" s="769"/>
      <c r="ACC103" s="769"/>
      <c r="ACD103" s="769"/>
      <c r="ACE103" s="769"/>
      <c r="ACF103" s="769"/>
      <c r="ACG103" s="769"/>
      <c r="ACH103" s="769"/>
      <c r="ACI103" s="769"/>
      <c r="ACJ103" s="769"/>
      <c r="ACK103" s="769"/>
      <c r="ACL103" s="769"/>
      <c r="ACM103" s="769"/>
      <c r="ACN103" s="769"/>
      <c r="ACO103" s="769"/>
      <c r="ACP103" s="769"/>
      <c r="ACQ103" s="769"/>
      <c r="ACR103" s="769"/>
      <c r="ACS103" s="769"/>
      <c r="ACT103" s="769"/>
      <c r="ACU103" s="769"/>
      <c r="ACV103" s="769"/>
      <c r="ACW103" s="769"/>
      <c r="ACX103" s="769"/>
      <c r="ACY103" s="769"/>
      <c r="ACZ103" s="769"/>
      <c r="ADA103" s="769"/>
      <c r="ADB103" s="769"/>
      <c r="ADC103" s="769"/>
      <c r="ADD103" s="769"/>
      <c r="ADE103" s="769"/>
      <c r="ADF103" s="769"/>
      <c r="ADG103" s="769"/>
      <c r="ADH103" s="769"/>
      <c r="ADI103" s="769"/>
      <c r="ADJ103" s="769"/>
      <c r="ADK103" s="769"/>
      <c r="ADL103" s="769"/>
      <c r="ADM103" s="769"/>
      <c r="ADN103" s="769"/>
      <c r="ADO103" s="769"/>
      <c r="ADP103" s="769"/>
      <c r="ADQ103" s="769"/>
      <c r="ADR103" s="769"/>
      <c r="ADS103" s="769"/>
      <c r="ADT103" s="769"/>
      <c r="ADU103" s="769"/>
      <c r="ADV103" s="769"/>
      <c r="ADW103" s="769"/>
      <c r="ADX103" s="769"/>
      <c r="ADY103" s="769"/>
      <c r="ADZ103" s="769"/>
      <c r="AEA103" s="769"/>
      <c r="AEB103" s="769"/>
      <c r="AEC103" s="769"/>
      <c r="AED103" s="769"/>
      <c r="AEE103" s="769"/>
      <c r="AEF103" s="769"/>
      <c r="AEG103" s="769"/>
      <c r="AEH103" s="769"/>
      <c r="AEI103" s="769"/>
      <c r="AEJ103" s="769"/>
      <c r="AEK103" s="769"/>
      <c r="AEL103" s="769"/>
      <c r="AEM103" s="769"/>
      <c r="AEN103" s="769"/>
      <c r="AEO103" s="769"/>
      <c r="AEP103" s="769"/>
      <c r="AEQ103" s="769"/>
      <c r="AER103" s="769"/>
      <c r="AES103" s="769"/>
      <c r="AET103" s="769"/>
      <c r="AEU103" s="769"/>
      <c r="AEV103" s="769"/>
      <c r="AEW103" s="769"/>
      <c r="AEX103" s="769"/>
      <c r="AEY103" s="769"/>
      <c r="AEZ103" s="769"/>
      <c r="AFA103" s="769"/>
      <c r="AFB103" s="769"/>
      <c r="AFC103" s="769"/>
      <c r="AFD103" s="769"/>
      <c r="AFE103" s="769"/>
      <c r="AFF103" s="769"/>
      <c r="AFG103" s="769"/>
      <c r="AFH103" s="769"/>
      <c r="AFI103" s="769"/>
      <c r="AFJ103" s="769"/>
      <c r="AFK103" s="769"/>
      <c r="AFL103" s="769"/>
      <c r="AFM103" s="769"/>
      <c r="AFN103" s="769"/>
      <c r="AFO103" s="769"/>
      <c r="AFP103" s="769"/>
      <c r="AFQ103" s="769"/>
      <c r="AFR103" s="769"/>
      <c r="AFS103" s="769"/>
      <c r="AFT103" s="769"/>
      <c r="AFU103" s="769"/>
      <c r="AFV103" s="769"/>
      <c r="AFW103" s="769"/>
      <c r="AFX103" s="769"/>
      <c r="AFY103" s="769"/>
      <c r="AFZ103" s="769"/>
      <c r="AGA103" s="769"/>
      <c r="AGB103" s="769"/>
      <c r="AGC103" s="769"/>
      <c r="AGD103" s="769"/>
      <c r="AGE103" s="769"/>
      <c r="AGF103" s="769"/>
      <c r="AGG103" s="769"/>
      <c r="AGH103" s="769"/>
      <c r="AGI103" s="769"/>
      <c r="AGJ103" s="769"/>
      <c r="AGK103" s="769"/>
      <c r="AGL103" s="769"/>
      <c r="AGM103" s="769"/>
      <c r="AGN103" s="769"/>
      <c r="AGO103" s="769"/>
      <c r="AGP103" s="769"/>
      <c r="AGQ103" s="769"/>
      <c r="AGR103" s="769"/>
      <c r="AGS103" s="769"/>
      <c r="AGT103" s="769"/>
      <c r="AGU103" s="769"/>
      <c r="AGV103" s="769"/>
      <c r="AGW103" s="769"/>
      <c r="AGX103" s="769"/>
      <c r="AGY103" s="769"/>
      <c r="AGZ103" s="769"/>
      <c r="AHA103" s="769"/>
      <c r="AHB103" s="769"/>
      <c r="AHC103" s="769"/>
      <c r="AHD103" s="769"/>
      <c r="AHE103" s="769"/>
      <c r="AHF103" s="769"/>
      <c r="AHG103" s="769"/>
      <c r="AHH103" s="769"/>
      <c r="AHI103" s="769"/>
      <c r="AHJ103" s="769"/>
      <c r="AHK103" s="769"/>
      <c r="AHL103" s="769"/>
      <c r="AHM103" s="769"/>
      <c r="AHN103" s="769"/>
      <c r="AHO103" s="769"/>
      <c r="AHP103" s="769"/>
      <c r="AHQ103" s="769"/>
      <c r="AHR103" s="769"/>
      <c r="AHS103" s="769"/>
      <c r="AHT103" s="769"/>
      <c r="AHU103" s="769"/>
      <c r="AHV103" s="769"/>
      <c r="AHW103" s="769"/>
      <c r="AHX103" s="769"/>
      <c r="AHY103" s="769"/>
      <c r="AHZ103" s="769"/>
      <c r="AIA103" s="769"/>
      <c r="AIB103" s="769"/>
      <c r="AIC103" s="769"/>
      <c r="AID103" s="769"/>
      <c r="AIE103" s="769"/>
      <c r="AIF103" s="769"/>
      <c r="AIG103" s="769"/>
      <c r="AIH103" s="769"/>
      <c r="AII103" s="769"/>
      <c r="AIJ103" s="769"/>
      <c r="AIK103" s="769"/>
      <c r="AIL103" s="769"/>
      <c r="AIM103" s="769"/>
      <c r="AIN103" s="769"/>
      <c r="AIO103" s="769"/>
      <c r="AIP103" s="769"/>
      <c r="AIQ103" s="769"/>
      <c r="AIR103" s="769"/>
      <c r="AIS103" s="769"/>
      <c r="AIT103" s="769"/>
      <c r="AIU103" s="769"/>
      <c r="AIV103" s="769"/>
      <c r="AIW103" s="769"/>
      <c r="AIX103" s="769"/>
      <c r="AIY103" s="769"/>
      <c r="AIZ103" s="769"/>
      <c r="AJA103" s="769"/>
      <c r="AJB103" s="769"/>
      <c r="AJC103" s="769"/>
      <c r="AJD103" s="769"/>
      <c r="AJE103" s="769"/>
      <c r="AJF103" s="769"/>
      <c r="AJG103" s="769"/>
      <c r="AJH103" s="769"/>
      <c r="AJI103" s="769"/>
      <c r="AJJ103" s="769"/>
      <c r="AJK103" s="769"/>
      <c r="AJL103" s="769"/>
      <c r="AJM103" s="769"/>
      <c r="AJN103" s="769"/>
      <c r="AJO103" s="769"/>
      <c r="AJP103" s="769"/>
      <c r="AJQ103" s="769"/>
      <c r="AJR103" s="769"/>
      <c r="AJS103" s="769"/>
      <c r="AJT103" s="769"/>
      <c r="AJU103" s="769"/>
      <c r="AJV103" s="769"/>
      <c r="AJW103" s="769"/>
      <c r="AJX103" s="769"/>
      <c r="AJY103" s="769"/>
      <c r="AJZ103" s="769"/>
      <c r="AKA103" s="769"/>
      <c r="AKB103" s="769"/>
      <c r="AKC103" s="769"/>
      <c r="AKD103" s="769"/>
      <c r="AKE103" s="769"/>
      <c r="AKF103" s="769"/>
      <c r="AKG103" s="769"/>
      <c r="AKH103" s="769"/>
      <c r="AKI103" s="769"/>
      <c r="AKJ103" s="769"/>
      <c r="AKK103" s="769"/>
      <c r="AKL103" s="769"/>
      <c r="AKM103" s="769"/>
      <c r="AKN103" s="769"/>
      <c r="AKO103" s="769"/>
      <c r="AKP103" s="769"/>
      <c r="AKQ103" s="769"/>
      <c r="AKR103" s="769"/>
      <c r="AKS103" s="769"/>
      <c r="AKT103" s="769"/>
      <c r="AKU103" s="769"/>
      <c r="AKV103" s="769"/>
      <c r="AKW103" s="769"/>
      <c r="AKX103" s="769"/>
      <c r="AKY103" s="769"/>
      <c r="AKZ103" s="769"/>
      <c r="ALA103" s="769"/>
      <c r="ALB103" s="769"/>
      <c r="ALC103" s="769"/>
      <c r="ALD103" s="769"/>
      <c r="ALE103" s="769"/>
      <c r="ALF103" s="769"/>
      <c r="ALG103" s="769"/>
      <c r="ALH103" s="769"/>
      <c r="ALI103" s="769"/>
      <c r="ALJ103" s="769"/>
      <c r="ALK103" s="769"/>
      <c r="ALL103" s="769"/>
      <c r="ALM103" s="769"/>
      <c r="ALN103" s="769"/>
      <c r="ALO103" s="769"/>
      <c r="ALP103" s="769"/>
      <c r="ALQ103" s="769"/>
      <c r="ALR103" s="769"/>
      <c r="ALS103" s="769"/>
      <c r="ALT103" s="769"/>
      <c r="ALU103" s="769"/>
      <c r="ALV103" s="769"/>
      <c r="ALW103" s="769"/>
      <c r="ALX103" s="769"/>
      <c r="ALY103" s="769"/>
      <c r="ALZ103" s="769"/>
      <c r="AMA103" s="769"/>
      <c r="AMB103" s="769"/>
      <c r="AMC103" s="769"/>
      <c r="AMD103" s="769"/>
      <c r="AME103" s="769"/>
      <c r="AMF103" s="769"/>
      <c r="AMG103" s="769"/>
      <c r="AMH103" s="769"/>
      <c r="AMI103" s="769"/>
      <c r="AMJ103" s="769"/>
      <c r="AMK103" s="769"/>
      <c r="AML103" s="769"/>
      <c r="AMM103" s="769"/>
      <c r="AMN103" s="769"/>
      <c r="AMO103" s="769"/>
      <c r="AMP103" s="769"/>
      <c r="AMQ103" s="769"/>
      <c r="AMR103" s="769"/>
      <c r="AMS103" s="769"/>
      <c r="AMT103" s="769"/>
      <c r="AMU103" s="769"/>
      <c r="AMV103" s="769"/>
      <c r="AMW103" s="769"/>
      <c r="AMX103" s="769"/>
      <c r="AMY103" s="769"/>
      <c r="AMZ103" s="769"/>
      <c r="ANA103" s="769"/>
      <c r="ANB103" s="769"/>
      <c r="ANC103" s="769"/>
      <c r="AND103" s="769"/>
      <c r="ANE103" s="769"/>
      <c r="ANF103" s="769"/>
      <c r="ANG103" s="769"/>
      <c r="ANH103" s="769"/>
      <c r="ANI103" s="769"/>
      <c r="ANJ103" s="769"/>
      <c r="ANK103" s="769"/>
      <c r="ANL103" s="769"/>
      <c r="ANM103" s="769"/>
      <c r="ANN103" s="769"/>
      <c r="ANO103" s="769"/>
      <c r="ANP103" s="769"/>
      <c r="ANQ103" s="769"/>
      <c r="ANR103" s="769"/>
      <c r="ANS103" s="769"/>
      <c r="ANT103" s="769"/>
      <c r="ANU103" s="769"/>
      <c r="ANV103" s="769"/>
      <c r="ANW103" s="769"/>
      <c r="ANX103" s="769"/>
      <c r="ANY103" s="769"/>
      <c r="ANZ103" s="769"/>
      <c r="AOA103" s="769"/>
      <c r="AOB103" s="769"/>
      <c r="AOC103" s="769"/>
      <c r="AOD103" s="769"/>
      <c r="AOE103" s="769"/>
      <c r="AOF103" s="769"/>
      <c r="AOG103" s="769"/>
      <c r="AOH103" s="769"/>
      <c r="AOI103" s="769"/>
      <c r="AOJ103" s="769"/>
      <c r="AOK103" s="769"/>
      <c r="AOL103" s="769"/>
      <c r="AOM103" s="769"/>
      <c r="AON103" s="769"/>
      <c r="AOO103" s="769"/>
      <c r="AOP103" s="769"/>
      <c r="AOQ103" s="769"/>
      <c r="AOR103" s="769"/>
      <c r="AOS103" s="769"/>
      <c r="AOT103" s="769"/>
      <c r="AOU103" s="769"/>
      <c r="AOV103" s="769"/>
      <c r="AOW103" s="769"/>
      <c r="AOX103" s="769"/>
      <c r="AOY103" s="769"/>
      <c r="AOZ103" s="769"/>
      <c r="APA103" s="769"/>
      <c r="APB103" s="769"/>
      <c r="APC103" s="769"/>
      <c r="APD103" s="769"/>
      <c r="APE103" s="769"/>
      <c r="APF103" s="769"/>
      <c r="APG103" s="769"/>
      <c r="APH103" s="769"/>
      <c r="API103" s="769"/>
      <c r="APJ103" s="769"/>
      <c r="APK103" s="769"/>
      <c r="APL103" s="769"/>
      <c r="APM103" s="769"/>
      <c r="APN103" s="769"/>
      <c r="APO103" s="769"/>
      <c r="APP103" s="769"/>
      <c r="APQ103" s="769"/>
      <c r="APR103" s="769"/>
      <c r="APS103" s="769"/>
      <c r="APT103" s="769"/>
      <c r="APU103" s="769"/>
      <c r="APV103" s="769"/>
      <c r="APW103" s="769"/>
      <c r="APX103" s="769"/>
      <c r="APY103" s="769"/>
      <c r="APZ103" s="769"/>
      <c r="AQA103" s="769"/>
      <c r="AQB103" s="769"/>
      <c r="AQC103" s="769"/>
      <c r="AQD103" s="769"/>
      <c r="AQE103" s="769"/>
      <c r="AQF103" s="769"/>
      <c r="AQG103" s="769"/>
      <c r="AQH103" s="769"/>
      <c r="AQI103" s="769"/>
      <c r="AQJ103" s="769"/>
      <c r="AQK103" s="769"/>
      <c r="AQL103" s="769"/>
      <c r="AQM103" s="769"/>
      <c r="AQN103" s="769"/>
      <c r="AQO103" s="769"/>
      <c r="AQP103" s="769"/>
      <c r="AQQ103" s="769"/>
      <c r="AQR103" s="769"/>
      <c r="AQS103" s="769"/>
      <c r="AQT103" s="769"/>
      <c r="AQU103" s="769"/>
      <c r="AQV103" s="769"/>
      <c r="AQW103" s="769"/>
      <c r="AQX103" s="769"/>
      <c r="AQY103" s="769"/>
      <c r="AQZ103" s="769"/>
      <c r="ARA103" s="769"/>
      <c r="ARB103" s="769"/>
      <c r="ARC103" s="769"/>
      <c r="ARD103" s="769"/>
      <c r="ARE103" s="769"/>
      <c r="ARF103" s="769"/>
      <c r="ARG103" s="769"/>
      <c r="ARH103" s="769"/>
      <c r="ARI103" s="769"/>
      <c r="ARJ103" s="769"/>
      <c r="ARK103" s="769"/>
      <c r="ARL103" s="769"/>
      <c r="ARM103" s="769"/>
      <c r="ARN103" s="769"/>
      <c r="ARO103" s="769"/>
      <c r="ARP103" s="769"/>
      <c r="ARQ103" s="769"/>
      <c r="ARR103" s="769"/>
      <c r="ARS103" s="769"/>
      <c r="ART103" s="769"/>
      <c r="ARU103" s="769"/>
      <c r="ARV103" s="769"/>
      <c r="ARW103" s="769"/>
      <c r="ARX103" s="769"/>
      <c r="ARY103" s="769"/>
      <c r="ARZ103" s="769"/>
      <c r="ASA103" s="769"/>
      <c r="ASB103" s="769"/>
      <c r="ASC103" s="769"/>
      <c r="ASD103" s="769"/>
      <c r="ASE103" s="769"/>
      <c r="ASF103" s="769"/>
      <c r="ASG103" s="769"/>
      <c r="ASH103" s="769"/>
      <c r="ASI103" s="769"/>
      <c r="ASJ103" s="769"/>
      <c r="ASK103" s="769"/>
      <c r="ASL103" s="769"/>
      <c r="ASM103" s="769"/>
      <c r="ASN103" s="769"/>
      <c r="ASO103" s="769"/>
      <c r="ASP103" s="769"/>
      <c r="ASQ103" s="769"/>
      <c r="ASR103" s="769"/>
      <c r="ASS103" s="769"/>
      <c r="AST103" s="769"/>
      <c r="ASU103" s="769"/>
      <c r="ASV103" s="769"/>
      <c r="ASW103" s="769"/>
      <c r="ASX103" s="769"/>
      <c r="ASY103" s="769"/>
      <c r="ASZ103" s="769"/>
      <c r="ATA103" s="769"/>
      <c r="ATB103" s="769"/>
      <c r="ATC103" s="769"/>
      <c r="ATD103" s="769"/>
      <c r="ATE103" s="769"/>
      <c r="ATF103" s="769"/>
      <c r="ATG103" s="769"/>
      <c r="ATH103" s="769"/>
      <c r="ATI103" s="769"/>
      <c r="ATJ103" s="769"/>
      <c r="ATK103" s="769"/>
      <c r="ATL103" s="769"/>
      <c r="ATM103" s="769"/>
      <c r="ATN103" s="769"/>
      <c r="ATO103" s="769"/>
      <c r="ATP103" s="769"/>
      <c r="ATQ103" s="769"/>
      <c r="ATR103" s="769"/>
      <c r="ATS103" s="769"/>
      <c r="ATT103" s="769"/>
      <c r="ATU103" s="769"/>
      <c r="ATV103" s="769"/>
      <c r="ATW103" s="769"/>
      <c r="ATX103" s="769"/>
      <c r="ATY103" s="769"/>
      <c r="ATZ103" s="769"/>
      <c r="AUA103" s="769"/>
      <c r="AUB103" s="769"/>
      <c r="AUC103" s="769"/>
      <c r="AUD103" s="769"/>
      <c r="AUE103" s="769"/>
      <c r="AUF103" s="769"/>
      <c r="AUG103" s="769"/>
      <c r="AUH103" s="769"/>
      <c r="AUI103" s="769"/>
      <c r="AUJ103" s="769"/>
      <c r="AUK103" s="769"/>
      <c r="AUL103" s="769"/>
      <c r="AUM103" s="769"/>
      <c r="AUN103" s="769"/>
      <c r="AUO103" s="769"/>
      <c r="AUP103" s="769"/>
      <c r="AUQ103" s="769"/>
      <c r="AUR103" s="769"/>
      <c r="AUS103" s="769"/>
      <c r="AUT103" s="769"/>
      <c r="AUU103" s="769"/>
      <c r="AUV103" s="769"/>
      <c r="AUW103" s="769"/>
      <c r="AUX103" s="769"/>
      <c r="AUY103" s="769"/>
      <c r="AUZ103" s="769"/>
      <c r="AVA103" s="769"/>
      <c r="AVB103" s="769"/>
      <c r="AVC103" s="769"/>
      <c r="AVD103" s="769"/>
      <c r="AVE103" s="769"/>
      <c r="AVF103" s="769"/>
      <c r="AVG103" s="769"/>
      <c r="AVH103" s="769"/>
      <c r="AVI103" s="769"/>
      <c r="AVJ103" s="769"/>
      <c r="AVK103" s="769"/>
      <c r="AVL103" s="769"/>
      <c r="AVM103" s="769"/>
      <c r="AVN103" s="769"/>
      <c r="AVO103" s="769"/>
      <c r="AVP103" s="769"/>
      <c r="AVQ103" s="769"/>
      <c r="AVR103" s="769"/>
      <c r="AVS103" s="769"/>
      <c r="AVT103" s="769"/>
      <c r="AVU103" s="769"/>
      <c r="AVV103" s="769"/>
      <c r="AVW103" s="769"/>
      <c r="AVX103" s="769"/>
      <c r="AVY103" s="769"/>
      <c r="AVZ103" s="769"/>
      <c r="AWA103" s="769"/>
      <c r="AWB103" s="769"/>
      <c r="AWC103" s="769"/>
      <c r="AWD103" s="769"/>
      <c r="AWE103" s="769"/>
      <c r="AWF103" s="769"/>
      <c r="AWG103" s="769"/>
      <c r="AWH103" s="769"/>
      <c r="AWI103" s="769"/>
      <c r="AWJ103" s="769"/>
      <c r="AWK103" s="769"/>
      <c r="AWL103" s="769"/>
      <c r="AWM103" s="769"/>
      <c r="AWN103" s="769"/>
      <c r="AWO103" s="769"/>
      <c r="AWP103" s="769"/>
      <c r="AWQ103" s="769"/>
      <c r="AWR103" s="769"/>
      <c r="AWS103" s="769"/>
      <c r="AWT103" s="769"/>
      <c r="AWU103" s="769"/>
      <c r="AWV103" s="769"/>
      <c r="AWW103" s="769"/>
      <c r="AWX103" s="769"/>
      <c r="AWY103" s="769"/>
      <c r="AWZ103" s="769"/>
      <c r="AXA103" s="769"/>
      <c r="AXB103" s="769"/>
      <c r="AXC103" s="769"/>
      <c r="AXD103" s="769"/>
      <c r="AXE103" s="769"/>
      <c r="AXF103" s="769"/>
      <c r="AXG103" s="769"/>
      <c r="AXH103" s="769"/>
      <c r="AXI103" s="769"/>
      <c r="AXJ103" s="769"/>
      <c r="AXK103" s="769"/>
      <c r="AXL103" s="769"/>
      <c r="AXM103" s="769"/>
      <c r="AXN103" s="769"/>
      <c r="AXO103" s="769"/>
      <c r="AXP103" s="769"/>
      <c r="AXQ103" s="769"/>
      <c r="AXR103" s="769"/>
      <c r="AXS103" s="769"/>
      <c r="AXT103" s="769"/>
      <c r="AXU103" s="769"/>
      <c r="AXV103" s="769"/>
      <c r="AXW103" s="769"/>
      <c r="AXX103" s="769"/>
      <c r="AXY103" s="769"/>
      <c r="AXZ103" s="769"/>
      <c r="AYA103" s="769"/>
      <c r="AYB103" s="769"/>
      <c r="AYC103" s="769"/>
      <c r="AYD103" s="769"/>
      <c r="AYE103" s="769"/>
      <c r="AYF103" s="769"/>
      <c r="AYG103" s="769"/>
      <c r="AYH103" s="769"/>
      <c r="AYI103" s="769"/>
      <c r="AYJ103" s="769"/>
      <c r="AYK103" s="769"/>
      <c r="AYL103" s="769"/>
      <c r="AYM103" s="769"/>
      <c r="AYN103" s="769"/>
      <c r="AYO103" s="769"/>
      <c r="AYP103" s="769"/>
      <c r="AYQ103" s="769"/>
      <c r="AYR103" s="769"/>
      <c r="AYS103" s="769"/>
      <c r="AYT103" s="769"/>
      <c r="AYU103" s="769"/>
      <c r="AYV103" s="769"/>
      <c r="AYW103" s="769"/>
      <c r="AYX103" s="769"/>
      <c r="AYY103" s="769"/>
      <c r="AYZ103" s="769"/>
      <c r="AZA103" s="769"/>
      <c r="AZB103" s="769"/>
      <c r="AZC103" s="769"/>
      <c r="AZD103" s="769"/>
      <c r="AZE103" s="769"/>
      <c r="AZF103" s="769"/>
      <c r="AZG103" s="769"/>
      <c r="AZH103" s="769"/>
      <c r="AZI103" s="769"/>
      <c r="AZJ103" s="769"/>
      <c r="AZK103" s="769"/>
      <c r="AZL103" s="769"/>
      <c r="AZM103" s="769"/>
      <c r="AZN103" s="769"/>
      <c r="AZO103" s="769"/>
      <c r="AZP103" s="769"/>
      <c r="AZQ103" s="769"/>
      <c r="AZR103" s="769"/>
      <c r="AZS103" s="769"/>
      <c r="AZT103" s="769"/>
      <c r="AZU103" s="769"/>
      <c r="AZV103" s="769"/>
      <c r="AZW103" s="769"/>
      <c r="AZX103" s="769"/>
      <c r="AZY103" s="769"/>
      <c r="AZZ103" s="769"/>
      <c r="BAA103" s="769"/>
      <c r="BAB103" s="769"/>
      <c r="BAC103" s="769"/>
      <c r="BAD103" s="769"/>
      <c r="BAE103" s="769"/>
      <c r="BAF103" s="769"/>
      <c r="BAG103" s="769"/>
      <c r="BAH103" s="769"/>
      <c r="BAI103" s="769"/>
      <c r="BAJ103" s="769"/>
      <c r="BAK103" s="769"/>
      <c r="BAL103" s="769"/>
      <c r="BAM103" s="769"/>
      <c r="BAN103" s="769"/>
      <c r="BAO103" s="769"/>
      <c r="BAP103" s="769"/>
      <c r="BAQ103" s="769"/>
      <c r="BAR103" s="769"/>
      <c r="BAS103" s="769"/>
      <c r="BAT103" s="769"/>
      <c r="BAU103" s="769"/>
      <c r="BAV103" s="769"/>
      <c r="BAW103" s="769"/>
      <c r="BAX103" s="769"/>
      <c r="BAY103" s="769"/>
      <c r="BAZ103" s="769"/>
      <c r="BBA103" s="769"/>
      <c r="BBB103" s="769"/>
      <c r="BBC103" s="769"/>
      <c r="BBD103" s="769"/>
      <c r="BBE103" s="769"/>
      <c r="BBF103" s="769"/>
      <c r="BBG103" s="769"/>
      <c r="BBH103" s="769"/>
      <c r="BBI103" s="769"/>
      <c r="BBJ103" s="769"/>
      <c r="BBK103" s="769"/>
      <c r="BBL103" s="769"/>
      <c r="BBM103" s="769"/>
      <c r="BBN103" s="769"/>
      <c r="BBO103" s="769"/>
      <c r="BBP103" s="769"/>
      <c r="BBQ103" s="769"/>
      <c r="BBR103" s="769"/>
      <c r="BBS103" s="769"/>
      <c r="BBT103" s="769"/>
      <c r="BBU103" s="769"/>
      <c r="BBV103" s="769"/>
      <c r="BBW103" s="769"/>
      <c r="BBX103" s="769"/>
      <c r="BBY103" s="769"/>
      <c r="BBZ103" s="769"/>
      <c r="BCA103" s="769"/>
      <c r="BCB103" s="769"/>
      <c r="BCC103" s="769"/>
      <c r="BCD103" s="769"/>
      <c r="BCE103" s="769"/>
      <c r="BCF103" s="769"/>
      <c r="BCG103" s="769"/>
      <c r="BCH103" s="769"/>
      <c r="BCI103" s="769"/>
      <c r="BCJ103" s="769"/>
      <c r="BCK103" s="769"/>
      <c r="BCL103" s="769"/>
      <c r="BCM103" s="769"/>
      <c r="BCN103" s="769"/>
      <c r="BCO103" s="769"/>
      <c r="BCP103" s="769"/>
      <c r="BCQ103" s="769"/>
      <c r="BCR103" s="769"/>
      <c r="BCS103" s="769"/>
      <c r="BCT103" s="769"/>
      <c r="BCU103" s="769"/>
      <c r="BCV103" s="769"/>
      <c r="BCW103" s="769"/>
      <c r="BCX103" s="769"/>
      <c r="BCY103" s="769"/>
      <c r="BCZ103" s="769"/>
      <c r="BDA103" s="769"/>
      <c r="BDB103" s="769"/>
      <c r="BDC103" s="769"/>
      <c r="BDD103" s="769"/>
      <c r="BDE103" s="769"/>
      <c r="BDF103" s="769"/>
      <c r="BDG103" s="769"/>
      <c r="BDH103" s="769"/>
      <c r="BDI103" s="769"/>
      <c r="BDJ103" s="769"/>
      <c r="BDK103" s="769"/>
      <c r="BDL103" s="769"/>
      <c r="BDM103" s="769"/>
      <c r="BDN103" s="769"/>
      <c r="BDO103" s="769"/>
      <c r="BDP103" s="769"/>
      <c r="BDQ103" s="769"/>
      <c r="BDR103" s="769"/>
      <c r="BDS103" s="769"/>
      <c r="BDT103" s="769"/>
      <c r="BDU103" s="769"/>
      <c r="BDV103" s="769"/>
      <c r="BDW103" s="769"/>
      <c r="BDX103" s="769"/>
      <c r="BDY103" s="769"/>
      <c r="BDZ103" s="769"/>
      <c r="BEA103" s="769"/>
      <c r="BEB103" s="769"/>
      <c r="BEC103" s="769"/>
      <c r="BED103" s="769"/>
      <c r="BEE103" s="769"/>
      <c r="BEF103" s="769"/>
      <c r="BEG103" s="769"/>
      <c r="BEH103" s="769"/>
      <c r="BEI103" s="769"/>
      <c r="BEJ103" s="769"/>
      <c r="BEK103" s="769"/>
      <c r="BEL103" s="769"/>
      <c r="BEM103" s="769"/>
      <c r="BEN103" s="769"/>
      <c r="BEO103" s="769"/>
      <c r="BEP103" s="769"/>
      <c r="BEQ103" s="769"/>
      <c r="BER103" s="769"/>
      <c r="BES103" s="769"/>
      <c r="BET103" s="769"/>
      <c r="BEU103" s="769"/>
      <c r="BEV103" s="769"/>
      <c r="BEW103" s="769"/>
      <c r="BEX103" s="769"/>
      <c r="BEY103" s="769"/>
      <c r="BEZ103" s="769"/>
      <c r="BFA103" s="769"/>
      <c r="BFB103" s="769"/>
      <c r="BFC103" s="769"/>
      <c r="BFD103" s="769"/>
      <c r="BFE103" s="769"/>
      <c r="BFF103" s="769"/>
      <c r="BFG103" s="769"/>
      <c r="BFH103" s="769"/>
      <c r="BFI103" s="769"/>
      <c r="BFJ103" s="769"/>
      <c r="BFK103" s="769"/>
      <c r="BFL103" s="769"/>
      <c r="BFM103" s="769"/>
      <c r="BFN103" s="769"/>
      <c r="BFO103" s="769"/>
      <c r="BFP103" s="769"/>
      <c r="BFQ103" s="769"/>
      <c r="BFR103" s="769"/>
      <c r="BFS103" s="769"/>
      <c r="BFT103" s="769"/>
      <c r="BFU103" s="769"/>
      <c r="BFV103" s="769"/>
      <c r="BFW103" s="769"/>
      <c r="BFX103" s="769"/>
      <c r="BFY103" s="769"/>
      <c r="BFZ103" s="769"/>
      <c r="BGA103" s="769"/>
      <c r="BGB103" s="769"/>
      <c r="BGC103" s="769"/>
      <c r="BGD103" s="769"/>
      <c r="BGE103" s="769"/>
      <c r="BGF103" s="769"/>
      <c r="BGG103" s="769"/>
      <c r="BGH103" s="769"/>
      <c r="BGI103" s="769"/>
      <c r="BGJ103" s="769"/>
      <c r="BGK103" s="769"/>
      <c r="BGL103" s="769"/>
      <c r="BGM103" s="769"/>
      <c r="BGN103" s="769"/>
      <c r="BGO103" s="769"/>
      <c r="BGP103" s="769"/>
      <c r="BGQ103" s="769"/>
      <c r="BGR103" s="769"/>
      <c r="BGS103" s="769"/>
      <c r="BGT103" s="769"/>
      <c r="BGU103" s="769"/>
      <c r="BGV103" s="769"/>
      <c r="BGW103" s="769"/>
      <c r="BGX103" s="769"/>
      <c r="BGY103" s="769"/>
      <c r="BGZ103" s="769"/>
      <c r="BHA103" s="769"/>
      <c r="BHB103" s="769"/>
      <c r="BHC103" s="769"/>
      <c r="BHD103" s="769"/>
      <c r="BHE103" s="769"/>
      <c r="BHF103" s="769"/>
      <c r="BHG103" s="769"/>
      <c r="BHH103" s="769"/>
      <c r="BHI103" s="769"/>
      <c r="BHJ103" s="769"/>
      <c r="BHK103" s="769"/>
      <c r="BHL103" s="769"/>
      <c r="BHM103" s="769"/>
      <c r="BHN103" s="769"/>
      <c r="BHO103" s="769"/>
      <c r="BHP103" s="769"/>
      <c r="BHQ103" s="769"/>
      <c r="BHR103" s="769"/>
      <c r="BHS103" s="769"/>
      <c r="BHT103" s="769"/>
      <c r="BHU103" s="769"/>
      <c r="BHV103" s="769"/>
      <c r="BHW103" s="769"/>
      <c r="BHX103" s="769"/>
      <c r="BHY103" s="769"/>
      <c r="BHZ103" s="769"/>
      <c r="BIA103" s="769"/>
      <c r="BIB103" s="769"/>
      <c r="BIC103" s="769"/>
      <c r="BID103" s="769"/>
      <c r="BIE103" s="769"/>
      <c r="BIF103" s="769"/>
      <c r="BIG103" s="769"/>
      <c r="BIH103" s="769"/>
      <c r="BII103" s="769"/>
      <c r="BIJ103" s="769"/>
      <c r="BIK103" s="769"/>
      <c r="BIL103" s="769"/>
      <c r="BIM103" s="769"/>
      <c r="BIN103" s="769"/>
      <c r="BIO103" s="769"/>
      <c r="BIP103" s="769"/>
      <c r="BIQ103" s="769"/>
      <c r="BIR103" s="769"/>
      <c r="BIS103" s="769"/>
      <c r="BIT103" s="769"/>
      <c r="BIU103" s="769"/>
      <c r="BIV103" s="769"/>
      <c r="BIW103" s="769"/>
      <c r="BIX103" s="769"/>
      <c r="BIY103" s="769"/>
      <c r="BIZ103" s="769"/>
      <c r="BJA103" s="769"/>
      <c r="BJB103" s="769"/>
      <c r="BJC103" s="769"/>
      <c r="BJD103" s="769"/>
      <c r="BJE103" s="769"/>
      <c r="BJF103" s="769"/>
      <c r="BJG103" s="769"/>
      <c r="BJH103" s="769"/>
      <c r="BJI103" s="769"/>
      <c r="BJJ103" s="769"/>
      <c r="BJK103" s="769"/>
      <c r="BJL103" s="769"/>
      <c r="BJM103" s="769"/>
      <c r="BJN103" s="769"/>
      <c r="BJO103" s="769"/>
      <c r="BJP103" s="769"/>
      <c r="BJQ103" s="769"/>
      <c r="BJR103" s="769"/>
      <c r="BJS103" s="769"/>
      <c r="BJT103" s="769"/>
      <c r="BJU103" s="769"/>
      <c r="BJV103" s="769"/>
      <c r="BJW103" s="769"/>
      <c r="BJX103" s="769"/>
      <c r="BJY103" s="769"/>
      <c r="BJZ103" s="769"/>
      <c r="BKA103" s="769"/>
      <c r="BKB103" s="769"/>
      <c r="BKC103" s="769"/>
      <c r="BKD103" s="769"/>
      <c r="BKE103" s="769"/>
      <c r="BKF103" s="769"/>
      <c r="BKG103" s="769"/>
      <c r="BKH103" s="769"/>
      <c r="BKI103" s="769"/>
      <c r="BKJ103" s="769"/>
      <c r="BKK103" s="769"/>
      <c r="BKL103" s="769"/>
      <c r="BKM103" s="769"/>
      <c r="BKN103" s="769"/>
      <c r="BKO103" s="769"/>
      <c r="BKP103" s="769"/>
      <c r="BKQ103" s="769"/>
      <c r="BKR103" s="769"/>
      <c r="BKS103" s="769"/>
      <c r="BKT103" s="769"/>
      <c r="BKU103" s="769"/>
      <c r="BKV103" s="769"/>
      <c r="BKW103" s="769"/>
      <c r="BKX103" s="769"/>
      <c r="BKY103" s="769"/>
      <c r="BKZ103" s="769"/>
      <c r="BLA103" s="769"/>
      <c r="BLB103" s="769"/>
      <c r="BLC103" s="769"/>
      <c r="BLD103" s="769"/>
      <c r="BLE103" s="769"/>
      <c r="BLF103" s="769"/>
      <c r="BLG103" s="769"/>
      <c r="BLH103" s="769"/>
      <c r="BLI103" s="769"/>
      <c r="BLJ103" s="769"/>
      <c r="BLK103" s="769"/>
      <c r="BLL103" s="769"/>
      <c r="BLM103" s="769"/>
      <c r="BLN103" s="769"/>
      <c r="BLO103" s="769"/>
      <c r="BLP103" s="769"/>
      <c r="BLQ103" s="769"/>
      <c r="BLR103" s="769"/>
      <c r="BLS103" s="769"/>
      <c r="BLT103" s="769"/>
      <c r="BLU103" s="769"/>
      <c r="BLV103" s="769"/>
      <c r="BLW103" s="769"/>
      <c r="BLX103" s="769"/>
      <c r="BLY103" s="769"/>
      <c r="BLZ103" s="769"/>
      <c r="BMA103" s="769"/>
      <c r="BMB103" s="769"/>
      <c r="BMC103" s="769"/>
      <c r="BMD103" s="769"/>
      <c r="BME103" s="769"/>
      <c r="BMF103" s="769"/>
      <c r="BMG103" s="769"/>
      <c r="BMH103" s="769"/>
      <c r="BMI103" s="769"/>
      <c r="BMJ103" s="769"/>
      <c r="BMK103" s="769"/>
      <c r="BML103" s="769"/>
      <c r="BMM103" s="769"/>
      <c r="BMN103" s="769"/>
      <c r="BMO103" s="769"/>
      <c r="BMP103" s="769"/>
      <c r="BMQ103" s="769"/>
      <c r="BMR103" s="769"/>
      <c r="BMS103" s="769"/>
      <c r="BMT103" s="769"/>
      <c r="BMU103" s="769"/>
      <c r="BMV103" s="769"/>
      <c r="BMW103" s="769"/>
      <c r="BMX103" s="769"/>
      <c r="BMY103" s="769"/>
      <c r="BMZ103" s="769"/>
      <c r="BNA103" s="769"/>
      <c r="BNB103" s="769"/>
      <c r="BNC103" s="769"/>
      <c r="BND103" s="769"/>
      <c r="BNE103" s="769"/>
      <c r="BNF103" s="769"/>
      <c r="BNG103" s="769"/>
      <c r="BNH103" s="769"/>
      <c r="BNI103" s="769"/>
      <c r="BNJ103" s="769"/>
      <c r="BNK103" s="769"/>
      <c r="BNL103" s="769"/>
      <c r="BNM103" s="769"/>
      <c r="BNN103" s="769"/>
      <c r="BNO103" s="769"/>
      <c r="BNP103" s="769"/>
      <c r="BNQ103" s="769"/>
      <c r="BNR103" s="769"/>
      <c r="BNS103" s="769"/>
      <c r="BNT103" s="769"/>
      <c r="BNU103" s="769"/>
      <c r="BNV103" s="769"/>
      <c r="BNW103" s="769"/>
      <c r="BNX103" s="769"/>
      <c r="BNY103" s="769"/>
      <c r="BNZ103" s="769"/>
      <c r="BOA103" s="769"/>
      <c r="BOB103" s="769"/>
      <c r="BOC103" s="769"/>
      <c r="BOD103" s="769"/>
      <c r="BOE103" s="769"/>
      <c r="BOF103" s="769"/>
      <c r="BOG103" s="769"/>
      <c r="BOH103" s="769"/>
      <c r="BOI103" s="769"/>
      <c r="BOJ103" s="769"/>
      <c r="BOK103" s="769"/>
      <c r="BOL103" s="769"/>
      <c r="BOM103" s="769"/>
      <c r="BON103" s="769"/>
      <c r="BOO103" s="769"/>
      <c r="BOP103" s="769"/>
      <c r="BOQ103" s="769"/>
      <c r="BOR103" s="769"/>
      <c r="BOS103" s="769"/>
      <c r="BOT103" s="769"/>
      <c r="BOU103" s="769"/>
      <c r="BOV103" s="769"/>
      <c r="BOW103" s="769"/>
      <c r="BOX103" s="769"/>
      <c r="BOY103" s="769"/>
      <c r="BOZ103" s="769"/>
      <c r="BPA103" s="769"/>
      <c r="BPB103" s="769"/>
      <c r="BPC103" s="769"/>
      <c r="BPD103" s="769"/>
      <c r="BPE103" s="769"/>
      <c r="BPF103" s="769"/>
      <c r="BPG103" s="769"/>
      <c r="BPH103" s="769"/>
      <c r="BPI103" s="769"/>
      <c r="BPJ103" s="769"/>
      <c r="BPK103" s="769"/>
      <c r="BPL103" s="769"/>
      <c r="BPM103" s="769"/>
      <c r="BPN103" s="769"/>
      <c r="BPO103" s="769"/>
      <c r="BPP103" s="769"/>
      <c r="BPQ103" s="769"/>
      <c r="BPR103" s="769"/>
      <c r="BPS103" s="769"/>
      <c r="BPT103" s="769"/>
      <c r="BPU103" s="769"/>
      <c r="BPV103" s="769"/>
      <c r="BPW103" s="769"/>
      <c r="BPX103" s="769"/>
      <c r="BPY103" s="769"/>
      <c r="BPZ103" s="769"/>
      <c r="BQA103" s="769"/>
      <c r="BQB103" s="769"/>
      <c r="BQC103" s="769"/>
      <c r="BQD103" s="769"/>
      <c r="BQE103" s="769"/>
      <c r="BQF103" s="769"/>
      <c r="BQG103" s="769"/>
      <c r="BQH103" s="769"/>
      <c r="BQI103" s="769"/>
      <c r="BQJ103" s="769"/>
      <c r="BQK103" s="769"/>
      <c r="BQL103" s="769"/>
      <c r="BQM103" s="769"/>
      <c r="BQN103" s="769"/>
      <c r="BQO103" s="769"/>
      <c r="BQP103" s="769"/>
      <c r="BQQ103" s="769"/>
      <c r="BQR103" s="769"/>
      <c r="BQS103" s="769"/>
      <c r="BQT103" s="769"/>
      <c r="BQU103" s="769"/>
      <c r="BQV103" s="769"/>
      <c r="BQW103" s="769"/>
      <c r="BQX103" s="769"/>
      <c r="BQY103" s="769"/>
      <c r="BQZ103" s="769"/>
      <c r="BRA103" s="769"/>
      <c r="BRB103" s="769"/>
      <c r="BRC103" s="769"/>
      <c r="BRD103" s="769"/>
      <c r="BRE103" s="769"/>
      <c r="BRF103" s="769"/>
      <c r="BRG103" s="769"/>
      <c r="BRH103" s="769"/>
      <c r="BRI103" s="769"/>
      <c r="BRJ103" s="769"/>
      <c r="BRK103" s="769"/>
      <c r="BRL103" s="769"/>
      <c r="BRM103" s="769"/>
      <c r="BRN103" s="769"/>
      <c r="BRO103" s="769"/>
      <c r="BRP103" s="769"/>
      <c r="BRQ103" s="769"/>
      <c r="BRR103" s="769"/>
      <c r="BRS103" s="769"/>
      <c r="BRT103" s="769"/>
      <c r="BRU103" s="769"/>
      <c r="BRV103" s="769"/>
      <c r="BRW103" s="769"/>
      <c r="BRX103" s="769"/>
      <c r="BRY103" s="769"/>
      <c r="BRZ103" s="769"/>
      <c r="BSA103" s="769"/>
      <c r="BSB103" s="769"/>
      <c r="BSC103" s="769"/>
      <c r="BSD103" s="769"/>
      <c r="BSE103" s="769"/>
      <c r="BSF103" s="769"/>
      <c r="BSG103" s="769"/>
      <c r="BSH103" s="769"/>
      <c r="BSI103" s="769"/>
      <c r="BSJ103" s="769"/>
      <c r="BSK103" s="769"/>
      <c r="BSL103" s="769"/>
      <c r="BSM103" s="769"/>
      <c r="BSN103" s="769"/>
      <c r="BSO103" s="769"/>
      <c r="BSP103" s="769"/>
      <c r="BSQ103" s="769"/>
      <c r="BSR103" s="769"/>
      <c r="BSS103" s="769"/>
      <c r="BST103" s="769"/>
      <c r="BSU103" s="769"/>
      <c r="BSV103" s="769"/>
      <c r="BSW103" s="769"/>
      <c r="BSX103" s="769"/>
      <c r="BSY103" s="769"/>
      <c r="BSZ103" s="769"/>
      <c r="BTA103" s="769"/>
      <c r="BTB103" s="769"/>
      <c r="BTC103" s="769"/>
      <c r="BTD103" s="769"/>
      <c r="BTE103" s="769"/>
      <c r="BTF103" s="769"/>
      <c r="BTG103" s="769"/>
      <c r="BTH103" s="769"/>
      <c r="BTI103" s="769"/>
      <c r="BTJ103" s="769"/>
      <c r="BTK103" s="769"/>
      <c r="BTL103" s="769"/>
      <c r="BTM103" s="769"/>
      <c r="BTN103" s="769"/>
      <c r="BTO103" s="769"/>
      <c r="BTP103" s="769"/>
      <c r="BTQ103" s="769"/>
      <c r="BTR103" s="769"/>
      <c r="BTS103" s="769"/>
      <c r="BTT103" s="769"/>
      <c r="BTU103" s="769"/>
      <c r="BTV103" s="769"/>
      <c r="BTW103" s="769"/>
      <c r="BTX103" s="769"/>
      <c r="BTY103" s="769"/>
      <c r="BTZ103" s="769"/>
      <c r="BUA103" s="769"/>
      <c r="BUB103" s="769"/>
      <c r="BUC103" s="769"/>
      <c r="BUD103" s="769"/>
      <c r="BUE103" s="769"/>
      <c r="BUF103" s="769"/>
      <c r="BUG103" s="769"/>
      <c r="BUH103" s="769"/>
      <c r="BUI103" s="769"/>
      <c r="BUJ103" s="769"/>
      <c r="BUK103" s="769"/>
      <c r="BUL103" s="769"/>
      <c r="BUM103" s="769"/>
      <c r="BUN103" s="769"/>
      <c r="BUO103" s="769"/>
      <c r="BUP103" s="769"/>
      <c r="BUQ103" s="769"/>
      <c r="BUR103" s="769"/>
      <c r="BUS103" s="769"/>
      <c r="BUT103" s="769"/>
      <c r="BUU103" s="769"/>
      <c r="BUV103" s="769"/>
      <c r="BUW103" s="769"/>
      <c r="BUX103" s="769"/>
      <c r="BUY103" s="769"/>
      <c r="BUZ103" s="769"/>
      <c r="BVA103" s="769"/>
      <c r="BVB103" s="769"/>
      <c r="BVC103" s="769"/>
      <c r="BVD103" s="769"/>
      <c r="BVE103" s="769"/>
      <c r="BVF103" s="769"/>
      <c r="BVG103" s="769"/>
      <c r="BVH103" s="769"/>
      <c r="BVI103" s="769"/>
      <c r="BVJ103" s="769"/>
      <c r="BVK103" s="769"/>
      <c r="BVL103" s="769"/>
      <c r="BVM103" s="769"/>
      <c r="BVN103" s="769"/>
      <c r="BVO103" s="769"/>
      <c r="BVP103" s="769"/>
      <c r="BVQ103" s="769"/>
      <c r="BVR103" s="769"/>
      <c r="BVS103" s="769"/>
      <c r="BVT103" s="769"/>
      <c r="BVU103" s="769"/>
      <c r="BVV103" s="769"/>
      <c r="BVW103" s="769"/>
      <c r="BVX103" s="769"/>
      <c r="BVY103" s="769"/>
      <c r="BVZ103" s="769"/>
      <c r="BWA103" s="769"/>
      <c r="BWB103" s="769"/>
      <c r="BWC103" s="769"/>
      <c r="BWD103" s="769"/>
      <c r="BWE103" s="769"/>
      <c r="BWF103" s="769"/>
      <c r="BWG103" s="769"/>
      <c r="BWH103" s="769"/>
      <c r="BWI103" s="769"/>
      <c r="BWJ103" s="769"/>
      <c r="BWK103" s="769"/>
      <c r="BWL103" s="769"/>
      <c r="BWM103" s="769"/>
      <c r="BWN103" s="769"/>
      <c r="BWO103" s="769"/>
      <c r="BWP103" s="769"/>
      <c r="BWQ103" s="769"/>
      <c r="BWR103" s="769"/>
      <c r="BWS103" s="769"/>
      <c r="BWT103" s="769"/>
      <c r="BWU103" s="769"/>
      <c r="BWV103" s="769"/>
      <c r="BWW103" s="769"/>
      <c r="BWX103" s="769"/>
      <c r="BWY103" s="769"/>
      <c r="BWZ103" s="769"/>
      <c r="BXA103" s="769"/>
      <c r="BXB103" s="769"/>
      <c r="BXC103" s="769"/>
      <c r="BXD103" s="769"/>
      <c r="BXE103" s="769"/>
      <c r="BXF103" s="769"/>
      <c r="BXG103" s="769"/>
      <c r="BXH103" s="769"/>
      <c r="BXI103" s="769"/>
      <c r="BXJ103" s="769"/>
      <c r="BXK103" s="769"/>
      <c r="BXL103" s="769"/>
      <c r="BXM103" s="769"/>
      <c r="BXN103" s="769"/>
      <c r="BXO103" s="769"/>
      <c r="BXP103" s="769"/>
      <c r="BXQ103" s="769"/>
      <c r="BXR103" s="769"/>
      <c r="BXS103" s="769"/>
      <c r="BXT103" s="769"/>
      <c r="BXU103" s="769"/>
      <c r="BXV103" s="769"/>
      <c r="BXW103" s="769"/>
      <c r="BXX103" s="769"/>
      <c r="BXY103" s="769"/>
      <c r="BXZ103" s="769"/>
      <c r="BYA103" s="769"/>
      <c r="BYB103" s="769"/>
      <c r="BYC103" s="769"/>
      <c r="BYD103" s="769"/>
      <c r="BYE103" s="769"/>
      <c r="BYF103" s="769"/>
      <c r="BYG103" s="769"/>
      <c r="BYH103" s="769"/>
      <c r="BYI103" s="769"/>
      <c r="BYJ103" s="769"/>
      <c r="BYK103" s="769"/>
      <c r="BYL103" s="769"/>
      <c r="BYM103" s="769"/>
      <c r="BYN103" s="769"/>
      <c r="BYO103" s="769"/>
      <c r="BYP103" s="769"/>
      <c r="BYQ103" s="769"/>
      <c r="BYR103" s="769"/>
      <c r="BYS103" s="769"/>
      <c r="BYT103" s="769"/>
      <c r="BYU103" s="769"/>
      <c r="BYV103" s="769"/>
      <c r="BYW103" s="769"/>
      <c r="BYX103" s="769"/>
      <c r="BYY103" s="769"/>
      <c r="BYZ103" s="769"/>
      <c r="BZA103" s="769"/>
      <c r="BZB103" s="769"/>
      <c r="BZC103" s="769"/>
      <c r="BZD103" s="769"/>
      <c r="BZE103" s="769"/>
      <c r="BZF103" s="769"/>
      <c r="BZG103" s="769"/>
      <c r="BZH103" s="769"/>
      <c r="BZI103" s="769"/>
      <c r="BZJ103" s="769"/>
      <c r="BZK103" s="769"/>
      <c r="BZL103" s="769"/>
      <c r="BZM103" s="769"/>
      <c r="BZN103" s="769"/>
      <c r="BZO103" s="769"/>
      <c r="BZP103" s="769"/>
      <c r="BZQ103" s="769"/>
      <c r="BZR103" s="769"/>
      <c r="BZS103" s="769"/>
      <c r="BZT103" s="769"/>
      <c r="BZU103" s="769"/>
      <c r="BZV103" s="769"/>
      <c r="BZW103" s="769"/>
      <c r="BZX103" s="769"/>
      <c r="BZY103" s="769"/>
      <c r="BZZ103" s="769"/>
      <c r="CAA103" s="769"/>
      <c r="CAB103" s="769"/>
      <c r="CAC103" s="769"/>
      <c r="CAD103" s="769"/>
      <c r="CAE103" s="769"/>
      <c r="CAF103" s="769"/>
      <c r="CAG103" s="769"/>
      <c r="CAH103" s="769"/>
      <c r="CAI103" s="769"/>
      <c r="CAJ103" s="769"/>
      <c r="CAK103" s="769"/>
      <c r="CAL103" s="769"/>
      <c r="CAM103" s="769"/>
      <c r="CAN103" s="769"/>
      <c r="CAO103" s="769"/>
      <c r="CAP103" s="769"/>
      <c r="CAQ103" s="769"/>
      <c r="CAR103" s="769"/>
      <c r="CAS103" s="769"/>
      <c r="CAT103" s="769"/>
      <c r="CAU103" s="769"/>
      <c r="CAV103" s="769"/>
      <c r="CAW103" s="769"/>
      <c r="CAX103" s="769"/>
      <c r="CAY103" s="769"/>
      <c r="CAZ103" s="769"/>
      <c r="CBA103" s="769"/>
      <c r="CBB103" s="769"/>
      <c r="CBC103" s="769"/>
      <c r="CBD103" s="769"/>
      <c r="CBE103" s="769"/>
      <c r="CBF103" s="769"/>
      <c r="CBG103" s="769"/>
      <c r="CBH103" s="769"/>
      <c r="CBI103" s="769"/>
      <c r="CBJ103" s="769"/>
      <c r="CBK103" s="769"/>
      <c r="CBL103" s="769"/>
      <c r="CBM103" s="769"/>
      <c r="CBN103" s="769"/>
      <c r="CBO103" s="769"/>
      <c r="CBP103" s="769"/>
      <c r="CBQ103" s="769"/>
      <c r="CBR103" s="769"/>
      <c r="CBS103" s="769"/>
      <c r="CBT103" s="769"/>
      <c r="CBU103" s="769"/>
      <c r="CBV103" s="769"/>
      <c r="CBW103" s="769"/>
      <c r="CBX103" s="769"/>
      <c r="CBY103" s="769"/>
      <c r="CBZ103" s="769"/>
      <c r="CCA103" s="769"/>
      <c r="CCB103" s="769"/>
      <c r="CCC103" s="769"/>
      <c r="CCD103" s="769"/>
      <c r="CCE103" s="769"/>
      <c r="CCF103" s="769"/>
      <c r="CCG103" s="769"/>
      <c r="CCH103" s="769"/>
      <c r="CCI103" s="769"/>
      <c r="CCJ103" s="769"/>
      <c r="CCK103" s="769"/>
      <c r="CCL103" s="769"/>
      <c r="CCM103" s="769"/>
      <c r="CCN103" s="769"/>
      <c r="CCO103" s="769"/>
      <c r="CCP103" s="769"/>
      <c r="CCQ103" s="769"/>
      <c r="CCR103" s="769"/>
      <c r="CCS103" s="769"/>
      <c r="CCT103" s="769"/>
      <c r="CCU103" s="769"/>
      <c r="CCV103" s="769"/>
      <c r="CCW103" s="769"/>
      <c r="CCX103" s="769"/>
      <c r="CCY103" s="769"/>
      <c r="CCZ103" s="769"/>
      <c r="CDA103" s="769"/>
      <c r="CDB103" s="769"/>
      <c r="CDC103" s="769"/>
      <c r="CDD103" s="769"/>
      <c r="CDE103" s="769"/>
      <c r="CDF103" s="769"/>
      <c r="CDG103" s="769"/>
      <c r="CDH103" s="769"/>
      <c r="CDI103" s="769"/>
      <c r="CDJ103" s="769"/>
      <c r="CDK103" s="769"/>
      <c r="CDL103" s="769"/>
      <c r="CDM103" s="769"/>
      <c r="CDN103" s="769"/>
      <c r="CDO103" s="769"/>
      <c r="CDP103" s="769"/>
      <c r="CDQ103" s="769"/>
      <c r="CDR103" s="769"/>
      <c r="CDS103" s="769"/>
      <c r="CDT103" s="769"/>
      <c r="CDU103" s="769"/>
      <c r="CDV103" s="769"/>
      <c r="CDW103" s="769"/>
      <c r="CDX103" s="769"/>
      <c r="CDY103" s="769"/>
      <c r="CDZ103" s="769"/>
      <c r="CEA103" s="769"/>
      <c r="CEB103" s="769"/>
      <c r="CEC103" s="769"/>
      <c r="CED103" s="769"/>
      <c r="CEE103" s="769"/>
      <c r="CEF103" s="769"/>
      <c r="CEG103" s="769"/>
      <c r="CEH103" s="769"/>
      <c r="CEI103" s="769"/>
      <c r="CEJ103" s="769"/>
      <c r="CEK103" s="769"/>
      <c r="CEL103" s="769"/>
      <c r="CEM103" s="769"/>
      <c r="CEN103" s="769"/>
      <c r="CEO103" s="769"/>
      <c r="CEP103" s="769"/>
      <c r="CEQ103" s="769"/>
      <c r="CER103" s="769"/>
      <c r="CES103" s="769"/>
      <c r="CET103" s="769"/>
      <c r="CEU103" s="769"/>
      <c r="CEV103" s="769"/>
      <c r="CEW103" s="769"/>
      <c r="CEX103" s="769"/>
      <c r="CEY103" s="769"/>
      <c r="CEZ103" s="769"/>
      <c r="CFA103" s="769"/>
      <c r="CFB103" s="769"/>
      <c r="CFC103" s="769"/>
      <c r="CFD103" s="769"/>
      <c r="CFE103" s="769"/>
      <c r="CFF103" s="769"/>
      <c r="CFG103" s="769"/>
      <c r="CFH103" s="769"/>
      <c r="CFI103" s="769"/>
      <c r="CFJ103" s="769"/>
      <c r="CFK103" s="769"/>
      <c r="CFL103" s="769"/>
      <c r="CFM103" s="769"/>
      <c r="CFN103" s="769"/>
      <c r="CFO103" s="769"/>
      <c r="CFP103" s="769"/>
      <c r="CFQ103" s="769"/>
      <c r="CFR103" s="769"/>
      <c r="CFS103" s="769"/>
      <c r="CFT103" s="769"/>
      <c r="CFU103" s="769"/>
      <c r="CFV103" s="769"/>
      <c r="CFW103" s="769"/>
      <c r="CFX103" s="769"/>
      <c r="CFY103" s="769"/>
      <c r="CFZ103" s="769"/>
      <c r="CGA103" s="769"/>
      <c r="CGB103" s="769"/>
      <c r="CGC103" s="769"/>
      <c r="CGD103" s="769"/>
      <c r="CGE103" s="769"/>
      <c r="CGF103" s="769"/>
      <c r="CGG103" s="769"/>
      <c r="CGH103" s="769"/>
      <c r="CGI103" s="769"/>
      <c r="CGJ103" s="769"/>
      <c r="CGK103" s="769"/>
      <c r="CGL103" s="769"/>
      <c r="CGM103" s="769"/>
      <c r="CGN103" s="769"/>
      <c r="CGO103" s="769"/>
      <c r="CGP103" s="769"/>
      <c r="CGQ103" s="769"/>
      <c r="CGR103" s="769"/>
      <c r="CGS103" s="769"/>
      <c r="CGT103" s="769"/>
      <c r="CGU103" s="769"/>
      <c r="CGV103" s="769"/>
      <c r="CGW103" s="769"/>
      <c r="CGX103" s="769"/>
      <c r="CGY103" s="769"/>
      <c r="CGZ103" s="769"/>
      <c r="CHA103" s="769"/>
      <c r="CHB103" s="769"/>
      <c r="CHC103" s="769"/>
      <c r="CHD103" s="769"/>
      <c r="CHE103" s="769"/>
      <c r="CHF103" s="769"/>
      <c r="CHG103" s="769"/>
      <c r="CHH103" s="769"/>
      <c r="CHI103" s="769"/>
      <c r="CHJ103" s="769"/>
      <c r="CHK103" s="769"/>
      <c r="CHL103" s="769"/>
      <c r="CHM103" s="769"/>
      <c r="CHN103" s="769"/>
      <c r="CHO103" s="769"/>
      <c r="CHP103" s="769"/>
      <c r="CHQ103" s="769"/>
      <c r="CHR103" s="769"/>
      <c r="CHS103" s="769"/>
      <c r="CHT103" s="769"/>
      <c r="CHU103" s="769"/>
      <c r="CHV103" s="769"/>
      <c r="CHW103" s="769"/>
      <c r="CHX103" s="769"/>
      <c r="CHY103" s="769"/>
      <c r="CHZ103" s="769"/>
      <c r="CIA103" s="769"/>
      <c r="CIB103" s="769"/>
      <c r="CIC103" s="769"/>
      <c r="CID103" s="769"/>
      <c r="CIE103" s="769"/>
      <c r="CIF103" s="769"/>
      <c r="CIG103" s="769"/>
      <c r="CIH103" s="769"/>
      <c r="CII103" s="769"/>
      <c r="CIJ103" s="769"/>
      <c r="CIK103" s="769"/>
      <c r="CIL103" s="769"/>
      <c r="CIM103" s="769"/>
      <c r="CIN103" s="769"/>
      <c r="CIO103" s="769"/>
      <c r="CIP103" s="769"/>
      <c r="CIQ103" s="769"/>
      <c r="CIR103" s="769"/>
      <c r="CIS103" s="769"/>
      <c r="CIT103" s="769"/>
      <c r="CIU103" s="769"/>
      <c r="CIV103" s="769"/>
      <c r="CIW103" s="769"/>
      <c r="CIX103" s="769"/>
      <c r="CIY103" s="769"/>
      <c r="CIZ103" s="769"/>
      <c r="CJA103" s="769"/>
      <c r="CJB103" s="769"/>
      <c r="CJC103" s="769"/>
      <c r="CJD103" s="769"/>
      <c r="CJE103" s="769"/>
      <c r="CJF103" s="769"/>
      <c r="CJG103" s="769"/>
      <c r="CJH103" s="769"/>
      <c r="CJI103" s="769"/>
      <c r="CJJ103" s="769"/>
      <c r="CJK103" s="769"/>
      <c r="CJL103" s="769"/>
      <c r="CJM103" s="769"/>
      <c r="CJN103" s="769"/>
      <c r="CJO103" s="769"/>
      <c r="CJP103" s="769"/>
      <c r="CJQ103" s="769"/>
      <c r="CJR103" s="769"/>
      <c r="CJS103" s="769"/>
      <c r="CJT103" s="769"/>
      <c r="CJU103" s="769"/>
      <c r="CJV103" s="769"/>
      <c r="CJW103" s="769"/>
      <c r="CJX103" s="769"/>
      <c r="CJY103" s="769"/>
      <c r="CJZ103" s="769"/>
      <c r="CKA103" s="769"/>
      <c r="CKB103" s="769"/>
      <c r="CKC103" s="769"/>
      <c r="CKD103" s="769"/>
      <c r="CKE103" s="769"/>
      <c r="CKF103" s="769"/>
      <c r="CKG103" s="769"/>
      <c r="CKH103" s="769"/>
      <c r="CKI103" s="769"/>
      <c r="CKJ103" s="769"/>
      <c r="CKK103" s="769"/>
      <c r="CKL103" s="769"/>
      <c r="CKM103" s="769"/>
      <c r="CKN103" s="769"/>
      <c r="CKO103" s="769"/>
      <c r="CKP103" s="769"/>
      <c r="CKQ103" s="769"/>
      <c r="CKR103" s="769"/>
      <c r="CKS103" s="769"/>
      <c r="CKT103" s="769"/>
      <c r="CKU103" s="769"/>
      <c r="CKV103" s="769"/>
      <c r="CKW103" s="769"/>
      <c r="CKX103" s="769"/>
      <c r="CKY103" s="769"/>
      <c r="CKZ103" s="769"/>
      <c r="CLA103" s="769"/>
      <c r="CLB103" s="769"/>
      <c r="CLC103" s="769"/>
      <c r="CLD103" s="769"/>
      <c r="CLE103" s="769"/>
      <c r="CLF103" s="769"/>
      <c r="CLG103" s="769"/>
      <c r="CLH103" s="769"/>
      <c r="CLI103" s="769"/>
      <c r="CLJ103" s="769"/>
      <c r="CLK103" s="769"/>
      <c r="CLL103" s="769"/>
      <c r="CLM103" s="769"/>
      <c r="CLN103" s="769"/>
      <c r="CLO103" s="769"/>
      <c r="CLP103" s="769"/>
      <c r="CLQ103" s="769"/>
      <c r="CLR103" s="769"/>
      <c r="CLS103" s="769"/>
      <c r="CLT103" s="769"/>
      <c r="CLU103" s="769"/>
      <c r="CLV103" s="769"/>
      <c r="CLW103" s="769"/>
      <c r="CLX103" s="769"/>
      <c r="CLY103" s="769"/>
      <c r="CLZ103" s="769"/>
      <c r="CMA103" s="769"/>
      <c r="CMB103" s="769"/>
      <c r="CMC103" s="769"/>
      <c r="CMD103" s="769"/>
      <c r="CME103" s="769"/>
      <c r="CMF103" s="769"/>
      <c r="CMG103" s="769"/>
      <c r="CMH103" s="769"/>
      <c r="CMI103" s="769"/>
      <c r="CMJ103" s="769"/>
      <c r="CMK103" s="769"/>
      <c r="CML103" s="769"/>
      <c r="CMM103" s="769"/>
      <c r="CMN103" s="769"/>
      <c r="CMO103" s="769"/>
      <c r="CMP103" s="769"/>
      <c r="CMQ103" s="769"/>
      <c r="CMR103" s="769"/>
      <c r="CMS103" s="769"/>
      <c r="CMT103" s="769"/>
      <c r="CMU103" s="769"/>
      <c r="CMV103" s="769"/>
      <c r="CMW103" s="769"/>
      <c r="CMX103" s="769"/>
      <c r="CMY103" s="769"/>
      <c r="CMZ103" s="769"/>
      <c r="CNA103" s="769"/>
      <c r="CNB103" s="769"/>
      <c r="CNC103" s="769"/>
      <c r="CND103" s="769"/>
      <c r="CNE103" s="769"/>
      <c r="CNF103" s="769"/>
      <c r="CNG103" s="769"/>
      <c r="CNH103" s="769"/>
      <c r="CNI103" s="769"/>
      <c r="CNJ103" s="769"/>
      <c r="CNK103" s="769"/>
      <c r="CNL103" s="769"/>
      <c r="CNM103" s="769"/>
      <c r="CNN103" s="769"/>
      <c r="CNO103" s="769"/>
      <c r="CNP103" s="769"/>
      <c r="CNQ103" s="769"/>
      <c r="CNR103" s="769"/>
      <c r="CNS103" s="769"/>
      <c r="CNT103" s="769"/>
      <c r="CNU103" s="769"/>
      <c r="CNV103" s="769"/>
      <c r="CNW103" s="769"/>
      <c r="CNX103" s="769"/>
      <c r="CNY103" s="769"/>
      <c r="CNZ103" s="769"/>
      <c r="COA103" s="769"/>
      <c r="COB103" s="769"/>
      <c r="COC103" s="769"/>
      <c r="COD103" s="769"/>
      <c r="COE103" s="769"/>
      <c r="COF103" s="769"/>
      <c r="COG103" s="769"/>
      <c r="COH103" s="769"/>
      <c r="COI103" s="769"/>
      <c r="COJ103" s="769"/>
      <c r="COK103" s="769"/>
      <c r="COL103" s="769"/>
      <c r="COM103" s="769"/>
      <c r="CON103" s="769"/>
      <c r="COO103" s="769"/>
      <c r="COP103" s="769"/>
      <c r="COQ103" s="769"/>
      <c r="COR103" s="769"/>
      <c r="COS103" s="769"/>
      <c r="COT103" s="769"/>
      <c r="COU103" s="769"/>
      <c r="COV103" s="769"/>
      <c r="COW103" s="769"/>
      <c r="COX103" s="769"/>
      <c r="COY103" s="769"/>
      <c r="COZ103" s="769"/>
      <c r="CPA103" s="769"/>
      <c r="CPB103" s="769"/>
      <c r="CPC103" s="769"/>
      <c r="CPD103" s="769"/>
      <c r="CPE103" s="769"/>
      <c r="CPF103" s="769"/>
      <c r="CPG103" s="769"/>
      <c r="CPH103" s="769"/>
      <c r="CPI103" s="769"/>
      <c r="CPJ103" s="769"/>
      <c r="CPK103" s="769"/>
      <c r="CPL103" s="769"/>
      <c r="CPM103" s="769"/>
      <c r="CPN103" s="769"/>
      <c r="CPO103" s="769"/>
      <c r="CPP103" s="769"/>
      <c r="CPQ103" s="769"/>
      <c r="CPR103" s="769"/>
      <c r="CPS103" s="769"/>
      <c r="CPT103" s="769"/>
      <c r="CPU103" s="769"/>
      <c r="CPV103" s="769"/>
      <c r="CPW103" s="769"/>
      <c r="CPX103" s="769"/>
      <c r="CPY103" s="769"/>
      <c r="CPZ103" s="769"/>
      <c r="CQA103" s="769"/>
      <c r="CQB103" s="769"/>
      <c r="CQC103" s="769"/>
      <c r="CQD103" s="769"/>
      <c r="CQE103" s="769"/>
      <c r="CQF103" s="769"/>
      <c r="CQG103" s="769"/>
      <c r="CQH103" s="769"/>
      <c r="CQI103" s="769"/>
      <c r="CQJ103" s="769"/>
      <c r="CQK103" s="769"/>
      <c r="CQL103" s="769"/>
      <c r="CQM103" s="769"/>
      <c r="CQN103" s="769"/>
      <c r="CQO103" s="769"/>
      <c r="CQP103" s="769"/>
      <c r="CQQ103" s="769"/>
      <c r="CQR103" s="769"/>
      <c r="CQS103" s="769"/>
      <c r="CQT103" s="769"/>
      <c r="CQU103" s="769"/>
      <c r="CQV103" s="769"/>
      <c r="CQW103" s="769"/>
      <c r="CQX103" s="769"/>
      <c r="CQY103" s="769"/>
      <c r="CQZ103" s="769"/>
      <c r="CRA103" s="769"/>
      <c r="CRB103" s="769"/>
      <c r="CRC103" s="769"/>
      <c r="CRD103" s="769"/>
      <c r="CRE103" s="769"/>
      <c r="CRF103" s="769"/>
      <c r="CRG103" s="769"/>
      <c r="CRH103" s="769"/>
      <c r="CRI103" s="769"/>
      <c r="CRJ103" s="769"/>
      <c r="CRK103" s="769"/>
      <c r="CRL103" s="769"/>
      <c r="CRM103" s="769"/>
      <c r="CRN103" s="769"/>
      <c r="CRO103" s="769"/>
      <c r="CRP103" s="769"/>
      <c r="CRQ103" s="769"/>
      <c r="CRR103" s="769"/>
      <c r="CRS103" s="769"/>
      <c r="CRT103" s="769"/>
      <c r="CRU103" s="769"/>
      <c r="CRV103" s="769"/>
      <c r="CRW103" s="769"/>
      <c r="CRX103" s="769"/>
      <c r="CRY103" s="769"/>
      <c r="CRZ103" s="769"/>
      <c r="CSA103" s="769"/>
      <c r="CSB103" s="769"/>
      <c r="CSC103" s="769"/>
      <c r="CSD103" s="769"/>
      <c r="CSE103" s="769"/>
      <c r="CSF103" s="769"/>
      <c r="CSG103" s="769"/>
      <c r="CSH103" s="769"/>
      <c r="CSI103" s="769"/>
      <c r="CSJ103" s="769"/>
      <c r="CSK103" s="769"/>
      <c r="CSL103" s="769"/>
      <c r="CSM103" s="769"/>
      <c r="CSN103" s="769"/>
      <c r="CSO103" s="769"/>
      <c r="CSP103" s="769"/>
      <c r="CSQ103" s="769"/>
      <c r="CSR103" s="769"/>
      <c r="CSS103" s="769"/>
      <c r="CST103" s="769"/>
      <c r="CSU103" s="769"/>
      <c r="CSV103" s="769"/>
      <c r="CSW103" s="769"/>
      <c r="CSX103" s="769"/>
      <c r="CSY103" s="769"/>
      <c r="CSZ103" s="769"/>
      <c r="CTA103" s="769"/>
      <c r="CTB103" s="769"/>
      <c r="CTC103" s="769"/>
      <c r="CTD103" s="769"/>
      <c r="CTE103" s="769"/>
      <c r="CTF103" s="769"/>
      <c r="CTG103" s="769"/>
      <c r="CTH103" s="769"/>
      <c r="CTI103" s="769"/>
      <c r="CTJ103" s="769"/>
      <c r="CTK103" s="769"/>
      <c r="CTL103" s="769"/>
      <c r="CTM103" s="769"/>
      <c r="CTN103" s="769"/>
      <c r="CTO103" s="769"/>
      <c r="CTP103" s="769"/>
      <c r="CTQ103" s="769"/>
      <c r="CTR103" s="769"/>
      <c r="CTS103" s="769"/>
      <c r="CTT103" s="769"/>
      <c r="CTU103" s="769"/>
      <c r="CTV103" s="769"/>
      <c r="CTW103" s="769"/>
      <c r="CTX103" s="769"/>
      <c r="CTY103" s="769"/>
      <c r="CTZ103" s="769"/>
      <c r="CUA103" s="769"/>
      <c r="CUB103" s="769"/>
      <c r="CUC103" s="769"/>
      <c r="CUD103" s="769"/>
      <c r="CUE103" s="769"/>
      <c r="CUF103" s="769"/>
      <c r="CUG103" s="769"/>
      <c r="CUH103" s="769"/>
      <c r="CUI103" s="769"/>
      <c r="CUJ103" s="769"/>
      <c r="CUK103" s="769"/>
      <c r="CUL103" s="769"/>
      <c r="CUM103" s="769"/>
      <c r="CUN103" s="769"/>
      <c r="CUO103" s="769"/>
      <c r="CUP103" s="769"/>
      <c r="CUQ103" s="769"/>
      <c r="CUR103" s="769"/>
      <c r="CUS103" s="769"/>
      <c r="CUT103" s="769"/>
      <c r="CUU103" s="769"/>
      <c r="CUV103" s="769"/>
      <c r="CUW103" s="769"/>
      <c r="CUX103" s="769"/>
      <c r="CUY103" s="769"/>
      <c r="CUZ103" s="769"/>
      <c r="CVA103" s="769"/>
      <c r="CVB103" s="769"/>
      <c r="CVC103" s="769"/>
      <c r="CVD103" s="769"/>
      <c r="CVE103" s="769"/>
      <c r="CVF103" s="769"/>
      <c r="CVG103" s="769"/>
      <c r="CVH103" s="769"/>
      <c r="CVI103" s="769"/>
      <c r="CVJ103" s="769"/>
      <c r="CVK103" s="769"/>
      <c r="CVL103" s="769"/>
      <c r="CVM103" s="769"/>
      <c r="CVN103" s="769"/>
      <c r="CVO103" s="769"/>
      <c r="CVP103" s="769"/>
      <c r="CVQ103" s="769"/>
      <c r="CVR103" s="769"/>
      <c r="CVS103" s="769"/>
      <c r="CVT103" s="769"/>
      <c r="CVU103" s="769"/>
      <c r="CVV103" s="769"/>
      <c r="CVW103" s="769"/>
      <c r="CVX103" s="769"/>
      <c r="CVY103" s="769"/>
      <c r="CVZ103" s="769"/>
      <c r="CWA103" s="769"/>
      <c r="CWB103" s="769"/>
      <c r="CWC103" s="769"/>
      <c r="CWD103" s="769"/>
      <c r="CWE103" s="769"/>
      <c r="CWF103" s="769"/>
      <c r="CWG103" s="769"/>
      <c r="CWH103" s="769"/>
      <c r="CWI103" s="769"/>
      <c r="CWJ103" s="769"/>
      <c r="CWK103" s="769"/>
      <c r="CWL103" s="769"/>
      <c r="CWM103" s="769"/>
      <c r="CWN103" s="769"/>
      <c r="CWO103" s="769"/>
      <c r="CWP103" s="769"/>
      <c r="CWQ103" s="769"/>
      <c r="CWR103" s="769"/>
      <c r="CWS103" s="769"/>
      <c r="CWT103" s="769"/>
      <c r="CWU103" s="769"/>
      <c r="CWV103" s="769"/>
      <c r="CWW103" s="769"/>
      <c r="CWX103" s="769"/>
      <c r="CWY103" s="769"/>
      <c r="CWZ103" s="769"/>
      <c r="CXA103" s="769"/>
      <c r="CXB103" s="769"/>
      <c r="CXC103" s="769"/>
      <c r="CXD103" s="769"/>
      <c r="CXE103" s="769"/>
      <c r="CXF103" s="769"/>
      <c r="CXG103" s="769"/>
      <c r="CXH103" s="769"/>
      <c r="CXI103" s="769"/>
      <c r="CXJ103" s="769"/>
      <c r="CXK103" s="769"/>
      <c r="CXL103" s="769"/>
      <c r="CXM103" s="769"/>
      <c r="CXN103" s="769"/>
      <c r="CXO103" s="769"/>
      <c r="CXP103" s="769"/>
      <c r="CXQ103" s="769"/>
      <c r="CXR103" s="769"/>
      <c r="CXS103" s="769"/>
      <c r="CXT103" s="769"/>
      <c r="CXU103" s="769"/>
      <c r="CXV103" s="769"/>
      <c r="CXW103" s="769"/>
      <c r="CXX103" s="769"/>
      <c r="CXY103" s="769"/>
      <c r="CXZ103" s="769"/>
      <c r="CYA103" s="769"/>
      <c r="CYB103" s="769"/>
      <c r="CYC103" s="769"/>
      <c r="CYD103" s="769"/>
      <c r="CYE103" s="769"/>
      <c r="CYF103" s="769"/>
      <c r="CYG103" s="769"/>
      <c r="CYH103" s="769"/>
      <c r="CYI103" s="769"/>
      <c r="CYJ103" s="769"/>
      <c r="CYK103" s="769"/>
      <c r="CYL103" s="769"/>
      <c r="CYM103" s="769"/>
      <c r="CYN103" s="769"/>
      <c r="CYO103" s="769"/>
      <c r="CYP103" s="769"/>
      <c r="CYQ103" s="769"/>
      <c r="CYR103" s="769"/>
      <c r="CYS103" s="769"/>
      <c r="CYT103" s="769"/>
      <c r="CYU103" s="769"/>
      <c r="CYV103" s="769"/>
      <c r="CYW103" s="769"/>
      <c r="CYX103" s="769"/>
      <c r="CYY103" s="769"/>
      <c r="CYZ103" s="769"/>
      <c r="CZA103" s="769"/>
      <c r="CZB103" s="769"/>
      <c r="CZC103" s="769"/>
      <c r="CZD103" s="769"/>
      <c r="CZE103" s="769"/>
      <c r="CZF103" s="769"/>
      <c r="CZG103" s="769"/>
      <c r="CZH103" s="769"/>
      <c r="CZI103" s="769"/>
      <c r="CZJ103" s="769"/>
      <c r="CZK103" s="769"/>
      <c r="CZL103" s="769"/>
      <c r="CZM103" s="769"/>
      <c r="CZN103" s="769"/>
      <c r="CZO103" s="769"/>
      <c r="CZP103" s="769"/>
      <c r="CZQ103" s="769"/>
      <c r="CZR103" s="769"/>
      <c r="CZS103" s="769"/>
      <c r="CZT103" s="769"/>
      <c r="CZU103" s="769"/>
      <c r="CZV103" s="769"/>
      <c r="CZW103" s="769"/>
      <c r="CZX103" s="769"/>
      <c r="CZY103" s="769"/>
      <c r="CZZ103" s="769"/>
      <c r="DAA103" s="769"/>
      <c r="DAB103" s="769"/>
      <c r="DAC103" s="769"/>
      <c r="DAD103" s="769"/>
      <c r="DAE103" s="769"/>
      <c r="DAF103" s="769"/>
      <c r="DAG103" s="769"/>
      <c r="DAH103" s="769"/>
      <c r="DAI103" s="769"/>
      <c r="DAJ103" s="769"/>
      <c r="DAK103" s="769"/>
      <c r="DAL103" s="769"/>
      <c r="DAM103" s="769"/>
      <c r="DAN103" s="769"/>
      <c r="DAO103" s="769"/>
      <c r="DAP103" s="769"/>
      <c r="DAQ103" s="769"/>
      <c r="DAR103" s="769"/>
      <c r="DAS103" s="769"/>
      <c r="DAT103" s="769"/>
      <c r="DAU103" s="769"/>
      <c r="DAV103" s="769"/>
      <c r="DAW103" s="769"/>
      <c r="DAX103" s="769"/>
      <c r="DAY103" s="769"/>
      <c r="DAZ103" s="769"/>
      <c r="DBA103" s="769"/>
      <c r="DBB103" s="769"/>
      <c r="DBC103" s="769"/>
      <c r="DBD103" s="769"/>
      <c r="DBE103" s="769"/>
      <c r="DBF103" s="769"/>
      <c r="DBG103" s="769"/>
      <c r="DBH103" s="769"/>
      <c r="DBI103" s="769"/>
      <c r="DBJ103" s="769"/>
      <c r="DBK103" s="769"/>
      <c r="DBL103" s="769"/>
      <c r="DBM103" s="769"/>
      <c r="DBN103" s="769"/>
      <c r="DBO103" s="769"/>
      <c r="DBP103" s="769"/>
      <c r="DBQ103" s="769"/>
      <c r="DBR103" s="769"/>
      <c r="DBS103" s="769"/>
      <c r="DBT103" s="769"/>
      <c r="DBU103" s="769"/>
      <c r="DBV103" s="769"/>
      <c r="DBW103" s="769"/>
      <c r="DBX103" s="769"/>
      <c r="DBY103" s="769"/>
      <c r="DBZ103" s="769"/>
      <c r="DCA103" s="769"/>
      <c r="DCB103" s="769"/>
      <c r="DCC103" s="769"/>
      <c r="DCD103" s="769"/>
      <c r="DCE103" s="769"/>
      <c r="DCF103" s="769"/>
      <c r="DCG103" s="769"/>
      <c r="DCH103" s="769"/>
      <c r="DCI103" s="769"/>
      <c r="DCJ103" s="769"/>
      <c r="DCK103" s="769"/>
      <c r="DCL103" s="769"/>
      <c r="DCM103" s="769"/>
      <c r="DCN103" s="769"/>
      <c r="DCO103" s="769"/>
      <c r="DCP103" s="769"/>
      <c r="DCQ103" s="769"/>
      <c r="DCR103" s="769"/>
      <c r="DCS103" s="769"/>
      <c r="DCT103" s="769"/>
      <c r="DCU103" s="769"/>
      <c r="DCV103" s="769"/>
      <c r="DCW103" s="769"/>
      <c r="DCX103" s="769"/>
      <c r="DCY103" s="769"/>
      <c r="DCZ103" s="769"/>
      <c r="DDA103" s="769"/>
      <c r="DDB103" s="769"/>
      <c r="DDC103" s="769"/>
      <c r="DDD103" s="769"/>
      <c r="DDE103" s="769"/>
      <c r="DDF103" s="769"/>
      <c r="DDG103" s="769"/>
      <c r="DDH103" s="769"/>
      <c r="DDI103" s="769"/>
      <c r="DDJ103" s="769"/>
      <c r="DDK103" s="769"/>
      <c r="DDL103" s="769"/>
      <c r="DDM103" s="769"/>
      <c r="DDN103" s="769"/>
      <c r="DDO103" s="769"/>
      <c r="DDP103" s="769"/>
      <c r="DDQ103" s="769"/>
      <c r="DDR103" s="769"/>
      <c r="DDS103" s="769"/>
      <c r="DDT103" s="769"/>
      <c r="DDU103" s="769"/>
      <c r="DDV103" s="769"/>
      <c r="DDW103" s="769"/>
      <c r="DDX103" s="769"/>
      <c r="DDY103" s="769"/>
      <c r="DDZ103" s="769"/>
      <c r="DEA103" s="769"/>
      <c r="DEB103" s="769"/>
      <c r="DEC103" s="769"/>
      <c r="DED103" s="769"/>
      <c r="DEE103" s="769"/>
      <c r="DEF103" s="769"/>
      <c r="DEG103" s="769"/>
      <c r="DEH103" s="769"/>
      <c r="DEI103" s="769"/>
      <c r="DEJ103" s="769"/>
      <c r="DEK103" s="769"/>
      <c r="DEL103" s="769"/>
      <c r="DEM103" s="769"/>
      <c r="DEN103" s="769"/>
      <c r="DEO103" s="769"/>
      <c r="DEP103" s="769"/>
      <c r="DEQ103" s="769"/>
      <c r="DER103" s="769"/>
      <c r="DES103" s="769"/>
      <c r="DET103" s="769"/>
      <c r="DEU103" s="769"/>
      <c r="DEV103" s="769"/>
      <c r="DEW103" s="769"/>
      <c r="DEX103" s="769"/>
      <c r="DEY103" s="769"/>
      <c r="DEZ103" s="769"/>
      <c r="DFA103" s="769"/>
      <c r="DFB103" s="769"/>
      <c r="DFC103" s="769"/>
      <c r="DFD103" s="769"/>
      <c r="DFE103" s="769"/>
      <c r="DFF103" s="769"/>
      <c r="DFG103" s="769"/>
      <c r="DFH103" s="769"/>
      <c r="DFI103" s="769"/>
      <c r="DFJ103" s="769"/>
      <c r="DFK103" s="769"/>
      <c r="DFL103" s="769"/>
      <c r="DFM103" s="769"/>
      <c r="DFN103" s="769"/>
      <c r="DFO103" s="769"/>
      <c r="DFP103" s="769"/>
      <c r="DFQ103" s="769"/>
      <c r="DFR103" s="769"/>
      <c r="DFS103" s="769"/>
      <c r="DFT103" s="769"/>
      <c r="DFU103" s="769"/>
      <c r="DFV103" s="769"/>
      <c r="DFW103" s="769"/>
      <c r="DFX103" s="769"/>
      <c r="DFY103" s="769"/>
      <c r="DFZ103" s="769"/>
      <c r="DGA103" s="769"/>
      <c r="DGB103" s="769"/>
      <c r="DGC103" s="769"/>
      <c r="DGD103" s="769"/>
      <c r="DGE103" s="769"/>
      <c r="DGF103" s="769"/>
      <c r="DGG103" s="769"/>
      <c r="DGH103" s="769"/>
      <c r="DGI103" s="769"/>
      <c r="DGJ103" s="769"/>
      <c r="DGK103" s="769"/>
      <c r="DGL103" s="769"/>
      <c r="DGM103" s="769"/>
      <c r="DGN103" s="769"/>
      <c r="DGO103" s="769"/>
      <c r="DGP103" s="769"/>
      <c r="DGQ103" s="769"/>
      <c r="DGR103" s="769"/>
      <c r="DGS103" s="769"/>
      <c r="DGT103" s="769"/>
      <c r="DGU103" s="769"/>
      <c r="DGV103" s="769"/>
      <c r="DGW103" s="769"/>
      <c r="DGX103" s="769"/>
      <c r="DGY103" s="769"/>
      <c r="DGZ103" s="769"/>
      <c r="DHA103" s="769"/>
      <c r="DHB103" s="769"/>
      <c r="DHC103" s="769"/>
      <c r="DHD103" s="769"/>
      <c r="DHE103" s="769"/>
      <c r="DHF103" s="769"/>
      <c r="DHG103" s="769"/>
      <c r="DHH103" s="769"/>
      <c r="DHI103" s="769"/>
      <c r="DHJ103" s="769"/>
      <c r="DHK103" s="769"/>
      <c r="DHL103" s="769"/>
      <c r="DHM103" s="769"/>
      <c r="DHN103" s="769"/>
      <c r="DHO103" s="769"/>
      <c r="DHP103" s="769"/>
      <c r="DHQ103" s="769"/>
      <c r="DHR103" s="769"/>
      <c r="DHS103" s="769"/>
      <c r="DHT103" s="769"/>
      <c r="DHU103" s="769"/>
      <c r="DHV103" s="769"/>
      <c r="DHW103" s="769"/>
      <c r="DHX103" s="769"/>
      <c r="DHY103" s="769"/>
      <c r="DHZ103" s="769"/>
      <c r="DIA103" s="769"/>
      <c r="DIB103" s="769"/>
      <c r="DIC103" s="769"/>
      <c r="DID103" s="769"/>
      <c r="DIE103" s="769"/>
      <c r="DIF103" s="769"/>
      <c r="DIG103" s="769"/>
      <c r="DIH103" s="769"/>
      <c r="DII103" s="769"/>
      <c r="DIJ103" s="769"/>
      <c r="DIK103" s="769"/>
      <c r="DIL103" s="769"/>
      <c r="DIM103" s="769"/>
      <c r="DIN103" s="769"/>
      <c r="DIO103" s="769"/>
      <c r="DIP103" s="769"/>
      <c r="DIQ103" s="769"/>
      <c r="DIR103" s="769"/>
      <c r="DIS103" s="769"/>
      <c r="DIT103" s="769"/>
      <c r="DIU103" s="769"/>
      <c r="DIV103" s="769"/>
      <c r="DIW103" s="769"/>
      <c r="DIX103" s="769"/>
      <c r="DIY103" s="769"/>
      <c r="DIZ103" s="769"/>
      <c r="DJA103" s="769"/>
      <c r="DJB103" s="769"/>
      <c r="DJC103" s="769"/>
      <c r="DJD103" s="769"/>
      <c r="DJE103" s="769"/>
      <c r="DJF103" s="769"/>
      <c r="DJG103" s="769"/>
      <c r="DJH103" s="769"/>
      <c r="DJI103" s="769"/>
      <c r="DJJ103" s="769"/>
      <c r="DJK103" s="769"/>
      <c r="DJL103" s="769"/>
      <c r="DJM103" s="769"/>
      <c r="DJN103" s="769"/>
      <c r="DJO103" s="769"/>
      <c r="DJP103" s="769"/>
      <c r="DJQ103" s="769"/>
      <c r="DJR103" s="769"/>
      <c r="DJS103" s="769"/>
      <c r="DJT103" s="769"/>
      <c r="DJU103" s="769"/>
      <c r="DJV103" s="769"/>
      <c r="DJW103" s="769"/>
      <c r="DJX103" s="769"/>
      <c r="DJY103" s="769"/>
      <c r="DJZ103" s="769"/>
      <c r="DKA103" s="769"/>
      <c r="DKB103" s="769"/>
      <c r="DKC103" s="769"/>
      <c r="DKD103" s="769"/>
      <c r="DKE103" s="769"/>
      <c r="DKF103" s="769"/>
      <c r="DKG103" s="769"/>
      <c r="DKH103" s="769"/>
      <c r="DKI103" s="769"/>
      <c r="DKJ103" s="769"/>
      <c r="DKK103" s="769"/>
      <c r="DKL103" s="769"/>
      <c r="DKM103" s="769"/>
      <c r="DKN103" s="769"/>
      <c r="DKO103" s="769"/>
      <c r="DKP103" s="769"/>
      <c r="DKQ103" s="769"/>
      <c r="DKR103" s="769"/>
      <c r="DKS103" s="769"/>
      <c r="DKT103" s="769"/>
      <c r="DKU103" s="769"/>
      <c r="DKV103" s="769"/>
      <c r="DKW103" s="769"/>
      <c r="DKX103" s="769"/>
      <c r="DKY103" s="769"/>
      <c r="DKZ103" s="769"/>
      <c r="DLA103" s="769"/>
      <c r="DLB103" s="769"/>
      <c r="DLC103" s="769"/>
      <c r="DLD103" s="769"/>
      <c r="DLE103" s="769"/>
      <c r="DLF103" s="769"/>
      <c r="DLG103" s="769"/>
      <c r="DLH103" s="769"/>
      <c r="DLI103" s="769"/>
      <c r="DLJ103" s="769"/>
      <c r="DLK103" s="769"/>
      <c r="DLL103" s="769"/>
      <c r="DLM103" s="769"/>
      <c r="DLN103" s="769"/>
      <c r="DLO103" s="769"/>
      <c r="DLP103" s="769"/>
      <c r="DLQ103" s="769"/>
      <c r="DLR103" s="769"/>
      <c r="DLS103" s="769"/>
      <c r="DLT103" s="769"/>
      <c r="DLU103" s="769"/>
      <c r="DLV103" s="769"/>
      <c r="DLW103" s="769"/>
      <c r="DLX103" s="769"/>
      <c r="DLY103" s="769"/>
      <c r="DLZ103" s="769"/>
      <c r="DMA103" s="769"/>
      <c r="DMB103" s="769"/>
      <c r="DMC103" s="769"/>
      <c r="DMD103" s="769"/>
      <c r="DME103" s="769"/>
      <c r="DMF103" s="769"/>
      <c r="DMG103" s="769"/>
      <c r="DMH103" s="769"/>
      <c r="DMI103" s="769"/>
      <c r="DMJ103" s="769"/>
      <c r="DMK103" s="769"/>
      <c r="DML103" s="769"/>
      <c r="DMM103" s="769"/>
      <c r="DMN103" s="769"/>
      <c r="DMO103" s="769"/>
      <c r="DMP103" s="769"/>
      <c r="DMQ103" s="769"/>
      <c r="DMR103" s="769"/>
      <c r="DMS103" s="769"/>
      <c r="DMT103" s="769"/>
      <c r="DMU103" s="769"/>
      <c r="DMV103" s="769"/>
      <c r="DMW103" s="769"/>
      <c r="DMX103" s="769"/>
      <c r="DMY103" s="769"/>
      <c r="DMZ103" s="769"/>
      <c r="DNA103" s="769"/>
      <c r="DNB103" s="769"/>
      <c r="DNC103" s="769"/>
      <c r="DND103" s="769"/>
      <c r="DNE103" s="769"/>
      <c r="DNF103" s="769"/>
      <c r="DNG103" s="769"/>
      <c r="DNH103" s="769"/>
      <c r="DNI103" s="769"/>
      <c r="DNJ103" s="769"/>
      <c r="DNK103" s="769"/>
      <c r="DNL103" s="769"/>
      <c r="DNM103" s="769"/>
      <c r="DNN103" s="769"/>
      <c r="DNO103" s="769"/>
      <c r="DNP103" s="769"/>
      <c r="DNQ103" s="769"/>
      <c r="DNR103" s="769"/>
      <c r="DNS103" s="769"/>
      <c r="DNT103" s="769"/>
      <c r="DNU103" s="769"/>
      <c r="DNV103" s="769"/>
      <c r="DNW103" s="769"/>
      <c r="DNX103" s="769"/>
      <c r="DNY103" s="769"/>
      <c r="DNZ103" s="769"/>
      <c r="DOA103" s="769"/>
      <c r="DOB103" s="769"/>
      <c r="DOC103" s="769"/>
      <c r="DOD103" s="769"/>
      <c r="DOE103" s="769"/>
      <c r="DOF103" s="769"/>
      <c r="DOG103" s="769"/>
      <c r="DOH103" s="769"/>
      <c r="DOI103" s="769"/>
      <c r="DOJ103" s="769"/>
      <c r="DOK103" s="769"/>
      <c r="DOL103" s="769"/>
      <c r="DOM103" s="769"/>
      <c r="DON103" s="769"/>
      <c r="DOO103" s="769"/>
      <c r="DOP103" s="769"/>
      <c r="DOQ103" s="769"/>
      <c r="DOR103" s="769"/>
      <c r="DOS103" s="769"/>
      <c r="DOT103" s="769"/>
      <c r="DOU103" s="769"/>
      <c r="DOV103" s="769"/>
      <c r="DOW103" s="769"/>
      <c r="DOX103" s="769"/>
      <c r="DOY103" s="769"/>
      <c r="DOZ103" s="769"/>
      <c r="DPA103" s="769"/>
      <c r="DPB103" s="769"/>
      <c r="DPC103" s="769"/>
      <c r="DPD103" s="769"/>
      <c r="DPE103" s="769"/>
      <c r="DPF103" s="769"/>
      <c r="DPG103" s="769"/>
      <c r="DPH103" s="769"/>
      <c r="DPI103" s="769"/>
      <c r="DPJ103" s="769"/>
      <c r="DPK103" s="769"/>
      <c r="DPL103" s="769"/>
      <c r="DPM103" s="769"/>
      <c r="DPN103" s="769"/>
      <c r="DPO103" s="769"/>
      <c r="DPP103" s="769"/>
      <c r="DPQ103" s="769"/>
      <c r="DPR103" s="769"/>
      <c r="DPS103" s="769"/>
      <c r="DPT103" s="769"/>
      <c r="DPU103" s="769"/>
      <c r="DPV103" s="769"/>
      <c r="DPW103" s="769"/>
      <c r="DPX103" s="769"/>
      <c r="DPY103" s="769"/>
      <c r="DPZ103" s="769"/>
      <c r="DQA103" s="769"/>
      <c r="DQB103" s="769"/>
      <c r="DQC103" s="769"/>
      <c r="DQD103" s="769"/>
      <c r="DQE103" s="769"/>
      <c r="DQF103" s="769"/>
      <c r="DQG103" s="769"/>
      <c r="DQH103" s="769"/>
      <c r="DQI103" s="769"/>
      <c r="DQJ103" s="769"/>
      <c r="DQK103" s="769"/>
      <c r="DQL103" s="769"/>
      <c r="DQM103" s="769"/>
      <c r="DQN103" s="769"/>
      <c r="DQO103" s="769"/>
      <c r="DQP103" s="769"/>
      <c r="DQQ103" s="769"/>
      <c r="DQR103" s="769"/>
      <c r="DQS103" s="769"/>
      <c r="DQT103" s="769"/>
      <c r="DQU103" s="769"/>
      <c r="DQV103" s="769"/>
      <c r="DQW103" s="769"/>
      <c r="DQX103" s="769"/>
      <c r="DQY103" s="769"/>
      <c r="DQZ103" s="769"/>
      <c r="DRA103" s="769"/>
      <c r="DRB103" s="769"/>
      <c r="DRC103" s="769"/>
      <c r="DRD103" s="769"/>
      <c r="DRE103" s="769"/>
      <c r="DRF103" s="769"/>
      <c r="DRG103" s="769"/>
      <c r="DRH103" s="769"/>
      <c r="DRI103" s="769"/>
      <c r="DRJ103" s="769"/>
      <c r="DRK103" s="769"/>
      <c r="DRL103" s="769"/>
      <c r="DRM103" s="769"/>
      <c r="DRN103" s="769"/>
      <c r="DRO103" s="769"/>
      <c r="DRP103" s="769"/>
      <c r="DRQ103" s="769"/>
      <c r="DRR103" s="769"/>
      <c r="DRS103" s="769"/>
      <c r="DRT103" s="769"/>
      <c r="DRU103" s="769"/>
      <c r="DRV103" s="769"/>
      <c r="DRW103" s="769"/>
      <c r="DRX103" s="769"/>
      <c r="DRY103" s="769"/>
      <c r="DRZ103" s="769"/>
      <c r="DSA103" s="769"/>
      <c r="DSB103" s="769"/>
      <c r="DSC103" s="769"/>
      <c r="DSD103" s="769"/>
      <c r="DSE103" s="769"/>
      <c r="DSF103" s="769"/>
      <c r="DSG103" s="769"/>
      <c r="DSH103" s="769"/>
      <c r="DSI103" s="769"/>
      <c r="DSJ103" s="769"/>
      <c r="DSK103" s="769"/>
      <c r="DSL103" s="769"/>
      <c r="DSM103" s="769"/>
      <c r="DSN103" s="769"/>
      <c r="DSO103" s="769"/>
      <c r="DSP103" s="769"/>
      <c r="DSQ103" s="769"/>
      <c r="DSR103" s="769"/>
      <c r="DSS103" s="769"/>
      <c r="DST103" s="769"/>
      <c r="DSU103" s="769"/>
      <c r="DSV103" s="769"/>
      <c r="DSW103" s="769"/>
      <c r="DSX103" s="769"/>
      <c r="DSY103" s="769"/>
      <c r="DSZ103" s="769"/>
      <c r="DTA103" s="769"/>
      <c r="DTB103" s="769"/>
      <c r="DTC103" s="769"/>
      <c r="DTD103" s="769"/>
      <c r="DTE103" s="769"/>
      <c r="DTF103" s="769"/>
      <c r="DTG103" s="769"/>
      <c r="DTH103" s="769"/>
      <c r="DTI103" s="769"/>
      <c r="DTJ103" s="769"/>
      <c r="DTK103" s="769"/>
      <c r="DTL103" s="769"/>
      <c r="DTM103" s="769"/>
      <c r="DTN103" s="769"/>
      <c r="DTO103" s="769"/>
      <c r="DTP103" s="769"/>
      <c r="DTQ103" s="769"/>
      <c r="DTR103" s="769"/>
      <c r="DTS103" s="769"/>
      <c r="DTT103" s="769"/>
      <c r="DTU103" s="769"/>
      <c r="DTV103" s="769"/>
      <c r="DTW103" s="769"/>
      <c r="DTX103" s="769"/>
      <c r="DTY103" s="769"/>
      <c r="DTZ103" s="769"/>
      <c r="DUA103" s="769"/>
      <c r="DUB103" s="769"/>
      <c r="DUC103" s="769"/>
      <c r="DUD103" s="769"/>
      <c r="DUE103" s="769"/>
      <c r="DUF103" s="769"/>
      <c r="DUG103" s="769"/>
      <c r="DUH103" s="769"/>
      <c r="DUI103" s="769"/>
      <c r="DUJ103" s="769"/>
      <c r="DUK103" s="769"/>
      <c r="DUL103" s="769"/>
      <c r="DUM103" s="769"/>
      <c r="DUN103" s="769"/>
      <c r="DUO103" s="769"/>
      <c r="DUP103" s="769"/>
      <c r="DUQ103" s="769"/>
      <c r="DUR103" s="769"/>
      <c r="DUS103" s="769"/>
      <c r="DUT103" s="769"/>
      <c r="DUU103" s="769"/>
      <c r="DUV103" s="769"/>
      <c r="DUW103" s="769"/>
      <c r="DUX103" s="769"/>
      <c r="DUY103" s="769"/>
      <c r="DUZ103" s="769"/>
      <c r="DVA103" s="769"/>
      <c r="DVB103" s="769"/>
      <c r="DVC103" s="769"/>
      <c r="DVD103" s="769"/>
      <c r="DVE103" s="769"/>
      <c r="DVF103" s="769"/>
      <c r="DVG103" s="769"/>
      <c r="DVH103" s="769"/>
      <c r="DVI103" s="769"/>
      <c r="DVJ103" s="769"/>
      <c r="DVK103" s="769"/>
      <c r="DVL103" s="769"/>
      <c r="DVM103" s="769"/>
      <c r="DVN103" s="769"/>
      <c r="DVO103" s="769"/>
      <c r="DVP103" s="769"/>
      <c r="DVQ103" s="769"/>
      <c r="DVR103" s="769"/>
      <c r="DVS103" s="769"/>
      <c r="DVT103" s="769"/>
      <c r="DVU103" s="769"/>
      <c r="DVV103" s="769"/>
      <c r="DVW103" s="769"/>
      <c r="DVX103" s="769"/>
      <c r="DVY103" s="769"/>
      <c r="DVZ103" s="769"/>
      <c r="DWA103" s="769"/>
      <c r="DWB103" s="769"/>
      <c r="DWC103" s="769"/>
      <c r="DWD103" s="769"/>
      <c r="DWE103" s="769"/>
      <c r="DWF103" s="769"/>
      <c r="DWG103" s="769"/>
      <c r="DWH103" s="769"/>
      <c r="DWI103" s="769"/>
      <c r="DWJ103" s="769"/>
      <c r="DWK103" s="769"/>
      <c r="DWL103" s="769"/>
      <c r="DWM103" s="769"/>
      <c r="DWN103" s="769"/>
      <c r="DWO103" s="769"/>
      <c r="DWP103" s="769"/>
      <c r="DWQ103" s="769"/>
      <c r="DWR103" s="769"/>
      <c r="DWS103" s="769"/>
      <c r="DWT103" s="769"/>
      <c r="DWU103" s="769"/>
      <c r="DWV103" s="769"/>
      <c r="DWW103" s="769"/>
      <c r="DWX103" s="769"/>
      <c r="DWY103" s="769"/>
      <c r="DWZ103" s="769"/>
      <c r="DXA103" s="769"/>
      <c r="DXB103" s="769"/>
      <c r="DXC103" s="769"/>
      <c r="DXD103" s="769"/>
      <c r="DXE103" s="769"/>
      <c r="DXF103" s="769"/>
      <c r="DXG103" s="769"/>
      <c r="DXH103" s="769"/>
      <c r="DXI103" s="769"/>
      <c r="DXJ103" s="769"/>
      <c r="DXK103" s="769"/>
      <c r="DXL103" s="769"/>
      <c r="DXM103" s="769"/>
      <c r="DXN103" s="769"/>
      <c r="DXO103" s="769"/>
      <c r="DXP103" s="769"/>
      <c r="DXQ103" s="769"/>
      <c r="DXR103" s="769"/>
      <c r="DXS103" s="769"/>
      <c r="DXT103" s="769"/>
      <c r="DXU103" s="769"/>
      <c r="DXV103" s="769"/>
      <c r="DXW103" s="769"/>
      <c r="DXX103" s="769"/>
      <c r="DXY103" s="769"/>
      <c r="DXZ103" s="769"/>
      <c r="DYA103" s="769"/>
      <c r="DYB103" s="769"/>
      <c r="DYC103" s="769"/>
      <c r="DYD103" s="769"/>
      <c r="DYE103" s="769"/>
      <c r="DYF103" s="769"/>
      <c r="DYG103" s="769"/>
      <c r="DYH103" s="769"/>
      <c r="DYI103" s="769"/>
      <c r="DYJ103" s="769"/>
      <c r="DYK103" s="769"/>
      <c r="DYL103" s="769"/>
      <c r="DYM103" s="769"/>
      <c r="DYN103" s="769"/>
      <c r="DYO103" s="769"/>
      <c r="DYP103" s="769"/>
      <c r="DYQ103" s="769"/>
      <c r="DYR103" s="769"/>
      <c r="DYS103" s="769"/>
      <c r="DYT103" s="769"/>
      <c r="DYU103" s="769"/>
      <c r="DYV103" s="769"/>
      <c r="DYW103" s="769"/>
      <c r="DYX103" s="769"/>
      <c r="DYY103" s="769"/>
      <c r="DYZ103" s="769"/>
      <c r="DZA103" s="769"/>
      <c r="DZB103" s="769"/>
      <c r="DZC103" s="769"/>
      <c r="DZD103" s="769"/>
      <c r="DZE103" s="769"/>
      <c r="DZF103" s="769"/>
      <c r="DZG103" s="769"/>
      <c r="DZH103" s="769"/>
      <c r="DZI103" s="769"/>
      <c r="DZJ103" s="769"/>
      <c r="DZK103" s="769"/>
      <c r="DZL103" s="769"/>
      <c r="DZM103" s="769"/>
      <c r="DZN103" s="769"/>
      <c r="DZO103" s="769"/>
      <c r="DZP103" s="769"/>
      <c r="DZQ103" s="769"/>
      <c r="DZR103" s="769"/>
      <c r="DZS103" s="769"/>
      <c r="DZT103" s="769"/>
      <c r="DZU103" s="769"/>
      <c r="DZV103" s="769"/>
      <c r="DZW103" s="769"/>
      <c r="DZX103" s="769"/>
      <c r="DZY103" s="769"/>
      <c r="DZZ103" s="769"/>
      <c r="EAA103" s="769"/>
      <c r="EAB103" s="769"/>
      <c r="EAC103" s="769"/>
      <c r="EAD103" s="769"/>
      <c r="EAE103" s="769"/>
      <c r="EAF103" s="769"/>
      <c r="EAG103" s="769"/>
      <c r="EAH103" s="769"/>
      <c r="EAI103" s="769"/>
      <c r="EAJ103" s="769"/>
      <c r="EAK103" s="769"/>
      <c r="EAL103" s="769"/>
      <c r="EAM103" s="769"/>
      <c r="EAN103" s="769"/>
      <c r="EAO103" s="769"/>
      <c r="EAP103" s="769"/>
      <c r="EAQ103" s="769"/>
      <c r="EAR103" s="769"/>
      <c r="EAS103" s="769"/>
      <c r="EAT103" s="769"/>
      <c r="EAU103" s="769"/>
      <c r="EAV103" s="769"/>
      <c r="EAW103" s="769"/>
      <c r="EAX103" s="769"/>
      <c r="EAY103" s="769"/>
      <c r="EAZ103" s="769"/>
      <c r="EBA103" s="769"/>
      <c r="EBB103" s="769"/>
      <c r="EBC103" s="769"/>
      <c r="EBD103" s="769"/>
      <c r="EBE103" s="769"/>
      <c r="EBF103" s="769"/>
      <c r="EBG103" s="769"/>
      <c r="EBH103" s="769"/>
      <c r="EBI103" s="769"/>
      <c r="EBJ103" s="769"/>
      <c r="EBK103" s="769"/>
      <c r="EBL103" s="769"/>
      <c r="EBM103" s="769"/>
      <c r="EBN103" s="769"/>
      <c r="EBO103" s="769"/>
      <c r="EBP103" s="769"/>
      <c r="EBQ103" s="769"/>
      <c r="EBR103" s="769"/>
      <c r="EBS103" s="769"/>
      <c r="EBT103" s="769"/>
      <c r="EBU103" s="769"/>
      <c r="EBV103" s="769"/>
      <c r="EBW103" s="769"/>
      <c r="EBX103" s="769"/>
      <c r="EBY103" s="769"/>
      <c r="EBZ103" s="769"/>
      <c r="ECA103" s="769"/>
      <c r="ECB103" s="769"/>
      <c r="ECC103" s="769"/>
      <c r="ECD103" s="769"/>
      <c r="ECE103" s="769"/>
      <c r="ECF103" s="769"/>
      <c r="ECG103" s="769"/>
      <c r="ECH103" s="769"/>
      <c r="ECI103" s="769"/>
      <c r="ECJ103" s="769"/>
      <c r="ECK103" s="769"/>
      <c r="ECL103" s="769"/>
      <c r="ECM103" s="769"/>
      <c r="ECN103" s="769"/>
      <c r="ECO103" s="769"/>
      <c r="ECP103" s="769"/>
      <c r="ECQ103" s="769"/>
      <c r="ECR103" s="769"/>
      <c r="ECS103" s="769"/>
      <c r="ECT103" s="769"/>
      <c r="ECU103" s="769"/>
      <c r="ECV103" s="769"/>
      <c r="ECW103" s="769"/>
      <c r="ECX103" s="769"/>
      <c r="ECY103" s="769"/>
      <c r="ECZ103" s="769"/>
      <c r="EDA103" s="769"/>
      <c r="EDB103" s="769"/>
      <c r="EDC103" s="769"/>
      <c r="EDD103" s="769"/>
      <c r="EDE103" s="769"/>
      <c r="EDF103" s="769"/>
      <c r="EDG103" s="769"/>
      <c r="EDH103" s="769"/>
      <c r="EDI103" s="769"/>
      <c r="EDJ103" s="769"/>
      <c r="EDK103" s="769"/>
      <c r="EDL103" s="769"/>
      <c r="EDM103" s="769"/>
      <c r="EDN103" s="769"/>
      <c r="EDO103" s="769"/>
      <c r="EDP103" s="769"/>
      <c r="EDQ103" s="769"/>
      <c r="EDR103" s="769"/>
      <c r="EDS103" s="769"/>
      <c r="EDT103" s="769"/>
      <c r="EDU103" s="769"/>
      <c r="EDV103" s="769"/>
      <c r="EDW103" s="769"/>
      <c r="EDX103" s="769"/>
      <c r="EDY103" s="769"/>
      <c r="EDZ103" s="769"/>
      <c r="EEA103" s="769"/>
      <c r="EEB103" s="769"/>
      <c r="EEC103" s="769"/>
      <c r="EED103" s="769"/>
      <c r="EEE103" s="769"/>
      <c r="EEF103" s="769"/>
      <c r="EEG103" s="769"/>
      <c r="EEH103" s="769"/>
      <c r="EEI103" s="769"/>
      <c r="EEJ103" s="769"/>
      <c r="EEK103" s="769"/>
      <c r="EEL103" s="769"/>
      <c r="EEM103" s="769"/>
      <c r="EEN103" s="769"/>
      <c r="EEO103" s="769"/>
      <c r="EEP103" s="769"/>
      <c r="EEQ103" s="769"/>
      <c r="EER103" s="769"/>
      <c r="EES103" s="769"/>
      <c r="EET103" s="769"/>
      <c r="EEU103" s="769"/>
      <c r="EEV103" s="769"/>
      <c r="EEW103" s="769"/>
      <c r="EEX103" s="769"/>
      <c r="EEY103" s="769"/>
      <c r="EEZ103" s="769"/>
      <c r="EFA103" s="769"/>
      <c r="EFB103" s="769"/>
      <c r="EFC103" s="769"/>
      <c r="EFD103" s="769"/>
      <c r="EFE103" s="769"/>
      <c r="EFF103" s="769"/>
      <c r="EFG103" s="769"/>
      <c r="EFH103" s="769"/>
      <c r="EFI103" s="769"/>
      <c r="EFJ103" s="769"/>
      <c r="EFK103" s="769"/>
      <c r="EFL103" s="769"/>
      <c r="EFM103" s="769"/>
      <c r="EFN103" s="769"/>
      <c r="EFO103" s="769"/>
      <c r="EFP103" s="769"/>
      <c r="EFQ103" s="769"/>
      <c r="EFR103" s="769"/>
      <c r="EFS103" s="769"/>
      <c r="EFT103" s="769"/>
      <c r="EFU103" s="769"/>
      <c r="EFV103" s="769"/>
      <c r="EFW103" s="769"/>
      <c r="EFX103" s="769"/>
      <c r="EFY103" s="769"/>
      <c r="EFZ103" s="769"/>
      <c r="EGA103" s="769"/>
      <c r="EGB103" s="769"/>
      <c r="EGC103" s="769"/>
      <c r="EGD103" s="769"/>
      <c r="EGE103" s="769"/>
      <c r="EGF103" s="769"/>
      <c r="EGG103" s="769"/>
      <c r="EGH103" s="769"/>
      <c r="EGI103" s="769"/>
      <c r="EGJ103" s="769"/>
      <c r="EGK103" s="769"/>
      <c r="EGL103" s="769"/>
      <c r="EGM103" s="769"/>
      <c r="EGN103" s="769"/>
      <c r="EGO103" s="769"/>
      <c r="EGP103" s="769"/>
      <c r="EGQ103" s="769"/>
      <c r="EGR103" s="769"/>
      <c r="EGS103" s="769"/>
      <c r="EGT103" s="769"/>
      <c r="EGU103" s="769"/>
      <c r="EGV103" s="769"/>
      <c r="EGW103" s="769"/>
      <c r="EGX103" s="769"/>
      <c r="EGY103" s="769"/>
      <c r="EGZ103" s="769"/>
      <c r="EHA103" s="769"/>
      <c r="EHB103" s="769"/>
      <c r="EHC103" s="769"/>
      <c r="EHD103" s="769"/>
      <c r="EHE103" s="769"/>
      <c r="EHF103" s="769"/>
      <c r="EHG103" s="769"/>
      <c r="EHH103" s="769"/>
      <c r="EHI103" s="769"/>
      <c r="EHJ103" s="769"/>
      <c r="EHK103" s="769"/>
      <c r="EHL103" s="769"/>
      <c r="EHM103" s="769"/>
      <c r="EHN103" s="769"/>
      <c r="EHO103" s="769"/>
      <c r="EHP103" s="769"/>
      <c r="EHQ103" s="769"/>
      <c r="EHR103" s="769"/>
      <c r="EHS103" s="769"/>
      <c r="EHT103" s="769"/>
      <c r="EHU103" s="769"/>
      <c r="EHV103" s="769"/>
      <c r="EHW103" s="769"/>
      <c r="EHX103" s="769"/>
      <c r="EHY103" s="769"/>
      <c r="EHZ103" s="769"/>
      <c r="EIA103" s="769"/>
      <c r="EIB103" s="769"/>
      <c r="EIC103" s="769"/>
      <c r="EID103" s="769"/>
      <c r="EIE103" s="769"/>
      <c r="EIF103" s="769"/>
      <c r="EIG103" s="769"/>
      <c r="EIH103" s="769"/>
      <c r="EII103" s="769"/>
      <c r="EIJ103" s="769"/>
      <c r="EIK103" s="769"/>
      <c r="EIL103" s="769"/>
      <c r="EIM103" s="769"/>
      <c r="EIN103" s="769"/>
      <c r="EIO103" s="769"/>
      <c r="EIP103" s="769"/>
      <c r="EIQ103" s="769"/>
      <c r="EIR103" s="769"/>
      <c r="EIS103" s="769"/>
      <c r="EIT103" s="769"/>
      <c r="EIU103" s="769"/>
      <c r="EIV103" s="769"/>
      <c r="EIW103" s="769"/>
      <c r="EIX103" s="769"/>
      <c r="EIY103" s="769"/>
      <c r="EIZ103" s="769"/>
      <c r="EJA103" s="769"/>
      <c r="EJB103" s="769"/>
      <c r="EJC103" s="769"/>
      <c r="EJD103" s="769"/>
      <c r="EJE103" s="769"/>
      <c r="EJF103" s="769"/>
      <c r="EJG103" s="769"/>
      <c r="EJH103" s="769"/>
      <c r="EJI103" s="769"/>
      <c r="EJJ103" s="769"/>
      <c r="EJK103" s="769"/>
      <c r="EJL103" s="769"/>
      <c r="EJM103" s="769"/>
      <c r="EJN103" s="769"/>
      <c r="EJO103" s="769"/>
      <c r="EJP103" s="769"/>
      <c r="EJQ103" s="769"/>
      <c r="EJR103" s="769"/>
      <c r="EJS103" s="769"/>
      <c r="EJT103" s="769"/>
      <c r="EJU103" s="769"/>
      <c r="EJV103" s="769"/>
      <c r="EJW103" s="769"/>
      <c r="EJX103" s="769"/>
      <c r="EJY103" s="769"/>
      <c r="EJZ103" s="769"/>
      <c r="EKA103" s="769"/>
      <c r="EKB103" s="769"/>
      <c r="EKC103" s="769"/>
      <c r="EKD103" s="769"/>
      <c r="EKE103" s="769"/>
      <c r="EKF103" s="769"/>
      <c r="EKG103" s="769"/>
      <c r="EKH103" s="769"/>
      <c r="EKI103" s="769"/>
      <c r="EKJ103" s="769"/>
      <c r="EKK103" s="769"/>
      <c r="EKL103" s="769"/>
      <c r="EKM103" s="769"/>
      <c r="EKN103" s="769"/>
      <c r="EKO103" s="769"/>
      <c r="EKP103" s="769"/>
      <c r="EKQ103" s="769"/>
      <c r="EKR103" s="769"/>
      <c r="EKS103" s="769"/>
      <c r="EKT103" s="769"/>
      <c r="EKU103" s="769"/>
      <c r="EKV103" s="769"/>
      <c r="EKW103" s="769"/>
      <c r="EKX103" s="769"/>
      <c r="EKY103" s="769"/>
      <c r="EKZ103" s="769"/>
      <c r="ELA103" s="769"/>
      <c r="ELB103" s="769"/>
      <c r="ELC103" s="769"/>
      <c r="ELD103" s="769"/>
      <c r="ELE103" s="769"/>
      <c r="ELF103" s="769"/>
      <c r="ELG103" s="769"/>
      <c r="ELH103" s="769"/>
      <c r="ELI103" s="769"/>
      <c r="ELJ103" s="769"/>
      <c r="ELK103" s="769"/>
      <c r="ELL103" s="769"/>
      <c r="ELM103" s="769"/>
      <c r="ELN103" s="769"/>
      <c r="ELO103" s="769"/>
      <c r="ELP103" s="769"/>
      <c r="ELQ103" s="769"/>
      <c r="ELR103" s="769"/>
      <c r="ELS103" s="769"/>
      <c r="ELT103" s="769"/>
      <c r="ELU103" s="769"/>
      <c r="ELV103" s="769"/>
      <c r="ELW103" s="769"/>
      <c r="ELX103" s="769"/>
      <c r="ELY103" s="769"/>
      <c r="ELZ103" s="769"/>
      <c r="EMA103" s="769"/>
      <c r="EMB103" s="769"/>
      <c r="EMC103" s="769"/>
      <c r="EMD103" s="769"/>
      <c r="EME103" s="769"/>
      <c r="EMF103" s="769"/>
      <c r="EMG103" s="769"/>
      <c r="EMH103" s="769"/>
      <c r="EMI103" s="769"/>
      <c r="EMJ103" s="769"/>
      <c r="EMK103" s="769"/>
      <c r="EML103" s="769"/>
      <c r="EMM103" s="769"/>
      <c r="EMN103" s="769"/>
      <c r="EMO103" s="769"/>
      <c r="EMP103" s="769"/>
      <c r="EMQ103" s="769"/>
      <c r="EMR103" s="769"/>
      <c r="EMS103" s="769"/>
      <c r="EMT103" s="769"/>
      <c r="EMU103" s="769"/>
      <c r="EMV103" s="769"/>
      <c r="EMW103" s="769"/>
      <c r="EMX103" s="769"/>
      <c r="EMY103" s="769"/>
      <c r="EMZ103" s="769"/>
      <c r="ENA103" s="769"/>
      <c r="ENB103" s="769"/>
      <c r="ENC103" s="769"/>
      <c r="END103" s="769"/>
      <c r="ENE103" s="769"/>
      <c r="ENF103" s="769"/>
      <c r="ENG103" s="769"/>
      <c r="ENH103" s="769"/>
      <c r="ENI103" s="769"/>
      <c r="ENJ103" s="769"/>
      <c r="ENK103" s="769"/>
      <c r="ENL103" s="769"/>
      <c r="ENM103" s="769"/>
      <c r="ENN103" s="769"/>
      <c r="ENO103" s="769"/>
      <c r="ENP103" s="769"/>
      <c r="ENQ103" s="769"/>
      <c r="ENR103" s="769"/>
      <c r="ENS103" s="769"/>
      <c r="ENT103" s="769"/>
      <c r="ENU103" s="769"/>
      <c r="ENV103" s="769"/>
      <c r="ENW103" s="769"/>
      <c r="ENX103" s="769"/>
      <c r="ENY103" s="769"/>
      <c r="ENZ103" s="769"/>
      <c r="EOA103" s="769"/>
      <c r="EOB103" s="769"/>
      <c r="EOC103" s="769"/>
      <c r="EOD103" s="769"/>
      <c r="EOE103" s="769"/>
      <c r="EOF103" s="769"/>
      <c r="EOG103" s="769"/>
      <c r="EOH103" s="769"/>
      <c r="EOI103" s="769"/>
      <c r="EOJ103" s="769"/>
      <c r="EOK103" s="769"/>
      <c r="EOL103" s="769"/>
      <c r="EOM103" s="769"/>
      <c r="EON103" s="769"/>
      <c r="EOO103" s="769"/>
      <c r="EOP103" s="769"/>
      <c r="EOQ103" s="769"/>
      <c r="EOR103" s="769"/>
      <c r="EOS103" s="769"/>
      <c r="EOT103" s="769"/>
      <c r="EOU103" s="769"/>
      <c r="EOV103" s="769"/>
      <c r="EOW103" s="769"/>
      <c r="EOX103" s="769"/>
      <c r="EOY103" s="769"/>
      <c r="EOZ103" s="769"/>
      <c r="EPA103" s="769"/>
      <c r="EPB103" s="769"/>
      <c r="EPC103" s="769"/>
      <c r="EPD103" s="769"/>
      <c r="EPE103" s="769"/>
      <c r="EPF103" s="769"/>
      <c r="EPG103" s="769"/>
      <c r="EPH103" s="769"/>
      <c r="EPI103" s="769"/>
      <c r="EPJ103" s="769"/>
      <c r="EPK103" s="769"/>
      <c r="EPL103" s="769"/>
      <c r="EPM103" s="769"/>
      <c r="EPN103" s="769"/>
      <c r="EPO103" s="769"/>
      <c r="EPP103" s="769"/>
      <c r="EPQ103" s="769"/>
      <c r="EPR103" s="769"/>
      <c r="EPS103" s="769"/>
      <c r="EPT103" s="769"/>
      <c r="EPU103" s="769"/>
      <c r="EPV103" s="769"/>
      <c r="EPW103" s="769"/>
      <c r="EPX103" s="769"/>
      <c r="EPY103" s="769"/>
      <c r="EPZ103" s="769"/>
      <c r="EQA103" s="769"/>
      <c r="EQB103" s="769"/>
      <c r="EQC103" s="769"/>
      <c r="EQD103" s="769"/>
      <c r="EQE103" s="769"/>
      <c r="EQF103" s="769"/>
      <c r="EQG103" s="769"/>
      <c r="EQH103" s="769"/>
      <c r="EQI103" s="769"/>
      <c r="EQJ103" s="769"/>
      <c r="EQK103" s="769"/>
      <c r="EQL103" s="769"/>
      <c r="EQM103" s="769"/>
      <c r="EQN103" s="769"/>
      <c r="EQO103" s="769"/>
      <c r="EQP103" s="769"/>
      <c r="EQQ103" s="769"/>
      <c r="EQR103" s="769"/>
      <c r="EQS103" s="769"/>
      <c r="EQT103" s="769"/>
      <c r="EQU103" s="769"/>
      <c r="EQV103" s="769"/>
      <c r="EQW103" s="769"/>
      <c r="EQX103" s="769"/>
      <c r="EQY103" s="769"/>
      <c r="EQZ103" s="769"/>
      <c r="ERA103" s="769"/>
      <c r="ERB103" s="769"/>
      <c r="ERC103" s="769"/>
      <c r="ERD103" s="769"/>
      <c r="ERE103" s="769"/>
      <c r="ERF103" s="769"/>
      <c r="ERG103" s="769"/>
      <c r="ERH103" s="769"/>
      <c r="ERI103" s="769"/>
      <c r="ERJ103" s="769"/>
      <c r="ERK103" s="769"/>
      <c r="ERL103" s="769"/>
      <c r="ERM103" s="769"/>
      <c r="ERN103" s="769"/>
      <c r="ERO103" s="769"/>
      <c r="ERP103" s="769"/>
      <c r="ERQ103" s="769"/>
      <c r="ERR103" s="769"/>
      <c r="ERS103" s="769"/>
      <c r="ERT103" s="769"/>
      <c r="ERU103" s="769"/>
      <c r="ERV103" s="769"/>
      <c r="ERW103" s="769"/>
      <c r="ERX103" s="769"/>
      <c r="ERY103" s="769"/>
      <c r="ERZ103" s="769"/>
      <c r="ESA103" s="769"/>
      <c r="ESB103" s="769"/>
      <c r="ESC103" s="769"/>
      <c r="ESD103" s="769"/>
      <c r="ESE103" s="769"/>
      <c r="ESF103" s="769"/>
      <c r="ESG103" s="769"/>
      <c r="ESH103" s="769"/>
      <c r="ESI103" s="769"/>
      <c r="ESJ103" s="769"/>
      <c r="ESK103" s="769"/>
      <c r="ESL103" s="769"/>
      <c r="ESM103" s="769"/>
      <c r="ESN103" s="769"/>
      <c r="ESO103" s="769"/>
      <c r="ESP103" s="769"/>
      <c r="ESQ103" s="769"/>
      <c r="ESR103" s="769"/>
      <c r="ESS103" s="769"/>
      <c r="EST103" s="769"/>
      <c r="ESU103" s="769"/>
      <c r="ESV103" s="769"/>
      <c r="ESW103" s="769"/>
      <c r="ESX103" s="769"/>
      <c r="ESY103" s="769"/>
      <c r="ESZ103" s="769"/>
      <c r="ETA103" s="769"/>
      <c r="ETB103" s="769"/>
      <c r="ETC103" s="769"/>
      <c r="ETD103" s="769"/>
      <c r="ETE103" s="769"/>
      <c r="ETF103" s="769"/>
      <c r="ETG103" s="769"/>
      <c r="ETH103" s="769"/>
      <c r="ETI103" s="769"/>
      <c r="ETJ103" s="769"/>
      <c r="ETK103" s="769"/>
      <c r="ETL103" s="769"/>
      <c r="ETM103" s="769"/>
      <c r="ETN103" s="769"/>
      <c r="ETO103" s="769"/>
      <c r="ETP103" s="769"/>
      <c r="ETQ103" s="769"/>
      <c r="ETR103" s="769"/>
      <c r="ETS103" s="769"/>
      <c r="ETT103" s="769"/>
      <c r="ETU103" s="769"/>
      <c r="ETV103" s="769"/>
      <c r="ETW103" s="769"/>
      <c r="ETX103" s="769"/>
      <c r="ETY103" s="769"/>
      <c r="ETZ103" s="769"/>
      <c r="EUA103" s="769"/>
      <c r="EUB103" s="769"/>
      <c r="EUC103" s="769"/>
      <c r="EUD103" s="769"/>
      <c r="EUE103" s="769"/>
      <c r="EUF103" s="769"/>
      <c r="EUG103" s="769"/>
      <c r="EUH103" s="769"/>
      <c r="EUI103" s="769"/>
      <c r="EUJ103" s="769"/>
      <c r="EUK103" s="769"/>
      <c r="EUL103" s="769"/>
      <c r="EUM103" s="769"/>
      <c r="EUN103" s="769"/>
      <c r="EUO103" s="769"/>
      <c r="EUP103" s="769"/>
      <c r="EUQ103" s="769"/>
      <c r="EUR103" s="769"/>
      <c r="EUS103" s="769"/>
      <c r="EUT103" s="769"/>
      <c r="EUU103" s="769"/>
      <c r="EUV103" s="769"/>
      <c r="EUW103" s="769"/>
      <c r="EUX103" s="769"/>
      <c r="EUY103" s="769"/>
      <c r="EUZ103" s="769"/>
      <c r="EVA103" s="769"/>
      <c r="EVB103" s="769"/>
      <c r="EVC103" s="769"/>
      <c r="EVD103" s="769"/>
      <c r="EVE103" s="769"/>
      <c r="EVF103" s="769"/>
      <c r="EVG103" s="769"/>
      <c r="EVH103" s="769"/>
      <c r="EVI103" s="769"/>
      <c r="EVJ103" s="769"/>
      <c r="EVK103" s="769"/>
      <c r="EVL103" s="769"/>
      <c r="EVM103" s="769"/>
      <c r="EVN103" s="769"/>
      <c r="EVO103" s="769"/>
      <c r="EVP103" s="769"/>
      <c r="EVQ103" s="769"/>
      <c r="EVR103" s="769"/>
      <c r="EVS103" s="769"/>
      <c r="EVT103" s="769"/>
      <c r="EVU103" s="769"/>
      <c r="EVV103" s="769"/>
      <c r="EVW103" s="769"/>
      <c r="EVX103" s="769"/>
      <c r="EVY103" s="769"/>
      <c r="EVZ103" s="769"/>
      <c r="EWA103" s="769"/>
      <c r="EWB103" s="769"/>
      <c r="EWC103" s="769"/>
      <c r="EWD103" s="769"/>
      <c r="EWE103" s="769"/>
      <c r="EWF103" s="769"/>
      <c r="EWG103" s="769"/>
      <c r="EWH103" s="769"/>
      <c r="EWI103" s="769"/>
      <c r="EWJ103" s="769"/>
      <c r="EWK103" s="769"/>
      <c r="EWL103" s="769"/>
      <c r="EWM103" s="769"/>
      <c r="EWN103" s="769"/>
      <c r="EWO103" s="769"/>
      <c r="EWP103" s="769"/>
      <c r="EWQ103" s="769"/>
      <c r="EWR103" s="769"/>
      <c r="EWS103" s="769"/>
      <c r="EWT103" s="769"/>
      <c r="EWU103" s="769"/>
      <c r="EWV103" s="769"/>
      <c r="EWW103" s="769"/>
      <c r="EWX103" s="769"/>
      <c r="EWY103" s="769"/>
      <c r="EWZ103" s="769"/>
      <c r="EXA103" s="769"/>
      <c r="EXB103" s="769"/>
      <c r="EXC103" s="769"/>
      <c r="EXD103" s="769"/>
      <c r="EXE103" s="769"/>
      <c r="EXF103" s="769"/>
      <c r="EXG103" s="769"/>
      <c r="EXH103" s="769"/>
      <c r="EXI103" s="769"/>
      <c r="EXJ103" s="769"/>
      <c r="EXK103" s="769"/>
      <c r="EXL103" s="769"/>
      <c r="EXM103" s="769"/>
      <c r="EXN103" s="769"/>
      <c r="EXO103" s="769"/>
      <c r="EXP103" s="769"/>
      <c r="EXQ103" s="769"/>
      <c r="EXR103" s="769"/>
      <c r="EXS103" s="769"/>
      <c r="EXT103" s="769"/>
      <c r="EXU103" s="769"/>
      <c r="EXV103" s="769"/>
      <c r="EXW103" s="769"/>
      <c r="EXX103" s="769"/>
      <c r="EXY103" s="769"/>
      <c r="EXZ103" s="769"/>
      <c r="EYA103" s="769"/>
      <c r="EYB103" s="769"/>
      <c r="EYC103" s="769"/>
      <c r="EYD103" s="769"/>
      <c r="EYE103" s="769"/>
      <c r="EYF103" s="769"/>
      <c r="EYG103" s="769"/>
      <c r="EYH103" s="769"/>
      <c r="EYI103" s="769"/>
      <c r="EYJ103" s="769"/>
      <c r="EYK103" s="769"/>
      <c r="EYL103" s="769"/>
      <c r="EYM103" s="769"/>
      <c r="EYN103" s="769"/>
      <c r="EYO103" s="769"/>
      <c r="EYP103" s="769"/>
      <c r="EYQ103" s="769"/>
      <c r="EYR103" s="769"/>
      <c r="EYS103" s="769"/>
      <c r="EYT103" s="769"/>
      <c r="EYU103" s="769"/>
      <c r="EYV103" s="769"/>
      <c r="EYW103" s="769"/>
      <c r="EYX103" s="769"/>
      <c r="EYY103" s="769"/>
      <c r="EYZ103" s="769"/>
      <c r="EZA103" s="769"/>
      <c r="EZB103" s="769"/>
      <c r="EZC103" s="769"/>
      <c r="EZD103" s="769"/>
      <c r="EZE103" s="769"/>
      <c r="EZF103" s="769"/>
      <c r="EZG103" s="769"/>
      <c r="EZH103" s="769"/>
      <c r="EZI103" s="769"/>
      <c r="EZJ103" s="769"/>
      <c r="EZK103" s="769"/>
      <c r="EZL103" s="769"/>
      <c r="EZM103" s="769"/>
      <c r="EZN103" s="769"/>
      <c r="EZO103" s="769"/>
      <c r="EZP103" s="769"/>
      <c r="EZQ103" s="769"/>
      <c r="EZR103" s="769"/>
      <c r="EZS103" s="769"/>
      <c r="EZT103" s="769"/>
      <c r="EZU103" s="769"/>
      <c r="EZV103" s="769"/>
      <c r="EZW103" s="769"/>
      <c r="EZX103" s="769"/>
      <c r="EZY103" s="769"/>
      <c r="EZZ103" s="769"/>
      <c r="FAA103" s="769"/>
      <c r="FAB103" s="769"/>
      <c r="FAC103" s="769"/>
      <c r="FAD103" s="769"/>
      <c r="FAE103" s="769"/>
      <c r="FAF103" s="769"/>
      <c r="FAG103" s="769"/>
      <c r="FAH103" s="769"/>
      <c r="FAI103" s="769"/>
      <c r="FAJ103" s="769"/>
      <c r="FAK103" s="769"/>
      <c r="FAL103" s="769"/>
      <c r="FAM103" s="769"/>
      <c r="FAN103" s="769"/>
      <c r="FAO103" s="769"/>
      <c r="FAP103" s="769"/>
      <c r="FAQ103" s="769"/>
      <c r="FAR103" s="769"/>
      <c r="FAS103" s="769"/>
      <c r="FAT103" s="769"/>
      <c r="FAU103" s="769"/>
      <c r="FAV103" s="769"/>
      <c r="FAW103" s="769"/>
      <c r="FAX103" s="769"/>
      <c r="FAY103" s="769"/>
      <c r="FAZ103" s="769"/>
      <c r="FBA103" s="769"/>
      <c r="FBB103" s="769"/>
      <c r="FBC103" s="769"/>
      <c r="FBD103" s="769"/>
      <c r="FBE103" s="769"/>
      <c r="FBF103" s="769"/>
      <c r="FBG103" s="769"/>
      <c r="FBH103" s="769"/>
      <c r="FBI103" s="769"/>
      <c r="FBJ103" s="769"/>
      <c r="FBK103" s="769"/>
      <c r="FBL103" s="769"/>
      <c r="FBM103" s="769"/>
      <c r="FBN103" s="769"/>
      <c r="FBO103" s="769"/>
      <c r="FBP103" s="769"/>
      <c r="FBQ103" s="769"/>
      <c r="FBR103" s="769"/>
      <c r="FBS103" s="769"/>
      <c r="FBT103" s="769"/>
      <c r="FBU103" s="769"/>
      <c r="FBV103" s="769"/>
      <c r="FBW103" s="769"/>
      <c r="FBX103" s="769"/>
      <c r="FBY103" s="769"/>
      <c r="FBZ103" s="769"/>
      <c r="FCA103" s="769"/>
      <c r="FCB103" s="769"/>
      <c r="FCC103" s="769"/>
      <c r="FCD103" s="769"/>
      <c r="FCE103" s="769"/>
      <c r="FCF103" s="769"/>
      <c r="FCG103" s="769"/>
      <c r="FCH103" s="769"/>
      <c r="FCI103" s="769"/>
      <c r="FCJ103" s="769"/>
      <c r="FCK103" s="769"/>
      <c r="FCL103" s="769"/>
      <c r="FCM103" s="769"/>
      <c r="FCN103" s="769"/>
      <c r="FCO103" s="769"/>
      <c r="FCP103" s="769"/>
      <c r="FCQ103" s="769"/>
      <c r="FCR103" s="769"/>
      <c r="FCS103" s="769"/>
      <c r="FCT103" s="769"/>
      <c r="FCU103" s="769"/>
      <c r="FCV103" s="769"/>
      <c r="FCW103" s="769"/>
      <c r="FCX103" s="769"/>
      <c r="FCY103" s="769"/>
      <c r="FCZ103" s="769"/>
      <c r="FDA103" s="769"/>
      <c r="FDB103" s="769"/>
      <c r="FDC103" s="769"/>
      <c r="FDD103" s="769"/>
      <c r="FDE103" s="769"/>
      <c r="FDF103" s="769"/>
      <c r="FDG103" s="769"/>
      <c r="FDH103" s="769"/>
      <c r="FDI103" s="769"/>
      <c r="FDJ103" s="769"/>
      <c r="FDK103" s="769"/>
      <c r="FDL103" s="769"/>
      <c r="FDM103" s="769"/>
      <c r="FDN103" s="769"/>
      <c r="FDO103" s="769"/>
      <c r="FDP103" s="769"/>
      <c r="FDQ103" s="769"/>
      <c r="FDR103" s="769"/>
      <c r="FDS103" s="769"/>
      <c r="FDT103" s="769"/>
      <c r="FDU103" s="769"/>
      <c r="FDV103" s="769"/>
      <c r="FDW103" s="769"/>
      <c r="FDX103" s="769"/>
      <c r="FDY103" s="769"/>
      <c r="FDZ103" s="769"/>
      <c r="FEA103" s="769"/>
      <c r="FEB103" s="769"/>
      <c r="FEC103" s="769"/>
      <c r="FED103" s="769"/>
      <c r="FEE103" s="769"/>
      <c r="FEF103" s="769"/>
      <c r="FEG103" s="769"/>
      <c r="FEH103" s="769"/>
      <c r="FEI103" s="769"/>
      <c r="FEJ103" s="769"/>
      <c r="FEK103" s="769"/>
      <c r="FEL103" s="769"/>
      <c r="FEM103" s="769"/>
      <c r="FEN103" s="769"/>
      <c r="FEO103" s="769"/>
      <c r="FEP103" s="769"/>
      <c r="FEQ103" s="769"/>
      <c r="FER103" s="769"/>
      <c r="FES103" s="769"/>
      <c r="FET103" s="769"/>
      <c r="FEU103" s="769"/>
      <c r="FEV103" s="769"/>
      <c r="FEW103" s="769"/>
      <c r="FEX103" s="769"/>
      <c r="FEY103" s="769"/>
      <c r="FEZ103" s="769"/>
      <c r="FFA103" s="769"/>
      <c r="FFB103" s="769"/>
      <c r="FFC103" s="769"/>
      <c r="FFD103" s="769"/>
      <c r="FFE103" s="769"/>
      <c r="FFF103" s="769"/>
      <c r="FFG103" s="769"/>
      <c r="FFH103" s="769"/>
      <c r="FFI103" s="769"/>
      <c r="FFJ103" s="769"/>
      <c r="FFK103" s="769"/>
      <c r="FFL103" s="769"/>
      <c r="FFM103" s="769"/>
      <c r="FFN103" s="769"/>
      <c r="FFO103" s="769"/>
      <c r="FFP103" s="769"/>
      <c r="FFQ103" s="769"/>
      <c r="FFR103" s="769"/>
      <c r="FFS103" s="769"/>
      <c r="FFT103" s="769"/>
      <c r="FFU103" s="769"/>
      <c r="FFV103" s="769"/>
      <c r="FFW103" s="769"/>
      <c r="FFX103" s="769"/>
      <c r="FFY103" s="769"/>
      <c r="FFZ103" s="769"/>
      <c r="FGA103" s="769"/>
      <c r="FGB103" s="769"/>
      <c r="FGC103" s="769"/>
      <c r="FGD103" s="769"/>
      <c r="FGE103" s="769"/>
      <c r="FGF103" s="769"/>
      <c r="FGG103" s="769"/>
      <c r="FGH103" s="769"/>
      <c r="FGI103" s="769"/>
      <c r="FGJ103" s="769"/>
      <c r="FGK103" s="769"/>
      <c r="FGL103" s="769"/>
      <c r="FGM103" s="769"/>
      <c r="FGN103" s="769"/>
      <c r="FGO103" s="769"/>
      <c r="FGP103" s="769"/>
      <c r="FGQ103" s="769"/>
      <c r="FGR103" s="769"/>
      <c r="FGS103" s="769"/>
      <c r="FGT103" s="769"/>
      <c r="FGU103" s="769"/>
      <c r="FGV103" s="769"/>
      <c r="FGW103" s="769"/>
      <c r="FGX103" s="769"/>
      <c r="FGY103" s="769"/>
      <c r="FGZ103" s="769"/>
      <c r="FHA103" s="769"/>
      <c r="FHB103" s="769"/>
      <c r="FHC103" s="769"/>
      <c r="FHD103" s="769"/>
      <c r="FHE103" s="769"/>
      <c r="FHF103" s="769"/>
      <c r="FHG103" s="769"/>
      <c r="FHH103" s="769"/>
      <c r="FHI103" s="769"/>
      <c r="FHJ103" s="769"/>
      <c r="FHK103" s="769"/>
      <c r="FHL103" s="769"/>
      <c r="FHM103" s="769"/>
      <c r="FHN103" s="769"/>
      <c r="FHO103" s="769"/>
      <c r="FHP103" s="769"/>
      <c r="FHQ103" s="769"/>
      <c r="FHR103" s="769"/>
      <c r="FHS103" s="769"/>
      <c r="FHT103" s="769"/>
      <c r="FHU103" s="769"/>
      <c r="FHV103" s="769"/>
      <c r="FHW103" s="769"/>
      <c r="FHX103" s="769"/>
      <c r="FHY103" s="769"/>
      <c r="FHZ103" s="769"/>
      <c r="FIA103" s="769"/>
      <c r="FIB103" s="769"/>
      <c r="FIC103" s="769"/>
      <c r="FID103" s="769"/>
      <c r="FIE103" s="769"/>
      <c r="FIF103" s="769"/>
      <c r="FIG103" s="769"/>
      <c r="FIH103" s="769"/>
      <c r="FII103" s="769"/>
      <c r="FIJ103" s="769"/>
      <c r="FIK103" s="769"/>
      <c r="FIL103" s="769"/>
      <c r="FIM103" s="769"/>
      <c r="FIN103" s="769"/>
      <c r="FIO103" s="769"/>
      <c r="FIP103" s="769"/>
      <c r="FIQ103" s="769"/>
      <c r="FIR103" s="769"/>
      <c r="FIS103" s="769"/>
      <c r="FIT103" s="769"/>
      <c r="FIU103" s="769"/>
      <c r="FIV103" s="769"/>
      <c r="FIW103" s="769"/>
      <c r="FIX103" s="769"/>
      <c r="FIY103" s="769"/>
      <c r="FIZ103" s="769"/>
      <c r="FJA103" s="769"/>
      <c r="FJB103" s="769"/>
      <c r="FJC103" s="769"/>
      <c r="FJD103" s="769"/>
      <c r="FJE103" s="769"/>
      <c r="FJF103" s="769"/>
      <c r="FJG103" s="769"/>
      <c r="FJH103" s="769"/>
      <c r="FJI103" s="769"/>
      <c r="FJJ103" s="769"/>
      <c r="FJK103" s="769"/>
      <c r="FJL103" s="769"/>
      <c r="FJM103" s="769"/>
      <c r="FJN103" s="769"/>
      <c r="FJO103" s="769"/>
      <c r="FJP103" s="769"/>
      <c r="FJQ103" s="769"/>
      <c r="FJR103" s="769"/>
      <c r="FJS103" s="769"/>
      <c r="FJT103" s="769"/>
      <c r="FJU103" s="769"/>
      <c r="FJV103" s="769"/>
      <c r="FJW103" s="769"/>
      <c r="FJX103" s="769"/>
      <c r="FJY103" s="769"/>
      <c r="FJZ103" s="769"/>
      <c r="FKA103" s="769"/>
      <c r="FKB103" s="769"/>
      <c r="FKC103" s="769"/>
      <c r="FKD103" s="769"/>
      <c r="FKE103" s="769"/>
      <c r="FKF103" s="769"/>
      <c r="FKG103" s="769"/>
      <c r="FKH103" s="769"/>
      <c r="FKI103" s="769"/>
      <c r="FKJ103" s="769"/>
      <c r="FKK103" s="769"/>
      <c r="FKL103" s="769"/>
      <c r="FKM103" s="769"/>
      <c r="FKN103" s="769"/>
      <c r="FKO103" s="769"/>
      <c r="FKP103" s="769"/>
      <c r="FKQ103" s="769"/>
      <c r="FKR103" s="769"/>
      <c r="FKS103" s="769"/>
      <c r="FKT103" s="769"/>
      <c r="FKU103" s="769"/>
      <c r="FKV103" s="769"/>
      <c r="FKW103" s="769"/>
      <c r="FKX103" s="769"/>
      <c r="FKY103" s="769"/>
      <c r="FKZ103" s="769"/>
      <c r="FLA103" s="769"/>
      <c r="FLB103" s="769"/>
      <c r="FLC103" s="769"/>
      <c r="FLD103" s="769"/>
      <c r="FLE103" s="769"/>
      <c r="FLF103" s="769"/>
      <c r="FLG103" s="769"/>
      <c r="FLH103" s="769"/>
      <c r="FLI103" s="769"/>
      <c r="FLJ103" s="769"/>
      <c r="FLK103" s="769"/>
      <c r="FLL103" s="769"/>
      <c r="FLM103" s="769"/>
      <c r="FLN103" s="769"/>
      <c r="FLO103" s="769"/>
      <c r="FLP103" s="769"/>
      <c r="FLQ103" s="769"/>
      <c r="FLR103" s="769"/>
      <c r="FLS103" s="769"/>
      <c r="FLT103" s="769"/>
      <c r="FLU103" s="769"/>
      <c r="FLV103" s="769"/>
      <c r="FLW103" s="769"/>
      <c r="FLX103" s="769"/>
      <c r="FLY103" s="769"/>
      <c r="FLZ103" s="769"/>
      <c r="FMA103" s="769"/>
      <c r="FMB103" s="769"/>
      <c r="FMC103" s="769"/>
      <c r="FMD103" s="769"/>
      <c r="FME103" s="769"/>
      <c r="FMF103" s="769"/>
      <c r="FMG103" s="769"/>
      <c r="FMH103" s="769"/>
      <c r="FMI103" s="769"/>
      <c r="FMJ103" s="769"/>
      <c r="FMK103" s="769"/>
      <c r="FML103" s="769"/>
      <c r="FMM103" s="769"/>
      <c r="FMN103" s="769"/>
      <c r="FMO103" s="769"/>
      <c r="FMP103" s="769"/>
      <c r="FMQ103" s="769"/>
      <c r="FMR103" s="769"/>
      <c r="FMS103" s="769"/>
      <c r="FMT103" s="769"/>
      <c r="FMU103" s="769"/>
      <c r="FMV103" s="769"/>
      <c r="FMW103" s="769"/>
      <c r="FMX103" s="769"/>
      <c r="FMY103" s="769"/>
      <c r="FMZ103" s="769"/>
      <c r="FNA103" s="769"/>
      <c r="FNB103" s="769"/>
      <c r="FNC103" s="769"/>
      <c r="FND103" s="769"/>
      <c r="FNE103" s="769"/>
      <c r="FNF103" s="769"/>
      <c r="FNG103" s="769"/>
      <c r="FNH103" s="769"/>
      <c r="FNI103" s="769"/>
      <c r="FNJ103" s="769"/>
      <c r="FNK103" s="769"/>
      <c r="FNL103" s="769"/>
      <c r="FNM103" s="769"/>
      <c r="FNN103" s="769"/>
      <c r="FNO103" s="769"/>
      <c r="FNP103" s="769"/>
      <c r="FNQ103" s="769"/>
      <c r="FNR103" s="769"/>
      <c r="FNS103" s="769"/>
      <c r="FNT103" s="769"/>
      <c r="FNU103" s="769"/>
      <c r="FNV103" s="769"/>
      <c r="FNW103" s="769"/>
      <c r="FNX103" s="769"/>
      <c r="FNY103" s="769"/>
      <c r="FNZ103" s="769"/>
      <c r="FOA103" s="769"/>
      <c r="FOB103" s="769"/>
      <c r="FOC103" s="769"/>
      <c r="FOD103" s="769"/>
      <c r="FOE103" s="769"/>
      <c r="FOF103" s="769"/>
      <c r="FOG103" s="769"/>
      <c r="FOH103" s="769"/>
      <c r="FOI103" s="769"/>
      <c r="FOJ103" s="769"/>
      <c r="FOK103" s="769"/>
      <c r="FOL103" s="769"/>
      <c r="FOM103" s="769"/>
      <c r="FON103" s="769"/>
      <c r="FOO103" s="769"/>
      <c r="FOP103" s="769"/>
      <c r="FOQ103" s="769"/>
      <c r="FOR103" s="769"/>
      <c r="FOS103" s="769"/>
      <c r="FOT103" s="769"/>
      <c r="FOU103" s="769"/>
      <c r="FOV103" s="769"/>
      <c r="FOW103" s="769"/>
      <c r="FOX103" s="769"/>
      <c r="FOY103" s="769"/>
      <c r="FOZ103" s="769"/>
      <c r="FPA103" s="769"/>
      <c r="FPB103" s="769"/>
      <c r="FPC103" s="769"/>
      <c r="FPD103" s="769"/>
      <c r="FPE103" s="769"/>
      <c r="FPF103" s="769"/>
      <c r="FPG103" s="769"/>
      <c r="FPH103" s="769"/>
      <c r="FPI103" s="769"/>
      <c r="FPJ103" s="769"/>
      <c r="FPK103" s="769"/>
      <c r="FPL103" s="769"/>
      <c r="FPM103" s="769"/>
      <c r="FPN103" s="769"/>
      <c r="FPO103" s="769"/>
      <c r="FPP103" s="769"/>
      <c r="FPQ103" s="769"/>
      <c r="FPR103" s="769"/>
      <c r="FPS103" s="769"/>
      <c r="FPT103" s="769"/>
      <c r="FPU103" s="769"/>
      <c r="FPV103" s="769"/>
      <c r="FPW103" s="769"/>
      <c r="FPX103" s="769"/>
      <c r="FPY103" s="769"/>
      <c r="FPZ103" s="769"/>
      <c r="FQA103" s="769"/>
      <c r="FQB103" s="769"/>
      <c r="FQC103" s="769"/>
      <c r="FQD103" s="769"/>
      <c r="FQE103" s="769"/>
      <c r="FQF103" s="769"/>
      <c r="FQG103" s="769"/>
      <c r="FQH103" s="769"/>
      <c r="FQI103" s="769"/>
      <c r="FQJ103" s="769"/>
      <c r="FQK103" s="769"/>
      <c r="FQL103" s="769"/>
      <c r="FQM103" s="769"/>
      <c r="FQN103" s="769"/>
      <c r="FQO103" s="769"/>
      <c r="FQP103" s="769"/>
      <c r="FQQ103" s="769"/>
      <c r="FQR103" s="769"/>
      <c r="FQS103" s="769"/>
      <c r="FQT103" s="769"/>
      <c r="FQU103" s="769"/>
      <c r="FQV103" s="769"/>
      <c r="FQW103" s="769"/>
      <c r="FQX103" s="769"/>
      <c r="FQY103" s="769"/>
      <c r="FQZ103" s="769"/>
      <c r="FRA103" s="769"/>
      <c r="FRB103" s="769"/>
      <c r="FRC103" s="769"/>
      <c r="FRD103" s="769"/>
      <c r="FRE103" s="769"/>
      <c r="FRF103" s="769"/>
      <c r="FRG103" s="769"/>
      <c r="FRH103" s="769"/>
      <c r="FRI103" s="769"/>
      <c r="FRJ103" s="769"/>
      <c r="FRK103" s="769"/>
      <c r="FRL103" s="769"/>
      <c r="FRM103" s="769"/>
      <c r="FRN103" s="769"/>
      <c r="FRO103" s="769"/>
      <c r="FRP103" s="769"/>
      <c r="FRQ103" s="769"/>
      <c r="FRR103" s="769"/>
      <c r="FRS103" s="769"/>
      <c r="FRT103" s="769"/>
      <c r="FRU103" s="769"/>
      <c r="FRV103" s="769"/>
      <c r="FRW103" s="769"/>
      <c r="FRX103" s="769"/>
      <c r="FRY103" s="769"/>
      <c r="FRZ103" s="769"/>
      <c r="FSA103" s="769"/>
      <c r="FSB103" s="769"/>
      <c r="FSC103" s="769"/>
      <c r="FSD103" s="769"/>
      <c r="FSE103" s="769"/>
      <c r="FSF103" s="769"/>
      <c r="FSG103" s="769"/>
      <c r="FSH103" s="769"/>
      <c r="FSI103" s="769"/>
      <c r="FSJ103" s="769"/>
      <c r="FSK103" s="769"/>
      <c r="FSL103" s="769"/>
      <c r="FSM103" s="769"/>
      <c r="FSN103" s="769"/>
      <c r="FSO103" s="769"/>
      <c r="FSP103" s="769"/>
      <c r="FSQ103" s="769"/>
      <c r="FSR103" s="769"/>
      <c r="FSS103" s="769"/>
      <c r="FST103" s="769"/>
      <c r="FSU103" s="769"/>
      <c r="FSV103" s="769"/>
      <c r="FSW103" s="769"/>
      <c r="FSX103" s="769"/>
      <c r="FSY103" s="769"/>
      <c r="FSZ103" s="769"/>
      <c r="FTA103" s="769"/>
      <c r="FTB103" s="769"/>
      <c r="FTC103" s="769"/>
      <c r="FTD103" s="769"/>
      <c r="FTE103" s="769"/>
      <c r="FTF103" s="769"/>
      <c r="FTG103" s="769"/>
      <c r="FTH103" s="769"/>
      <c r="FTI103" s="769"/>
      <c r="FTJ103" s="769"/>
      <c r="FTK103" s="769"/>
      <c r="FTL103" s="769"/>
      <c r="FTM103" s="769"/>
      <c r="FTN103" s="769"/>
      <c r="FTO103" s="769"/>
      <c r="FTP103" s="769"/>
      <c r="FTQ103" s="769"/>
      <c r="FTR103" s="769"/>
      <c r="FTS103" s="769"/>
      <c r="FTT103" s="769"/>
      <c r="FTU103" s="769"/>
      <c r="FTV103" s="769"/>
      <c r="FTW103" s="769"/>
      <c r="FTX103" s="769"/>
      <c r="FTY103" s="769"/>
      <c r="FTZ103" s="769"/>
      <c r="FUA103" s="769"/>
      <c r="FUB103" s="769"/>
      <c r="FUC103" s="769"/>
      <c r="FUD103" s="769"/>
      <c r="FUE103" s="769"/>
      <c r="FUF103" s="769"/>
      <c r="FUG103" s="769"/>
      <c r="FUH103" s="769"/>
      <c r="FUI103" s="769"/>
      <c r="FUJ103" s="769"/>
      <c r="FUK103" s="769"/>
      <c r="FUL103" s="769"/>
      <c r="FUM103" s="769"/>
      <c r="FUN103" s="769"/>
      <c r="FUO103" s="769"/>
      <c r="FUP103" s="769"/>
      <c r="FUQ103" s="769"/>
      <c r="FUR103" s="769"/>
      <c r="FUS103" s="769"/>
      <c r="FUT103" s="769"/>
      <c r="FUU103" s="769"/>
      <c r="FUV103" s="769"/>
      <c r="FUW103" s="769"/>
      <c r="FUX103" s="769"/>
      <c r="FUY103" s="769"/>
      <c r="FUZ103" s="769"/>
      <c r="FVA103" s="769"/>
      <c r="FVB103" s="769"/>
      <c r="FVC103" s="769"/>
      <c r="FVD103" s="769"/>
      <c r="FVE103" s="769"/>
      <c r="FVF103" s="769"/>
      <c r="FVG103" s="769"/>
      <c r="FVH103" s="769"/>
      <c r="FVI103" s="769"/>
      <c r="FVJ103" s="769"/>
      <c r="FVK103" s="769"/>
      <c r="FVL103" s="769"/>
      <c r="FVM103" s="769"/>
      <c r="FVN103" s="769"/>
      <c r="FVO103" s="769"/>
      <c r="FVP103" s="769"/>
      <c r="FVQ103" s="769"/>
      <c r="FVR103" s="769"/>
      <c r="FVS103" s="769"/>
      <c r="FVT103" s="769"/>
      <c r="FVU103" s="769"/>
      <c r="FVV103" s="769"/>
      <c r="FVW103" s="769"/>
      <c r="FVX103" s="769"/>
      <c r="FVY103" s="769"/>
      <c r="FVZ103" s="769"/>
      <c r="FWA103" s="769"/>
      <c r="FWB103" s="769"/>
      <c r="FWC103" s="769"/>
      <c r="FWD103" s="769"/>
      <c r="FWE103" s="769"/>
      <c r="FWF103" s="769"/>
      <c r="FWG103" s="769"/>
      <c r="FWH103" s="769"/>
      <c r="FWI103" s="769"/>
      <c r="FWJ103" s="769"/>
      <c r="FWK103" s="769"/>
      <c r="FWL103" s="769"/>
      <c r="FWM103" s="769"/>
      <c r="FWN103" s="769"/>
      <c r="FWO103" s="769"/>
      <c r="FWP103" s="769"/>
      <c r="FWQ103" s="769"/>
      <c r="FWR103" s="769"/>
      <c r="FWS103" s="769"/>
      <c r="FWT103" s="769"/>
      <c r="FWU103" s="769"/>
      <c r="FWV103" s="769"/>
      <c r="FWW103" s="769"/>
      <c r="FWX103" s="769"/>
      <c r="FWY103" s="769"/>
      <c r="FWZ103" s="769"/>
      <c r="FXA103" s="769"/>
      <c r="FXB103" s="769"/>
      <c r="FXC103" s="769"/>
      <c r="FXD103" s="769"/>
      <c r="FXE103" s="769"/>
      <c r="FXF103" s="769"/>
      <c r="FXG103" s="769"/>
      <c r="FXH103" s="769"/>
      <c r="FXI103" s="769"/>
      <c r="FXJ103" s="769"/>
      <c r="FXK103" s="769"/>
      <c r="FXL103" s="769"/>
      <c r="FXM103" s="769"/>
      <c r="FXN103" s="769"/>
      <c r="FXO103" s="769"/>
      <c r="FXP103" s="769"/>
      <c r="FXQ103" s="769"/>
      <c r="FXR103" s="769"/>
      <c r="FXS103" s="769"/>
      <c r="FXT103" s="769"/>
      <c r="FXU103" s="769"/>
      <c r="FXV103" s="769"/>
      <c r="FXW103" s="769"/>
      <c r="FXX103" s="769"/>
      <c r="FXY103" s="769"/>
      <c r="FXZ103" s="769"/>
      <c r="FYA103" s="769"/>
      <c r="FYB103" s="769"/>
      <c r="FYC103" s="769"/>
      <c r="FYD103" s="769"/>
      <c r="FYE103" s="769"/>
      <c r="FYF103" s="769"/>
      <c r="FYG103" s="769"/>
      <c r="FYH103" s="769"/>
      <c r="FYI103" s="769"/>
      <c r="FYJ103" s="769"/>
      <c r="FYK103" s="769"/>
      <c r="FYL103" s="769"/>
      <c r="FYM103" s="769"/>
      <c r="FYN103" s="769"/>
      <c r="FYO103" s="769"/>
      <c r="FYP103" s="769"/>
      <c r="FYQ103" s="769"/>
      <c r="FYR103" s="769"/>
      <c r="FYS103" s="769"/>
      <c r="FYT103" s="769"/>
      <c r="FYU103" s="769"/>
      <c r="FYV103" s="769"/>
      <c r="FYW103" s="769"/>
      <c r="FYX103" s="769"/>
      <c r="FYY103" s="769"/>
      <c r="FYZ103" s="769"/>
      <c r="FZA103" s="769"/>
      <c r="FZB103" s="769"/>
      <c r="FZC103" s="769"/>
      <c r="FZD103" s="769"/>
      <c r="FZE103" s="769"/>
      <c r="FZF103" s="769"/>
      <c r="FZG103" s="769"/>
      <c r="FZH103" s="769"/>
      <c r="FZI103" s="769"/>
      <c r="FZJ103" s="769"/>
      <c r="FZK103" s="769"/>
      <c r="FZL103" s="769"/>
      <c r="FZM103" s="769"/>
      <c r="FZN103" s="769"/>
      <c r="FZO103" s="769"/>
      <c r="FZP103" s="769"/>
      <c r="FZQ103" s="769"/>
      <c r="FZR103" s="769"/>
      <c r="FZS103" s="769"/>
      <c r="FZT103" s="769"/>
      <c r="FZU103" s="769"/>
      <c r="FZV103" s="769"/>
      <c r="FZW103" s="769"/>
      <c r="FZX103" s="769"/>
      <c r="FZY103" s="769"/>
      <c r="FZZ103" s="769"/>
      <c r="GAA103" s="769"/>
      <c r="GAB103" s="769"/>
      <c r="GAC103" s="769"/>
      <c r="GAD103" s="769"/>
      <c r="GAE103" s="769"/>
      <c r="GAF103" s="769"/>
      <c r="GAG103" s="769"/>
      <c r="GAH103" s="769"/>
      <c r="GAI103" s="769"/>
      <c r="GAJ103" s="769"/>
      <c r="GAK103" s="769"/>
      <c r="GAL103" s="769"/>
      <c r="GAM103" s="769"/>
      <c r="GAN103" s="769"/>
      <c r="GAO103" s="769"/>
      <c r="GAP103" s="769"/>
      <c r="GAQ103" s="769"/>
      <c r="GAR103" s="769"/>
      <c r="GAS103" s="769"/>
      <c r="GAT103" s="769"/>
      <c r="GAU103" s="769"/>
      <c r="GAV103" s="769"/>
      <c r="GAW103" s="769"/>
      <c r="GAX103" s="769"/>
      <c r="GAY103" s="769"/>
      <c r="GAZ103" s="769"/>
      <c r="GBA103" s="769"/>
      <c r="GBB103" s="769"/>
      <c r="GBC103" s="769"/>
      <c r="GBD103" s="769"/>
      <c r="GBE103" s="769"/>
      <c r="GBF103" s="769"/>
      <c r="GBG103" s="769"/>
      <c r="GBH103" s="769"/>
      <c r="GBI103" s="769"/>
      <c r="GBJ103" s="769"/>
      <c r="GBK103" s="769"/>
      <c r="GBL103" s="769"/>
      <c r="GBM103" s="769"/>
      <c r="GBN103" s="769"/>
      <c r="GBO103" s="769"/>
      <c r="GBP103" s="769"/>
      <c r="GBQ103" s="769"/>
      <c r="GBR103" s="769"/>
      <c r="GBS103" s="769"/>
      <c r="GBT103" s="769"/>
      <c r="GBU103" s="769"/>
      <c r="GBV103" s="769"/>
      <c r="GBW103" s="769"/>
      <c r="GBX103" s="769"/>
      <c r="GBY103" s="769"/>
      <c r="GBZ103" s="769"/>
      <c r="GCA103" s="769"/>
      <c r="GCB103" s="769"/>
      <c r="GCC103" s="769"/>
      <c r="GCD103" s="769"/>
      <c r="GCE103" s="769"/>
      <c r="GCF103" s="769"/>
      <c r="GCG103" s="769"/>
      <c r="GCH103" s="769"/>
      <c r="GCI103" s="769"/>
      <c r="GCJ103" s="769"/>
      <c r="GCK103" s="769"/>
      <c r="GCL103" s="769"/>
      <c r="GCM103" s="769"/>
      <c r="GCN103" s="769"/>
      <c r="GCO103" s="769"/>
      <c r="GCP103" s="769"/>
      <c r="GCQ103" s="769"/>
      <c r="GCR103" s="769"/>
      <c r="GCS103" s="769"/>
      <c r="GCT103" s="769"/>
      <c r="GCU103" s="769"/>
      <c r="GCV103" s="769"/>
      <c r="GCW103" s="769"/>
      <c r="GCX103" s="769"/>
      <c r="GCY103" s="769"/>
      <c r="GCZ103" s="769"/>
      <c r="GDA103" s="769"/>
      <c r="GDB103" s="769"/>
      <c r="GDC103" s="769"/>
      <c r="GDD103" s="769"/>
      <c r="GDE103" s="769"/>
      <c r="GDF103" s="769"/>
      <c r="GDG103" s="769"/>
      <c r="GDH103" s="769"/>
      <c r="GDI103" s="769"/>
      <c r="GDJ103" s="769"/>
      <c r="GDK103" s="769"/>
      <c r="GDL103" s="769"/>
      <c r="GDM103" s="769"/>
      <c r="GDN103" s="769"/>
      <c r="GDO103" s="769"/>
      <c r="GDP103" s="769"/>
      <c r="GDQ103" s="769"/>
      <c r="GDR103" s="769"/>
      <c r="GDS103" s="769"/>
      <c r="GDT103" s="769"/>
      <c r="GDU103" s="769"/>
      <c r="GDV103" s="769"/>
      <c r="GDW103" s="769"/>
      <c r="GDX103" s="769"/>
      <c r="GDY103" s="769"/>
      <c r="GDZ103" s="769"/>
      <c r="GEA103" s="769"/>
      <c r="GEB103" s="769"/>
      <c r="GEC103" s="769"/>
      <c r="GED103" s="769"/>
      <c r="GEE103" s="769"/>
      <c r="GEF103" s="769"/>
      <c r="GEG103" s="769"/>
      <c r="GEH103" s="769"/>
      <c r="GEI103" s="769"/>
      <c r="GEJ103" s="769"/>
      <c r="GEK103" s="769"/>
      <c r="GEL103" s="769"/>
      <c r="GEM103" s="769"/>
      <c r="GEN103" s="769"/>
      <c r="GEO103" s="769"/>
      <c r="GEP103" s="769"/>
      <c r="GEQ103" s="769"/>
      <c r="GER103" s="769"/>
      <c r="GES103" s="769"/>
      <c r="GET103" s="769"/>
      <c r="GEU103" s="769"/>
      <c r="GEV103" s="769"/>
      <c r="GEW103" s="769"/>
      <c r="GEX103" s="769"/>
      <c r="GEY103" s="769"/>
      <c r="GEZ103" s="769"/>
      <c r="GFA103" s="769"/>
      <c r="GFB103" s="769"/>
      <c r="GFC103" s="769"/>
      <c r="GFD103" s="769"/>
      <c r="GFE103" s="769"/>
      <c r="GFF103" s="769"/>
      <c r="GFG103" s="769"/>
      <c r="GFH103" s="769"/>
      <c r="GFI103" s="769"/>
      <c r="GFJ103" s="769"/>
      <c r="GFK103" s="769"/>
      <c r="GFL103" s="769"/>
      <c r="GFM103" s="769"/>
      <c r="GFN103" s="769"/>
      <c r="GFO103" s="769"/>
      <c r="GFP103" s="769"/>
      <c r="GFQ103" s="769"/>
      <c r="GFR103" s="769"/>
      <c r="GFS103" s="769"/>
      <c r="GFT103" s="769"/>
      <c r="GFU103" s="769"/>
      <c r="GFV103" s="769"/>
      <c r="GFW103" s="769"/>
      <c r="GFX103" s="769"/>
      <c r="GFY103" s="769"/>
      <c r="GFZ103" s="769"/>
      <c r="GGA103" s="769"/>
      <c r="GGB103" s="769"/>
      <c r="GGC103" s="769"/>
      <c r="GGD103" s="769"/>
      <c r="GGE103" s="769"/>
      <c r="GGF103" s="769"/>
      <c r="GGG103" s="769"/>
      <c r="GGH103" s="769"/>
      <c r="GGI103" s="769"/>
      <c r="GGJ103" s="769"/>
      <c r="GGK103" s="769"/>
      <c r="GGL103" s="769"/>
      <c r="GGM103" s="769"/>
      <c r="GGN103" s="769"/>
      <c r="GGO103" s="769"/>
      <c r="GGP103" s="769"/>
      <c r="GGQ103" s="769"/>
      <c r="GGR103" s="769"/>
      <c r="GGS103" s="769"/>
      <c r="GGT103" s="769"/>
      <c r="GGU103" s="769"/>
      <c r="GGV103" s="769"/>
      <c r="GGW103" s="769"/>
      <c r="GGX103" s="769"/>
      <c r="GGY103" s="769"/>
      <c r="GGZ103" s="769"/>
      <c r="GHA103" s="769"/>
      <c r="GHB103" s="769"/>
      <c r="GHC103" s="769"/>
      <c r="GHD103" s="769"/>
      <c r="GHE103" s="769"/>
      <c r="GHF103" s="769"/>
      <c r="GHG103" s="769"/>
      <c r="GHH103" s="769"/>
      <c r="GHI103" s="769"/>
      <c r="GHJ103" s="769"/>
      <c r="GHK103" s="769"/>
      <c r="GHL103" s="769"/>
      <c r="GHM103" s="769"/>
      <c r="GHN103" s="769"/>
      <c r="GHO103" s="769"/>
      <c r="GHP103" s="769"/>
      <c r="GHQ103" s="769"/>
      <c r="GHR103" s="769"/>
      <c r="GHS103" s="769"/>
      <c r="GHT103" s="769"/>
      <c r="GHU103" s="769"/>
      <c r="GHV103" s="769"/>
      <c r="GHW103" s="769"/>
      <c r="GHX103" s="769"/>
      <c r="GHY103" s="769"/>
      <c r="GHZ103" s="769"/>
      <c r="GIA103" s="769"/>
      <c r="GIB103" s="769"/>
      <c r="GIC103" s="769"/>
      <c r="GID103" s="769"/>
      <c r="GIE103" s="769"/>
      <c r="GIF103" s="769"/>
      <c r="GIG103" s="769"/>
      <c r="GIH103" s="769"/>
      <c r="GII103" s="769"/>
      <c r="GIJ103" s="769"/>
      <c r="GIK103" s="769"/>
      <c r="GIL103" s="769"/>
      <c r="GIM103" s="769"/>
      <c r="GIN103" s="769"/>
      <c r="GIO103" s="769"/>
      <c r="GIP103" s="769"/>
      <c r="GIQ103" s="769"/>
      <c r="GIR103" s="769"/>
      <c r="GIS103" s="769"/>
      <c r="GIT103" s="769"/>
      <c r="GIU103" s="769"/>
      <c r="GIV103" s="769"/>
      <c r="GIW103" s="769"/>
      <c r="GIX103" s="769"/>
      <c r="GIY103" s="769"/>
      <c r="GIZ103" s="769"/>
      <c r="GJA103" s="769"/>
      <c r="GJB103" s="769"/>
      <c r="GJC103" s="769"/>
      <c r="GJD103" s="769"/>
      <c r="GJE103" s="769"/>
      <c r="GJF103" s="769"/>
      <c r="GJG103" s="769"/>
      <c r="GJH103" s="769"/>
      <c r="GJI103" s="769"/>
      <c r="GJJ103" s="769"/>
      <c r="GJK103" s="769"/>
      <c r="GJL103" s="769"/>
      <c r="GJM103" s="769"/>
      <c r="GJN103" s="769"/>
      <c r="GJO103" s="769"/>
      <c r="GJP103" s="769"/>
      <c r="GJQ103" s="769"/>
      <c r="GJR103" s="769"/>
      <c r="GJS103" s="769"/>
      <c r="GJT103" s="769"/>
      <c r="GJU103" s="769"/>
      <c r="GJV103" s="769"/>
      <c r="GJW103" s="769"/>
      <c r="GJX103" s="769"/>
      <c r="GJY103" s="769"/>
      <c r="GJZ103" s="769"/>
      <c r="GKA103" s="769"/>
      <c r="GKB103" s="769"/>
      <c r="GKC103" s="769"/>
      <c r="GKD103" s="769"/>
      <c r="GKE103" s="769"/>
      <c r="GKF103" s="769"/>
      <c r="GKG103" s="769"/>
      <c r="GKH103" s="769"/>
      <c r="GKI103" s="769"/>
      <c r="GKJ103" s="769"/>
      <c r="GKK103" s="769"/>
      <c r="GKL103" s="769"/>
      <c r="GKM103" s="769"/>
      <c r="GKN103" s="769"/>
      <c r="GKO103" s="769"/>
      <c r="GKP103" s="769"/>
      <c r="GKQ103" s="769"/>
      <c r="GKR103" s="769"/>
      <c r="GKS103" s="769"/>
      <c r="GKT103" s="769"/>
      <c r="GKU103" s="769"/>
      <c r="GKV103" s="769"/>
      <c r="GKW103" s="769"/>
      <c r="GKX103" s="769"/>
      <c r="GKY103" s="769"/>
      <c r="GKZ103" s="769"/>
      <c r="GLA103" s="769"/>
      <c r="GLB103" s="769"/>
      <c r="GLC103" s="769"/>
      <c r="GLD103" s="769"/>
      <c r="GLE103" s="769"/>
      <c r="GLF103" s="769"/>
      <c r="GLG103" s="769"/>
      <c r="GLH103" s="769"/>
      <c r="GLI103" s="769"/>
      <c r="GLJ103" s="769"/>
      <c r="GLK103" s="769"/>
      <c r="GLL103" s="769"/>
      <c r="GLM103" s="769"/>
      <c r="GLN103" s="769"/>
      <c r="GLO103" s="769"/>
      <c r="GLP103" s="769"/>
      <c r="GLQ103" s="769"/>
      <c r="GLR103" s="769"/>
      <c r="GLS103" s="769"/>
      <c r="GLT103" s="769"/>
      <c r="GLU103" s="769"/>
      <c r="GLV103" s="769"/>
      <c r="GLW103" s="769"/>
      <c r="GLX103" s="769"/>
      <c r="GLY103" s="769"/>
      <c r="GLZ103" s="769"/>
      <c r="GMA103" s="769"/>
      <c r="GMB103" s="769"/>
      <c r="GMC103" s="769"/>
      <c r="GMD103" s="769"/>
      <c r="GME103" s="769"/>
      <c r="GMF103" s="769"/>
      <c r="GMG103" s="769"/>
      <c r="GMH103" s="769"/>
      <c r="GMI103" s="769"/>
      <c r="GMJ103" s="769"/>
      <c r="GMK103" s="769"/>
      <c r="GML103" s="769"/>
      <c r="GMM103" s="769"/>
      <c r="GMN103" s="769"/>
      <c r="GMO103" s="769"/>
      <c r="GMP103" s="769"/>
      <c r="GMQ103" s="769"/>
      <c r="GMR103" s="769"/>
      <c r="GMS103" s="769"/>
      <c r="GMT103" s="769"/>
      <c r="GMU103" s="769"/>
      <c r="GMV103" s="769"/>
      <c r="GMW103" s="769"/>
      <c r="GMX103" s="769"/>
      <c r="GMY103" s="769"/>
      <c r="GMZ103" s="769"/>
      <c r="GNA103" s="769"/>
      <c r="GNB103" s="769"/>
      <c r="GNC103" s="769"/>
      <c r="GND103" s="769"/>
      <c r="GNE103" s="769"/>
      <c r="GNF103" s="769"/>
      <c r="GNG103" s="769"/>
      <c r="GNH103" s="769"/>
      <c r="GNI103" s="769"/>
      <c r="GNJ103" s="769"/>
      <c r="GNK103" s="769"/>
      <c r="GNL103" s="769"/>
      <c r="GNM103" s="769"/>
      <c r="GNN103" s="769"/>
      <c r="GNO103" s="769"/>
      <c r="GNP103" s="769"/>
      <c r="GNQ103" s="769"/>
      <c r="GNR103" s="769"/>
      <c r="GNS103" s="769"/>
      <c r="GNT103" s="769"/>
      <c r="GNU103" s="769"/>
      <c r="GNV103" s="769"/>
      <c r="GNW103" s="769"/>
      <c r="GNX103" s="769"/>
      <c r="GNY103" s="769"/>
      <c r="GNZ103" s="769"/>
      <c r="GOA103" s="769"/>
      <c r="GOB103" s="769"/>
      <c r="GOC103" s="769"/>
      <c r="GOD103" s="769"/>
      <c r="GOE103" s="769"/>
      <c r="GOF103" s="769"/>
      <c r="GOG103" s="769"/>
      <c r="GOH103" s="769"/>
      <c r="GOI103" s="769"/>
      <c r="GOJ103" s="769"/>
      <c r="GOK103" s="769"/>
      <c r="GOL103" s="769"/>
      <c r="GOM103" s="769"/>
      <c r="GON103" s="769"/>
      <c r="GOO103" s="769"/>
      <c r="GOP103" s="769"/>
      <c r="GOQ103" s="769"/>
      <c r="GOR103" s="769"/>
      <c r="GOS103" s="769"/>
      <c r="GOT103" s="769"/>
      <c r="GOU103" s="769"/>
      <c r="GOV103" s="769"/>
      <c r="GOW103" s="769"/>
      <c r="GOX103" s="769"/>
      <c r="GOY103" s="769"/>
      <c r="GOZ103" s="769"/>
      <c r="GPA103" s="769"/>
      <c r="GPB103" s="769"/>
      <c r="GPC103" s="769"/>
      <c r="GPD103" s="769"/>
      <c r="GPE103" s="769"/>
      <c r="GPF103" s="769"/>
      <c r="GPG103" s="769"/>
      <c r="GPH103" s="769"/>
      <c r="GPI103" s="769"/>
      <c r="GPJ103" s="769"/>
      <c r="GPK103" s="769"/>
      <c r="GPL103" s="769"/>
      <c r="GPM103" s="769"/>
      <c r="GPN103" s="769"/>
      <c r="GPO103" s="769"/>
      <c r="GPP103" s="769"/>
      <c r="GPQ103" s="769"/>
      <c r="GPR103" s="769"/>
      <c r="GPS103" s="769"/>
      <c r="GPT103" s="769"/>
      <c r="GPU103" s="769"/>
      <c r="GPV103" s="769"/>
      <c r="GPW103" s="769"/>
      <c r="GPX103" s="769"/>
      <c r="GPY103" s="769"/>
      <c r="GPZ103" s="769"/>
      <c r="GQA103" s="769"/>
      <c r="GQB103" s="769"/>
      <c r="GQC103" s="769"/>
      <c r="GQD103" s="769"/>
      <c r="GQE103" s="769"/>
      <c r="GQF103" s="769"/>
      <c r="GQG103" s="769"/>
      <c r="GQH103" s="769"/>
      <c r="GQI103" s="769"/>
      <c r="GQJ103" s="769"/>
      <c r="GQK103" s="769"/>
      <c r="GQL103" s="769"/>
      <c r="GQM103" s="769"/>
      <c r="GQN103" s="769"/>
      <c r="GQO103" s="769"/>
      <c r="GQP103" s="769"/>
      <c r="GQQ103" s="769"/>
      <c r="GQR103" s="769"/>
      <c r="GQS103" s="769"/>
      <c r="GQT103" s="769"/>
      <c r="GQU103" s="769"/>
      <c r="GQV103" s="769"/>
      <c r="GQW103" s="769"/>
      <c r="GQX103" s="769"/>
      <c r="GQY103" s="769"/>
      <c r="GQZ103" s="769"/>
      <c r="GRA103" s="769"/>
      <c r="GRB103" s="769"/>
      <c r="GRC103" s="769"/>
      <c r="GRD103" s="769"/>
      <c r="GRE103" s="769"/>
      <c r="GRF103" s="769"/>
      <c r="GRG103" s="769"/>
      <c r="GRH103" s="769"/>
      <c r="GRI103" s="769"/>
      <c r="GRJ103" s="769"/>
      <c r="GRK103" s="769"/>
      <c r="GRL103" s="769"/>
      <c r="GRM103" s="769"/>
      <c r="GRN103" s="769"/>
      <c r="GRO103" s="769"/>
      <c r="GRP103" s="769"/>
      <c r="GRQ103" s="769"/>
      <c r="GRR103" s="769"/>
      <c r="GRS103" s="769"/>
      <c r="GRT103" s="769"/>
      <c r="GRU103" s="769"/>
      <c r="GRV103" s="769"/>
      <c r="GRW103" s="769"/>
      <c r="GRX103" s="769"/>
      <c r="GRY103" s="769"/>
      <c r="GRZ103" s="769"/>
      <c r="GSA103" s="769"/>
      <c r="GSB103" s="769"/>
      <c r="GSC103" s="769"/>
      <c r="GSD103" s="769"/>
      <c r="GSE103" s="769"/>
      <c r="GSF103" s="769"/>
      <c r="GSG103" s="769"/>
      <c r="GSH103" s="769"/>
      <c r="GSI103" s="769"/>
      <c r="GSJ103" s="769"/>
      <c r="GSK103" s="769"/>
      <c r="GSL103" s="769"/>
      <c r="GSM103" s="769"/>
      <c r="GSN103" s="769"/>
      <c r="GSO103" s="769"/>
      <c r="GSP103" s="769"/>
      <c r="GSQ103" s="769"/>
      <c r="GSR103" s="769"/>
      <c r="GSS103" s="769"/>
      <c r="GST103" s="769"/>
      <c r="GSU103" s="769"/>
      <c r="GSV103" s="769"/>
      <c r="GSW103" s="769"/>
      <c r="GSX103" s="769"/>
      <c r="GSY103" s="769"/>
      <c r="GSZ103" s="769"/>
      <c r="GTA103" s="769"/>
      <c r="GTB103" s="769"/>
      <c r="GTC103" s="769"/>
      <c r="GTD103" s="769"/>
      <c r="GTE103" s="769"/>
      <c r="GTF103" s="769"/>
      <c r="GTG103" s="769"/>
      <c r="GTH103" s="769"/>
      <c r="GTI103" s="769"/>
      <c r="GTJ103" s="769"/>
      <c r="GTK103" s="769"/>
      <c r="GTL103" s="769"/>
      <c r="GTM103" s="769"/>
      <c r="GTN103" s="769"/>
      <c r="GTO103" s="769"/>
      <c r="GTP103" s="769"/>
      <c r="GTQ103" s="769"/>
      <c r="GTR103" s="769"/>
      <c r="GTS103" s="769"/>
      <c r="GTT103" s="769"/>
      <c r="GTU103" s="769"/>
      <c r="GTV103" s="769"/>
      <c r="GTW103" s="769"/>
      <c r="GTX103" s="769"/>
      <c r="GTY103" s="769"/>
      <c r="GTZ103" s="769"/>
      <c r="GUA103" s="769"/>
      <c r="GUB103" s="769"/>
      <c r="GUC103" s="769"/>
      <c r="GUD103" s="769"/>
      <c r="GUE103" s="769"/>
      <c r="GUF103" s="769"/>
      <c r="GUG103" s="769"/>
      <c r="GUH103" s="769"/>
      <c r="GUI103" s="769"/>
      <c r="GUJ103" s="769"/>
      <c r="GUK103" s="769"/>
      <c r="GUL103" s="769"/>
      <c r="GUM103" s="769"/>
      <c r="GUN103" s="769"/>
      <c r="GUO103" s="769"/>
      <c r="GUP103" s="769"/>
      <c r="GUQ103" s="769"/>
      <c r="GUR103" s="769"/>
      <c r="GUS103" s="769"/>
      <c r="GUT103" s="769"/>
      <c r="GUU103" s="769"/>
      <c r="GUV103" s="769"/>
      <c r="GUW103" s="769"/>
      <c r="GUX103" s="769"/>
      <c r="GUY103" s="769"/>
      <c r="GUZ103" s="769"/>
      <c r="GVA103" s="769"/>
      <c r="GVB103" s="769"/>
      <c r="GVC103" s="769"/>
      <c r="GVD103" s="769"/>
      <c r="GVE103" s="769"/>
      <c r="GVF103" s="769"/>
      <c r="GVG103" s="769"/>
      <c r="GVH103" s="769"/>
      <c r="GVI103" s="769"/>
      <c r="GVJ103" s="769"/>
      <c r="GVK103" s="769"/>
      <c r="GVL103" s="769"/>
      <c r="GVM103" s="769"/>
      <c r="GVN103" s="769"/>
      <c r="GVO103" s="769"/>
      <c r="GVP103" s="769"/>
      <c r="GVQ103" s="769"/>
      <c r="GVR103" s="769"/>
      <c r="GVS103" s="769"/>
      <c r="GVT103" s="769"/>
      <c r="GVU103" s="769"/>
      <c r="GVV103" s="769"/>
      <c r="GVW103" s="769"/>
      <c r="GVX103" s="769"/>
      <c r="GVY103" s="769"/>
      <c r="GVZ103" s="769"/>
      <c r="GWA103" s="769"/>
      <c r="GWB103" s="769"/>
      <c r="GWC103" s="769"/>
      <c r="GWD103" s="769"/>
      <c r="GWE103" s="769"/>
      <c r="GWF103" s="769"/>
      <c r="GWG103" s="769"/>
      <c r="GWH103" s="769"/>
      <c r="GWI103" s="769"/>
      <c r="GWJ103" s="769"/>
      <c r="GWK103" s="769"/>
      <c r="GWL103" s="769"/>
      <c r="GWM103" s="769"/>
      <c r="GWN103" s="769"/>
      <c r="GWO103" s="769"/>
      <c r="GWP103" s="769"/>
      <c r="GWQ103" s="769"/>
      <c r="GWR103" s="769"/>
      <c r="GWS103" s="769"/>
      <c r="GWT103" s="769"/>
      <c r="GWU103" s="769"/>
      <c r="GWV103" s="769"/>
      <c r="GWW103" s="769"/>
      <c r="GWX103" s="769"/>
      <c r="GWY103" s="769"/>
      <c r="GWZ103" s="769"/>
      <c r="GXA103" s="769"/>
      <c r="GXB103" s="769"/>
      <c r="GXC103" s="769"/>
      <c r="GXD103" s="769"/>
      <c r="GXE103" s="769"/>
      <c r="GXF103" s="769"/>
      <c r="GXG103" s="769"/>
      <c r="GXH103" s="769"/>
      <c r="GXI103" s="769"/>
      <c r="GXJ103" s="769"/>
      <c r="GXK103" s="769"/>
      <c r="GXL103" s="769"/>
      <c r="GXM103" s="769"/>
      <c r="GXN103" s="769"/>
      <c r="GXO103" s="769"/>
      <c r="GXP103" s="769"/>
      <c r="GXQ103" s="769"/>
      <c r="GXR103" s="769"/>
      <c r="GXS103" s="769"/>
      <c r="GXT103" s="769"/>
      <c r="GXU103" s="769"/>
      <c r="GXV103" s="769"/>
      <c r="GXW103" s="769"/>
      <c r="GXX103" s="769"/>
      <c r="GXY103" s="769"/>
      <c r="GXZ103" s="769"/>
      <c r="GYA103" s="769"/>
      <c r="GYB103" s="769"/>
      <c r="GYC103" s="769"/>
      <c r="GYD103" s="769"/>
      <c r="GYE103" s="769"/>
      <c r="GYF103" s="769"/>
      <c r="GYG103" s="769"/>
      <c r="GYH103" s="769"/>
      <c r="GYI103" s="769"/>
      <c r="GYJ103" s="769"/>
      <c r="GYK103" s="769"/>
      <c r="GYL103" s="769"/>
      <c r="GYM103" s="769"/>
      <c r="GYN103" s="769"/>
      <c r="GYO103" s="769"/>
      <c r="GYP103" s="769"/>
      <c r="GYQ103" s="769"/>
      <c r="GYR103" s="769"/>
      <c r="GYS103" s="769"/>
      <c r="GYT103" s="769"/>
      <c r="GYU103" s="769"/>
      <c r="GYV103" s="769"/>
      <c r="GYW103" s="769"/>
      <c r="GYX103" s="769"/>
      <c r="GYY103" s="769"/>
      <c r="GYZ103" s="769"/>
      <c r="GZA103" s="769"/>
      <c r="GZB103" s="769"/>
      <c r="GZC103" s="769"/>
      <c r="GZD103" s="769"/>
      <c r="GZE103" s="769"/>
      <c r="GZF103" s="769"/>
      <c r="GZG103" s="769"/>
      <c r="GZH103" s="769"/>
      <c r="GZI103" s="769"/>
      <c r="GZJ103" s="769"/>
      <c r="GZK103" s="769"/>
      <c r="GZL103" s="769"/>
      <c r="GZM103" s="769"/>
      <c r="GZN103" s="769"/>
      <c r="GZO103" s="769"/>
      <c r="GZP103" s="769"/>
      <c r="GZQ103" s="769"/>
      <c r="GZR103" s="769"/>
      <c r="GZS103" s="769"/>
      <c r="GZT103" s="769"/>
      <c r="GZU103" s="769"/>
      <c r="GZV103" s="769"/>
      <c r="GZW103" s="769"/>
      <c r="GZX103" s="769"/>
      <c r="GZY103" s="769"/>
      <c r="GZZ103" s="769"/>
      <c r="HAA103" s="769"/>
      <c r="HAB103" s="769"/>
      <c r="HAC103" s="769"/>
      <c r="HAD103" s="769"/>
      <c r="HAE103" s="769"/>
      <c r="HAF103" s="769"/>
      <c r="HAG103" s="769"/>
      <c r="HAH103" s="769"/>
      <c r="HAI103" s="769"/>
      <c r="HAJ103" s="769"/>
      <c r="HAK103" s="769"/>
      <c r="HAL103" s="769"/>
      <c r="HAM103" s="769"/>
      <c r="HAN103" s="769"/>
      <c r="HAO103" s="769"/>
      <c r="HAP103" s="769"/>
      <c r="HAQ103" s="769"/>
      <c r="HAR103" s="769"/>
      <c r="HAS103" s="769"/>
      <c r="HAT103" s="769"/>
      <c r="HAU103" s="769"/>
      <c r="HAV103" s="769"/>
      <c r="HAW103" s="769"/>
      <c r="HAX103" s="769"/>
      <c r="HAY103" s="769"/>
      <c r="HAZ103" s="769"/>
      <c r="HBA103" s="769"/>
      <c r="HBB103" s="769"/>
      <c r="HBC103" s="769"/>
      <c r="HBD103" s="769"/>
      <c r="HBE103" s="769"/>
      <c r="HBF103" s="769"/>
      <c r="HBG103" s="769"/>
      <c r="HBH103" s="769"/>
      <c r="HBI103" s="769"/>
      <c r="HBJ103" s="769"/>
      <c r="HBK103" s="769"/>
      <c r="HBL103" s="769"/>
      <c r="HBM103" s="769"/>
      <c r="HBN103" s="769"/>
      <c r="HBO103" s="769"/>
      <c r="HBP103" s="769"/>
      <c r="HBQ103" s="769"/>
      <c r="HBR103" s="769"/>
      <c r="HBS103" s="769"/>
      <c r="HBT103" s="769"/>
      <c r="HBU103" s="769"/>
      <c r="HBV103" s="769"/>
      <c r="HBW103" s="769"/>
      <c r="HBX103" s="769"/>
      <c r="HBY103" s="769"/>
      <c r="HBZ103" s="769"/>
      <c r="HCA103" s="769"/>
      <c r="HCB103" s="769"/>
      <c r="HCC103" s="769"/>
      <c r="HCD103" s="769"/>
      <c r="HCE103" s="769"/>
      <c r="HCF103" s="769"/>
      <c r="HCG103" s="769"/>
      <c r="HCH103" s="769"/>
      <c r="HCI103" s="769"/>
      <c r="HCJ103" s="769"/>
      <c r="HCK103" s="769"/>
      <c r="HCL103" s="769"/>
      <c r="HCM103" s="769"/>
      <c r="HCN103" s="769"/>
      <c r="HCO103" s="769"/>
      <c r="HCP103" s="769"/>
      <c r="HCQ103" s="769"/>
      <c r="HCR103" s="769"/>
      <c r="HCS103" s="769"/>
      <c r="HCT103" s="769"/>
      <c r="HCU103" s="769"/>
      <c r="HCV103" s="769"/>
      <c r="HCW103" s="769"/>
      <c r="HCX103" s="769"/>
      <c r="HCY103" s="769"/>
      <c r="HCZ103" s="769"/>
      <c r="HDA103" s="769"/>
      <c r="HDB103" s="769"/>
      <c r="HDC103" s="769"/>
      <c r="HDD103" s="769"/>
      <c r="HDE103" s="769"/>
      <c r="HDF103" s="769"/>
      <c r="HDG103" s="769"/>
      <c r="HDH103" s="769"/>
      <c r="HDI103" s="769"/>
      <c r="HDJ103" s="769"/>
      <c r="HDK103" s="769"/>
      <c r="HDL103" s="769"/>
      <c r="HDM103" s="769"/>
      <c r="HDN103" s="769"/>
      <c r="HDO103" s="769"/>
      <c r="HDP103" s="769"/>
      <c r="HDQ103" s="769"/>
      <c r="HDR103" s="769"/>
      <c r="HDS103" s="769"/>
      <c r="HDT103" s="769"/>
      <c r="HDU103" s="769"/>
      <c r="HDV103" s="769"/>
      <c r="HDW103" s="769"/>
      <c r="HDX103" s="769"/>
      <c r="HDY103" s="769"/>
      <c r="HDZ103" s="769"/>
      <c r="HEA103" s="769"/>
      <c r="HEB103" s="769"/>
      <c r="HEC103" s="769"/>
      <c r="HED103" s="769"/>
      <c r="HEE103" s="769"/>
      <c r="HEF103" s="769"/>
      <c r="HEG103" s="769"/>
      <c r="HEH103" s="769"/>
      <c r="HEI103" s="769"/>
      <c r="HEJ103" s="769"/>
      <c r="HEK103" s="769"/>
      <c r="HEL103" s="769"/>
      <c r="HEM103" s="769"/>
      <c r="HEN103" s="769"/>
      <c r="HEO103" s="769"/>
      <c r="HEP103" s="769"/>
      <c r="HEQ103" s="769"/>
      <c r="HER103" s="769"/>
      <c r="HES103" s="769"/>
      <c r="HET103" s="769"/>
      <c r="HEU103" s="769"/>
      <c r="HEV103" s="769"/>
      <c r="HEW103" s="769"/>
      <c r="HEX103" s="769"/>
      <c r="HEY103" s="769"/>
      <c r="HEZ103" s="769"/>
      <c r="HFA103" s="769"/>
      <c r="HFB103" s="769"/>
      <c r="HFC103" s="769"/>
      <c r="HFD103" s="769"/>
      <c r="HFE103" s="769"/>
      <c r="HFF103" s="769"/>
      <c r="HFG103" s="769"/>
      <c r="HFH103" s="769"/>
      <c r="HFI103" s="769"/>
      <c r="HFJ103" s="769"/>
      <c r="HFK103" s="769"/>
      <c r="HFL103" s="769"/>
      <c r="HFM103" s="769"/>
      <c r="HFN103" s="769"/>
      <c r="HFO103" s="769"/>
      <c r="HFP103" s="769"/>
      <c r="HFQ103" s="769"/>
      <c r="HFR103" s="769"/>
      <c r="HFS103" s="769"/>
      <c r="HFT103" s="769"/>
      <c r="HFU103" s="769"/>
      <c r="HFV103" s="769"/>
      <c r="HFW103" s="769"/>
      <c r="HFX103" s="769"/>
      <c r="HFY103" s="769"/>
      <c r="HFZ103" s="769"/>
      <c r="HGA103" s="769"/>
      <c r="HGB103" s="769"/>
      <c r="HGC103" s="769"/>
      <c r="HGD103" s="769"/>
      <c r="HGE103" s="769"/>
      <c r="HGF103" s="769"/>
      <c r="HGG103" s="769"/>
      <c r="HGH103" s="769"/>
      <c r="HGI103" s="769"/>
      <c r="HGJ103" s="769"/>
      <c r="HGK103" s="769"/>
      <c r="HGL103" s="769"/>
      <c r="HGM103" s="769"/>
      <c r="HGN103" s="769"/>
      <c r="HGO103" s="769"/>
      <c r="HGP103" s="769"/>
      <c r="HGQ103" s="769"/>
      <c r="HGR103" s="769"/>
      <c r="HGS103" s="769"/>
      <c r="HGT103" s="769"/>
      <c r="HGU103" s="769"/>
      <c r="HGV103" s="769"/>
      <c r="HGW103" s="769"/>
      <c r="HGX103" s="769"/>
      <c r="HGY103" s="769"/>
      <c r="HGZ103" s="769"/>
      <c r="HHA103" s="769"/>
      <c r="HHB103" s="769"/>
      <c r="HHC103" s="769"/>
      <c r="HHD103" s="769"/>
      <c r="HHE103" s="769"/>
      <c r="HHF103" s="769"/>
      <c r="HHG103" s="769"/>
      <c r="HHH103" s="769"/>
      <c r="HHI103" s="769"/>
      <c r="HHJ103" s="769"/>
      <c r="HHK103" s="769"/>
      <c r="HHL103" s="769"/>
      <c r="HHM103" s="769"/>
      <c r="HHN103" s="769"/>
      <c r="HHO103" s="769"/>
      <c r="HHP103" s="769"/>
      <c r="HHQ103" s="769"/>
      <c r="HHR103" s="769"/>
      <c r="HHS103" s="769"/>
      <c r="HHT103" s="769"/>
      <c r="HHU103" s="769"/>
      <c r="HHV103" s="769"/>
      <c r="HHW103" s="769"/>
      <c r="HHX103" s="769"/>
      <c r="HHY103" s="769"/>
      <c r="HHZ103" s="769"/>
      <c r="HIA103" s="769"/>
      <c r="HIB103" s="769"/>
      <c r="HIC103" s="769"/>
      <c r="HID103" s="769"/>
      <c r="HIE103" s="769"/>
      <c r="HIF103" s="769"/>
      <c r="HIG103" s="769"/>
      <c r="HIH103" s="769"/>
      <c r="HII103" s="769"/>
      <c r="HIJ103" s="769"/>
      <c r="HIK103" s="769"/>
      <c r="HIL103" s="769"/>
      <c r="HIM103" s="769"/>
      <c r="HIN103" s="769"/>
      <c r="HIO103" s="769"/>
      <c r="HIP103" s="769"/>
      <c r="HIQ103" s="769"/>
      <c r="HIR103" s="769"/>
      <c r="HIS103" s="769"/>
      <c r="HIT103" s="769"/>
      <c r="HIU103" s="769"/>
      <c r="HIV103" s="769"/>
      <c r="HIW103" s="769"/>
      <c r="HIX103" s="769"/>
      <c r="HIY103" s="769"/>
      <c r="HIZ103" s="769"/>
      <c r="HJA103" s="769"/>
      <c r="HJB103" s="769"/>
      <c r="HJC103" s="769"/>
      <c r="HJD103" s="769"/>
      <c r="HJE103" s="769"/>
      <c r="HJF103" s="769"/>
      <c r="HJG103" s="769"/>
      <c r="HJH103" s="769"/>
      <c r="HJI103" s="769"/>
      <c r="HJJ103" s="769"/>
      <c r="HJK103" s="769"/>
      <c r="HJL103" s="769"/>
      <c r="HJM103" s="769"/>
      <c r="HJN103" s="769"/>
      <c r="HJO103" s="769"/>
      <c r="HJP103" s="769"/>
      <c r="HJQ103" s="769"/>
      <c r="HJR103" s="769"/>
      <c r="HJS103" s="769"/>
      <c r="HJT103" s="769"/>
      <c r="HJU103" s="769"/>
      <c r="HJV103" s="769"/>
      <c r="HJW103" s="769"/>
      <c r="HJX103" s="769"/>
      <c r="HJY103" s="769"/>
      <c r="HJZ103" s="769"/>
      <c r="HKA103" s="769"/>
      <c r="HKB103" s="769"/>
      <c r="HKC103" s="769"/>
      <c r="HKD103" s="769"/>
      <c r="HKE103" s="769"/>
      <c r="HKF103" s="769"/>
      <c r="HKG103" s="769"/>
      <c r="HKH103" s="769"/>
      <c r="HKI103" s="769"/>
      <c r="HKJ103" s="769"/>
      <c r="HKK103" s="769"/>
      <c r="HKL103" s="769"/>
      <c r="HKM103" s="769"/>
      <c r="HKN103" s="769"/>
      <c r="HKO103" s="769"/>
      <c r="HKP103" s="769"/>
      <c r="HKQ103" s="769"/>
      <c r="HKR103" s="769"/>
      <c r="HKS103" s="769"/>
      <c r="HKT103" s="769"/>
      <c r="HKU103" s="769"/>
      <c r="HKV103" s="769"/>
      <c r="HKW103" s="769"/>
      <c r="HKX103" s="769"/>
      <c r="HKY103" s="769"/>
      <c r="HKZ103" s="769"/>
      <c r="HLA103" s="769"/>
      <c r="HLB103" s="769"/>
      <c r="HLC103" s="769"/>
      <c r="HLD103" s="769"/>
      <c r="HLE103" s="769"/>
      <c r="HLF103" s="769"/>
      <c r="HLG103" s="769"/>
      <c r="HLH103" s="769"/>
      <c r="HLI103" s="769"/>
      <c r="HLJ103" s="769"/>
      <c r="HLK103" s="769"/>
      <c r="HLL103" s="769"/>
      <c r="HLM103" s="769"/>
      <c r="HLN103" s="769"/>
      <c r="HLO103" s="769"/>
      <c r="HLP103" s="769"/>
      <c r="HLQ103" s="769"/>
      <c r="HLR103" s="769"/>
      <c r="HLS103" s="769"/>
      <c r="HLT103" s="769"/>
      <c r="HLU103" s="769"/>
      <c r="HLV103" s="769"/>
      <c r="HLW103" s="769"/>
      <c r="HLX103" s="769"/>
      <c r="HLY103" s="769"/>
      <c r="HLZ103" s="769"/>
      <c r="HMA103" s="769"/>
      <c r="HMB103" s="769"/>
      <c r="HMC103" s="769"/>
      <c r="HMD103" s="769"/>
      <c r="HME103" s="769"/>
      <c r="HMF103" s="769"/>
      <c r="HMG103" s="769"/>
      <c r="HMH103" s="769"/>
      <c r="HMI103" s="769"/>
      <c r="HMJ103" s="769"/>
      <c r="HMK103" s="769"/>
      <c r="HML103" s="769"/>
      <c r="HMM103" s="769"/>
      <c r="HMN103" s="769"/>
      <c r="HMO103" s="769"/>
      <c r="HMP103" s="769"/>
      <c r="HMQ103" s="769"/>
      <c r="HMR103" s="769"/>
      <c r="HMS103" s="769"/>
      <c r="HMT103" s="769"/>
      <c r="HMU103" s="769"/>
      <c r="HMV103" s="769"/>
      <c r="HMW103" s="769"/>
      <c r="HMX103" s="769"/>
      <c r="HMY103" s="769"/>
      <c r="HMZ103" s="769"/>
      <c r="HNA103" s="769"/>
      <c r="HNB103" s="769"/>
      <c r="HNC103" s="769"/>
      <c r="HND103" s="769"/>
      <c r="HNE103" s="769"/>
      <c r="HNF103" s="769"/>
      <c r="HNG103" s="769"/>
      <c r="HNH103" s="769"/>
      <c r="HNI103" s="769"/>
      <c r="HNJ103" s="769"/>
      <c r="HNK103" s="769"/>
      <c r="HNL103" s="769"/>
      <c r="HNM103" s="769"/>
      <c r="HNN103" s="769"/>
      <c r="HNO103" s="769"/>
      <c r="HNP103" s="769"/>
      <c r="HNQ103" s="769"/>
      <c r="HNR103" s="769"/>
      <c r="HNS103" s="769"/>
      <c r="HNT103" s="769"/>
      <c r="HNU103" s="769"/>
      <c r="HNV103" s="769"/>
      <c r="HNW103" s="769"/>
      <c r="HNX103" s="769"/>
      <c r="HNY103" s="769"/>
      <c r="HNZ103" s="769"/>
      <c r="HOA103" s="769"/>
      <c r="HOB103" s="769"/>
      <c r="HOC103" s="769"/>
      <c r="HOD103" s="769"/>
      <c r="HOE103" s="769"/>
      <c r="HOF103" s="769"/>
      <c r="HOG103" s="769"/>
      <c r="HOH103" s="769"/>
      <c r="HOI103" s="769"/>
      <c r="HOJ103" s="769"/>
      <c r="HOK103" s="769"/>
      <c r="HOL103" s="769"/>
      <c r="HOM103" s="769"/>
      <c r="HON103" s="769"/>
      <c r="HOO103" s="769"/>
      <c r="HOP103" s="769"/>
      <c r="HOQ103" s="769"/>
      <c r="HOR103" s="769"/>
      <c r="HOS103" s="769"/>
      <c r="HOT103" s="769"/>
      <c r="HOU103" s="769"/>
      <c r="HOV103" s="769"/>
      <c r="HOW103" s="769"/>
      <c r="HOX103" s="769"/>
      <c r="HOY103" s="769"/>
      <c r="HOZ103" s="769"/>
      <c r="HPA103" s="769"/>
      <c r="HPB103" s="769"/>
      <c r="HPC103" s="769"/>
      <c r="HPD103" s="769"/>
      <c r="HPE103" s="769"/>
      <c r="HPF103" s="769"/>
      <c r="HPG103" s="769"/>
      <c r="HPH103" s="769"/>
      <c r="HPI103" s="769"/>
      <c r="HPJ103" s="769"/>
      <c r="HPK103" s="769"/>
      <c r="HPL103" s="769"/>
      <c r="HPM103" s="769"/>
      <c r="HPN103" s="769"/>
      <c r="HPO103" s="769"/>
      <c r="HPP103" s="769"/>
      <c r="HPQ103" s="769"/>
      <c r="HPR103" s="769"/>
      <c r="HPS103" s="769"/>
      <c r="HPT103" s="769"/>
      <c r="HPU103" s="769"/>
      <c r="HPV103" s="769"/>
      <c r="HPW103" s="769"/>
      <c r="HPX103" s="769"/>
      <c r="HPY103" s="769"/>
      <c r="HPZ103" s="769"/>
      <c r="HQA103" s="769"/>
      <c r="HQB103" s="769"/>
      <c r="HQC103" s="769"/>
      <c r="HQD103" s="769"/>
      <c r="HQE103" s="769"/>
      <c r="HQF103" s="769"/>
      <c r="HQG103" s="769"/>
      <c r="HQH103" s="769"/>
      <c r="HQI103" s="769"/>
      <c r="HQJ103" s="769"/>
      <c r="HQK103" s="769"/>
      <c r="HQL103" s="769"/>
      <c r="HQM103" s="769"/>
      <c r="HQN103" s="769"/>
      <c r="HQO103" s="769"/>
      <c r="HQP103" s="769"/>
      <c r="HQQ103" s="769"/>
      <c r="HQR103" s="769"/>
      <c r="HQS103" s="769"/>
      <c r="HQT103" s="769"/>
      <c r="HQU103" s="769"/>
      <c r="HQV103" s="769"/>
      <c r="HQW103" s="769"/>
      <c r="HQX103" s="769"/>
      <c r="HQY103" s="769"/>
      <c r="HQZ103" s="769"/>
      <c r="HRA103" s="769"/>
      <c r="HRB103" s="769"/>
      <c r="HRC103" s="769"/>
      <c r="HRD103" s="769"/>
      <c r="HRE103" s="769"/>
      <c r="HRF103" s="769"/>
      <c r="HRG103" s="769"/>
      <c r="HRH103" s="769"/>
      <c r="HRI103" s="769"/>
      <c r="HRJ103" s="769"/>
      <c r="HRK103" s="769"/>
      <c r="HRL103" s="769"/>
      <c r="HRM103" s="769"/>
      <c r="HRN103" s="769"/>
      <c r="HRO103" s="769"/>
      <c r="HRP103" s="769"/>
      <c r="HRQ103" s="769"/>
      <c r="HRR103" s="769"/>
      <c r="HRS103" s="769"/>
      <c r="HRT103" s="769"/>
      <c r="HRU103" s="769"/>
      <c r="HRV103" s="769"/>
      <c r="HRW103" s="769"/>
      <c r="HRX103" s="769"/>
      <c r="HRY103" s="769"/>
      <c r="HRZ103" s="769"/>
      <c r="HSA103" s="769"/>
      <c r="HSB103" s="769"/>
      <c r="HSC103" s="769"/>
      <c r="HSD103" s="769"/>
      <c r="HSE103" s="769"/>
      <c r="HSF103" s="769"/>
      <c r="HSG103" s="769"/>
      <c r="HSH103" s="769"/>
      <c r="HSI103" s="769"/>
      <c r="HSJ103" s="769"/>
      <c r="HSK103" s="769"/>
      <c r="HSL103" s="769"/>
      <c r="HSM103" s="769"/>
      <c r="HSN103" s="769"/>
      <c r="HSO103" s="769"/>
      <c r="HSP103" s="769"/>
      <c r="HSQ103" s="769"/>
      <c r="HSR103" s="769"/>
      <c r="HSS103" s="769"/>
      <c r="HST103" s="769"/>
      <c r="HSU103" s="769"/>
      <c r="HSV103" s="769"/>
      <c r="HSW103" s="769"/>
      <c r="HSX103" s="769"/>
      <c r="HSY103" s="769"/>
      <c r="HSZ103" s="769"/>
      <c r="HTA103" s="769"/>
      <c r="HTB103" s="769"/>
      <c r="HTC103" s="769"/>
      <c r="HTD103" s="769"/>
      <c r="HTE103" s="769"/>
      <c r="HTF103" s="769"/>
      <c r="HTG103" s="769"/>
      <c r="HTH103" s="769"/>
      <c r="HTI103" s="769"/>
      <c r="HTJ103" s="769"/>
      <c r="HTK103" s="769"/>
      <c r="HTL103" s="769"/>
      <c r="HTM103" s="769"/>
      <c r="HTN103" s="769"/>
      <c r="HTO103" s="769"/>
      <c r="HTP103" s="769"/>
      <c r="HTQ103" s="769"/>
      <c r="HTR103" s="769"/>
      <c r="HTS103" s="769"/>
      <c r="HTT103" s="769"/>
      <c r="HTU103" s="769"/>
      <c r="HTV103" s="769"/>
      <c r="HTW103" s="769"/>
      <c r="HTX103" s="769"/>
      <c r="HTY103" s="769"/>
      <c r="HTZ103" s="769"/>
      <c r="HUA103" s="769"/>
      <c r="HUB103" s="769"/>
      <c r="HUC103" s="769"/>
      <c r="HUD103" s="769"/>
      <c r="HUE103" s="769"/>
      <c r="HUF103" s="769"/>
      <c r="HUG103" s="769"/>
      <c r="HUH103" s="769"/>
      <c r="HUI103" s="769"/>
      <c r="HUJ103" s="769"/>
      <c r="HUK103" s="769"/>
      <c r="HUL103" s="769"/>
      <c r="HUM103" s="769"/>
      <c r="HUN103" s="769"/>
      <c r="HUO103" s="769"/>
      <c r="HUP103" s="769"/>
      <c r="HUQ103" s="769"/>
      <c r="HUR103" s="769"/>
      <c r="HUS103" s="769"/>
      <c r="HUT103" s="769"/>
      <c r="HUU103" s="769"/>
      <c r="HUV103" s="769"/>
      <c r="HUW103" s="769"/>
      <c r="HUX103" s="769"/>
      <c r="HUY103" s="769"/>
      <c r="HUZ103" s="769"/>
      <c r="HVA103" s="769"/>
      <c r="HVB103" s="769"/>
      <c r="HVC103" s="769"/>
      <c r="HVD103" s="769"/>
      <c r="HVE103" s="769"/>
      <c r="HVF103" s="769"/>
      <c r="HVG103" s="769"/>
      <c r="HVH103" s="769"/>
      <c r="HVI103" s="769"/>
      <c r="HVJ103" s="769"/>
      <c r="HVK103" s="769"/>
      <c r="HVL103" s="769"/>
      <c r="HVM103" s="769"/>
      <c r="HVN103" s="769"/>
      <c r="HVO103" s="769"/>
      <c r="HVP103" s="769"/>
      <c r="HVQ103" s="769"/>
      <c r="HVR103" s="769"/>
      <c r="HVS103" s="769"/>
      <c r="HVT103" s="769"/>
      <c r="HVU103" s="769"/>
      <c r="HVV103" s="769"/>
      <c r="HVW103" s="769"/>
      <c r="HVX103" s="769"/>
      <c r="HVY103" s="769"/>
      <c r="HVZ103" s="769"/>
      <c r="HWA103" s="769"/>
      <c r="HWB103" s="769"/>
      <c r="HWC103" s="769"/>
      <c r="HWD103" s="769"/>
      <c r="HWE103" s="769"/>
      <c r="HWF103" s="769"/>
      <c r="HWG103" s="769"/>
      <c r="HWH103" s="769"/>
      <c r="HWI103" s="769"/>
      <c r="HWJ103" s="769"/>
      <c r="HWK103" s="769"/>
      <c r="HWL103" s="769"/>
      <c r="HWM103" s="769"/>
      <c r="HWN103" s="769"/>
      <c r="HWO103" s="769"/>
      <c r="HWP103" s="769"/>
      <c r="HWQ103" s="769"/>
      <c r="HWR103" s="769"/>
      <c r="HWS103" s="769"/>
      <c r="HWT103" s="769"/>
      <c r="HWU103" s="769"/>
      <c r="HWV103" s="769"/>
      <c r="HWW103" s="769"/>
      <c r="HWX103" s="769"/>
      <c r="HWY103" s="769"/>
      <c r="HWZ103" s="769"/>
      <c r="HXA103" s="769"/>
      <c r="HXB103" s="769"/>
      <c r="HXC103" s="769"/>
      <c r="HXD103" s="769"/>
      <c r="HXE103" s="769"/>
      <c r="HXF103" s="769"/>
      <c r="HXG103" s="769"/>
      <c r="HXH103" s="769"/>
      <c r="HXI103" s="769"/>
      <c r="HXJ103" s="769"/>
      <c r="HXK103" s="769"/>
      <c r="HXL103" s="769"/>
      <c r="HXM103" s="769"/>
      <c r="HXN103" s="769"/>
      <c r="HXO103" s="769"/>
      <c r="HXP103" s="769"/>
      <c r="HXQ103" s="769"/>
      <c r="HXR103" s="769"/>
      <c r="HXS103" s="769"/>
      <c r="HXT103" s="769"/>
      <c r="HXU103" s="769"/>
      <c r="HXV103" s="769"/>
      <c r="HXW103" s="769"/>
      <c r="HXX103" s="769"/>
      <c r="HXY103" s="769"/>
      <c r="HXZ103" s="769"/>
      <c r="HYA103" s="769"/>
      <c r="HYB103" s="769"/>
      <c r="HYC103" s="769"/>
      <c r="HYD103" s="769"/>
      <c r="HYE103" s="769"/>
      <c r="HYF103" s="769"/>
      <c r="HYG103" s="769"/>
      <c r="HYH103" s="769"/>
      <c r="HYI103" s="769"/>
      <c r="HYJ103" s="769"/>
      <c r="HYK103" s="769"/>
      <c r="HYL103" s="769"/>
      <c r="HYM103" s="769"/>
      <c r="HYN103" s="769"/>
      <c r="HYO103" s="769"/>
      <c r="HYP103" s="769"/>
      <c r="HYQ103" s="769"/>
      <c r="HYR103" s="769"/>
      <c r="HYS103" s="769"/>
      <c r="HYT103" s="769"/>
      <c r="HYU103" s="769"/>
      <c r="HYV103" s="769"/>
      <c r="HYW103" s="769"/>
      <c r="HYX103" s="769"/>
      <c r="HYY103" s="769"/>
      <c r="HYZ103" s="769"/>
      <c r="HZA103" s="769"/>
      <c r="HZB103" s="769"/>
      <c r="HZC103" s="769"/>
      <c r="HZD103" s="769"/>
      <c r="HZE103" s="769"/>
      <c r="HZF103" s="769"/>
      <c r="HZG103" s="769"/>
      <c r="HZH103" s="769"/>
      <c r="HZI103" s="769"/>
      <c r="HZJ103" s="769"/>
      <c r="HZK103" s="769"/>
      <c r="HZL103" s="769"/>
      <c r="HZM103" s="769"/>
      <c r="HZN103" s="769"/>
      <c r="HZO103" s="769"/>
      <c r="HZP103" s="769"/>
      <c r="HZQ103" s="769"/>
      <c r="HZR103" s="769"/>
      <c r="HZS103" s="769"/>
      <c r="HZT103" s="769"/>
      <c r="HZU103" s="769"/>
      <c r="HZV103" s="769"/>
      <c r="HZW103" s="769"/>
      <c r="HZX103" s="769"/>
      <c r="HZY103" s="769"/>
      <c r="HZZ103" s="769"/>
      <c r="IAA103" s="769"/>
      <c r="IAB103" s="769"/>
      <c r="IAC103" s="769"/>
      <c r="IAD103" s="769"/>
      <c r="IAE103" s="769"/>
      <c r="IAF103" s="769"/>
      <c r="IAG103" s="769"/>
      <c r="IAH103" s="769"/>
      <c r="IAI103" s="769"/>
      <c r="IAJ103" s="769"/>
      <c r="IAK103" s="769"/>
      <c r="IAL103" s="769"/>
      <c r="IAM103" s="769"/>
      <c r="IAN103" s="769"/>
      <c r="IAO103" s="769"/>
      <c r="IAP103" s="769"/>
      <c r="IAQ103" s="769"/>
      <c r="IAR103" s="769"/>
      <c r="IAS103" s="769"/>
      <c r="IAT103" s="769"/>
      <c r="IAU103" s="769"/>
      <c r="IAV103" s="769"/>
      <c r="IAW103" s="769"/>
      <c r="IAX103" s="769"/>
      <c r="IAY103" s="769"/>
      <c r="IAZ103" s="769"/>
      <c r="IBA103" s="769"/>
      <c r="IBB103" s="769"/>
      <c r="IBC103" s="769"/>
      <c r="IBD103" s="769"/>
      <c r="IBE103" s="769"/>
      <c r="IBF103" s="769"/>
      <c r="IBG103" s="769"/>
      <c r="IBH103" s="769"/>
      <c r="IBI103" s="769"/>
      <c r="IBJ103" s="769"/>
      <c r="IBK103" s="769"/>
      <c r="IBL103" s="769"/>
      <c r="IBM103" s="769"/>
      <c r="IBN103" s="769"/>
      <c r="IBO103" s="769"/>
      <c r="IBP103" s="769"/>
      <c r="IBQ103" s="769"/>
      <c r="IBR103" s="769"/>
      <c r="IBS103" s="769"/>
      <c r="IBT103" s="769"/>
      <c r="IBU103" s="769"/>
      <c r="IBV103" s="769"/>
      <c r="IBW103" s="769"/>
      <c r="IBX103" s="769"/>
      <c r="IBY103" s="769"/>
      <c r="IBZ103" s="769"/>
      <c r="ICA103" s="769"/>
      <c r="ICB103" s="769"/>
      <c r="ICC103" s="769"/>
      <c r="ICD103" s="769"/>
      <c r="ICE103" s="769"/>
      <c r="ICF103" s="769"/>
      <c r="ICG103" s="769"/>
      <c r="ICH103" s="769"/>
      <c r="ICI103" s="769"/>
      <c r="ICJ103" s="769"/>
      <c r="ICK103" s="769"/>
      <c r="ICL103" s="769"/>
      <c r="ICM103" s="769"/>
      <c r="ICN103" s="769"/>
      <c r="ICO103" s="769"/>
      <c r="ICP103" s="769"/>
      <c r="ICQ103" s="769"/>
      <c r="ICR103" s="769"/>
      <c r="ICS103" s="769"/>
      <c r="ICT103" s="769"/>
      <c r="ICU103" s="769"/>
      <c r="ICV103" s="769"/>
      <c r="ICW103" s="769"/>
      <c r="ICX103" s="769"/>
      <c r="ICY103" s="769"/>
      <c r="ICZ103" s="769"/>
      <c r="IDA103" s="769"/>
      <c r="IDB103" s="769"/>
      <c r="IDC103" s="769"/>
      <c r="IDD103" s="769"/>
      <c r="IDE103" s="769"/>
      <c r="IDF103" s="769"/>
      <c r="IDG103" s="769"/>
      <c r="IDH103" s="769"/>
      <c r="IDI103" s="769"/>
      <c r="IDJ103" s="769"/>
      <c r="IDK103" s="769"/>
      <c r="IDL103" s="769"/>
      <c r="IDM103" s="769"/>
      <c r="IDN103" s="769"/>
      <c r="IDO103" s="769"/>
      <c r="IDP103" s="769"/>
      <c r="IDQ103" s="769"/>
      <c r="IDR103" s="769"/>
      <c r="IDS103" s="769"/>
      <c r="IDT103" s="769"/>
      <c r="IDU103" s="769"/>
      <c r="IDV103" s="769"/>
      <c r="IDW103" s="769"/>
      <c r="IDX103" s="769"/>
      <c r="IDY103" s="769"/>
      <c r="IDZ103" s="769"/>
      <c r="IEA103" s="769"/>
      <c r="IEB103" s="769"/>
      <c r="IEC103" s="769"/>
      <c r="IED103" s="769"/>
      <c r="IEE103" s="769"/>
      <c r="IEF103" s="769"/>
      <c r="IEG103" s="769"/>
      <c r="IEH103" s="769"/>
      <c r="IEI103" s="769"/>
      <c r="IEJ103" s="769"/>
      <c r="IEK103" s="769"/>
      <c r="IEL103" s="769"/>
      <c r="IEM103" s="769"/>
      <c r="IEN103" s="769"/>
      <c r="IEO103" s="769"/>
      <c r="IEP103" s="769"/>
      <c r="IEQ103" s="769"/>
      <c r="IER103" s="769"/>
      <c r="IES103" s="769"/>
      <c r="IET103" s="769"/>
      <c r="IEU103" s="769"/>
      <c r="IEV103" s="769"/>
      <c r="IEW103" s="769"/>
      <c r="IEX103" s="769"/>
      <c r="IEY103" s="769"/>
      <c r="IEZ103" s="769"/>
      <c r="IFA103" s="769"/>
      <c r="IFB103" s="769"/>
      <c r="IFC103" s="769"/>
      <c r="IFD103" s="769"/>
      <c r="IFE103" s="769"/>
      <c r="IFF103" s="769"/>
      <c r="IFG103" s="769"/>
      <c r="IFH103" s="769"/>
      <c r="IFI103" s="769"/>
      <c r="IFJ103" s="769"/>
      <c r="IFK103" s="769"/>
      <c r="IFL103" s="769"/>
      <c r="IFM103" s="769"/>
      <c r="IFN103" s="769"/>
      <c r="IFO103" s="769"/>
      <c r="IFP103" s="769"/>
      <c r="IFQ103" s="769"/>
      <c r="IFR103" s="769"/>
      <c r="IFS103" s="769"/>
      <c r="IFT103" s="769"/>
      <c r="IFU103" s="769"/>
      <c r="IFV103" s="769"/>
      <c r="IFW103" s="769"/>
      <c r="IFX103" s="769"/>
      <c r="IFY103" s="769"/>
      <c r="IFZ103" s="769"/>
      <c r="IGA103" s="769"/>
      <c r="IGB103" s="769"/>
      <c r="IGC103" s="769"/>
      <c r="IGD103" s="769"/>
      <c r="IGE103" s="769"/>
      <c r="IGF103" s="769"/>
      <c r="IGG103" s="769"/>
      <c r="IGH103" s="769"/>
      <c r="IGI103" s="769"/>
      <c r="IGJ103" s="769"/>
      <c r="IGK103" s="769"/>
      <c r="IGL103" s="769"/>
      <c r="IGM103" s="769"/>
      <c r="IGN103" s="769"/>
      <c r="IGO103" s="769"/>
      <c r="IGP103" s="769"/>
      <c r="IGQ103" s="769"/>
      <c r="IGR103" s="769"/>
      <c r="IGS103" s="769"/>
      <c r="IGT103" s="769"/>
      <c r="IGU103" s="769"/>
      <c r="IGV103" s="769"/>
      <c r="IGW103" s="769"/>
      <c r="IGX103" s="769"/>
      <c r="IGY103" s="769"/>
      <c r="IGZ103" s="769"/>
      <c r="IHA103" s="769"/>
      <c r="IHB103" s="769"/>
      <c r="IHC103" s="769"/>
      <c r="IHD103" s="769"/>
      <c r="IHE103" s="769"/>
      <c r="IHF103" s="769"/>
      <c r="IHG103" s="769"/>
      <c r="IHH103" s="769"/>
      <c r="IHI103" s="769"/>
      <c r="IHJ103" s="769"/>
      <c r="IHK103" s="769"/>
      <c r="IHL103" s="769"/>
      <c r="IHM103" s="769"/>
      <c r="IHN103" s="769"/>
      <c r="IHO103" s="769"/>
      <c r="IHP103" s="769"/>
      <c r="IHQ103" s="769"/>
      <c r="IHR103" s="769"/>
      <c r="IHS103" s="769"/>
      <c r="IHT103" s="769"/>
      <c r="IHU103" s="769"/>
      <c r="IHV103" s="769"/>
      <c r="IHW103" s="769"/>
      <c r="IHX103" s="769"/>
      <c r="IHY103" s="769"/>
      <c r="IHZ103" s="769"/>
      <c r="IIA103" s="769"/>
      <c r="IIB103" s="769"/>
      <c r="IIC103" s="769"/>
      <c r="IID103" s="769"/>
      <c r="IIE103" s="769"/>
      <c r="IIF103" s="769"/>
      <c r="IIG103" s="769"/>
      <c r="IIH103" s="769"/>
      <c r="III103" s="769"/>
      <c r="IIJ103" s="769"/>
      <c r="IIK103" s="769"/>
      <c r="IIL103" s="769"/>
      <c r="IIM103" s="769"/>
      <c r="IIN103" s="769"/>
      <c r="IIO103" s="769"/>
      <c r="IIP103" s="769"/>
      <c r="IIQ103" s="769"/>
      <c r="IIR103" s="769"/>
      <c r="IIS103" s="769"/>
      <c r="IIT103" s="769"/>
      <c r="IIU103" s="769"/>
      <c r="IIV103" s="769"/>
      <c r="IIW103" s="769"/>
      <c r="IIX103" s="769"/>
      <c r="IIY103" s="769"/>
      <c r="IIZ103" s="769"/>
      <c r="IJA103" s="769"/>
      <c r="IJB103" s="769"/>
      <c r="IJC103" s="769"/>
      <c r="IJD103" s="769"/>
      <c r="IJE103" s="769"/>
      <c r="IJF103" s="769"/>
      <c r="IJG103" s="769"/>
      <c r="IJH103" s="769"/>
      <c r="IJI103" s="769"/>
      <c r="IJJ103" s="769"/>
      <c r="IJK103" s="769"/>
      <c r="IJL103" s="769"/>
      <c r="IJM103" s="769"/>
      <c r="IJN103" s="769"/>
      <c r="IJO103" s="769"/>
      <c r="IJP103" s="769"/>
      <c r="IJQ103" s="769"/>
      <c r="IJR103" s="769"/>
      <c r="IJS103" s="769"/>
      <c r="IJT103" s="769"/>
      <c r="IJU103" s="769"/>
      <c r="IJV103" s="769"/>
      <c r="IJW103" s="769"/>
      <c r="IJX103" s="769"/>
      <c r="IJY103" s="769"/>
      <c r="IJZ103" s="769"/>
      <c r="IKA103" s="769"/>
      <c r="IKB103" s="769"/>
      <c r="IKC103" s="769"/>
      <c r="IKD103" s="769"/>
      <c r="IKE103" s="769"/>
      <c r="IKF103" s="769"/>
      <c r="IKG103" s="769"/>
      <c r="IKH103" s="769"/>
      <c r="IKI103" s="769"/>
      <c r="IKJ103" s="769"/>
      <c r="IKK103" s="769"/>
      <c r="IKL103" s="769"/>
      <c r="IKM103" s="769"/>
      <c r="IKN103" s="769"/>
      <c r="IKO103" s="769"/>
      <c r="IKP103" s="769"/>
      <c r="IKQ103" s="769"/>
      <c r="IKR103" s="769"/>
      <c r="IKS103" s="769"/>
      <c r="IKT103" s="769"/>
      <c r="IKU103" s="769"/>
      <c r="IKV103" s="769"/>
      <c r="IKW103" s="769"/>
      <c r="IKX103" s="769"/>
      <c r="IKY103" s="769"/>
      <c r="IKZ103" s="769"/>
      <c r="ILA103" s="769"/>
      <c r="ILB103" s="769"/>
      <c r="ILC103" s="769"/>
      <c r="ILD103" s="769"/>
      <c r="ILE103" s="769"/>
      <c r="ILF103" s="769"/>
      <c r="ILG103" s="769"/>
      <c r="ILH103" s="769"/>
      <c r="ILI103" s="769"/>
      <c r="ILJ103" s="769"/>
      <c r="ILK103" s="769"/>
      <c r="ILL103" s="769"/>
      <c r="ILM103" s="769"/>
      <c r="ILN103" s="769"/>
      <c r="ILO103" s="769"/>
      <c r="ILP103" s="769"/>
      <c r="ILQ103" s="769"/>
      <c r="ILR103" s="769"/>
      <c r="ILS103" s="769"/>
      <c r="ILT103" s="769"/>
      <c r="ILU103" s="769"/>
      <c r="ILV103" s="769"/>
      <c r="ILW103" s="769"/>
      <c r="ILX103" s="769"/>
      <c r="ILY103" s="769"/>
      <c r="ILZ103" s="769"/>
      <c r="IMA103" s="769"/>
      <c r="IMB103" s="769"/>
      <c r="IMC103" s="769"/>
      <c r="IMD103" s="769"/>
      <c r="IME103" s="769"/>
      <c r="IMF103" s="769"/>
      <c r="IMG103" s="769"/>
      <c r="IMH103" s="769"/>
      <c r="IMI103" s="769"/>
      <c r="IMJ103" s="769"/>
      <c r="IMK103" s="769"/>
      <c r="IML103" s="769"/>
      <c r="IMM103" s="769"/>
      <c r="IMN103" s="769"/>
      <c r="IMO103" s="769"/>
      <c r="IMP103" s="769"/>
      <c r="IMQ103" s="769"/>
      <c r="IMR103" s="769"/>
      <c r="IMS103" s="769"/>
      <c r="IMT103" s="769"/>
      <c r="IMU103" s="769"/>
      <c r="IMV103" s="769"/>
      <c r="IMW103" s="769"/>
      <c r="IMX103" s="769"/>
      <c r="IMY103" s="769"/>
      <c r="IMZ103" s="769"/>
      <c r="INA103" s="769"/>
      <c r="INB103" s="769"/>
      <c r="INC103" s="769"/>
      <c r="IND103" s="769"/>
      <c r="INE103" s="769"/>
      <c r="INF103" s="769"/>
      <c r="ING103" s="769"/>
      <c r="INH103" s="769"/>
      <c r="INI103" s="769"/>
      <c r="INJ103" s="769"/>
      <c r="INK103" s="769"/>
      <c r="INL103" s="769"/>
      <c r="INM103" s="769"/>
      <c r="INN103" s="769"/>
      <c r="INO103" s="769"/>
      <c r="INP103" s="769"/>
      <c r="INQ103" s="769"/>
      <c r="INR103" s="769"/>
      <c r="INS103" s="769"/>
      <c r="INT103" s="769"/>
      <c r="INU103" s="769"/>
      <c r="INV103" s="769"/>
      <c r="INW103" s="769"/>
      <c r="INX103" s="769"/>
      <c r="INY103" s="769"/>
      <c r="INZ103" s="769"/>
      <c r="IOA103" s="769"/>
      <c r="IOB103" s="769"/>
      <c r="IOC103" s="769"/>
      <c r="IOD103" s="769"/>
      <c r="IOE103" s="769"/>
      <c r="IOF103" s="769"/>
      <c r="IOG103" s="769"/>
      <c r="IOH103" s="769"/>
      <c r="IOI103" s="769"/>
      <c r="IOJ103" s="769"/>
      <c r="IOK103" s="769"/>
      <c r="IOL103" s="769"/>
      <c r="IOM103" s="769"/>
      <c r="ION103" s="769"/>
      <c r="IOO103" s="769"/>
      <c r="IOP103" s="769"/>
      <c r="IOQ103" s="769"/>
      <c r="IOR103" s="769"/>
      <c r="IOS103" s="769"/>
      <c r="IOT103" s="769"/>
      <c r="IOU103" s="769"/>
      <c r="IOV103" s="769"/>
      <c r="IOW103" s="769"/>
      <c r="IOX103" s="769"/>
      <c r="IOY103" s="769"/>
      <c r="IOZ103" s="769"/>
      <c r="IPA103" s="769"/>
      <c r="IPB103" s="769"/>
      <c r="IPC103" s="769"/>
      <c r="IPD103" s="769"/>
      <c r="IPE103" s="769"/>
      <c r="IPF103" s="769"/>
      <c r="IPG103" s="769"/>
      <c r="IPH103" s="769"/>
      <c r="IPI103" s="769"/>
      <c r="IPJ103" s="769"/>
      <c r="IPK103" s="769"/>
      <c r="IPL103" s="769"/>
      <c r="IPM103" s="769"/>
      <c r="IPN103" s="769"/>
      <c r="IPO103" s="769"/>
      <c r="IPP103" s="769"/>
      <c r="IPQ103" s="769"/>
      <c r="IPR103" s="769"/>
      <c r="IPS103" s="769"/>
      <c r="IPT103" s="769"/>
      <c r="IPU103" s="769"/>
      <c r="IPV103" s="769"/>
      <c r="IPW103" s="769"/>
      <c r="IPX103" s="769"/>
      <c r="IPY103" s="769"/>
      <c r="IPZ103" s="769"/>
      <c r="IQA103" s="769"/>
      <c r="IQB103" s="769"/>
      <c r="IQC103" s="769"/>
      <c r="IQD103" s="769"/>
      <c r="IQE103" s="769"/>
      <c r="IQF103" s="769"/>
      <c r="IQG103" s="769"/>
      <c r="IQH103" s="769"/>
      <c r="IQI103" s="769"/>
      <c r="IQJ103" s="769"/>
      <c r="IQK103" s="769"/>
      <c r="IQL103" s="769"/>
      <c r="IQM103" s="769"/>
      <c r="IQN103" s="769"/>
      <c r="IQO103" s="769"/>
      <c r="IQP103" s="769"/>
      <c r="IQQ103" s="769"/>
      <c r="IQR103" s="769"/>
      <c r="IQS103" s="769"/>
      <c r="IQT103" s="769"/>
      <c r="IQU103" s="769"/>
      <c r="IQV103" s="769"/>
      <c r="IQW103" s="769"/>
      <c r="IQX103" s="769"/>
      <c r="IQY103" s="769"/>
      <c r="IQZ103" s="769"/>
      <c r="IRA103" s="769"/>
      <c r="IRB103" s="769"/>
      <c r="IRC103" s="769"/>
      <c r="IRD103" s="769"/>
      <c r="IRE103" s="769"/>
      <c r="IRF103" s="769"/>
      <c r="IRG103" s="769"/>
      <c r="IRH103" s="769"/>
      <c r="IRI103" s="769"/>
      <c r="IRJ103" s="769"/>
      <c r="IRK103" s="769"/>
      <c r="IRL103" s="769"/>
      <c r="IRM103" s="769"/>
      <c r="IRN103" s="769"/>
      <c r="IRO103" s="769"/>
      <c r="IRP103" s="769"/>
      <c r="IRQ103" s="769"/>
      <c r="IRR103" s="769"/>
      <c r="IRS103" s="769"/>
      <c r="IRT103" s="769"/>
      <c r="IRU103" s="769"/>
      <c r="IRV103" s="769"/>
      <c r="IRW103" s="769"/>
      <c r="IRX103" s="769"/>
      <c r="IRY103" s="769"/>
      <c r="IRZ103" s="769"/>
      <c r="ISA103" s="769"/>
      <c r="ISB103" s="769"/>
      <c r="ISC103" s="769"/>
      <c r="ISD103" s="769"/>
      <c r="ISE103" s="769"/>
      <c r="ISF103" s="769"/>
      <c r="ISG103" s="769"/>
      <c r="ISH103" s="769"/>
      <c r="ISI103" s="769"/>
      <c r="ISJ103" s="769"/>
      <c r="ISK103" s="769"/>
      <c r="ISL103" s="769"/>
      <c r="ISM103" s="769"/>
      <c r="ISN103" s="769"/>
      <c r="ISO103" s="769"/>
      <c r="ISP103" s="769"/>
      <c r="ISQ103" s="769"/>
      <c r="ISR103" s="769"/>
      <c r="ISS103" s="769"/>
      <c r="IST103" s="769"/>
      <c r="ISU103" s="769"/>
      <c r="ISV103" s="769"/>
      <c r="ISW103" s="769"/>
      <c r="ISX103" s="769"/>
      <c r="ISY103" s="769"/>
      <c r="ISZ103" s="769"/>
      <c r="ITA103" s="769"/>
      <c r="ITB103" s="769"/>
      <c r="ITC103" s="769"/>
      <c r="ITD103" s="769"/>
      <c r="ITE103" s="769"/>
      <c r="ITF103" s="769"/>
      <c r="ITG103" s="769"/>
      <c r="ITH103" s="769"/>
      <c r="ITI103" s="769"/>
      <c r="ITJ103" s="769"/>
      <c r="ITK103" s="769"/>
      <c r="ITL103" s="769"/>
      <c r="ITM103" s="769"/>
      <c r="ITN103" s="769"/>
      <c r="ITO103" s="769"/>
      <c r="ITP103" s="769"/>
      <c r="ITQ103" s="769"/>
      <c r="ITR103" s="769"/>
      <c r="ITS103" s="769"/>
      <c r="ITT103" s="769"/>
      <c r="ITU103" s="769"/>
      <c r="ITV103" s="769"/>
      <c r="ITW103" s="769"/>
      <c r="ITX103" s="769"/>
      <c r="ITY103" s="769"/>
      <c r="ITZ103" s="769"/>
      <c r="IUA103" s="769"/>
      <c r="IUB103" s="769"/>
      <c r="IUC103" s="769"/>
      <c r="IUD103" s="769"/>
      <c r="IUE103" s="769"/>
      <c r="IUF103" s="769"/>
      <c r="IUG103" s="769"/>
      <c r="IUH103" s="769"/>
      <c r="IUI103" s="769"/>
      <c r="IUJ103" s="769"/>
      <c r="IUK103" s="769"/>
      <c r="IUL103" s="769"/>
      <c r="IUM103" s="769"/>
      <c r="IUN103" s="769"/>
      <c r="IUO103" s="769"/>
      <c r="IUP103" s="769"/>
      <c r="IUQ103" s="769"/>
      <c r="IUR103" s="769"/>
      <c r="IUS103" s="769"/>
      <c r="IUT103" s="769"/>
      <c r="IUU103" s="769"/>
      <c r="IUV103" s="769"/>
      <c r="IUW103" s="769"/>
      <c r="IUX103" s="769"/>
      <c r="IUY103" s="769"/>
      <c r="IUZ103" s="769"/>
      <c r="IVA103" s="769"/>
      <c r="IVB103" s="769"/>
      <c r="IVC103" s="769"/>
      <c r="IVD103" s="769"/>
      <c r="IVE103" s="769"/>
      <c r="IVF103" s="769"/>
      <c r="IVG103" s="769"/>
      <c r="IVH103" s="769"/>
      <c r="IVI103" s="769"/>
      <c r="IVJ103" s="769"/>
      <c r="IVK103" s="769"/>
      <c r="IVL103" s="769"/>
      <c r="IVM103" s="769"/>
      <c r="IVN103" s="769"/>
      <c r="IVO103" s="769"/>
      <c r="IVP103" s="769"/>
      <c r="IVQ103" s="769"/>
      <c r="IVR103" s="769"/>
      <c r="IVS103" s="769"/>
      <c r="IVT103" s="769"/>
      <c r="IVU103" s="769"/>
      <c r="IVV103" s="769"/>
      <c r="IVW103" s="769"/>
      <c r="IVX103" s="769"/>
      <c r="IVY103" s="769"/>
      <c r="IVZ103" s="769"/>
      <c r="IWA103" s="769"/>
      <c r="IWB103" s="769"/>
      <c r="IWC103" s="769"/>
      <c r="IWD103" s="769"/>
      <c r="IWE103" s="769"/>
      <c r="IWF103" s="769"/>
      <c r="IWG103" s="769"/>
      <c r="IWH103" s="769"/>
      <c r="IWI103" s="769"/>
      <c r="IWJ103" s="769"/>
      <c r="IWK103" s="769"/>
      <c r="IWL103" s="769"/>
      <c r="IWM103" s="769"/>
      <c r="IWN103" s="769"/>
      <c r="IWO103" s="769"/>
      <c r="IWP103" s="769"/>
      <c r="IWQ103" s="769"/>
      <c r="IWR103" s="769"/>
      <c r="IWS103" s="769"/>
      <c r="IWT103" s="769"/>
      <c r="IWU103" s="769"/>
      <c r="IWV103" s="769"/>
      <c r="IWW103" s="769"/>
      <c r="IWX103" s="769"/>
      <c r="IWY103" s="769"/>
      <c r="IWZ103" s="769"/>
      <c r="IXA103" s="769"/>
      <c r="IXB103" s="769"/>
      <c r="IXC103" s="769"/>
      <c r="IXD103" s="769"/>
      <c r="IXE103" s="769"/>
      <c r="IXF103" s="769"/>
      <c r="IXG103" s="769"/>
      <c r="IXH103" s="769"/>
      <c r="IXI103" s="769"/>
      <c r="IXJ103" s="769"/>
      <c r="IXK103" s="769"/>
      <c r="IXL103" s="769"/>
      <c r="IXM103" s="769"/>
      <c r="IXN103" s="769"/>
      <c r="IXO103" s="769"/>
      <c r="IXP103" s="769"/>
      <c r="IXQ103" s="769"/>
      <c r="IXR103" s="769"/>
      <c r="IXS103" s="769"/>
      <c r="IXT103" s="769"/>
      <c r="IXU103" s="769"/>
      <c r="IXV103" s="769"/>
      <c r="IXW103" s="769"/>
      <c r="IXX103" s="769"/>
      <c r="IXY103" s="769"/>
      <c r="IXZ103" s="769"/>
      <c r="IYA103" s="769"/>
      <c r="IYB103" s="769"/>
      <c r="IYC103" s="769"/>
      <c r="IYD103" s="769"/>
      <c r="IYE103" s="769"/>
      <c r="IYF103" s="769"/>
      <c r="IYG103" s="769"/>
      <c r="IYH103" s="769"/>
      <c r="IYI103" s="769"/>
      <c r="IYJ103" s="769"/>
      <c r="IYK103" s="769"/>
      <c r="IYL103" s="769"/>
      <c r="IYM103" s="769"/>
      <c r="IYN103" s="769"/>
      <c r="IYO103" s="769"/>
      <c r="IYP103" s="769"/>
      <c r="IYQ103" s="769"/>
      <c r="IYR103" s="769"/>
      <c r="IYS103" s="769"/>
      <c r="IYT103" s="769"/>
      <c r="IYU103" s="769"/>
      <c r="IYV103" s="769"/>
      <c r="IYW103" s="769"/>
      <c r="IYX103" s="769"/>
      <c r="IYY103" s="769"/>
      <c r="IYZ103" s="769"/>
      <c r="IZA103" s="769"/>
      <c r="IZB103" s="769"/>
      <c r="IZC103" s="769"/>
      <c r="IZD103" s="769"/>
      <c r="IZE103" s="769"/>
      <c r="IZF103" s="769"/>
      <c r="IZG103" s="769"/>
      <c r="IZH103" s="769"/>
      <c r="IZI103" s="769"/>
      <c r="IZJ103" s="769"/>
      <c r="IZK103" s="769"/>
      <c r="IZL103" s="769"/>
      <c r="IZM103" s="769"/>
      <c r="IZN103" s="769"/>
      <c r="IZO103" s="769"/>
      <c r="IZP103" s="769"/>
      <c r="IZQ103" s="769"/>
      <c r="IZR103" s="769"/>
      <c r="IZS103" s="769"/>
      <c r="IZT103" s="769"/>
      <c r="IZU103" s="769"/>
      <c r="IZV103" s="769"/>
      <c r="IZW103" s="769"/>
      <c r="IZX103" s="769"/>
      <c r="IZY103" s="769"/>
      <c r="IZZ103" s="769"/>
      <c r="JAA103" s="769"/>
      <c r="JAB103" s="769"/>
      <c r="JAC103" s="769"/>
      <c r="JAD103" s="769"/>
      <c r="JAE103" s="769"/>
      <c r="JAF103" s="769"/>
      <c r="JAG103" s="769"/>
      <c r="JAH103" s="769"/>
      <c r="JAI103" s="769"/>
      <c r="JAJ103" s="769"/>
      <c r="JAK103" s="769"/>
      <c r="JAL103" s="769"/>
      <c r="JAM103" s="769"/>
      <c r="JAN103" s="769"/>
      <c r="JAO103" s="769"/>
      <c r="JAP103" s="769"/>
      <c r="JAQ103" s="769"/>
      <c r="JAR103" s="769"/>
      <c r="JAS103" s="769"/>
      <c r="JAT103" s="769"/>
      <c r="JAU103" s="769"/>
      <c r="JAV103" s="769"/>
      <c r="JAW103" s="769"/>
      <c r="JAX103" s="769"/>
      <c r="JAY103" s="769"/>
      <c r="JAZ103" s="769"/>
      <c r="JBA103" s="769"/>
      <c r="JBB103" s="769"/>
      <c r="JBC103" s="769"/>
      <c r="JBD103" s="769"/>
      <c r="JBE103" s="769"/>
      <c r="JBF103" s="769"/>
      <c r="JBG103" s="769"/>
      <c r="JBH103" s="769"/>
      <c r="JBI103" s="769"/>
      <c r="JBJ103" s="769"/>
      <c r="JBK103" s="769"/>
      <c r="JBL103" s="769"/>
      <c r="JBM103" s="769"/>
      <c r="JBN103" s="769"/>
      <c r="JBO103" s="769"/>
      <c r="JBP103" s="769"/>
      <c r="JBQ103" s="769"/>
      <c r="JBR103" s="769"/>
      <c r="JBS103" s="769"/>
      <c r="JBT103" s="769"/>
      <c r="JBU103" s="769"/>
      <c r="JBV103" s="769"/>
      <c r="JBW103" s="769"/>
      <c r="JBX103" s="769"/>
      <c r="JBY103" s="769"/>
      <c r="JBZ103" s="769"/>
      <c r="JCA103" s="769"/>
      <c r="JCB103" s="769"/>
      <c r="JCC103" s="769"/>
      <c r="JCD103" s="769"/>
      <c r="JCE103" s="769"/>
      <c r="JCF103" s="769"/>
      <c r="JCG103" s="769"/>
      <c r="JCH103" s="769"/>
      <c r="JCI103" s="769"/>
      <c r="JCJ103" s="769"/>
      <c r="JCK103" s="769"/>
      <c r="JCL103" s="769"/>
      <c r="JCM103" s="769"/>
      <c r="JCN103" s="769"/>
      <c r="JCO103" s="769"/>
      <c r="JCP103" s="769"/>
      <c r="JCQ103" s="769"/>
      <c r="JCR103" s="769"/>
      <c r="JCS103" s="769"/>
      <c r="JCT103" s="769"/>
      <c r="JCU103" s="769"/>
      <c r="JCV103" s="769"/>
      <c r="JCW103" s="769"/>
      <c r="JCX103" s="769"/>
      <c r="JCY103" s="769"/>
      <c r="JCZ103" s="769"/>
      <c r="JDA103" s="769"/>
      <c r="JDB103" s="769"/>
      <c r="JDC103" s="769"/>
      <c r="JDD103" s="769"/>
      <c r="JDE103" s="769"/>
      <c r="JDF103" s="769"/>
      <c r="JDG103" s="769"/>
      <c r="JDH103" s="769"/>
      <c r="JDI103" s="769"/>
      <c r="JDJ103" s="769"/>
      <c r="JDK103" s="769"/>
      <c r="JDL103" s="769"/>
      <c r="JDM103" s="769"/>
      <c r="JDN103" s="769"/>
      <c r="JDO103" s="769"/>
      <c r="JDP103" s="769"/>
      <c r="JDQ103" s="769"/>
      <c r="JDR103" s="769"/>
      <c r="JDS103" s="769"/>
      <c r="JDT103" s="769"/>
      <c r="JDU103" s="769"/>
      <c r="JDV103" s="769"/>
      <c r="JDW103" s="769"/>
      <c r="JDX103" s="769"/>
      <c r="JDY103" s="769"/>
      <c r="JDZ103" s="769"/>
      <c r="JEA103" s="769"/>
      <c r="JEB103" s="769"/>
      <c r="JEC103" s="769"/>
      <c r="JED103" s="769"/>
      <c r="JEE103" s="769"/>
      <c r="JEF103" s="769"/>
      <c r="JEG103" s="769"/>
      <c r="JEH103" s="769"/>
      <c r="JEI103" s="769"/>
      <c r="JEJ103" s="769"/>
      <c r="JEK103" s="769"/>
      <c r="JEL103" s="769"/>
      <c r="JEM103" s="769"/>
      <c r="JEN103" s="769"/>
      <c r="JEO103" s="769"/>
      <c r="JEP103" s="769"/>
      <c r="JEQ103" s="769"/>
      <c r="JER103" s="769"/>
      <c r="JES103" s="769"/>
      <c r="JET103" s="769"/>
      <c r="JEU103" s="769"/>
      <c r="JEV103" s="769"/>
      <c r="JEW103" s="769"/>
      <c r="JEX103" s="769"/>
      <c r="JEY103" s="769"/>
      <c r="JEZ103" s="769"/>
      <c r="JFA103" s="769"/>
      <c r="JFB103" s="769"/>
      <c r="JFC103" s="769"/>
      <c r="JFD103" s="769"/>
      <c r="JFE103" s="769"/>
      <c r="JFF103" s="769"/>
      <c r="JFG103" s="769"/>
      <c r="JFH103" s="769"/>
      <c r="JFI103" s="769"/>
      <c r="JFJ103" s="769"/>
      <c r="JFK103" s="769"/>
      <c r="JFL103" s="769"/>
      <c r="JFM103" s="769"/>
      <c r="JFN103" s="769"/>
      <c r="JFO103" s="769"/>
      <c r="JFP103" s="769"/>
      <c r="JFQ103" s="769"/>
      <c r="JFR103" s="769"/>
      <c r="JFS103" s="769"/>
      <c r="JFT103" s="769"/>
      <c r="JFU103" s="769"/>
      <c r="JFV103" s="769"/>
      <c r="JFW103" s="769"/>
      <c r="JFX103" s="769"/>
      <c r="JFY103" s="769"/>
      <c r="JFZ103" s="769"/>
      <c r="JGA103" s="769"/>
      <c r="JGB103" s="769"/>
      <c r="JGC103" s="769"/>
      <c r="JGD103" s="769"/>
      <c r="JGE103" s="769"/>
      <c r="JGF103" s="769"/>
      <c r="JGG103" s="769"/>
      <c r="JGH103" s="769"/>
      <c r="JGI103" s="769"/>
      <c r="JGJ103" s="769"/>
      <c r="JGK103" s="769"/>
      <c r="JGL103" s="769"/>
      <c r="JGM103" s="769"/>
      <c r="JGN103" s="769"/>
      <c r="JGO103" s="769"/>
      <c r="JGP103" s="769"/>
      <c r="JGQ103" s="769"/>
      <c r="JGR103" s="769"/>
      <c r="JGS103" s="769"/>
      <c r="JGT103" s="769"/>
      <c r="JGU103" s="769"/>
      <c r="JGV103" s="769"/>
      <c r="JGW103" s="769"/>
      <c r="JGX103" s="769"/>
      <c r="JGY103" s="769"/>
      <c r="JGZ103" s="769"/>
      <c r="JHA103" s="769"/>
      <c r="JHB103" s="769"/>
      <c r="JHC103" s="769"/>
      <c r="JHD103" s="769"/>
      <c r="JHE103" s="769"/>
      <c r="JHF103" s="769"/>
      <c r="JHG103" s="769"/>
      <c r="JHH103" s="769"/>
      <c r="JHI103" s="769"/>
      <c r="JHJ103" s="769"/>
      <c r="JHK103" s="769"/>
      <c r="JHL103" s="769"/>
      <c r="JHM103" s="769"/>
      <c r="JHN103" s="769"/>
      <c r="JHO103" s="769"/>
      <c r="JHP103" s="769"/>
      <c r="JHQ103" s="769"/>
      <c r="JHR103" s="769"/>
      <c r="JHS103" s="769"/>
      <c r="JHT103" s="769"/>
      <c r="JHU103" s="769"/>
      <c r="JHV103" s="769"/>
      <c r="JHW103" s="769"/>
      <c r="JHX103" s="769"/>
      <c r="JHY103" s="769"/>
      <c r="JHZ103" s="769"/>
      <c r="JIA103" s="769"/>
      <c r="JIB103" s="769"/>
      <c r="JIC103" s="769"/>
      <c r="JID103" s="769"/>
      <c r="JIE103" s="769"/>
      <c r="JIF103" s="769"/>
      <c r="JIG103" s="769"/>
      <c r="JIH103" s="769"/>
      <c r="JII103" s="769"/>
      <c r="JIJ103" s="769"/>
      <c r="JIK103" s="769"/>
      <c r="JIL103" s="769"/>
      <c r="JIM103" s="769"/>
      <c r="JIN103" s="769"/>
      <c r="JIO103" s="769"/>
      <c r="JIP103" s="769"/>
      <c r="JIQ103" s="769"/>
      <c r="JIR103" s="769"/>
      <c r="JIS103" s="769"/>
      <c r="JIT103" s="769"/>
      <c r="JIU103" s="769"/>
      <c r="JIV103" s="769"/>
      <c r="JIW103" s="769"/>
      <c r="JIX103" s="769"/>
      <c r="JIY103" s="769"/>
      <c r="JIZ103" s="769"/>
      <c r="JJA103" s="769"/>
      <c r="JJB103" s="769"/>
      <c r="JJC103" s="769"/>
      <c r="JJD103" s="769"/>
      <c r="JJE103" s="769"/>
      <c r="JJF103" s="769"/>
      <c r="JJG103" s="769"/>
      <c r="JJH103" s="769"/>
      <c r="JJI103" s="769"/>
      <c r="JJJ103" s="769"/>
      <c r="JJK103" s="769"/>
      <c r="JJL103" s="769"/>
      <c r="JJM103" s="769"/>
      <c r="JJN103" s="769"/>
      <c r="JJO103" s="769"/>
      <c r="JJP103" s="769"/>
      <c r="JJQ103" s="769"/>
      <c r="JJR103" s="769"/>
      <c r="JJS103" s="769"/>
      <c r="JJT103" s="769"/>
      <c r="JJU103" s="769"/>
      <c r="JJV103" s="769"/>
      <c r="JJW103" s="769"/>
      <c r="JJX103" s="769"/>
      <c r="JJY103" s="769"/>
      <c r="JJZ103" s="769"/>
      <c r="JKA103" s="769"/>
      <c r="JKB103" s="769"/>
      <c r="JKC103" s="769"/>
      <c r="JKD103" s="769"/>
      <c r="JKE103" s="769"/>
      <c r="JKF103" s="769"/>
      <c r="JKG103" s="769"/>
      <c r="JKH103" s="769"/>
      <c r="JKI103" s="769"/>
      <c r="JKJ103" s="769"/>
      <c r="JKK103" s="769"/>
      <c r="JKL103" s="769"/>
      <c r="JKM103" s="769"/>
      <c r="JKN103" s="769"/>
      <c r="JKO103" s="769"/>
      <c r="JKP103" s="769"/>
      <c r="JKQ103" s="769"/>
      <c r="JKR103" s="769"/>
      <c r="JKS103" s="769"/>
      <c r="JKT103" s="769"/>
      <c r="JKU103" s="769"/>
      <c r="JKV103" s="769"/>
      <c r="JKW103" s="769"/>
      <c r="JKX103" s="769"/>
      <c r="JKY103" s="769"/>
      <c r="JKZ103" s="769"/>
      <c r="JLA103" s="769"/>
      <c r="JLB103" s="769"/>
      <c r="JLC103" s="769"/>
      <c r="JLD103" s="769"/>
      <c r="JLE103" s="769"/>
      <c r="JLF103" s="769"/>
      <c r="JLG103" s="769"/>
      <c r="JLH103" s="769"/>
      <c r="JLI103" s="769"/>
      <c r="JLJ103" s="769"/>
      <c r="JLK103" s="769"/>
      <c r="JLL103" s="769"/>
      <c r="JLM103" s="769"/>
      <c r="JLN103" s="769"/>
      <c r="JLO103" s="769"/>
      <c r="JLP103" s="769"/>
      <c r="JLQ103" s="769"/>
      <c r="JLR103" s="769"/>
      <c r="JLS103" s="769"/>
      <c r="JLT103" s="769"/>
      <c r="JLU103" s="769"/>
      <c r="JLV103" s="769"/>
      <c r="JLW103" s="769"/>
      <c r="JLX103" s="769"/>
      <c r="JLY103" s="769"/>
      <c r="JLZ103" s="769"/>
      <c r="JMA103" s="769"/>
      <c r="JMB103" s="769"/>
      <c r="JMC103" s="769"/>
      <c r="JMD103" s="769"/>
      <c r="JME103" s="769"/>
      <c r="JMF103" s="769"/>
      <c r="JMG103" s="769"/>
      <c r="JMH103" s="769"/>
      <c r="JMI103" s="769"/>
      <c r="JMJ103" s="769"/>
      <c r="JMK103" s="769"/>
      <c r="JML103" s="769"/>
      <c r="JMM103" s="769"/>
      <c r="JMN103" s="769"/>
      <c r="JMO103" s="769"/>
      <c r="JMP103" s="769"/>
      <c r="JMQ103" s="769"/>
      <c r="JMR103" s="769"/>
      <c r="JMS103" s="769"/>
      <c r="JMT103" s="769"/>
      <c r="JMU103" s="769"/>
      <c r="JMV103" s="769"/>
      <c r="JMW103" s="769"/>
      <c r="JMX103" s="769"/>
      <c r="JMY103" s="769"/>
      <c r="JMZ103" s="769"/>
      <c r="JNA103" s="769"/>
      <c r="JNB103" s="769"/>
      <c r="JNC103" s="769"/>
      <c r="JND103" s="769"/>
      <c r="JNE103" s="769"/>
      <c r="JNF103" s="769"/>
      <c r="JNG103" s="769"/>
      <c r="JNH103" s="769"/>
      <c r="JNI103" s="769"/>
      <c r="JNJ103" s="769"/>
      <c r="JNK103" s="769"/>
      <c r="JNL103" s="769"/>
      <c r="JNM103" s="769"/>
      <c r="JNN103" s="769"/>
      <c r="JNO103" s="769"/>
      <c r="JNP103" s="769"/>
      <c r="JNQ103" s="769"/>
      <c r="JNR103" s="769"/>
      <c r="JNS103" s="769"/>
      <c r="JNT103" s="769"/>
      <c r="JNU103" s="769"/>
      <c r="JNV103" s="769"/>
      <c r="JNW103" s="769"/>
      <c r="JNX103" s="769"/>
      <c r="JNY103" s="769"/>
      <c r="JNZ103" s="769"/>
      <c r="JOA103" s="769"/>
      <c r="JOB103" s="769"/>
      <c r="JOC103" s="769"/>
      <c r="JOD103" s="769"/>
      <c r="JOE103" s="769"/>
      <c r="JOF103" s="769"/>
      <c r="JOG103" s="769"/>
      <c r="JOH103" s="769"/>
      <c r="JOI103" s="769"/>
      <c r="JOJ103" s="769"/>
      <c r="JOK103" s="769"/>
      <c r="JOL103" s="769"/>
      <c r="JOM103" s="769"/>
      <c r="JON103" s="769"/>
      <c r="JOO103" s="769"/>
      <c r="JOP103" s="769"/>
      <c r="JOQ103" s="769"/>
      <c r="JOR103" s="769"/>
      <c r="JOS103" s="769"/>
      <c r="JOT103" s="769"/>
      <c r="JOU103" s="769"/>
      <c r="JOV103" s="769"/>
      <c r="JOW103" s="769"/>
      <c r="JOX103" s="769"/>
      <c r="JOY103" s="769"/>
      <c r="JOZ103" s="769"/>
      <c r="JPA103" s="769"/>
      <c r="JPB103" s="769"/>
      <c r="JPC103" s="769"/>
      <c r="JPD103" s="769"/>
      <c r="JPE103" s="769"/>
      <c r="JPF103" s="769"/>
      <c r="JPG103" s="769"/>
      <c r="JPH103" s="769"/>
      <c r="JPI103" s="769"/>
      <c r="JPJ103" s="769"/>
      <c r="JPK103" s="769"/>
      <c r="JPL103" s="769"/>
      <c r="JPM103" s="769"/>
      <c r="JPN103" s="769"/>
      <c r="JPO103" s="769"/>
      <c r="JPP103" s="769"/>
      <c r="JPQ103" s="769"/>
      <c r="JPR103" s="769"/>
      <c r="JPS103" s="769"/>
      <c r="JPT103" s="769"/>
      <c r="JPU103" s="769"/>
      <c r="JPV103" s="769"/>
      <c r="JPW103" s="769"/>
      <c r="JPX103" s="769"/>
      <c r="JPY103" s="769"/>
      <c r="JPZ103" s="769"/>
      <c r="JQA103" s="769"/>
      <c r="JQB103" s="769"/>
      <c r="JQC103" s="769"/>
      <c r="JQD103" s="769"/>
      <c r="JQE103" s="769"/>
      <c r="JQF103" s="769"/>
      <c r="JQG103" s="769"/>
      <c r="JQH103" s="769"/>
      <c r="JQI103" s="769"/>
      <c r="JQJ103" s="769"/>
      <c r="JQK103" s="769"/>
      <c r="JQL103" s="769"/>
      <c r="JQM103" s="769"/>
      <c r="JQN103" s="769"/>
      <c r="JQO103" s="769"/>
      <c r="JQP103" s="769"/>
      <c r="JQQ103" s="769"/>
      <c r="JQR103" s="769"/>
      <c r="JQS103" s="769"/>
      <c r="JQT103" s="769"/>
      <c r="JQU103" s="769"/>
      <c r="JQV103" s="769"/>
      <c r="JQW103" s="769"/>
      <c r="JQX103" s="769"/>
      <c r="JQY103" s="769"/>
      <c r="JQZ103" s="769"/>
      <c r="JRA103" s="769"/>
      <c r="JRB103" s="769"/>
      <c r="JRC103" s="769"/>
      <c r="JRD103" s="769"/>
      <c r="JRE103" s="769"/>
      <c r="JRF103" s="769"/>
      <c r="JRG103" s="769"/>
      <c r="JRH103" s="769"/>
      <c r="JRI103" s="769"/>
      <c r="JRJ103" s="769"/>
      <c r="JRK103" s="769"/>
      <c r="JRL103" s="769"/>
      <c r="JRM103" s="769"/>
      <c r="JRN103" s="769"/>
      <c r="JRO103" s="769"/>
      <c r="JRP103" s="769"/>
      <c r="JRQ103" s="769"/>
      <c r="JRR103" s="769"/>
      <c r="JRS103" s="769"/>
      <c r="JRT103" s="769"/>
      <c r="JRU103" s="769"/>
      <c r="JRV103" s="769"/>
      <c r="JRW103" s="769"/>
      <c r="JRX103" s="769"/>
      <c r="JRY103" s="769"/>
      <c r="JRZ103" s="769"/>
      <c r="JSA103" s="769"/>
      <c r="JSB103" s="769"/>
      <c r="JSC103" s="769"/>
      <c r="JSD103" s="769"/>
      <c r="JSE103" s="769"/>
      <c r="JSF103" s="769"/>
      <c r="JSG103" s="769"/>
      <c r="JSH103" s="769"/>
      <c r="JSI103" s="769"/>
      <c r="JSJ103" s="769"/>
      <c r="JSK103" s="769"/>
      <c r="JSL103" s="769"/>
      <c r="JSM103" s="769"/>
      <c r="JSN103" s="769"/>
      <c r="JSO103" s="769"/>
      <c r="JSP103" s="769"/>
      <c r="JSQ103" s="769"/>
      <c r="JSR103" s="769"/>
      <c r="JSS103" s="769"/>
      <c r="JST103" s="769"/>
      <c r="JSU103" s="769"/>
      <c r="JSV103" s="769"/>
      <c r="JSW103" s="769"/>
      <c r="JSX103" s="769"/>
      <c r="JSY103" s="769"/>
      <c r="JSZ103" s="769"/>
      <c r="JTA103" s="769"/>
      <c r="JTB103" s="769"/>
      <c r="JTC103" s="769"/>
      <c r="JTD103" s="769"/>
      <c r="JTE103" s="769"/>
      <c r="JTF103" s="769"/>
      <c r="JTG103" s="769"/>
      <c r="JTH103" s="769"/>
      <c r="JTI103" s="769"/>
      <c r="JTJ103" s="769"/>
      <c r="JTK103" s="769"/>
      <c r="JTL103" s="769"/>
      <c r="JTM103" s="769"/>
      <c r="JTN103" s="769"/>
      <c r="JTO103" s="769"/>
      <c r="JTP103" s="769"/>
      <c r="JTQ103" s="769"/>
      <c r="JTR103" s="769"/>
      <c r="JTS103" s="769"/>
      <c r="JTT103" s="769"/>
      <c r="JTU103" s="769"/>
      <c r="JTV103" s="769"/>
      <c r="JTW103" s="769"/>
      <c r="JTX103" s="769"/>
      <c r="JTY103" s="769"/>
      <c r="JTZ103" s="769"/>
      <c r="JUA103" s="769"/>
      <c r="JUB103" s="769"/>
      <c r="JUC103" s="769"/>
      <c r="JUD103" s="769"/>
      <c r="JUE103" s="769"/>
      <c r="JUF103" s="769"/>
      <c r="JUG103" s="769"/>
      <c r="JUH103" s="769"/>
      <c r="JUI103" s="769"/>
      <c r="JUJ103" s="769"/>
      <c r="JUK103" s="769"/>
      <c r="JUL103" s="769"/>
      <c r="JUM103" s="769"/>
      <c r="JUN103" s="769"/>
      <c r="JUO103" s="769"/>
      <c r="JUP103" s="769"/>
      <c r="JUQ103" s="769"/>
      <c r="JUR103" s="769"/>
      <c r="JUS103" s="769"/>
      <c r="JUT103" s="769"/>
      <c r="JUU103" s="769"/>
      <c r="JUV103" s="769"/>
      <c r="JUW103" s="769"/>
      <c r="JUX103" s="769"/>
      <c r="JUY103" s="769"/>
      <c r="JUZ103" s="769"/>
      <c r="JVA103" s="769"/>
      <c r="JVB103" s="769"/>
      <c r="JVC103" s="769"/>
      <c r="JVD103" s="769"/>
      <c r="JVE103" s="769"/>
      <c r="JVF103" s="769"/>
      <c r="JVG103" s="769"/>
      <c r="JVH103" s="769"/>
      <c r="JVI103" s="769"/>
      <c r="JVJ103" s="769"/>
      <c r="JVK103" s="769"/>
      <c r="JVL103" s="769"/>
      <c r="JVM103" s="769"/>
      <c r="JVN103" s="769"/>
      <c r="JVO103" s="769"/>
      <c r="JVP103" s="769"/>
      <c r="JVQ103" s="769"/>
      <c r="JVR103" s="769"/>
      <c r="JVS103" s="769"/>
      <c r="JVT103" s="769"/>
      <c r="JVU103" s="769"/>
      <c r="JVV103" s="769"/>
      <c r="JVW103" s="769"/>
      <c r="JVX103" s="769"/>
      <c r="JVY103" s="769"/>
      <c r="JVZ103" s="769"/>
      <c r="JWA103" s="769"/>
      <c r="JWB103" s="769"/>
      <c r="JWC103" s="769"/>
      <c r="JWD103" s="769"/>
      <c r="JWE103" s="769"/>
      <c r="JWF103" s="769"/>
      <c r="JWG103" s="769"/>
      <c r="JWH103" s="769"/>
      <c r="JWI103" s="769"/>
      <c r="JWJ103" s="769"/>
      <c r="JWK103" s="769"/>
      <c r="JWL103" s="769"/>
      <c r="JWM103" s="769"/>
      <c r="JWN103" s="769"/>
      <c r="JWO103" s="769"/>
      <c r="JWP103" s="769"/>
      <c r="JWQ103" s="769"/>
      <c r="JWR103" s="769"/>
      <c r="JWS103" s="769"/>
      <c r="JWT103" s="769"/>
      <c r="JWU103" s="769"/>
      <c r="JWV103" s="769"/>
      <c r="JWW103" s="769"/>
      <c r="JWX103" s="769"/>
      <c r="JWY103" s="769"/>
      <c r="JWZ103" s="769"/>
      <c r="JXA103" s="769"/>
      <c r="JXB103" s="769"/>
      <c r="JXC103" s="769"/>
      <c r="JXD103" s="769"/>
      <c r="JXE103" s="769"/>
      <c r="JXF103" s="769"/>
      <c r="JXG103" s="769"/>
      <c r="JXH103" s="769"/>
      <c r="JXI103" s="769"/>
      <c r="JXJ103" s="769"/>
      <c r="JXK103" s="769"/>
      <c r="JXL103" s="769"/>
      <c r="JXM103" s="769"/>
      <c r="JXN103" s="769"/>
      <c r="JXO103" s="769"/>
      <c r="JXP103" s="769"/>
      <c r="JXQ103" s="769"/>
      <c r="JXR103" s="769"/>
      <c r="JXS103" s="769"/>
      <c r="JXT103" s="769"/>
      <c r="JXU103" s="769"/>
      <c r="JXV103" s="769"/>
      <c r="JXW103" s="769"/>
      <c r="JXX103" s="769"/>
      <c r="JXY103" s="769"/>
      <c r="JXZ103" s="769"/>
      <c r="JYA103" s="769"/>
      <c r="JYB103" s="769"/>
      <c r="JYC103" s="769"/>
      <c r="JYD103" s="769"/>
      <c r="JYE103" s="769"/>
      <c r="JYF103" s="769"/>
      <c r="JYG103" s="769"/>
      <c r="JYH103" s="769"/>
      <c r="JYI103" s="769"/>
      <c r="JYJ103" s="769"/>
      <c r="JYK103" s="769"/>
      <c r="JYL103" s="769"/>
      <c r="JYM103" s="769"/>
      <c r="JYN103" s="769"/>
      <c r="JYO103" s="769"/>
      <c r="JYP103" s="769"/>
      <c r="JYQ103" s="769"/>
      <c r="JYR103" s="769"/>
      <c r="JYS103" s="769"/>
      <c r="JYT103" s="769"/>
      <c r="JYU103" s="769"/>
      <c r="JYV103" s="769"/>
      <c r="JYW103" s="769"/>
      <c r="JYX103" s="769"/>
      <c r="JYY103" s="769"/>
      <c r="JYZ103" s="769"/>
      <c r="JZA103" s="769"/>
      <c r="JZB103" s="769"/>
      <c r="JZC103" s="769"/>
      <c r="JZD103" s="769"/>
      <c r="JZE103" s="769"/>
      <c r="JZF103" s="769"/>
      <c r="JZG103" s="769"/>
      <c r="JZH103" s="769"/>
      <c r="JZI103" s="769"/>
      <c r="JZJ103" s="769"/>
      <c r="JZK103" s="769"/>
      <c r="JZL103" s="769"/>
      <c r="JZM103" s="769"/>
      <c r="JZN103" s="769"/>
      <c r="JZO103" s="769"/>
      <c r="JZP103" s="769"/>
      <c r="JZQ103" s="769"/>
      <c r="JZR103" s="769"/>
      <c r="JZS103" s="769"/>
      <c r="JZT103" s="769"/>
      <c r="JZU103" s="769"/>
      <c r="JZV103" s="769"/>
      <c r="JZW103" s="769"/>
      <c r="JZX103" s="769"/>
      <c r="JZY103" s="769"/>
      <c r="JZZ103" s="769"/>
      <c r="KAA103" s="769"/>
      <c r="KAB103" s="769"/>
      <c r="KAC103" s="769"/>
      <c r="KAD103" s="769"/>
      <c r="KAE103" s="769"/>
      <c r="KAF103" s="769"/>
      <c r="KAG103" s="769"/>
      <c r="KAH103" s="769"/>
      <c r="KAI103" s="769"/>
      <c r="KAJ103" s="769"/>
      <c r="KAK103" s="769"/>
      <c r="KAL103" s="769"/>
      <c r="KAM103" s="769"/>
      <c r="KAN103" s="769"/>
      <c r="KAO103" s="769"/>
      <c r="KAP103" s="769"/>
      <c r="KAQ103" s="769"/>
      <c r="KAR103" s="769"/>
      <c r="KAS103" s="769"/>
      <c r="KAT103" s="769"/>
      <c r="KAU103" s="769"/>
      <c r="KAV103" s="769"/>
      <c r="KAW103" s="769"/>
      <c r="KAX103" s="769"/>
      <c r="KAY103" s="769"/>
      <c r="KAZ103" s="769"/>
      <c r="KBA103" s="769"/>
      <c r="KBB103" s="769"/>
      <c r="KBC103" s="769"/>
      <c r="KBD103" s="769"/>
      <c r="KBE103" s="769"/>
      <c r="KBF103" s="769"/>
      <c r="KBG103" s="769"/>
      <c r="KBH103" s="769"/>
      <c r="KBI103" s="769"/>
      <c r="KBJ103" s="769"/>
      <c r="KBK103" s="769"/>
      <c r="KBL103" s="769"/>
      <c r="KBM103" s="769"/>
      <c r="KBN103" s="769"/>
      <c r="KBO103" s="769"/>
      <c r="KBP103" s="769"/>
      <c r="KBQ103" s="769"/>
      <c r="KBR103" s="769"/>
      <c r="KBS103" s="769"/>
      <c r="KBT103" s="769"/>
      <c r="KBU103" s="769"/>
      <c r="KBV103" s="769"/>
      <c r="KBW103" s="769"/>
      <c r="KBX103" s="769"/>
      <c r="KBY103" s="769"/>
      <c r="KBZ103" s="769"/>
      <c r="KCA103" s="769"/>
      <c r="KCB103" s="769"/>
      <c r="KCC103" s="769"/>
      <c r="KCD103" s="769"/>
      <c r="KCE103" s="769"/>
      <c r="KCF103" s="769"/>
      <c r="KCG103" s="769"/>
      <c r="KCH103" s="769"/>
      <c r="KCI103" s="769"/>
      <c r="KCJ103" s="769"/>
      <c r="KCK103" s="769"/>
      <c r="KCL103" s="769"/>
      <c r="KCM103" s="769"/>
      <c r="KCN103" s="769"/>
      <c r="KCO103" s="769"/>
      <c r="KCP103" s="769"/>
      <c r="KCQ103" s="769"/>
      <c r="KCR103" s="769"/>
      <c r="KCS103" s="769"/>
      <c r="KCT103" s="769"/>
      <c r="KCU103" s="769"/>
      <c r="KCV103" s="769"/>
      <c r="KCW103" s="769"/>
      <c r="KCX103" s="769"/>
      <c r="KCY103" s="769"/>
      <c r="KCZ103" s="769"/>
      <c r="KDA103" s="769"/>
      <c r="KDB103" s="769"/>
      <c r="KDC103" s="769"/>
      <c r="KDD103" s="769"/>
      <c r="KDE103" s="769"/>
      <c r="KDF103" s="769"/>
      <c r="KDG103" s="769"/>
      <c r="KDH103" s="769"/>
      <c r="KDI103" s="769"/>
      <c r="KDJ103" s="769"/>
      <c r="KDK103" s="769"/>
      <c r="KDL103" s="769"/>
      <c r="KDM103" s="769"/>
      <c r="KDN103" s="769"/>
      <c r="KDO103" s="769"/>
      <c r="KDP103" s="769"/>
      <c r="KDQ103" s="769"/>
      <c r="KDR103" s="769"/>
      <c r="KDS103" s="769"/>
      <c r="KDT103" s="769"/>
      <c r="KDU103" s="769"/>
      <c r="KDV103" s="769"/>
      <c r="KDW103" s="769"/>
      <c r="KDX103" s="769"/>
      <c r="KDY103" s="769"/>
      <c r="KDZ103" s="769"/>
      <c r="KEA103" s="769"/>
      <c r="KEB103" s="769"/>
      <c r="KEC103" s="769"/>
      <c r="KED103" s="769"/>
      <c r="KEE103" s="769"/>
      <c r="KEF103" s="769"/>
      <c r="KEG103" s="769"/>
      <c r="KEH103" s="769"/>
      <c r="KEI103" s="769"/>
      <c r="KEJ103" s="769"/>
      <c r="KEK103" s="769"/>
      <c r="KEL103" s="769"/>
      <c r="KEM103" s="769"/>
      <c r="KEN103" s="769"/>
      <c r="KEO103" s="769"/>
      <c r="KEP103" s="769"/>
      <c r="KEQ103" s="769"/>
      <c r="KER103" s="769"/>
      <c r="KES103" s="769"/>
      <c r="KET103" s="769"/>
      <c r="KEU103" s="769"/>
      <c r="KEV103" s="769"/>
      <c r="KEW103" s="769"/>
      <c r="KEX103" s="769"/>
      <c r="KEY103" s="769"/>
      <c r="KEZ103" s="769"/>
      <c r="KFA103" s="769"/>
      <c r="KFB103" s="769"/>
      <c r="KFC103" s="769"/>
      <c r="KFD103" s="769"/>
      <c r="KFE103" s="769"/>
      <c r="KFF103" s="769"/>
      <c r="KFG103" s="769"/>
      <c r="KFH103" s="769"/>
      <c r="KFI103" s="769"/>
      <c r="KFJ103" s="769"/>
      <c r="KFK103" s="769"/>
      <c r="KFL103" s="769"/>
      <c r="KFM103" s="769"/>
      <c r="KFN103" s="769"/>
      <c r="KFO103" s="769"/>
      <c r="KFP103" s="769"/>
      <c r="KFQ103" s="769"/>
      <c r="KFR103" s="769"/>
      <c r="KFS103" s="769"/>
      <c r="KFT103" s="769"/>
      <c r="KFU103" s="769"/>
      <c r="KFV103" s="769"/>
      <c r="KFW103" s="769"/>
      <c r="KFX103" s="769"/>
      <c r="KFY103" s="769"/>
      <c r="KFZ103" s="769"/>
      <c r="KGA103" s="769"/>
      <c r="KGB103" s="769"/>
      <c r="KGC103" s="769"/>
      <c r="KGD103" s="769"/>
      <c r="KGE103" s="769"/>
      <c r="KGF103" s="769"/>
      <c r="KGG103" s="769"/>
      <c r="KGH103" s="769"/>
      <c r="KGI103" s="769"/>
      <c r="KGJ103" s="769"/>
      <c r="KGK103" s="769"/>
      <c r="KGL103" s="769"/>
      <c r="KGM103" s="769"/>
      <c r="KGN103" s="769"/>
      <c r="KGO103" s="769"/>
      <c r="KGP103" s="769"/>
      <c r="KGQ103" s="769"/>
      <c r="KGR103" s="769"/>
      <c r="KGS103" s="769"/>
      <c r="KGT103" s="769"/>
      <c r="KGU103" s="769"/>
      <c r="KGV103" s="769"/>
      <c r="KGW103" s="769"/>
      <c r="KGX103" s="769"/>
      <c r="KGY103" s="769"/>
      <c r="KGZ103" s="769"/>
      <c r="KHA103" s="769"/>
      <c r="KHB103" s="769"/>
      <c r="KHC103" s="769"/>
      <c r="KHD103" s="769"/>
      <c r="KHE103" s="769"/>
      <c r="KHF103" s="769"/>
      <c r="KHG103" s="769"/>
      <c r="KHH103" s="769"/>
      <c r="KHI103" s="769"/>
      <c r="KHJ103" s="769"/>
      <c r="KHK103" s="769"/>
      <c r="KHL103" s="769"/>
      <c r="KHM103" s="769"/>
      <c r="KHN103" s="769"/>
      <c r="KHO103" s="769"/>
      <c r="KHP103" s="769"/>
      <c r="KHQ103" s="769"/>
      <c r="KHR103" s="769"/>
      <c r="KHS103" s="769"/>
      <c r="KHT103" s="769"/>
      <c r="KHU103" s="769"/>
      <c r="KHV103" s="769"/>
      <c r="KHW103" s="769"/>
      <c r="KHX103" s="769"/>
      <c r="KHY103" s="769"/>
      <c r="KHZ103" s="769"/>
      <c r="KIA103" s="769"/>
      <c r="KIB103" s="769"/>
      <c r="KIC103" s="769"/>
      <c r="KID103" s="769"/>
      <c r="KIE103" s="769"/>
      <c r="KIF103" s="769"/>
      <c r="KIG103" s="769"/>
      <c r="KIH103" s="769"/>
      <c r="KII103" s="769"/>
      <c r="KIJ103" s="769"/>
      <c r="KIK103" s="769"/>
      <c r="KIL103" s="769"/>
      <c r="KIM103" s="769"/>
      <c r="KIN103" s="769"/>
      <c r="KIO103" s="769"/>
      <c r="KIP103" s="769"/>
      <c r="KIQ103" s="769"/>
      <c r="KIR103" s="769"/>
      <c r="KIS103" s="769"/>
      <c r="KIT103" s="769"/>
      <c r="KIU103" s="769"/>
      <c r="KIV103" s="769"/>
      <c r="KIW103" s="769"/>
      <c r="KIX103" s="769"/>
      <c r="KIY103" s="769"/>
      <c r="KIZ103" s="769"/>
      <c r="KJA103" s="769"/>
      <c r="KJB103" s="769"/>
      <c r="KJC103" s="769"/>
      <c r="KJD103" s="769"/>
      <c r="KJE103" s="769"/>
      <c r="KJF103" s="769"/>
      <c r="KJG103" s="769"/>
      <c r="KJH103" s="769"/>
      <c r="KJI103" s="769"/>
      <c r="KJJ103" s="769"/>
      <c r="KJK103" s="769"/>
      <c r="KJL103" s="769"/>
      <c r="KJM103" s="769"/>
      <c r="KJN103" s="769"/>
      <c r="KJO103" s="769"/>
      <c r="KJP103" s="769"/>
      <c r="KJQ103" s="769"/>
      <c r="KJR103" s="769"/>
      <c r="KJS103" s="769"/>
      <c r="KJT103" s="769"/>
      <c r="KJU103" s="769"/>
      <c r="KJV103" s="769"/>
      <c r="KJW103" s="769"/>
      <c r="KJX103" s="769"/>
      <c r="KJY103" s="769"/>
      <c r="KJZ103" s="769"/>
      <c r="KKA103" s="769"/>
      <c r="KKB103" s="769"/>
      <c r="KKC103" s="769"/>
      <c r="KKD103" s="769"/>
      <c r="KKE103" s="769"/>
      <c r="KKF103" s="769"/>
      <c r="KKG103" s="769"/>
      <c r="KKH103" s="769"/>
      <c r="KKI103" s="769"/>
      <c r="KKJ103" s="769"/>
      <c r="KKK103" s="769"/>
      <c r="KKL103" s="769"/>
      <c r="KKM103" s="769"/>
      <c r="KKN103" s="769"/>
      <c r="KKO103" s="769"/>
      <c r="KKP103" s="769"/>
      <c r="KKQ103" s="769"/>
      <c r="KKR103" s="769"/>
      <c r="KKS103" s="769"/>
      <c r="KKT103" s="769"/>
      <c r="KKU103" s="769"/>
      <c r="KKV103" s="769"/>
      <c r="KKW103" s="769"/>
      <c r="KKX103" s="769"/>
      <c r="KKY103" s="769"/>
      <c r="KKZ103" s="769"/>
      <c r="KLA103" s="769"/>
      <c r="KLB103" s="769"/>
      <c r="KLC103" s="769"/>
      <c r="KLD103" s="769"/>
      <c r="KLE103" s="769"/>
      <c r="KLF103" s="769"/>
      <c r="KLG103" s="769"/>
      <c r="KLH103" s="769"/>
      <c r="KLI103" s="769"/>
      <c r="KLJ103" s="769"/>
      <c r="KLK103" s="769"/>
      <c r="KLL103" s="769"/>
      <c r="KLM103" s="769"/>
      <c r="KLN103" s="769"/>
      <c r="KLO103" s="769"/>
      <c r="KLP103" s="769"/>
      <c r="KLQ103" s="769"/>
      <c r="KLR103" s="769"/>
      <c r="KLS103" s="769"/>
      <c r="KLT103" s="769"/>
      <c r="KLU103" s="769"/>
      <c r="KLV103" s="769"/>
      <c r="KLW103" s="769"/>
      <c r="KLX103" s="769"/>
      <c r="KLY103" s="769"/>
      <c r="KLZ103" s="769"/>
      <c r="KMA103" s="769"/>
      <c r="KMB103" s="769"/>
      <c r="KMC103" s="769"/>
      <c r="KMD103" s="769"/>
      <c r="KME103" s="769"/>
      <c r="KMF103" s="769"/>
      <c r="KMG103" s="769"/>
      <c r="KMH103" s="769"/>
      <c r="KMI103" s="769"/>
      <c r="KMJ103" s="769"/>
      <c r="KMK103" s="769"/>
      <c r="KML103" s="769"/>
      <c r="KMM103" s="769"/>
      <c r="KMN103" s="769"/>
      <c r="KMO103" s="769"/>
      <c r="KMP103" s="769"/>
      <c r="KMQ103" s="769"/>
      <c r="KMR103" s="769"/>
      <c r="KMS103" s="769"/>
      <c r="KMT103" s="769"/>
      <c r="KMU103" s="769"/>
      <c r="KMV103" s="769"/>
      <c r="KMW103" s="769"/>
      <c r="KMX103" s="769"/>
      <c r="KMY103" s="769"/>
      <c r="KMZ103" s="769"/>
      <c r="KNA103" s="769"/>
      <c r="KNB103" s="769"/>
      <c r="KNC103" s="769"/>
      <c r="KND103" s="769"/>
      <c r="KNE103" s="769"/>
      <c r="KNF103" s="769"/>
      <c r="KNG103" s="769"/>
      <c r="KNH103" s="769"/>
      <c r="KNI103" s="769"/>
      <c r="KNJ103" s="769"/>
      <c r="KNK103" s="769"/>
      <c r="KNL103" s="769"/>
      <c r="KNM103" s="769"/>
      <c r="KNN103" s="769"/>
      <c r="KNO103" s="769"/>
      <c r="KNP103" s="769"/>
      <c r="KNQ103" s="769"/>
      <c r="KNR103" s="769"/>
      <c r="KNS103" s="769"/>
      <c r="KNT103" s="769"/>
      <c r="KNU103" s="769"/>
      <c r="KNV103" s="769"/>
      <c r="KNW103" s="769"/>
      <c r="KNX103" s="769"/>
      <c r="KNY103" s="769"/>
      <c r="KNZ103" s="769"/>
      <c r="KOA103" s="769"/>
      <c r="KOB103" s="769"/>
      <c r="KOC103" s="769"/>
      <c r="KOD103" s="769"/>
      <c r="KOE103" s="769"/>
      <c r="KOF103" s="769"/>
      <c r="KOG103" s="769"/>
      <c r="KOH103" s="769"/>
      <c r="KOI103" s="769"/>
      <c r="KOJ103" s="769"/>
      <c r="KOK103" s="769"/>
      <c r="KOL103" s="769"/>
      <c r="KOM103" s="769"/>
      <c r="KON103" s="769"/>
      <c r="KOO103" s="769"/>
      <c r="KOP103" s="769"/>
      <c r="KOQ103" s="769"/>
      <c r="KOR103" s="769"/>
      <c r="KOS103" s="769"/>
      <c r="KOT103" s="769"/>
      <c r="KOU103" s="769"/>
      <c r="KOV103" s="769"/>
      <c r="KOW103" s="769"/>
      <c r="KOX103" s="769"/>
      <c r="KOY103" s="769"/>
      <c r="KOZ103" s="769"/>
      <c r="KPA103" s="769"/>
      <c r="KPB103" s="769"/>
      <c r="KPC103" s="769"/>
      <c r="KPD103" s="769"/>
      <c r="KPE103" s="769"/>
      <c r="KPF103" s="769"/>
      <c r="KPG103" s="769"/>
      <c r="KPH103" s="769"/>
      <c r="KPI103" s="769"/>
      <c r="KPJ103" s="769"/>
      <c r="KPK103" s="769"/>
      <c r="KPL103" s="769"/>
      <c r="KPM103" s="769"/>
      <c r="KPN103" s="769"/>
      <c r="KPO103" s="769"/>
      <c r="KPP103" s="769"/>
      <c r="KPQ103" s="769"/>
      <c r="KPR103" s="769"/>
      <c r="KPS103" s="769"/>
      <c r="KPT103" s="769"/>
      <c r="KPU103" s="769"/>
      <c r="KPV103" s="769"/>
      <c r="KPW103" s="769"/>
      <c r="KPX103" s="769"/>
      <c r="KPY103" s="769"/>
      <c r="KPZ103" s="769"/>
      <c r="KQA103" s="769"/>
      <c r="KQB103" s="769"/>
      <c r="KQC103" s="769"/>
      <c r="KQD103" s="769"/>
      <c r="KQE103" s="769"/>
      <c r="KQF103" s="769"/>
      <c r="KQG103" s="769"/>
      <c r="KQH103" s="769"/>
      <c r="KQI103" s="769"/>
      <c r="KQJ103" s="769"/>
      <c r="KQK103" s="769"/>
      <c r="KQL103" s="769"/>
      <c r="KQM103" s="769"/>
      <c r="KQN103" s="769"/>
      <c r="KQO103" s="769"/>
      <c r="KQP103" s="769"/>
      <c r="KQQ103" s="769"/>
      <c r="KQR103" s="769"/>
      <c r="KQS103" s="769"/>
      <c r="KQT103" s="769"/>
      <c r="KQU103" s="769"/>
      <c r="KQV103" s="769"/>
      <c r="KQW103" s="769"/>
      <c r="KQX103" s="769"/>
      <c r="KQY103" s="769"/>
      <c r="KQZ103" s="769"/>
      <c r="KRA103" s="769"/>
      <c r="KRB103" s="769"/>
      <c r="KRC103" s="769"/>
      <c r="KRD103" s="769"/>
      <c r="KRE103" s="769"/>
      <c r="KRF103" s="769"/>
      <c r="KRG103" s="769"/>
      <c r="KRH103" s="769"/>
      <c r="KRI103" s="769"/>
      <c r="KRJ103" s="769"/>
      <c r="KRK103" s="769"/>
      <c r="KRL103" s="769"/>
      <c r="KRM103" s="769"/>
      <c r="KRN103" s="769"/>
      <c r="KRO103" s="769"/>
      <c r="KRP103" s="769"/>
      <c r="KRQ103" s="769"/>
      <c r="KRR103" s="769"/>
      <c r="KRS103" s="769"/>
      <c r="KRT103" s="769"/>
      <c r="KRU103" s="769"/>
      <c r="KRV103" s="769"/>
      <c r="KRW103" s="769"/>
      <c r="KRX103" s="769"/>
      <c r="KRY103" s="769"/>
      <c r="KRZ103" s="769"/>
      <c r="KSA103" s="769"/>
      <c r="KSB103" s="769"/>
      <c r="KSC103" s="769"/>
      <c r="KSD103" s="769"/>
      <c r="KSE103" s="769"/>
      <c r="KSF103" s="769"/>
      <c r="KSG103" s="769"/>
      <c r="KSH103" s="769"/>
      <c r="KSI103" s="769"/>
      <c r="KSJ103" s="769"/>
      <c r="KSK103" s="769"/>
      <c r="KSL103" s="769"/>
      <c r="KSM103" s="769"/>
      <c r="KSN103" s="769"/>
      <c r="KSO103" s="769"/>
      <c r="KSP103" s="769"/>
      <c r="KSQ103" s="769"/>
      <c r="KSR103" s="769"/>
      <c r="KSS103" s="769"/>
      <c r="KST103" s="769"/>
      <c r="KSU103" s="769"/>
      <c r="KSV103" s="769"/>
      <c r="KSW103" s="769"/>
      <c r="KSX103" s="769"/>
      <c r="KSY103" s="769"/>
      <c r="KSZ103" s="769"/>
      <c r="KTA103" s="769"/>
      <c r="KTB103" s="769"/>
      <c r="KTC103" s="769"/>
      <c r="KTD103" s="769"/>
      <c r="KTE103" s="769"/>
      <c r="KTF103" s="769"/>
      <c r="KTG103" s="769"/>
      <c r="KTH103" s="769"/>
      <c r="KTI103" s="769"/>
      <c r="KTJ103" s="769"/>
      <c r="KTK103" s="769"/>
      <c r="KTL103" s="769"/>
      <c r="KTM103" s="769"/>
      <c r="KTN103" s="769"/>
      <c r="KTO103" s="769"/>
      <c r="KTP103" s="769"/>
      <c r="KTQ103" s="769"/>
      <c r="KTR103" s="769"/>
      <c r="KTS103" s="769"/>
      <c r="KTT103" s="769"/>
      <c r="KTU103" s="769"/>
      <c r="KTV103" s="769"/>
      <c r="KTW103" s="769"/>
      <c r="KTX103" s="769"/>
      <c r="KTY103" s="769"/>
      <c r="KTZ103" s="769"/>
      <c r="KUA103" s="769"/>
      <c r="KUB103" s="769"/>
      <c r="KUC103" s="769"/>
      <c r="KUD103" s="769"/>
      <c r="KUE103" s="769"/>
      <c r="KUF103" s="769"/>
      <c r="KUG103" s="769"/>
      <c r="KUH103" s="769"/>
      <c r="KUI103" s="769"/>
      <c r="KUJ103" s="769"/>
      <c r="KUK103" s="769"/>
      <c r="KUL103" s="769"/>
      <c r="KUM103" s="769"/>
      <c r="KUN103" s="769"/>
      <c r="KUO103" s="769"/>
      <c r="KUP103" s="769"/>
      <c r="KUQ103" s="769"/>
      <c r="KUR103" s="769"/>
      <c r="KUS103" s="769"/>
      <c r="KUT103" s="769"/>
      <c r="KUU103" s="769"/>
      <c r="KUV103" s="769"/>
      <c r="KUW103" s="769"/>
      <c r="KUX103" s="769"/>
      <c r="KUY103" s="769"/>
      <c r="KUZ103" s="769"/>
      <c r="KVA103" s="769"/>
      <c r="KVB103" s="769"/>
      <c r="KVC103" s="769"/>
      <c r="KVD103" s="769"/>
      <c r="KVE103" s="769"/>
      <c r="KVF103" s="769"/>
      <c r="KVG103" s="769"/>
      <c r="KVH103" s="769"/>
      <c r="KVI103" s="769"/>
      <c r="KVJ103" s="769"/>
      <c r="KVK103" s="769"/>
      <c r="KVL103" s="769"/>
      <c r="KVM103" s="769"/>
      <c r="KVN103" s="769"/>
      <c r="KVO103" s="769"/>
      <c r="KVP103" s="769"/>
      <c r="KVQ103" s="769"/>
      <c r="KVR103" s="769"/>
      <c r="KVS103" s="769"/>
      <c r="KVT103" s="769"/>
      <c r="KVU103" s="769"/>
      <c r="KVV103" s="769"/>
      <c r="KVW103" s="769"/>
      <c r="KVX103" s="769"/>
      <c r="KVY103" s="769"/>
      <c r="KVZ103" s="769"/>
      <c r="KWA103" s="769"/>
      <c r="KWB103" s="769"/>
      <c r="KWC103" s="769"/>
      <c r="KWD103" s="769"/>
      <c r="KWE103" s="769"/>
      <c r="KWF103" s="769"/>
      <c r="KWG103" s="769"/>
      <c r="KWH103" s="769"/>
      <c r="KWI103" s="769"/>
      <c r="KWJ103" s="769"/>
      <c r="KWK103" s="769"/>
      <c r="KWL103" s="769"/>
      <c r="KWM103" s="769"/>
      <c r="KWN103" s="769"/>
      <c r="KWO103" s="769"/>
      <c r="KWP103" s="769"/>
      <c r="KWQ103" s="769"/>
      <c r="KWR103" s="769"/>
      <c r="KWS103" s="769"/>
      <c r="KWT103" s="769"/>
      <c r="KWU103" s="769"/>
      <c r="KWV103" s="769"/>
      <c r="KWW103" s="769"/>
      <c r="KWX103" s="769"/>
      <c r="KWY103" s="769"/>
      <c r="KWZ103" s="769"/>
      <c r="KXA103" s="769"/>
      <c r="KXB103" s="769"/>
      <c r="KXC103" s="769"/>
      <c r="KXD103" s="769"/>
      <c r="KXE103" s="769"/>
      <c r="KXF103" s="769"/>
      <c r="KXG103" s="769"/>
      <c r="KXH103" s="769"/>
      <c r="KXI103" s="769"/>
      <c r="KXJ103" s="769"/>
      <c r="KXK103" s="769"/>
      <c r="KXL103" s="769"/>
      <c r="KXM103" s="769"/>
      <c r="KXN103" s="769"/>
      <c r="KXO103" s="769"/>
      <c r="KXP103" s="769"/>
      <c r="KXQ103" s="769"/>
      <c r="KXR103" s="769"/>
      <c r="KXS103" s="769"/>
      <c r="KXT103" s="769"/>
      <c r="KXU103" s="769"/>
      <c r="KXV103" s="769"/>
      <c r="KXW103" s="769"/>
      <c r="KXX103" s="769"/>
      <c r="KXY103" s="769"/>
      <c r="KXZ103" s="769"/>
      <c r="KYA103" s="769"/>
      <c r="KYB103" s="769"/>
      <c r="KYC103" s="769"/>
      <c r="KYD103" s="769"/>
      <c r="KYE103" s="769"/>
      <c r="KYF103" s="769"/>
      <c r="KYG103" s="769"/>
      <c r="KYH103" s="769"/>
      <c r="KYI103" s="769"/>
      <c r="KYJ103" s="769"/>
      <c r="KYK103" s="769"/>
      <c r="KYL103" s="769"/>
      <c r="KYM103" s="769"/>
      <c r="KYN103" s="769"/>
      <c r="KYO103" s="769"/>
      <c r="KYP103" s="769"/>
      <c r="KYQ103" s="769"/>
      <c r="KYR103" s="769"/>
      <c r="KYS103" s="769"/>
      <c r="KYT103" s="769"/>
      <c r="KYU103" s="769"/>
      <c r="KYV103" s="769"/>
      <c r="KYW103" s="769"/>
      <c r="KYX103" s="769"/>
      <c r="KYY103" s="769"/>
      <c r="KYZ103" s="769"/>
      <c r="KZA103" s="769"/>
      <c r="KZB103" s="769"/>
      <c r="KZC103" s="769"/>
      <c r="KZD103" s="769"/>
      <c r="KZE103" s="769"/>
      <c r="KZF103" s="769"/>
      <c r="KZG103" s="769"/>
      <c r="KZH103" s="769"/>
      <c r="KZI103" s="769"/>
      <c r="KZJ103" s="769"/>
      <c r="KZK103" s="769"/>
      <c r="KZL103" s="769"/>
      <c r="KZM103" s="769"/>
      <c r="KZN103" s="769"/>
      <c r="KZO103" s="769"/>
      <c r="KZP103" s="769"/>
      <c r="KZQ103" s="769"/>
      <c r="KZR103" s="769"/>
      <c r="KZS103" s="769"/>
      <c r="KZT103" s="769"/>
      <c r="KZU103" s="769"/>
      <c r="KZV103" s="769"/>
      <c r="KZW103" s="769"/>
      <c r="KZX103" s="769"/>
      <c r="KZY103" s="769"/>
      <c r="KZZ103" s="769"/>
      <c r="LAA103" s="769"/>
      <c r="LAB103" s="769"/>
      <c r="LAC103" s="769"/>
      <c r="LAD103" s="769"/>
      <c r="LAE103" s="769"/>
      <c r="LAF103" s="769"/>
      <c r="LAG103" s="769"/>
      <c r="LAH103" s="769"/>
      <c r="LAI103" s="769"/>
      <c r="LAJ103" s="769"/>
      <c r="LAK103" s="769"/>
      <c r="LAL103" s="769"/>
      <c r="LAM103" s="769"/>
      <c r="LAN103" s="769"/>
      <c r="LAO103" s="769"/>
      <c r="LAP103" s="769"/>
      <c r="LAQ103" s="769"/>
      <c r="LAR103" s="769"/>
      <c r="LAS103" s="769"/>
      <c r="LAT103" s="769"/>
      <c r="LAU103" s="769"/>
      <c r="LAV103" s="769"/>
      <c r="LAW103" s="769"/>
      <c r="LAX103" s="769"/>
      <c r="LAY103" s="769"/>
      <c r="LAZ103" s="769"/>
      <c r="LBA103" s="769"/>
      <c r="LBB103" s="769"/>
      <c r="LBC103" s="769"/>
      <c r="LBD103" s="769"/>
      <c r="LBE103" s="769"/>
      <c r="LBF103" s="769"/>
      <c r="LBG103" s="769"/>
      <c r="LBH103" s="769"/>
      <c r="LBI103" s="769"/>
      <c r="LBJ103" s="769"/>
      <c r="LBK103" s="769"/>
      <c r="LBL103" s="769"/>
      <c r="LBM103" s="769"/>
      <c r="LBN103" s="769"/>
      <c r="LBO103" s="769"/>
      <c r="LBP103" s="769"/>
      <c r="LBQ103" s="769"/>
      <c r="LBR103" s="769"/>
      <c r="LBS103" s="769"/>
      <c r="LBT103" s="769"/>
      <c r="LBU103" s="769"/>
      <c r="LBV103" s="769"/>
      <c r="LBW103" s="769"/>
      <c r="LBX103" s="769"/>
      <c r="LBY103" s="769"/>
      <c r="LBZ103" s="769"/>
      <c r="LCA103" s="769"/>
      <c r="LCB103" s="769"/>
      <c r="LCC103" s="769"/>
      <c r="LCD103" s="769"/>
      <c r="LCE103" s="769"/>
      <c r="LCF103" s="769"/>
      <c r="LCG103" s="769"/>
      <c r="LCH103" s="769"/>
      <c r="LCI103" s="769"/>
      <c r="LCJ103" s="769"/>
      <c r="LCK103" s="769"/>
      <c r="LCL103" s="769"/>
      <c r="LCM103" s="769"/>
      <c r="LCN103" s="769"/>
      <c r="LCO103" s="769"/>
      <c r="LCP103" s="769"/>
      <c r="LCQ103" s="769"/>
      <c r="LCR103" s="769"/>
      <c r="LCS103" s="769"/>
      <c r="LCT103" s="769"/>
      <c r="LCU103" s="769"/>
      <c r="LCV103" s="769"/>
      <c r="LCW103" s="769"/>
      <c r="LCX103" s="769"/>
      <c r="LCY103" s="769"/>
      <c r="LCZ103" s="769"/>
      <c r="LDA103" s="769"/>
      <c r="LDB103" s="769"/>
      <c r="LDC103" s="769"/>
      <c r="LDD103" s="769"/>
      <c r="LDE103" s="769"/>
      <c r="LDF103" s="769"/>
      <c r="LDG103" s="769"/>
      <c r="LDH103" s="769"/>
      <c r="LDI103" s="769"/>
      <c r="LDJ103" s="769"/>
      <c r="LDK103" s="769"/>
      <c r="LDL103" s="769"/>
      <c r="LDM103" s="769"/>
      <c r="LDN103" s="769"/>
      <c r="LDO103" s="769"/>
      <c r="LDP103" s="769"/>
      <c r="LDQ103" s="769"/>
      <c r="LDR103" s="769"/>
      <c r="LDS103" s="769"/>
      <c r="LDT103" s="769"/>
      <c r="LDU103" s="769"/>
      <c r="LDV103" s="769"/>
      <c r="LDW103" s="769"/>
      <c r="LDX103" s="769"/>
      <c r="LDY103" s="769"/>
      <c r="LDZ103" s="769"/>
      <c r="LEA103" s="769"/>
      <c r="LEB103" s="769"/>
      <c r="LEC103" s="769"/>
      <c r="LED103" s="769"/>
      <c r="LEE103" s="769"/>
      <c r="LEF103" s="769"/>
      <c r="LEG103" s="769"/>
      <c r="LEH103" s="769"/>
      <c r="LEI103" s="769"/>
      <c r="LEJ103" s="769"/>
      <c r="LEK103" s="769"/>
      <c r="LEL103" s="769"/>
      <c r="LEM103" s="769"/>
      <c r="LEN103" s="769"/>
      <c r="LEO103" s="769"/>
      <c r="LEP103" s="769"/>
      <c r="LEQ103" s="769"/>
      <c r="LER103" s="769"/>
      <c r="LES103" s="769"/>
      <c r="LET103" s="769"/>
      <c r="LEU103" s="769"/>
      <c r="LEV103" s="769"/>
      <c r="LEW103" s="769"/>
      <c r="LEX103" s="769"/>
      <c r="LEY103" s="769"/>
      <c r="LEZ103" s="769"/>
      <c r="LFA103" s="769"/>
      <c r="LFB103" s="769"/>
      <c r="LFC103" s="769"/>
      <c r="LFD103" s="769"/>
      <c r="LFE103" s="769"/>
      <c r="LFF103" s="769"/>
      <c r="LFG103" s="769"/>
      <c r="LFH103" s="769"/>
      <c r="LFI103" s="769"/>
      <c r="LFJ103" s="769"/>
      <c r="LFK103" s="769"/>
      <c r="LFL103" s="769"/>
      <c r="LFM103" s="769"/>
      <c r="LFN103" s="769"/>
      <c r="LFO103" s="769"/>
      <c r="LFP103" s="769"/>
      <c r="LFQ103" s="769"/>
      <c r="LFR103" s="769"/>
      <c r="LFS103" s="769"/>
      <c r="LFT103" s="769"/>
      <c r="LFU103" s="769"/>
      <c r="LFV103" s="769"/>
      <c r="LFW103" s="769"/>
      <c r="LFX103" s="769"/>
      <c r="LFY103" s="769"/>
      <c r="LFZ103" s="769"/>
      <c r="LGA103" s="769"/>
      <c r="LGB103" s="769"/>
      <c r="LGC103" s="769"/>
      <c r="LGD103" s="769"/>
      <c r="LGE103" s="769"/>
      <c r="LGF103" s="769"/>
      <c r="LGG103" s="769"/>
      <c r="LGH103" s="769"/>
      <c r="LGI103" s="769"/>
      <c r="LGJ103" s="769"/>
      <c r="LGK103" s="769"/>
      <c r="LGL103" s="769"/>
      <c r="LGM103" s="769"/>
      <c r="LGN103" s="769"/>
      <c r="LGO103" s="769"/>
      <c r="LGP103" s="769"/>
      <c r="LGQ103" s="769"/>
      <c r="LGR103" s="769"/>
      <c r="LGS103" s="769"/>
      <c r="LGT103" s="769"/>
      <c r="LGU103" s="769"/>
      <c r="LGV103" s="769"/>
      <c r="LGW103" s="769"/>
      <c r="LGX103" s="769"/>
      <c r="LGY103" s="769"/>
      <c r="LGZ103" s="769"/>
      <c r="LHA103" s="769"/>
      <c r="LHB103" s="769"/>
      <c r="LHC103" s="769"/>
      <c r="LHD103" s="769"/>
      <c r="LHE103" s="769"/>
      <c r="LHF103" s="769"/>
      <c r="LHG103" s="769"/>
      <c r="LHH103" s="769"/>
      <c r="LHI103" s="769"/>
      <c r="LHJ103" s="769"/>
      <c r="LHK103" s="769"/>
      <c r="LHL103" s="769"/>
      <c r="LHM103" s="769"/>
      <c r="LHN103" s="769"/>
      <c r="LHO103" s="769"/>
      <c r="LHP103" s="769"/>
      <c r="LHQ103" s="769"/>
      <c r="LHR103" s="769"/>
      <c r="LHS103" s="769"/>
      <c r="LHT103" s="769"/>
      <c r="LHU103" s="769"/>
      <c r="LHV103" s="769"/>
      <c r="LHW103" s="769"/>
      <c r="LHX103" s="769"/>
      <c r="LHY103" s="769"/>
      <c r="LHZ103" s="769"/>
      <c r="LIA103" s="769"/>
      <c r="LIB103" s="769"/>
      <c r="LIC103" s="769"/>
      <c r="LID103" s="769"/>
      <c r="LIE103" s="769"/>
      <c r="LIF103" s="769"/>
      <c r="LIG103" s="769"/>
      <c r="LIH103" s="769"/>
      <c r="LII103" s="769"/>
      <c r="LIJ103" s="769"/>
      <c r="LIK103" s="769"/>
      <c r="LIL103" s="769"/>
      <c r="LIM103" s="769"/>
      <c r="LIN103" s="769"/>
      <c r="LIO103" s="769"/>
      <c r="LIP103" s="769"/>
      <c r="LIQ103" s="769"/>
      <c r="LIR103" s="769"/>
      <c r="LIS103" s="769"/>
      <c r="LIT103" s="769"/>
      <c r="LIU103" s="769"/>
      <c r="LIV103" s="769"/>
      <c r="LIW103" s="769"/>
      <c r="LIX103" s="769"/>
      <c r="LIY103" s="769"/>
      <c r="LIZ103" s="769"/>
      <c r="LJA103" s="769"/>
      <c r="LJB103" s="769"/>
      <c r="LJC103" s="769"/>
      <c r="LJD103" s="769"/>
      <c r="LJE103" s="769"/>
      <c r="LJF103" s="769"/>
      <c r="LJG103" s="769"/>
      <c r="LJH103" s="769"/>
      <c r="LJI103" s="769"/>
      <c r="LJJ103" s="769"/>
      <c r="LJK103" s="769"/>
      <c r="LJL103" s="769"/>
      <c r="LJM103" s="769"/>
      <c r="LJN103" s="769"/>
      <c r="LJO103" s="769"/>
      <c r="LJP103" s="769"/>
      <c r="LJQ103" s="769"/>
      <c r="LJR103" s="769"/>
      <c r="LJS103" s="769"/>
      <c r="LJT103" s="769"/>
      <c r="LJU103" s="769"/>
      <c r="LJV103" s="769"/>
      <c r="LJW103" s="769"/>
      <c r="LJX103" s="769"/>
      <c r="LJY103" s="769"/>
      <c r="LJZ103" s="769"/>
      <c r="LKA103" s="769"/>
      <c r="LKB103" s="769"/>
      <c r="LKC103" s="769"/>
      <c r="LKD103" s="769"/>
      <c r="LKE103" s="769"/>
      <c r="LKF103" s="769"/>
      <c r="LKG103" s="769"/>
      <c r="LKH103" s="769"/>
      <c r="LKI103" s="769"/>
      <c r="LKJ103" s="769"/>
      <c r="LKK103" s="769"/>
      <c r="LKL103" s="769"/>
      <c r="LKM103" s="769"/>
      <c r="LKN103" s="769"/>
      <c r="LKO103" s="769"/>
      <c r="LKP103" s="769"/>
      <c r="LKQ103" s="769"/>
      <c r="LKR103" s="769"/>
      <c r="LKS103" s="769"/>
      <c r="LKT103" s="769"/>
      <c r="LKU103" s="769"/>
      <c r="LKV103" s="769"/>
      <c r="LKW103" s="769"/>
      <c r="LKX103" s="769"/>
      <c r="LKY103" s="769"/>
      <c r="LKZ103" s="769"/>
      <c r="LLA103" s="769"/>
      <c r="LLB103" s="769"/>
      <c r="LLC103" s="769"/>
      <c r="LLD103" s="769"/>
      <c r="LLE103" s="769"/>
      <c r="LLF103" s="769"/>
      <c r="LLG103" s="769"/>
      <c r="LLH103" s="769"/>
      <c r="LLI103" s="769"/>
      <c r="LLJ103" s="769"/>
      <c r="LLK103" s="769"/>
      <c r="LLL103" s="769"/>
      <c r="LLM103" s="769"/>
      <c r="LLN103" s="769"/>
      <c r="LLO103" s="769"/>
      <c r="LLP103" s="769"/>
      <c r="LLQ103" s="769"/>
      <c r="LLR103" s="769"/>
      <c r="LLS103" s="769"/>
      <c r="LLT103" s="769"/>
      <c r="LLU103" s="769"/>
      <c r="LLV103" s="769"/>
      <c r="LLW103" s="769"/>
      <c r="LLX103" s="769"/>
      <c r="LLY103" s="769"/>
      <c r="LLZ103" s="769"/>
      <c r="LMA103" s="769"/>
      <c r="LMB103" s="769"/>
      <c r="LMC103" s="769"/>
      <c r="LMD103" s="769"/>
      <c r="LME103" s="769"/>
      <c r="LMF103" s="769"/>
      <c r="LMG103" s="769"/>
      <c r="LMH103" s="769"/>
      <c r="LMI103" s="769"/>
      <c r="LMJ103" s="769"/>
      <c r="LMK103" s="769"/>
      <c r="LML103" s="769"/>
      <c r="LMM103" s="769"/>
      <c r="LMN103" s="769"/>
      <c r="LMO103" s="769"/>
      <c r="LMP103" s="769"/>
      <c r="LMQ103" s="769"/>
      <c r="LMR103" s="769"/>
      <c r="LMS103" s="769"/>
      <c r="LMT103" s="769"/>
      <c r="LMU103" s="769"/>
      <c r="LMV103" s="769"/>
      <c r="LMW103" s="769"/>
      <c r="LMX103" s="769"/>
      <c r="LMY103" s="769"/>
      <c r="LMZ103" s="769"/>
      <c r="LNA103" s="769"/>
      <c r="LNB103" s="769"/>
      <c r="LNC103" s="769"/>
      <c r="LND103" s="769"/>
      <c r="LNE103" s="769"/>
      <c r="LNF103" s="769"/>
      <c r="LNG103" s="769"/>
      <c r="LNH103" s="769"/>
      <c r="LNI103" s="769"/>
      <c r="LNJ103" s="769"/>
      <c r="LNK103" s="769"/>
      <c r="LNL103" s="769"/>
      <c r="LNM103" s="769"/>
      <c r="LNN103" s="769"/>
      <c r="LNO103" s="769"/>
      <c r="LNP103" s="769"/>
      <c r="LNQ103" s="769"/>
      <c r="LNR103" s="769"/>
      <c r="LNS103" s="769"/>
      <c r="LNT103" s="769"/>
      <c r="LNU103" s="769"/>
      <c r="LNV103" s="769"/>
      <c r="LNW103" s="769"/>
      <c r="LNX103" s="769"/>
      <c r="LNY103" s="769"/>
      <c r="LNZ103" s="769"/>
      <c r="LOA103" s="769"/>
      <c r="LOB103" s="769"/>
      <c r="LOC103" s="769"/>
      <c r="LOD103" s="769"/>
      <c r="LOE103" s="769"/>
      <c r="LOF103" s="769"/>
      <c r="LOG103" s="769"/>
      <c r="LOH103" s="769"/>
      <c r="LOI103" s="769"/>
      <c r="LOJ103" s="769"/>
      <c r="LOK103" s="769"/>
      <c r="LOL103" s="769"/>
      <c r="LOM103" s="769"/>
      <c r="LON103" s="769"/>
      <c r="LOO103" s="769"/>
      <c r="LOP103" s="769"/>
      <c r="LOQ103" s="769"/>
      <c r="LOR103" s="769"/>
      <c r="LOS103" s="769"/>
      <c r="LOT103" s="769"/>
      <c r="LOU103" s="769"/>
      <c r="LOV103" s="769"/>
      <c r="LOW103" s="769"/>
      <c r="LOX103" s="769"/>
      <c r="LOY103" s="769"/>
      <c r="LOZ103" s="769"/>
      <c r="LPA103" s="769"/>
      <c r="LPB103" s="769"/>
      <c r="LPC103" s="769"/>
      <c r="LPD103" s="769"/>
      <c r="LPE103" s="769"/>
      <c r="LPF103" s="769"/>
      <c r="LPG103" s="769"/>
      <c r="LPH103" s="769"/>
      <c r="LPI103" s="769"/>
      <c r="LPJ103" s="769"/>
      <c r="LPK103" s="769"/>
      <c r="LPL103" s="769"/>
      <c r="LPM103" s="769"/>
      <c r="LPN103" s="769"/>
      <c r="LPO103" s="769"/>
      <c r="LPP103" s="769"/>
      <c r="LPQ103" s="769"/>
      <c r="LPR103" s="769"/>
      <c r="LPS103" s="769"/>
      <c r="LPT103" s="769"/>
      <c r="LPU103" s="769"/>
      <c r="LPV103" s="769"/>
      <c r="LPW103" s="769"/>
      <c r="LPX103" s="769"/>
      <c r="LPY103" s="769"/>
      <c r="LPZ103" s="769"/>
      <c r="LQA103" s="769"/>
      <c r="LQB103" s="769"/>
      <c r="LQC103" s="769"/>
      <c r="LQD103" s="769"/>
      <c r="LQE103" s="769"/>
      <c r="LQF103" s="769"/>
      <c r="LQG103" s="769"/>
      <c r="LQH103" s="769"/>
      <c r="LQI103" s="769"/>
      <c r="LQJ103" s="769"/>
      <c r="LQK103" s="769"/>
      <c r="LQL103" s="769"/>
      <c r="LQM103" s="769"/>
      <c r="LQN103" s="769"/>
      <c r="LQO103" s="769"/>
      <c r="LQP103" s="769"/>
      <c r="LQQ103" s="769"/>
      <c r="LQR103" s="769"/>
      <c r="LQS103" s="769"/>
      <c r="LQT103" s="769"/>
      <c r="LQU103" s="769"/>
      <c r="LQV103" s="769"/>
      <c r="LQW103" s="769"/>
      <c r="LQX103" s="769"/>
      <c r="LQY103" s="769"/>
      <c r="LQZ103" s="769"/>
      <c r="LRA103" s="769"/>
      <c r="LRB103" s="769"/>
      <c r="LRC103" s="769"/>
      <c r="LRD103" s="769"/>
      <c r="LRE103" s="769"/>
      <c r="LRF103" s="769"/>
      <c r="LRG103" s="769"/>
      <c r="LRH103" s="769"/>
      <c r="LRI103" s="769"/>
      <c r="LRJ103" s="769"/>
      <c r="LRK103" s="769"/>
      <c r="LRL103" s="769"/>
      <c r="LRM103" s="769"/>
      <c r="LRN103" s="769"/>
      <c r="LRO103" s="769"/>
      <c r="LRP103" s="769"/>
      <c r="LRQ103" s="769"/>
      <c r="LRR103" s="769"/>
      <c r="LRS103" s="769"/>
      <c r="LRT103" s="769"/>
      <c r="LRU103" s="769"/>
      <c r="LRV103" s="769"/>
      <c r="LRW103" s="769"/>
      <c r="LRX103" s="769"/>
      <c r="LRY103" s="769"/>
      <c r="LRZ103" s="769"/>
      <c r="LSA103" s="769"/>
      <c r="LSB103" s="769"/>
      <c r="LSC103" s="769"/>
      <c r="LSD103" s="769"/>
      <c r="LSE103" s="769"/>
      <c r="LSF103" s="769"/>
      <c r="LSG103" s="769"/>
      <c r="LSH103" s="769"/>
      <c r="LSI103" s="769"/>
      <c r="LSJ103" s="769"/>
      <c r="LSK103" s="769"/>
      <c r="LSL103" s="769"/>
      <c r="LSM103" s="769"/>
      <c r="LSN103" s="769"/>
      <c r="LSO103" s="769"/>
      <c r="LSP103" s="769"/>
      <c r="LSQ103" s="769"/>
      <c r="LSR103" s="769"/>
      <c r="LSS103" s="769"/>
      <c r="LST103" s="769"/>
      <c r="LSU103" s="769"/>
      <c r="LSV103" s="769"/>
      <c r="LSW103" s="769"/>
      <c r="LSX103" s="769"/>
      <c r="LSY103" s="769"/>
      <c r="LSZ103" s="769"/>
      <c r="LTA103" s="769"/>
      <c r="LTB103" s="769"/>
      <c r="LTC103" s="769"/>
      <c r="LTD103" s="769"/>
      <c r="LTE103" s="769"/>
      <c r="LTF103" s="769"/>
      <c r="LTG103" s="769"/>
      <c r="LTH103" s="769"/>
      <c r="LTI103" s="769"/>
      <c r="LTJ103" s="769"/>
      <c r="LTK103" s="769"/>
      <c r="LTL103" s="769"/>
      <c r="LTM103" s="769"/>
      <c r="LTN103" s="769"/>
      <c r="LTO103" s="769"/>
      <c r="LTP103" s="769"/>
      <c r="LTQ103" s="769"/>
      <c r="LTR103" s="769"/>
      <c r="LTS103" s="769"/>
      <c r="LTT103" s="769"/>
      <c r="LTU103" s="769"/>
      <c r="LTV103" s="769"/>
      <c r="LTW103" s="769"/>
      <c r="LTX103" s="769"/>
      <c r="LTY103" s="769"/>
      <c r="LTZ103" s="769"/>
      <c r="LUA103" s="769"/>
      <c r="LUB103" s="769"/>
      <c r="LUC103" s="769"/>
      <c r="LUD103" s="769"/>
      <c r="LUE103" s="769"/>
      <c r="LUF103" s="769"/>
      <c r="LUG103" s="769"/>
      <c r="LUH103" s="769"/>
      <c r="LUI103" s="769"/>
      <c r="LUJ103" s="769"/>
      <c r="LUK103" s="769"/>
      <c r="LUL103" s="769"/>
      <c r="LUM103" s="769"/>
      <c r="LUN103" s="769"/>
      <c r="LUO103" s="769"/>
      <c r="LUP103" s="769"/>
      <c r="LUQ103" s="769"/>
      <c r="LUR103" s="769"/>
      <c r="LUS103" s="769"/>
      <c r="LUT103" s="769"/>
      <c r="LUU103" s="769"/>
      <c r="LUV103" s="769"/>
      <c r="LUW103" s="769"/>
      <c r="LUX103" s="769"/>
      <c r="LUY103" s="769"/>
      <c r="LUZ103" s="769"/>
      <c r="LVA103" s="769"/>
      <c r="LVB103" s="769"/>
      <c r="LVC103" s="769"/>
      <c r="LVD103" s="769"/>
      <c r="LVE103" s="769"/>
      <c r="LVF103" s="769"/>
      <c r="LVG103" s="769"/>
      <c r="LVH103" s="769"/>
      <c r="LVI103" s="769"/>
      <c r="LVJ103" s="769"/>
      <c r="LVK103" s="769"/>
      <c r="LVL103" s="769"/>
      <c r="LVM103" s="769"/>
      <c r="LVN103" s="769"/>
      <c r="LVO103" s="769"/>
      <c r="LVP103" s="769"/>
      <c r="LVQ103" s="769"/>
      <c r="LVR103" s="769"/>
      <c r="LVS103" s="769"/>
      <c r="LVT103" s="769"/>
      <c r="LVU103" s="769"/>
      <c r="LVV103" s="769"/>
      <c r="LVW103" s="769"/>
      <c r="LVX103" s="769"/>
      <c r="LVY103" s="769"/>
      <c r="LVZ103" s="769"/>
      <c r="LWA103" s="769"/>
      <c r="LWB103" s="769"/>
      <c r="LWC103" s="769"/>
      <c r="LWD103" s="769"/>
      <c r="LWE103" s="769"/>
      <c r="LWF103" s="769"/>
      <c r="LWG103" s="769"/>
      <c r="LWH103" s="769"/>
      <c r="LWI103" s="769"/>
      <c r="LWJ103" s="769"/>
      <c r="LWK103" s="769"/>
      <c r="LWL103" s="769"/>
      <c r="LWM103" s="769"/>
      <c r="LWN103" s="769"/>
      <c r="LWO103" s="769"/>
      <c r="LWP103" s="769"/>
      <c r="LWQ103" s="769"/>
      <c r="LWR103" s="769"/>
      <c r="LWS103" s="769"/>
      <c r="LWT103" s="769"/>
      <c r="LWU103" s="769"/>
      <c r="LWV103" s="769"/>
      <c r="LWW103" s="769"/>
      <c r="LWX103" s="769"/>
      <c r="LWY103" s="769"/>
      <c r="LWZ103" s="769"/>
      <c r="LXA103" s="769"/>
      <c r="LXB103" s="769"/>
      <c r="LXC103" s="769"/>
      <c r="LXD103" s="769"/>
      <c r="LXE103" s="769"/>
      <c r="LXF103" s="769"/>
      <c r="LXG103" s="769"/>
      <c r="LXH103" s="769"/>
      <c r="LXI103" s="769"/>
      <c r="LXJ103" s="769"/>
      <c r="LXK103" s="769"/>
      <c r="LXL103" s="769"/>
      <c r="LXM103" s="769"/>
      <c r="LXN103" s="769"/>
      <c r="LXO103" s="769"/>
      <c r="LXP103" s="769"/>
      <c r="LXQ103" s="769"/>
      <c r="LXR103" s="769"/>
      <c r="LXS103" s="769"/>
      <c r="LXT103" s="769"/>
      <c r="LXU103" s="769"/>
      <c r="LXV103" s="769"/>
      <c r="LXW103" s="769"/>
      <c r="LXX103" s="769"/>
      <c r="LXY103" s="769"/>
      <c r="LXZ103" s="769"/>
      <c r="LYA103" s="769"/>
      <c r="LYB103" s="769"/>
      <c r="LYC103" s="769"/>
      <c r="LYD103" s="769"/>
      <c r="LYE103" s="769"/>
      <c r="LYF103" s="769"/>
      <c r="LYG103" s="769"/>
      <c r="LYH103" s="769"/>
      <c r="LYI103" s="769"/>
      <c r="LYJ103" s="769"/>
      <c r="LYK103" s="769"/>
      <c r="LYL103" s="769"/>
      <c r="LYM103" s="769"/>
      <c r="LYN103" s="769"/>
      <c r="LYO103" s="769"/>
      <c r="LYP103" s="769"/>
      <c r="LYQ103" s="769"/>
      <c r="LYR103" s="769"/>
      <c r="LYS103" s="769"/>
      <c r="LYT103" s="769"/>
      <c r="LYU103" s="769"/>
      <c r="LYV103" s="769"/>
      <c r="LYW103" s="769"/>
      <c r="LYX103" s="769"/>
      <c r="LYY103" s="769"/>
      <c r="LYZ103" s="769"/>
      <c r="LZA103" s="769"/>
      <c r="LZB103" s="769"/>
      <c r="LZC103" s="769"/>
      <c r="LZD103" s="769"/>
      <c r="LZE103" s="769"/>
      <c r="LZF103" s="769"/>
      <c r="LZG103" s="769"/>
      <c r="LZH103" s="769"/>
      <c r="LZI103" s="769"/>
      <c r="LZJ103" s="769"/>
      <c r="LZK103" s="769"/>
      <c r="LZL103" s="769"/>
      <c r="LZM103" s="769"/>
      <c r="LZN103" s="769"/>
      <c r="LZO103" s="769"/>
      <c r="LZP103" s="769"/>
      <c r="LZQ103" s="769"/>
      <c r="LZR103" s="769"/>
      <c r="LZS103" s="769"/>
      <c r="LZT103" s="769"/>
      <c r="LZU103" s="769"/>
      <c r="LZV103" s="769"/>
      <c r="LZW103" s="769"/>
      <c r="LZX103" s="769"/>
      <c r="LZY103" s="769"/>
      <c r="LZZ103" s="769"/>
      <c r="MAA103" s="769"/>
      <c r="MAB103" s="769"/>
      <c r="MAC103" s="769"/>
      <c r="MAD103" s="769"/>
      <c r="MAE103" s="769"/>
      <c r="MAF103" s="769"/>
      <c r="MAG103" s="769"/>
      <c r="MAH103" s="769"/>
      <c r="MAI103" s="769"/>
      <c r="MAJ103" s="769"/>
      <c r="MAK103" s="769"/>
      <c r="MAL103" s="769"/>
      <c r="MAM103" s="769"/>
      <c r="MAN103" s="769"/>
      <c r="MAO103" s="769"/>
      <c r="MAP103" s="769"/>
      <c r="MAQ103" s="769"/>
      <c r="MAR103" s="769"/>
      <c r="MAS103" s="769"/>
      <c r="MAT103" s="769"/>
      <c r="MAU103" s="769"/>
      <c r="MAV103" s="769"/>
      <c r="MAW103" s="769"/>
      <c r="MAX103" s="769"/>
      <c r="MAY103" s="769"/>
      <c r="MAZ103" s="769"/>
      <c r="MBA103" s="769"/>
      <c r="MBB103" s="769"/>
      <c r="MBC103" s="769"/>
      <c r="MBD103" s="769"/>
      <c r="MBE103" s="769"/>
      <c r="MBF103" s="769"/>
      <c r="MBG103" s="769"/>
      <c r="MBH103" s="769"/>
      <c r="MBI103" s="769"/>
      <c r="MBJ103" s="769"/>
      <c r="MBK103" s="769"/>
      <c r="MBL103" s="769"/>
      <c r="MBM103" s="769"/>
      <c r="MBN103" s="769"/>
      <c r="MBO103" s="769"/>
      <c r="MBP103" s="769"/>
      <c r="MBQ103" s="769"/>
      <c r="MBR103" s="769"/>
      <c r="MBS103" s="769"/>
      <c r="MBT103" s="769"/>
      <c r="MBU103" s="769"/>
      <c r="MBV103" s="769"/>
      <c r="MBW103" s="769"/>
      <c r="MBX103" s="769"/>
      <c r="MBY103" s="769"/>
      <c r="MBZ103" s="769"/>
      <c r="MCA103" s="769"/>
      <c r="MCB103" s="769"/>
      <c r="MCC103" s="769"/>
      <c r="MCD103" s="769"/>
      <c r="MCE103" s="769"/>
      <c r="MCF103" s="769"/>
      <c r="MCG103" s="769"/>
      <c r="MCH103" s="769"/>
      <c r="MCI103" s="769"/>
      <c r="MCJ103" s="769"/>
      <c r="MCK103" s="769"/>
      <c r="MCL103" s="769"/>
      <c r="MCM103" s="769"/>
      <c r="MCN103" s="769"/>
      <c r="MCO103" s="769"/>
      <c r="MCP103" s="769"/>
      <c r="MCQ103" s="769"/>
      <c r="MCR103" s="769"/>
      <c r="MCS103" s="769"/>
      <c r="MCT103" s="769"/>
      <c r="MCU103" s="769"/>
      <c r="MCV103" s="769"/>
      <c r="MCW103" s="769"/>
      <c r="MCX103" s="769"/>
      <c r="MCY103" s="769"/>
      <c r="MCZ103" s="769"/>
      <c r="MDA103" s="769"/>
      <c r="MDB103" s="769"/>
      <c r="MDC103" s="769"/>
      <c r="MDD103" s="769"/>
      <c r="MDE103" s="769"/>
      <c r="MDF103" s="769"/>
      <c r="MDG103" s="769"/>
      <c r="MDH103" s="769"/>
      <c r="MDI103" s="769"/>
      <c r="MDJ103" s="769"/>
      <c r="MDK103" s="769"/>
      <c r="MDL103" s="769"/>
      <c r="MDM103" s="769"/>
      <c r="MDN103" s="769"/>
      <c r="MDO103" s="769"/>
      <c r="MDP103" s="769"/>
      <c r="MDQ103" s="769"/>
      <c r="MDR103" s="769"/>
      <c r="MDS103" s="769"/>
      <c r="MDT103" s="769"/>
      <c r="MDU103" s="769"/>
      <c r="MDV103" s="769"/>
      <c r="MDW103" s="769"/>
      <c r="MDX103" s="769"/>
      <c r="MDY103" s="769"/>
      <c r="MDZ103" s="769"/>
      <c r="MEA103" s="769"/>
      <c r="MEB103" s="769"/>
      <c r="MEC103" s="769"/>
      <c r="MED103" s="769"/>
      <c r="MEE103" s="769"/>
      <c r="MEF103" s="769"/>
      <c r="MEG103" s="769"/>
      <c r="MEH103" s="769"/>
      <c r="MEI103" s="769"/>
      <c r="MEJ103" s="769"/>
      <c r="MEK103" s="769"/>
      <c r="MEL103" s="769"/>
      <c r="MEM103" s="769"/>
      <c r="MEN103" s="769"/>
      <c r="MEO103" s="769"/>
      <c r="MEP103" s="769"/>
      <c r="MEQ103" s="769"/>
      <c r="MER103" s="769"/>
      <c r="MES103" s="769"/>
      <c r="MET103" s="769"/>
      <c r="MEU103" s="769"/>
      <c r="MEV103" s="769"/>
      <c r="MEW103" s="769"/>
      <c r="MEX103" s="769"/>
      <c r="MEY103" s="769"/>
      <c r="MEZ103" s="769"/>
      <c r="MFA103" s="769"/>
      <c r="MFB103" s="769"/>
      <c r="MFC103" s="769"/>
      <c r="MFD103" s="769"/>
      <c r="MFE103" s="769"/>
      <c r="MFF103" s="769"/>
      <c r="MFG103" s="769"/>
      <c r="MFH103" s="769"/>
      <c r="MFI103" s="769"/>
      <c r="MFJ103" s="769"/>
      <c r="MFK103" s="769"/>
      <c r="MFL103" s="769"/>
      <c r="MFM103" s="769"/>
      <c r="MFN103" s="769"/>
      <c r="MFO103" s="769"/>
      <c r="MFP103" s="769"/>
      <c r="MFQ103" s="769"/>
      <c r="MFR103" s="769"/>
      <c r="MFS103" s="769"/>
      <c r="MFT103" s="769"/>
      <c r="MFU103" s="769"/>
      <c r="MFV103" s="769"/>
      <c r="MFW103" s="769"/>
      <c r="MFX103" s="769"/>
      <c r="MFY103" s="769"/>
      <c r="MFZ103" s="769"/>
      <c r="MGA103" s="769"/>
      <c r="MGB103" s="769"/>
      <c r="MGC103" s="769"/>
      <c r="MGD103" s="769"/>
      <c r="MGE103" s="769"/>
      <c r="MGF103" s="769"/>
      <c r="MGG103" s="769"/>
      <c r="MGH103" s="769"/>
      <c r="MGI103" s="769"/>
      <c r="MGJ103" s="769"/>
      <c r="MGK103" s="769"/>
      <c r="MGL103" s="769"/>
      <c r="MGM103" s="769"/>
      <c r="MGN103" s="769"/>
      <c r="MGO103" s="769"/>
      <c r="MGP103" s="769"/>
      <c r="MGQ103" s="769"/>
      <c r="MGR103" s="769"/>
      <c r="MGS103" s="769"/>
      <c r="MGT103" s="769"/>
      <c r="MGU103" s="769"/>
      <c r="MGV103" s="769"/>
      <c r="MGW103" s="769"/>
      <c r="MGX103" s="769"/>
      <c r="MGY103" s="769"/>
      <c r="MGZ103" s="769"/>
      <c r="MHA103" s="769"/>
      <c r="MHB103" s="769"/>
      <c r="MHC103" s="769"/>
      <c r="MHD103" s="769"/>
      <c r="MHE103" s="769"/>
      <c r="MHF103" s="769"/>
      <c r="MHG103" s="769"/>
      <c r="MHH103" s="769"/>
      <c r="MHI103" s="769"/>
      <c r="MHJ103" s="769"/>
      <c r="MHK103" s="769"/>
      <c r="MHL103" s="769"/>
      <c r="MHM103" s="769"/>
      <c r="MHN103" s="769"/>
      <c r="MHO103" s="769"/>
      <c r="MHP103" s="769"/>
      <c r="MHQ103" s="769"/>
      <c r="MHR103" s="769"/>
      <c r="MHS103" s="769"/>
      <c r="MHT103" s="769"/>
      <c r="MHU103" s="769"/>
      <c r="MHV103" s="769"/>
      <c r="MHW103" s="769"/>
      <c r="MHX103" s="769"/>
      <c r="MHY103" s="769"/>
      <c r="MHZ103" s="769"/>
      <c r="MIA103" s="769"/>
      <c r="MIB103" s="769"/>
      <c r="MIC103" s="769"/>
      <c r="MID103" s="769"/>
      <c r="MIE103" s="769"/>
      <c r="MIF103" s="769"/>
      <c r="MIG103" s="769"/>
      <c r="MIH103" s="769"/>
      <c r="MII103" s="769"/>
      <c r="MIJ103" s="769"/>
      <c r="MIK103" s="769"/>
      <c r="MIL103" s="769"/>
      <c r="MIM103" s="769"/>
      <c r="MIN103" s="769"/>
      <c r="MIO103" s="769"/>
      <c r="MIP103" s="769"/>
      <c r="MIQ103" s="769"/>
      <c r="MIR103" s="769"/>
      <c r="MIS103" s="769"/>
      <c r="MIT103" s="769"/>
      <c r="MIU103" s="769"/>
      <c r="MIV103" s="769"/>
      <c r="MIW103" s="769"/>
      <c r="MIX103" s="769"/>
      <c r="MIY103" s="769"/>
      <c r="MIZ103" s="769"/>
      <c r="MJA103" s="769"/>
      <c r="MJB103" s="769"/>
      <c r="MJC103" s="769"/>
      <c r="MJD103" s="769"/>
      <c r="MJE103" s="769"/>
      <c r="MJF103" s="769"/>
      <c r="MJG103" s="769"/>
      <c r="MJH103" s="769"/>
      <c r="MJI103" s="769"/>
      <c r="MJJ103" s="769"/>
      <c r="MJK103" s="769"/>
      <c r="MJL103" s="769"/>
      <c r="MJM103" s="769"/>
      <c r="MJN103" s="769"/>
      <c r="MJO103" s="769"/>
      <c r="MJP103" s="769"/>
      <c r="MJQ103" s="769"/>
      <c r="MJR103" s="769"/>
      <c r="MJS103" s="769"/>
      <c r="MJT103" s="769"/>
      <c r="MJU103" s="769"/>
      <c r="MJV103" s="769"/>
      <c r="MJW103" s="769"/>
      <c r="MJX103" s="769"/>
      <c r="MJY103" s="769"/>
      <c r="MJZ103" s="769"/>
      <c r="MKA103" s="769"/>
      <c r="MKB103" s="769"/>
      <c r="MKC103" s="769"/>
      <c r="MKD103" s="769"/>
      <c r="MKE103" s="769"/>
      <c r="MKF103" s="769"/>
      <c r="MKG103" s="769"/>
      <c r="MKH103" s="769"/>
      <c r="MKI103" s="769"/>
      <c r="MKJ103" s="769"/>
      <c r="MKK103" s="769"/>
      <c r="MKL103" s="769"/>
      <c r="MKM103" s="769"/>
      <c r="MKN103" s="769"/>
      <c r="MKO103" s="769"/>
      <c r="MKP103" s="769"/>
      <c r="MKQ103" s="769"/>
      <c r="MKR103" s="769"/>
      <c r="MKS103" s="769"/>
      <c r="MKT103" s="769"/>
      <c r="MKU103" s="769"/>
      <c r="MKV103" s="769"/>
      <c r="MKW103" s="769"/>
      <c r="MKX103" s="769"/>
      <c r="MKY103" s="769"/>
      <c r="MKZ103" s="769"/>
      <c r="MLA103" s="769"/>
      <c r="MLB103" s="769"/>
      <c r="MLC103" s="769"/>
      <c r="MLD103" s="769"/>
      <c r="MLE103" s="769"/>
      <c r="MLF103" s="769"/>
      <c r="MLG103" s="769"/>
      <c r="MLH103" s="769"/>
      <c r="MLI103" s="769"/>
      <c r="MLJ103" s="769"/>
      <c r="MLK103" s="769"/>
      <c r="MLL103" s="769"/>
      <c r="MLM103" s="769"/>
      <c r="MLN103" s="769"/>
      <c r="MLO103" s="769"/>
      <c r="MLP103" s="769"/>
      <c r="MLQ103" s="769"/>
      <c r="MLR103" s="769"/>
      <c r="MLS103" s="769"/>
      <c r="MLT103" s="769"/>
      <c r="MLU103" s="769"/>
      <c r="MLV103" s="769"/>
      <c r="MLW103" s="769"/>
      <c r="MLX103" s="769"/>
      <c r="MLY103" s="769"/>
      <c r="MLZ103" s="769"/>
      <c r="MMA103" s="769"/>
      <c r="MMB103" s="769"/>
      <c r="MMC103" s="769"/>
      <c r="MMD103" s="769"/>
      <c r="MME103" s="769"/>
      <c r="MMF103" s="769"/>
      <c r="MMG103" s="769"/>
      <c r="MMH103" s="769"/>
      <c r="MMI103" s="769"/>
      <c r="MMJ103" s="769"/>
      <c r="MMK103" s="769"/>
      <c r="MML103" s="769"/>
      <c r="MMM103" s="769"/>
      <c r="MMN103" s="769"/>
      <c r="MMO103" s="769"/>
      <c r="MMP103" s="769"/>
      <c r="MMQ103" s="769"/>
      <c r="MMR103" s="769"/>
      <c r="MMS103" s="769"/>
      <c r="MMT103" s="769"/>
      <c r="MMU103" s="769"/>
      <c r="MMV103" s="769"/>
      <c r="MMW103" s="769"/>
      <c r="MMX103" s="769"/>
      <c r="MMY103" s="769"/>
      <c r="MMZ103" s="769"/>
      <c r="MNA103" s="769"/>
      <c r="MNB103" s="769"/>
      <c r="MNC103" s="769"/>
      <c r="MND103" s="769"/>
      <c r="MNE103" s="769"/>
      <c r="MNF103" s="769"/>
      <c r="MNG103" s="769"/>
      <c r="MNH103" s="769"/>
      <c r="MNI103" s="769"/>
      <c r="MNJ103" s="769"/>
      <c r="MNK103" s="769"/>
      <c r="MNL103" s="769"/>
      <c r="MNM103" s="769"/>
      <c r="MNN103" s="769"/>
      <c r="MNO103" s="769"/>
      <c r="MNP103" s="769"/>
      <c r="MNQ103" s="769"/>
      <c r="MNR103" s="769"/>
      <c r="MNS103" s="769"/>
      <c r="MNT103" s="769"/>
      <c r="MNU103" s="769"/>
      <c r="MNV103" s="769"/>
      <c r="MNW103" s="769"/>
      <c r="MNX103" s="769"/>
      <c r="MNY103" s="769"/>
      <c r="MNZ103" s="769"/>
      <c r="MOA103" s="769"/>
      <c r="MOB103" s="769"/>
      <c r="MOC103" s="769"/>
      <c r="MOD103" s="769"/>
      <c r="MOE103" s="769"/>
      <c r="MOF103" s="769"/>
      <c r="MOG103" s="769"/>
      <c r="MOH103" s="769"/>
      <c r="MOI103" s="769"/>
      <c r="MOJ103" s="769"/>
      <c r="MOK103" s="769"/>
      <c r="MOL103" s="769"/>
      <c r="MOM103" s="769"/>
      <c r="MON103" s="769"/>
      <c r="MOO103" s="769"/>
      <c r="MOP103" s="769"/>
      <c r="MOQ103" s="769"/>
      <c r="MOR103" s="769"/>
      <c r="MOS103" s="769"/>
      <c r="MOT103" s="769"/>
      <c r="MOU103" s="769"/>
      <c r="MOV103" s="769"/>
      <c r="MOW103" s="769"/>
      <c r="MOX103" s="769"/>
      <c r="MOY103" s="769"/>
      <c r="MOZ103" s="769"/>
      <c r="MPA103" s="769"/>
      <c r="MPB103" s="769"/>
      <c r="MPC103" s="769"/>
      <c r="MPD103" s="769"/>
      <c r="MPE103" s="769"/>
      <c r="MPF103" s="769"/>
      <c r="MPG103" s="769"/>
      <c r="MPH103" s="769"/>
      <c r="MPI103" s="769"/>
      <c r="MPJ103" s="769"/>
      <c r="MPK103" s="769"/>
      <c r="MPL103" s="769"/>
      <c r="MPM103" s="769"/>
      <c r="MPN103" s="769"/>
      <c r="MPO103" s="769"/>
      <c r="MPP103" s="769"/>
      <c r="MPQ103" s="769"/>
      <c r="MPR103" s="769"/>
      <c r="MPS103" s="769"/>
      <c r="MPT103" s="769"/>
      <c r="MPU103" s="769"/>
      <c r="MPV103" s="769"/>
      <c r="MPW103" s="769"/>
      <c r="MPX103" s="769"/>
      <c r="MPY103" s="769"/>
      <c r="MPZ103" s="769"/>
      <c r="MQA103" s="769"/>
      <c r="MQB103" s="769"/>
      <c r="MQC103" s="769"/>
      <c r="MQD103" s="769"/>
      <c r="MQE103" s="769"/>
      <c r="MQF103" s="769"/>
      <c r="MQG103" s="769"/>
      <c r="MQH103" s="769"/>
      <c r="MQI103" s="769"/>
      <c r="MQJ103" s="769"/>
      <c r="MQK103" s="769"/>
      <c r="MQL103" s="769"/>
      <c r="MQM103" s="769"/>
      <c r="MQN103" s="769"/>
      <c r="MQO103" s="769"/>
      <c r="MQP103" s="769"/>
      <c r="MQQ103" s="769"/>
      <c r="MQR103" s="769"/>
      <c r="MQS103" s="769"/>
      <c r="MQT103" s="769"/>
      <c r="MQU103" s="769"/>
      <c r="MQV103" s="769"/>
      <c r="MQW103" s="769"/>
      <c r="MQX103" s="769"/>
      <c r="MQY103" s="769"/>
      <c r="MQZ103" s="769"/>
      <c r="MRA103" s="769"/>
      <c r="MRB103" s="769"/>
      <c r="MRC103" s="769"/>
      <c r="MRD103" s="769"/>
      <c r="MRE103" s="769"/>
      <c r="MRF103" s="769"/>
      <c r="MRG103" s="769"/>
      <c r="MRH103" s="769"/>
      <c r="MRI103" s="769"/>
      <c r="MRJ103" s="769"/>
      <c r="MRK103" s="769"/>
      <c r="MRL103" s="769"/>
      <c r="MRM103" s="769"/>
      <c r="MRN103" s="769"/>
      <c r="MRO103" s="769"/>
      <c r="MRP103" s="769"/>
      <c r="MRQ103" s="769"/>
      <c r="MRR103" s="769"/>
      <c r="MRS103" s="769"/>
      <c r="MRT103" s="769"/>
      <c r="MRU103" s="769"/>
      <c r="MRV103" s="769"/>
      <c r="MRW103" s="769"/>
      <c r="MRX103" s="769"/>
      <c r="MRY103" s="769"/>
      <c r="MRZ103" s="769"/>
      <c r="MSA103" s="769"/>
      <c r="MSB103" s="769"/>
      <c r="MSC103" s="769"/>
      <c r="MSD103" s="769"/>
      <c r="MSE103" s="769"/>
      <c r="MSF103" s="769"/>
      <c r="MSG103" s="769"/>
      <c r="MSH103" s="769"/>
      <c r="MSI103" s="769"/>
      <c r="MSJ103" s="769"/>
      <c r="MSK103" s="769"/>
      <c r="MSL103" s="769"/>
      <c r="MSM103" s="769"/>
      <c r="MSN103" s="769"/>
      <c r="MSO103" s="769"/>
      <c r="MSP103" s="769"/>
      <c r="MSQ103" s="769"/>
      <c r="MSR103" s="769"/>
      <c r="MSS103" s="769"/>
      <c r="MST103" s="769"/>
      <c r="MSU103" s="769"/>
      <c r="MSV103" s="769"/>
      <c r="MSW103" s="769"/>
      <c r="MSX103" s="769"/>
      <c r="MSY103" s="769"/>
      <c r="MSZ103" s="769"/>
      <c r="MTA103" s="769"/>
      <c r="MTB103" s="769"/>
      <c r="MTC103" s="769"/>
      <c r="MTD103" s="769"/>
      <c r="MTE103" s="769"/>
      <c r="MTF103" s="769"/>
      <c r="MTG103" s="769"/>
      <c r="MTH103" s="769"/>
      <c r="MTI103" s="769"/>
      <c r="MTJ103" s="769"/>
      <c r="MTK103" s="769"/>
      <c r="MTL103" s="769"/>
      <c r="MTM103" s="769"/>
      <c r="MTN103" s="769"/>
      <c r="MTO103" s="769"/>
      <c r="MTP103" s="769"/>
      <c r="MTQ103" s="769"/>
      <c r="MTR103" s="769"/>
      <c r="MTS103" s="769"/>
      <c r="MTT103" s="769"/>
      <c r="MTU103" s="769"/>
      <c r="MTV103" s="769"/>
      <c r="MTW103" s="769"/>
      <c r="MTX103" s="769"/>
      <c r="MTY103" s="769"/>
      <c r="MTZ103" s="769"/>
      <c r="MUA103" s="769"/>
      <c r="MUB103" s="769"/>
      <c r="MUC103" s="769"/>
      <c r="MUD103" s="769"/>
      <c r="MUE103" s="769"/>
      <c r="MUF103" s="769"/>
      <c r="MUG103" s="769"/>
      <c r="MUH103" s="769"/>
      <c r="MUI103" s="769"/>
      <c r="MUJ103" s="769"/>
      <c r="MUK103" s="769"/>
      <c r="MUL103" s="769"/>
      <c r="MUM103" s="769"/>
      <c r="MUN103" s="769"/>
      <c r="MUO103" s="769"/>
      <c r="MUP103" s="769"/>
      <c r="MUQ103" s="769"/>
      <c r="MUR103" s="769"/>
      <c r="MUS103" s="769"/>
      <c r="MUT103" s="769"/>
      <c r="MUU103" s="769"/>
      <c r="MUV103" s="769"/>
      <c r="MUW103" s="769"/>
      <c r="MUX103" s="769"/>
      <c r="MUY103" s="769"/>
      <c r="MUZ103" s="769"/>
      <c r="MVA103" s="769"/>
      <c r="MVB103" s="769"/>
      <c r="MVC103" s="769"/>
      <c r="MVD103" s="769"/>
      <c r="MVE103" s="769"/>
      <c r="MVF103" s="769"/>
      <c r="MVG103" s="769"/>
      <c r="MVH103" s="769"/>
      <c r="MVI103" s="769"/>
      <c r="MVJ103" s="769"/>
      <c r="MVK103" s="769"/>
      <c r="MVL103" s="769"/>
      <c r="MVM103" s="769"/>
      <c r="MVN103" s="769"/>
      <c r="MVO103" s="769"/>
      <c r="MVP103" s="769"/>
      <c r="MVQ103" s="769"/>
      <c r="MVR103" s="769"/>
      <c r="MVS103" s="769"/>
      <c r="MVT103" s="769"/>
      <c r="MVU103" s="769"/>
      <c r="MVV103" s="769"/>
      <c r="MVW103" s="769"/>
      <c r="MVX103" s="769"/>
      <c r="MVY103" s="769"/>
      <c r="MVZ103" s="769"/>
      <c r="MWA103" s="769"/>
      <c r="MWB103" s="769"/>
      <c r="MWC103" s="769"/>
      <c r="MWD103" s="769"/>
      <c r="MWE103" s="769"/>
      <c r="MWF103" s="769"/>
      <c r="MWG103" s="769"/>
      <c r="MWH103" s="769"/>
      <c r="MWI103" s="769"/>
      <c r="MWJ103" s="769"/>
      <c r="MWK103" s="769"/>
      <c r="MWL103" s="769"/>
      <c r="MWM103" s="769"/>
      <c r="MWN103" s="769"/>
      <c r="MWO103" s="769"/>
      <c r="MWP103" s="769"/>
      <c r="MWQ103" s="769"/>
      <c r="MWR103" s="769"/>
      <c r="MWS103" s="769"/>
      <c r="MWT103" s="769"/>
      <c r="MWU103" s="769"/>
      <c r="MWV103" s="769"/>
      <c r="MWW103" s="769"/>
      <c r="MWX103" s="769"/>
      <c r="MWY103" s="769"/>
      <c r="MWZ103" s="769"/>
      <c r="MXA103" s="769"/>
      <c r="MXB103" s="769"/>
      <c r="MXC103" s="769"/>
      <c r="MXD103" s="769"/>
      <c r="MXE103" s="769"/>
      <c r="MXF103" s="769"/>
      <c r="MXG103" s="769"/>
      <c r="MXH103" s="769"/>
      <c r="MXI103" s="769"/>
      <c r="MXJ103" s="769"/>
      <c r="MXK103" s="769"/>
      <c r="MXL103" s="769"/>
      <c r="MXM103" s="769"/>
      <c r="MXN103" s="769"/>
      <c r="MXO103" s="769"/>
      <c r="MXP103" s="769"/>
      <c r="MXQ103" s="769"/>
      <c r="MXR103" s="769"/>
      <c r="MXS103" s="769"/>
      <c r="MXT103" s="769"/>
      <c r="MXU103" s="769"/>
      <c r="MXV103" s="769"/>
      <c r="MXW103" s="769"/>
      <c r="MXX103" s="769"/>
      <c r="MXY103" s="769"/>
      <c r="MXZ103" s="769"/>
      <c r="MYA103" s="769"/>
      <c r="MYB103" s="769"/>
      <c r="MYC103" s="769"/>
      <c r="MYD103" s="769"/>
      <c r="MYE103" s="769"/>
      <c r="MYF103" s="769"/>
      <c r="MYG103" s="769"/>
      <c r="MYH103" s="769"/>
      <c r="MYI103" s="769"/>
      <c r="MYJ103" s="769"/>
      <c r="MYK103" s="769"/>
      <c r="MYL103" s="769"/>
      <c r="MYM103" s="769"/>
      <c r="MYN103" s="769"/>
      <c r="MYO103" s="769"/>
      <c r="MYP103" s="769"/>
      <c r="MYQ103" s="769"/>
      <c r="MYR103" s="769"/>
      <c r="MYS103" s="769"/>
      <c r="MYT103" s="769"/>
      <c r="MYU103" s="769"/>
      <c r="MYV103" s="769"/>
      <c r="MYW103" s="769"/>
      <c r="MYX103" s="769"/>
      <c r="MYY103" s="769"/>
      <c r="MYZ103" s="769"/>
      <c r="MZA103" s="769"/>
      <c r="MZB103" s="769"/>
      <c r="MZC103" s="769"/>
      <c r="MZD103" s="769"/>
      <c r="MZE103" s="769"/>
      <c r="MZF103" s="769"/>
      <c r="MZG103" s="769"/>
      <c r="MZH103" s="769"/>
      <c r="MZI103" s="769"/>
      <c r="MZJ103" s="769"/>
      <c r="MZK103" s="769"/>
      <c r="MZL103" s="769"/>
      <c r="MZM103" s="769"/>
      <c r="MZN103" s="769"/>
      <c r="MZO103" s="769"/>
      <c r="MZP103" s="769"/>
      <c r="MZQ103" s="769"/>
      <c r="MZR103" s="769"/>
      <c r="MZS103" s="769"/>
      <c r="MZT103" s="769"/>
      <c r="MZU103" s="769"/>
      <c r="MZV103" s="769"/>
      <c r="MZW103" s="769"/>
      <c r="MZX103" s="769"/>
      <c r="MZY103" s="769"/>
      <c r="MZZ103" s="769"/>
      <c r="NAA103" s="769"/>
      <c r="NAB103" s="769"/>
      <c r="NAC103" s="769"/>
      <c r="NAD103" s="769"/>
      <c r="NAE103" s="769"/>
      <c r="NAF103" s="769"/>
      <c r="NAG103" s="769"/>
      <c r="NAH103" s="769"/>
      <c r="NAI103" s="769"/>
      <c r="NAJ103" s="769"/>
      <c r="NAK103" s="769"/>
      <c r="NAL103" s="769"/>
      <c r="NAM103" s="769"/>
      <c r="NAN103" s="769"/>
      <c r="NAO103" s="769"/>
      <c r="NAP103" s="769"/>
      <c r="NAQ103" s="769"/>
      <c r="NAR103" s="769"/>
      <c r="NAS103" s="769"/>
      <c r="NAT103" s="769"/>
      <c r="NAU103" s="769"/>
      <c r="NAV103" s="769"/>
      <c r="NAW103" s="769"/>
      <c r="NAX103" s="769"/>
      <c r="NAY103" s="769"/>
      <c r="NAZ103" s="769"/>
      <c r="NBA103" s="769"/>
      <c r="NBB103" s="769"/>
      <c r="NBC103" s="769"/>
      <c r="NBD103" s="769"/>
      <c r="NBE103" s="769"/>
      <c r="NBF103" s="769"/>
      <c r="NBG103" s="769"/>
      <c r="NBH103" s="769"/>
      <c r="NBI103" s="769"/>
      <c r="NBJ103" s="769"/>
      <c r="NBK103" s="769"/>
      <c r="NBL103" s="769"/>
      <c r="NBM103" s="769"/>
      <c r="NBN103" s="769"/>
      <c r="NBO103" s="769"/>
      <c r="NBP103" s="769"/>
      <c r="NBQ103" s="769"/>
      <c r="NBR103" s="769"/>
      <c r="NBS103" s="769"/>
      <c r="NBT103" s="769"/>
      <c r="NBU103" s="769"/>
      <c r="NBV103" s="769"/>
      <c r="NBW103" s="769"/>
      <c r="NBX103" s="769"/>
      <c r="NBY103" s="769"/>
      <c r="NBZ103" s="769"/>
      <c r="NCA103" s="769"/>
      <c r="NCB103" s="769"/>
      <c r="NCC103" s="769"/>
      <c r="NCD103" s="769"/>
      <c r="NCE103" s="769"/>
      <c r="NCF103" s="769"/>
      <c r="NCG103" s="769"/>
      <c r="NCH103" s="769"/>
      <c r="NCI103" s="769"/>
      <c r="NCJ103" s="769"/>
      <c r="NCK103" s="769"/>
      <c r="NCL103" s="769"/>
      <c r="NCM103" s="769"/>
      <c r="NCN103" s="769"/>
      <c r="NCO103" s="769"/>
      <c r="NCP103" s="769"/>
      <c r="NCQ103" s="769"/>
      <c r="NCR103" s="769"/>
      <c r="NCS103" s="769"/>
      <c r="NCT103" s="769"/>
      <c r="NCU103" s="769"/>
      <c r="NCV103" s="769"/>
      <c r="NCW103" s="769"/>
      <c r="NCX103" s="769"/>
      <c r="NCY103" s="769"/>
      <c r="NCZ103" s="769"/>
      <c r="NDA103" s="769"/>
      <c r="NDB103" s="769"/>
      <c r="NDC103" s="769"/>
      <c r="NDD103" s="769"/>
      <c r="NDE103" s="769"/>
      <c r="NDF103" s="769"/>
      <c r="NDG103" s="769"/>
      <c r="NDH103" s="769"/>
      <c r="NDI103" s="769"/>
      <c r="NDJ103" s="769"/>
      <c r="NDK103" s="769"/>
      <c r="NDL103" s="769"/>
      <c r="NDM103" s="769"/>
      <c r="NDN103" s="769"/>
      <c r="NDO103" s="769"/>
      <c r="NDP103" s="769"/>
      <c r="NDQ103" s="769"/>
      <c r="NDR103" s="769"/>
      <c r="NDS103" s="769"/>
      <c r="NDT103" s="769"/>
      <c r="NDU103" s="769"/>
      <c r="NDV103" s="769"/>
      <c r="NDW103" s="769"/>
      <c r="NDX103" s="769"/>
      <c r="NDY103" s="769"/>
      <c r="NDZ103" s="769"/>
      <c r="NEA103" s="769"/>
      <c r="NEB103" s="769"/>
      <c r="NEC103" s="769"/>
      <c r="NED103" s="769"/>
      <c r="NEE103" s="769"/>
      <c r="NEF103" s="769"/>
      <c r="NEG103" s="769"/>
      <c r="NEH103" s="769"/>
      <c r="NEI103" s="769"/>
      <c r="NEJ103" s="769"/>
      <c r="NEK103" s="769"/>
      <c r="NEL103" s="769"/>
      <c r="NEM103" s="769"/>
      <c r="NEN103" s="769"/>
      <c r="NEO103" s="769"/>
      <c r="NEP103" s="769"/>
      <c r="NEQ103" s="769"/>
      <c r="NER103" s="769"/>
      <c r="NES103" s="769"/>
      <c r="NET103" s="769"/>
      <c r="NEU103" s="769"/>
      <c r="NEV103" s="769"/>
      <c r="NEW103" s="769"/>
      <c r="NEX103" s="769"/>
      <c r="NEY103" s="769"/>
      <c r="NEZ103" s="769"/>
      <c r="NFA103" s="769"/>
      <c r="NFB103" s="769"/>
      <c r="NFC103" s="769"/>
      <c r="NFD103" s="769"/>
      <c r="NFE103" s="769"/>
      <c r="NFF103" s="769"/>
      <c r="NFG103" s="769"/>
      <c r="NFH103" s="769"/>
      <c r="NFI103" s="769"/>
      <c r="NFJ103" s="769"/>
      <c r="NFK103" s="769"/>
      <c r="NFL103" s="769"/>
      <c r="NFM103" s="769"/>
      <c r="NFN103" s="769"/>
      <c r="NFO103" s="769"/>
      <c r="NFP103" s="769"/>
      <c r="NFQ103" s="769"/>
      <c r="NFR103" s="769"/>
      <c r="NFS103" s="769"/>
      <c r="NFT103" s="769"/>
      <c r="NFU103" s="769"/>
      <c r="NFV103" s="769"/>
      <c r="NFW103" s="769"/>
      <c r="NFX103" s="769"/>
      <c r="NFY103" s="769"/>
      <c r="NFZ103" s="769"/>
      <c r="NGA103" s="769"/>
      <c r="NGB103" s="769"/>
      <c r="NGC103" s="769"/>
      <c r="NGD103" s="769"/>
      <c r="NGE103" s="769"/>
      <c r="NGF103" s="769"/>
      <c r="NGG103" s="769"/>
      <c r="NGH103" s="769"/>
      <c r="NGI103" s="769"/>
      <c r="NGJ103" s="769"/>
      <c r="NGK103" s="769"/>
      <c r="NGL103" s="769"/>
      <c r="NGM103" s="769"/>
      <c r="NGN103" s="769"/>
      <c r="NGO103" s="769"/>
      <c r="NGP103" s="769"/>
      <c r="NGQ103" s="769"/>
      <c r="NGR103" s="769"/>
      <c r="NGS103" s="769"/>
      <c r="NGT103" s="769"/>
      <c r="NGU103" s="769"/>
      <c r="NGV103" s="769"/>
      <c r="NGW103" s="769"/>
      <c r="NGX103" s="769"/>
      <c r="NGY103" s="769"/>
      <c r="NGZ103" s="769"/>
      <c r="NHA103" s="769"/>
      <c r="NHB103" s="769"/>
      <c r="NHC103" s="769"/>
      <c r="NHD103" s="769"/>
      <c r="NHE103" s="769"/>
      <c r="NHF103" s="769"/>
      <c r="NHG103" s="769"/>
      <c r="NHH103" s="769"/>
      <c r="NHI103" s="769"/>
      <c r="NHJ103" s="769"/>
      <c r="NHK103" s="769"/>
      <c r="NHL103" s="769"/>
      <c r="NHM103" s="769"/>
      <c r="NHN103" s="769"/>
      <c r="NHO103" s="769"/>
      <c r="NHP103" s="769"/>
      <c r="NHQ103" s="769"/>
      <c r="NHR103" s="769"/>
      <c r="NHS103" s="769"/>
      <c r="NHT103" s="769"/>
      <c r="NHU103" s="769"/>
      <c r="NHV103" s="769"/>
      <c r="NHW103" s="769"/>
      <c r="NHX103" s="769"/>
      <c r="NHY103" s="769"/>
      <c r="NHZ103" s="769"/>
      <c r="NIA103" s="769"/>
      <c r="NIB103" s="769"/>
      <c r="NIC103" s="769"/>
      <c r="NID103" s="769"/>
      <c r="NIE103" s="769"/>
      <c r="NIF103" s="769"/>
      <c r="NIG103" s="769"/>
      <c r="NIH103" s="769"/>
      <c r="NII103" s="769"/>
      <c r="NIJ103" s="769"/>
      <c r="NIK103" s="769"/>
      <c r="NIL103" s="769"/>
      <c r="NIM103" s="769"/>
      <c r="NIN103" s="769"/>
      <c r="NIO103" s="769"/>
      <c r="NIP103" s="769"/>
      <c r="NIQ103" s="769"/>
      <c r="NIR103" s="769"/>
      <c r="NIS103" s="769"/>
      <c r="NIT103" s="769"/>
      <c r="NIU103" s="769"/>
      <c r="NIV103" s="769"/>
      <c r="NIW103" s="769"/>
      <c r="NIX103" s="769"/>
      <c r="NIY103" s="769"/>
      <c r="NIZ103" s="769"/>
      <c r="NJA103" s="769"/>
      <c r="NJB103" s="769"/>
      <c r="NJC103" s="769"/>
      <c r="NJD103" s="769"/>
      <c r="NJE103" s="769"/>
      <c r="NJF103" s="769"/>
      <c r="NJG103" s="769"/>
      <c r="NJH103" s="769"/>
      <c r="NJI103" s="769"/>
      <c r="NJJ103" s="769"/>
      <c r="NJK103" s="769"/>
      <c r="NJL103" s="769"/>
      <c r="NJM103" s="769"/>
      <c r="NJN103" s="769"/>
      <c r="NJO103" s="769"/>
      <c r="NJP103" s="769"/>
      <c r="NJQ103" s="769"/>
      <c r="NJR103" s="769"/>
      <c r="NJS103" s="769"/>
      <c r="NJT103" s="769"/>
      <c r="NJU103" s="769"/>
      <c r="NJV103" s="769"/>
      <c r="NJW103" s="769"/>
      <c r="NJX103" s="769"/>
      <c r="NJY103" s="769"/>
      <c r="NJZ103" s="769"/>
      <c r="NKA103" s="769"/>
      <c r="NKB103" s="769"/>
      <c r="NKC103" s="769"/>
      <c r="NKD103" s="769"/>
      <c r="NKE103" s="769"/>
      <c r="NKF103" s="769"/>
      <c r="NKG103" s="769"/>
      <c r="NKH103" s="769"/>
      <c r="NKI103" s="769"/>
      <c r="NKJ103" s="769"/>
      <c r="NKK103" s="769"/>
      <c r="NKL103" s="769"/>
      <c r="NKM103" s="769"/>
      <c r="NKN103" s="769"/>
      <c r="NKO103" s="769"/>
      <c r="NKP103" s="769"/>
      <c r="NKQ103" s="769"/>
      <c r="NKR103" s="769"/>
      <c r="NKS103" s="769"/>
      <c r="NKT103" s="769"/>
      <c r="NKU103" s="769"/>
      <c r="NKV103" s="769"/>
      <c r="NKW103" s="769"/>
      <c r="NKX103" s="769"/>
      <c r="NKY103" s="769"/>
      <c r="NKZ103" s="769"/>
      <c r="NLA103" s="769"/>
      <c r="NLB103" s="769"/>
      <c r="NLC103" s="769"/>
      <c r="NLD103" s="769"/>
      <c r="NLE103" s="769"/>
      <c r="NLF103" s="769"/>
      <c r="NLG103" s="769"/>
      <c r="NLH103" s="769"/>
      <c r="NLI103" s="769"/>
      <c r="NLJ103" s="769"/>
      <c r="NLK103" s="769"/>
      <c r="NLL103" s="769"/>
      <c r="NLM103" s="769"/>
      <c r="NLN103" s="769"/>
      <c r="NLO103" s="769"/>
      <c r="NLP103" s="769"/>
      <c r="NLQ103" s="769"/>
      <c r="NLR103" s="769"/>
      <c r="NLS103" s="769"/>
      <c r="NLT103" s="769"/>
      <c r="NLU103" s="769"/>
      <c r="NLV103" s="769"/>
      <c r="NLW103" s="769"/>
      <c r="NLX103" s="769"/>
      <c r="NLY103" s="769"/>
      <c r="NLZ103" s="769"/>
      <c r="NMA103" s="769"/>
      <c r="NMB103" s="769"/>
      <c r="NMC103" s="769"/>
      <c r="NMD103" s="769"/>
      <c r="NME103" s="769"/>
      <c r="NMF103" s="769"/>
      <c r="NMG103" s="769"/>
      <c r="NMH103" s="769"/>
      <c r="NMI103" s="769"/>
      <c r="NMJ103" s="769"/>
      <c r="NMK103" s="769"/>
      <c r="NML103" s="769"/>
      <c r="NMM103" s="769"/>
      <c r="NMN103" s="769"/>
      <c r="NMO103" s="769"/>
      <c r="NMP103" s="769"/>
      <c r="NMQ103" s="769"/>
      <c r="NMR103" s="769"/>
      <c r="NMS103" s="769"/>
      <c r="NMT103" s="769"/>
      <c r="NMU103" s="769"/>
      <c r="NMV103" s="769"/>
      <c r="NMW103" s="769"/>
      <c r="NMX103" s="769"/>
      <c r="NMY103" s="769"/>
      <c r="NMZ103" s="769"/>
      <c r="NNA103" s="769"/>
      <c r="NNB103" s="769"/>
      <c r="NNC103" s="769"/>
      <c r="NND103" s="769"/>
      <c r="NNE103" s="769"/>
      <c r="NNF103" s="769"/>
      <c r="NNG103" s="769"/>
      <c r="NNH103" s="769"/>
      <c r="NNI103" s="769"/>
      <c r="NNJ103" s="769"/>
      <c r="NNK103" s="769"/>
      <c r="NNL103" s="769"/>
      <c r="NNM103" s="769"/>
      <c r="NNN103" s="769"/>
      <c r="NNO103" s="769"/>
      <c r="NNP103" s="769"/>
      <c r="NNQ103" s="769"/>
      <c r="NNR103" s="769"/>
      <c r="NNS103" s="769"/>
      <c r="NNT103" s="769"/>
      <c r="NNU103" s="769"/>
      <c r="NNV103" s="769"/>
      <c r="NNW103" s="769"/>
      <c r="NNX103" s="769"/>
      <c r="NNY103" s="769"/>
      <c r="NNZ103" s="769"/>
      <c r="NOA103" s="769"/>
      <c r="NOB103" s="769"/>
      <c r="NOC103" s="769"/>
      <c r="NOD103" s="769"/>
      <c r="NOE103" s="769"/>
      <c r="NOF103" s="769"/>
      <c r="NOG103" s="769"/>
      <c r="NOH103" s="769"/>
      <c r="NOI103" s="769"/>
      <c r="NOJ103" s="769"/>
      <c r="NOK103" s="769"/>
      <c r="NOL103" s="769"/>
      <c r="NOM103" s="769"/>
      <c r="NON103" s="769"/>
      <c r="NOO103" s="769"/>
      <c r="NOP103" s="769"/>
      <c r="NOQ103" s="769"/>
      <c r="NOR103" s="769"/>
      <c r="NOS103" s="769"/>
      <c r="NOT103" s="769"/>
      <c r="NOU103" s="769"/>
      <c r="NOV103" s="769"/>
      <c r="NOW103" s="769"/>
      <c r="NOX103" s="769"/>
      <c r="NOY103" s="769"/>
      <c r="NOZ103" s="769"/>
      <c r="NPA103" s="769"/>
      <c r="NPB103" s="769"/>
      <c r="NPC103" s="769"/>
      <c r="NPD103" s="769"/>
      <c r="NPE103" s="769"/>
      <c r="NPF103" s="769"/>
      <c r="NPG103" s="769"/>
      <c r="NPH103" s="769"/>
      <c r="NPI103" s="769"/>
      <c r="NPJ103" s="769"/>
      <c r="NPK103" s="769"/>
      <c r="NPL103" s="769"/>
      <c r="NPM103" s="769"/>
      <c r="NPN103" s="769"/>
      <c r="NPO103" s="769"/>
      <c r="NPP103" s="769"/>
      <c r="NPQ103" s="769"/>
      <c r="NPR103" s="769"/>
      <c r="NPS103" s="769"/>
      <c r="NPT103" s="769"/>
      <c r="NPU103" s="769"/>
      <c r="NPV103" s="769"/>
      <c r="NPW103" s="769"/>
      <c r="NPX103" s="769"/>
      <c r="NPY103" s="769"/>
      <c r="NPZ103" s="769"/>
      <c r="NQA103" s="769"/>
      <c r="NQB103" s="769"/>
      <c r="NQC103" s="769"/>
      <c r="NQD103" s="769"/>
      <c r="NQE103" s="769"/>
      <c r="NQF103" s="769"/>
      <c r="NQG103" s="769"/>
      <c r="NQH103" s="769"/>
      <c r="NQI103" s="769"/>
      <c r="NQJ103" s="769"/>
      <c r="NQK103" s="769"/>
      <c r="NQL103" s="769"/>
      <c r="NQM103" s="769"/>
      <c r="NQN103" s="769"/>
      <c r="NQO103" s="769"/>
      <c r="NQP103" s="769"/>
      <c r="NQQ103" s="769"/>
      <c r="NQR103" s="769"/>
      <c r="NQS103" s="769"/>
      <c r="NQT103" s="769"/>
      <c r="NQU103" s="769"/>
      <c r="NQV103" s="769"/>
      <c r="NQW103" s="769"/>
      <c r="NQX103" s="769"/>
      <c r="NQY103" s="769"/>
      <c r="NQZ103" s="769"/>
      <c r="NRA103" s="769"/>
      <c r="NRB103" s="769"/>
      <c r="NRC103" s="769"/>
      <c r="NRD103" s="769"/>
      <c r="NRE103" s="769"/>
      <c r="NRF103" s="769"/>
      <c r="NRG103" s="769"/>
      <c r="NRH103" s="769"/>
      <c r="NRI103" s="769"/>
      <c r="NRJ103" s="769"/>
      <c r="NRK103" s="769"/>
      <c r="NRL103" s="769"/>
      <c r="NRM103" s="769"/>
      <c r="NRN103" s="769"/>
      <c r="NRO103" s="769"/>
      <c r="NRP103" s="769"/>
      <c r="NRQ103" s="769"/>
      <c r="NRR103" s="769"/>
      <c r="NRS103" s="769"/>
      <c r="NRT103" s="769"/>
      <c r="NRU103" s="769"/>
      <c r="NRV103" s="769"/>
      <c r="NRW103" s="769"/>
      <c r="NRX103" s="769"/>
      <c r="NRY103" s="769"/>
      <c r="NRZ103" s="769"/>
      <c r="NSA103" s="769"/>
      <c r="NSB103" s="769"/>
      <c r="NSC103" s="769"/>
      <c r="NSD103" s="769"/>
      <c r="NSE103" s="769"/>
      <c r="NSF103" s="769"/>
      <c r="NSG103" s="769"/>
      <c r="NSH103" s="769"/>
      <c r="NSI103" s="769"/>
      <c r="NSJ103" s="769"/>
      <c r="NSK103" s="769"/>
      <c r="NSL103" s="769"/>
      <c r="NSM103" s="769"/>
      <c r="NSN103" s="769"/>
      <c r="NSO103" s="769"/>
      <c r="NSP103" s="769"/>
      <c r="NSQ103" s="769"/>
      <c r="NSR103" s="769"/>
      <c r="NSS103" s="769"/>
      <c r="NST103" s="769"/>
      <c r="NSU103" s="769"/>
      <c r="NSV103" s="769"/>
      <c r="NSW103" s="769"/>
      <c r="NSX103" s="769"/>
      <c r="NSY103" s="769"/>
      <c r="NSZ103" s="769"/>
      <c r="NTA103" s="769"/>
      <c r="NTB103" s="769"/>
      <c r="NTC103" s="769"/>
      <c r="NTD103" s="769"/>
      <c r="NTE103" s="769"/>
      <c r="NTF103" s="769"/>
      <c r="NTG103" s="769"/>
      <c r="NTH103" s="769"/>
      <c r="NTI103" s="769"/>
      <c r="NTJ103" s="769"/>
      <c r="NTK103" s="769"/>
      <c r="NTL103" s="769"/>
      <c r="NTM103" s="769"/>
      <c r="NTN103" s="769"/>
      <c r="NTO103" s="769"/>
      <c r="NTP103" s="769"/>
      <c r="NTQ103" s="769"/>
      <c r="NTR103" s="769"/>
      <c r="NTS103" s="769"/>
      <c r="NTT103" s="769"/>
      <c r="NTU103" s="769"/>
      <c r="NTV103" s="769"/>
      <c r="NTW103" s="769"/>
      <c r="NTX103" s="769"/>
      <c r="NTY103" s="769"/>
      <c r="NTZ103" s="769"/>
      <c r="NUA103" s="769"/>
      <c r="NUB103" s="769"/>
      <c r="NUC103" s="769"/>
      <c r="NUD103" s="769"/>
      <c r="NUE103" s="769"/>
      <c r="NUF103" s="769"/>
      <c r="NUG103" s="769"/>
      <c r="NUH103" s="769"/>
      <c r="NUI103" s="769"/>
      <c r="NUJ103" s="769"/>
      <c r="NUK103" s="769"/>
      <c r="NUL103" s="769"/>
      <c r="NUM103" s="769"/>
      <c r="NUN103" s="769"/>
      <c r="NUO103" s="769"/>
      <c r="NUP103" s="769"/>
      <c r="NUQ103" s="769"/>
      <c r="NUR103" s="769"/>
      <c r="NUS103" s="769"/>
      <c r="NUT103" s="769"/>
      <c r="NUU103" s="769"/>
      <c r="NUV103" s="769"/>
      <c r="NUW103" s="769"/>
      <c r="NUX103" s="769"/>
      <c r="NUY103" s="769"/>
      <c r="NUZ103" s="769"/>
      <c r="NVA103" s="769"/>
      <c r="NVB103" s="769"/>
      <c r="NVC103" s="769"/>
      <c r="NVD103" s="769"/>
      <c r="NVE103" s="769"/>
      <c r="NVF103" s="769"/>
      <c r="NVG103" s="769"/>
      <c r="NVH103" s="769"/>
      <c r="NVI103" s="769"/>
      <c r="NVJ103" s="769"/>
      <c r="NVK103" s="769"/>
      <c r="NVL103" s="769"/>
      <c r="NVM103" s="769"/>
      <c r="NVN103" s="769"/>
      <c r="NVO103" s="769"/>
      <c r="NVP103" s="769"/>
      <c r="NVQ103" s="769"/>
      <c r="NVR103" s="769"/>
      <c r="NVS103" s="769"/>
      <c r="NVT103" s="769"/>
      <c r="NVU103" s="769"/>
      <c r="NVV103" s="769"/>
      <c r="NVW103" s="769"/>
      <c r="NVX103" s="769"/>
      <c r="NVY103" s="769"/>
      <c r="NVZ103" s="769"/>
      <c r="NWA103" s="769"/>
      <c r="NWB103" s="769"/>
      <c r="NWC103" s="769"/>
      <c r="NWD103" s="769"/>
      <c r="NWE103" s="769"/>
      <c r="NWF103" s="769"/>
      <c r="NWG103" s="769"/>
      <c r="NWH103" s="769"/>
      <c r="NWI103" s="769"/>
      <c r="NWJ103" s="769"/>
      <c r="NWK103" s="769"/>
      <c r="NWL103" s="769"/>
      <c r="NWM103" s="769"/>
      <c r="NWN103" s="769"/>
      <c r="NWO103" s="769"/>
      <c r="NWP103" s="769"/>
      <c r="NWQ103" s="769"/>
      <c r="NWR103" s="769"/>
      <c r="NWS103" s="769"/>
      <c r="NWT103" s="769"/>
      <c r="NWU103" s="769"/>
      <c r="NWV103" s="769"/>
      <c r="NWW103" s="769"/>
      <c r="NWX103" s="769"/>
      <c r="NWY103" s="769"/>
      <c r="NWZ103" s="769"/>
      <c r="NXA103" s="769"/>
      <c r="NXB103" s="769"/>
      <c r="NXC103" s="769"/>
      <c r="NXD103" s="769"/>
      <c r="NXE103" s="769"/>
      <c r="NXF103" s="769"/>
      <c r="NXG103" s="769"/>
      <c r="NXH103" s="769"/>
      <c r="NXI103" s="769"/>
      <c r="NXJ103" s="769"/>
      <c r="NXK103" s="769"/>
      <c r="NXL103" s="769"/>
      <c r="NXM103" s="769"/>
      <c r="NXN103" s="769"/>
      <c r="NXO103" s="769"/>
      <c r="NXP103" s="769"/>
      <c r="NXQ103" s="769"/>
      <c r="NXR103" s="769"/>
      <c r="NXS103" s="769"/>
      <c r="NXT103" s="769"/>
      <c r="NXU103" s="769"/>
      <c r="NXV103" s="769"/>
      <c r="NXW103" s="769"/>
      <c r="NXX103" s="769"/>
      <c r="NXY103" s="769"/>
      <c r="NXZ103" s="769"/>
      <c r="NYA103" s="769"/>
      <c r="NYB103" s="769"/>
      <c r="NYC103" s="769"/>
      <c r="NYD103" s="769"/>
      <c r="NYE103" s="769"/>
      <c r="NYF103" s="769"/>
      <c r="NYG103" s="769"/>
      <c r="NYH103" s="769"/>
      <c r="NYI103" s="769"/>
      <c r="NYJ103" s="769"/>
      <c r="NYK103" s="769"/>
      <c r="NYL103" s="769"/>
      <c r="NYM103" s="769"/>
      <c r="NYN103" s="769"/>
      <c r="NYO103" s="769"/>
      <c r="NYP103" s="769"/>
      <c r="NYQ103" s="769"/>
      <c r="NYR103" s="769"/>
      <c r="NYS103" s="769"/>
      <c r="NYT103" s="769"/>
      <c r="NYU103" s="769"/>
      <c r="NYV103" s="769"/>
      <c r="NYW103" s="769"/>
      <c r="NYX103" s="769"/>
      <c r="NYY103" s="769"/>
      <c r="NYZ103" s="769"/>
      <c r="NZA103" s="769"/>
      <c r="NZB103" s="769"/>
      <c r="NZC103" s="769"/>
      <c r="NZD103" s="769"/>
      <c r="NZE103" s="769"/>
      <c r="NZF103" s="769"/>
      <c r="NZG103" s="769"/>
      <c r="NZH103" s="769"/>
      <c r="NZI103" s="769"/>
      <c r="NZJ103" s="769"/>
      <c r="NZK103" s="769"/>
      <c r="NZL103" s="769"/>
      <c r="NZM103" s="769"/>
      <c r="NZN103" s="769"/>
      <c r="NZO103" s="769"/>
      <c r="NZP103" s="769"/>
      <c r="NZQ103" s="769"/>
      <c r="NZR103" s="769"/>
      <c r="NZS103" s="769"/>
      <c r="NZT103" s="769"/>
      <c r="NZU103" s="769"/>
      <c r="NZV103" s="769"/>
      <c r="NZW103" s="769"/>
      <c r="NZX103" s="769"/>
      <c r="NZY103" s="769"/>
      <c r="NZZ103" s="769"/>
      <c r="OAA103" s="769"/>
      <c r="OAB103" s="769"/>
      <c r="OAC103" s="769"/>
      <c r="OAD103" s="769"/>
      <c r="OAE103" s="769"/>
      <c r="OAF103" s="769"/>
      <c r="OAG103" s="769"/>
      <c r="OAH103" s="769"/>
      <c r="OAI103" s="769"/>
      <c r="OAJ103" s="769"/>
      <c r="OAK103" s="769"/>
      <c r="OAL103" s="769"/>
      <c r="OAM103" s="769"/>
      <c r="OAN103" s="769"/>
      <c r="OAO103" s="769"/>
      <c r="OAP103" s="769"/>
      <c r="OAQ103" s="769"/>
      <c r="OAR103" s="769"/>
      <c r="OAS103" s="769"/>
      <c r="OAT103" s="769"/>
      <c r="OAU103" s="769"/>
      <c r="OAV103" s="769"/>
      <c r="OAW103" s="769"/>
      <c r="OAX103" s="769"/>
      <c r="OAY103" s="769"/>
      <c r="OAZ103" s="769"/>
      <c r="OBA103" s="769"/>
      <c r="OBB103" s="769"/>
      <c r="OBC103" s="769"/>
      <c r="OBD103" s="769"/>
      <c r="OBE103" s="769"/>
      <c r="OBF103" s="769"/>
      <c r="OBG103" s="769"/>
      <c r="OBH103" s="769"/>
      <c r="OBI103" s="769"/>
      <c r="OBJ103" s="769"/>
      <c r="OBK103" s="769"/>
      <c r="OBL103" s="769"/>
      <c r="OBM103" s="769"/>
      <c r="OBN103" s="769"/>
      <c r="OBO103" s="769"/>
      <c r="OBP103" s="769"/>
      <c r="OBQ103" s="769"/>
      <c r="OBR103" s="769"/>
      <c r="OBS103" s="769"/>
      <c r="OBT103" s="769"/>
      <c r="OBU103" s="769"/>
      <c r="OBV103" s="769"/>
      <c r="OBW103" s="769"/>
      <c r="OBX103" s="769"/>
      <c r="OBY103" s="769"/>
      <c r="OBZ103" s="769"/>
      <c r="OCA103" s="769"/>
      <c r="OCB103" s="769"/>
      <c r="OCC103" s="769"/>
      <c r="OCD103" s="769"/>
      <c r="OCE103" s="769"/>
      <c r="OCF103" s="769"/>
      <c r="OCG103" s="769"/>
      <c r="OCH103" s="769"/>
      <c r="OCI103" s="769"/>
      <c r="OCJ103" s="769"/>
      <c r="OCK103" s="769"/>
      <c r="OCL103" s="769"/>
      <c r="OCM103" s="769"/>
      <c r="OCN103" s="769"/>
      <c r="OCO103" s="769"/>
      <c r="OCP103" s="769"/>
      <c r="OCQ103" s="769"/>
      <c r="OCR103" s="769"/>
      <c r="OCS103" s="769"/>
      <c r="OCT103" s="769"/>
      <c r="OCU103" s="769"/>
      <c r="OCV103" s="769"/>
      <c r="OCW103" s="769"/>
      <c r="OCX103" s="769"/>
      <c r="OCY103" s="769"/>
      <c r="OCZ103" s="769"/>
      <c r="ODA103" s="769"/>
      <c r="ODB103" s="769"/>
      <c r="ODC103" s="769"/>
      <c r="ODD103" s="769"/>
      <c r="ODE103" s="769"/>
      <c r="ODF103" s="769"/>
      <c r="ODG103" s="769"/>
      <c r="ODH103" s="769"/>
      <c r="ODI103" s="769"/>
      <c r="ODJ103" s="769"/>
      <c r="ODK103" s="769"/>
      <c r="ODL103" s="769"/>
      <c r="ODM103" s="769"/>
      <c r="ODN103" s="769"/>
      <c r="ODO103" s="769"/>
      <c r="ODP103" s="769"/>
      <c r="ODQ103" s="769"/>
      <c r="ODR103" s="769"/>
      <c r="ODS103" s="769"/>
      <c r="ODT103" s="769"/>
      <c r="ODU103" s="769"/>
      <c r="ODV103" s="769"/>
      <c r="ODW103" s="769"/>
      <c r="ODX103" s="769"/>
      <c r="ODY103" s="769"/>
      <c r="ODZ103" s="769"/>
      <c r="OEA103" s="769"/>
      <c r="OEB103" s="769"/>
      <c r="OEC103" s="769"/>
      <c r="OED103" s="769"/>
      <c r="OEE103" s="769"/>
      <c r="OEF103" s="769"/>
      <c r="OEG103" s="769"/>
      <c r="OEH103" s="769"/>
      <c r="OEI103" s="769"/>
      <c r="OEJ103" s="769"/>
      <c r="OEK103" s="769"/>
      <c r="OEL103" s="769"/>
      <c r="OEM103" s="769"/>
      <c r="OEN103" s="769"/>
      <c r="OEO103" s="769"/>
      <c r="OEP103" s="769"/>
      <c r="OEQ103" s="769"/>
      <c r="OER103" s="769"/>
      <c r="OES103" s="769"/>
      <c r="OET103" s="769"/>
      <c r="OEU103" s="769"/>
      <c r="OEV103" s="769"/>
      <c r="OEW103" s="769"/>
      <c r="OEX103" s="769"/>
      <c r="OEY103" s="769"/>
      <c r="OEZ103" s="769"/>
      <c r="OFA103" s="769"/>
      <c r="OFB103" s="769"/>
      <c r="OFC103" s="769"/>
      <c r="OFD103" s="769"/>
      <c r="OFE103" s="769"/>
      <c r="OFF103" s="769"/>
      <c r="OFG103" s="769"/>
      <c r="OFH103" s="769"/>
      <c r="OFI103" s="769"/>
      <c r="OFJ103" s="769"/>
      <c r="OFK103" s="769"/>
      <c r="OFL103" s="769"/>
      <c r="OFM103" s="769"/>
      <c r="OFN103" s="769"/>
      <c r="OFO103" s="769"/>
      <c r="OFP103" s="769"/>
      <c r="OFQ103" s="769"/>
      <c r="OFR103" s="769"/>
      <c r="OFS103" s="769"/>
      <c r="OFT103" s="769"/>
      <c r="OFU103" s="769"/>
      <c r="OFV103" s="769"/>
      <c r="OFW103" s="769"/>
      <c r="OFX103" s="769"/>
      <c r="OFY103" s="769"/>
      <c r="OFZ103" s="769"/>
      <c r="OGA103" s="769"/>
      <c r="OGB103" s="769"/>
      <c r="OGC103" s="769"/>
      <c r="OGD103" s="769"/>
      <c r="OGE103" s="769"/>
      <c r="OGF103" s="769"/>
      <c r="OGG103" s="769"/>
      <c r="OGH103" s="769"/>
      <c r="OGI103" s="769"/>
      <c r="OGJ103" s="769"/>
      <c r="OGK103" s="769"/>
      <c r="OGL103" s="769"/>
      <c r="OGM103" s="769"/>
      <c r="OGN103" s="769"/>
      <c r="OGO103" s="769"/>
      <c r="OGP103" s="769"/>
      <c r="OGQ103" s="769"/>
      <c r="OGR103" s="769"/>
      <c r="OGS103" s="769"/>
      <c r="OGT103" s="769"/>
      <c r="OGU103" s="769"/>
      <c r="OGV103" s="769"/>
      <c r="OGW103" s="769"/>
      <c r="OGX103" s="769"/>
      <c r="OGY103" s="769"/>
      <c r="OGZ103" s="769"/>
      <c r="OHA103" s="769"/>
      <c r="OHB103" s="769"/>
      <c r="OHC103" s="769"/>
      <c r="OHD103" s="769"/>
      <c r="OHE103" s="769"/>
      <c r="OHF103" s="769"/>
      <c r="OHG103" s="769"/>
      <c r="OHH103" s="769"/>
      <c r="OHI103" s="769"/>
      <c r="OHJ103" s="769"/>
      <c r="OHK103" s="769"/>
      <c r="OHL103" s="769"/>
      <c r="OHM103" s="769"/>
      <c r="OHN103" s="769"/>
      <c r="OHO103" s="769"/>
      <c r="OHP103" s="769"/>
      <c r="OHQ103" s="769"/>
      <c r="OHR103" s="769"/>
      <c r="OHS103" s="769"/>
      <c r="OHT103" s="769"/>
      <c r="OHU103" s="769"/>
      <c r="OHV103" s="769"/>
      <c r="OHW103" s="769"/>
      <c r="OHX103" s="769"/>
      <c r="OHY103" s="769"/>
      <c r="OHZ103" s="769"/>
      <c r="OIA103" s="769"/>
      <c r="OIB103" s="769"/>
      <c r="OIC103" s="769"/>
      <c r="OID103" s="769"/>
      <c r="OIE103" s="769"/>
      <c r="OIF103" s="769"/>
      <c r="OIG103" s="769"/>
      <c r="OIH103" s="769"/>
      <c r="OII103" s="769"/>
      <c r="OIJ103" s="769"/>
      <c r="OIK103" s="769"/>
      <c r="OIL103" s="769"/>
      <c r="OIM103" s="769"/>
      <c r="OIN103" s="769"/>
      <c r="OIO103" s="769"/>
      <c r="OIP103" s="769"/>
      <c r="OIQ103" s="769"/>
      <c r="OIR103" s="769"/>
      <c r="OIS103" s="769"/>
      <c r="OIT103" s="769"/>
      <c r="OIU103" s="769"/>
      <c r="OIV103" s="769"/>
      <c r="OIW103" s="769"/>
      <c r="OIX103" s="769"/>
      <c r="OIY103" s="769"/>
      <c r="OIZ103" s="769"/>
      <c r="OJA103" s="769"/>
      <c r="OJB103" s="769"/>
      <c r="OJC103" s="769"/>
      <c r="OJD103" s="769"/>
      <c r="OJE103" s="769"/>
      <c r="OJF103" s="769"/>
      <c r="OJG103" s="769"/>
      <c r="OJH103" s="769"/>
      <c r="OJI103" s="769"/>
      <c r="OJJ103" s="769"/>
      <c r="OJK103" s="769"/>
      <c r="OJL103" s="769"/>
      <c r="OJM103" s="769"/>
      <c r="OJN103" s="769"/>
      <c r="OJO103" s="769"/>
      <c r="OJP103" s="769"/>
      <c r="OJQ103" s="769"/>
      <c r="OJR103" s="769"/>
      <c r="OJS103" s="769"/>
      <c r="OJT103" s="769"/>
      <c r="OJU103" s="769"/>
      <c r="OJV103" s="769"/>
      <c r="OJW103" s="769"/>
      <c r="OJX103" s="769"/>
      <c r="OJY103" s="769"/>
      <c r="OJZ103" s="769"/>
      <c r="OKA103" s="769"/>
      <c r="OKB103" s="769"/>
      <c r="OKC103" s="769"/>
      <c r="OKD103" s="769"/>
      <c r="OKE103" s="769"/>
      <c r="OKF103" s="769"/>
      <c r="OKG103" s="769"/>
      <c r="OKH103" s="769"/>
      <c r="OKI103" s="769"/>
      <c r="OKJ103" s="769"/>
      <c r="OKK103" s="769"/>
      <c r="OKL103" s="769"/>
      <c r="OKM103" s="769"/>
      <c r="OKN103" s="769"/>
      <c r="OKO103" s="769"/>
      <c r="OKP103" s="769"/>
      <c r="OKQ103" s="769"/>
      <c r="OKR103" s="769"/>
      <c r="OKS103" s="769"/>
      <c r="OKT103" s="769"/>
      <c r="OKU103" s="769"/>
      <c r="OKV103" s="769"/>
      <c r="OKW103" s="769"/>
      <c r="OKX103" s="769"/>
      <c r="OKY103" s="769"/>
      <c r="OKZ103" s="769"/>
      <c r="OLA103" s="769"/>
      <c r="OLB103" s="769"/>
      <c r="OLC103" s="769"/>
      <c r="OLD103" s="769"/>
      <c r="OLE103" s="769"/>
      <c r="OLF103" s="769"/>
      <c r="OLG103" s="769"/>
      <c r="OLH103" s="769"/>
      <c r="OLI103" s="769"/>
      <c r="OLJ103" s="769"/>
      <c r="OLK103" s="769"/>
      <c r="OLL103" s="769"/>
      <c r="OLM103" s="769"/>
      <c r="OLN103" s="769"/>
      <c r="OLO103" s="769"/>
      <c r="OLP103" s="769"/>
      <c r="OLQ103" s="769"/>
      <c r="OLR103" s="769"/>
      <c r="OLS103" s="769"/>
      <c r="OLT103" s="769"/>
      <c r="OLU103" s="769"/>
      <c r="OLV103" s="769"/>
      <c r="OLW103" s="769"/>
      <c r="OLX103" s="769"/>
      <c r="OLY103" s="769"/>
      <c r="OLZ103" s="769"/>
      <c r="OMA103" s="769"/>
      <c r="OMB103" s="769"/>
      <c r="OMC103" s="769"/>
      <c r="OMD103" s="769"/>
      <c r="OME103" s="769"/>
      <c r="OMF103" s="769"/>
      <c r="OMG103" s="769"/>
      <c r="OMH103" s="769"/>
      <c r="OMI103" s="769"/>
      <c r="OMJ103" s="769"/>
      <c r="OMK103" s="769"/>
      <c r="OML103" s="769"/>
      <c r="OMM103" s="769"/>
      <c r="OMN103" s="769"/>
      <c r="OMO103" s="769"/>
      <c r="OMP103" s="769"/>
      <c r="OMQ103" s="769"/>
      <c r="OMR103" s="769"/>
      <c r="OMS103" s="769"/>
      <c r="OMT103" s="769"/>
      <c r="OMU103" s="769"/>
      <c r="OMV103" s="769"/>
      <c r="OMW103" s="769"/>
      <c r="OMX103" s="769"/>
      <c r="OMY103" s="769"/>
      <c r="OMZ103" s="769"/>
      <c r="ONA103" s="769"/>
      <c r="ONB103" s="769"/>
      <c r="ONC103" s="769"/>
      <c r="OND103" s="769"/>
      <c r="ONE103" s="769"/>
      <c r="ONF103" s="769"/>
      <c r="ONG103" s="769"/>
      <c r="ONH103" s="769"/>
      <c r="ONI103" s="769"/>
      <c r="ONJ103" s="769"/>
      <c r="ONK103" s="769"/>
      <c r="ONL103" s="769"/>
      <c r="ONM103" s="769"/>
      <c r="ONN103" s="769"/>
      <c r="ONO103" s="769"/>
      <c r="ONP103" s="769"/>
      <c r="ONQ103" s="769"/>
      <c r="ONR103" s="769"/>
      <c r="ONS103" s="769"/>
      <c r="ONT103" s="769"/>
      <c r="ONU103" s="769"/>
      <c r="ONV103" s="769"/>
      <c r="ONW103" s="769"/>
      <c r="ONX103" s="769"/>
      <c r="ONY103" s="769"/>
      <c r="ONZ103" s="769"/>
      <c r="OOA103" s="769"/>
      <c r="OOB103" s="769"/>
      <c r="OOC103" s="769"/>
      <c r="OOD103" s="769"/>
      <c r="OOE103" s="769"/>
      <c r="OOF103" s="769"/>
      <c r="OOG103" s="769"/>
      <c r="OOH103" s="769"/>
      <c r="OOI103" s="769"/>
      <c r="OOJ103" s="769"/>
      <c r="OOK103" s="769"/>
      <c r="OOL103" s="769"/>
      <c r="OOM103" s="769"/>
      <c r="OON103" s="769"/>
      <c r="OOO103" s="769"/>
      <c r="OOP103" s="769"/>
      <c r="OOQ103" s="769"/>
      <c r="OOR103" s="769"/>
      <c r="OOS103" s="769"/>
      <c r="OOT103" s="769"/>
      <c r="OOU103" s="769"/>
      <c r="OOV103" s="769"/>
      <c r="OOW103" s="769"/>
      <c r="OOX103" s="769"/>
      <c r="OOY103" s="769"/>
      <c r="OOZ103" s="769"/>
      <c r="OPA103" s="769"/>
      <c r="OPB103" s="769"/>
      <c r="OPC103" s="769"/>
      <c r="OPD103" s="769"/>
      <c r="OPE103" s="769"/>
      <c r="OPF103" s="769"/>
      <c r="OPG103" s="769"/>
      <c r="OPH103" s="769"/>
      <c r="OPI103" s="769"/>
      <c r="OPJ103" s="769"/>
      <c r="OPK103" s="769"/>
      <c r="OPL103" s="769"/>
      <c r="OPM103" s="769"/>
      <c r="OPN103" s="769"/>
      <c r="OPO103" s="769"/>
      <c r="OPP103" s="769"/>
      <c r="OPQ103" s="769"/>
      <c r="OPR103" s="769"/>
      <c r="OPS103" s="769"/>
      <c r="OPT103" s="769"/>
      <c r="OPU103" s="769"/>
      <c r="OPV103" s="769"/>
      <c r="OPW103" s="769"/>
      <c r="OPX103" s="769"/>
      <c r="OPY103" s="769"/>
      <c r="OPZ103" s="769"/>
      <c r="OQA103" s="769"/>
      <c r="OQB103" s="769"/>
      <c r="OQC103" s="769"/>
      <c r="OQD103" s="769"/>
      <c r="OQE103" s="769"/>
      <c r="OQF103" s="769"/>
      <c r="OQG103" s="769"/>
      <c r="OQH103" s="769"/>
      <c r="OQI103" s="769"/>
      <c r="OQJ103" s="769"/>
      <c r="OQK103" s="769"/>
      <c r="OQL103" s="769"/>
      <c r="OQM103" s="769"/>
      <c r="OQN103" s="769"/>
      <c r="OQO103" s="769"/>
      <c r="OQP103" s="769"/>
      <c r="OQQ103" s="769"/>
      <c r="OQR103" s="769"/>
      <c r="OQS103" s="769"/>
      <c r="OQT103" s="769"/>
      <c r="OQU103" s="769"/>
      <c r="OQV103" s="769"/>
      <c r="OQW103" s="769"/>
      <c r="OQX103" s="769"/>
      <c r="OQY103" s="769"/>
      <c r="OQZ103" s="769"/>
      <c r="ORA103" s="769"/>
      <c r="ORB103" s="769"/>
      <c r="ORC103" s="769"/>
      <c r="ORD103" s="769"/>
      <c r="ORE103" s="769"/>
      <c r="ORF103" s="769"/>
      <c r="ORG103" s="769"/>
      <c r="ORH103" s="769"/>
      <c r="ORI103" s="769"/>
      <c r="ORJ103" s="769"/>
      <c r="ORK103" s="769"/>
      <c r="ORL103" s="769"/>
      <c r="ORM103" s="769"/>
      <c r="ORN103" s="769"/>
      <c r="ORO103" s="769"/>
      <c r="ORP103" s="769"/>
      <c r="ORQ103" s="769"/>
      <c r="ORR103" s="769"/>
      <c r="ORS103" s="769"/>
      <c r="ORT103" s="769"/>
      <c r="ORU103" s="769"/>
      <c r="ORV103" s="769"/>
      <c r="ORW103" s="769"/>
      <c r="ORX103" s="769"/>
      <c r="ORY103" s="769"/>
      <c r="ORZ103" s="769"/>
      <c r="OSA103" s="769"/>
      <c r="OSB103" s="769"/>
      <c r="OSC103" s="769"/>
      <c r="OSD103" s="769"/>
      <c r="OSE103" s="769"/>
      <c r="OSF103" s="769"/>
      <c r="OSG103" s="769"/>
      <c r="OSH103" s="769"/>
      <c r="OSI103" s="769"/>
      <c r="OSJ103" s="769"/>
      <c r="OSK103" s="769"/>
      <c r="OSL103" s="769"/>
      <c r="OSM103" s="769"/>
      <c r="OSN103" s="769"/>
      <c r="OSO103" s="769"/>
      <c r="OSP103" s="769"/>
      <c r="OSQ103" s="769"/>
      <c r="OSR103" s="769"/>
      <c r="OSS103" s="769"/>
      <c r="OST103" s="769"/>
      <c r="OSU103" s="769"/>
      <c r="OSV103" s="769"/>
      <c r="OSW103" s="769"/>
      <c r="OSX103" s="769"/>
      <c r="OSY103" s="769"/>
      <c r="OSZ103" s="769"/>
      <c r="OTA103" s="769"/>
      <c r="OTB103" s="769"/>
      <c r="OTC103" s="769"/>
      <c r="OTD103" s="769"/>
      <c r="OTE103" s="769"/>
      <c r="OTF103" s="769"/>
      <c r="OTG103" s="769"/>
      <c r="OTH103" s="769"/>
      <c r="OTI103" s="769"/>
      <c r="OTJ103" s="769"/>
      <c r="OTK103" s="769"/>
      <c r="OTL103" s="769"/>
      <c r="OTM103" s="769"/>
      <c r="OTN103" s="769"/>
      <c r="OTO103" s="769"/>
      <c r="OTP103" s="769"/>
      <c r="OTQ103" s="769"/>
      <c r="OTR103" s="769"/>
      <c r="OTS103" s="769"/>
      <c r="OTT103" s="769"/>
      <c r="OTU103" s="769"/>
      <c r="OTV103" s="769"/>
      <c r="OTW103" s="769"/>
      <c r="OTX103" s="769"/>
      <c r="OTY103" s="769"/>
      <c r="OTZ103" s="769"/>
      <c r="OUA103" s="769"/>
      <c r="OUB103" s="769"/>
      <c r="OUC103" s="769"/>
      <c r="OUD103" s="769"/>
      <c r="OUE103" s="769"/>
      <c r="OUF103" s="769"/>
      <c r="OUG103" s="769"/>
      <c r="OUH103" s="769"/>
      <c r="OUI103" s="769"/>
      <c r="OUJ103" s="769"/>
      <c r="OUK103" s="769"/>
      <c r="OUL103" s="769"/>
      <c r="OUM103" s="769"/>
      <c r="OUN103" s="769"/>
      <c r="OUO103" s="769"/>
      <c r="OUP103" s="769"/>
      <c r="OUQ103" s="769"/>
      <c r="OUR103" s="769"/>
      <c r="OUS103" s="769"/>
      <c r="OUT103" s="769"/>
      <c r="OUU103" s="769"/>
      <c r="OUV103" s="769"/>
      <c r="OUW103" s="769"/>
      <c r="OUX103" s="769"/>
      <c r="OUY103" s="769"/>
      <c r="OUZ103" s="769"/>
      <c r="OVA103" s="769"/>
      <c r="OVB103" s="769"/>
      <c r="OVC103" s="769"/>
      <c r="OVD103" s="769"/>
      <c r="OVE103" s="769"/>
      <c r="OVF103" s="769"/>
      <c r="OVG103" s="769"/>
      <c r="OVH103" s="769"/>
      <c r="OVI103" s="769"/>
      <c r="OVJ103" s="769"/>
      <c r="OVK103" s="769"/>
      <c r="OVL103" s="769"/>
      <c r="OVM103" s="769"/>
      <c r="OVN103" s="769"/>
      <c r="OVO103" s="769"/>
      <c r="OVP103" s="769"/>
      <c r="OVQ103" s="769"/>
      <c r="OVR103" s="769"/>
      <c r="OVS103" s="769"/>
      <c r="OVT103" s="769"/>
      <c r="OVU103" s="769"/>
      <c r="OVV103" s="769"/>
      <c r="OVW103" s="769"/>
      <c r="OVX103" s="769"/>
      <c r="OVY103" s="769"/>
      <c r="OVZ103" s="769"/>
      <c r="OWA103" s="769"/>
      <c r="OWB103" s="769"/>
      <c r="OWC103" s="769"/>
      <c r="OWD103" s="769"/>
      <c r="OWE103" s="769"/>
      <c r="OWF103" s="769"/>
      <c r="OWG103" s="769"/>
      <c r="OWH103" s="769"/>
      <c r="OWI103" s="769"/>
      <c r="OWJ103" s="769"/>
      <c r="OWK103" s="769"/>
      <c r="OWL103" s="769"/>
      <c r="OWM103" s="769"/>
      <c r="OWN103" s="769"/>
      <c r="OWO103" s="769"/>
      <c r="OWP103" s="769"/>
      <c r="OWQ103" s="769"/>
      <c r="OWR103" s="769"/>
      <c r="OWS103" s="769"/>
      <c r="OWT103" s="769"/>
      <c r="OWU103" s="769"/>
      <c r="OWV103" s="769"/>
      <c r="OWW103" s="769"/>
      <c r="OWX103" s="769"/>
      <c r="OWY103" s="769"/>
      <c r="OWZ103" s="769"/>
      <c r="OXA103" s="769"/>
      <c r="OXB103" s="769"/>
      <c r="OXC103" s="769"/>
      <c r="OXD103" s="769"/>
      <c r="OXE103" s="769"/>
      <c r="OXF103" s="769"/>
      <c r="OXG103" s="769"/>
      <c r="OXH103" s="769"/>
      <c r="OXI103" s="769"/>
      <c r="OXJ103" s="769"/>
      <c r="OXK103" s="769"/>
      <c r="OXL103" s="769"/>
      <c r="OXM103" s="769"/>
      <c r="OXN103" s="769"/>
      <c r="OXO103" s="769"/>
      <c r="OXP103" s="769"/>
      <c r="OXQ103" s="769"/>
      <c r="OXR103" s="769"/>
      <c r="OXS103" s="769"/>
      <c r="OXT103" s="769"/>
      <c r="OXU103" s="769"/>
      <c r="OXV103" s="769"/>
      <c r="OXW103" s="769"/>
      <c r="OXX103" s="769"/>
      <c r="OXY103" s="769"/>
      <c r="OXZ103" s="769"/>
      <c r="OYA103" s="769"/>
      <c r="OYB103" s="769"/>
      <c r="OYC103" s="769"/>
      <c r="OYD103" s="769"/>
      <c r="OYE103" s="769"/>
      <c r="OYF103" s="769"/>
      <c r="OYG103" s="769"/>
      <c r="OYH103" s="769"/>
      <c r="OYI103" s="769"/>
      <c r="OYJ103" s="769"/>
      <c r="OYK103" s="769"/>
      <c r="OYL103" s="769"/>
      <c r="OYM103" s="769"/>
      <c r="OYN103" s="769"/>
      <c r="OYO103" s="769"/>
      <c r="OYP103" s="769"/>
      <c r="OYQ103" s="769"/>
      <c r="OYR103" s="769"/>
      <c r="OYS103" s="769"/>
      <c r="OYT103" s="769"/>
      <c r="OYU103" s="769"/>
      <c r="OYV103" s="769"/>
      <c r="OYW103" s="769"/>
      <c r="OYX103" s="769"/>
      <c r="OYY103" s="769"/>
      <c r="OYZ103" s="769"/>
      <c r="OZA103" s="769"/>
      <c r="OZB103" s="769"/>
      <c r="OZC103" s="769"/>
      <c r="OZD103" s="769"/>
      <c r="OZE103" s="769"/>
      <c r="OZF103" s="769"/>
      <c r="OZG103" s="769"/>
      <c r="OZH103" s="769"/>
      <c r="OZI103" s="769"/>
      <c r="OZJ103" s="769"/>
      <c r="OZK103" s="769"/>
      <c r="OZL103" s="769"/>
      <c r="OZM103" s="769"/>
      <c r="OZN103" s="769"/>
      <c r="OZO103" s="769"/>
      <c r="OZP103" s="769"/>
      <c r="OZQ103" s="769"/>
      <c r="OZR103" s="769"/>
      <c r="OZS103" s="769"/>
      <c r="OZT103" s="769"/>
      <c r="OZU103" s="769"/>
      <c r="OZV103" s="769"/>
      <c r="OZW103" s="769"/>
      <c r="OZX103" s="769"/>
      <c r="OZY103" s="769"/>
      <c r="OZZ103" s="769"/>
      <c r="PAA103" s="769"/>
      <c r="PAB103" s="769"/>
      <c r="PAC103" s="769"/>
      <c r="PAD103" s="769"/>
      <c r="PAE103" s="769"/>
      <c r="PAF103" s="769"/>
      <c r="PAG103" s="769"/>
      <c r="PAH103" s="769"/>
      <c r="PAI103" s="769"/>
      <c r="PAJ103" s="769"/>
      <c r="PAK103" s="769"/>
      <c r="PAL103" s="769"/>
      <c r="PAM103" s="769"/>
      <c r="PAN103" s="769"/>
      <c r="PAO103" s="769"/>
      <c r="PAP103" s="769"/>
      <c r="PAQ103" s="769"/>
      <c r="PAR103" s="769"/>
      <c r="PAS103" s="769"/>
      <c r="PAT103" s="769"/>
      <c r="PAU103" s="769"/>
      <c r="PAV103" s="769"/>
      <c r="PAW103" s="769"/>
      <c r="PAX103" s="769"/>
      <c r="PAY103" s="769"/>
      <c r="PAZ103" s="769"/>
      <c r="PBA103" s="769"/>
      <c r="PBB103" s="769"/>
      <c r="PBC103" s="769"/>
      <c r="PBD103" s="769"/>
      <c r="PBE103" s="769"/>
      <c r="PBF103" s="769"/>
      <c r="PBG103" s="769"/>
      <c r="PBH103" s="769"/>
      <c r="PBI103" s="769"/>
      <c r="PBJ103" s="769"/>
      <c r="PBK103" s="769"/>
      <c r="PBL103" s="769"/>
      <c r="PBM103" s="769"/>
      <c r="PBN103" s="769"/>
      <c r="PBO103" s="769"/>
      <c r="PBP103" s="769"/>
      <c r="PBQ103" s="769"/>
      <c r="PBR103" s="769"/>
      <c r="PBS103" s="769"/>
      <c r="PBT103" s="769"/>
      <c r="PBU103" s="769"/>
      <c r="PBV103" s="769"/>
      <c r="PBW103" s="769"/>
      <c r="PBX103" s="769"/>
      <c r="PBY103" s="769"/>
      <c r="PBZ103" s="769"/>
      <c r="PCA103" s="769"/>
      <c r="PCB103" s="769"/>
      <c r="PCC103" s="769"/>
      <c r="PCD103" s="769"/>
      <c r="PCE103" s="769"/>
      <c r="PCF103" s="769"/>
      <c r="PCG103" s="769"/>
      <c r="PCH103" s="769"/>
      <c r="PCI103" s="769"/>
      <c r="PCJ103" s="769"/>
      <c r="PCK103" s="769"/>
      <c r="PCL103" s="769"/>
      <c r="PCM103" s="769"/>
      <c r="PCN103" s="769"/>
      <c r="PCO103" s="769"/>
      <c r="PCP103" s="769"/>
      <c r="PCQ103" s="769"/>
      <c r="PCR103" s="769"/>
      <c r="PCS103" s="769"/>
      <c r="PCT103" s="769"/>
      <c r="PCU103" s="769"/>
      <c r="PCV103" s="769"/>
      <c r="PCW103" s="769"/>
      <c r="PCX103" s="769"/>
      <c r="PCY103" s="769"/>
      <c r="PCZ103" s="769"/>
      <c r="PDA103" s="769"/>
      <c r="PDB103" s="769"/>
      <c r="PDC103" s="769"/>
      <c r="PDD103" s="769"/>
      <c r="PDE103" s="769"/>
      <c r="PDF103" s="769"/>
      <c r="PDG103" s="769"/>
      <c r="PDH103" s="769"/>
      <c r="PDI103" s="769"/>
      <c r="PDJ103" s="769"/>
      <c r="PDK103" s="769"/>
      <c r="PDL103" s="769"/>
      <c r="PDM103" s="769"/>
      <c r="PDN103" s="769"/>
      <c r="PDO103" s="769"/>
      <c r="PDP103" s="769"/>
      <c r="PDQ103" s="769"/>
      <c r="PDR103" s="769"/>
      <c r="PDS103" s="769"/>
      <c r="PDT103" s="769"/>
      <c r="PDU103" s="769"/>
      <c r="PDV103" s="769"/>
      <c r="PDW103" s="769"/>
      <c r="PDX103" s="769"/>
      <c r="PDY103" s="769"/>
      <c r="PDZ103" s="769"/>
      <c r="PEA103" s="769"/>
      <c r="PEB103" s="769"/>
      <c r="PEC103" s="769"/>
      <c r="PED103" s="769"/>
      <c r="PEE103" s="769"/>
      <c r="PEF103" s="769"/>
      <c r="PEG103" s="769"/>
      <c r="PEH103" s="769"/>
      <c r="PEI103" s="769"/>
      <c r="PEJ103" s="769"/>
      <c r="PEK103" s="769"/>
      <c r="PEL103" s="769"/>
      <c r="PEM103" s="769"/>
      <c r="PEN103" s="769"/>
      <c r="PEO103" s="769"/>
      <c r="PEP103" s="769"/>
      <c r="PEQ103" s="769"/>
      <c r="PER103" s="769"/>
      <c r="PES103" s="769"/>
      <c r="PET103" s="769"/>
      <c r="PEU103" s="769"/>
      <c r="PEV103" s="769"/>
      <c r="PEW103" s="769"/>
      <c r="PEX103" s="769"/>
      <c r="PEY103" s="769"/>
      <c r="PEZ103" s="769"/>
      <c r="PFA103" s="769"/>
      <c r="PFB103" s="769"/>
      <c r="PFC103" s="769"/>
      <c r="PFD103" s="769"/>
      <c r="PFE103" s="769"/>
      <c r="PFF103" s="769"/>
      <c r="PFG103" s="769"/>
      <c r="PFH103" s="769"/>
      <c r="PFI103" s="769"/>
      <c r="PFJ103" s="769"/>
      <c r="PFK103" s="769"/>
      <c r="PFL103" s="769"/>
      <c r="PFM103" s="769"/>
      <c r="PFN103" s="769"/>
      <c r="PFO103" s="769"/>
      <c r="PFP103" s="769"/>
      <c r="PFQ103" s="769"/>
      <c r="PFR103" s="769"/>
      <c r="PFS103" s="769"/>
      <c r="PFT103" s="769"/>
      <c r="PFU103" s="769"/>
      <c r="PFV103" s="769"/>
      <c r="PFW103" s="769"/>
      <c r="PFX103" s="769"/>
      <c r="PFY103" s="769"/>
      <c r="PFZ103" s="769"/>
      <c r="PGA103" s="769"/>
      <c r="PGB103" s="769"/>
      <c r="PGC103" s="769"/>
      <c r="PGD103" s="769"/>
      <c r="PGE103" s="769"/>
      <c r="PGF103" s="769"/>
      <c r="PGG103" s="769"/>
      <c r="PGH103" s="769"/>
      <c r="PGI103" s="769"/>
      <c r="PGJ103" s="769"/>
      <c r="PGK103" s="769"/>
      <c r="PGL103" s="769"/>
      <c r="PGM103" s="769"/>
      <c r="PGN103" s="769"/>
      <c r="PGO103" s="769"/>
      <c r="PGP103" s="769"/>
      <c r="PGQ103" s="769"/>
      <c r="PGR103" s="769"/>
      <c r="PGS103" s="769"/>
      <c r="PGT103" s="769"/>
      <c r="PGU103" s="769"/>
      <c r="PGV103" s="769"/>
      <c r="PGW103" s="769"/>
      <c r="PGX103" s="769"/>
      <c r="PGY103" s="769"/>
      <c r="PGZ103" s="769"/>
      <c r="PHA103" s="769"/>
      <c r="PHB103" s="769"/>
      <c r="PHC103" s="769"/>
      <c r="PHD103" s="769"/>
      <c r="PHE103" s="769"/>
      <c r="PHF103" s="769"/>
      <c r="PHG103" s="769"/>
      <c r="PHH103" s="769"/>
      <c r="PHI103" s="769"/>
      <c r="PHJ103" s="769"/>
      <c r="PHK103" s="769"/>
      <c r="PHL103" s="769"/>
      <c r="PHM103" s="769"/>
      <c r="PHN103" s="769"/>
      <c r="PHO103" s="769"/>
      <c r="PHP103" s="769"/>
      <c r="PHQ103" s="769"/>
      <c r="PHR103" s="769"/>
      <c r="PHS103" s="769"/>
      <c r="PHT103" s="769"/>
      <c r="PHU103" s="769"/>
      <c r="PHV103" s="769"/>
      <c r="PHW103" s="769"/>
      <c r="PHX103" s="769"/>
      <c r="PHY103" s="769"/>
      <c r="PHZ103" s="769"/>
      <c r="PIA103" s="769"/>
      <c r="PIB103" s="769"/>
      <c r="PIC103" s="769"/>
      <c r="PID103" s="769"/>
      <c r="PIE103" s="769"/>
      <c r="PIF103" s="769"/>
      <c r="PIG103" s="769"/>
      <c r="PIH103" s="769"/>
      <c r="PII103" s="769"/>
      <c r="PIJ103" s="769"/>
      <c r="PIK103" s="769"/>
      <c r="PIL103" s="769"/>
      <c r="PIM103" s="769"/>
      <c r="PIN103" s="769"/>
      <c r="PIO103" s="769"/>
      <c r="PIP103" s="769"/>
      <c r="PIQ103" s="769"/>
      <c r="PIR103" s="769"/>
      <c r="PIS103" s="769"/>
      <c r="PIT103" s="769"/>
      <c r="PIU103" s="769"/>
      <c r="PIV103" s="769"/>
      <c r="PIW103" s="769"/>
      <c r="PIX103" s="769"/>
      <c r="PIY103" s="769"/>
      <c r="PIZ103" s="769"/>
      <c r="PJA103" s="769"/>
      <c r="PJB103" s="769"/>
      <c r="PJC103" s="769"/>
      <c r="PJD103" s="769"/>
      <c r="PJE103" s="769"/>
      <c r="PJF103" s="769"/>
      <c r="PJG103" s="769"/>
      <c r="PJH103" s="769"/>
      <c r="PJI103" s="769"/>
      <c r="PJJ103" s="769"/>
      <c r="PJK103" s="769"/>
      <c r="PJL103" s="769"/>
      <c r="PJM103" s="769"/>
      <c r="PJN103" s="769"/>
      <c r="PJO103" s="769"/>
      <c r="PJP103" s="769"/>
      <c r="PJQ103" s="769"/>
      <c r="PJR103" s="769"/>
      <c r="PJS103" s="769"/>
      <c r="PJT103" s="769"/>
      <c r="PJU103" s="769"/>
      <c r="PJV103" s="769"/>
      <c r="PJW103" s="769"/>
      <c r="PJX103" s="769"/>
      <c r="PJY103" s="769"/>
      <c r="PJZ103" s="769"/>
      <c r="PKA103" s="769"/>
      <c r="PKB103" s="769"/>
      <c r="PKC103" s="769"/>
      <c r="PKD103" s="769"/>
      <c r="PKE103" s="769"/>
      <c r="PKF103" s="769"/>
      <c r="PKG103" s="769"/>
      <c r="PKH103" s="769"/>
      <c r="PKI103" s="769"/>
      <c r="PKJ103" s="769"/>
      <c r="PKK103" s="769"/>
      <c r="PKL103" s="769"/>
      <c r="PKM103" s="769"/>
      <c r="PKN103" s="769"/>
      <c r="PKO103" s="769"/>
      <c r="PKP103" s="769"/>
      <c r="PKQ103" s="769"/>
      <c r="PKR103" s="769"/>
      <c r="PKS103" s="769"/>
      <c r="PKT103" s="769"/>
      <c r="PKU103" s="769"/>
      <c r="PKV103" s="769"/>
      <c r="PKW103" s="769"/>
      <c r="PKX103" s="769"/>
      <c r="PKY103" s="769"/>
      <c r="PKZ103" s="769"/>
      <c r="PLA103" s="769"/>
      <c r="PLB103" s="769"/>
      <c r="PLC103" s="769"/>
      <c r="PLD103" s="769"/>
      <c r="PLE103" s="769"/>
      <c r="PLF103" s="769"/>
      <c r="PLG103" s="769"/>
      <c r="PLH103" s="769"/>
      <c r="PLI103" s="769"/>
      <c r="PLJ103" s="769"/>
      <c r="PLK103" s="769"/>
      <c r="PLL103" s="769"/>
      <c r="PLM103" s="769"/>
      <c r="PLN103" s="769"/>
      <c r="PLO103" s="769"/>
      <c r="PLP103" s="769"/>
      <c r="PLQ103" s="769"/>
      <c r="PLR103" s="769"/>
      <c r="PLS103" s="769"/>
      <c r="PLT103" s="769"/>
      <c r="PLU103" s="769"/>
      <c r="PLV103" s="769"/>
      <c r="PLW103" s="769"/>
      <c r="PLX103" s="769"/>
      <c r="PLY103" s="769"/>
      <c r="PLZ103" s="769"/>
      <c r="PMA103" s="769"/>
      <c r="PMB103" s="769"/>
      <c r="PMC103" s="769"/>
      <c r="PMD103" s="769"/>
      <c r="PME103" s="769"/>
      <c r="PMF103" s="769"/>
      <c r="PMG103" s="769"/>
      <c r="PMH103" s="769"/>
      <c r="PMI103" s="769"/>
      <c r="PMJ103" s="769"/>
      <c r="PMK103" s="769"/>
      <c r="PML103" s="769"/>
      <c r="PMM103" s="769"/>
      <c r="PMN103" s="769"/>
      <c r="PMO103" s="769"/>
      <c r="PMP103" s="769"/>
      <c r="PMQ103" s="769"/>
      <c r="PMR103" s="769"/>
      <c r="PMS103" s="769"/>
      <c r="PMT103" s="769"/>
      <c r="PMU103" s="769"/>
      <c r="PMV103" s="769"/>
      <c r="PMW103" s="769"/>
      <c r="PMX103" s="769"/>
      <c r="PMY103" s="769"/>
      <c r="PMZ103" s="769"/>
      <c r="PNA103" s="769"/>
      <c r="PNB103" s="769"/>
      <c r="PNC103" s="769"/>
      <c r="PND103" s="769"/>
      <c r="PNE103" s="769"/>
      <c r="PNF103" s="769"/>
      <c r="PNG103" s="769"/>
      <c r="PNH103" s="769"/>
      <c r="PNI103" s="769"/>
      <c r="PNJ103" s="769"/>
      <c r="PNK103" s="769"/>
      <c r="PNL103" s="769"/>
      <c r="PNM103" s="769"/>
      <c r="PNN103" s="769"/>
      <c r="PNO103" s="769"/>
      <c r="PNP103" s="769"/>
      <c r="PNQ103" s="769"/>
      <c r="PNR103" s="769"/>
      <c r="PNS103" s="769"/>
      <c r="PNT103" s="769"/>
      <c r="PNU103" s="769"/>
      <c r="PNV103" s="769"/>
      <c r="PNW103" s="769"/>
      <c r="PNX103" s="769"/>
      <c r="PNY103" s="769"/>
      <c r="PNZ103" s="769"/>
      <c r="POA103" s="769"/>
      <c r="POB103" s="769"/>
      <c r="POC103" s="769"/>
      <c r="POD103" s="769"/>
      <c r="POE103" s="769"/>
      <c r="POF103" s="769"/>
      <c r="POG103" s="769"/>
      <c r="POH103" s="769"/>
      <c r="POI103" s="769"/>
      <c r="POJ103" s="769"/>
      <c r="POK103" s="769"/>
      <c r="POL103" s="769"/>
      <c r="POM103" s="769"/>
      <c r="PON103" s="769"/>
      <c r="POO103" s="769"/>
      <c r="POP103" s="769"/>
      <c r="POQ103" s="769"/>
      <c r="POR103" s="769"/>
      <c r="POS103" s="769"/>
      <c r="POT103" s="769"/>
      <c r="POU103" s="769"/>
      <c r="POV103" s="769"/>
      <c r="POW103" s="769"/>
      <c r="POX103" s="769"/>
      <c r="POY103" s="769"/>
      <c r="POZ103" s="769"/>
      <c r="PPA103" s="769"/>
      <c r="PPB103" s="769"/>
      <c r="PPC103" s="769"/>
      <c r="PPD103" s="769"/>
      <c r="PPE103" s="769"/>
      <c r="PPF103" s="769"/>
      <c r="PPG103" s="769"/>
      <c r="PPH103" s="769"/>
      <c r="PPI103" s="769"/>
      <c r="PPJ103" s="769"/>
      <c r="PPK103" s="769"/>
      <c r="PPL103" s="769"/>
      <c r="PPM103" s="769"/>
      <c r="PPN103" s="769"/>
      <c r="PPO103" s="769"/>
      <c r="PPP103" s="769"/>
      <c r="PPQ103" s="769"/>
      <c r="PPR103" s="769"/>
      <c r="PPS103" s="769"/>
      <c r="PPT103" s="769"/>
      <c r="PPU103" s="769"/>
      <c r="PPV103" s="769"/>
      <c r="PPW103" s="769"/>
      <c r="PPX103" s="769"/>
      <c r="PPY103" s="769"/>
      <c r="PPZ103" s="769"/>
      <c r="PQA103" s="769"/>
      <c r="PQB103" s="769"/>
      <c r="PQC103" s="769"/>
      <c r="PQD103" s="769"/>
      <c r="PQE103" s="769"/>
      <c r="PQF103" s="769"/>
      <c r="PQG103" s="769"/>
      <c r="PQH103" s="769"/>
      <c r="PQI103" s="769"/>
      <c r="PQJ103" s="769"/>
      <c r="PQK103" s="769"/>
      <c r="PQL103" s="769"/>
      <c r="PQM103" s="769"/>
      <c r="PQN103" s="769"/>
      <c r="PQO103" s="769"/>
      <c r="PQP103" s="769"/>
      <c r="PQQ103" s="769"/>
      <c r="PQR103" s="769"/>
      <c r="PQS103" s="769"/>
      <c r="PQT103" s="769"/>
      <c r="PQU103" s="769"/>
      <c r="PQV103" s="769"/>
      <c r="PQW103" s="769"/>
      <c r="PQX103" s="769"/>
      <c r="PQY103" s="769"/>
      <c r="PQZ103" s="769"/>
      <c r="PRA103" s="769"/>
      <c r="PRB103" s="769"/>
      <c r="PRC103" s="769"/>
      <c r="PRD103" s="769"/>
      <c r="PRE103" s="769"/>
      <c r="PRF103" s="769"/>
      <c r="PRG103" s="769"/>
      <c r="PRH103" s="769"/>
      <c r="PRI103" s="769"/>
      <c r="PRJ103" s="769"/>
      <c r="PRK103" s="769"/>
      <c r="PRL103" s="769"/>
      <c r="PRM103" s="769"/>
      <c r="PRN103" s="769"/>
      <c r="PRO103" s="769"/>
      <c r="PRP103" s="769"/>
      <c r="PRQ103" s="769"/>
      <c r="PRR103" s="769"/>
      <c r="PRS103" s="769"/>
      <c r="PRT103" s="769"/>
      <c r="PRU103" s="769"/>
      <c r="PRV103" s="769"/>
      <c r="PRW103" s="769"/>
      <c r="PRX103" s="769"/>
      <c r="PRY103" s="769"/>
      <c r="PRZ103" s="769"/>
      <c r="PSA103" s="769"/>
      <c r="PSB103" s="769"/>
      <c r="PSC103" s="769"/>
      <c r="PSD103" s="769"/>
      <c r="PSE103" s="769"/>
      <c r="PSF103" s="769"/>
      <c r="PSG103" s="769"/>
      <c r="PSH103" s="769"/>
      <c r="PSI103" s="769"/>
      <c r="PSJ103" s="769"/>
      <c r="PSK103" s="769"/>
      <c r="PSL103" s="769"/>
      <c r="PSM103" s="769"/>
      <c r="PSN103" s="769"/>
      <c r="PSO103" s="769"/>
      <c r="PSP103" s="769"/>
      <c r="PSQ103" s="769"/>
      <c r="PSR103" s="769"/>
      <c r="PSS103" s="769"/>
      <c r="PST103" s="769"/>
      <c r="PSU103" s="769"/>
      <c r="PSV103" s="769"/>
      <c r="PSW103" s="769"/>
      <c r="PSX103" s="769"/>
      <c r="PSY103" s="769"/>
      <c r="PSZ103" s="769"/>
      <c r="PTA103" s="769"/>
      <c r="PTB103" s="769"/>
      <c r="PTC103" s="769"/>
      <c r="PTD103" s="769"/>
      <c r="PTE103" s="769"/>
      <c r="PTF103" s="769"/>
      <c r="PTG103" s="769"/>
      <c r="PTH103" s="769"/>
      <c r="PTI103" s="769"/>
      <c r="PTJ103" s="769"/>
      <c r="PTK103" s="769"/>
      <c r="PTL103" s="769"/>
      <c r="PTM103" s="769"/>
      <c r="PTN103" s="769"/>
      <c r="PTO103" s="769"/>
      <c r="PTP103" s="769"/>
      <c r="PTQ103" s="769"/>
      <c r="PTR103" s="769"/>
      <c r="PTS103" s="769"/>
      <c r="PTT103" s="769"/>
      <c r="PTU103" s="769"/>
      <c r="PTV103" s="769"/>
      <c r="PTW103" s="769"/>
      <c r="PTX103" s="769"/>
      <c r="PTY103" s="769"/>
      <c r="PTZ103" s="769"/>
      <c r="PUA103" s="769"/>
      <c r="PUB103" s="769"/>
      <c r="PUC103" s="769"/>
      <c r="PUD103" s="769"/>
      <c r="PUE103" s="769"/>
      <c r="PUF103" s="769"/>
      <c r="PUG103" s="769"/>
      <c r="PUH103" s="769"/>
      <c r="PUI103" s="769"/>
      <c r="PUJ103" s="769"/>
      <c r="PUK103" s="769"/>
      <c r="PUL103" s="769"/>
      <c r="PUM103" s="769"/>
      <c r="PUN103" s="769"/>
      <c r="PUO103" s="769"/>
      <c r="PUP103" s="769"/>
      <c r="PUQ103" s="769"/>
      <c r="PUR103" s="769"/>
      <c r="PUS103" s="769"/>
      <c r="PUT103" s="769"/>
      <c r="PUU103" s="769"/>
      <c r="PUV103" s="769"/>
      <c r="PUW103" s="769"/>
      <c r="PUX103" s="769"/>
      <c r="PUY103" s="769"/>
      <c r="PUZ103" s="769"/>
      <c r="PVA103" s="769"/>
      <c r="PVB103" s="769"/>
      <c r="PVC103" s="769"/>
      <c r="PVD103" s="769"/>
      <c r="PVE103" s="769"/>
      <c r="PVF103" s="769"/>
      <c r="PVG103" s="769"/>
      <c r="PVH103" s="769"/>
      <c r="PVI103" s="769"/>
      <c r="PVJ103" s="769"/>
      <c r="PVK103" s="769"/>
      <c r="PVL103" s="769"/>
      <c r="PVM103" s="769"/>
      <c r="PVN103" s="769"/>
      <c r="PVO103" s="769"/>
      <c r="PVP103" s="769"/>
      <c r="PVQ103" s="769"/>
      <c r="PVR103" s="769"/>
      <c r="PVS103" s="769"/>
      <c r="PVT103" s="769"/>
      <c r="PVU103" s="769"/>
      <c r="PVV103" s="769"/>
      <c r="PVW103" s="769"/>
      <c r="PVX103" s="769"/>
      <c r="PVY103" s="769"/>
      <c r="PVZ103" s="769"/>
      <c r="PWA103" s="769"/>
      <c r="PWB103" s="769"/>
      <c r="PWC103" s="769"/>
      <c r="PWD103" s="769"/>
      <c r="PWE103" s="769"/>
      <c r="PWF103" s="769"/>
      <c r="PWG103" s="769"/>
      <c r="PWH103" s="769"/>
      <c r="PWI103" s="769"/>
      <c r="PWJ103" s="769"/>
      <c r="PWK103" s="769"/>
      <c r="PWL103" s="769"/>
      <c r="PWM103" s="769"/>
      <c r="PWN103" s="769"/>
      <c r="PWO103" s="769"/>
      <c r="PWP103" s="769"/>
      <c r="PWQ103" s="769"/>
      <c r="PWR103" s="769"/>
      <c r="PWS103" s="769"/>
      <c r="PWT103" s="769"/>
      <c r="PWU103" s="769"/>
      <c r="PWV103" s="769"/>
      <c r="PWW103" s="769"/>
      <c r="PWX103" s="769"/>
      <c r="PWY103" s="769"/>
      <c r="PWZ103" s="769"/>
      <c r="PXA103" s="769"/>
      <c r="PXB103" s="769"/>
      <c r="PXC103" s="769"/>
      <c r="PXD103" s="769"/>
      <c r="PXE103" s="769"/>
      <c r="PXF103" s="769"/>
      <c r="PXG103" s="769"/>
      <c r="PXH103" s="769"/>
      <c r="PXI103" s="769"/>
      <c r="PXJ103" s="769"/>
      <c r="PXK103" s="769"/>
      <c r="PXL103" s="769"/>
      <c r="PXM103" s="769"/>
      <c r="PXN103" s="769"/>
      <c r="PXO103" s="769"/>
      <c r="PXP103" s="769"/>
      <c r="PXQ103" s="769"/>
      <c r="PXR103" s="769"/>
      <c r="PXS103" s="769"/>
      <c r="PXT103" s="769"/>
      <c r="PXU103" s="769"/>
      <c r="PXV103" s="769"/>
      <c r="PXW103" s="769"/>
      <c r="PXX103" s="769"/>
      <c r="PXY103" s="769"/>
      <c r="PXZ103" s="769"/>
      <c r="PYA103" s="769"/>
      <c r="PYB103" s="769"/>
      <c r="PYC103" s="769"/>
      <c r="PYD103" s="769"/>
      <c r="PYE103" s="769"/>
      <c r="PYF103" s="769"/>
      <c r="PYG103" s="769"/>
      <c r="PYH103" s="769"/>
      <c r="PYI103" s="769"/>
      <c r="PYJ103" s="769"/>
      <c r="PYK103" s="769"/>
      <c r="PYL103" s="769"/>
      <c r="PYM103" s="769"/>
      <c r="PYN103" s="769"/>
      <c r="PYO103" s="769"/>
      <c r="PYP103" s="769"/>
      <c r="PYQ103" s="769"/>
      <c r="PYR103" s="769"/>
      <c r="PYS103" s="769"/>
      <c r="PYT103" s="769"/>
      <c r="PYU103" s="769"/>
      <c r="PYV103" s="769"/>
      <c r="PYW103" s="769"/>
      <c r="PYX103" s="769"/>
      <c r="PYY103" s="769"/>
      <c r="PYZ103" s="769"/>
      <c r="PZA103" s="769"/>
      <c r="PZB103" s="769"/>
      <c r="PZC103" s="769"/>
      <c r="PZD103" s="769"/>
      <c r="PZE103" s="769"/>
      <c r="PZF103" s="769"/>
      <c r="PZG103" s="769"/>
      <c r="PZH103" s="769"/>
      <c r="PZI103" s="769"/>
      <c r="PZJ103" s="769"/>
      <c r="PZK103" s="769"/>
      <c r="PZL103" s="769"/>
      <c r="PZM103" s="769"/>
      <c r="PZN103" s="769"/>
      <c r="PZO103" s="769"/>
      <c r="PZP103" s="769"/>
      <c r="PZQ103" s="769"/>
      <c r="PZR103" s="769"/>
      <c r="PZS103" s="769"/>
      <c r="PZT103" s="769"/>
      <c r="PZU103" s="769"/>
      <c r="PZV103" s="769"/>
      <c r="PZW103" s="769"/>
      <c r="PZX103" s="769"/>
      <c r="PZY103" s="769"/>
      <c r="PZZ103" s="769"/>
      <c r="QAA103" s="769"/>
      <c r="QAB103" s="769"/>
      <c r="QAC103" s="769"/>
      <c r="QAD103" s="769"/>
      <c r="QAE103" s="769"/>
      <c r="QAF103" s="769"/>
      <c r="QAG103" s="769"/>
      <c r="QAH103" s="769"/>
      <c r="QAI103" s="769"/>
      <c r="QAJ103" s="769"/>
      <c r="QAK103" s="769"/>
      <c r="QAL103" s="769"/>
      <c r="QAM103" s="769"/>
      <c r="QAN103" s="769"/>
      <c r="QAO103" s="769"/>
      <c r="QAP103" s="769"/>
      <c r="QAQ103" s="769"/>
      <c r="QAR103" s="769"/>
      <c r="QAS103" s="769"/>
      <c r="QAT103" s="769"/>
      <c r="QAU103" s="769"/>
      <c r="QAV103" s="769"/>
      <c r="QAW103" s="769"/>
      <c r="QAX103" s="769"/>
      <c r="QAY103" s="769"/>
      <c r="QAZ103" s="769"/>
      <c r="QBA103" s="769"/>
      <c r="QBB103" s="769"/>
      <c r="QBC103" s="769"/>
      <c r="QBD103" s="769"/>
      <c r="QBE103" s="769"/>
      <c r="QBF103" s="769"/>
      <c r="QBG103" s="769"/>
      <c r="QBH103" s="769"/>
      <c r="QBI103" s="769"/>
      <c r="QBJ103" s="769"/>
      <c r="QBK103" s="769"/>
      <c r="QBL103" s="769"/>
      <c r="QBM103" s="769"/>
      <c r="QBN103" s="769"/>
      <c r="QBO103" s="769"/>
      <c r="QBP103" s="769"/>
      <c r="QBQ103" s="769"/>
      <c r="QBR103" s="769"/>
      <c r="QBS103" s="769"/>
      <c r="QBT103" s="769"/>
      <c r="QBU103" s="769"/>
      <c r="QBV103" s="769"/>
      <c r="QBW103" s="769"/>
      <c r="QBX103" s="769"/>
      <c r="QBY103" s="769"/>
      <c r="QBZ103" s="769"/>
      <c r="QCA103" s="769"/>
      <c r="QCB103" s="769"/>
      <c r="QCC103" s="769"/>
      <c r="QCD103" s="769"/>
      <c r="QCE103" s="769"/>
      <c r="QCF103" s="769"/>
      <c r="QCG103" s="769"/>
      <c r="QCH103" s="769"/>
      <c r="QCI103" s="769"/>
      <c r="QCJ103" s="769"/>
      <c r="QCK103" s="769"/>
      <c r="QCL103" s="769"/>
      <c r="QCM103" s="769"/>
      <c r="QCN103" s="769"/>
      <c r="QCO103" s="769"/>
      <c r="QCP103" s="769"/>
      <c r="QCQ103" s="769"/>
      <c r="QCR103" s="769"/>
      <c r="QCS103" s="769"/>
      <c r="QCT103" s="769"/>
      <c r="QCU103" s="769"/>
      <c r="QCV103" s="769"/>
      <c r="QCW103" s="769"/>
      <c r="QCX103" s="769"/>
      <c r="QCY103" s="769"/>
      <c r="QCZ103" s="769"/>
      <c r="QDA103" s="769"/>
      <c r="QDB103" s="769"/>
      <c r="QDC103" s="769"/>
      <c r="QDD103" s="769"/>
      <c r="QDE103" s="769"/>
      <c r="QDF103" s="769"/>
      <c r="QDG103" s="769"/>
      <c r="QDH103" s="769"/>
      <c r="QDI103" s="769"/>
      <c r="QDJ103" s="769"/>
      <c r="QDK103" s="769"/>
      <c r="QDL103" s="769"/>
      <c r="QDM103" s="769"/>
      <c r="QDN103" s="769"/>
      <c r="QDO103" s="769"/>
      <c r="QDP103" s="769"/>
      <c r="QDQ103" s="769"/>
      <c r="QDR103" s="769"/>
      <c r="QDS103" s="769"/>
      <c r="QDT103" s="769"/>
      <c r="QDU103" s="769"/>
      <c r="QDV103" s="769"/>
      <c r="QDW103" s="769"/>
      <c r="QDX103" s="769"/>
      <c r="QDY103" s="769"/>
      <c r="QDZ103" s="769"/>
      <c r="QEA103" s="769"/>
      <c r="QEB103" s="769"/>
      <c r="QEC103" s="769"/>
      <c r="QED103" s="769"/>
      <c r="QEE103" s="769"/>
      <c r="QEF103" s="769"/>
      <c r="QEG103" s="769"/>
      <c r="QEH103" s="769"/>
      <c r="QEI103" s="769"/>
      <c r="QEJ103" s="769"/>
      <c r="QEK103" s="769"/>
      <c r="QEL103" s="769"/>
      <c r="QEM103" s="769"/>
      <c r="QEN103" s="769"/>
      <c r="QEO103" s="769"/>
      <c r="QEP103" s="769"/>
      <c r="QEQ103" s="769"/>
      <c r="QER103" s="769"/>
      <c r="QES103" s="769"/>
      <c r="QET103" s="769"/>
      <c r="QEU103" s="769"/>
      <c r="QEV103" s="769"/>
      <c r="QEW103" s="769"/>
      <c r="QEX103" s="769"/>
      <c r="QEY103" s="769"/>
      <c r="QEZ103" s="769"/>
      <c r="QFA103" s="769"/>
      <c r="QFB103" s="769"/>
      <c r="QFC103" s="769"/>
      <c r="QFD103" s="769"/>
      <c r="QFE103" s="769"/>
      <c r="QFF103" s="769"/>
      <c r="QFG103" s="769"/>
      <c r="QFH103" s="769"/>
      <c r="QFI103" s="769"/>
      <c r="QFJ103" s="769"/>
      <c r="QFK103" s="769"/>
      <c r="QFL103" s="769"/>
      <c r="QFM103" s="769"/>
      <c r="QFN103" s="769"/>
      <c r="QFO103" s="769"/>
      <c r="QFP103" s="769"/>
      <c r="QFQ103" s="769"/>
      <c r="QFR103" s="769"/>
      <c r="QFS103" s="769"/>
      <c r="QFT103" s="769"/>
      <c r="QFU103" s="769"/>
      <c r="QFV103" s="769"/>
      <c r="QFW103" s="769"/>
      <c r="QFX103" s="769"/>
      <c r="QFY103" s="769"/>
      <c r="QFZ103" s="769"/>
      <c r="QGA103" s="769"/>
      <c r="QGB103" s="769"/>
      <c r="QGC103" s="769"/>
      <c r="QGD103" s="769"/>
      <c r="QGE103" s="769"/>
      <c r="QGF103" s="769"/>
      <c r="QGG103" s="769"/>
      <c r="QGH103" s="769"/>
      <c r="QGI103" s="769"/>
      <c r="QGJ103" s="769"/>
      <c r="QGK103" s="769"/>
      <c r="QGL103" s="769"/>
      <c r="QGM103" s="769"/>
      <c r="QGN103" s="769"/>
      <c r="QGO103" s="769"/>
      <c r="QGP103" s="769"/>
      <c r="QGQ103" s="769"/>
      <c r="QGR103" s="769"/>
      <c r="QGS103" s="769"/>
      <c r="QGT103" s="769"/>
      <c r="QGU103" s="769"/>
      <c r="QGV103" s="769"/>
      <c r="QGW103" s="769"/>
      <c r="QGX103" s="769"/>
      <c r="QGY103" s="769"/>
      <c r="QGZ103" s="769"/>
      <c r="QHA103" s="769"/>
      <c r="QHB103" s="769"/>
      <c r="QHC103" s="769"/>
      <c r="QHD103" s="769"/>
      <c r="QHE103" s="769"/>
      <c r="QHF103" s="769"/>
      <c r="QHG103" s="769"/>
      <c r="QHH103" s="769"/>
      <c r="QHI103" s="769"/>
      <c r="QHJ103" s="769"/>
      <c r="QHK103" s="769"/>
      <c r="QHL103" s="769"/>
      <c r="QHM103" s="769"/>
      <c r="QHN103" s="769"/>
      <c r="QHO103" s="769"/>
      <c r="QHP103" s="769"/>
      <c r="QHQ103" s="769"/>
      <c r="QHR103" s="769"/>
      <c r="QHS103" s="769"/>
      <c r="QHT103" s="769"/>
      <c r="QHU103" s="769"/>
      <c r="QHV103" s="769"/>
      <c r="QHW103" s="769"/>
      <c r="QHX103" s="769"/>
      <c r="QHY103" s="769"/>
      <c r="QHZ103" s="769"/>
      <c r="QIA103" s="769"/>
      <c r="QIB103" s="769"/>
      <c r="QIC103" s="769"/>
      <c r="QID103" s="769"/>
      <c r="QIE103" s="769"/>
      <c r="QIF103" s="769"/>
      <c r="QIG103" s="769"/>
      <c r="QIH103" s="769"/>
      <c r="QII103" s="769"/>
      <c r="QIJ103" s="769"/>
      <c r="QIK103" s="769"/>
      <c r="QIL103" s="769"/>
      <c r="QIM103" s="769"/>
      <c r="QIN103" s="769"/>
      <c r="QIO103" s="769"/>
      <c r="QIP103" s="769"/>
      <c r="QIQ103" s="769"/>
      <c r="QIR103" s="769"/>
      <c r="QIS103" s="769"/>
      <c r="QIT103" s="769"/>
      <c r="QIU103" s="769"/>
      <c r="QIV103" s="769"/>
      <c r="QIW103" s="769"/>
      <c r="QIX103" s="769"/>
      <c r="QIY103" s="769"/>
      <c r="QIZ103" s="769"/>
      <c r="QJA103" s="769"/>
      <c r="QJB103" s="769"/>
      <c r="QJC103" s="769"/>
      <c r="QJD103" s="769"/>
      <c r="QJE103" s="769"/>
      <c r="QJF103" s="769"/>
      <c r="QJG103" s="769"/>
      <c r="QJH103" s="769"/>
      <c r="QJI103" s="769"/>
      <c r="QJJ103" s="769"/>
      <c r="QJK103" s="769"/>
      <c r="QJL103" s="769"/>
      <c r="QJM103" s="769"/>
      <c r="QJN103" s="769"/>
      <c r="QJO103" s="769"/>
      <c r="QJP103" s="769"/>
      <c r="QJQ103" s="769"/>
      <c r="QJR103" s="769"/>
      <c r="QJS103" s="769"/>
      <c r="QJT103" s="769"/>
      <c r="QJU103" s="769"/>
      <c r="QJV103" s="769"/>
      <c r="QJW103" s="769"/>
      <c r="QJX103" s="769"/>
      <c r="QJY103" s="769"/>
      <c r="QJZ103" s="769"/>
      <c r="QKA103" s="769"/>
      <c r="QKB103" s="769"/>
      <c r="QKC103" s="769"/>
      <c r="QKD103" s="769"/>
      <c r="QKE103" s="769"/>
      <c r="QKF103" s="769"/>
      <c r="QKG103" s="769"/>
      <c r="QKH103" s="769"/>
      <c r="QKI103" s="769"/>
      <c r="QKJ103" s="769"/>
      <c r="QKK103" s="769"/>
      <c r="QKL103" s="769"/>
      <c r="QKM103" s="769"/>
      <c r="QKN103" s="769"/>
      <c r="QKO103" s="769"/>
      <c r="QKP103" s="769"/>
      <c r="QKQ103" s="769"/>
      <c r="QKR103" s="769"/>
      <c r="QKS103" s="769"/>
      <c r="QKT103" s="769"/>
      <c r="QKU103" s="769"/>
      <c r="QKV103" s="769"/>
      <c r="QKW103" s="769"/>
      <c r="QKX103" s="769"/>
      <c r="QKY103" s="769"/>
      <c r="QKZ103" s="769"/>
      <c r="QLA103" s="769"/>
      <c r="QLB103" s="769"/>
      <c r="QLC103" s="769"/>
      <c r="QLD103" s="769"/>
      <c r="QLE103" s="769"/>
      <c r="QLF103" s="769"/>
      <c r="QLG103" s="769"/>
      <c r="QLH103" s="769"/>
      <c r="QLI103" s="769"/>
      <c r="QLJ103" s="769"/>
      <c r="QLK103" s="769"/>
      <c r="QLL103" s="769"/>
      <c r="QLM103" s="769"/>
      <c r="QLN103" s="769"/>
      <c r="QLO103" s="769"/>
      <c r="QLP103" s="769"/>
      <c r="QLQ103" s="769"/>
      <c r="QLR103" s="769"/>
      <c r="QLS103" s="769"/>
      <c r="QLT103" s="769"/>
      <c r="QLU103" s="769"/>
      <c r="QLV103" s="769"/>
      <c r="QLW103" s="769"/>
      <c r="QLX103" s="769"/>
      <c r="QLY103" s="769"/>
      <c r="QLZ103" s="769"/>
      <c r="QMA103" s="769"/>
      <c r="QMB103" s="769"/>
      <c r="QMC103" s="769"/>
      <c r="QMD103" s="769"/>
      <c r="QME103" s="769"/>
      <c r="QMF103" s="769"/>
      <c r="QMG103" s="769"/>
      <c r="QMH103" s="769"/>
      <c r="QMI103" s="769"/>
      <c r="QMJ103" s="769"/>
      <c r="QMK103" s="769"/>
      <c r="QML103" s="769"/>
      <c r="QMM103" s="769"/>
      <c r="QMN103" s="769"/>
      <c r="QMO103" s="769"/>
      <c r="QMP103" s="769"/>
      <c r="QMQ103" s="769"/>
      <c r="QMR103" s="769"/>
      <c r="QMS103" s="769"/>
      <c r="QMT103" s="769"/>
      <c r="QMU103" s="769"/>
      <c r="QMV103" s="769"/>
      <c r="QMW103" s="769"/>
      <c r="QMX103" s="769"/>
      <c r="QMY103" s="769"/>
      <c r="QMZ103" s="769"/>
      <c r="QNA103" s="769"/>
      <c r="QNB103" s="769"/>
      <c r="QNC103" s="769"/>
      <c r="QND103" s="769"/>
      <c r="QNE103" s="769"/>
      <c r="QNF103" s="769"/>
      <c r="QNG103" s="769"/>
      <c r="QNH103" s="769"/>
      <c r="QNI103" s="769"/>
      <c r="QNJ103" s="769"/>
      <c r="QNK103" s="769"/>
      <c r="QNL103" s="769"/>
      <c r="QNM103" s="769"/>
      <c r="QNN103" s="769"/>
      <c r="QNO103" s="769"/>
      <c r="QNP103" s="769"/>
      <c r="QNQ103" s="769"/>
      <c r="QNR103" s="769"/>
      <c r="QNS103" s="769"/>
      <c r="QNT103" s="769"/>
      <c r="QNU103" s="769"/>
      <c r="QNV103" s="769"/>
      <c r="QNW103" s="769"/>
      <c r="QNX103" s="769"/>
      <c r="QNY103" s="769"/>
      <c r="QNZ103" s="769"/>
      <c r="QOA103" s="769"/>
      <c r="QOB103" s="769"/>
      <c r="QOC103" s="769"/>
      <c r="QOD103" s="769"/>
      <c r="QOE103" s="769"/>
      <c r="QOF103" s="769"/>
      <c r="QOG103" s="769"/>
      <c r="QOH103" s="769"/>
      <c r="QOI103" s="769"/>
      <c r="QOJ103" s="769"/>
      <c r="QOK103" s="769"/>
      <c r="QOL103" s="769"/>
      <c r="QOM103" s="769"/>
      <c r="QON103" s="769"/>
      <c r="QOO103" s="769"/>
      <c r="QOP103" s="769"/>
      <c r="QOQ103" s="769"/>
      <c r="QOR103" s="769"/>
      <c r="QOS103" s="769"/>
      <c r="QOT103" s="769"/>
      <c r="QOU103" s="769"/>
      <c r="QOV103" s="769"/>
      <c r="QOW103" s="769"/>
      <c r="QOX103" s="769"/>
      <c r="QOY103" s="769"/>
      <c r="QOZ103" s="769"/>
      <c r="QPA103" s="769"/>
      <c r="QPB103" s="769"/>
      <c r="QPC103" s="769"/>
      <c r="QPD103" s="769"/>
      <c r="QPE103" s="769"/>
      <c r="QPF103" s="769"/>
      <c r="QPG103" s="769"/>
      <c r="QPH103" s="769"/>
      <c r="QPI103" s="769"/>
      <c r="QPJ103" s="769"/>
      <c r="QPK103" s="769"/>
      <c r="QPL103" s="769"/>
      <c r="QPM103" s="769"/>
      <c r="QPN103" s="769"/>
      <c r="QPO103" s="769"/>
      <c r="QPP103" s="769"/>
      <c r="QPQ103" s="769"/>
      <c r="QPR103" s="769"/>
      <c r="QPS103" s="769"/>
      <c r="QPT103" s="769"/>
      <c r="QPU103" s="769"/>
      <c r="QPV103" s="769"/>
      <c r="QPW103" s="769"/>
      <c r="QPX103" s="769"/>
      <c r="QPY103" s="769"/>
      <c r="QPZ103" s="769"/>
      <c r="QQA103" s="769"/>
      <c r="QQB103" s="769"/>
      <c r="QQC103" s="769"/>
      <c r="QQD103" s="769"/>
      <c r="QQE103" s="769"/>
      <c r="QQF103" s="769"/>
      <c r="QQG103" s="769"/>
      <c r="QQH103" s="769"/>
      <c r="QQI103" s="769"/>
      <c r="QQJ103" s="769"/>
      <c r="QQK103" s="769"/>
      <c r="QQL103" s="769"/>
      <c r="QQM103" s="769"/>
      <c r="QQN103" s="769"/>
      <c r="QQO103" s="769"/>
      <c r="QQP103" s="769"/>
      <c r="QQQ103" s="769"/>
      <c r="QQR103" s="769"/>
      <c r="QQS103" s="769"/>
      <c r="QQT103" s="769"/>
      <c r="QQU103" s="769"/>
      <c r="QQV103" s="769"/>
      <c r="QQW103" s="769"/>
      <c r="QQX103" s="769"/>
      <c r="QQY103" s="769"/>
      <c r="QQZ103" s="769"/>
      <c r="QRA103" s="769"/>
      <c r="QRB103" s="769"/>
      <c r="QRC103" s="769"/>
      <c r="QRD103" s="769"/>
      <c r="QRE103" s="769"/>
      <c r="QRF103" s="769"/>
      <c r="QRG103" s="769"/>
      <c r="QRH103" s="769"/>
      <c r="QRI103" s="769"/>
      <c r="QRJ103" s="769"/>
      <c r="QRK103" s="769"/>
      <c r="QRL103" s="769"/>
      <c r="QRM103" s="769"/>
      <c r="QRN103" s="769"/>
      <c r="QRO103" s="769"/>
      <c r="QRP103" s="769"/>
      <c r="QRQ103" s="769"/>
      <c r="QRR103" s="769"/>
      <c r="QRS103" s="769"/>
      <c r="QRT103" s="769"/>
      <c r="QRU103" s="769"/>
      <c r="QRV103" s="769"/>
      <c r="QRW103" s="769"/>
      <c r="QRX103" s="769"/>
      <c r="QRY103" s="769"/>
      <c r="QRZ103" s="769"/>
      <c r="QSA103" s="769"/>
      <c r="QSB103" s="769"/>
      <c r="QSC103" s="769"/>
      <c r="QSD103" s="769"/>
      <c r="QSE103" s="769"/>
      <c r="QSF103" s="769"/>
      <c r="QSG103" s="769"/>
      <c r="QSH103" s="769"/>
      <c r="QSI103" s="769"/>
      <c r="QSJ103" s="769"/>
      <c r="QSK103" s="769"/>
      <c r="QSL103" s="769"/>
      <c r="QSM103" s="769"/>
      <c r="QSN103" s="769"/>
      <c r="QSO103" s="769"/>
      <c r="QSP103" s="769"/>
      <c r="QSQ103" s="769"/>
      <c r="QSR103" s="769"/>
      <c r="QSS103" s="769"/>
      <c r="QST103" s="769"/>
      <c r="QSU103" s="769"/>
      <c r="QSV103" s="769"/>
      <c r="QSW103" s="769"/>
      <c r="QSX103" s="769"/>
      <c r="QSY103" s="769"/>
      <c r="QSZ103" s="769"/>
      <c r="QTA103" s="769"/>
      <c r="QTB103" s="769"/>
      <c r="QTC103" s="769"/>
      <c r="QTD103" s="769"/>
      <c r="QTE103" s="769"/>
      <c r="QTF103" s="769"/>
      <c r="QTG103" s="769"/>
      <c r="QTH103" s="769"/>
      <c r="QTI103" s="769"/>
      <c r="QTJ103" s="769"/>
      <c r="QTK103" s="769"/>
      <c r="QTL103" s="769"/>
      <c r="QTM103" s="769"/>
      <c r="QTN103" s="769"/>
      <c r="QTO103" s="769"/>
      <c r="QTP103" s="769"/>
      <c r="QTQ103" s="769"/>
      <c r="QTR103" s="769"/>
      <c r="QTS103" s="769"/>
      <c r="QTT103" s="769"/>
      <c r="QTU103" s="769"/>
      <c r="QTV103" s="769"/>
      <c r="QTW103" s="769"/>
      <c r="QTX103" s="769"/>
      <c r="QTY103" s="769"/>
      <c r="QTZ103" s="769"/>
      <c r="QUA103" s="769"/>
      <c r="QUB103" s="769"/>
      <c r="QUC103" s="769"/>
      <c r="QUD103" s="769"/>
      <c r="QUE103" s="769"/>
      <c r="QUF103" s="769"/>
      <c r="QUG103" s="769"/>
      <c r="QUH103" s="769"/>
      <c r="QUI103" s="769"/>
      <c r="QUJ103" s="769"/>
      <c r="QUK103" s="769"/>
      <c r="QUL103" s="769"/>
      <c r="QUM103" s="769"/>
      <c r="QUN103" s="769"/>
      <c r="QUO103" s="769"/>
      <c r="QUP103" s="769"/>
      <c r="QUQ103" s="769"/>
      <c r="QUR103" s="769"/>
      <c r="QUS103" s="769"/>
      <c r="QUT103" s="769"/>
      <c r="QUU103" s="769"/>
      <c r="QUV103" s="769"/>
      <c r="QUW103" s="769"/>
      <c r="QUX103" s="769"/>
      <c r="QUY103" s="769"/>
      <c r="QUZ103" s="769"/>
      <c r="QVA103" s="769"/>
      <c r="QVB103" s="769"/>
      <c r="QVC103" s="769"/>
      <c r="QVD103" s="769"/>
      <c r="QVE103" s="769"/>
      <c r="QVF103" s="769"/>
      <c r="QVG103" s="769"/>
      <c r="QVH103" s="769"/>
      <c r="QVI103" s="769"/>
      <c r="QVJ103" s="769"/>
      <c r="QVK103" s="769"/>
      <c r="QVL103" s="769"/>
      <c r="QVM103" s="769"/>
      <c r="QVN103" s="769"/>
      <c r="QVO103" s="769"/>
      <c r="QVP103" s="769"/>
      <c r="QVQ103" s="769"/>
      <c r="QVR103" s="769"/>
      <c r="QVS103" s="769"/>
      <c r="QVT103" s="769"/>
      <c r="QVU103" s="769"/>
      <c r="QVV103" s="769"/>
      <c r="QVW103" s="769"/>
      <c r="QVX103" s="769"/>
      <c r="QVY103" s="769"/>
      <c r="QVZ103" s="769"/>
      <c r="QWA103" s="769"/>
      <c r="QWB103" s="769"/>
      <c r="QWC103" s="769"/>
      <c r="QWD103" s="769"/>
      <c r="QWE103" s="769"/>
      <c r="QWF103" s="769"/>
      <c r="QWG103" s="769"/>
      <c r="QWH103" s="769"/>
      <c r="QWI103" s="769"/>
      <c r="QWJ103" s="769"/>
      <c r="QWK103" s="769"/>
      <c r="QWL103" s="769"/>
      <c r="QWM103" s="769"/>
      <c r="QWN103" s="769"/>
      <c r="QWO103" s="769"/>
      <c r="QWP103" s="769"/>
      <c r="QWQ103" s="769"/>
      <c r="QWR103" s="769"/>
      <c r="QWS103" s="769"/>
      <c r="QWT103" s="769"/>
      <c r="QWU103" s="769"/>
      <c r="QWV103" s="769"/>
      <c r="QWW103" s="769"/>
      <c r="QWX103" s="769"/>
      <c r="QWY103" s="769"/>
      <c r="QWZ103" s="769"/>
      <c r="QXA103" s="769"/>
      <c r="QXB103" s="769"/>
      <c r="QXC103" s="769"/>
      <c r="QXD103" s="769"/>
      <c r="QXE103" s="769"/>
      <c r="QXF103" s="769"/>
      <c r="QXG103" s="769"/>
      <c r="QXH103" s="769"/>
      <c r="QXI103" s="769"/>
      <c r="QXJ103" s="769"/>
      <c r="QXK103" s="769"/>
      <c r="QXL103" s="769"/>
      <c r="QXM103" s="769"/>
      <c r="QXN103" s="769"/>
      <c r="QXO103" s="769"/>
      <c r="QXP103" s="769"/>
      <c r="QXQ103" s="769"/>
      <c r="QXR103" s="769"/>
      <c r="QXS103" s="769"/>
      <c r="QXT103" s="769"/>
      <c r="QXU103" s="769"/>
      <c r="QXV103" s="769"/>
      <c r="QXW103" s="769"/>
      <c r="QXX103" s="769"/>
      <c r="QXY103" s="769"/>
      <c r="QXZ103" s="769"/>
      <c r="QYA103" s="769"/>
      <c r="QYB103" s="769"/>
      <c r="QYC103" s="769"/>
      <c r="QYD103" s="769"/>
      <c r="QYE103" s="769"/>
      <c r="QYF103" s="769"/>
      <c r="QYG103" s="769"/>
      <c r="QYH103" s="769"/>
      <c r="QYI103" s="769"/>
      <c r="QYJ103" s="769"/>
      <c r="QYK103" s="769"/>
      <c r="QYL103" s="769"/>
      <c r="QYM103" s="769"/>
      <c r="QYN103" s="769"/>
      <c r="QYO103" s="769"/>
      <c r="QYP103" s="769"/>
      <c r="QYQ103" s="769"/>
      <c r="QYR103" s="769"/>
      <c r="QYS103" s="769"/>
      <c r="QYT103" s="769"/>
      <c r="QYU103" s="769"/>
      <c r="QYV103" s="769"/>
      <c r="QYW103" s="769"/>
      <c r="QYX103" s="769"/>
      <c r="QYY103" s="769"/>
      <c r="QYZ103" s="769"/>
      <c r="QZA103" s="769"/>
      <c r="QZB103" s="769"/>
      <c r="QZC103" s="769"/>
      <c r="QZD103" s="769"/>
      <c r="QZE103" s="769"/>
      <c r="QZF103" s="769"/>
      <c r="QZG103" s="769"/>
      <c r="QZH103" s="769"/>
      <c r="QZI103" s="769"/>
      <c r="QZJ103" s="769"/>
      <c r="QZK103" s="769"/>
      <c r="QZL103" s="769"/>
      <c r="QZM103" s="769"/>
      <c r="QZN103" s="769"/>
      <c r="QZO103" s="769"/>
      <c r="QZP103" s="769"/>
      <c r="QZQ103" s="769"/>
      <c r="QZR103" s="769"/>
      <c r="QZS103" s="769"/>
      <c r="QZT103" s="769"/>
      <c r="QZU103" s="769"/>
      <c r="QZV103" s="769"/>
      <c r="QZW103" s="769"/>
      <c r="QZX103" s="769"/>
      <c r="QZY103" s="769"/>
      <c r="QZZ103" s="769"/>
      <c r="RAA103" s="769"/>
      <c r="RAB103" s="769"/>
      <c r="RAC103" s="769"/>
      <c r="RAD103" s="769"/>
      <c r="RAE103" s="769"/>
      <c r="RAF103" s="769"/>
      <c r="RAG103" s="769"/>
      <c r="RAH103" s="769"/>
      <c r="RAI103" s="769"/>
      <c r="RAJ103" s="769"/>
      <c r="RAK103" s="769"/>
      <c r="RAL103" s="769"/>
      <c r="RAM103" s="769"/>
      <c r="RAN103" s="769"/>
      <c r="RAO103" s="769"/>
      <c r="RAP103" s="769"/>
      <c r="RAQ103" s="769"/>
      <c r="RAR103" s="769"/>
      <c r="RAS103" s="769"/>
      <c r="RAT103" s="769"/>
      <c r="RAU103" s="769"/>
      <c r="RAV103" s="769"/>
      <c r="RAW103" s="769"/>
      <c r="RAX103" s="769"/>
      <c r="RAY103" s="769"/>
      <c r="RAZ103" s="769"/>
      <c r="RBA103" s="769"/>
      <c r="RBB103" s="769"/>
      <c r="RBC103" s="769"/>
      <c r="RBD103" s="769"/>
      <c r="RBE103" s="769"/>
      <c r="RBF103" s="769"/>
      <c r="RBG103" s="769"/>
      <c r="RBH103" s="769"/>
      <c r="RBI103" s="769"/>
      <c r="RBJ103" s="769"/>
      <c r="RBK103" s="769"/>
      <c r="RBL103" s="769"/>
      <c r="RBM103" s="769"/>
      <c r="RBN103" s="769"/>
      <c r="RBO103" s="769"/>
      <c r="RBP103" s="769"/>
      <c r="RBQ103" s="769"/>
      <c r="RBR103" s="769"/>
      <c r="RBS103" s="769"/>
      <c r="RBT103" s="769"/>
      <c r="RBU103" s="769"/>
      <c r="RBV103" s="769"/>
      <c r="RBW103" s="769"/>
      <c r="RBX103" s="769"/>
      <c r="RBY103" s="769"/>
      <c r="RBZ103" s="769"/>
      <c r="RCA103" s="769"/>
      <c r="RCB103" s="769"/>
      <c r="RCC103" s="769"/>
      <c r="RCD103" s="769"/>
      <c r="RCE103" s="769"/>
      <c r="RCF103" s="769"/>
      <c r="RCG103" s="769"/>
      <c r="RCH103" s="769"/>
      <c r="RCI103" s="769"/>
      <c r="RCJ103" s="769"/>
      <c r="RCK103" s="769"/>
      <c r="RCL103" s="769"/>
      <c r="RCM103" s="769"/>
      <c r="RCN103" s="769"/>
      <c r="RCO103" s="769"/>
      <c r="RCP103" s="769"/>
      <c r="RCQ103" s="769"/>
      <c r="RCR103" s="769"/>
      <c r="RCS103" s="769"/>
      <c r="RCT103" s="769"/>
      <c r="RCU103" s="769"/>
      <c r="RCV103" s="769"/>
      <c r="RCW103" s="769"/>
      <c r="RCX103" s="769"/>
      <c r="RCY103" s="769"/>
      <c r="RCZ103" s="769"/>
      <c r="RDA103" s="769"/>
      <c r="RDB103" s="769"/>
      <c r="RDC103" s="769"/>
      <c r="RDD103" s="769"/>
      <c r="RDE103" s="769"/>
      <c r="RDF103" s="769"/>
      <c r="RDG103" s="769"/>
      <c r="RDH103" s="769"/>
      <c r="RDI103" s="769"/>
      <c r="RDJ103" s="769"/>
      <c r="RDK103" s="769"/>
      <c r="RDL103" s="769"/>
      <c r="RDM103" s="769"/>
      <c r="RDN103" s="769"/>
      <c r="RDO103" s="769"/>
      <c r="RDP103" s="769"/>
      <c r="RDQ103" s="769"/>
      <c r="RDR103" s="769"/>
      <c r="RDS103" s="769"/>
      <c r="RDT103" s="769"/>
      <c r="RDU103" s="769"/>
      <c r="RDV103" s="769"/>
      <c r="RDW103" s="769"/>
      <c r="RDX103" s="769"/>
      <c r="RDY103" s="769"/>
      <c r="RDZ103" s="769"/>
      <c r="REA103" s="769"/>
      <c r="REB103" s="769"/>
      <c r="REC103" s="769"/>
      <c r="RED103" s="769"/>
      <c r="REE103" s="769"/>
      <c r="REF103" s="769"/>
      <c r="REG103" s="769"/>
      <c r="REH103" s="769"/>
      <c r="REI103" s="769"/>
      <c r="REJ103" s="769"/>
      <c r="REK103" s="769"/>
      <c r="REL103" s="769"/>
      <c r="REM103" s="769"/>
      <c r="REN103" s="769"/>
      <c r="REO103" s="769"/>
      <c r="REP103" s="769"/>
      <c r="REQ103" s="769"/>
      <c r="RER103" s="769"/>
      <c r="RES103" s="769"/>
      <c r="RET103" s="769"/>
      <c r="REU103" s="769"/>
      <c r="REV103" s="769"/>
      <c r="REW103" s="769"/>
      <c r="REX103" s="769"/>
      <c r="REY103" s="769"/>
      <c r="REZ103" s="769"/>
      <c r="RFA103" s="769"/>
      <c r="RFB103" s="769"/>
      <c r="RFC103" s="769"/>
      <c r="RFD103" s="769"/>
      <c r="RFE103" s="769"/>
      <c r="RFF103" s="769"/>
      <c r="RFG103" s="769"/>
      <c r="RFH103" s="769"/>
      <c r="RFI103" s="769"/>
      <c r="RFJ103" s="769"/>
      <c r="RFK103" s="769"/>
      <c r="RFL103" s="769"/>
      <c r="RFM103" s="769"/>
      <c r="RFN103" s="769"/>
      <c r="RFO103" s="769"/>
      <c r="RFP103" s="769"/>
      <c r="RFQ103" s="769"/>
      <c r="RFR103" s="769"/>
      <c r="RFS103" s="769"/>
      <c r="RFT103" s="769"/>
      <c r="RFU103" s="769"/>
      <c r="RFV103" s="769"/>
      <c r="RFW103" s="769"/>
      <c r="RFX103" s="769"/>
      <c r="RFY103" s="769"/>
      <c r="RFZ103" s="769"/>
      <c r="RGA103" s="769"/>
      <c r="RGB103" s="769"/>
      <c r="RGC103" s="769"/>
      <c r="RGD103" s="769"/>
      <c r="RGE103" s="769"/>
      <c r="RGF103" s="769"/>
      <c r="RGG103" s="769"/>
      <c r="RGH103" s="769"/>
      <c r="RGI103" s="769"/>
      <c r="RGJ103" s="769"/>
      <c r="RGK103" s="769"/>
      <c r="RGL103" s="769"/>
      <c r="RGM103" s="769"/>
      <c r="RGN103" s="769"/>
      <c r="RGO103" s="769"/>
      <c r="RGP103" s="769"/>
      <c r="RGQ103" s="769"/>
      <c r="RGR103" s="769"/>
      <c r="RGS103" s="769"/>
      <c r="RGT103" s="769"/>
      <c r="RGU103" s="769"/>
      <c r="RGV103" s="769"/>
      <c r="RGW103" s="769"/>
      <c r="RGX103" s="769"/>
      <c r="RGY103" s="769"/>
      <c r="RGZ103" s="769"/>
      <c r="RHA103" s="769"/>
      <c r="RHB103" s="769"/>
      <c r="RHC103" s="769"/>
      <c r="RHD103" s="769"/>
      <c r="RHE103" s="769"/>
      <c r="RHF103" s="769"/>
      <c r="RHG103" s="769"/>
      <c r="RHH103" s="769"/>
      <c r="RHI103" s="769"/>
      <c r="RHJ103" s="769"/>
      <c r="RHK103" s="769"/>
      <c r="RHL103" s="769"/>
      <c r="RHM103" s="769"/>
      <c r="RHN103" s="769"/>
      <c r="RHO103" s="769"/>
      <c r="RHP103" s="769"/>
      <c r="RHQ103" s="769"/>
      <c r="RHR103" s="769"/>
      <c r="RHS103" s="769"/>
      <c r="RHT103" s="769"/>
      <c r="RHU103" s="769"/>
      <c r="RHV103" s="769"/>
      <c r="RHW103" s="769"/>
      <c r="RHX103" s="769"/>
      <c r="RHY103" s="769"/>
      <c r="RHZ103" s="769"/>
      <c r="RIA103" s="769"/>
      <c r="RIB103" s="769"/>
      <c r="RIC103" s="769"/>
      <c r="RID103" s="769"/>
      <c r="RIE103" s="769"/>
      <c r="RIF103" s="769"/>
      <c r="RIG103" s="769"/>
      <c r="RIH103" s="769"/>
      <c r="RII103" s="769"/>
      <c r="RIJ103" s="769"/>
      <c r="RIK103" s="769"/>
      <c r="RIL103" s="769"/>
      <c r="RIM103" s="769"/>
      <c r="RIN103" s="769"/>
      <c r="RIO103" s="769"/>
      <c r="RIP103" s="769"/>
      <c r="RIQ103" s="769"/>
      <c r="RIR103" s="769"/>
      <c r="RIS103" s="769"/>
      <c r="RIT103" s="769"/>
      <c r="RIU103" s="769"/>
      <c r="RIV103" s="769"/>
      <c r="RIW103" s="769"/>
      <c r="RIX103" s="769"/>
      <c r="RIY103" s="769"/>
      <c r="RIZ103" s="769"/>
      <c r="RJA103" s="769"/>
      <c r="RJB103" s="769"/>
      <c r="RJC103" s="769"/>
      <c r="RJD103" s="769"/>
      <c r="RJE103" s="769"/>
      <c r="RJF103" s="769"/>
      <c r="RJG103" s="769"/>
      <c r="RJH103" s="769"/>
      <c r="RJI103" s="769"/>
      <c r="RJJ103" s="769"/>
      <c r="RJK103" s="769"/>
      <c r="RJL103" s="769"/>
      <c r="RJM103" s="769"/>
      <c r="RJN103" s="769"/>
      <c r="RJO103" s="769"/>
      <c r="RJP103" s="769"/>
      <c r="RJQ103" s="769"/>
      <c r="RJR103" s="769"/>
      <c r="RJS103" s="769"/>
      <c r="RJT103" s="769"/>
      <c r="RJU103" s="769"/>
      <c r="RJV103" s="769"/>
      <c r="RJW103" s="769"/>
      <c r="RJX103" s="769"/>
      <c r="RJY103" s="769"/>
      <c r="RJZ103" s="769"/>
      <c r="RKA103" s="769"/>
      <c r="RKB103" s="769"/>
      <c r="RKC103" s="769"/>
      <c r="RKD103" s="769"/>
      <c r="RKE103" s="769"/>
      <c r="RKF103" s="769"/>
      <c r="RKG103" s="769"/>
      <c r="RKH103" s="769"/>
      <c r="RKI103" s="769"/>
      <c r="RKJ103" s="769"/>
      <c r="RKK103" s="769"/>
      <c r="RKL103" s="769"/>
      <c r="RKM103" s="769"/>
      <c r="RKN103" s="769"/>
      <c r="RKO103" s="769"/>
      <c r="RKP103" s="769"/>
      <c r="RKQ103" s="769"/>
      <c r="RKR103" s="769"/>
      <c r="RKS103" s="769"/>
      <c r="RKT103" s="769"/>
      <c r="RKU103" s="769"/>
      <c r="RKV103" s="769"/>
      <c r="RKW103" s="769"/>
      <c r="RKX103" s="769"/>
      <c r="RKY103" s="769"/>
      <c r="RKZ103" s="769"/>
      <c r="RLA103" s="769"/>
      <c r="RLB103" s="769"/>
      <c r="RLC103" s="769"/>
      <c r="RLD103" s="769"/>
      <c r="RLE103" s="769"/>
      <c r="RLF103" s="769"/>
      <c r="RLG103" s="769"/>
      <c r="RLH103" s="769"/>
      <c r="RLI103" s="769"/>
      <c r="RLJ103" s="769"/>
      <c r="RLK103" s="769"/>
      <c r="RLL103" s="769"/>
      <c r="RLM103" s="769"/>
      <c r="RLN103" s="769"/>
      <c r="RLO103" s="769"/>
      <c r="RLP103" s="769"/>
      <c r="RLQ103" s="769"/>
      <c r="RLR103" s="769"/>
      <c r="RLS103" s="769"/>
      <c r="RLT103" s="769"/>
      <c r="RLU103" s="769"/>
      <c r="RLV103" s="769"/>
      <c r="RLW103" s="769"/>
      <c r="RLX103" s="769"/>
      <c r="RLY103" s="769"/>
      <c r="RLZ103" s="769"/>
      <c r="RMA103" s="769"/>
      <c r="RMB103" s="769"/>
      <c r="RMC103" s="769"/>
      <c r="RMD103" s="769"/>
      <c r="RME103" s="769"/>
      <c r="RMF103" s="769"/>
      <c r="RMG103" s="769"/>
      <c r="RMH103" s="769"/>
      <c r="RMI103" s="769"/>
      <c r="RMJ103" s="769"/>
      <c r="RMK103" s="769"/>
      <c r="RML103" s="769"/>
      <c r="RMM103" s="769"/>
      <c r="RMN103" s="769"/>
      <c r="RMO103" s="769"/>
      <c r="RMP103" s="769"/>
      <c r="RMQ103" s="769"/>
      <c r="RMR103" s="769"/>
      <c r="RMS103" s="769"/>
      <c r="RMT103" s="769"/>
      <c r="RMU103" s="769"/>
      <c r="RMV103" s="769"/>
      <c r="RMW103" s="769"/>
      <c r="RMX103" s="769"/>
      <c r="RMY103" s="769"/>
      <c r="RMZ103" s="769"/>
      <c r="RNA103" s="769"/>
      <c r="RNB103" s="769"/>
      <c r="RNC103" s="769"/>
      <c r="RND103" s="769"/>
      <c r="RNE103" s="769"/>
      <c r="RNF103" s="769"/>
      <c r="RNG103" s="769"/>
      <c r="RNH103" s="769"/>
      <c r="RNI103" s="769"/>
      <c r="RNJ103" s="769"/>
      <c r="RNK103" s="769"/>
      <c r="RNL103" s="769"/>
      <c r="RNM103" s="769"/>
      <c r="RNN103" s="769"/>
      <c r="RNO103" s="769"/>
      <c r="RNP103" s="769"/>
      <c r="RNQ103" s="769"/>
      <c r="RNR103" s="769"/>
      <c r="RNS103" s="769"/>
      <c r="RNT103" s="769"/>
      <c r="RNU103" s="769"/>
      <c r="RNV103" s="769"/>
      <c r="RNW103" s="769"/>
      <c r="RNX103" s="769"/>
      <c r="RNY103" s="769"/>
      <c r="RNZ103" s="769"/>
      <c r="ROA103" s="769"/>
      <c r="ROB103" s="769"/>
      <c r="ROC103" s="769"/>
      <c r="ROD103" s="769"/>
      <c r="ROE103" s="769"/>
      <c r="ROF103" s="769"/>
      <c r="ROG103" s="769"/>
      <c r="ROH103" s="769"/>
      <c r="ROI103" s="769"/>
      <c r="ROJ103" s="769"/>
      <c r="ROK103" s="769"/>
      <c r="ROL103" s="769"/>
      <c r="ROM103" s="769"/>
      <c r="RON103" s="769"/>
      <c r="ROO103" s="769"/>
      <c r="ROP103" s="769"/>
      <c r="ROQ103" s="769"/>
      <c r="ROR103" s="769"/>
      <c r="ROS103" s="769"/>
      <c r="ROT103" s="769"/>
      <c r="ROU103" s="769"/>
      <c r="ROV103" s="769"/>
      <c r="ROW103" s="769"/>
      <c r="ROX103" s="769"/>
      <c r="ROY103" s="769"/>
      <c r="ROZ103" s="769"/>
      <c r="RPA103" s="769"/>
      <c r="RPB103" s="769"/>
      <c r="RPC103" s="769"/>
      <c r="RPD103" s="769"/>
      <c r="RPE103" s="769"/>
      <c r="RPF103" s="769"/>
      <c r="RPG103" s="769"/>
      <c r="RPH103" s="769"/>
      <c r="RPI103" s="769"/>
      <c r="RPJ103" s="769"/>
      <c r="RPK103" s="769"/>
      <c r="RPL103" s="769"/>
      <c r="RPM103" s="769"/>
      <c r="RPN103" s="769"/>
      <c r="RPO103" s="769"/>
      <c r="RPP103" s="769"/>
      <c r="RPQ103" s="769"/>
      <c r="RPR103" s="769"/>
      <c r="RPS103" s="769"/>
      <c r="RPT103" s="769"/>
      <c r="RPU103" s="769"/>
      <c r="RPV103" s="769"/>
      <c r="RPW103" s="769"/>
      <c r="RPX103" s="769"/>
      <c r="RPY103" s="769"/>
      <c r="RPZ103" s="769"/>
      <c r="RQA103" s="769"/>
      <c r="RQB103" s="769"/>
      <c r="RQC103" s="769"/>
      <c r="RQD103" s="769"/>
      <c r="RQE103" s="769"/>
      <c r="RQF103" s="769"/>
      <c r="RQG103" s="769"/>
      <c r="RQH103" s="769"/>
      <c r="RQI103" s="769"/>
      <c r="RQJ103" s="769"/>
      <c r="RQK103" s="769"/>
      <c r="RQL103" s="769"/>
      <c r="RQM103" s="769"/>
      <c r="RQN103" s="769"/>
      <c r="RQO103" s="769"/>
      <c r="RQP103" s="769"/>
      <c r="RQQ103" s="769"/>
      <c r="RQR103" s="769"/>
      <c r="RQS103" s="769"/>
      <c r="RQT103" s="769"/>
      <c r="RQU103" s="769"/>
      <c r="RQV103" s="769"/>
      <c r="RQW103" s="769"/>
      <c r="RQX103" s="769"/>
      <c r="RQY103" s="769"/>
      <c r="RQZ103" s="769"/>
      <c r="RRA103" s="769"/>
      <c r="RRB103" s="769"/>
      <c r="RRC103" s="769"/>
      <c r="RRD103" s="769"/>
      <c r="RRE103" s="769"/>
      <c r="RRF103" s="769"/>
      <c r="RRG103" s="769"/>
      <c r="RRH103" s="769"/>
      <c r="RRI103" s="769"/>
      <c r="RRJ103" s="769"/>
      <c r="RRK103" s="769"/>
      <c r="RRL103" s="769"/>
      <c r="RRM103" s="769"/>
      <c r="RRN103" s="769"/>
      <c r="RRO103" s="769"/>
      <c r="RRP103" s="769"/>
      <c r="RRQ103" s="769"/>
      <c r="RRR103" s="769"/>
      <c r="RRS103" s="769"/>
      <c r="RRT103" s="769"/>
      <c r="RRU103" s="769"/>
      <c r="RRV103" s="769"/>
      <c r="RRW103" s="769"/>
      <c r="RRX103" s="769"/>
      <c r="RRY103" s="769"/>
      <c r="RRZ103" s="769"/>
      <c r="RSA103" s="769"/>
      <c r="RSB103" s="769"/>
      <c r="RSC103" s="769"/>
      <c r="RSD103" s="769"/>
      <c r="RSE103" s="769"/>
      <c r="RSF103" s="769"/>
      <c r="RSG103" s="769"/>
      <c r="RSH103" s="769"/>
      <c r="RSI103" s="769"/>
      <c r="RSJ103" s="769"/>
      <c r="RSK103" s="769"/>
      <c r="RSL103" s="769"/>
      <c r="RSM103" s="769"/>
      <c r="RSN103" s="769"/>
      <c r="RSO103" s="769"/>
      <c r="RSP103" s="769"/>
      <c r="RSQ103" s="769"/>
      <c r="RSR103" s="769"/>
      <c r="RSS103" s="769"/>
      <c r="RST103" s="769"/>
      <c r="RSU103" s="769"/>
      <c r="RSV103" s="769"/>
      <c r="RSW103" s="769"/>
      <c r="RSX103" s="769"/>
      <c r="RSY103" s="769"/>
      <c r="RSZ103" s="769"/>
      <c r="RTA103" s="769"/>
      <c r="RTB103" s="769"/>
      <c r="RTC103" s="769"/>
      <c r="RTD103" s="769"/>
      <c r="RTE103" s="769"/>
      <c r="RTF103" s="769"/>
      <c r="RTG103" s="769"/>
      <c r="RTH103" s="769"/>
      <c r="RTI103" s="769"/>
      <c r="RTJ103" s="769"/>
      <c r="RTK103" s="769"/>
      <c r="RTL103" s="769"/>
      <c r="RTM103" s="769"/>
      <c r="RTN103" s="769"/>
      <c r="RTO103" s="769"/>
      <c r="RTP103" s="769"/>
      <c r="RTQ103" s="769"/>
      <c r="RTR103" s="769"/>
      <c r="RTS103" s="769"/>
      <c r="RTT103" s="769"/>
      <c r="RTU103" s="769"/>
      <c r="RTV103" s="769"/>
      <c r="RTW103" s="769"/>
      <c r="RTX103" s="769"/>
      <c r="RTY103" s="769"/>
      <c r="RTZ103" s="769"/>
      <c r="RUA103" s="769"/>
      <c r="RUB103" s="769"/>
      <c r="RUC103" s="769"/>
      <c r="RUD103" s="769"/>
      <c r="RUE103" s="769"/>
      <c r="RUF103" s="769"/>
      <c r="RUG103" s="769"/>
      <c r="RUH103" s="769"/>
      <c r="RUI103" s="769"/>
      <c r="RUJ103" s="769"/>
      <c r="RUK103" s="769"/>
      <c r="RUL103" s="769"/>
      <c r="RUM103" s="769"/>
      <c r="RUN103" s="769"/>
      <c r="RUO103" s="769"/>
      <c r="RUP103" s="769"/>
      <c r="RUQ103" s="769"/>
      <c r="RUR103" s="769"/>
      <c r="RUS103" s="769"/>
      <c r="RUT103" s="769"/>
      <c r="RUU103" s="769"/>
      <c r="RUV103" s="769"/>
      <c r="RUW103" s="769"/>
      <c r="RUX103" s="769"/>
      <c r="RUY103" s="769"/>
      <c r="RUZ103" s="769"/>
      <c r="RVA103" s="769"/>
      <c r="RVB103" s="769"/>
      <c r="RVC103" s="769"/>
      <c r="RVD103" s="769"/>
      <c r="RVE103" s="769"/>
      <c r="RVF103" s="769"/>
      <c r="RVG103" s="769"/>
      <c r="RVH103" s="769"/>
      <c r="RVI103" s="769"/>
      <c r="RVJ103" s="769"/>
      <c r="RVK103" s="769"/>
      <c r="RVL103" s="769"/>
      <c r="RVM103" s="769"/>
      <c r="RVN103" s="769"/>
      <c r="RVO103" s="769"/>
      <c r="RVP103" s="769"/>
      <c r="RVQ103" s="769"/>
      <c r="RVR103" s="769"/>
      <c r="RVS103" s="769"/>
      <c r="RVT103" s="769"/>
      <c r="RVU103" s="769"/>
      <c r="RVV103" s="769"/>
      <c r="RVW103" s="769"/>
      <c r="RVX103" s="769"/>
      <c r="RVY103" s="769"/>
      <c r="RVZ103" s="769"/>
      <c r="RWA103" s="769"/>
      <c r="RWB103" s="769"/>
      <c r="RWC103" s="769"/>
      <c r="RWD103" s="769"/>
      <c r="RWE103" s="769"/>
      <c r="RWF103" s="769"/>
      <c r="RWG103" s="769"/>
      <c r="RWH103" s="769"/>
      <c r="RWI103" s="769"/>
      <c r="RWJ103" s="769"/>
      <c r="RWK103" s="769"/>
      <c r="RWL103" s="769"/>
      <c r="RWM103" s="769"/>
      <c r="RWN103" s="769"/>
      <c r="RWO103" s="769"/>
      <c r="RWP103" s="769"/>
      <c r="RWQ103" s="769"/>
      <c r="RWR103" s="769"/>
      <c r="RWS103" s="769"/>
      <c r="RWT103" s="769"/>
      <c r="RWU103" s="769"/>
      <c r="RWV103" s="769"/>
      <c r="RWW103" s="769"/>
      <c r="RWX103" s="769"/>
      <c r="RWY103" s="769"/>
      <c r="RWZ103" s="769"/>
      <c r="RXA103" s="769"/>
      <c r="RXB103" s="769"/>
      <c r="RXC103" s="769"/>
      <c r="RXD103" s="769"/>
      <c r="RXE103" s="769"/>
      <c r="RXF103" s="769"/>
      <c r="RXG103" s="769"/>
      <c r="RXH103" s="769"/>
      <c r="RXI103" s="769"/>
      <c r="RXJ103" s="769"/>
      <c r="RXK103" s="769"/>
      <c r="RXL103" s="769"/>
      <c r="RXM103" s="769"/>
      <c r="RXN103" s="769"/>
      <c r="RXO103" s="769"/>
      <c r="RXP103" s="769"/>
      <c r="RXQ103" s="769"/>
      <c r="RXR103" s="769"/>
      <c r="RXS103" s="769"/>
      <c r="RXT103" s="769"/>
      <c r="RXU103" s="769"/>
      <c r="RXV103" s="769"/>
      <c r="RXW103" s="769"/>
      <c r="RXX103" s="769"/>
      <c r="RXY103" s="769"/>
      <c r="RXZ103" s="769"/>
      <c r="RYA103" s="769"/>
      <c r="RYB103" s="769"/>
      <c r="RYC103" s="769"/>
      <c r="RYD103" s="769"/>
      <c r="RYE103" s="769"/>
      <c r="RYF103" s="769"/>
      <c r="RYG103" s="769"/>
      <c r="RYH103" s="769"/>
      <c r="RYI103" s="769"/>
      <c r="RYJ103" s="769"/>
      <c r="RYK103" s="769"/>
      <c r="RYL103" s="769"/>
      <c r="RYM103" s="769"/>
      <c r="RYN103" s="769"/>
      <c r="RYO103" s="769"/>
      <c r="RYP103" s="769"/>
      <c r="RYQ103" s="769"/>
      <c r="RYR103" s="769"/>
      <c r="RYS103" s="769"/>
      <c r="RYT103" s="769"/>
      <c r="RYU103" s="769"/>
      <c r="RYV103" s="769"/>
      <c r="RYW103" s="769"/>
      <c r="RYX103" s="769"/>
      <c r="RYY103" s="769"/>
      <c r="RYZ103" s="769"/>
      <c r="RZA103" s="769"/>
      <c r="RZB103" s="769"/>
      <c r="RZC103" s="769"/>
      <c r="RZD103" s="769"/>
      <c r="RZE103" s="769"/>
      <c r="RZF103" s="769"/>
      <c r="RZG103" s="769"/>
      <c r="RZH103" s="769"/>
      <c r="RZI103" s="769"/>
      <c r="RZJ103" s="769"/>
      <c r="RZK103" s="769"/>
      <c r="RZL103" s="769"/>
      <c r="RZM103" s="769"/>
      <c r="RZN103" s="769"/>
      <c r="RZO103" s="769"/>
      <c r="RZP103" s="769"/>
      <c r="RZQ103" s="769"/>
      <c r="RZR103" s="769"/>
      <c r="RZS103" s="769"/>
      <c r="RZT103" s="769"/>
      <c r="RZU103" s="769"/>
      <c r="RZV103" s="769"/>
      <c r="RZW103" s="769"/>
      <c r="RZX103" s="769"/>
      <c r="RZY103" s="769"/>
      <c r="RZZ103" s="769"/>
      <c r="SAA103" s="769"/>
      <c r="SAB103" s="769"/>
      <c r="SAC103" s="769"/>
      <c r="SAD103" s="769"/>
      <c r="SAE103" s="769"/>
      <c r="SAF103" s="769"/>
      <c r="SAG103" s="769"/>
      <c r="SAH103" s="769"/>
      <c r="SAI103" s="769"/>
      <c r="SAJ103" s="769"/>
      <c r="SAK103" s="769"/>
      <c r="SAL103" s="769"/>
      <c r="SAM103" s="769"/>
      <c r="SAN103" s="769"/>
      <c r="SAO103" s="769"/>
      <c r="SAP103" s="769"/>
      <c r="SAQ103" s="769"/>
      <c r="SAR103" s="769"/>
      <c r="SAS103" s="769"/>
      <c r="SAT103" s="769"/>
      <c r="SAU103" s="769"/>
      <c r="SAV103" s="769"/>
      <c r="SAW103" s="769"/>
      <c r="SAX103" s="769"/>
      <c r="SAY103" s="769"/>
      <c r="SAZ103" s="769"/>
      <c r="SBA103" s="769"/>
      <c r="SBB103" s="769"/>
      <c r="SBC103" s="769"/>
      <c r="SBD103" s="769"/>
      <c r="SBE103" s="769"/>
      <c r="SBF103" s="769"/>
      <c r="SBG103" s="769"/>
      <c r="SBH103" s="769"/>
      <c r="SBI103" s="769"/>
      <c r="SBJ103" s="769"/>
      <c r="SBK103" s="769"/>
      <c r="SBL103" s="769"/>
      <c r="SBM103" s="769"/>
      <c r="SBN103" s="769"/>
      <c r="SBO103" s="769"/>
      <c r="SBP103" s="769"/>
      <c r="SBQ103" s="769"/>
      <c r="SBR103" s="769"/>
      <c r="SBS103" s="769"/>
      <c r="SBT103" s="769"/>
      <c r="SBU103" s="769"/>
      <c r="SBV103" s="769"/>
      <c r="SBW103" s="769"/>
      <c r="SBX103" s="769"/>
      <c r="SBY103" s="769"/>
      <c r="SBZ103" s="769"/>
      <c r="SCA103" s="769"/>
      <c r="SCB103" s="769"/>
      <c r="SCC103" s="769"/>
      <c r="SCD103" s="769"/>
      <c r="SCE103" s="769"/>
      <c r="SCF103" s="769"/>
      <c r="SCG103" s="769"/>
      <c r="SCH103" s="769"/>
      <c r="SCI103" s="769"/>
      <c r="SCJ103" s="769"/>
      <c r="SCK103" s="769"/>
      <c r="SCL103" s="769"/>
      <c r="SCM103" s="769"/>
      <c r="SCN103" s="769"/>
      <c r="SCO103" s="769"/>
      <c r="SCP103" s="769"/>
      <c r="SCQ103" s="769"/>
      <c r="SCR103" s="769"/>
      <c r="SCS103" s="769"/>
      <c r="SCT103" s="769"/>
      <c r="SCU103" s="769"/>
      <c r="SCV103" s="769"/>
      <c r="SCW103" s="769"/>
      <c r="SCX103" s="769"/>
      <c r="SCY103" s="769"/>
      <c r="SCZ103" s="769"/>
      <c r="SDA103" s="769"/>
      <c r="SDB103" s="769"/>
      <c r="SDC103" s="769"/>
      <c r="SDD103" s="769"/>
      <c r="SDE103" s="769"/>
      <c r="SDF103" s="769"/>
      <c r="SDG103" s="769"/>
      <c r="SDH103" s="769"/>
      <c r="SDI103" s="769"/>
      <c r="SDJ103" s="769"/>
      <c r="SDK103" s="769"/>
      <c r="SDL103" s="769"/>
      <c r="SDM103" s="769"/>
      <c r="SDN103" s="769"/>
      <c r="SDO103" s="769"/>
      <c r="SDP103" s="769"/>
      <c r="SDQ103" s="769"/>
      <c r="SDR103" s="769"/>
      <c r="SDS103" s="769"/>
      <c r="SDT103" s="769"/>
      <c r="SDU103" s="769"/>
      <c r="SDV103" s="769"/>
      <c r="SDW103" s="769"/>
      <c r="SDX103" s="769"/>
      <c r="SDY103" s="769"/>
      <c r="SDZ103" s="769"/>
      <c r="SEA103" s="769"/>
      <c r="SEB103" s="769"/>
      <c r="SEC103" s="769"/>
      <c r="SED103" s="769"/>
      <c r="SEE103" s="769"/>
      <c r="SEF103" s="769"/>
      <c r="SEG103" s="769"/>
      <c r="SEH103" s="769"/>
      <c r="SEI103" s="769"/>
      <c r="SEJ103" s="769"/>
      <c r="SEK103" s="769"/>
      <c r="SEL103" s="769"/>
      <c r="SEM103" s="769"/>
      <c r="SEN103" s="769"/>
      <c r="SEO103" s="769"/>
      <c r="SEP103" s="769"/>
      <c r="SEQ103" s="769"/>
      <c r="SER103" s="769"/>
      <c r="SES103" s="769"/>
      <c r="SET103" s="769"/>
      <c r="SEU103" s="769"/>
      <c r="SEV103" s="769"/>
      <c r="SEW103" s="769"/>
      <c r="SEX103" s="769"/>
      <c r="SEY103" s="769"/>
      <c r="SEZ103" s="769"/>
      <c r="SFA103" s="769"/>
      <c r="SFB103" s="769"/>
      <c r="SFC103" s="769"/>
      <c r="SFD103" s="769"/>
      <c r="SFE103" s="769"/>
      <c r="SFF103" s="769"/>
      <c r="SFG103" s="769"/>
      <c r="SFH103" s="769"/>
      <c r="SFI103" s="769"/>
      <c r="SFJ103" s="769"/>
      <c r="SFK103" s="769"/>
      <c r="SFL103" s="769"/>
      <c r="SFM103" s="769"/>
      <c r="SFN103" s="769"/>
      <c r="SFO103" s="769"/>
      <c r="SFP103" s="769"/>
      <c r="SFQ103" s="769"/>
      <c r="SFR103" s="769"/>
      <c r="SFS103" s="769"/>
      <c r="SFT103" s="769"/>
      <c r="SFU103" s="769"/>
      <c r="SFV103" s="769"/>
      <c r="SFW103" s="769"/>
      <c r="SFX103" s="769"/>
      <c r="SFY103" s="769"/>
      <c r="SFZ103" s="769"/>
      <c r="SGA103" s="769"/>
      <c r="SGB103" s="769"/>
      <c r="SGC103" s="769"/>
      <c r="SGD103" s="769"/>
      <c r="SGE103" s="769"/>
      <c r="SGF103" s="769"/>
      <c r="SGG103" s="769"/>
      <c r="SGH103" s="769"/>
      <c r="SGI103" s="769"/>
      <c r="SGJ103" s="769"/>
      <c r="SGK103" s="769"/>
      <c r="SGL103" s="769"/>
      <c r="SGM103" s="769"/>
      <c r="SGN103" s="769"/>
      <c r="SGO103" s="769"/>
      <c r="SGP103" s="769"/>
      <c r="SGQ103" s="769"/>
      <c r="SGR103" s="769"/>
      <c r="SGS103" s="769"/>
      <c r="SGT103" s="769"/>
      <c r="SGU103" s="769"/>
      <c r="SGV103" s="769"/>
      <c r="SGW103" s="769"/>
      <c r="SGX103" s="769"/>
      <c r="SGY103" s="769"/>
      <c r="SGZ103" s="769"/>
      <c r="SHA103" s="769"/>
      <c r="SHB103" s="769"/>
      <c r="SHC103" s="769"/>
      <c r="SHD103" s="769"/>
      <c r="SHE103" s="769"/>
      <c r="SHF103" s="769"/>
      <c r="SHG103" s="769"/>
      <c r="SHH103" s="769"/>
      <c r="SHI103" s="769"/>
      <c r="SHJ103" s="769"/>
      <c r="SHK103" s="769"/>
      <c r="SHL103" s="769"/>
      <c r="SHM103" s="769"/>
      <c r="SHN103" s="769"/>
      <c r="SHO103" s="769"/>
      <c r="SHP103" s="769"/>
      <c r="SHQ103" s="769"/>
      <c r="SHR103" s="769"/>
      <c r="SHS103" s="769"/>
      <c r="SHT103" s="769"/>
      <c r="SHU103" s="769"/>
      <c r="SHV103" s="769"/>
      <c r="SHW103" s="769"/>
      <c r="SHX103" s="769"/>
      <c r="SHY103" s="769"/>
      <c r="SHZ103" s="769"/>
      <c r="SIA103" s="769"/>
      <c r="SIB103" s="769"/>
      <c r="SIC103" s="769"/>
      <c r="SID103" s="769"/>
      <c r="SIE103" s="769"/>
      <c r="SIF103" s="769"/>
      <c r="SIG103" s="769"/>
      <c r="SIH103" s="769"/>
      <c r="SII103" s="769"/>
      <c r="SIJ103" s="769"/>
      <c r="SIK103" s="769"/>
      <c r="SIL103" s="769"/>
      <c r="SIM103" s="769"/>
      <c r="SIN103" s="769"/>
      <c r="SIO103" s="769"/>
      <c r="SIP103" s="769"/>
      <c r="SIQ103" s="769"/>
      <c r="SIR103" s="769"/>
      <c r="SIS103" s="769"/>
      <c r="SIT103" s="769"/>
      <c r="SIU103" s="769"/>
      <c r="SIV103" s="769"/>
      <c r="SIW103" s="769"/>
      <c r="SIX103" s="769"/>
      <c r="SIY103" s="769"/>
      <c r="SIZ103" s="769"/>
      <c r="SJA103" s="769"/>
      <c r="SJB103" s="769"/>
      <c r="SJC103" s="769"/>
      <c r="SJD103" s="769"/>
      <c r="SJE103" s="769"/>
      <c r="SJF103" s="769"/>
      <c r="SJG103" s="769"/>
      <c r="SJH103" s="769"/>
      <c r="SJI103" s="769"/>
      <c r="SJJ103" s="769"/>
      <c r="SJK103" s="769"/>
      <c r="SJL103" s="769"/>
      <c r="SJM103" s="769"/>
      <c r="SJN103" s="769"/>
      <c r="SJO103" s="769"/>
      <c r="SJP103" s="769"/>
      <c r="SJQ103" s="769"/>
      <c r="SJR103" s="769"/>
      <c r="SJS103" s="769"/>
      <c r="SJT103" s="769"/>
      <c r="SJU103" s="769"/>
      <c r="SJV103" s="769"/>
      <c r="SJW103" s="769"/>
      <c r="SJX103" s="769"/>
      <c r="SJY103" s="769"/>
      <c r="SJZ103" s="769"/>
      <c r="SKA103" s="769"/>
      <c r="SKB103" s="769"/>
      <c r="SKC103" s="769"/>
      <c r="SKD103" s="769"/>
      <c r="SKE103" s="769"/>
      <c r="SKF103" s="769"/>
      <c r="SKG103" s="769"/>
      <c r="SKH103" s="769"/>
      <c r="SKI103" s="769"/>
      <c r="SKJ103" s="769"/>
      <c r="SKK103" s="769"/>
      <c r="SKL103" s="769"/>
      <c r="SKM103" s="769"/>
      <c r="SKN103" s="769"/>
      <c r="SKO103" s="769"/>
      <c r="SKP103" s="769"/>
      <c r="SKQ103" s="769"/>
      <c r="SKR103" s="769"/>
      <c r="SKS103" s="769"/>
      <c r="SKT103" s="769"/>
      <c r="SKU103" s="769"/>
      <c r="SKV103" s="769"/>
      <c r="SKW103" s="769"/>
      <c r="SKX103" s="769"/>
      <c r="SKY103" s="769"/>
      <c r="SKZ103" s="769"/>
      <c r="SLA103" s="769"/>
      <c r="SLB103" s="769"/>
      <c r="SLC103" s="769"/>
      <c r="SLD103" s="769"/>
      <c r="SLE103" s="769"/>
      <c r="SLF103" s="769"/>
      <c r="SLG103" s="769"/>
      <c r="SLH103" s="769"/>
      <c r="SLI103" s="769"/>
      <c r="SLJ103" s="769"/>
      <c r="SLK103" s="769"/>
      <c r="SLL103" s="769"/>
      <c r="SLM103" s="769"/>
      <c r="SLN103" s="769"/>
      <c r="SLO103" s="769"/>
      <c r="SLP103" s="769"/>
      <c r="SLQ103" s="769"/>
      <c r="SLR103" s="769"/>
      <c r="SLS103" s="769"/>
      <c r="SLT103" s="769"/>
      <c r="SLU103" s="769"/>
      <c r="SLV103" s="769"/>
      <c r="SLW103" s="769"/>
      <c r="SLX103" s="769"/>
      <c r="SLY103" s="769"/>
      <c r="SLZ103" s="769"/>
      <c r="SMA103" s="769"/>
      <c r="SMB103" s="769"/>
      <c r="SMC103" s="769"/>
      <c r="SMD103" s="769"/>
      <c r="SME103" s="769"/>
      <c r="SMF103" s="769"/>
      <c r="SMG103" s="769"/>
      <c r="SMH103" s="769"/>
      <c r="SMI103" s="769"/>
      <c r="SMJ103" s="769"/>
      <c r="SMK103" s="769"/>
      <c r="SML103" s="769"/>
      <c r="SMM103" s="769"/>
      <c r="SMN103" s="769"/>
      <c r="SMO103" s="769"/>
      <c r="SMP103" s="769"/>
      <c r="SMQ103" s="769"/>
      <c r="SMR103" s="769"/>
      <c r="SMS103" s="769"/>
      <c r="SMT103" s="769"/>
      <c r="SMU103" s="769"/>
      <c r="SMV103" s="769"/>
      <c r="SMW103" s="769"/>
      <c r="SMX103" s="769"/>
      <c r="SMY103" s="769"/>
      <c r="SMZ103" s="769"/>
      <c r="SNA103" s="769"/>
      <c r="SNB103" s="769"/>
      <c r="SNC103" s="769"/>
      <c r="SND103" s="769"/>
      <c r="SNE103" s="769"/>
      <c r="SNF103" s="769"/>
      <c r="SNG103" s="769"/>
      <c r="SNH103" s="769"/>
      <c r="SNI103" s="769"/>
      <c r="SNJ103" s="769"/>
      <c r="SNK103" s="769"/>
      <c r="SNL103" s="769"/>
      <c r="SNM103" s="769"/>
      <c r="SNN103" s="769"/>
      <c r="SNO103" s="769"/>
      <c r="SNP103" s="769"/>
      <c r="SNQ103" s="769"/>
      <c r="SNR103" s="769"/>
      <c r="SNS103" s="769"/>
      <c r="SNT103" s="769"/>
      <c r="SNU103" s="769"/>
      <c r="SNV103" s="769"/>
      <c r="SNW103" s="769"/>
      <c r="SNX103" s="769"/>
      <c r="SNY103" s="769"/>
      <c r="SNZ103" s="769"/>
      <c r="SOA103" s="769"/>
      <c r="SOB103" s="769"/>
      <c r="SOC103" s="769"/>
      <c r="SOD103" s="769"/>
      <c r="SOE103" s="769"/>
      <c r="SOF103" s="769"/>
      <c r="SOG103" s="769"/>
      <c r="SOH103" s="769"/>
      <c r="SOI103" s="769"/>
      <c r="SOJ103" s="769"/>
      <c r="SOK103" s="769"/>
      <c r="SOL103" s="769"/>
      <c r="SOM103" s="769"/>
      <c r="SON103" s="769"/>
      <c r="SOO103" s="769"/>
      <c r="SOP103" s="769"/>
      <c r="SOQ103" s="769"/>
      <c r="SOR103" s="769"/>
      <c r="SOS103" s="769"/>
      <c r="SOT103" s="769"/>
      <c r="SOU103" s="769"/>
      <c r="SOV103" s="769"/>
      <c r="SOW103" s="769"/>
      <c r="SOX103" s="769"/>
      <c r="SOY103" s="769"/>
      <c r="SOZ103" s="769"/>
      <c r="SPA103" s="769"/>
      <c r="SPB103" s="769"/>
      <c r="SPC103" s="769"/>
      <c r="SPD103" s="769"/>
      <c r="SPE103" s="769"/>
      <c r="SPF103" s="769"/>
      <c r="SPG103" s="769"/>
      <c r="SPH103" s="769"/>
      <c r="SPI103" s="769"/>
      <c r="SPJ103" s="769"/>
      <c r="SPK103" s="769"/>
      <c r="SPL103" s="769"/>
      <c r="SPM103" s="769"/>
      <c r="SPN103" s="769"/>
      <c r="SPO103" s="769"/>
      <c r="SPP103" s="769"/>
      <c r="SPQ103" s="769"/>
      <c r="SPR103" s="769"/>
      <c r="SPS103" s="769"/>
      <c r="SPT103" s="769"/>
      <c r="SPU103" s="769"/>
      <c r="SPV103" s="769"/>
      <c r="SPW103" s="769"/>
      <c r="SPX103" s="769"/>
      <c r="SPY103" s="769"/>
      <c r="SPZ103" s="769"/>
      <c r="SQA103" s="769"/>
      <c r="SQB103" s="769"/>
      <c r="SQC103" s="769"/>
      <c r="SQD103" s="769"/>
      <c r="SQE103" s="769"/>
      <c r="SQF103" s="769"/>
      <c r="SQG103" s="769"/>
      <c r="SQH103" s="769"/>
      <c r="SQI103" s="769"/>
      <c r="SQJ103" s="769"/>
      <c r="SQK103" s="769"/>
      <c r="SQL103" s="769"/>
      <c r="SQM103" s="769"/>
      <c r="SQN103" s="769"/>
      <c r="SQO103" s="769"/>
      <c r="SQP103" s="769"/>
      <c r="SQQ103" s="769"/>
      <c r="SQR103" s="769"/>
      <c r="SQS103" s="769"/>
      <c r="SQT103" s="769"/>
      <c r="SQU103" s="769"/>
      <c r="SQV103" s="769"/>
      <c r="SQW103" s="769"/>
      <c r="SQX103" s="769"/>
      <c r="SQY103" s="769"/>
      <c r="SQZ103" s="769"/>
      <c r="SRA103" s="769"/>
      <c r="SRB103" s="769"/>
      <c r="SRC103" s="769"/>
      <c r="SRD103" s="769"/>
      <c r="SRE103" s="769"/>
      <c r="SRF103" s="769"/>
      <c r="SRG103" s="769"/>
      <c r="SRH103" s="769"/>
      <c r="SRI103" s="769"/>
      <c r="SRJ103" s="769"/>
      <c r="SRK103" s="769"/>
      <c r="SRL103" s="769"/>
      <c r="SRM103" s="769"/>
      <c r="SRN103" s="769"/>
      <c r="SRO103" s="769"/>
      <c r="SRP103" s="769"/>
      <c r="SRQ103" s="769"/>
      <c r="SRR103" s="769"/>
      <c r="SRS103" s="769"/>
      <c r="SRT103" s="769"/>
      <c r="SRU103" s="769"/>
      <c r="SRV103" s="769"/>
      <c r="SRW103" s="769"/>
      <c r="SRX103" s="769"/>
      <c r="SRY103" s="769"/>
      <c r="SRZ103" s="769"/>
      <c r="SSA103" s="769"/>
      <c r="SSB103" s="769"/>
      <c r="SSC103" s="769"/>
      <c r="SSD103" s="769"/>
      <c r="SSE103" s="769"/>
      <c r="SSF103" s="769"/>
      <c r="SSG103" s="769"/>
      <c r="SSH103" s="769"/>
      <c r="SSI103" s="769"/>
      <c r="SSJ103" s="769"/>
      <c r="SSK103" s="769"/>
      <c r="SSL103" s="769"/>
      <c r="SSM103" s="769"/>
      <c r="SSN103" s="769"/>
      <c r="SSO103" s="769"/>
      <c r="SSP103" s="769"/>
      <c r="SSQ103" s="769"/>
      <c r="SSR103" s="769"/>
      <c r="SSS103" s="769"/>
      <c r="SST103" s="769"/>
      <c r="SSU103" s="769"/>
      <c r="SSV103" s="769"/>
      <c r="SSW103" s="769"/>
      <c r="SSX103" s="769"/>
      <c r="SSY103" s="769"/>
      <c r="SSZ103" s="769"/>
      <c r="STA103" s="769"/>
      <c r="STB103" s="769"/>
      <c r="STC103" s="769"/>
      <c r="STD103" s="769"/>
      <c r="STE103" s="769"/>
      <c r="STF103" s="769"/>
      <c r="STG103" s="769"/>
      <c r="STH103" s="769"/>
      <c r="STI103" s="769"/>
      <c r="STJ103" s="769"/>
      <c r="STK103" s="769"/>
      <c r="STL103" s="769"/>
      <c r="STM103" s="769"/>
      <c r="STN103" s="769"/>
      <c r="STO103" s="769"/>
      <c r="STP103" s="769"/>
      <c r="STQ103" s="769"/>
      <c r="STR103" s="769"/>
      <c r="STS103" s="769"/>
      <c r="STT103" s="769"/>
      <c r="STU103" s="769"/>
      <c r="STV103" s="769"/>
      <c r="STW103" s="769"/>
      <c r="STX103" s="769"/>
      <c r="STY103" s="769"/>
      <c r="STZ103" s="769"/>
      <c r="SUA103" s="769"/>
      <c r="SUB103" s="769"/>
      <c r="SUC103" s="769"/>
      <c r="SUD103" s="769"/>
      <c r="SUE103" s="769"/>
      <c r="SUF103" s="769"/>
      <c r="SUG103" s="769"/>
      <c r="SUH103" s="769"/>
      <c r="SUI103" s="769"/>
      <c r="SUJ103" s="769"/>
      <c r="SUK103" s="769"/>
      <c r="SUL103" s="769"/>
      <c r="SUM103" s="769"/>
      <c r="SUN103" s="769"/>
      <c r="SUO103" s="769"/>
      <c r="SUP103" s="769"/>
      <c r="SUQ103" s="769"/>
      <c r="SUR103" s="769"/>
      <c r="SUS103" s="769"/>
      <c r="SUT103" s="769"/>
      <c r="SUU103" s="769"/>
      <c r="SUV103" s="769"/>
      <c r="SUW103" s="769"/>
      <c r="SUX103" s="769"/>
      <c r="SUY103" s="769"/>
      <c r="SUZ103" s="769"/>
      <c r="SVA103" s="769"/>
      <c r="SVB103" s="769"/>
      <c r="SVC103" s="769"/>
      <c r="SVD103" s="769"/>
      <c r="SVE103" s="769"/>
      <c r="SVF103" s="769"/>
      <c r="SVG103" s="769"/>
      <c r="SVH103" s="769"/>
      <c r="SVI103" s="769"/>
      <c r="SVJ103" s="769"/>
      <c r="SVK103" s="769"/>
      <c r="SVL103" s="769"/>
      <c r="SVM103" s="769"/>
      <c r="SVN103" s="769"/>
      <c r="SVO103" s="769"/>
      <c r="SVP103" s="769"/>
      <c r="SVQ103" s="769"/>
      <c r="SVR103" s="769"/>
      <c r="SVS103" s="769"/>
      <c r="SVT103" s="769"/>
      <c r="SVU103" s="769"/>
      <c r="SVV103" s="769"/>
      <c r="SVW103" s="769"/>
      <c r="SVX103" s="769"/>
      <c r="SVY103" s="769"/>
      <c r="SVZ103" s="769"/>
      <c r="SWA103" s="769"/>
      <c r="SWB103" s="769"/>
      <c r="SWC103" s="769"/>
      <c r="SWD103" s="769"/>
      <c r="SWE103" s="769"/>
      <c r="SWF103" s="769"/>
      <c r="SWG103" s="769"/>
      <c r="SWH103" s="769"/>
      <c r="SWI103" s="769"/>
      <c r="SWJ103" s="769"/>
      <c r="SWK103" s="769"/>
      <c r="SWL103" s="769"/>
      <c r="SWM103" s="769"/>
      <c r="SWN103" s="769"/>
      <c r="SWO103" s="769"/>
      <c r="SWP103" s="769"/>
      <c r="SWQ103" s="769"/>
      <c r="SWR103" s="769"/>
      <c r="SWS103" s="769"/>
      <c r="SWT103" s="769"/>
      <c r="SWU103" s="769"/>
      <c r="SWV103" s="769"/>
      <c r="SWW103" s="769"/>
      <c r="SWX103" s="769"/>
      <c r="SWY103" s="769"/>
      <c r="SWZ103" s="769"/>
      <c r="SXA103" s="769"/>
      <c r="SXB103" s="769"/>
      <c r="SXC103" s="769"/>
      <c r="SXD103" s="769"/>
      <c r="SXE103" s="769"/>
      <c r="SXF103" s="769"/>
      <c r="SXG103" s="769"/>
      <c r="SXH103" s="769"/>
      <c r="SXI103" s="769"/>
      <c r="SXJ103" s="769"/>
      <c r="SXK103" s="769"/>
      <c r="SXL103" s="769"/>
      <c r="SXM103" s="769"/>
      <c r="SXN103" s="769"/>
      <c r="SXO103" s="769"/>
      <c r="SXP103" s="769"/>
      <c r="SXQ103" s="769"/>
      <c r="SXR103" s="769"/>
      <c r="SXS103" s="769"/>
      <c r="SXT103" s="769"/>
      <c r="SXU103" s="769"/>
      <c r="SXV103" s="769"/>
      <c r="SXW103" s="769"/>
      <c r="SXX103" s="769"/>
      <c r="SXY103" s="769"/>
      <c r="SXZ103" s="769"/>
      <c r="SYA103" s="769"/>
      <c r="SYB103" s="769"/>
      <c r="SYC103" s="769"/>
      <c r="SYD103" s="769"/>
      <c r="SYE103" s="769"/>
      <c r="SYF103" s="769"/>
      <c r="SYG103" s="769"/>
      <c r="SYH103" s="769"/>
      <c r="SYI103" s="769"/>
      <c r="SYJ103" s="769"/>
      <c r="SYK103" s="769"/>
      <c r="SYL103" s="769"/>
      <c r="SYM103" s="769"/>
      <c r="SYN103" s="769"/>
      <c r="SYO103" s="769"/>
      <c r="SYP103" s="769"/>
      <c r="SYQ103" s="769"/>
      <c r="SYR103" s="769"/>
      <c r="SYS103" s="769"/>
      <c r="SYT103" s="769"/>
      <c r="SYU103" s="769"/>
      <c r="SYV103" s="769"/>
      <c r="SYW103" s="769"/>
      <c r="SYX103" s="769"/>
      <c r="SYY103" s="769"/>
      <c r="SYZ103" s="769"/>
      <c r="SZA103" s="769"/>
      <c r="SZB103" s="769"/>
      <c r="SZC103" s="769"/>
      <c r="SZD103" s="769"/>
      <c r="SZE103" s="769"/>
      <c r="SZF103" s="769"/>
      <c r="SZG103" s="769"/>
      <c r="SZH103" s="769"/>
      <c r="SZI103" s="769"/>
      <c r="SZJ103" s="769"/>
      <c r="SZK103" s="769"/>
      <c r="SZL103" s="769"/>
      <c r="SZM103" s="769"/>
      <c r="SZN103" s="769"/>
      <c r="SZO103" s="769"/>
      <c r="SZP103" s="769"/>
      <c r="SZQ103" s="769"/>
      <c r="SZR103" s="769"/>
      <c r="SZS103" s="769"/>
      <c r="SZT103" s="769"/>
      <c r="SZU103" s="769"/>
      <c r="SZV103" s="769"/>
      <c r="SZW103" s="769"/>
      <c r="SZX103" s="769"/>
      <c r="SZY103" s="769"/>
      <c r="SZZ103" s="769"/>
      <c r="TAA103" s="769"/>
      <c r="TAB103" s="769"/>
      <c r="TAC103" s="769"/>
      <c r="TAD103" s="769"/>
      <c r="TAE103" s="769"/>
      <c r="TAF103" s="769"/>
      <c r="TAG103" s="769"/>
      <c r="TAH103" s="769"/>
      <c r="TAI103" s="769"/>
      <c r="TAJ103" s="769"/>
      <c r="TAK103" s="769"/>
      <c r="TAL103" s="769"/>
      <c r="TAM103" s="769"/>
      <c r="TAN103" s="769"/>
      <c r="TAO103" s="769"/>
      <c r="TAP103" s="769"/>
      <c r="TAQ103" s="769"/>
      <c r="TAR103" s="769"/>
      <c r="TAS103" s="769"/>
      <c r="TAT103" s="769"/>
      <c r="TAU103" s="769"/>
      <c r="TAV103" s="769"/>
      <c r="TAW103" s="769"/>
      <c r="TAX103" s="769"/>
      <c r="TAY103" s="769"/>
      <c r="TAZ103" s="769"/>
      <c r="TBA103" s="769"/>
      <c r="TBB103" s="769"/>
      <c r="TBC103" s="769"/>
      <c r="TBD103" s="769"/>
      <c r="TBE103" s="769"/>
      <c r="TBF103" s="769"/>
      <c r="TBG103" s="769"/>
      <c r="TBH103" s="769"/>
      <c r="TBI103" s="769"/>
      <c r="TBJ103" s="769"/>
      <c r="TBK103" s="769"/>
      <c r="TBL103" s="769"/>
      <c r="TBM103" s="769"/>
      <c r="TBN103" s="769"/>
      <c r="TBO103" s="769"/>
      <c r="TBP103" s="769"/>
      <c r="TBQ103" s="769"/>
      <c r="TBR103" s="769"/>
      <c r="TBS103" s="769"/>
      <c r="TBT103" s="769"/>
      <c r="TBU103" s="769"/>
      <c r="TBV103" s="769"/>
      <c r="TBW103" s="769"/>
      <c r="TBX103" s="769"/>
      <c r="TBY103" s="769"/>
      <c r="TBZ103" s="769"/>
      <c r="TCA103" s="769"/>
      <c r="TCB103" s="769"/>
      <c r="TCC103" s="769"/>
      <c r="TCD103" s="769"/>
      <c r="TCE103" s="769"/>
      <c r="TCF103" s="769"/>
      <c r="TCG103" s="769"/>
      <c r="TCH103" s="769"/>
      <c r="TCI103" s="769"/>
      <c r="TCJ103" s="769"/>
      <c r="TCK103" s="769"/>
      <c r="TCL103" s="769"/>
      <c r="TCM103" s="769"/>
      <c r="TCN103" s="769"/>
      <c r="TCO103" s="769"/>
      <c r="TCP103" s="769"/>
      <c r="TCQ103" s="769"/>
      <c r="TCR103" s="769"/>
      <c r="TCS103" s="769"/>
      <c r="TCT103" s="769"/>
      <c r="TCU103" s="769"/>
      <c r="TCV103" s="769"/>
      <c r="TCW103" s="769"/>
      <c r="TCX103" s="769"/>
      <c r="TCY103" s="769"/>
      <c r="TCZ103" s="769"/>
      <c r="TDA103" s="769"/>
      <c r="TDB103" s="769"/>
      <c r="TDC103" s="769"/>
      <c r="TDD103" s="769"/>
      <c r="TDE103" s="769"/>
      <c r="TDF103" s="769"/>
      <c r="TDG103" s="769"/>
      <c r="TDH103" s="769"/>
      <c r="TDI103" s="769"/>
      <c r="TDJ103" s="769"/>
      <c r="TDK103" s="769"/>
      <c r="TDL103" s="769"/>
      <c r="TDM103" s="769"/>
      <c r="TDN103" s="769"/>
      <c r="TDO103" s="769"/>
      <c r="TDP103" s="769"/>
      <c r="TDQ103" s="769"/>
      <c r="TDR103" s="769"/>
      <c r="TDS103" s="769"/>
      <c r="TDT103" s="769"/>
      <c r="TDU103" s="769"/>
      <c r="TDV103" s="769"/>
      <c r="TDW103" s="769"/>
      <c r="TDX103" s="769"/>
      <c r="TDY103" s="769"/>
      <c r="TDZ103" s="769"/>
      <c r="TEA103" s="769"/>
      <c r="TEB103" s="769"/>
      <c r="TEC103" s="769"/>
      <c r="TED103" s="769"/>
      <c r="TEE103" s="769"/>
      <c r="TEF103" s="769"/>
      <c r="TEG103" s="769"/>
      <c r="TEH103" s="769"/>
      <c r="TEI103" s="769"/>
      <c r="TEJ103" s="769"/>
      <c r="TEK103" s="769"/>
      <c r="TEL103" s="769"/>
      <c r="TEM103" s="769"/>
      <c r="TEN103" s="769"/>
      <c r="TEO103" s="769"/>
      <c r="TEP103" s="769"/>
      <c r="TEQ103" s="769"/>
      <c r="TER103" s="769"/>
      <c r="TES103" s="769"/>
      <c r="TET103" s="769"/>
      <c r="TEU103" s="769"/>
      <c r="TEV103" s="769"/>
      <c r="TEW103" s="769"/>
      <c r="TEX103" s="769"/>
      <c r="TEY103" s="769"/>
      <c r="TEZ103" s="769"/>
      <c r="TFA103" s="769"/>
      <c r="TFB103" s="769"/>
      <c r="TFC103" s="769"/>
      <c r="TFD103" s="769"/>
      <c r="TFE103" s="769"/>
      <c r="TFF103" s="769"/>
      <c r="TFG103" s="769"/>
      <c r="TFH103" s="769"/>
      <c r="TFI103" s="769"/>
      <c r="TFJ103" s="769"/>
      <c r="TFK103" s="769"/>
      <c r="TFL103" s="769"/>
      <c r="TFM103" s="769"/>
      <c r="TFN103" s="769"/>
      <c r="TFO103" s="769"/>
      <c r="TFP103" s="769"/>
      <c r="TFQ103" s="769"/>
      <c r="TFR103" s="769"/>
      <c r="TFS103" s="769"/>
      <c r="TFT103" s="769"/>
      <c r="TFU103" s="769"/>
      <c r="TFV103" s="769"/>
      <c r="TFW103" s="769"/>
      <c r="TFX103" s="769"/>
      <c r="TFY103" s="769"/>
      <c r="TFZ103" s="769"/>
      <c r="TGA103" s="769"/>
      <c r="TGB103" s="769"/>
      <c r="TGC103" s="769"/>
      <c r="TGD103" s="769"/>
      <c r="TGE103" s="769"/>
      <c r="TGF103" s="769"/>
      <c r="TGG103" s="769"/>
      <c r="TGH103" s="769"/>
      <c r="TGI103" s="769"/>
      <c r="TGJ103" s="769"/>
      <c r="TGK103" s="769"/>
      <c r="TGL103" s="769"/>
      <c r="TGM103" s="769"/>
      <c r="TGN103" s="769"/>
      <c r="TGO103" s="769"/>
      <c r="TGP103" s="769"/>
      <c r="TGQ103" s="769"/>
      <c r="TGR103" s="769"/>
      <c r="TGS103" s="769"/>
      <c r="TGT103" s="769"/>
      <c r="TGU103" s="769"/>
      <c r="TGV103" s="769"/>
      <c r="TGW103" s="769"/>
      <c r="TGX103" s="769"/>
      <c r="TGY103" s="769"/>
      <c r="TGZ103" s="769"/>
      <c r="THA103" s="769"/>
      <c r="THB103" s="769"/>
      <c r="THC103" s="769"/>
      <c r="THD103" s="769"/>
      <c r="THE103" s="769"/>
      <c r="THF103" s="769"/>
      <c r="THG103" s="769"/>
      <c r="THH103" s="769"/>
      <c r="THI103" s="769"/>
      <c r="THJ103" s="769"/>
      <c r="THK103" s="769"/>
      <c r="THL103" s="769"/>
      <c r="THM103" s="769"/>
      <c r="THN103" s="769"/>
      <c r="THO103" s="769"/>
      <c r="THP103" s="769"/>
      <c r="THQ103" s="769"/>
      <c r="THR103" s="769"/>
      <c r="THS103" s="769"/>
      <c r="THT103" s="769"/>
      <c r="THU103" s="769"/>
      <c r="THV103" s="769"/>
      <c r="THW103" s="769"/>
      <c r="THX103" s="769"/>
      <c r="THY103" s="769"/>
      <c r="THZ103" s="769"/>
      <c r="TIA103" s="769"/>
      <c r="TIB103" s="769"/>
      <c r="TIC103" s="769"/>
      <c r="TID103" s="769"/>
      <c r="TIE103" s="769"/>
      <c r="TIF103" s="769"/>
      <c r="TIG103" s="769"/>
      <c r="TIH103" s="769"/>
      <c r="TII103" s="769"/>
      <c r="TIJ103" s="769"/>
      <c r="TIK103" s="769"/>
      <c r="TIL103" s="769"/>
      <c r="TIM103" s="769"/>
      <c r="TIN103" s="769"/>
      <c r="TIO103" s="769"/>
      <c r="TIP103" s="769"/>
      <c r="TIQ103" s="769"/>
      <c r="TIR103" s="769"/>
      <c r="TIS103" s="769"/>
      <c r="TIT103" s="769"/>
      <c r="TIU103" s="769"/>
      <c r="TIV103" s="769"/>
      <c r="TIW103" s="769"/>
      <c r="TIX103" s="769"/>
      <c r="TIY103" s="769"/>
      <c r="TIZ103" s="769"/>
      <c r="TJA103" s="769"/>
      <c r="TJB103" s="769"/>
      <c r="TJC103" s="769"/>
      <c r="TJD103" s="769"/>
      <c r="TJE103" s="769"/>
      <c r="TJF103" s="769"/>
      <c r="TJG103" s="769"/>
      <c r="TJH103" s="769"/>
      <c r="TJI103" s="769"/>
      <c r="TJJ103" s="769"/>
      <c r="TJK103" s="769"/>
      <c r="TJL103" s="769"/>
      <c r="TJM103" s="769"/>
      <c r="TJN103" s="769"/>
      <c r="TJO103" s="769"/>
      <c r="TJP103" s="769"/>
      <c r="TJQ103" s="769"/>
      <c r="TJR103" s="769"/>
      <c r="TJS103" s="769"/>
      <c r="TJT103" s="769"/>
      <c r="TJU103" s="769"/>
      <c r="TJV103" s="769"/>
      <c r="TJW103" s="769"/>
      <c r="TJX103" s="769"/>
      <c r="TJY103" s="769"/>
      <c r="TJZ103" s="769"/>
      <c r="TKA103" s="769"/>
      <c r="TKB103" s="769"/>
      <c r="TKC103" s="769"/>
      <c r="TKD103" s="769"/>
      <c r="TKE103" s="769"/>
      <c r="TKF103" s="769"/>
      <c r="TKG103" s="769"/>
      <c r="TKH103" s="769"/>
      <c r="TKI103" s="769"/>
      <c r="TKJ103" s="769"/>
      <c r="TKK103" s="769"/>
      <c r="TKL103" s="769"/>
      <c r="TKM103" s="769"/>
      <c r="TKN103" s="769"/>
      <c r="TKO103" s="769"/>
      <c r="TKP103" s="769"/>
      <c r="TKQ103" s="769"/>
      <c r="TKR103" s="769"/>
      <c r="TKS103" s="769"/>
      <c r="TKT103" s="769"/>
      <c r="TKU103" s="769"/>
      <c r="TKV103" s="769"/>
      <c r="TKW103" s="769"/>
      <c r="TKX103" s="769"/>
      <c r="TKY103" s="769"/>
      <c r="TKZ103" s="769"/>
      <c r="TLA103" s="769"/>
      <c r="TLB103" s="769"/>
      <c r="TLC103" s="769"/>
      <c r="TLD103" s="769"/>
      <c r="TLE103" s="769"/>
      <c r="TLF103" s="769"/>
      <c r="TLG103" s="769"/>
      <c r="TLH103" s="769"/>
      <c r="TLI103" s="769"/>
      <c r="TLJ103" s="769"/>
      <c r="TLK103" s="769"/>
      <c r="TLL103" s="769"/>
      <c r="TLM103" s="769"/>
      <c r="TLN103" s="769"/>
      <c r="TLO103" s="769"/>
      <c r="TLP103" s="769"/>
      <c r="TLQ103" s="769"/>
      <c r="TLR103" s="769"/>
      <c r="TLS103" s="769"/>
      <c r="TLT103" s="769"/>
      <c r="TLU103" s="769"/>
      <c r="TLV103" s="769"/>
      <c r="TLW103" s="769"/>
      <c r="TLX103" s="769"/>
      <c r="TLY103" s="769"/>
      <c r="TLZ103" s="769"/>
      <c r="TMA103" s="769"/>
      <c r="TMB103" s="769"/>
      <c r="TMC103" s="769"/>
      <c r="TMD103" s="769"/>
      <c r="TME103" s="769"/>
      <c r="TMF103" s="769"/>
      <c r="TMG103" s="769"/>
      <c r="TMH103" s="769"/>
      <c r="TMI103" s="769"/>
      <c r="TMJ103" s="769"/>
      <c r="TMK103" s="769"/>
      <c r="TML103" s="769"/>
      <c r="TMM103" s="769"/>
      <c r="TMN103" s="769"/>
      <c r="TMO103" s="769"/>
      <c r="TMP103" s="769"/>
      <c r="TMQ103" s="769"/>
      <c r="TMR103" s="769"/>
      <c r="TMS103" s="769"/>
      <c r="TMT103" s="769"/>
      <c r="TMU103" s="769"/>
      <c r="TMV103" s="769"/>
      <c r="TMW103" s="769"/>
      <c r="TMX103" s="769"/>
      <c r="TMY103" s="769"/>
      <c r="TMZ103" s="769"/>
      <c r="TNA103" s="769"/>
      <c r="TNB103" s="769"/>
      <c r="TNC103" s="769"/>
      <c r="TND103" s="769"/>
      <c r="TNE103" s="769"/>
      <c r="TNF103" s="769"/>
      <c r="TNG103" s="769"/>
      <c r="TNH103" s="769"/>
      <c r="TNI103" s="769"/>
      <c r="TNJ103" s="769"/>
      <c r="TNK103" s="769"/>
      <c r="TNL103" s="769"/>
      <c r="TNM103" s="769"/>
      <c r="TNN103" s="769"/>
      <c r="TNO103" s="769"/>
      <c r="TNP103" s="769"/>
      <c r="TNQ103" s="769"/>
      <c r="TNR103" s="769"/>
      <c r="TNS103" s="769"/>
      <c r="TNT103" s="769"/>
      <c r="TNU103" s="769"/>
      <c r="TNV103" s="769"/>
      <c r="TNW103" s="769"/>
      <c r="TNX103" s="769"/>
      <c r="TNY103" s="769"/>
      <c r="TNZ103" s="769"/>
      <c r="TOA103" s="769"/>
      <c r="TOB103" s="769"/>
      <c r="TOC103" s="769"/>
      <c r="TOD103" s="769"/>
      <c r="TOE103" s="769"/>
      <c r="TOF103" s="769"/>
      <c r="TOG103" s="769"/>
      <c r="TOH103" s="769"/>
      <c r="TOI103" s="769"/>
      <c r="TOJ103" s="769"/>
      <c r="TOK103" s="769"/>
      <c r="TOL103" s="769"/>
      <c r="TOM103" s="769"/>
      <c r="TON103" s="769"/>
      <c r="TOO103" s="769"/>
      <c r="TOP103" s="769"/>
      <c r="TOQ103" s="769"/>
      <c r="TOR103" s="769"/>
      <c r="TOS103" s="769"/>
      <c r="TOT103" s="769"/>
      <c r="TOU103" s="769"/>
      <c r="TOV103" s="769"/>
      <c r="TOW103" s="769"/>
      <c r="TOX103" s="769"/>
      <c r="TOY103" s="769"/>
      <c r="TOZ103" s="769"/>
      <c r="TPA103" s="769"/>
      <c r="TPB103" s="769"/>
      <c r="TPC103" s="769"/>
      <c r="TPD103" s="769"/>
      <c r="TPE103" s="769"/>
      <c r="TPF103" s="769"/>
      <c r="TPG103" s="769"/>
      <c r="TPH103" s="769"/>
      <c r="TPI103" s="769"/>
      <c r="TPJ103" s="769"/>
      <c r="TPK103" s="769"/>
      <c r="TPL103" s="769"/>
      <c r="TPM103" s="769"/>
      <c r="TPN103" s="769"/>
      <c r="TPO103" s="769"/>
      <c r="TPP103" s="769"/>
      <c r="TPQ103" s="769"/>
      <c r="TPR103" s="769"/>
      <c r="TPS103" s="769"/>
      <c r="TPT103" s="769"/>
      <c r="TPU103" s="769"/>
      <c r="TPV103" s="769"/>
      <c r="TPW103" s="769"/>
      <c r="TPX103" s="769"/>
      <c r="TPY103" s="769"/>
      <c r="TPZ103" s="769"/>
      <c r="TQA103" s="769"/>
      <c r="TQB103" s="769"/>
      <c r="TQC103" s="769"/>
      <c r="TQD103" s="769"/>
      <c r="TQE103" s="769"/>
      <c r="TQF103" s="769"/>
      <c r="TQG103" s="769"/>
      <c r="TQH103" s="769"/>
      <c r="TQI103" s="769"/>
      <c r="TQJ103" s="769"/>
      <c r="TQK103" s="769"/>
      <c r="TQL103" s="769"/>
      <c r="TQM103" s="769"/>
      <c r="TQN103" s="769"/>
      <c r="TQO103" s="769"/>
      <c r="TQP103" s="769"/>
      <c r="TQQ103" s="769"/>
      <c r="TQR103" s="769"/>
      <c r="TQS103" s="769"/>
      <c r="TQT103" s="769"/>
      <c r="TQU103" s="769"/>
      <c r="TQV103" s="769"/>
      <c r="TQW103" s="769"/>
      <c r="TQX103" s="769"/>
      <c r="TQY103" s="769"/>
      <c r="TQZ103" s="769"/>
      <c r="TRA103" s="769"/>
      <c r="TRB103" s="769"/>
      <c r="TRC103" s="769"/>
      <c r="TRD103" s="769"/>
      <c r="TRE103" s="769"/>
      <c r="TRF103" s="769"/>
      <c r="TRG103" s="769"/>
      <c r="TRH103" s="769"/>
      <c r="TRI103" s="769"/>
      <c r="TRJ103" s="769"/>
      <c r="TRK103" s="769"/>
      <c r="TRL103" s="769"/>
      <c r="TRM103" s="769"/>
      <c r="TRN103" s="769"/>
      <c r="TRO103" s="769"/>
      <c r="TRP103" s="769"/>
      <c r="TRQ103" s="769"/>
      <c r="TRR103" s="769"/>
      <c r="TRS103" s="769"/>
      <c r="TRT103" s="769"/>
      <c r="TRU103" s="769"/>
      <c r="TRV103" s="769"/>
      <c r="TRW103" s="769"/>
      <c r="TRX103" s="769"/>
      <c r="TRY103" s="769"/>
      <c r="TRZ103" s="769"/>
      <c r="TSA103" s="769"/>
      <c r="TSB103" s="769"/>
      <c r="TSC103" s="769"/>
      <c r="TSD103" s="769"/>
      <c r="TSE103" s="769"/>
      <c r="TSF103" s="769"/>
      <c r="TSG103" s="769"/>
      <c r="TSH103" s="769"/>
      <c r="TSI103" s="769"/>
      <c r="TSJ103" s="769"/>
      <c r="TSK103" s="769"/>
      <c r="TSL103" s="769"/>
      <c r="TSM103" s="769"/>
      <c r="TSN103" s="769"/>
      <c r="TSO103" s="769"/>
      <c r="TSP103" s="769"/>
      <c r="TSQ103" s="769"/>
      <c r="TSR103" s="769"/>
      <c r="TSS103" s="769"/>
      <c r="TST103" s="769"/>
      <c r="TSU103" s="769"/>
      <c r="TSV103" s="769"/>
      <c r="TSW103" s="769"/>
      <c r="TSX103" s="769"/>
      <c r="TSY103" s="769"/>
      <c r="TSZ103" s="769"/>
      <c r="TTA103" s="769"/>
      <c r="TTB103" s="769"/>
      <c r="TTC103" s="769"/>
      <c r="TTD103" s="769"/>
      <c r="TTE103" s="769"/>
      <c r="TTF103" s="769"/>
      <c r="TTG103" s="769"/>
      <c r="TTH103" s="769"/>
      <c r="TTI103" s="769"/>
      <c r="TTJ103" s="769"/>
      <c r="TTK103" s="769"/>
      <c r="TTL103" s="769"/>
      <c r="TTM103" s="769"/>
      <c r="TTN103" s="769"/>
      <c r="TTO103" s="769"/>
      <c r="TTP103" s="769"/>
      <c r="TTQ103" s="769"/>
      <c r="TTR103" s="769"/>
      <c r="TTS103" s="769"/>
      <c r="TTT103" s="769"/>
      <c r="TTU103" s="769"/>
      <c r="TTV103" s="769"/>
      <c r="TTW103" s="769"/>
      <c r="TTX103" s="769"/>
      <c r="TTY103" s="769"/>
      <c r="TTZ103" s="769"/>
      <c r="TUA103" s="769"/>
      <c r="TUB103" s="769"/>
      <c r="TUC103" s="769"/>
      <c r="TUD103" s="769"/>
      <c r="TUE103" s="769"/>
      <c r="TUF103" s="769"/>
      <c r="TUG103" s="769"/>
      <c r="TUH103" s="769"/>
      <c r="TUI103" s="769"/>
      <c r="TUJ103" s="769"/>
      <c r="TUK103" s="769"/>
      <c r="TUL103" s="769"/>
      <c r="TUM103" s="769"/>
      <c r="TUN103" s="769"/>
      <c r="TUO103" s="769"/>
      <c r="TUP103" s="769"/>
      <c r="TUQ103" s="769"/>
      <c r="TUR103" s="769"/>
      <c r="TUS103" s="769"/>
      <c r="TUT103" s="769"/>
      <c r="TUU103" s="769"/>
      <c r="TUV103" s="769"/>
      <c r="TUW103" s="769"/>
      <c r="TUX103" s="769"/>
      <c r="TUY103" s="769"/>
      <c r="TUZ103" s="769"/>
      <c r="TVA103" s="769"/>
      <c r="TVB103" s="769"/>
      <c r="TVC103" s="769"/>
      <c r="TVD103" s="769"/>
      <c r="TVE103" s="769"/>
      <c r="TVF103" s="769"/>
      <c r="TVG103" s="769"/>
      <c r="TVH103" s="769"/>
      <c r="TVI103" s="769"/>
      <c r="TVJ103" s="769"/>
      <c r="TVK103" s="769"/>
      <c r="TVL103" s="769"/>
      <c r="TVM103" s="769"/>
      <c r="TVN103" s="769"/>
      <c r="TVO103" s="769"/>
      <c r="TVP103" s="769"/>
      <c r="TVQ103" s="769"/>
      <c r="TVR103" s="769"/>
      <c r="TVS103" s="769"/>
      <c r="TVT103" s="769"/>
      <c r="TVU103" s="769"/>
      <c r="TVV103" s="769"/>
      <c r="TVW103" s="769"/>
      <c r="TVX103" s="769"/>
      <c r="TVY103" s="769"/>
      <c r="TVZ103" s="769"/>
      <c r="TWA103" s="769"/>
      <c r="TWB103" s="769"/>
      <c r="TWC103" s="769"/>
      <c r="TWD103" s="769"/>
      <c r="TWE103" s="769"/>
      <c r="TWF103" s="769"/>
      <c r="TWG103" s="769"/>
      <c r="TWH103" s="769"/>
      <c r="TWI103" s="769"/>
      <c r="TWJ103" s="769"/>
      <c r="TWK103" s="769"/>
      <c r="TWL103" s="769"/>
      <c r="TWM103" s="769"/>
      <c r="TWN103" s="769"/>
      <c r="TWO103" s="769"/>
      <c r="TWP103" s="769"/>
      <c r="TWQ103" s="769"/>
      <c r="TWR103" s="769"/>
      <c r="TWS103" s="769"/>
      <c r="TWT103" s="769"/>
      <c r="TWU103" s="769"/>
      <c r="TWV103" s="769"/>
      <c r="TWW103" s="769"/>
      <c r="TWX103" s="769"/>
      <c r="TWY103" s="769"/>
      <c r="TWZ103" s="769"/>
      <c r="TXA103" s="769"/>
      <c r="TXB103" s="769"/>
      <c r="TXC103" s="769"/>
      <c r="TXD103" s="769"/>
      <c r="TXE103" s="769"/>
      <c r="TXF103" s="769"/>
      <c r="TXG103" s="769"/>
      <c r="TXH103" s="769"/>
      <c r="TXI103" s="769"/>
      <c r="TXJ103" s="769"/>
      <c r="TXK103" s="769"/>
      <c r="TXL103" s="769"/>
      <c r="TXM103" s="769"/>
      <c r="TXN103" s="769"/>
      <c r="TXO103" s="769"/>
      <c r="TXP103" s="769"/>
      <c r="TXQ103" s="769"/>
      <c r="TXR103" s="769"/>
      <c r="TXS103" s="769"/>
      <c r="TXT103" s="769"/>
      <c r="TXU103" s="769"/>
      <c r="TXV103" s="769"/>
      <c r="TXW103" s="769"/>
      <c r="TXX103" s="769"/>
      <c r="TXY103" s="769"/>
      <c r="TXZ103" s="769"/>
      <c r="TYA103" s="769"/>
      <c r="TYB103" s="769"/>
      <c r="TYC103" s="769"/>
      <c r="TYD103" s="769"/>
      <c r="TYE103" s="769"/>
      <c r="TYF103" s="769"/>
      <c r="TYG103" s="769"/>
      <c r="TYH103" s="769"/>
      <c r="TYI103" s="769"/>
      <c r="TYJ103" s="769"/>
      <c r="TYK103" s="769"/>
      <c r="TYL103" s="769"/>
      <c r="TYM103" s="769"/>
      <c r="TYN103" s="769"/>
      <c r="TYO103" s="769"/>
      <c r="TYP103" s="769"/>
      <c r="TYQ103" s="769"/>
      <c r="TYR103" s="769"/>
      <c r="TYS103" s="769"/>
      <c r="TYT103" s="769"/>
      <c r="TYU103" s="769"/>
      <c r="TYV103" s="769"/>
      <c r="TYW103" s="769"/>
      <c r="TYX103" s="769"/>
      <c r="TYY103" s="769"/>
      <c r="TYZ103" s="769"/>
      <c r="TZA103" s="769"/>
      <c r="TZB103" s="769"/>
      <c r="TZC103" s="769"/>
      <c r="TZD103" s="769"/>
      <c r="TZE103" s="769"/>
      <c r="TZF103" s="769"/>
      <c r="TZG103" s="769"/>
      <c r="TZH103" s="769"/>
      <c r="TZI103" s="769"/>
      <c r="TZJ103" s="769"/>
      <c r="TZK103" s="769"/>
      <c r="TZL103" s="769"/>
      <c r="TZM103" s="769"/>
      <c r="TZN103" s="769"/>
      <c r="TZO103" s="769"/>
      <c r="TZP103" s="769"/>
      <c r="TZQ103" s="769"/>
      <c r="TZR103" s="769"/>
      <c r="TZS103" s="769"/>
      <c r="TZT103" s="769"/>
      <c r="TZU103" s="769"/>
      <c r="TZV103" s="769"/>
      <c r="TZW103" s="769"/>
      <c r="TZX103" s="769"/>
      <c r="TZY103" s="769"/>
      <c r="TZZ103" s="769"/>
      <c r="UAA103" s="769"/>
      <c r="UAB103" s="769"/>
      <c r="UAC103" s="769"/>
      <c r="UAD103" s="769"/>
      <c r="UAE103" s="769"/>
      <c r="UAF103" s="769"/>
      <c r="UAG103" s="769"/>
      <c r="UAH103" s="769"/>
      <c r="UAI103" s="769"/>
      <c r="UAJ103" s="769"/>
      <c r="UAK103" s="769"/>
      <c r="UAL103" s="769"/>
      <c r="UAM103" s="769"/>
      <c r="UAN103" s="769"/>
      <c r="UAO103" s="769"/>
      <c r="UAP103" s="769"/>
      <c r="UAQ103" s="769"/>
      <c r="UAR103" s="769"/>
      <c r="UAS103" s="769"/>
      <c r="UAT103" s="769"/>
      <c r="UAU103" s="769"/>
      <c r="UAV103" s="769"/>
      <c r="UAW103" s="769"/>
      <c r="UAX103" s="769"/>
      <c r="UAY103" s="769"/>
      <c r="UAZ103" s="769"/>
      <c r="UBA103" s="769"/>
      <c r="UBB103" s="769"/>
      <c r="UBC103" s="769"/>
      <c r="UBD103" s="769"/>
      <c r="UBE103" s="769"/>
      <c r="UBF103" s="769"/>
      <c r="UBG103" s="769"/>
      <c r="UBH103" s="769"/>
      <c r="UBI103" s="769"/>
      <c r="UBJ103" s="769"/>
      <c r="UBK103" s="769"/>
      <c r="UBL103" s="769"/>
      <c r="UBM103" s="769"/>
      <c r="UBN103" s="769"/>
      <c r="UBO103" s="769"/>
      <c r="UBP103" s="769"/>
      <c r="UBQ103" s="769"/>
      <c r="UBR103" s="769"/>
      <c r="UBS103" s="769"/>
      <c r="UBT103" s="769"/>
      <c r="UBU103" s="769"/>
      <c r="UBV103" s="769"/>
      <c r="UBW103" s="769"/>
      <c r="UBX103" s="769"/>
      <c r="UBY103" s="769"/>
      <c r="UBZ103" s="769"/>
      <c r="UCA103" s="769"/>
      <c r="UCB103" s="769"/>
      <c r="UCC103" s="769"/>
      <c r="UCD103" s="769"/>
      <c r="UCE103" s="769"/>
      <c r="UCF103" s="769"/>
      <c r="UCG103" s="769"/>
      <c r="UCH103" s="769"/>
      <c r="UCI103" s="769"/>
      <c r="UCJ103" s="769"/>
      <c r="UCK103" s="769"/>
      <c r="UCL103" s="769"/>
      <c r="UCM103" s="769"/>
      <c r="UCN103" s="769"/>
      <c r="UCO103" s="769"/>
      <c r="UCP103" s="769"/>
      <c r="UCQ103" s="769"/>
      <c r="UCR103" s="769"/>
      <c r="UCS103" s="769"/>
      <c r="UCT103" s="769"/>
      <c r="UCU103" s="769"/>
      <c r="UCV103" s="769"/>
      <c r="UCW103" s="769"/>
      <c r="UCX103" s="769"/>
      <c r="UCY103" s="769"/>
      <c r="UCZ103" s="769"/>
      <c r="UDA103" s="769"/>
      <c r="UDB103" s="769"/>
      <c r="UDC103" s="769"/>
      <c r="UDD103" s="769"/>
      <c r="UDE103" s="769"/>
      <c r="UDF103" s="769"/>
      <c r="UDG103" s="769"/>
      <c r="UDH103" s="769"/>
      <c r="UDI103" s="769"/>
      <c r="UDJ103" s="769"/>
      <c r="UDK103" s="769"/>
      <c r="UDL103" s="769"/>
      <c r="UDM103" s="769"/>
      <c r="UDN103" s="769"/>
      <c r="UDO103" s="769"/>
      <c r="UDP103" s="769"/>
      <c r="UDQ103" s="769"/>
      <c r="UDR103" s="769"/>
      <c r="UDS103" s="769"/>
      <c r="UDT103" s="769"/>
      <c r="UDU103" s="769"/>
      <c r="UDV103" s="769"/>
      <c r="UDW103" s="769"/>
      <c r="UDX103" s="769"/>
      <c r="UDY103" s="769"/>
      <c r="UDZ103" s="769"/>
      <c r="UEA103" s="769"/>
      <c r="UEB103" s="769"/>
      <c r="UEC103" s="769"/>
      <c r="UED103" s="769"/>
      <c r="UEE103" s="769"/>
      <c r="UEF103" s="769"/>
      <c r="UEG103" s="769"/>
      <c r="UEH103" s="769"/>
      <c r="UEI103" s="769"/>
      <c r="UEJ103" s="769"/>
      <c r="UEK103" s="769"/>
      <c r="UEL103" s="769"/>
      <c r="UEM103" s="769"/>
      <c r="UEN103" s="769"/>
      <c r="UEO103" s="769"/>
      <c r="UEP103" s="769"/>
      <c r="UEQ103" s="769"/>
      <c r="UER103" s="769"/>
      <c r="UES103" s="769"/>
      <c r="UET103" s="769"/>
      <c r="UEU103" s="769"/>
      <c r="UEV103" s="769"/>
      <c r="UEW103" s="769"/>
      <c r="UEX103" s="769"/>
      <c r="UEY103" s="769"/>
      <c r="UEZ103" s="769"/>
      <c r="UFA103" s="769"/>
      <c r="UFB103" s="769"/>
      <c r="UFC103" s="769"/>
      <c r="UFD103" s="769"/>
      <c r="UFE103" s="769"/>
      <c r="UFF103" s="769"/>
      <c r="UFG103" s="769"/>
      <c r="UFH103" s="769"/>
      <c r="UFI103" s="769"/>
      <c r="UFJ103" s="769"/>
      <c r="UFK103" s="769"/>
      <c r="UFL103" s="769"/>
      <c r="UFM103" s="769"/>
      <c r="UFN103" s="769"/>
      <c r="UFO103" s="769"/>
      <c r="UFP103" s="769"/>
      <c r="UFQ103" s="769"/>
      <c r="UFR103" s="769"/>
      <c r="UFS103" s="769"/>
      <c r="UFT103" s="769"/>
      <c r="UFU103" s="769"/>
      <c r="UFV103" s="769"/>
      <c r="UFW103" s="769"/>
      <c r="UFX103" s="769"/>
      <c r="UFY103" s="769"/>
      <c r="UFZ103" s="769"/>
      <c r="UGA103" s="769"/>
      <c r="UGB103" s="769"/>
      <c r="UGC103" s="769"/>
      <c r="UGD103" s="769"/>
      <c r="UGE103" s="769"/>
      <c r="UGF103" s="769"/>
      <c r="UGG103" s="769"/>
      <c r="UGH103" s="769"/>
      <c r="UGI103" s="769"/>
      <c r="UGJ103" s="769"/>
      <c r="UGK103" s="769"/>
      <c r="UGL103" s="769"/>
      <c r="UGM103" s="769"/>
      <c r="UGN103" s="769"/>
      <c r="UGO103" s="769"/>
      <c r="UGP103" s="769"/>
      <c r="UGQ103" s="769"/>
      <c r="UGR103" s="769"/>
      <c r="UGS103" s="769"/>
      <c r="UGT103" s="769"/>
      <c r="UGU103" s="769"/>
      <c r="UGV103" s="769"/>
      <c r="UGW103" s="769"/>
      <c r="UGX103" s="769"/>
      <c r="UGY103" s="769"/>
      <c r="UGZ103" s="769"/>
      <c r="UHA103" s="769"/>
      <c r="UHB103" s="769"/>
      <c r="UHC103" s="769"/>
      <c r="UHD103" s="769"/>
      <c r="UHE103" s="769"/>
      <c r="UHF103" s="769"/>
      <c r="UHG103" s="769"/>
      <c r="UHH103" s="769"/>
      <c r="UHI103" s="769"/>
      <c r="UHJ103" s="769"/>
      <c r="UHK103" s="769"/>
      <c r="UHL103" s="769"/>
      <c r="UHM103" s="769"/>
      <c r="UHN103" s="769"/>
      <c r="UHO103" s="769"/>
      <c r="UHP103" s="769"/>
      <c r="UHQ103" s="769"/>
      <c r="UHR103" s="769"/>
      <c r="UHS103" s="769"/>
      <c r="UHT103" s="769"/>
      <c r="UHU103" s="769"/>
      <c r="UHV103" s="769"/>
      <c r="UHW103" s="769"/>
      <c r="UHX103" s="769"/>
      <c r="UHY103" s="769"/>
      <c r="UHZ103" s="769"/>
      <c r="UIA103" s="769"/>
      <c r="UIB103" s="769"/>
      <c r="UIC103" s="769"/>
      <c r="UID103" s="769"/>
      <c r="UIE103" s="769"/>
      <c r="UIF103" s="769"/>
      <c r="UIG103" s="769"/>
      <c r="UIH103" s="769"/>
      <c r="UII103" s="769"/>
      <c r="UIJ103" s="769"/>
      <c r="UIK103" s="769"/>
      <c r="UIL103" s="769"/>
      <c r="UIM103" s="769"/>
      <c r="UIN103" s="769"/>
      <c r="UIO103" s="769"/>
      <c r="UIP103" s="769"/>
      <c r="UIQ103" s="769"/>
      <c r="UIR103" s="769"/>
      <c r="UIS103" s="769"/>
      <c r="UIT103" s="769"/>
      <c r="UIU103" s="769"/>
      <c r="UIV103" s="769"/>
      <c r="UIW103" s="769"/>
      <c r="UIX103" s="769"/>
      <c r="UIY103" s="769"/>
      <c r="UIZ103" s="769"/>
      <c r="UJA103" s="769"/>
      <c r="UJB103" s="769"/>
      <c r="UJC103" s="769"/>
      <c r="UJD103" s="769"/>
      <c r="UJE103" s="769"/>
      <c r="UJF103" s="769"/>
      <c r="UJG103" s="769"/>
      <c r="UJH103" s="769"/>
      <c r="UJI103" s="769"/>
      <c r="UJJ103" s="769"/>
      <c r="UJK103" s="769"/>
      <c r="UJL103" s="769"/>
      <c r="UJM103" s="769"/>
      <c r="UJN103" s="769"/>
      <c r="UJO103" s="769"/>
      <c r="UJP103" s="769"/>
      <c r="UJQ103" s="769"/>
      <c r="UJR103" s="769"/>
      <c r="UJS103" s="769"/>
      <c r="UJT103" s="769"/>
      <c r="UJU103" s="769"/>
      <c r="UJV103" s="769"/>
      <c r="UJW103" s="769"/>
      <c r="UJX103" s="769"/>
      <c r="UJY103" s="769"/>
      <c r="UJZ103" s="769"/>
      <c r="UKA103" s="769"/>
      <c r="UKB103" s="769"/>
      <c r="UKC103" s="769"/>
      <c r="UKD103" s="769"/>
      <c r="UKE103" s="769"/>
      <c r="UKF103" s="769"/>
      <c r="UKG103" s="769"/>
      <c r="UKH103" s="769"/>
      <c r="UKI103" s="769"/>
      <c r="UKJ103" s="769"/>
      <c r="UKK103" s="769"/>
      <c r="UKL103" s="769"/>
      <c r="UKM103" s="769"/>
      <c r="UKN103" s="769"/>
      <c r="UKO103" s="769"/>
      <c r="UKP103" s="769"/>
      <c r="UKQ103" s="769"/>
      <c r="UKR103" s="769"/>
      <c r="UKS103" s="769"/>
      <c r="UKT103" s="769"/>
      <c r="UKU103" s="769"/>
      <c r="UKV103" s="769"/>
      <c r="UKW103" s="769"/>
      <c r="UKX103" s="769"/>
      <c r="UKY103" s="769"/>
      <c r="UKZ103" s="769"/>
      <c r="ULA103" s="769"/>
      <c r="ULB103" s="769"/>
      <c r="ULC103" s="769"/>
      <c r="ULD103" s="769"/>
      <c r="ULE103" s="769"/>
      <c r="ULF103" s="769"/>
      <c r="ULG103" s="769"/>
      <c r="ULH103" s="769"/>
      <c r="ULI103" s="769"/>
      <c r="ULJ103" s="769"/>
      <c r="ULK103" s="769"/>
      <c r="ULL103" s="769"/>
      <c r="ULM103" s="769"/>
      <c r="ULN103" s="769"/>
      <c r="ULO103" s="769"/>
      <c r="ULP103" s="769"/>
      <c r="ULQ103" s="769"/>
      <c r="ULR103" s="769"/>
      <c r="ULS103" s="769"/>
      <c r="ULT103" s="769"/>
      <c r="ULU103" s="769"/>
      <c r="ULV103" s="769"/>
      <c r="ULW103" s="769"/>
      <c r="ULX103" s="769"/>
      <c r="ULY103" s="769"/>
      <c r="ULZ103" s="769"/>
      <c r="UMA103" s="769"/>
      <c r="UMB103" s="769"/>
      <c r="UMC103" s="769"/>
      <c r="UMD103" s="769"/>
      <c r="UME103" s="769"/>
      <c r="UMF103" s="769"/>
      <c r="UMG103" s="769"/>
      <c r="UMH103" s="769"/>
      <c r="UMI103" s="769"/>
      <c r="UMJ103" s="769"/>
      <c r="UMK103" s="769"/>
      <c r="UML103" s="769"/>
      <c r="UMM103" s="769"/>
      <c r="UMN103" s="769"/>
      <c r="UMO103" s="769"/>
      <c r="UMP103" s="769"/>
      <c r="UMQ103" s="769"/>
      <c r="UMR103" s="769"/>
      <c r="UMS103" s="769"/>
      <c r="UMT103" s="769"/>
      <c r="UMU103" s="769"/>
      <c r="UMV103" s="769"/>
      <c r="UMW103" s="769"/>
      <c r="UMX103" s="769"/>
      <c r="UMY103" s="769"/>
      <c r="UMZ103" s="769"/>
      <c r="UNA103" s="769"/>
      <c r="UNB103" s="769"/>
      <c r="UNC103" s="769"/>
      <c r="UND103" s="769"/>
      <c r="UNE103" s="769"/>
      <c r="UNF103" s="769"/>
      <c r="UNG103" s="769"/>
      <c r="UNH103" s="769"/>
      <c r="UNI103" s="769"/>
      <c r="UNJ103" s="769"/>
      <c r="UNK103" s="769"/>
      <c r="UNL103" s="769"/>
      <c r="UNM103" s="769"/>
      <c r="UNN103" s="769"/>
      <c r="UNO103" s="769"/>
      <c r="UNP103" s="769"/>
      <c r="UNQ103" s="769"/>
      <c r="UNR103" s="769"/>
      <c r="UNS103" s="769"/>
      <c r="UNT103" s="769"/>
      <c r="UNU103" s="769"/>
      <c r="UNV103" s="769"/>
      <c r="UNW103" s="769"/>
      <c r="UNX103" s="769"/>
      <c r="UNY103" s="769"/>
      <c r="UNZ103" s="769"/>
      <c r="UOA103" s="769"/>
      <c r="UOB103" s="769"/>
      <c r="UOC103" s="769"/>
      <c r="UOD103" s="769"/>
      <c r="UOE103" s="769"/>
      <c r="UOF103" s="769"/>
      <c r="UOG103" s="769"/>
      <c r="UOH103" s="769"/>
      <c r="UOI103" s="769"/>
      <c r="UOJ103" s="769"/>
      <c r="UOK103" s="769"/>
      <c r="UOL103" s="769"/>
      <c r="UOM103" s="769"/>
      <c r="UON103" s="769"/>
      <c r="UOO103" s="769"/>
      <c r="UOP103" s="769"/>
      <c r="UOQ103" s="769"/>
      <c r="UOR103" s="769"/>
      <c r="UOS103" s="769"/>
      <c r="UOT103" s="769"/>
      <c r="UOU103" s="769"/>
      <c r="UOV103" s="769"/>
      <c r="UOW103" s="769"/>
      <c r="UOX103" s="769"/>
      <c r="UOY103" s="769"/>
      <c r="UOZ103" s="769"/>
      <c r="UPA103" s="769"/>
      <c r="UPB103" s="769"/>
      <c r="UPC103" s="769"/>
      <c r="UPD103" s="769"/>
      <c r="UPE103" s="769"/>
      <c r="UPF103" s="769"/>
      <c r="UPG103" s="769"/>
      <c r="UPH103" s="769"/>
      <c r="UPI103" s="769"/>
      <c r="UPJ103" s="769"/>
      <c r="UPK103" s="769"/>
      <c r="UPL103" s="769"/>
      <c r="UPM103" s="769"/>
      <c r="UPN103" s="769"/>
      <c r="UPO103" s="769"/>
      <c r="UPP103" s="769"/>
      <c r="UPQ103" s="769"/>
      <c r="UPR103" s="769"/>
      <c r="UPS103" s="769"/>
      <c r="UPT103" s="769"/>
      <c r="UPU103" s="769"/>
      <c r="UPV103" s="769"/>
      <c r="UPW103" s="769"/>
      <c r="UPX103" s="769"/>
      <c r="UPY103" s="769"/>
      <c r="UPZ103" s="769"/>
      <c r="UQA103" s="769"/>
      <c r="UQB103" s="769"/>
      <c r="UQC103" s="769"/>
      <c r="UQD103" s="769"/>
      <c r="UQE103" s="769"/>
      <c r="UQF103" s="769"/>
      <c r="UQG103" s="769"/>
      <c r="UQH103" s="769"/>
      <c r="UQI103" s="769"/>
      <c r="UQJ103" s="769"/>
      <c r="UQK103" s="769"/>
      <c r="UQL103" s="769"/>
      <c r="UQM103" s="769"/>
      <c r="UQN103" s="769"/>
      <c r="UQO103" s="769"/>
      <c r="UQP103" s="769"/>
      <c r="UQQ103" s="769"/>
      <c r="UQR103" s="769"/>
      <c r="UQS103" s="769"/>
      <c r="UQT103" s="769"/>
      <c r="UQU103" s="769"/>
      <c r="UQV103" s="769"/>
      <c r="UQW103" s="769"/>
      <c r="UQX103" s="769"/>
      <c r="UQY103" s="769"/>
      <c r="UQZ103" s="769"/>
      <c r="URA103" s="769"/>
      <c r="URB103" s="769"/>
      <c r="URC103" s="769"/>
      <c r="URD103" s="769"/>
      <c r="URE103" s="769"/>
      <c r="URF103" s="769"/>
      <c r="URG103" s="769"/>
      <c r="URH103" s="769"/>
      <c r="URI103" s="769"/>
      <c r="URJ103" s="769"/>
      <c r="URK103" s="769"/>
      <c r="URL103" s="769"/>
      <c r="URM103" s="769"/>
      <c r="URN103" s="769"/>
      <c r="URO103" s="769"/>
      <c r="URP103" s="769"/>
      <c r="URQ103" s="769"/>
      <c r="URR103" s="769"/>
      <c r="URS103" s="769"/>
      <c r="URT103" s="769"/>
      <c r="URU103" s="769"/>
      <c r="URV103" s="769"/>
      <c r="URW103" s="769"/>
      <c r="URX103" s="769"/>
      <c r="URY103" s="769"/>
      <c r="URZ103" s="769"/>
      <c r="USA103" s="769"/>
      <c r="USB103" s="769"/>
      <c r="USC103" s="769"/>
      <c r="USD103" s="769"/>
      <c r="USE103" s="769"/>
      <c r="USF103" s="769"/>
      <c r="USG103" s="769"/>
      <c r="USH103" s="769"/>
      <c r="USI103" s="769"/>
      <c r="USJ103" s="769"/>
      <c r="USK103" s="769"/>
      <c r="USL103" s="769"/>
      <c r="USM103" s="769"/>
      <c r="USN103" s="769"/>
      <c r="USO103" s="769"/>
      <c r="USP103" s="769"/>
      <c r="USQ103" s="769"/>
      <c r="USR103" s="769"/>
      <c r="USS103" s="769"/>
      <c r="UST103" s="769"/>
      <c r="USU103" s="769"/>
      <c r="USV103" s="769"/>
      <c r="USW103" s="769"/>
      <c r="USX103" s="769"/>
      <c r="USY103" s="769"/>
      <c r="USZ103" s="769"/>
      <c r="UTA103" s="769"/>
      <c r="UTB103" s="769"/>
      <c r="UTC103" s="769"/>
      <c r="UTD103" s="769"/>
      <c r="UTE103" s="769"/>
      <c r="UTF103" s="769"/>
      <c r="UTG103" s="769"/>
      <c r="UTH103" s="769"/>
      <c r="UTI103" s="769"/>
      <c r="UTJ103" s="769"/>
      <c r="UTK103" s="769"/>
      <c r="UTL103" s="769"/>
      <c r="UTM103" s="769"/>
      <c r="UTN103" s="769"/>
      <c r="UTO103" s="769"/>
      <c r="UTP103" s="769"/>
      <c r="UTQ103" s="769"/>
      <c r="UTR103" s="769"/>
      <c r="UTS103" s="769"/>
      <c r="UTT103" s="769"/>
      <c r="UTU103" s="769"/>
      <c r="UTV103" s="769"/>
      <c r="UTW103" s="769"/>
      <c r="UTX103" s="769"/>
      <c r="UTY103" s="769"/>
      <c r="UTZ103" s="769"/>
      <c r="UUA103" s="769"/>
      <c r="UUB103" s="769"/>
      <c r="UUC103" s="769"/>
      <c r="UUD103" s="769"/>
      <c r="UUE103" s="769"/>
      <c r="UUF103" s="769"/>
      <c r="UUG103" s="769"/>
      <c r="UUH103" s="769"/>
      <c r="UUI103" s="769"/>
      <c r="UUJ103" s="769"/>
      <c r="UUK103" s="769"/>
      <c r="UUL103" s="769"/>
      <c r="UUM103" s="769"/>
      <c r="UUN103" s="769"/>
      <c r="UUO103" s="769"/>
      <c r="UUP103" s="769"/>
      <c r="UUQ103" s="769"/>
      <c r="UUR103" s="769"/>
      <c r="UUS103" s="769"/>
      <c r="UUT103" s="769"/>
      <c r="UUU103" s="769"/>
      <c r="UUV103" s="769"/>
      <c r="UUW103" s="769"/>
      <c r="UUX103" s="769"/>
      <c r="UUY103" s="769"/>
      <c r="UUZ103" s="769"/>
      <c r="UVA103" s="769"/>
      <c r="UVB103" s="769"/>
      <c r="UVC103" s="769"/>
      <c r="UVD103" s="769"/>
      <c r="UVE103" s="769"/>
      <c r="UVF103" s="769"/>
      <c r="UVG103" s="769"/>
      <c r="UVH103" s="769"/>
      <c r="UVI103" s="769"/>
      <c r="UVJ103" s="769"/>
      <c r="UVK103" s="769"/>
      <c r="UVL103" s="769"/>
      <c r="UVM103" s="769"/>
      <c r="UVN103" s="769"/>
      <c r="UVO103" s="769"/>
      <c r="UVP103" s="769"/>
      <c r="UVQ103" s="769"/>
      <c r="UVR103" s="769"/>
      <c r="UVS103" s="769"/>
      <c r="UVT103" s="769"/>
      <c r="UVU103" s="769"/>
      <c r="UVV103" s="769"/>
      <c r="UVW103" s="769"/>
      <c r="UVX103" s="769"/>
      <c r="UVY103" s="769"/>
      <c r="UVZ103" s="769"/>
      <c r="UWA103" s="769"/>
      <c r="UWB103" s="769"/>
      <c r="UWC103" s="769"/>
      <c r="UWD103" s="769"/>
      <c r="UWE103" s="769"/>
      <c r="UWF103" s="769"/>
      <c r="UWG103" s="769"/>
      <c r="UWH103" s="769"/>
      <c r="UWI103" s="769"/>
      <c r="UWJ103" s="769"/>
      <c r="UWK103" s="769"/>
      <c r="UWL103" s="769"/>
      <c r="UWM103" s="769"/>
      <c r="UWN103" s="769"/>
      <c r="UWO103" s="769"/>
      <c r="UWP103" s="769"/>
      <c r="UWQ103" s="769"/>
      <c r="UWR103" s="769"/>
      <c r="UWS103" s="769"/>
      <c r="UWT103" s="769"/>
      <c r="UWU103" s="769"/>
      <c r="UWV103" s="769"/>
      <c r="UWW103" s="769"/>
      <c r="UWX103" s="769"/>
      <c r="UWY103" s="769"/>
      <c r="UWZ103" s="769"/>
      <c r="UXA103" s="769"/>
      <c r="UXB103" s="769"/>
      <c r="UXC103" s="769"/>
      <c r="UXD103" s="769"/>
      <c r="UXE103" s="769"/>
      <c r="UXF103" s="769"/>
      <c r="UXG103" s="769"/>
      <c r="UXH103" s="769"/>
      <c r="UXI103" s="769"/>
      <c r="UXJ103" s="769"/>
      <c r="UXK103" s="769"/>
      <c r="UXL103" s="769"/>
      <c r="UXM103" s="769"/>
      <c r="UXN103" s="769"/>
      <c r="UXO103" s="769"/>
      <c r="UXP103" s="769"/>
      <c r="UXQ103" s="769"/>
      <c r="UXR103" s="769"/>
      <c r="UXS103" s="769"/>
      <c r="UXT103" s="769"/>
      <c r="UXU103" s="769"/>
      <c r="UXV103" s="769"/>
      <c r="UXW103" s="769"/>
      <c r="UXX103" s="769"/>
      <c r="UXY103" s="769"/>
      <c r="UXZ103" s="769"/>
      <c r="UYA103" s="769"/>
      <c r="UYB103" s="769"/>
      <c r="UYC103" s="769"/>
      <c r="UYD103" s="769"/>
      <c r="UYE103" s="769"/>
      <c r="UYF103" s="769"/>
      <c r="UYG103" s="769"/>
      <c r="UYH103" s="769"/>
      <c r="UYI103" s="769"/>
      <c r="UYJ103" s="769"/>
      <c r="UYK103" s="769"/>
      <c r="UYL103" s="769"/>
      <c r="UYM103" s="769"/>
      <c r="UYN103" s="769"/>
      <c r="UYO103" s="769"/>
      <c r="UYP103" s="769"/>
      <c r="UYQ103" s="769"/>
      <c r="UYR103" s="769"/>
      <c r="UYS103" s="769"/>
      <c r="UYT103" s="769"/>
      <c r="UYU103" s="769"/>
      <c r="UYV103" s="769"/>
      <c r="UYW103" s="769"/>
      <c r="UYX103" s="769"/>
      <c r="UYY103" s="769"/>
      <c r="UYZ103" s="769"/>
      <c r="UZA103" s="769"/>
      <c r="UZB103" s="769"/>
      <c r="UZC103" s="769"/>
      <c r="UZD103" s="769"/>
      <c r="UZE103" s="769"/>
      <c r="UZF103" s="769"/>
      <c r="UZG103" s="769"/>
      <c r="UZH103" s="769"/>
      <c r="UZI103" s="769"/>
      <c r="UZJ103" s="769"/>
      <c r="UZK103" s="769"/>
      <c r="UZL103" s="769"/>
      <c r="UZM103" s="769"/>
      <c r="UZN103" s="769"/>
      <c r="UZO103" s="769"/>
      <c r="UZP103" s="769"/>
      <c r="UZQ103" s="769"/>
      <c r="UZR103" s="769"/>
      <c r="UZS103" s="769"/>
      <c r="UZT103" s="769"/>
      <c r="UZU103" s="769"/>
      <c r="UZV103" s="769"/>
      <c r="UZW103" s="769"/>
      <c r="UZX103" s="769"/>
      <c r="UZY103" s="769"/>
      <c r="UZZ103" s="769"/>
      <c r="VAA103" s="769"/>
      <c r="VAB103" s="769"/>
      <c r="VAC103" s="769"/>
      <c r="VAD103" s="769"/>
      <c r="VAE103" s="769"/>
      <c r="VAF103" s="769"/>
      <c r="VAG103" s="769"/>
      <c r="VAH103" s="769"/>
      <c r="VAI103" s="769"/>
      <c r="VAJ103" s="769"/>
      <c r="VAK103" s="769"/>
      <c r="VAL103" s="769"/>
      <c r="VAM103" s="769"/>
      <c r="VAN103" s="769"/>
      <c r="VAO103" s="769"/>
      <c r="VAP103" s="769"/>
      <c r="VAQ103" s="769"/>
      <c r="VAR103" s="769"/>
      <c r="VAS103" s="769"/>
      <c r="VAT103" s="769"/>
      <c r="VAU103" s="769"/>
      <c r="VAV103" s="769"/>
      <c r="VAW103" s="769"/>
      <c r="VAX103" s="769"/>
      <c r="VAY103" s="769"/>
      <c r="VAZ103" s="769"/>
      <c r="VBA103" s="769"/>
      <c r="VBB103" s="769"/>
      <c r="VBC103" s="769"/>
      <c r="VBD103" s="769"/>
      <c r="VBE103" s="769"/>
      <c r="VBF103" s="769"/>
      <c r="VBG103" s="769"/>
      <c r="VBH103" s="769"/>
      <c r="VBI103" s="769"/>
      <c r="VBJ103" s="769"/>
      <c r="VBK103" s="769"/>
      <c r="VBL103" s="769"/>
      <c r="VBM103" s="769"/>
      <c r="VBN103" s="769"/>
      <c r="VBO103" s="769"/>
      <c r="VBP103" s="769"/>
      <c r="VBQ103" s="769"/>
      <c r="VBR103" s="769"/>
      <c r="VBS103" s="769"/>
      <c r="VBT103" s="769"/>
      <c r="VBU103" s="769"/>
      <c r="VBV103" s="769"/>
      <c r="VBW103" s="769"/>
      <c r="VBX103" s="769"/>
      <c r="VBY103" s="769"/>
      <c r="VBZ103" s="769"/>
      <c r="VCA103" s="769"/>
      <c r="VCB103" s="769"/>
      <c r="VCC103" s="769"/>
      <c r="VCD103" s="769"/>
      <c r="VCE103" s="769"/>
      <c r="VCF103" s="769"/>
      <c r="VCG103" s="769"/>
      <c r="VCH103" s="769"/>
      <c r="VCI103" s="769"/>
      <c r="VCJ103" s="769"/>
      <c r="VCK103" s="769"/>
      <c r="VCL103" s="769"/>
      <c r="VCM103" s="769"/>
      <c r="VCN103" s="769"/>
      <c r="VCO103" s="769"/>
      <c r="VCP103" s="769"/>
      <c r="VCQ103" s="769"/>
      <c r="VCR103" s="769"/>
      <c r="VCS103" s="769"/>
      <c r="VCT103" s="769"/>
      <c r="VCU103" s="769"/>
      <c r="VCV103" s="769"/>
      <c r="VCW103" s="769"/>
      <c r="VCX103" s="769"/>
      <c r="VCY103" s="769"/>
      <c r="VCZ103" s="769"/>
      <c r="VDA103" s="769"/>
      <c r="VDB103" s="769"/>
      <c r="VDC103" s="769"/>
      <c r="VDD103" s="769"/>
      <c r="VDE103" s="769"/>
      <c r="VDF103" s="769"/>
      <c r="VDG103" s="769"/>
      <c r="VDH103" s="769"/>
      <c r="VDI103" s="769"/>
      <c r="VDJ103" s="769"/>
      <c r="VDK103" s="769"/>
      <c r="VDL103" s="769"/>
      <c r="VDM103" s="769"/>
      <c r="VDN103" s="769"/>
      <c r="VDO103" s="769"/>
      <c r="VDP103" s="769"/>
      <c r="VDQ103" s="769"/>
      <c r="VDR103" s="769"/>
      <c r="VDS103" s="769"/>
      <c r="VDT103" s="769"/>
      <c r="VDU103" s="769"/>
      <c r="VDV103" s="769"/>
      <c r="VDW103" s="769"/>
      <c r="VDX103" s="769"/>
      <c r="VDY103" s="769"/>
      <c r="VDZ103" s="769"/>
      <c r="VEA103" s="769"/>
      <c r="VEB103" s="769"/>
      <c r="VEC103" s="769"/>
      <c r="VED103" s="769"/>
      <c r="VEE103" s="769"/>
      <c r="VEF103" s="769"/>
      <c r="VEG103" s="769"/>
      <c r="VEH103" s="769"/>
      <c r="VEI103" s="769"/>
      <c r="VEJ103" s="769"/>
      <c r="VEK103" s="769"/>
      <c r="VEL103" s="769"/>
      <c r="VEM103" s="769"/>
      <c r="VEN103" s="769"/>
      <c r="VEO103" s="769"/>
      <c r="VEP103" s="769"/>
      <c r="VEQ103" s="769"/>
      <c r="VER103" s="769"/>
      <c r="VES103" s="769"/>
      <c r="VET103" s="769"/>
      <c r="VEU103" s="769"/>
      <c r="VEV103" s="769"/>
      <c r="VEW103" s="769"/>
      <c r="VEX103" s="769"/>
      <c r="VEY103" s="769"/>
      <c r="VEZ103" s="769"/>
      <c r="VFA103" s="769"/>
      <c r="VFB103" s="769"/>
      <c r="VFC103" s="769"/>
      <c r="VFD103" s="769"/>
      <c r="VFE103" s="769"/>
      <c r="VFF103" s="769"/>
      <c r="VFG103" s="769"/>
      <c r="VFH103" s="769"/>
      <c r="VFI103" s="769"/>
      <c r="VFJ103" s="769"/>
      <c r="VFK103" s="769"/>
      <c r="VFL103" s="769"/>
      <c r="VFM103" s="769"/>
      <c r="VFN103" s="769"/>
      <c r="VFO103" s="769"/>
      <c r="VFP103" s="769"/>
      <c r="VFQ103" s="769"/>
      <c r="VFR103" s="769"/>
      <c r="VFS103" s="769"/>
      <c r="VFT103" s="769"/>
      <c r="VFU103" s="769"/>
      <c r="VFV103" s="769"/>
      <c r="VFW103" s="769"/>
      <c r="VFX103" s="769"/>
      <c r="VFY103" s="769"/>
      <c r="VFZ103" s="769"/>
      <c r="VGA103" s="769"/>
      <c r="VGB103" s="769"/>
      <c r="VGC103" s="769"/>
      <c r="VGD103" s="769"/>
      <c r="VGE103" s="769"/>
      <c r="VGF103" s="769"/>
      <c r="VGG103" s="769"/>
      <c r="VGH103" s="769"/>
      <c r="VGI103" s="769"/>
      <c r="VGJ103" s="769"/>
      <c r="VGK103" s="769"/>
      <c r="VGL103" s="769"/>
      <c r="VGM103" s="769"/>
      <c r="VGN103" s="769"/>
      <c r="VGO103" s="769"/>
      <c r="VGP103" s="769"/>
      <c r="VGQ103" s="769"/>
      <c r="VGR103" s="769"/>
      <c r="VGS103" s="769"/>
      <c r="VGT103" s="769"/>
      <c r="VGU103" s="769"/>
      <c r="VGV103" s="769"/>
      <c r="VGW103" s="769"/>
      <c r="VGX103" s="769"/>
      <c r="VGY103" s="769"/>
      <c r="VGZ103" s="769"/>
      <c r="VHA103" s="769"/>
      <c r="VHB103" s="769"/>
      <c r="VHC103" s="769"/>
      <c r="VHD103" s="769"/>
      <c r="VHE103" s="769"/>
      <c r="VHF103" s="769"/>
      <c r="VHG103" s="769"/>
      <c r="VHH103" s="769"/>
      <c r="VHI103" s="769"/>
      <c r="VHJ103" s="769"/>
      <c r="VHK103" s="769"/>
      <c r="VHL103" s="769"/>
      <c r="VHM103" s="769"/>
      <c r="VHN103" s="769"/>
      <c r="VHO103" s="769"/>
      <c r="VHP103" s="769"/>
      <c r="VHQ103" s="769"/>
      <c r="VHR103" s="769"/>
      <c r="VHS103" s="769"/>
      <c r="VHT103" s="769"/>
      <c r="VHU103" s="769"/>
      <c r="VHV103" s="769"/>
      <c r="VHW103" s="769"/>
      <c r="VHX103" s="769"/>
      <c r="VHY103" s="769"/>
      <c r="VHZ103" s="769"/>
      <c r="VIA103" s="769"/>
      <c r="VIB103" s="769"/>
      <c r="VIC103" s="769"/>
      <c r="VID103" s="769"/>
      <c r="VIE103" s="769"/>
      <c r="VIF103" s="769"/>
      <c r="VIG103" s="769"/>
      <c r="VIH103" s="769"/>
      <c r="VII103" s="769"/>
      <c r="VIJ103" s="769"/>
      <c r="VIK103" s="769"/>
      <c r="VIL103" s="769"/>
      <c r="VIM103" s="769"/>
      <c r="VIN103" s="769"/>
      <c r="VIO103" s="769"/>
      <c r="VIP103" s="769"/>
      <c r="VIQ103" s="769"/>
      <c r="VIR103" s="769"/>
      <c r="VIS103" s="769"/>
      <c r="VIT103" s="769"/>
      <c r="VIU103" s="769"/>
      <c r="VIV103" s="769"/>
      <c r="VIW103" s="769"/>
      <c r="VIX103" s="769"/>
      <c r="VIY103" s="769"/>
      <c r="VIZ103" s="769"/>
      <c r="VJA103" s="769"/>
      <c r="VJB103" s="769"/>
      <c r="VJC103" s="769"/>
      <c r="VJD103" s="769"/>
      <c r="VJE103" s="769"/>
      <c r="VJF103" s="769"/>
      <c r="VJG103" s="769"/>
      <c r="VJH103" s="769"/>
      <c r="VJI103" s="769"/>
      <c r="VJJ103" s="769"/>
      <c r="VJK103" s="769"/>
      <c r="VJL103" s="769"/>
      <c r="VJM103" s="769"/>
      <c r="VJN103" s="769"/>
      <c r="VJO103" s="769"/>
      <c r="VJP103" s="769"/>
      <c r="VJQ103" s="769"/>
      <c r="VJR103" s="769"/>
      <c r="VJS103" s="769"/>
      <c r="VJT103" s="769"/>
      <c r="VJU103" s="769"/>
      <c r="VJV103" s="769"/>
      <c r="VJW103" s="769"/>
      <c r="VJX103" s="769"/>
      <c r="VJY103" s="769"/>
      <c r="VJZ103" s="769"/>
      <c r="VKA103" s="769"/>
      <c r="VKB103" s="769"/>
      <c r="VKC103" s="769"/>
      <c r="VKD103" s="769"/>
      <c r="VKE103" s="769"/>
      <c r="VKF103" s="769"/>
      <c r="VKG103" s="769"/>
      <c r="VKH103" s="769"/>
      <c r="VKI103" s="769"/>
      <c r="VKJ103" s="769"/>
      <c r="VKK103" s="769"/>
      <c r="VKL103" s="769"/>
      <c r="VKM103" s="769"/>
      <c r="VKN103" s="769"/>
      <c r="VKO103" s="769"/>
      <c r="VKP103" s="769"/>
      <c r="VKQ103" s="769"/>
      <c r="VKR103" s="769"/>
      <c r="VKS103" s="769"/>
      <c r="VKT103" s="769"/>
      <c r="VKU103" s="769"/>
      <c r="VKV103" s="769"/>
      <c r="VKW103" s="769"/>
      <c r="VKX103" s="769"/>
      <c r="VKY103" s="769"/>
      <c r="VKZ103" s="769"/>
      <c r="VLA103" s="769"/>
      <c r="VLB103" s="769"/>
      <c r="VLC103" s="769"/>
      <c r="VLD103" s="769"/>
      <c r="VLE103" s="769"/>
      <c r="VLF103" s="769"/>
      <c r="VLG103" s="769"/>
      <c r="VLH103" s="769"/>
      <c r="VLI103" s="769"/>
      <c r="VLJ103" s="769"/>
      <c r="VLK103" s="769"/>
      <c r="VLL103" s="769"/>
      <c r="VLM103" s="769"/>
      <c r="VLN103" s="769"/>
      <c r="VLO103" s="769"/>
      <c r="VLP103" s="769"/>
      <c r="VLQ103" s="769"/>
      <c r="VLR103" s="769"/>
      <c r="VLS103" s="769"/>
      <c r="VLT103" s="769"/>
      <c r="VLU103" s="769"/>
      <c r="VLV103" s="769"/>
      <c r="VLW103" s="769"/>
      <c r="VLX103" s="769"/>
      <c r="VLY103" s="769"/>
      <c r="VLZ103" s="769"/>
      <c r="VMA103" s="769"/>
      <c r="VMB103" s="769"/>
      <c r="VMC103" s="769"/>
      <c r="VMD103" s="769"/>
      <c r="VME103" s="769"/>
      <c r="VMF103" s="769"/>
      <c r="VMG103" s="769"/>
      <c r="VMH103" s="769"/>
      <c r="VMI103" s="769"/>
      <c r="VMJ103" s="769"/>
      <c r="VMK103" s="769"/>
      <c r="VML103" s="769"/>
      <c r="VMM103" s="769"/>
      <c r="VMN103" s="769"/>
      <c r="VMO103" s="769"/>
      <c r="VMP103" s="769"/>
      <c r="VMQ103" s="769"/>
      <c r="VMR103" s="769"/>
      <c r="VMS103" s="769"/>
      <c r="VMT103" s="769"/>
      <c r="VMU103" s="769"/>
      <c r="VMV103" s="769"/>
      <c r="VMW103" s="769"/>
      <c r="VMX103" s="769"/>
      <c r="VMY103" s="769"/>
      <c r="VMZ103" s="769"/>
      <c r="VNA103" s="769"/>
      <c r="VNB103" s="769"/>
      <c r="VNC103" s="769"/>
      <c r="VND103" s="769"/>
      <c r="VNE103" s="769"/>
      <c r="VNF103" s="769"/>
      <c r="VNG103" s="769"/>
      <c r="VNH103" s="769"/>
      <c r="VNI103" s="769"/>
      <c r="VNJ103" s="769"/>
      <c r="VNK103" s="769"/>
      <c r="VNL103" s="769"/>
      <c r="VNM103" s="769"/>
      <c r="VNN103" s="769"/>
      <c r="VNO103" s="769"/>
      <c r="VNP103" s="769"/>
      <c r="VNQ103" s="769"/>
      <c r="VNR103" s="769"/>
      <c r="VNS103" s="769"/>
      <c r="VNT103" s="769"/>
      <c r="VNU103" s="769"/>
      <c r="VNV103" s="769"/>
      <c r="VNW103" s="769"/>
      <c r="VNX103" s="769"/>
      <c r="VNY103" s="769"/>
      <c r="VNZ103" s="769"/>
      <c r="VOA103" s="769"/>
      <c r="VOB103" s="769"/>
      <c r="VOC103" s="769"/>
      <c r="VOD103" s="769"/>
      <c r="VOE103" s="769"/>
      <c r="VOF103" s="769"/>
      <c r="VOG103" s="769"/>
      <c r="VOH103" s="769"/>
      <c r="VOI103" s="769"/>
      <c r="VOJ103" s="769"/>
      <c r="VOK103" s="769"/>
      <c r="VOL103" s="769"/>
      <c r="VOM103" s="769"/>
      <c r="VON103" s="769"/>
      <c r="VOO103" s="769"/>
      <c r="VOP103" s="769"/>
      <c r="VOQ103" s="769"/>
      <c r="VOR103" s="769"/>
      <c r="VOS103" s="769"/>
      <c r="VOT103" s="769"/>
      <c r="VOU103" s="769"/>
      <c r="VOV103" s="769"/>
      <c r="VOW103" s="769"/>
      <c r="VOX103" s="769"/>
      <c r="VOY103" s="769"/>
      <c r="VOZ103" s="769"/>
      <c r="VPA103" s="769"/>
      <c r="VPB103" s="769"/>
      <c r="VPC103" s="769"/>
      <c r="VPD103" s="769"/>
      <c r="VPE103" s="769"/>
      <c r="VPF103" s="769"/>
      <c r="VPG103" s="769"/>
      <c r="VPH103" s="769"/>
      <c r="VPI103" s="769"/>
      <c r="VPJ103" s="769"/>
      <c r="VPK103" s="769"/>
      <c r="VPL103" s="769"/>
      <c r="VPM103" s="769"/>
      <c r="VPN103" s="769"/>
      <c r="VPO103" s="769"/>
      <c r="VPP103" s="769"/>
      <c r="VPQ103" s="769"/>
      <c r="VPR103" s="769"/>
      <c r="VPS103" s="769"/>
      <c r="VPT103" s="769"/>
      <c r="VPU103" s="769"/>
      <c r="VPV103" s="769"/>
      <c r="VPW103" s="769"/>
      <c r="VPX103" s="769"/>
      <c r="VPY103" s="769"/>
      <c r="VPZ103" s="769"/>
      <c r="VQA103" s="769"/>
      <c r="VQB103" s="769"/>
      <c r="VQC103" s="769"/>
      <c r="VQD103" s="769"/>
      <c r="VQE103" s="769"/>
      <c r="VQF103" s="769"/>
      <c r="VQG103" s="769"/>
      <c r="VQH103" s="769"/>
      <c r="VQI103" s="769"/>
      <c r="VQJ103" s="769"/>
      <c r="VQK103" s="769"/>
      <c r="VQL103" s="769"/>
      <c r="VQM103" s="769"/>
      <c r="VQN103" s="769"/>
      <c r="VQO103" s="769"/>
      <c r="VQP103" s="769"/>
      <c r="VQQ103" s="769"/>
      <c r="VQR103" s="769"/>
      <c r="VQS103" s="769"/>
      <c r="VQT103" s="769"/>
      <c r="VQU103" s="769"/>
      <c r="VQV103" s="769"/>
      <c r="VQW103" s="769"/>
      <c r="VQX103" s="769"/>
      <c r="VQY103" s="769"/>
      <c r="VQZ103" s="769"/>
      <c r="VRA103" s="769"/>
      <c r="VRB103" s="769"/>
      <c r="VRC103" s="769"/>
      <c r="VRD103" s="769"/>
      <c r="VRE103" s="769"/>
      <c r="VRF103" s="769"/>
      <c r="VRG103" s="769"/>
      <c r="VRH103" s="769"/>
      <c r="VRI103" s="769"/>
      <c r="VRJ103" s="769"/>
      <c r="VRK103" s="769"/>
      <c r="VRL103" s="769"/>
      <c r="VRM103" s="769"/>
      <c r="VRN103" s="769"/>
      <c r="VRO103" s="769"/>
      <c r="VRP103" s="769"/>
      <c r="VRQ103" s="769"/>
      <c r="VRR103" s="769"/>
      <c r="VRS103" s="769"/>
      <c r="VRT103" s="769"/>
      <c r="VRU103" s="769"/>
      <c r="VRV103" s="769"/>
      <c r="VRW103" s="769"/>
      <c r="VRX103" s="769"/>
      <c r="VRY103" s="769"/>
      <c r="VRZ103" s="769"/>
      <c r="VSA103" s="769"/>
      <c r="VSB103" s="769"/>
      <c r="VSC103" s="769"/>
      <c r="VSD103" s="769"/>
      <c r="VSE103" s="769"/>
      <c r="VSF103" s="769"/>
      <c r="VSG103" s="769"/>
      <c r="VSH103" s="769"/>
      <c r="VSI103" s="769"/>
      <c r="VSJ103" s="769"/>
      <c r="VSK103" s="769"/>
      <c r="VSL103" s="769"/>
      <c r="VSM103" s="769"/>
      <c r="VSN103" s="769"/>
      <c r="VSO103" s="769"/>
      <c r="VSP103" s="769"/>
      <c r="VSQ103" s="769"/>
      <c r="VSR103" s="769"/>
      <c r="VSS103" s="769"/>
      <c r="VST103" s="769"/>
      <c r="VSU103" s="769"/>
      <c r="VSV103" s="769"/>
      <c r="VSW103" s="769"/>
      <c r="VSX103" s="769"/>
      <c r="VSY103" s="769"/>
      <c r="VSZ103" s="769"/>
      <c r="VTA103" s="769"/>
      <c r="VTB103" s="769"/>
      <c r="VTC103" s="769"/>
      <c r="VTD103" s="769"/>
      <c r="VTE103" s="769"/>
      <c r="VTF103" s="769"/>
      <c r="VTG103" s="769"/>
      <c r="VTH103" s="769"/>
      <c r="VTI103" s="769"/>
      <c r="VTJ103" s="769"/>
      <c r="VTK103" s="769"/>
      <c r="VTL103" s="769"/>
      <c r="VTM103" s="769"/>
      <c r="VTN103" s="769"/>
      <c r="VTO103" s="769"/>
      <c r="VTP103" s="769"/>
      <c r="VTQ103" s="769"/>
      <c r="VTR103" s="769"/>
      <c r="VTS103" s="769"/>
      <c r="VTT103" s="769"/>
      <c r="VTU103" s="769"/>
      <c r="VTV103" s="769"/>
      <c r="VTW103" s="769"/>
      <c r="VTX103" s="769"/>
      <c r="VTY103" s="769"/>
      <c r="VTZ103" s="769"/>
      <c r="VUA103" s="769"/>
      <c r="VUB103" s="769"/>
      <c r="VUC103" s="769"/>
      <c r="VUD103" s="769"/>
      <c r="VUE103" s="769"/>
      <c r="VUF103" s="769"/>
      <c r="VUG103" s="769"/>
      <c r="VUH103" s="769"/>
      <c r="VUI103" s="769"/>
      <c r="VUJ103" s="769"/>
      <c r="VUK103" s="769"/>
      <c r="VUL103" s="769"/>
      <c r="VUM103" s="769"/>
      <c r="VUN103" s="769"/>
      <c r="VUO103" s="769"/>
      <c r="VUP103" s="769"/>
      <c r="VUQ103" s="769"/>
      <c r="VUR103" s="769"/>
      <c r="VUS103" s="769"/>
      <c r="VUT103" s="769"/>
      <c r="VUU103" s="769"/>
      <c r="VUV103" s="769"/>
      <c r="VUW103" s="769"/>
      <c r="VUX103" s="769"/>
      <c r="VUY103" s="769"/>
      <c r="VUZ103" s="769"/>
      <c r="VVA103" s="769"/>
      <c r="VVB103" s="769"/>
      <c r="VVC103" s="769"/>
      <c r="VVD103" s="769"/>
      <c r="VVE103" s="769"/>
      <c r="VVF103" s="769"/>
      <c r="VVG103" s="769"/>
      <c r="VVH103" s="769"/>
      <c r="VVI103" s="769"/>
      <c r="VVJ103" s="769"/>
      <c r="VVK103" s="769"/>
      <c r="VVL103" s="769"/>
      <c r="VVM103" s="769"/>
      <c r="VVN103" s="769"/>
      <c r="VVO103" s="769"/>
      <c r="VVP103" s="769"/>
      <c r="VVQ103" s="769"/>
      <c r="VVR103" s="769"/>
      <c r="VVS103" s="769"/>
      <c r="VVT103" s="769"/>
      <c r="VVU103" s="769"/>
      <c r="VVV103" s="769"/>
      <c r="VVW103" s="769"/>
      <c r="VVX103" s="769"/>
      <c r="VVY103" s="769"/>
      <c r="VVZ103" s="769"/>
      <c r="VWA103" s="769"/>
      <c r="VWB103" s="769"/>
      <c r="VWC103" s="769"/>
      <c r="VWD103" s="769"/>
      <c r="VWE103" s="769"/>
      <c r="VWF103" s="769"/>
      <c r="VWG103" s="769"/>
      <c r="VWH103" s="769"/>
      <c r="VWI103" s="769"/>
      <c r="VWJ103" s="769"/>
      <c r="VWK103" s="769"/>
      <c r="VWL103" s="769"/>
      <c r="VWM103" s="769"/>
      <c r="VWN103" s="769"/>
      <c r="VWO103" s="769"/>
      <c r="VWP103" s="769"/>
      <c r="VWQ103" s="769"/>
      <c r="VWR103" s="769"/>
      <c r="VWS103" s="769"/>
      <c r="VWT103" s="769"/>
      <c r="VWU103" s="769"/>
      <c r="VWV103" s="769"/>
      <c r="VWW103" s="769"/>
      <c r="VWX103" s="769"/>
      <c r="VWY103" s="769"/>
      <c r="VWZ103" s="769"/>
      <c r="VXA103" s="769"/>
      <c r="VXB103" s="769"/>
      <c r="VXC103" s="769"/>
      <c r="VXD103" s="769"/>
      <c r="VXE103" s="769"/>
      <c r="VXF103" s="769"/>
      <c r="VXG103" s="769"/>
      <c r="VXH103" s="769"/>
      <c r="VXI103" s="769"/>
      <c r="VXJ103" s="769"/>
      <c r="VXK103" s="769"/>
      <c r="VXL103" s="769"/>
      <c r="VXM103" s="769"/>
      <c r="VXN103" s="769"/>
      <c r="VXO103" s="769"/>
      <c r="VXP103" s="769"/>
      <c r="VXQ103" s="769"/>
      <c r="VXR103" s="769"/>
      <c r="VXS103" s="769"/>
      <c r="VXT103" s="769"/>
      <c r="VXU103" s="769"/>
      <c r="VXV103" s="769"/>
      <c r="VXW103" s="769"/>
      <c r="VXX103" s="769"/>
      <c r="VXY103" s="769"/>
      <c r="VXZ103" s="769"/>
      <c r="VYA103" s="769"/>
      <c r="VYB103" s="769"/>
      <c r="VYC103" s="769"/>
      <c r="VYD103" s="769"/>
      <c r="VYE103" s="769"/>
      <c r="VYF103" s="769"/>
      <c r="VYG103" s="769"/>
      <c r="VYH103" s="769"/>
      <c r="VYI103" s="769"/>
      <c r="VYJ103" s="769"/>
      <c r="VYK103" s="769"/>
      <c r="VYL103" s="769"/>
      <c r="VYM103" s="769"/>
      <c r="VYN103" s="769"/>
      <c r="VYO103" s="769"/>
      <c r="VYP103" s="769"/>
      <c r="VYQ103" s="769"/>
      <c r="VYR103" s="769"/>
      <c r="VYS103" s="769"/>
      <c r="VYT103" s="769"/>
      <c r="VYU103" s="769"/>
      <c r="VYV103" s="769"/>
      <c r="VYW103" s="769"/>
      <c r="VYX103" s="769"/>
      <c r="VYY103" s="769"/>
      <c r="VYZ103" s="769"/>
      <c r="VZA103" s="769"/>
      <c r="VZB103" s="769"/>
      <c r="VZC103" s="769"/>
      <c r="VZD103" s="769"/>
      <c r="VZE103" s="769"/>
      <c r="VZF103" s="769"/>
      <c r="VZG103" s="769"/>
      <c r="VZH103" s="769"/>
      <c r="VZI103" s="769"/>
      <c r="VZJ103" s="769"/>
      <c r="VZK103" s="769"/>
      <c r="VZL103" s="769"/>
      <c r="VZM103" s="769"/>
      <c r="VZN103" s="769"/>
      <c r="VZO103" s="769"/>
      <c r="VZP103" s="769"/>
      <c r="VZQ103" s="769"/>
      <c r="VZR103" s="769"/>
      <c r="VZS103" s="769"/>
      <c r="VZT103" s="769"/>
      <c r="VZU103" s="769"/>
      <c r="VZV103" s="769"/>
      <c r="VZW103" s="769"/>
      <c r="VZX103" s="769"/>
      <c r="VZY103" s="769"/>
      <c r="VZZ103" s="769"/>
      <c r="WAA103" s="769"/>
      <c r="WAB103" s="769"/>
      <c r="WAC103" s="769"/>
      <c r="WAD103" s="769"/>
      <c r="WAE103" s="769"/>
      <c r="WAF103" s="769"/>
      <c r="WAG103" s="769"/>
      <c r="WAH103" s="769"/>
      <c r="WAI103" s="769"/>
      <c r="WAJ103" s="769"/>
      <c r="WAK103" s="769"/>
      <c r="WAL103" s="769"/>
      <c r="WAM103" s="769"/>
      <c r="WAN103" s="769"/>
      <c r="WAO103" s="769"/>
      <c r="WAP103" s="769"/>
      <c r="WAQ103" s="769"/>
      <c r="WAR103" s="769"/>
      <c r="WAS103" s="769"/>
      <c r="WAT103" s="769"/>
      <c r="WAU103" s="769"/>
      <c r="WAV103" s="769"/>
      <c r="WAW103" s="769"/>
      <c r="WAX103" s="769"/>
      <c r="WAY103" s="769"/>
      <c r="WAZ103" s="769"/>
      <c r="WBA103" s="769"/>
      <c r="WBB103" s="769"/>
      <c r="WBC103" s="769"/>
      <c r="WBD103" s="769"/>
      <c r="WBE103" s="769"/>
      <c r="WBF103" s="769"/>
      <c r="WBG103" s="769"/>
      <c r="WBH103" s="769"/>
      <c r="WBI103" s="769"/>
      <c r="WBJ103" s="769"/>
      <c r="WBK103" s="769"/>
      <c r="WBL103" s="769"/>
      <c r="WBM103" s="769"/>
      <c r="WBN103" s="769"/>
      <c r="WBO103" s="769"/>
      <c r="WBP103" s="769"/>
      <c r="WBQ103" s="769"/>
      <c r="WBR103" s="769"/>
      <c r="WBS103" s="769"/>
      <c r="WBT103" s="769"/>
      <c r="WBU103" s="769"/>
      <c r="WBV103" s="769"/>
      <c r="WBW103" s="769"/>
      <c r="WBX103" s="769"/>
      <c r="WBY103" s="769"/>
      <c r="WBZ103" s="769"/>
      <c r="WCA103" s="769"/>
      <c r="WCB103" s="769"/>
      <c r="WCC103" s="769"/>
      <c r="WCD103" s="769"/>
      <c r="WCE103" s="769"/>
      <c r="WCF103" s="769"/>
      <c r="WCG103" s="769"/>
      <c r="WCH103" s="769"/>
      <c r="WCI103" s="769"/>
      <c r="WCJ103" s="769"/>
      <c r="WCK103" s="769"/>
      <c r="WCL103" s="769"/>
      <c r="WCM103" s="769"/>
      <c r="WCN103" s="769"/>
      <c r="WCO103" s="769"/>
      <c r="WCP103" s="769"/>
      <c r="WCQ103" s="769"/>
      <c r="WCR103" s="769"/>
      <c r="WCS103" s="769"/>
      <c r="WCT103" s="769"/>
      <c r="WCU103" s="769"/>
      <c r="WCV103" s="769"/>
      <c r="WCW103" s="769"/>
      <c r="WCX103" s="769"/>
      <c r="WCY103" s="769"/>
      <c r="WCZ103" s="769"/>
      <c r="WDA103" s="769"/>
      <c r="WDB103" s="769"/>
      <c r="WDC103" s="769"/>
      <c r="WDD103" s="769"/>
      <c r="WDE103" s="769"/>
      <c r="WDF103" s="769"/>
      <c r="WDG103" s="769"/>
      <c r="WDH103" s="769"/>
      <c r="WDI103" s="769"/>
      <c r="WDJ103" s="769"/>
      <c r="WDK103" s="769"/>
      <c r="WDL103" s="769"/>
      <c r="WDM103" s="769"/>
      <c r="WDN103" s="769"/>
      <c r="WDO103" s="769"/>
      <c r="WDP103" s="769"/>
      <c r="WDQ103" s="769"/>
      <c r="WDR103" s="769"/>
      <c r="WDS103" s="769"/>
      <c r="WDT103" s="769"/>
      <c r="WDU103" s="769"/>
      <c r="WDV103" s="769"/>
      <c r="WDW103" s="769"/>
      <c r="WDX103" s="769"/>
      <c r="WDY103" s="769"/>
      <c r="WDZ103" s="769"/>
      <c r="WEA103" s="769"/>
      <c r="WEB103" s="769"/>
      <c r="WEC103" s="769"/>
      <c r="WED103" s="769"/>
      <c r="WEE103" s="769"/>
      <c r="WEF103" s="769"/>
      <c r="WEG103" s="769"/>
      <c r="WEH103" s="769"/>
      <c r="WEI103" s="769"/>
      <c r="WEJ103" s="769"/>
      <c r="WEK103" s="769"/>
      <c r="WEL103" s="769"/>
      <c r="WEM103" s="769"/>
      <c r="WEN103" s="769"/>
      <c r="WEO103" s="769"/>
      <c r="WEP103" s="769"/>
      <c r="WEQ103" s="769"/>
      <c r="WER103" s="769"/>
      <c r="WES103" s="769"/>
      <c r="WET103" s="769"/>
      <c r="WEU103" s="769"/>
      <c r="WEV103" s="769"/>
      <c r="WEW103" s="769"/>
      <c r="WEX103" s="769"/>
      <c r="WEY103" s="769"/>
      <c r="WEZ103" s="769"/>
      <c r="WFA103" s="769"/>
      <c r="WFB103" s="769"/>
      <c r="WFC103" s="769"/>
      <c r="WFD103" s="769"/>
      <c r="WFE103" s="769"/>
      <c r="WFF103" s="769"/>
      <c r="WFG103" s="769"/>
      <c r="WFH103" s="769"/>
      <c r="WFI103" s="769"/>
      <c r="WFJ103" s="769"/>
      <c r="WFK103" s="769"/>
      <c r="WFL103" s="769"/>
      <c r="WFM103" s="769"/>
      <c r="WFN103" s="769"/>
      <c r="WFO103" s="769"/>
      <c r="WFP103" s="769"/>
      <c r="WFQ103" s="769"/>
      <c r="WFR103" s="769"/>
      <c r="WFS103" s="769"/>
      <c r="WFT103" s="769"/>
      <c r="WFU103" s="769"/>
      <c r="WFV103" s="769"/>
      <c r="WFW103" s="769"/>
      <c r="WFX103" s="769"/>
      <c r="WFY103" s="769"/>
      <c r="WFZ103" s="769"/>
      <c r="WGA103" s="769"/>
      <c r="WGB103" s="769"/>
      <c r="WGC103" s="769"/>
      <c r="WGD103" s="769"/>
      <c r="WGE103" s="769"/>
      <c r="WGF103" s="769"/>
      <c r="WGG103" s="769"/>
      <c r="WGH103" s="769"/>
      <c r="WGI103" s="769"/>
      <c r="WGJ103" s="769"/>
      <c r="WGK103" s="769"/>
      <c r="WGL103" s="769"/>
      <c r="WGM103" s="769"/>
      <c r="WGN103" s="769"/>
      <c r="WGO103" s="769"/>
      <c r="WGP103" s="769"/>
      <c r="WGQ103" s="769"/>
      <c r="WGR103" s="769"/>
      <c r="WGS103" s="769"/>
      <c r="WGT103" s="769"/>
      <c r="WGU103" s="769"/>
      <c r="WGV103" s="769"/>
      <c r="WGW103" s="769"/>
      <c r="WGX103" s="769"/>
      <c r="WGY103" s="769"/>
      <c r="WGZ103" s="769"/>
      <c r="WHA103" s="769"/>
      <c r="WHB103" s="769"/>
      <c r="WHC103" s="769"/>
      <c r="WHD103" s="769"/>
      <c r="WHE103" s="769"/>
      <c r="WHF103" s="769"/>
      <c r="WHG103" s="769"/>
      <c r="WHH103" s="769"/>
      <c r="WHI103" s="769"/>
      <c r="WHJ103" s="769"/>
      <c r="WHK103" s="769"/>
      <c r="WHL103" s="769"/>
      <c r="WHM103" s="769"/>
      <c r="WHN103" s="769"/>
      <c r="WHO103" s="769"/>
      <c r="WHP103" s="769"/>
      <c r="WHQ103" s="769"/>
      <c r="WHR103" s="769"/>
      <c r="WHS103" s="769"/>
      <c r="WHT103" s="769"/>
      <c r="WHU103" s="769"/>
      <c r="WHV103" s="769"/>
      <c r="WHW103" s="769"/>
      <c r="WHX103" s="769"/>
      <c r="WHY103" s="769"/>
      <c r="WHZ103" s="769"/>
      <c r="WIA103" s="769"/>
      <c r="WIB103" s="769"/>
      <c r="WIC103" s="769"/>
      <c r="WID103" s="769"/>
      <c r="WIE103" s="769"/>
      <c r="WIF103" s="769"/>
      <c r="WIG103" s="769"/>
      <c r="WIH103" s="769"/>
      <c r="WII103" s="769"/>
      <c r="WIJ103" s="769"/>
      <c r="WIK103" s="769"/>
      <c r="WIL103" s="769"/>
      <c r="WIM103" s="769"/>
      <c r="WIN103" s="769"/>
      <c r="WIO103" s="769"/>
      <c r="WIP103" s="769"/>
      <c r="WIQ103" s="769"/>
      <c r="WIR103" s="769"/>
      <c r="WIS103" s="769"/>
      <c r="WIT103" s="769"/>
      <c r="WIU103" s="769"/>
      <c r="WIV103" s="769"/>
      <c r="WIW103" s="769"/>
      <c r="WIX103" s="769"/>
      <c r="WIY103" s="769"/>
      <c r="WIZ103" s="769"/>
      <c r="WJA103" s="769"/>
      <c r="WJB103" s="769"/>
      <c r="WJC103" s="769"/>
      <c r="WJD103" s="769"/>
      <c r="WJE103" s="769"/>
      <c r="WJF103" s="769"/>
      <c r="WJG103" s="769"/>
      <c r="WJH103" s="769"/>
      <c r="WJI103" s="769"/>
      <c r="WJJ103" s="769"/>
      <c r="WJK103" s="769"/>
      <c r="WJL103" s="769"/>
      <c r="WJM103" s="769"/>
      <c r="WJN103" s="769"/>
      <c r="WJO103" s="769"/>
      <c r="WJP103" s="769"/>
      <c r="WJQ103" s="769"/>
      <c r="WJR103" s="769"/>
      <c r="WJS103" s="769"/>
      <c r="WJT103" s="769"/>
      <c r="WJU103" s="769"/>
      <c r="WJV103" s="769"/>
      <c r="WJW103" s="769"/>
      <c r="WJX103" s="769"/>
      <c r="WJY103" s="769"/>
      <c r="WJZ103" s="769"/>
      <c r="WKA103" s="769"/>
      <c r="WKB103" s="769"/>
      <c r="WKC103" s="769"/>
      <c r="WKD103" s="769"/>
      <c r="WKE103" s="769"/>
      <c r="WKF103" s="769"/>
      <c r="WKG103" s="769"/>
      <c r="WKH103" s="769"/>
      <c r="WKI103" s="769"/>
      <c r="WKJ103" s="769"/>
      <c r="WKK103" s="769"/>
      <c r="WKL103" s="769"/>
      <c r="WKM103" s="769"/>
      <c r="WKN103" s="769"/>
      <c r="WKO103" s="769"/>
      <c r="WKP103" s="769"/>
      <c r="WKQ103" s="769"/>
      <c r="WKR103" s="769"/>
      <c r="WKS103" s="769"/>
      <c r="WKT103" s="769"/>
      <c r="WKU103" s="769"/>
      <c r="WKV103" s="769"/>
      <c r="WKW103" s="769"/>
      <c r="WKX103" s="769"/>
      <c r="WKY103" s="769"/>
      <c r="WKZ103" s="769"/>
      <c r="WLA103" s="769"/>
      <c r="WLB103" s="769"/>
      <c r="WLC103" s="769"/>
      <c r="WLD103" s="769"/>
      <c r="WLE103" s="769"/>
      <c r="WLF103" s="769"/>
      <c r="WLG103" s="769"/>
      <c r="WLH103" s="769"/>
      <c r="WLI103" s="769"/>
      <c r="WLJ103" s="769"/>
      <c r="WLK103" s="769"/>
      <c r="WLL103" s="769"/>
      <c r="WLM103" s="769"/>
      <c r="WLN103" s="769"/>
      <c r="WLO103" s="769"/>
      <c r="WLP103" s="769"/>
      <c r="WLQ103" s="769"/>
      <c r="WLR103" s="769"/>
      <c r="WLS103" s="769"/>
      <c r="WLT103" s="769"/>
      <c r="WLU103" s="769"/>
      <c r="WLV103" s="769"/>
      <c r="WLW103" s="769"/>
      <c r="WLX103" s="769"/>
      <c r="WLY103" s="769"/>
      <c r="WLZ103" s="769"/>
      <c r="WMA103" s="769"/>
      <c r="WMB103" s="769"/>
      <c r="WMC103" s="769"/>
      <c r="WMD103" s="769"/>
      <c r="WME103" s="769"/>
      <c r="WMF103" s="769"/>
      <c r="WMG103" s="769"/>
      <c r="WMH103" s="769"/>
      <c r="WMI103" s="769"/>
      <c r="WMJ103" s="769"/>
      <c r="WMK103" s="769"/>
      <c r="WML103" s="769"/>
      <c r="WMM103" s="769"/>
      <c r="WMN103" s="769"/>
      <c r="WMO103" s="769"/>
      <c r="WMP103" s="769"/>
      <c r="WMQ103" s="769"/>
      <c r="WMR103" s="769"/>
      <c r="WMS103" s="769"/>
      <c r="WMT103" s="769"/>
      <c r="WMU103" s="769"/>
      <c r="WMV103" s="769"/>
      <c r="WMW103" s="769"/>
      <c r="WMX103" s="769"/>
      <c r="WMY103" s="769"/>
      <c r="WMZ103" s="769"/>
      <c r="WNA103" s="769"/>
      <c r="WNB103" s="769"/>
      <c r="WNC103" s="769"/>
      <c r="WND103" s="769"/>
      <c r="WNE103" s="769"/>
      <c r="WNF103" s="769"/>
      <c r="WNG103" s="769"/>
      <c r="WNH103" s="769"/>
      <c r="WNI103" s="769"/>
      <c r="WNJ103" s="769"/>
      <c r="WNK103" s="769"/>
      <c r="WNL103" s="769"/>
      <c r="WNM103" s="769"/>
      <c r="WNN103" s="769"/>
      <c r="WNO103" s="769"/>
      <c r="WNP103" s="769"/>
      <c r="WNQ103" s="769"/>
      <c r="WNR103" s="769"/>
      <c r="WNS103" s="769"/>
      <c r="WNT103" s="769"/>
      <c r="WNU103" s="769"/>
      <c r="WNV103" s="769"/>
      <c r="WNW103" s="769"/>
      <c r="WNX103" s="769"/>
      <c r="WNY103" s="769"/>
      <c r="WNZ103" s="769"/>
      <c r="WOA103" s="769"/>
      <c r="WOB103" s="769"/>
      <c r="WOC103" s="769"/>
      <c r="WOD103" s="769"/>
      <c r="WOE103" s="769"/>
      <c r="WOF103" s="769"/>
      <c r="WOG103" s="769"/>
      <c r="WOH103" s="769"/>
      <c r="WOI103" s="769"/>
      <c r="WOJ103" s="769"/>
      <c r="WOK103" s="769"/>
      <c r="WOL103" s="769"/>
      <c r="WOM103" s="769"/>
      <c r="WON103" s="769"/>
      <c r="WOO103" s="769"/>
      <c r="WOP103" s="769"/>
      <c r="WOQ103" s="769"/>
      <c r="WOR103" s="769"/>
      <c r="WOS103" s="769"/>
      <c r="WOT103" s="769"/>
      <c r="WOU103" s="769"/>
      <c r="WOV103" s="769"/>
      <c r="WOW103" s="769"/>
      <c r="WOX103" s="769"/>
      <c r="WOY103" s="769"/>
      <c r="WOZ103" s="769"/>
      <c r="WPA103" s="769"/>
      <c r="WPB103" s="769"/>
      <c r="WPC103" s="769"/>
      <c r="WPD103" s="769"/>
      <c r="WPE103" s="769"/>
      <c r="WPF103" s="769"/>
      <c r="WPG103" s="769"/>
      <c r="WPH103" s="769"/>
      <c r="WPI103" s="769"/>
      <c r="WPJ103" s="769"/>
      <c r="WPK103" s="769"/>
      <c r="WPL103" s="769"/>
      <c r="WPM103" s="769"/>
      <c r="WPN103" s="769"/>
      <c r="WPO103" s="769"/>
      <c r="WPP103" s="769"/>
      <c r="WPQ103" s="769"/>
      <c r="WPR103" s="769"/>
      <c r="WPS103" s="769"/>
      <c r="WPT103" s="769"/>
      <c r="WPU103" s="769"/>
      <c r="WPV103" s="769"/>
      <c r="WPW103" s="769"/>
      <c r="WPX103" s="769"/>
      <c r="WPY103" s="769"/>
      <c r="WPZ103" s="769"/>
      <c r="WQA103" s="769"/>
      <c r="WQB103" s="769"/>
      <c r="WQC103" s="769"/>
      <c r="WQD103" s="769"/>
      <c r="WQE103" s="769"/>
      <c r="WQF103" s="769"/>
      <c r="WQG103" s="769"/>
      <c r="WQH103" s="769"/>
      <c r="WQI103" s="769"/>
      <c r="WQJ103" s="769"/>
      <c r="WQK103" s="769"/>
      <c r="WQL103" s="769"/>
      <c r="WQM103" s="769"/>
      <c r="WQN103" s="769"/>
      <c r="WQO103" s="769"/>
      <c r="WQP103" s="769"/>
      <c r="WQQ103" s="769"/>
      <c r="WQR103" s="769"/>
      <c r="WQS103" s="769"/>
      <c r="WQT103" s="769"/>
      <c r="WQU103" s="769"/>
      <c r="WQV103" s="769"/>
      <c r="WQW103" s="769"/>
      <c r="WQX103" s="769"/>
      <c r="WQY103" s="769"/>
      <c r="WQZ103" s="769"/>
      <c r="WRA103" s="769"/>
      <c r="WRB103" s="769"/>
      <c r="WRC103" s="769"/>
      <c r="WRD103" s="769"/>
      <c r="WRE103" s="769"/>
      <c r="WRF103" s="769"/>
      <c r="WRG103" s="769"/>
      <c r="WRH103" s="769"/>
      <c r="WRI103" s="769"/>
      <c r="WRJ103" s="769"/>
      <c r="WRK103" s="769"/>
      <c r="WRL103" s="769"/>
      <c r="WRM103" s="769"/>
      <c r="WRN103" s="769"/>
      <c r="WRO103" s="769"/>
      <c r="WRP103" s="769"/>
      <c r="WRQ103" s="769"/>
      <c r="WRR103" s="769"/>
      <c r="WRS103" s="769"/>
      <c r="WRT103" s="769"/>
      <c r="WRU103" s="769"/>
      <c r="WRV103" s="769"/>
      <c r="WRW103" s="769"/>
      <c r="WRX103" s="769"/>
      <c r="WRY103" s="769"/>
      <c r="WRZ103" s="769"/>
      <c r="WSA103" s="769"/>
      <c r="WSB103" s="769"/>
      <c r="WSC103" s="769"/>
      <c r="WSD103" s="769"/>
      <c r="WSE103" s="769"/>
      <c r="WSF103" s="769"/>
      <c r="WSG103" s="769"/>
      <c r="WSH103" s="769"/>
      <c r="WSI103" s="769"/>
      <c r="WSJ103" s="769"/>
      <c r="WSK103" s="769"/>
      <c r="WSL103" s="769"/>
      <c r="WSM103" s="769"/>
      <c r="WSN103" s="769"/>
      <c r="WSO103" s="769"/>
      <c r="WSP103" s="769"/>
      <c r="WSQ103" s="769"/>
      <c r="WSR103" s="769"/>
      <c r="WSS103" s="769"/>
      <c r="WST103" s="769"/>
      <c r="WSU103" s="769"/>
      <c r="WSV103" s="769"/>
      <c r="WSW103" s="769"/>
      <c r="WSX103" s="769"/>
      <c r="WSY103" s="769"/>
      <c r="WSZ103" s="769"/>
      <c r="WTA103" s="769"/>
      <c r="WTB103" s="769"/>
      <c r="WTC103" s="769"/>
      <c r="WTD103" s="769"/>
      <c r="WTE103" s="769"/>
      <c r="WTF103" s="769"/>
      <c r="WTG103" s="769"/>
      <c r="WTH103" s="769"/>
      <c r="WTI103" s="769"/>
      <c r="WTJ103" s="769"/>
      <c r="WTK103" s="769"/>
      <c r="WTL103" s="769"/>
      <c r="WTM103" s="769"/>
      <c r="WTN103" s="769"/>
      <c r="WTO103" s="769"/>
      <c r="WTP103" s="769"/>
      <c r="WTQ103" s="769"/>
      <c r="WTR103" s="769"/>
      <c r="WTS103" s="769"/>
      <c r="WTT103" s="769"/>
      <c r="WTU103" s="769"/>
      <c r="WTV103" s="769"/>
      <c r="WTW103" s="769"/>
      <c r="WTX103" s="769"/>
      <c r="WTY103" s="769"/>
      <c r="WTZ103" s="769"/>
      <c r="WUA103" s="769"/>
      <c r="WUB103" s="769"/>
      <c r="WUC103" s="769"/>
      <c r="WUD103" s="769"/>
      <c r="WUE103" s="769"/>
      <c r="WUF103" s="769"/>
      <c r="WUG103" s="769"/>
      <c r="WUH103" s="769"/>
      <c r="WUI103" s="769"/>
      <c r="WUJ103" s="769"/>
      <c r="WUK103" s="769"/>
      <c r="WUL103" s="769"/>
      <c r="WUM103" s="769"/>
      <c r="WUN103" s="769"/>
      <c r="WUO103" s="769"/>
      <c r="WUP103" s="769"/>
      <c r="WUQ103" s="769"/>
      <c r="WUR103" s="769"/>
      <c r="WUS103" s="769"/>
      <c r="WUT103" s="769"/>
      <c r="WUU103" s="769"/>
      <c r="WUV103" s="769"/>
      <c r="WUW103" s="769"/>
      <c r="WUX103" s="769"/>
      <c r="WUY103" s="769"/>
      <c r="WUZ103" s="769"/>
      <c r="WVA103" s="769"/>
      <c r="WVB103" s="769"/>
      <c r="WVC103" s="769"/>
      <c r="WVD103" s="769"/>
      <c r="WVE103" s="769"/>
      <c r="WVF103" s="769"/>
      <c r="WVG103" s="769"/>
      <c r="WVH103" s="769"/>
      <c r="WVI103" s="769"/>
      <c r="WVJ103" s="769"/>
      <c r="WVK103" s="769"/>
      <c r="WVL103" s="769"/>
      <c r="WVM103" s="769"/>
      <c r="WVN103" s="769"/>
      <c r="WVO103" s="769"/>
      <c r="WVP103" s="769"/>
      <c r="WVQ103" s="769"/>
      <c r="WVR103" s="769"/>
      <c r="WVS103" s="769"/>
      <c r="WVT103" s="769"/>
      <c r="WVU103" s="769"/>
      <c r="WVV103" s="769"/>
      <c r="WVW103" s="769"/>
      <c r="WVX103" s="769"/>
      <c r="WVY103" s="769"/>
      <c r="WVZ103" s="769"/>
      <c r="WWA103" s="769"/>
      <c r="WWB103" s="769"/>
      <c r="WWC103" s="769"/>
      <c r="WWD103" s="769"/>
      <c r="WWE103" s="769"/>
      <c r="WWF103" s="769"/>
      <c r="WWG103" s="769"/>
      <c r="WWH103" s="769"/>
      <c r="WWI103" s="769"/>
      <c r="WWJ103" s="769"/>
      <c r="WWK103" s="769"/>
      <c r="WWL103" s="769"/>
      <c r="WWM103" s="769"/>
      <c r="WWN103" s="769"/>
      <c r="WWO103" s="769"/>
      <c r="WWP103" s="769"/>
      <c r="WWQ103" s="769"/>
      <c r="WWR103" s="769"/>
      <c r="WWS103" s="769"/>
      <c r="WWT103" s="769"/>
      <c r="WWU103" s="769"/>
      <c r="WWV103" s="769"/>
      <c r="WWW103" s="769"/>
      <c r="WWX103" s="769"/>
      <c r="WWY103" s="769"/>
      <c r="WWZ103" s="769"/>
      <c r="WXA103" s="769"/>
      <c r="WXB103" s="769"/>
      <c r="WXC103" s="769"/>
      <c r="WXD103" s="769"/>
      <c r="WXE103" s="769"/>
      <c r="WXF103" s="769"/>
      <c r="WXG103" s="769"/>
      <c r="WXH103" s="769"/>
      <c r="WXI103" s="769"/>
      <c r="WXJ103" s="769"/>
      <c r="WXK103" s="769"/>
      <c r="WXL103" s="769"/>
      <c r="WXM103" s="769"/>
      <c r="WXN103" s="769"/>
      <c r="WXO103" s="769"/>
      <c r="WXP103" s="769"/>
      <c r="WXQ103" s="769"/>
      <c r="WXR103" s="769"/>
      <c r="WXS103" s="769"/>
      <c r="WXT103" s="769"/>
      <c r="WXU103" s="769"/>
      <c r="WXV103" s="769"/>
      <c r="WXW103" s="769"/>
      <c r="WXX103" s="769"/>
      <c r="WXY103" s="769"/>
      <c r="WXZ103" s="769"/>
      <c r="WYA103" s="769"/>
      <c r="WYB103" s="769"/>
      <c r="WYC103" s="769"/>
      <c r="WYD103" s="769"/>
      <c r="WYE103" s="769"/>
      <c r="WYF103" s="769"/>
      <c r="WYG103" s="769"/>
      <c r="WYH103" s="769"/>
      <c r="WYI103" s="769"/>
      <c r="WYJ103" s="769"/>
      <c r="WYK103" s="769"/>
      <c r="WYL103" s="769"/>
      <c r="WYM103" s="769"/>
      <c r="WYN103" s="769"/>
      <c r="WYO103" s="769"/>
      <c r="WYP103" s="769"/>
      <c r="WYQ103" s="769"/>
      <c r="WYR103" s="769"/>
      <c r="WYS103" s="769"/>
      <c r="WYT103" s="769"/>
      <c r="WYU103" s="769"/>
      <c r="WYV103" s="769"/>
      <c r="WYW103" s="769"/>
      <c r="WYX103" s="769"/>
      <c r="WYY103" s="769"/>
      <c r="WYZ103" s="769"/>
      <c r="WZA103" s="769"/>
      <c r="WZB103" s="769"/>
      <c r="WZC103" s="769"/>
      <c r="WZD103" s="769"/>
      <c r="WZE103" s="769"/>
      <c r="WZF103" s="769"/>
      <c r="WZG103" s="769"/>
      <c r="WZH103" s="769"/>
      <c r="WZI103" s="769"/>
      <c r="WZJ103" s="769"/>
      <c r="WZK103" s="769"/>
      <c r="WZL103" s="769"/>
      <c r="WZM103" s="769"/>
      <c r="WZN103" s="769"/>
      <c r="WZO103" s="769"/>
      <c r="WZP103" s="769"/>
      <c r="WZQ103" s="769"/>
      <c r="WZR103" s="769"/>
      <c r="WZS103" s="769"/>
      <c r="WZT103" s="769"/>
      <c r="WZU103" s="769"/>
      <c r="WZV103" s="769"/>
      <c r="WZW103" s="769"/>
      <c r="WZX103" s="769"/>
      <c r="WZY103" s="769"/>
      <c r="WZZ103" s="769"/>
      <c r="XAA103" s="769"/>
      <c r="XAB103" s="769"/>
      <c r="XAC103" s="769"/>
      <c r="XAD103" s="769"/>
      <c r="XAE103" s="769"/>
      <c r="XAF103" s="769"/>
      <c r="XAG103" s="769"/>
      <c r="XAH103" s="769"/>
      <c r="XAI103" s="769"/>
      <c r="XAJ103" s="769"/>
      <c r="XAK103" s="769"/>
      <c r="XAL103" s="769"/>
      <c r="XAM103" s="769"/>
      <c r="XAN103" s="769"/>
      <c r="XAO103" s="769"/>
      <c r="XAP103" s="769"/>
      <c r="XAQ103" s="769"/>
      <c r="XAR103" s="769"/>
      <c r="XAS103" s="769"/>
      <c r="XAT103" s="769"/>
      <c r="XAU103" s="769"/>
      <c r="XAV103" s="769"/>
      <c r="XAW103" s="769"/>
      <c r="XAX103" s="769"/>
      <c r="XAY103" s="769"/>
      <c r="XAZ103" s="769"/>
      <c r="XBA103" s="769"/>
      <c r="XBB103" s="769"/>
      <c r="XBC103" s="769"/>
      <c r="XBD103" s="769"/>
      <c r="XBE103" s="769"/>
      <c r="XBF103" s="769"/>
      <c r="XBG103" s="769"/>
      <c r="XBH103" s="769"/>
      <c r="XBI103" s="769"/>
      <c r="XBJ103" s="769"/>
      <c r="XBK103" s="769"/>
      <c r="XBL103" s="769"/>
      <c r="XBM103" s="769"/>
      <c r="XBN103" s="769"/>
      <c r="XBO103" s="769"/>
      <c r="XBP103" s="769"/>
      <c r="XBQ103" s="769"/>
      <c r="XBR103" s="769"/>
      <c r="XBS103" s="769"/>
      <c r="XBT103" s="769"/>
      <c r="XBU103" s="769"/>
      <c r="XBV103" s="769"/>
      <c r="XBW103" s="769"/>
      <c r="XBX103" s="769"/>
      <c r="XBY103" s="769"/>
      <c r="XBZ103" s="769"/>
      <c r="XCA103" s="769"/>
      <c r="XCB103" s="769"/>
      <c r="XCC103" s="769"/>
      <c r="XCD103" s="769"/>
      <c r="XCE103" s="769"/>
      <c r="XCF103" s="769"/>
      <c r="XCG103" s="769"/>
      <c r="XCH103" s="769"/>
      <c r="XCI103" s="769"/>
      <c r="XCJ103" s="769"/>
      <c r="XCK103" s="769"/>
      <c r="XCL103" s="769"/>
      <c r="XCM103" s="769"/>
      <c r="XCN103" s="769"/>
      <c r="XCO103" s="769"/>
      <c r="XCP103" s="769"/>
      <c r="XCQ103" s="769"/>
      <c r="XCR103" s="769"/>
      <c r="XCS103" s="769"/>
      <c r="XCT103" s="769"/>
      <c r="XCU103" s="769"/>
      <c r="XCV103" s="769"/>
      <c r="XCW103" s="769"/>
      <c r="XCX103" s="769"/>
      <c r="XCY103" s="769"/>
      <c r="XCZ103" s="769"/>
      <c r="XDA103" s="769"/>
      <c r="XDB103" s="769"/>
      <c r="XDC103" s="769"/>
      <c r="XDD103" s="769"/>
      <c r="XDE103" s="769"/>
      <c r="XDF103" s="769"/>
      <c r="XDG103" s="769"/>
      <c r="XDH103" s="769"/>
      <c r="XDI103" s="769"/>
      <c r="XDJ103" s="769"/>
      <c r="XDK103" s="769"/>
      <c r="XDL103" s="769"/>
      <c r="XDM103" s="769"/>
      <c r="XDN103" s="769"/>
      <c r="XDO103" s="769"/>
      <c r="XDP103" s="769"/>
      <c r="XDQ103" s="769"/>
      <c r="XDR103" s="769"/>
      <c r="XDS103" s="769"/>
      <c r="XDT103" s="769"/>
      <c r="XDU103" s="769"/>
      <c r="XDV103" s="769"/>
      <c r="XDW103" s="769"/>
      <c r="XDX103" s="769"/>
      <c r="XDY103" s="769"/>
      <c r="XDZ103" s="769"/>
      <c r="XEA103" s="769"/>
      <c r="XEB103" s="769"/>
      <c r="XEC103" s="769"/>
      <c r="XED103" s="769"/>
      <c r="XEE103" s="769"/>
      <c r="XEF103" s="769"/>
      <c r="XEG103" s="769"/>
      <c r="XEH103" s="769"/>
      <c r="XEI103" s="769"/>
      <c r="XEJ103" s="769"/>
      <c r="XEK103" s="769"/>
      <c r="XEL103" s="769"/>
      <c r="XEM103" s="769"/>
      <c r="XEN103" s="769"/>
      <c r="XEO103" s="769"/>
      <c r="XEP103" s="769"/>
      <c r="XEQ103" s="769"/>
      <c r="XER103" s="769"/>
      <c r="XES103" s="769"/>
      <c r="XET103" s="769"/>
      <c r="XEU103" s="769"/>
      <c r="XEV103" s="769"/>
      <c r="XEW103" s="769"/>
      <c r="XEX103" s="769"/>
      <c r="XEY103" s="769"/>
      <c r="XEZ103" s="769"/>
      <c r="XFA103" s="769"/>
      <c r="XFB103" s="769"/>
    </row>
    <row r="104" spans="1:16382" hidden="1" x14ac:dyDescent="0.25">
      <c r="A104" s="769"/>
      <c r="B104" s="2186"/>
      <c r="C104" s="2225"/>
      <c r="D104" s="2236"/>
      <c r="E104" s="2236"/>
      <c r="F104" s="2236"/>
      <c r="G104" s="2236"/>
      <c r="H104" s="2236"/>
      <c r="I104" s="2236"/>
      <c r="J104" s="2236"/>
      <c r="K104" s="2236"/>
      <c r="L104" s="2237"/>
      <c r="M104" s="2237"/>
      <c r="N104" s="2237"/>
      <c r="O104" s="2237"/>
      <c r="P104" s="2238"/>
      <c r="Q104" s="2239"/>
      <c r="R104" s="769"/>
      <c r="S104" s="769"/>
      <c r="T104" s="769"/>
      <c r="U104" s="769"/>
      <c r="V104" s="769"/>
      <c r="W104" s="769"/>
      <c r="X104" s="769"/>
      <c r="Y104" s="769"/>
      <c r="Z104" s="769"/>
      <c r="AA104" s="769"/>
      <c r="AB104" s="769"/>
      <c r="AC104" s="769"/>
      <c r="AD104" s="769"/>
      <c r="AE104" s="769"/>
      <c r="AF104" s="769"/>
      <c r="AG104" s="769"/>
      <c r="AH104" s="769"/>
      <c r="AI104" s="769"/>
      <c r="AJ104" s="769"/>
      <c r="AK104" s="769"/>
      <c r="AL104" s="769"/>
      <c r="AM104" s="769"/>
      <c r="AN104" s="769"/>
      <c r="AO104" s="769"/>
      <c r="AP104" s="769"/>
      <c r="AQ104" s="769"/>
      <c r="AR104" s="769"/>
      <c r="AS104" s="769"/>
      <c r="AT104" s="769"/>
      <c r="AU104" s="769"/>
      <c r="AV104" s="769"/>
      <c r="AW104" s="769"/>
      <c r="AX104" s="769"/>
      <c r="AY104" s="769"/>
      <c r="AZ104" s="769"/>
      <c r="BA104" s="769"/>
      <c r="BB104" s="769"/>
      <c r="BC104" s="769"/>
      <c r="BD104" s="769"/>
      <c r="BE104" s="769"/>
      <c r="BF104" s="769"/>
      <c r="BG104" s="769"/>
      <c r="BH104" s="769"/>
      <c r="BI104" s="769"/>
      <c r="BJ104" s="769"/>
      <c r="BK104" s="769"/>
      <c r="BL104" s="769"/>
      <c r="BM104" s="769"/>
      <c r="BN104" s="769"/>
      <c r="BO104" s="769"/>
      <c r="BP104" s="769"/>
      <c r="BQ104" s="769"/>
      <c r="BR104" s="769"/>
      <c r="BS104" s="769"/>
      <c r="BT104" s="769"/>
      <c r="BU104" s="769"/>
      <c r="BV104" s="769"/>
      <c r="BW104" s="769"/>
      <c r="BX104" s="769"/>
      <c r="BY104" s="769"/>
      <c r="BZ104" s="769"/>
      <c r="CA104" s="769"/>
      <c r="CB104" s="769"/>
      <c r="CC104" s="769"/>
      <c r="CD104" s="769"/>
      <c r="CE104" s="769"/>
      <c r="CF104" s="769"/>
      <c r="CG104" s="769"/>
      <c r="CH104" s="769"/>
      <c r="CI104" s="769"/>
      <c r="CJ104" s="769"/>
      <c r="CK104" s="769"/>
      <c r="CL104" s="769"/>
      <c r="CM104" s="769"/>
      <c r="CN104" s="769"/>
      <c r="CO104" s="769"/>
      <c r="CP104" s="769"/>
      <c r="CQ104" s="769"/>
      <c r="CR104" s="769"/>
      <c r="CS104" s="769"/>
      <c r="CT104" s="769"/>
      <c r="CU104" s="769"/>
      <c r="CV104" s="769"/>
      <c r="CW104" s="769"/>
      <c r="CX104" s="769"/>
      <c r="CY104" s="769"/>
      <c r="CZ104" s="769"/>
      <c r="DA104" s="769"/>
      <c r="DB104" s="769"/>
      <c r="DC104" s="769"/>
      <c r="DD104" s="769"/>
      <c r="DE104" s="769"/>
      <c r="DF104" s="769"/>
      <c r="DG104" s="769"/>
      <c r="DH104" s="769"/>
      <c r="DI104" s="769"/>
      <c r="DJ104" s="769"/>
      <c r="DK104" s="769"/>
      <c r="DL104" s="769"/>
      <c r="DM104" s="769"/>
      <c r="DN104" s="769"/>
      <c r="DO104" s="769"/>
      <c r="DP104" s="769"/>
      <c r="DQ104" s="769"/>
      <c r="DR104" s="769"/>
      <c r="DS104" s="769"/>
      <c r="DT104" s="769"/>
      <c r="DU104" s="769"/>
      <c r="DV104" s="769"/>
      <c r="DW104" s="769"/>
      <c r="DX104" s="769"/>
      <c r="DY104" s="769"/>
      <c r="DZ104" s="769"/>
      <c r="EA104" s="769"/>
      <c r="EB104" s="769"/>
      <c r="EC104" s="769"/>
      <c r="ED104" s="769"/>
      <c r="EE104" s="769"/>
      <c r="EF104" s="769"/>
      <c r="EG104" s="769"/>
      <c r="EH104" s="769"/>
      <c r="EI104" s="769"/>
      <c r="EJ104" s="769"/>
      <c r="EK104" s="769"/>
      <c r="EL104" s="769"/>
      <c r="EM104" s="769"/>
      <c r="EN104" s="769"/>
      <c r="EO104" s="769"/>
      <c r="EP104" s="769"/>
      <c r="EQ104" s="769"/>
      <c r="ER104" s="769"/>
      <c r="ES104" s="769"/>
      <c r="ET104" s="769"/>
      <c r="EU104" s="769"/>
      <c r="EV104" s="769"/>
      <c r="EW104" s="769"/>
      <c r="EX104" s="769"/>
      <c r="EY104" s="769"/>
      <c r="EZ104" s="769"/>
      <c r="FA104" s="769"/>
      <c r="FB104" s="769"/>
      <c r="FC104" s="769"/>
      <c r="FD104" s="769"/>
      <c r="FE104" s="769"/>
      <c r="FF104" s="769"/>
      <c r="FG104" s="769"/>
      <c r="FH104" s="769"/>
      <c r="FI104" s="769"/>
      <c r="FJ104" s="769"/>
      <c r="FK104" s="769"/>
      <c r="FL104" s="769"/>
      <c r="FM104" s="769"/>
      <c r="FN104" s="769"/>
      <c r="FO104" s="769"/>
      <c r="FP104" s="769"/>
      <c r="FQ104" s="769"/>
      <c r="FR104" s="769"/>
      <c r="FS104" s="769"/>
      <c r="FT104" s="769"/>
      <c r="FU104" s="769"/>
      <c r="FV104" s="769"/>
      <c r="FW104" s="769"/>
      <c r="FX104" s="769"/>
      <c r="FY104" s="769"/>
      <c r="FZ104" s="769"/>
      <c r="GA104" s="769"/>
      <c r="GB104" s="769"/>
      <c r="GC104" s="769"/>
      <c r="GD104" s="769"/>
      <c r="GE104" s="769"/>
      <c r="GF104" s="769"/>
      <c r="GG104" s="769"/>
      <c r="GH104" s="769"/>
      <c r="GI104" s="769"/>
      <c r="GJ104" s="769"/>
      <c r="GK104" s="769"/>
      <c r="GL104" s="769"/>
      <c r="GM104" s="769"/>
      <c r="GN104" s="769"/>
      <c r="GO104" s="769"/>
      <c r="GP104" s="769"/>
      <c r="GQ104" s="769"/>
      <c r="GR104" s="769"/>
      <c r="GS104" s="769"/>
      <c r="GT104" s="769"/>
      <c r="GU104" s="769"/>
      <c r="GV104" s="769"/>
      <c r="GW104" s="769"/>
      <c r="GX104" s="769"/>
      <c r="GY104" s="769"/>
      <c r="GZ104" s="769"/>
      <c r="HA104" s="769"/>
      <c r="HB104" s="769"/>
      <c r="HC104" s="769"/>
      <c r="HD104" s="769"/>
      <c r="HE104" s="769"/>
      <c r="HF104" s="769"/>
      <c r="HG104" s="769"/>
      <c r="HH104" s="769"/>
      <c r="HI104" s="769"/>
      <c r="HJ104" s="769"/>
      <c r="HK104" s="769"/>
      <c r="HL104" s="769"/>
      <c r="HM104" s="769"/>
      <c r="HN104" s="769"/>
      <c r="HO104" s="769"/>
      <c r="HP104" s="769"/>
      <c r="HQ104" s="769"/>
      <c r="HR104" s="769"/>
      <c r="HS104" s="769"/>
      <c r="HT104" s="769"/>
      <c r="HU104" s="769"/>
      <c r="HV104" s="769"/>
      <c r="HW104" s="769"/>
      <c r="HX104" s="769"/>
      <c r="HY104" s="769"/>
      <c r="HZ104" s="769"/>
      <c r="IA104" s="769"/>
      <c r="IB104" s="769"/>
      <c r="IC104" s="769"/>
      <c r="ID104" s="769"/>
      <c r="IE104" s="769"/>
      <c r="IF104" s="769"/>
      <c r="IG104" s="769"/>
      <c r="IH104" s="769"/>
      <c r="II104" s="769"/>
      <c r="IJ104" s="769"/>
      <c r="IK104" s="769"/>
      <c r="IL104" s="769"/>
      <c r="IM104" s="769"/>
      <c r="IN104" s="769"/>
      <c r="IO104" s="769"/>
      <c r="IP104" s="769"/>
      <c r="IQ104" s="769"/>
      <c r="IR104" s="769"/>
      <c r="IS104" s="769"/>
      <c r="IT104" s="769"/>
      <c r="IU104" s="769"/>
      <c r="IV104" s="769"/>
      <c r="IW104" s="769"/>
      <c r="IX104" s="769"/>
      <c r="IY104" s="769"/>
      <c r="IZ104" s="769"/>
      <c r="JA104" s="769"/>
      <c r="JB104" s="769"/>
      <c r="JC104" s="769"/>
      <c r="JD104" s="769"/>
      <c r="JE104" s="769"/>
      <c r="JF104" s="769"/>
      <c r="JG104" s="769"/>
      <c r="JH104" s="769"/>
      <c r="JI104" s="769"/>
      <c r="JJ104" s="769"/>
      <c r="JK104" s="769"/>
      <c r="JL104" s="769"/>
      <c r="JM104" s="769"/>
      <c r="JN104" s="769"/>
      <c r="JO104" s="769"/>
      <c r="JP104" s="769"/>
      <c r="JQ104" s="769"/>
      <c r="JR104" s="769"/>
      <c r="JS104" s="769"/>
      <c r="JT104" s="769"/>
      <c r="JU104" s="769"/>
      <c r="JV104" s="769"/>
      <c r="JW104" s="769"/>
      <c r="JX104" s="769"/>
      <c r="JY104" s="769"/>
      <c r="JZ104" s="769"/>
      <c r="KA104" s="769"/>
      <c r="KB104" s="769"/>
      <c r="KC104" s="769"/>
      <c r="KD104" s="769"/>
      <c r="KE104" s="769"/>
      <c r="KF104" s="769"/>
      <c r="KG104" s="769"/>
      <c r="KH104" s="769"/>
      <c r="KI104" s="769"/>
      <c r="KJ104" s="769"/>
      <c r="KK104" s="769"/>
      <c r="KL104" s="769"/>
      <c r="KM104" s="769"/>
      <c r="KN104" s="769"/>
      <c r="KO104" s="769"/>
      <c r="KP104" s="769"/>
      <c r="KQ104" s="769"/>
      <c r="KR104" s="769"/>
      <c r="KS104" s="769"/>
      <c r="KT104" s="769"/>
      <c r="KU104" s="769"/>
      <c r="KV104" s="769"/>
      <c r="KW104" s="769"/>
      <c r="KX104" s="769"/>
      <c r="KY104" s="769"/>
      <c r="KZ104" s="769"/>
      <c r="LA104" s="769"/>
      <c r="LB104" s="769"/>
      <c r="LC104" s="769"/>
      <c r="LD104" s="769"/>
      <c r="LE104" s="769"/>
      <c r="LF104" s="769"/>
      <c r="LG104" s="769"/>
      <c r="LH104" s="769"/>
      <c r="LI104" s="769"/>
      <c r="LJ104" s="769"/>
      <c r="LK104" s="769"/>
      <c r="LL104" s="769"/>
      <c r="LM104" s="769"/>
      <c r="LN104" s="769"/>
      <c r="LO104" s="769"/>
      <c r="LP104" s="769"/>
      <c r="LQ104" s="769"/>
      <c r="LR104" s="769"/>
      <c r="LS104" s="769"/>
      <c r="LT104" s="769"/>
      <c r="LU104" s="769"/>
      <c r="LV104" s="769"/>
      <c r="LW104" s="769"/>
      <c r="LX104" s="769"/>
      <c r="LY104" s="769"/>
      <c r="LZ104" s="769"/>
      <c r="MA104" s="769"/>
      <c r="MB104" s="769"/>
      <c r="MC104" s="769"/>
      <c r="MD104" s="769"/>
      <c r="ME104" s="769"/>
      <c r="MF104" s="769"/>
      <c r="MG104" s="769"/>
      <c r="MH104" s="769"/>
      <c r="MI104" s="769"/>
      <c r="MJ104" s="769"/>
      <c r="MK104" s="769"/>
      <c r="ML104" s="769"/>
      <c r="MM104" s="769"/>
      <c r="MN104" s="769"/>
      <c r="MO104" s="769"/>
      <c r="MP104" s="769"/>
      <c r="MQ104" s="769"/>
      <c r="MR104" s="769"/>
      <c r="MS104" s="769"/>
      <c r="MT104" s="769"/>
      <c r="MU104" s="769"/>
      <c r="MV104" s="769"/>
      <c r="MW104" s="769"/>
      <c r="MX104" s="769"/>
      <c r="MY104" s="769"/>
      <c r="MZ104" s="769"/>
      <c r="NA104" s="769"/>
      <c r="NB104" s="769"/>
      <c r="NC104" s="769"/>
      <c r="ND104" s="769"/>
      <c r="NE104" s="769"/>
      <c r="NF104" s="769"/>
      <c r="NG104" s="769"/>
      <c r="NH104" s="769"/>
      <c r="NI104" s="769"/>
      <c r="NJ104" s="769"/>
      <c r="NK104" s="769"/>
      <c r="NL104" s="769"/>
      <c r="NM104" s="769"/>
      <c r="NN104" s="769"/>
      <c r="NO104" s="769"/>
      <c r="NP104" s="769"/>
      <c r="NQ104" s="769"/>
      <c r="NR104" s="769"/>
      <c r="NS104" s="769"/>
      <c r="NT104" s="769"/>
      <c r="NU104" s="769"/>
      <c r="NV104" s="769"/>
      <c r="NW104" s="769"/>
      <c r="NX104" s="769"/>
      <c r="NY104" s="769"/>
      <c r="NZ104" s="769"/>
      <c r="OA104" s="769"/>
      <c r="OB104" s="769"/>
      <c r="OC104" s="769"/>
      <c r="OD104" s="769"/>
      <c r="OE104" s="769"/>
      <c r="OF104" s="769"/>
      <c r="OG104" s="769"/>
      <c r="OH104" s="769"/>
      <c r="OI104" s="769"/>
      <c r="OJ104" s="769"/>
      <c r="OK104" s="769"/>
      <c r="OL104" s="769"/>
      <c r="OM104" s="769"/>
      <c r="ON104" s="769"/>
      <c r="OO104" s="769"/>
      <c r="OP104" s="769"/>
      <c r="OQ104" s="769"/>
      <c r="OR104" s="769"/>
      <c r="OS104" s="769"/>
      <c r="OT104" s="769"/>
      <c r="OU104" s="769"/>
      <c r="OV104" s="769"/>
      <c r="OW104" s="769"/>
      <c r="OX104" s="769"/>
      <c r="OY104" s="769"/>
      <c r="OZ104" s="769"/>
      <c r="PA104" s="769"/>
      <c r="PB104" s="769"/>
      <c r="PC104" s="769"/>
      <c r="PD104" s="769"/>
      <c r="PE104" s="769"/>
      <c r="PF104" s="769"/>
      <c r="PG104" s="769"/>
      <c r="PH104" s="769"/>
      <c r="PI104" s="769"/>
      <c r="PJ104" s="769"/>
      <c r="PK104" s="769"/>
      <c r="PL104" s="769"/>
      <c r="PM104" s="769"/>
      <c r="PN104" s="769"/>
      <c r="PO104" s="769"/>
      <c r="PP104" s="769"/>
      <c r="PQ104" s="769"/>
      <c r="PR104" s="769"/>
      <c r="PS104" s="769"/>
      <c r="PT104" s="769"/>
      <c r="PU104" s="769"/>
      <c r="PV104" s="769"/>
      <c r="PW104" s="769"/>
      <c r="PX104" s="769"/>
      <c r="PY104" s="769"/>
      <c r="PZ104" s="769"/>
      <c r="QA104" s="769"/>
      <c r="QB104" s="769"/>
      <c r="QC104" s="769"/>
      <c r="QD104" s="769"/>
      <c r="QE104" s="769"/>
      <c r="QF104" s="769"/>
      <c r="QG104" s="769"/>
      <c r="QH104" s="769"/>
      <c r="QI104" s="769"/>
      <c r="QJ104" s="769"/>
      <c r="QK104" s="769"/>
      <c r="QL104" s="769"/>
      <c r="QM104" s="769"/>
      <c r="QN104" s="769"/>
      <c r="QO104" s="769"/>
      <c r="QP104" s="769"/>
      <c r="QQ104" s="769"/>
      <c r="QR104" s="769"/>
      <c r="QS104" s="769"/>
      <c r="QT104" s="769"/>
      <c r="QU104" s="769"/>
      <c r="QV104" s="769"/>
      <c r="QW104" s="769"/>
      <c r="QX104" s="769"/>
      <c r="QY104" s="769"/>
      <c r="QZ104" s="769"/>
      <c r="RA104" s="769"/>
      <c r="RB104" s="769"/>
      <c r="RC104" s="769"/>
      <c r="RD104" s="769"/>
      <c r="RE104" s="769"/>
      <c r="RF104" s="769"/>
      <c r="RG104" s="769"/>
      <c r="RH104" s="769"/>
      <c r="RI104" s="769"/>
      <c r="RJ104" s="769"/>
      <c r="RK104" s="769"/>
      <c r="RL104" s="769"/>
      <c r="RM104" s="769"/>
      <c r="RN104" s="769"/>
      <c r="RO104" s="769"/>
      <c r="RP104" s="769"/>
      <c r="RQ104" s="769"/>
      <c r="RR104" s="769"/>
      <c r="RS104" s="769"/>
      <c r="RT104" s="769"/>
      <c r="RU104" s="769"/>
      <c r="RV104" s="769"/>
      <c r="RW104" s="769"/>
      <c r="RX104" s="769"/>
      <c r="RY104" s="769"/>
      <c r="RZ104" s="769"/>
      <c r="SA104" s="769"/>
      <c r="SB104" s="769"/>
      <c r="SC104" s="769"/>
      <c r="SD104" s="769"/>
      <c r="SE104" s="769"/>
      <c r="SF104" s="769"/>
      <c r="SG104" s="769"/>
      <c r="SH104" s="769"/>
      <c r="SI104" s="769"/>
      <c r="SJ104" s="769"/>
      <c r="SK104" s="769"/>
      <c r="SL104" s="769"/>
      <c r="SM104" s="769"/>
      <c r="SN104" s="769"/>
      <c r="SO104" s="769"/>
      <c r="SP104" s="769"/>
      <c r="SQ104" s="769"/>
      <c r="SR104" s="769"/>
      <c r="SS104" s="769"/>
      <c r="ST104" s="769"/>
      <c r="SU104" s="769"/>
      <c r="SV104" s="769"/>
      <c r="SW104" s="769"/>
      <c r="SX104" s="769"/>
      <c r="SY104" s="769"/>
      <c r="SZ104" s="769"/>
      <c r="TA104" s="769"/>
      <c r="TB104" s="769"/>
      <c r="TC104" s="769"/>
      <c r="TD104" s="769"/>
      <c r="TE104" s="769"/>
      <c r="TF104" s="769"/>
      <c r="TG104" s="769"/>
      <c r="TH104" s="769"/>
      <c r="TI104" s="769"/>
      <c r="TJ104" s="769"/>
      <c r="TK104" s="769"/>
      <c r="TL104" s="769"/>
      <c r="TM104" s="769"/>
      <c r="TN104" s="769"/>
      <c r="TO104" s="769"/>
      <c r="TP104" s="769"/>
      <c r="TQ104" s="769"/>
      <c r="TR104" s="769"/>
      <c r="TS104" s="769"/>
      <c r="TT104" s="769"/>
      <c r="TU104" s="769"/>
      <c r="TV104" s="769"/>
      <c r="TW104" s="769"/>
      <c r="TX104" s="769"/>
      <c r="TY104" s="769"/>
      <c r="TZ104" s="769"/>
      <c r="UA104" s="769"/>
      <c r="UB104" s="769"/>
      <c r="UC104" s="769"/>
      <c r="UD104" s="769"/>
      <c r="UE104" s="769"/>
      <c r="UF104" s="769"/>
      <c r="UG104" s="769"/>
      <c r="UH104" s="769"/>
      <c r="UI104" s="769"/>
      <c r="UJ104" s="769"/>
      <c r="UK104" s="769"/>
      <c r="UL104" s="769"/>
      <c r="UM104" s="769"/>
      <c r="UN104" s="769"/>
      <c r="UO104" s="769"/>
      <c r="UP104" s="769"/>
      <c r="UQ104" s="769"/>
      <c r="UR104" s="769"/>
      <c r="US104" s="769"/>
      <c r="UT104" s="769"/>
      <c r="UU104" s="769"/>
      <c r="UV104" s="769"/>
      <c r="UW104" s="769"/>
      <c r="UX104" s="769"/>
      <c r="UY104" s="769"/>
      <c r="UZ104" s="769"/>
      <c r="VA104" s="769"/>
      <c r="VB104" s="769"/>
      <c r="VC104" s="769"/>
      <c r="VD104" s="769"/>
      <c r="VE104" s="769"/>
      <c r="VF104" s="769"/>
      <c r="VG104" s="769"/>
      <c r="VH104" s="769"/>
      <c r="VI104" s="769"/>
      <c r="VJ104" s="769"/>
      <c r="VK104" s="769"/>
      <c r="VL104" s="769"/>
      <c r="VM104" s="769"/>
      <c r="VN104" s="769"/>
      <c r="VO104" s="769"/>
      <c r="VP104" s="769"/>
      <c r="VQ104" s="769"/>
      <c r="VR104" s="769"/>
      <c r="VS104" s="769"/>
      <c r="VT104" s="769"/>
      <c r="VU104" s="769"/>
      <c r="VV104" s="769"/>
      <c r="VW104" s="769"/>
      <c r="VX104" s="769"/>
      <c r="VY104" s="769"/>
      <c r="VZ104" s="769"/>
      <c r="WA104" s="769"/>
      <c r="WB104" s="769"/>
      <c r="WC104" s="769"/>
      <c r="WD104" s="769"/>
      <c r="WE104" s="769"/>
      <c r="WF104" s="769"/>
      <c r="WG104" s="769"/>
      <c r="WH104" s="769"/>
      <c r="WI104" s="769"/>
      <c r="WJ104" s="769"/>
      <c r="WK104" s="769"/>
      <c r="WL104" s="769"/>
      <c r="WM104" s="769"/>
      <c r="WN104" s="769"/>
      <c r="WO104" s="769"/>
      <c r="WP104" s="769"/>
      <c r="WQ104" s="769"/>
      <c r="WR104" s="769"/>
      <c r="WS104" s="769"/>
      <c r="WT104" s="769"/>
      <c r="WU104" s="769"/>
      <c r="WV104" s="769"/>
      <c r="WW104" s="769"/>
      <c r="WX104" s="769"/>
      <c r="WY104" s="769"/>
      <c r="WZ104" s="769"/>
      <c r="XA104" s="769"/>
      <c r="XB104" s="769"/>
      <c r="XC104" s="769"/>
      <c r="XD104" s="769"/>
      <c r="XE104" s="769"/>
      <c r="XF104" s="769"/>
      <c r="XG104" s="769"/>
      <c r="XH104" s="769"/>
      <c r="XI104" s="769"/>
      <c r="XJ104" s="769"/>
      <c r="XK104" s="769"/>
      <c r="XL104" s="769"/>
      <c r="XM104" s="769"/>
      <c r="XN104" s="769"/>
      <c r="XO104" s="769"/>
      <c r="XP104" s="769"/>
      <c r="XQ104" s="769"/>
      <c r="XR104" s="769"/>
      <c r="XS104" s="769"/>
      <c r="XT104" s="769"/>
      <c r="XU104" s="769"/>
      <c r="XV104" s="769"/>
      <c r="XW104" s="769"/>
      <c r="XX104" s="769"/>
      <c r="XY104" s="769"/>
      <c r="XZ104" s="769"/>
      <c r="YA104" s="769"/>
      <c r="YB104" s="769"/>
      <c r="YC104" s="769"/>
      <c r="YD104" s="769"/>
      <c r="YE104" s="769"/>
      <c r="YF104" s="769"/>
      <c r="YG104" s="769"/>
      <c r="YH104" s="769"/>
      <c r="YI104" s="769"/>
      <c r="YJ104" s="769"/>
      <c r="YK104" s="769"/>
      <c r="YL104" s="769"/>
      <c r="YM104" s="769"/>
      <c r="YN104" s="769"/>
      <c r="YO104" s="769"/>
      <c r="YP104" s="769"/>
      <c r="YQ104" s="769"/>
      <c r="YR104" s="769"/>
      <c r="YS104" s="769"/>
      <c r="YT104" s="769"/>
      <c r="YU104" s="769"/>
      <c r="YV104" s="769"/>
      <c r="YW104" s="769"/>
      <c r="YX104" s="769"/>
      <c r="YY104" s="769"/>
      <c r="YZ104" s="769"/>
      <c r="ZA104" s="769"/>
      <c r="ZB104" s="769"/>
      <c r="ZC104" s="769"/>
      <c r="ZD104" s="769"/>
      <c r="ZE104" s="769"/>
      <c r="ZF104" s="769"/>
      <c r="ZG104" s="769"/>
      <c r="ZH104" s="769"/>
      <c r="ZI104" s="769"/>
      <c r="ZJ104" s="769"/>
      <c r="ZK104" s="769"/>
      <c r="ZL104" s="769"/>
      <c r="ZM104" s="769"/>
      <c r="ZN104" s="769"/>
      <c r="ZO104" s="769"/>
      <c r="ZP104" s="769"/>
      <c r="ZQ104" s="769"/>
      <c r="ZR104" s="769"/>
      <c r="ZS104" s="769"/>
      <c r="ZT104" s="769"/>
      <c r="ZU104" s="769"/>
      <c r="ZV104" s="769"/>
      <c r="ZW104" s="769"/>
      <c r="ZX104" s="769"/>
      <c r="ZY104" s="769"/>
      <c r="ZZ104" s="769"/>
      <c r="AAA104" s="769"/>
      <c r="AAB104" s="769"/>
      <c r="AAC104" s="769"/>
      <c r="AAD104" s="769"/>
      <c r="AAE104" s="769"/>
      <c r="AAF104" s="769"/>
      <c r="AAG104" s="769"/>
      <c r="AAH104" s="769"/>
      <c r="AAI104" s="769"/>
      <c r="AAJ104" s="769"/>
      <c r="AAK104" s="769"/>
      <c r="AAL104" s="769"/>
      <c r="AAM104" s="769"/>
      <c r="AAN104" s="769"/>
      <c r="AAO104" s="769"/>
      <c r="AAP104" s="769"/>
      <c r="AAQ104" s="769"/>
      <c r="AAR104" s="769"/>
      <c r="AAS104" s="769"/>
      <c r="AAT104" s="769"/>
      <c r="AAU104" s="769"/>
      <c r="AAV104" s="769"/>
      <c r="AAW104" s="769"/>
      <c r="AAX104" s="769"/>
      <c r="AAY104" s="769"/>
      <c r="AAZ104" s="769"/>
      <c r="ABA104" s="769"/>
      <c r="ABB104" s="769"/>
      <c r="ABC104" s="769"/>
      <c r="ABD104" s="769"/>
      <c r="ABE104" s="769"/>
      <c r="ABF104" s="769"/>
      <c r="ABG104" s="769"/>
      <c r="ABH104" s="769"/>
      <c r="ABI104" s="769"/>
      <c r="ABJ104" s="769"/>
      <c r="ABK104" s="769"/>
      <c r="ABL104" s="769"/>
      <c r="ABM104" s="769"/>
      <c r="ABN104" s="769"/>
      <c r="ABO104" s="769"/>
      <c r="ABP104" s="769"/>
      <c r="ABQ104" s="769"/>
      <c r="ABR104" s="769"/>
      <c r="ABS104" s="769"/>
      <c r="ABT104" s="769"/>
      <c r="ABU104" s="769"/>
      <c r="ABV104" s="769"/>
      <c r="ABW104" s="769"/>
      <c r="ABX104" s="769"/>
      <c r="ABY104" s="769"/>
      <c r="ABZ104" s="769"/>
      <c r="ACA104" s="769"/>
      <c r="ACB104" s="769"/>
      <c r="ACC104" s="769"/>
      <c r="ACD104" s="769"/>
      <c r="ACE104" s="769"/>
      <c r="ACF104" s="769"/>
      <c r="ACG104" s="769"/>
      <c r="ACH104" s="769"/>
      <c r="ACI104" s="769"/>
      <c r="ACJ104" s="769"/>
      <c r="ACK104" s="769"/>
      <c r="ACL104" s="769"/>
      <c r="ACM104" s="769"/>
      <c r="ACN104" s="769"/>
      <c r="ACO104" s="769"/>
      <c r="ACP104" s="769"/>
      <c r="ACQ104" s="769"/>
      <c r="ACR104" s="769"/>
      <c r="ACS104" s="769"/>
      <c r="ACT104" s="769"/>
      <c r="ACU104" s="769"/>
      <c r="ACV104" s="769"/>
      <c r="ACW104" s="769"/>
      <c r="ACX104" s="769"/>
      <c r="ACY104" s="769"/>
      <c r="ACZ104" s="769"/>
      <c r="ADA104" s="769"/>
      <c r="ADB104" s="769"/>
      <c r="ADC104" s="769"/>
      <c r="ADD104" s="769"/>
      <c r="ADE104" s="769"/>
      <c r="ADF104" s="769"/>
      <c r="ADG104" s="769"/>
      <c r="ADH104" s="769"/>
      <c r="ADI104" s="769"/>
      <c r="ADJ104" s="769"/>
      <c r="ADK104" s="769"/>
      <c r="ADL104" s="769"/>
      <c r="ADM104" s="769"/>
      <c r="ADN104" s="769"/>
      <c r="ADO104" s="769"/>
      <c r="ADP104" s="769"/>
      <c r="ADQ104" s="769"/>
      <c r="ADR104" s="769"/>
      <c r="ADS104" s="769"/>
      <c r="ADT104" s="769"/>
      <c r="ADU104" s="769"/>
      <c r="ADV104" s="769"/>
      <c r="ADW104" s="769"/>
      <c r="ADX104" s="769"/>
      <c r="ADY104" s="769"/>
      <c r="ADZ104" s="769"/>
      <c r="AEA104" s="769"/>
      <c r="AEB104" s="769"/>
      <c r="AEC104" s="769"/>
      <c r="AED104" s="769"/>
      <c r="AEE104" s="769"/>
      <c r="AEF104" s="769"/>
      <c r="AEG104" s="769"/>
      <c r="AEH104" s="769"/>
      <c r="AEI104" s="769"/>
      <c r="AEJ104" s="769"/>
      <c r="AEK104" s="769"/>
      <c r="AEL104" s="769"/>
      <c r="AEM104" s="769"/>
      <c r="AEN104" s="769"/>
      <c r="AEO104" s="769"/>
      <c r="AEP104" s="769"/>
      <c r="AEQ104" s="769"/>
      <c r="AER104" s="769"/>
      <c r="AES104" s="769"/>
      <c r="AET104" s="769"/>
      <c r="AEU104" s="769"/>
      <c r="AEV104" s="769"/>
      <c r="AEW104" s="769"/>
      <c r="AEX104" s="769"/>
      <c r="AEY104" s="769"/>
      <c r="AEZ104" s="769"/>
      <c r="AFA104" s="769"/>
      <c r="AFB104" s="769"/>
      <c r="AFC104" s="769"/>
      <c r="AFD104" s="769"/>
      <c r="AFE104" s="769"/>
      <c r="AFF104" s="769"/>
      <c r="AFG104" s="769"/>
      <c r="AFH104" s="769"/>
      <c r="AFI104" s="769"/>
      <c r="AFJ104" s="769"/>
      <c r="AFK104" s="769"/>
      <c r="AFL104" s="769"/>
      <c r="AFM104" s="769"/>
      <c r="AFN104" s="769"/>
      <c r="AFO104" s="769"/>
      <c r="AFP104" s="769"/>
      <c r="AFQ104" s="769"/>
      <c r="AFR104" s="769"/>
      <c r="AFS104" s="769"/>
      <c r="AFT104" s="769"/>
      <c r="AFU104" s="769"/>
      <c r="AFV104" s="769"/>
      <c r="AFW104" s="769"/>
      <c r="AFX104" s="769"/>
      <c r="AFY104" s="769"/>
      <c r="AFZ104" s="769"/>
      <c r="AGA104" s="769"/>
      <c r="AGB104" s="769"/>
      <c r="AGC104" s="769"/>
      <c r="AGD104" s="769"/>
      <c r="AGE104" s="769"/>
      <c r="AGF104" s="769"/>
      <c r="AGG104" s="769"/>
      <c r="AGH104" s="769"/>
      <c r="AGI104" s="769"/>
      <c r="AGJ104" s="769"/>
      <c r="AGK104" s="769"/>
      <c r="AGL104" s="769"/>
      <c r="AGM104" s="769"/>
      <c r="AGN104" s="769"/>
      <c r="AGO104" s="769"/>
      <c r="AGP104" s="769"/>
      <c r="AGQ104" s="769"/>
      <c r="AGR104" s="769"/>
      <c r="AGS104" s="769"/>
      <c r="AGT104" s="769"/>
      <c r="AGU104" s="769"/>
      <c r="AGV104" s="769"/>
      <c r="AGW104" s="769"/>
      <c r="AGX104" s="769"/>
      <c r="AGY104" s="769"/>
      <c r="AGZ104" s="769"/>
      <c r="AHA104" s="769"/>
      <c r="AHB104" s="769"/>
      <c r="AHC104" s="769"/>
      <c r="AHD104" s="769"/>
      <c r="AHE104" s="769"/>
      <c r="AHF104" s="769"/>
      <c r="AHG104" s="769"/>
      <c r="AHH104" s="769"/>
      <c r="AHI104" s="769"/>
      <c r="AHJ104" s="769"/>
      <c r="AHK104" s="769"/>
      <c r="AHL104" s="769"/>
      <c r="AHM104" s="769"/>
      <c r="AHN104" s="769"/>
      <c r="AHO104" s="769"/>
      <c r="AHP104" s="769"/>
      <c r="AHQ104" s="769"/>
      <c r="AHR104" s="769"/>
      <c r="AHS104" s="769"/>
      <c r="AHT104" s="769"/>
      <c r="AHU104" s="769"/>
      <c r="AHV104" s="769"/>
      <c r="AHW104" s="769"/>
      <c r="AHX104" s="769"/>
      <c r="AHY104" s="769"/>
      <c r="AHZ104" s="769"/>
      <c r="AIA104" s="769"/>
      <c r="AIB104" s="769"/>
      <c r="AIC104" s="769"/>
      <c r="AID104" s="769"/>
      <c r="AIE104" s="769"/>
      <c r="AIF104" s="769"/>
      <c r="AIG104" s="769"/>
      <c r="AIH104" s="769"/>
      <c r="AII104" s="769"/>
      <c r="AIJ104" s="769"/>
      <c r="AIK104" s="769"/>
      <c r="AIL104" s="769"/>
      <c r="AIM104" s="769"/>
      <c r="AIN104" s="769"/>
      <c r="AIO104" s="769"/>
      <c r="AIP104" s="769"/>
      <c r="AIQ104" s="769"/>
      <c r="AIR104" s="769"/>
      <c r="AIS104" s="769"/>
      <c r="AIT104" s="769"/>
      <c r="AIU104" s="769"/>
      <c r="AIV104" s="769"/>
      <c r="AIW104" s="769"/>
      <c r="AIX104" s="769"/>
      <c r="AIY104" s="769"/>
      <c r="AIZ104" s="769"/>
      <c r="AJA104" s="769"/>
      <c r="AJB104" s="769"/>
      <c r="AJC104" s="769"/>
      <c r="AJD104" s="769"/>
      <c r="AJE104" s="769"/>
      <c r="AJF104" s="769"/>
      <c r="AJG104" s="769"/>
      <c r="AJH104" s="769"/>
      <c r="AJI104" s="769"/>
      <c r="AJJ104" s="769"/>
      <c r="AJK104" s="769"/>
      <c r="AJL104" s="769"/>
      <c r="AJM104" s="769"/>
      <c r="AJN104" s="769"/>
      <c r="AJO104" s="769"/>
      <c r="AJP104" s="769"/>
      <c r="AJQ104" s="769"/>
      <c r="AJR104" s="769"/>
      <c r="AJS104" s="769"/>
      <c r="AJT104" s="769"/>
      <c r="AJU104" s="769"/>
      <c r="AJV104" s="769"/>
      <c r="AJW104" s="769"/>
      <c r="AJX104" s="769"/>
      <c r="AJY104" s="769"/>
      <c r="AJZ104" s="769"/>
      <c r="AKA104" s="769"/>
      <c r="AKB104" s="769"/>
      <c r="AKC104" s="769"/>
      <c r="AKD104" s="769"/>
      <c r="AKE104" s="769"/>
      <c r="AKF104" s="769"/>
      <c r="AKG104" s="769"/>
      <c r="AKH104" s="769"/>
      <c r="AKI104" s="769"/>
      <c r="AKJ104" s="769"/>
      <c r="AKK104" s="769"/>
      <c r="AKL104" s="769"/>
      <c r="AKM104" s="769"/>
      <c r="AKN104" s="769"/>
      <c r="AKO104" s="769"/>
      <c r="AKP104" s="769"/>
      <c r="AKQ104" s="769"/>
      <c r="AKR104" s="769"/>
      <c r="AKS104" s="769"/>
      <c r="AKT104" s="769"/>
      <c r="AKU104" s="769"/>
      <c r="AKV104" s="769"/>
      <c r="AKW104" s="769"/>
      <c r="AKX104" s="769"/>
      <c r="AKY104" s="769"/>
      <c r="AKZ104" s="769"/>
      <c r="ALA104" s="769"/>
      <c r="ALB104" s="769"/>
      <c r="ALC104" s="769"/>
      <c r="ALD104" s="769"/>
      <c r="ALE104" s="769"/>
      <c r="ALF104" s="769"/>
      <c r="ALG104" s="769"/>
      <c r="ALH104" s="769"/>
      <c r="ALI104" s="769"/>
      <c r="ALJ104" s="769"/>
      <c r="ALK104" s="769"/>
      <c r="ALL104" s="769"/>
      <c r="ALM104" s="769"/>
      <c r="ALN104" s="769"/>
      <c r="ALO104" s="769"/>
      <c r="ALP104" s="769"/>
      <c r="ALQ104" s="769"/>
      <c r="ALR104" s="769"/>
      <c r="ALS104" s="769"/>
      <c r="ALT104" s="769"/>
      <c r="ALU104" s="769"/>
      <c r="ALV104" s="769"/>
      <c r="ALW104" s="769"/>
      <c r="ALX104" s="769"/>
      <c r="ALY104" s="769"/>
      <c r="ALZ104" s="769"/>
      <c r="AMA104" s="769"/>
      <c r="AMB104" s="769"/>
      <c r="AMC104" s="769"/>
      <c r="AMD104" s="769"/>
      <c r="AME104" s="769"/>
      <c r="AMF104" s="769"/>
      <c r="AMG104" s="769"/>
      <c r="AMH104" s="769"/>
      <c r="AMI104" s="769"/>
      <c r="AMJ104" s="769"/>
      <c r="AMK104" s="769"/>
      <c r="AML104" s="769"/>
      <c r="AMM104" s="769"/>
      <c r="AMN104" s="769"/>
      <c r="AMO104" s="769"/>
      <c r="AMP104" s="769"/>
      <c r="AMQ104" s="769"/>
      <c r="AMR104" s="769"/>
      <c r="AMS104" s="769"/>
      <c r="AMT104" s="769"/>
      <c r="AMU104" s="769"/>
      <c r="AMV104" s="769"/>
      <c r="AMW104" s="769"/>
      <c r="AMX104" s="769"/>
      <c r="AMY104" s="769"/>
      <c r="AMZ104" s="769"/>
      <c r="ANA104" s="769"/>
      <c r="ANB104" s="769"/>
      <c r="ANC104" s="769"/>
      <c r="AND104" s="769"/>
      <c r="ANE104" s="769"/>
      <c r="ANF104" s="769"/>
      <c r="ANG104" s="769"/>
      <c r="ANH104" s="769"/>
      <c r="ANI104" s="769"/>
      <c r="ANJ104" s="769"/>
      <c r="ANK104" s="769"/>
      <c r="ANL104" s="769"/>
      <c r="ANM104" s="769"/>
      <c r="ANN104" s="769"/>
      <c r="ANO104" s="769"/>
      <c r="ANP104" s="769"/>
      <c r="ANQ104" s="769"/>
      <c r="ANR104" s="769"/>
      <c r="ANS104" s="769"/>
      <c r="ANT104" s="769"/>
      <c r="ANU104" s="769"/>
      <c r="ANV104" s="769"/>
      <c r="ANW104" s="769"/>
      <c r="ANX104" s="769"/>
      <c r="ANY104" s="769"/>
      <c r="ANZ104" s="769"/>
      <c r="AOA104" s="769"/>
      <c r="AOB104" s="769"/>
      <c r="AOC104" s="769"/>
      <c r="AOD104" s="769"/>
      <c r="AOE104" s="769"/>
      <c r="AOF104" s="769"/>
      <c r="AOG104" s="769"/>
      <c r="AOH104" s="769"/>
      <c r="AOI104" s="769"/>
      <c r="AOJ104" s="769"/>
      <c r="AOK104" s="769"/>
      <c r="AOL104" s="769"/>
      <c r="AOM104" s="769"/>
      <c r="AON104" s="769"/>
      <c r="AOO104" s="769"/>
      <c r="AOP104" s="769"/>
      <c r="AOQ104" s="769"/>
      <c r="AOR104" s="769"/>
      <c r="AOS104" s="769"/>
      <c r="AOT104" s="769"/>
      <c r="AOU104" s="769"/>
      <c r="AOV104" s="769"/>
      <c r="AOW104" s="769"/>
      <c r="AOX104" s="769"/>
      <c r="AOY104" s="769"/>
      <c r="AOZ104" s="769"/>
      <c r="APA104" s="769"/>
      <c r="APB104" s="769"/>
      <c r="APC104" s="769"/>
      <c r="APD104" s="769"/>
      <c r="APE104" s="769"/>
      <c r="APF104" s="769"/>
      <c r="APG104" s="769"/>
      <c r="APH104" s="769"/>
      <c r="API104" s="769"/>
      <c r="APJ104" s="769"/>
      <c r="APK104" s="769"/>
      <c r="APL104" s="769"/>
      <c r="APM104" s="769"/>
      <c r="APN104" s="769"/>
      <c r="APO104" s="769"/>
      <c r="APP104" s="769"/>
      <c r="APQ104" s="769"/>
      <c r="APR104" s="769"/>
      <c r="APS104" s="769"/>
      <c r="APT104" s="769"/>
      <c r="APU104" s="769"/>
      <c r="APV104" s="769"/>
      <c r="APW104" s="769"/>
      <c r="APX104" s="769"/>
      <c r="APY104" s="769"/>
      <c r="APZ104" s="769"/>
      <c r="AQA104" s="769"/>
      <c r="AQB104" s="769"/>
      <c r="AQC104" s="769"/>
      <c r="AQD104" s="769"/>
      <c r="AQE104" s="769"/>
      <c r="AQF104" s="769"/>
      <c r="AQG104" s="769"/>
      <c r="AQH104" s="769"/>
      <c r="AQI104" s="769"/>
      <c r="AQJ104" s="769"/>
      <c r="AQK104" s="769"/>
      <c r="AQL104" s="769"/>
      <c r="AQM104" s="769"/>
      <c r="AQN104" s="769"/>
      <c r="AQO104" s="769"/>
      <c r="AQP104" s="769"/>
      <c r="AQQ104" s="769"/>
      <c r="AQR104" s="769"/>
      <c r="AQS104" s="769"/>
      <c r="AQT104" s="769"/>
      <c r="AQU104" s="769"/>
      <c r="AQV104" s="769"/>
      <c r="AQW104" s="769"/>
      <c r="AQX104" s="769"/>
      <c r="AQY104" s="769"/>
      <c r="AQZ104" s="769"/>
      <c r="ARA104" s="769"/>
      <c r="ARB104" s="769"/>
      <c r="ARC104" s="769"/>
      <c r="ARD104" s="769"/>
      <c r="ARE104" s="769"/>
      <c r="ARF104" s="769"/>
      <c r="ARG104" s="769"/>
      <c r="ARH104" s="769"/>
      <c r="ARI104" s="769"/>
      <c r="ARJ104" s="769"/>
      <c r="ARK104" s="769"/>
      <c r="ARL104" s="769"/>
      <c r="ARM104" s="769"/>
      <c r="ARN104" s="769"/>
      <c r="ARO104" s="769"/>
      <c r="ARP104" s="769"/>
      <c r="ARQ104" s="769"/>
      <c r="ARR104" s="769"/>
      <c r="ARS104" s="769"/>
      <c r="ART104" s="769"/>
      <c r="ARU104" s="769"/>
      <c r="ARV104" s="769"/>
      <c r="ARW104" s="769"/>
      <c r="ARX104" s="769"/>
      <c r="ARY104" s="769"/>
      <c r="ARZ104" s="769"/>
      <c r="ASA104" s="769"/>
      <c r="ASB104" s="769"/>
      <c r="ASC104" s="769"/>
      <c r="ASD104" s="769"/>
      <c r="ASE104" s="769"/>
      <c r="ASF104" s="769"/>
      <c r="ASG104" s="769"/>
      <c r="ASH104" s="769"/>
      <c r="ASI104" s="769"/>
      <c r="ASJ104" s="769"/>
      <c r="ASK104" s="769"/>
      <c r="ASL104" s="769"/>
      <c r="ASM104" s="769"/>
      <c r="ASN104" s="769"/>
      <c r="ASO104" s="769"/>
      <c r="ASP104" s="769"/>
      <c r="ASQ104" s="769"/>
      <c r="ASR104" s="769"/>
      <c r="ASS104" s="769"/>
      <c r="AST104" s="769"/>
      <c r="ASU104" s="769"/>
      <c r="ASV104" s="769"/>
      <c r="ASW104" s="769"/>
      <c r="ASX104" s="769"/>
      <c r="ASY104" s="769"/>
      <c r="ASZ104" s="769"/>
      <c r="ATA104" s="769"/>
      <c r="ATB104" s="769"/>
      <c r="ATC104" s="769"/>
      <c r="ATD104" s="769"/>
      <c r="ATE104" s="769"/>
      <c r="ATF104" s="769"/>
      <c r="ATG104" s="769"/>
      <c r="ATH104" s="769"/>
      <c r="ATI104" s="769"/>
      <c r="ATJ104" s="769"/>
      <c r="ATK104" s="769"/>
      <c r="ATL104" s="769"/>
      <c r="ATM104" s="769"/>
      <c r="ATN104" s="769"/>
      <c r="ATO104" s="769"/>
      <c r="ATP104" s="769"/>
      <c r="ATQ104" s="769"/>
      <c r="ATR104" s="769"/>
      <c r="ATS104" s="769"/>
      <c r="ATT104" s="769"/>
      <c r="ATU104" s="769"/>
      <c r="ATV104" s="769"/>
      <c r="ATW104" s="769"/>
      <c r="ATX104" s="769"/>
      <c r="ATY104" s="769"/>
      <c r="ATZ104" s="769"/>
      <c r="AUA104" s="769"/>
      <c r="AUB104" s="769"/>
      <c r="AUC104" s="769"/>
      <c r="AUD104" s="769"/>
      <c r="AUE104" s="769"/>
      <c r="AUF104" s="769"/>
      <c r="AUG104" s="769"/>
      <c r="AUH104" s="769"/>
      <c r="AUI104" s="769"/>
      <c r="AUJ104" s="769"/>
      <c r="AUK104" s="769"/>
      <c r="AUL104" s="769"/>
      <c r="AUM104" s="769"/>
      <c r="AUN104" s="769"/>
      <c r="AUO104" s="769"/>
      <c r="AUP104" s="769"/>
      <c r="AUQ104" s="769"/>
      <c r="AUR104" s="769"/>
      <c r="AUS104" s="769"/>
      <c r="AUT104" s="769"/>
      <c r="AUU104" s="769"/>
      <c r="AUV104" s="769"/>
      <c r="AUW104" s="769"/>
      <c r="AUX104" s="769"/>
      <c r="AUY104" s="769"/>
      <c r="AUZ104" s="769"/>
      <c r="AVA104" s="769"/>
      <c r="AVB104" s="769"/>
      <c r="AVC104" s="769"/>
      <c r="AVD104" s="769"/>
      <c r="AVE104" s="769"/>
      <c r="AVF104" s="769"/>
      <c r="AVG104" s="769"/>
      <c r="AVH104" s="769"/>
      <c r="AVI104" s="769"/>
      <c r="AVJ104" s="769"/>
      <c r="AVK104" s="769"/>
      <c r="AVL104" s="769"/>
      <c r="AVM104" s="769"/>
      <c r="AVN104" s="769"/>
      <c r="AVO104" s="769"/>
      <c r="AVP104" s="769"/>
      <c r="AVQ104" s="769"/>
      <c r="AVR104" s="769"/>
      <c r="AVS104" s="769"/>
      <c r="AVT104" s="769"/>
      <c r="AVU104" s="769"/>
      <c r="AVV104" s="769"/>
      <c r="AVW104" s="769"/>
      <c r="AVX104" s="769"/>
      <c r="AVY104" s="769"/>
      <c r="AVZ104" s="769"/>
      <c r="AWA104" s="769"/>
      <c r="AWB104" s="769"/>
      <c r="AWC104" s="769"/>
      <c r="AWD104" s="769"/>
      <c r="AWE104" s="769"/>
      <c r="AWF104" s="769"/>
      <c r="AWG104" s="769"/>
      <c r="AWH104" s="769"/>
      <c r="AWI104" s="769"/>
      <c r="AWJ104" s="769"/>
      <c r="AWK104" s="769"/>
      <c r="AWL104" s="769"/>
      <c r="AWM104" s="769"/>
      <c r="AWN104" s="769"/>
      <c r="AWO104" s="769"/>
      <c r="AWP104" s="769"/>
      <c r="AWQ104" s="769"/>
      <c r="AWR104" s="769"/>
      <c r="AWS104" s="769"/>
      <c r="AWT104" s="769"/>
      <c r="AWU104" s="769"/>
      <c r="AWV104" s="769"/>
      <c r="AWW104" s="769"/>
      <c r="AWX104" s="769"/>
      <c r="AWY104" s="769"/>
      <c r="AWZ104" s="769"/>
      <c r="AXA104" s="769"/>
      <c r="AXB104" s="769"/>
      <c r="AXC104" s="769"/>
      <c r="AXD104" s="769"/>
      <c r="AXE104" s="769"/>
      <c r="AXF104" s="769"/>
      <c r="AXG104" s="769"/>
      <c r="AXH104" s="769"/>
      <c r="AXI104" s="769"/>
      <c r="AXJ104" s="769"/>
      <c r="AXK104" s="769"/>
      <c r="AXL104" s="769"/>
      <c r="AXM104" s="769"/>
      <c r="AXN104" s="769"/>
      <c r="AXO104" s="769"/>
      <c r="AXP104" s="769"/>
      <c r="AXQ104" s="769"/>
      <c r="AXR104" s="769"/>
      <c r="AXS104" s="769"/>
      <c r="AXT104" s="769"/>
      <c r="AXU104" s="769"/>
      <c r="AXV104" s="769"/>
      <c r="AXW104" s="769"/>
      <c r="AXX104" s="769"/>
      <c r="AXY104" s="769"/>
      <c r="AXZ104" s="769"/>
      <c r="AYA104" s="769"/>
      <c r="AYB104" s="769"/>
      <c r="AYC104" s="769"/>
      <c r="AYD104" s="769"/>
      <c r="AYE104" s="769"/>
      <c r="AYF104" s="769"/>
      <c r="AYG104" s="769"/>
      <c r="AYH104" s="769"/>
      <c r="AYI104" s="769"/>
      <c r="AYJ104" s="769"/>
      <c r="AYK104" s="769"/>
      <c r="AYL104" s="769"/>
      <c r="AYM104" s="769"/>
      <c r="AYN104" s="769"/>
      <c r="AYO104" s="769"/>
      <c r="AYP104" s="769"/>
      <c r="AYQ104" s="769"/>
      <c r="AYR104" s="769"/>
      <c r="AYS104" s="769"/>
      <c r="AYT104" s="769"/>
      <c r="AYU104" s="769"/>
      <c r="AYV104" s="769"/>
      <c r="AYW104" s="769"/>
      <c r="AYX104" s="769"/>
      <c r="AYY104" s="769"/>
      <c r="AYZ104" s="769"/>
      <c r="AZA104" s="769"/>
      <c r="AZB104" s="769"/>
      <c r="AZC104" s="769"/>
      <c r="AZD104" s="769"/>
      <c r="AZE104" s="769"/>
      <c r="AZF104" s="769"/>
      <c r="AZG104" s="769"/>
      <c r="AZH104" s="769"/>
      <c r="AZI104" s="769"/>
      <c r="AZJ104" s="769"/>
      <c r="AZK104" s="769"/>
      <c r="AZL104" s="769"/>
      <c r="AZM104" s="769"/>
      <c r="AZN104" s="769"/>
      <c r="AZO104" s="769"/>
      <c r="AZP104" s="769"/>
      <c r="AZQ104" s="769"/>
      <c r="AZR104" s="769"/>
      <c r="AZS104" s="769"/>
      <c r="AZT104" s="769"/>
      <c r="AZU104" s="769"/>
      <c r="AZV104" s="769"/>
      <c r="AZW104" s="769"/>
      <c r="AZX104" s="769"/>
      <c r="AZY104" s="769"/>
      <c r="AZZ104" s="769"/>
      <c r="BAA104" s="769"/>
      <c r="BAB104" s="769"/>
      <c r="BAC104" s="769"/>
      <c r="BAD104" s="769"/>
      <c r="BAE104" s="769"/>
      <c r="BAF104" s="769"/>
      <c r="BAG104" s="769"/>
      <c r="BAH104" s="769"/>
      <c r="BAI104" s="769"/>
      <c r="BAJ104" s="769"/>
      <c r="BAK104" s="769"/>
      <c r="BAL104" s="769"/>
      <c r="BAM104" s="769"/>
      <c r="BAN104" s="769"/>
      <c r="BAO104" s="769"/>
      <c r="BAP104" s="769"/>
      <c r="BAQ104" s="769"/>
      <c r="BAR104" s="769"/>
      <c r="BAS104" s="769"/>
      <c r="BAT104" s="769"/>
      <c r="BAU104" s="769"/>
      <c r="BAV104" s="769"/>
      <c r="BAW104" s="769"/>
      <c r="BAX104" s="769"/>
      <c r="BAY104" s="769"/>
      <c r="BAZ104" s="769"/>
      <c r="BBA104" s="769"/>
      <c r="BBB104" s="769"/>
      <c r="BBC104" s="769"/>
      <c r="BBD104" s="769"/>
      <c r="BBE104" s="769"/>
      <c r="BBF104" s="769"/>
      <c r="BBG104" s="769"/>
      <c r="BBH104" s="769"/>
      <c r="BBI104" s="769"/>
      <c r="BBJ104" s="769"/>
      <c r="BBK104" s="769"/>
      <c r="BBL104" s="769"/>
      <c r="BBM104" s="769"/>
      <c r="BBN104" s="769"/>
      <c r="BBO104" s="769"/>
      <c r="BBP104" s="769"/>
      <c r="BBQ104" s="769"/>
      <c r="BBR104" s="769"/>
      <c r="BBS104" s="769"/>
      <c r="BBT104" s="769"/>
      <c r="BBU104" s="769"/>
      <c r="BBV104" s="769"/>
      <c r="BBW104" s="769"/>
      <c r="BBX104" s="769"/>
      <c r="BBY104" s="769"/>
      <c r="BBZ104" s="769"/>
      <c r="BCA104" s="769"/>
      <c r="BCB104" s="769"/>
      <c r="BCC104" s="769"/>
      <c r="BCD104" s="769"/>
      <c r="BCE104" s="769"/>
      <c r="BCF104" s="769"/>
      <c r="BCG104" s="769"/>
      <c r="BCH104" s="769"/>
      <c r="BCI104" s="769"/>
      <c r="BCJ104" s="769"/>
      <c r="BCK104" s="769"/>
      <c r="BCL104" s="769"/>
      <c r="BCM104" s="769"/>
      <c r="BCN104" s="769"/>
      <c r="BCO104" s="769"/>
      <c r="BCP104" s="769"/>
      <c r="BCQ104" s="769"/>
      <c r="BCR104" s="769"/>
      <c r="BCS104" s="769"/>
      <c r="BCT104" s="769"/>
      <c r="BCU104" s="769"/>
      <c r="BCV104" s="769"/>
      <c r="BCW104" s="769"/>
      <c r="BCX104" s="769"/>
      <c r="BCY104" s="769"/>
      <c r="BCZ104" s="769"/>
      <c r="BDA104" s="769"/>
      <c r="BDB104" s="769"/>
      <c r="BDC104" s="769"/>
      <c r="BDD104" s="769"/>
      <c r="BDE104" s="769"/>
      <c r="BDF104" s="769"/>
      <c r="BDG104" s="769"/>
      <c r="BDH104" s="769"/>
      <c r="BDI104" s="769"/>
      <c r="BDJ104" s="769"/>
      <c r="BDK104" s="769"/>
      <c r="BDL104" s="769"/>
      <c r="BDM104" s="769"/>
      <c r="BDN104" s="769"/>
      <c r="BDO104" s="769"/>
      <c r="BDP104" s="769"/>
      <c r="BDQ104" s="769"/>
      <c r="BDR104" s="769"/>
      <c r="BDS104" s="769"/>
      <c r="BDT104" s="769"/>
      <c r="BDU104" s="769"/>
      <c r="BDV104" s="769"/>
      <c r="BDW104" s="769"/>
      <c r="BDX104" s="769"/>
      <c r="BDY104" s="769"/>
      <c r="BDZ104" s="769"/>
      <c r="BEA104" s="769"/>
      <c r="BEB104" s="769"/>
      <c r="BEC104" s="769"/>
      <c r="BED104" s="769"/>
      <c r="BEE104" s="769"/>
      <c r="BEF104" s="769"/>
      <c r="BEG104" s="769"/>
      <c r="BEH104" s="769"/>
      <c r="BEI104" s="769"/>
      <c r="BEJ104" s="769"/>
      <c r="BEK104" s="769"/>
      <c r="BEL104" s="769"/>
      <c r="BEM104" s="769"/>
      <c r="BEN104" s="769"/>
      <c r="BEO104" s="769"/>
      <c r="BEP104" s="769"/>
      <c r="BEQ104" s="769"/>
      <c r="BER104" s="769"/>
      <c r="BES104" s="769"/>
      <c r="BET104" s="769"/>
      <c r="BEU104" s="769"/>
      <c r="BEV104" s="769"/>
      <c r="BEW104" s="769"/>
      <c r="BEX104" s="769"/>
      <c r="BEY104" s="769"/>
      <c r="BEZ104" s="769"/>
      <c r="BFA104" s="769"/>
      <c r="BFB104" s="769"/>
      <c r="BFC104" s="769"/>
      <c r="BFD104" s="769"/>
      <c r="BFE104" s="769"/>
      <c r="BFF104" s="769"/>
      <c r="BFG104" s="769"/>
      <c r="BFH104" s="769"/>
      <c r="BFI104" s="769"/>
      <c r="BFJ104" s="769"/>
      <c r="BFK104" s="769"/>
      <c r="BFL104" s="769"/>
      <c r="BFM104" s="769"/>
      <c r="BFN104" s="769"/>
      <c r="BFO104" s="769"/>
      <c r="BFP104" s="769"/>
      <c r="BFQ104" s="769"/>
      <c r="BFR104" s="769"/>
      <c r="BFS104" s="769"/>
      <c r="BFT104" s="769"/>
      <c r="BFU104" s="769"/>
      <c r="BFV104" s="769"/>
      <c r="BFW104" s="769"/>
      <c r="BFX104" s="769"/>
      <c r="BFY104" s="769"/>
      <c r="BFZ104" s="769"/>
      <c r="BGA104" s="769"/>
      <c r="BGB104" s="769"/>
      <c r="BGC104" s="769"/>
      <c r="BGD104" s="769"/>
      <c r="BGE104" s="769"/>
      <c r="BGF104" s="769"/>
      <c r="BGG104" s="769"/>
      <c r="BGH104" s="769"/>
      <c r="BGI104" s="769"/>
      <c r="BGJ104" s="769"/>
      <c r="BGK104" s="769"/>
      <c r="BGL104" s="769"/>
      <c r="BGM104" s="769"/>
      <c r="BGN104" s="769"/>
      <c r="BGO104" s="769"/>
      <c r="BGP104" s="769"/>
      <c r="BGQ104" s="769"/>
      <c r="BGR104" s="769"/>
      <c r="BGS104" s="769"/>
      <c r="BGT104" s="769"/>
      <c r="BGU104" s="769"/>
      <c r="BGV104" s="769"/>
      <c r="BGW104" s="769"/>
      <c r="BGX104" s="769"/>
      <c r="BGY104" s="769"/>
      <c r="BGZ104" s="769"/>
      <c r="BHA104" s="769"/>
      <c r="BHB104" s="769"/>
      <c r="BHC104" s="769"/>
      <c r="BHD104" s="769"/>
      <c r="BHE104" s="769"/>
      <c r="BHF104" s="769"/>
      <c r="BHG104" s="769"/>
      <c r="BHH104" s="769"/>
      <c r="BHI104" s="769"/>
      <c r="BHJ104" s="769"/>
      <c r="BHK104" s="769"/>
      <c r="BHL104" s="769"/>
      <c r="BHM104" s="769"/>
      <c r="BHN104" s="769"/>
      <c r="BHO104" s="769"/>
      <c r="BHP104" s="769"/>
      <c r="BHQ104" s="769"/>
      <c r="BHR104" s="769"/>
      <c r="BHS104" s="769"/>
      <c r="BHT104" s="769"/>
      <c r="BHU104" s="769"/>
      <c r="BHV104" s="769"/>
      <c r="BHW104" s="769"/>
      <c r="BHX104" s="769"/>
      <c r="BHY104" s="769"/>
      <c r="BHZ104" s="769"/>
      <c r="BIA104" s="769"/>
      <c r="BIB104" s="769"/>
      <c r="BIC104" s="769"/>
      <c r="BID104" s="769"/>
      <c r="BIE104" s="769"/>
      <c r="BIF104" s="769"/>
      <c r="BIG104" s="769"/>
      <c r="BIH104" s="769"/>
      <c r="BII104" s="769"/>
      <c r="BIJ104" s="769"/>
      <c r="BIK104" s="769"/>
      <c r="BIL104" s="769"/>
      <c r="BIM104" s="769"/>
      <c r="BIN104" s="769"/>
      <c r="BIO104" s="769"/>
      <c r="BIP104" s="769"/>
      <c r="BIQ104" s="769"/>
      <c r="BIR104" s="769"/>
      <c r="BIS104" s="769"/>
      <c r="BIT104" s="769"/>
      <c r="BIU104" s="769"/>
      <c r="BIV104" s="769"/>
      <c r="BIW104" s="769"/>
      <c r="BIX104" s="769"/>
      <c r="BIY104" s="769"/>
      <c r="BIZ104" s="769"/>
      <c r="BJA104" s="769"/>
      <c r="BJB104" s="769"/>
      <c r="BJC104" s="769"/>
      <c r="BJD104" s="769"/>
      <c r="BJE104" s="769"/>
      <c r="BJF104" s="769"/>
      <c r="BJG104" s="769"/>
      <c r="BJH104" s="769"/>
      <c r="BJI104" s="769"/>
      <c r="BJJ104" s="769"/>
      <c r="BJK104" s="769"/>
      <c r="BJL104" s="769"/>
      <c r="BJM104" s="769"/>
      <c r="BJN104" s="769"/>
      <c r="BJO104" s="769"/>
      <c r="BJP104" s="769"/>
      <c r="BJQ104" s="769"/>
      <c r="BJR104" s="769"/>
      <c r="BJS104" s="769"/>
      <c r="BJT104" s="769"/>
      <c r="BJU104" s="769"/>
      <c r="BJV104" s="769"/>
      <c r="BJW104" s="769"/>
      <c r="BJX104" s="769"/>
      <c r="BJY104" s="769"/>
      <c r="BJZ104" s="769"/>
      <c r="BKA104" s="769"/>
      <c r="BKB104" s="769"/>
      <c r="BKC104" s="769"/>
      <c r="BKD104" s="769"/>
      <c r="BKE104" s="769"/>
      <c r="BKF104" s="769"/>
      <c r="BKG104" s="769"/>
      <c r="BKH104" s="769"/>
      <c r="BKI104" s="769"/>
      <c r="BKJ104" s="769"/>
      <c r="BKK104" s="769"/>
      <c r="BKL104" s="769"/>
      <c r="BKM104" s="769"/>
      <c r="BKN104" s="769"/>
      <c r="BKO104" s="769"/>
      <c r="BKP104" s="769"/>
      <c r="BKQ104" s="769"/>
      <c r="BKR104" s="769"/>
      <c r="BKS104" s="769"/>
      <c r="BKT104" s="769"/>
      <c r="BKU104" s="769"/>
      <c r="BKV104" s="769"/>
      <c r="BKW104" s="769"/>
      <c r="BKX104" s="769"/>
      <c r="BKY104" s="769"/>
      <c r="BKZ104" s="769"/>
      <c r="BLA104" s="769"/>
      <c r="BLB104" s="769"/>
      <c r="BLC104" s="769"/>
      <c r="BLD104" s="769"/>
      <c r="BLE104" s="769"/>
      <c r="BLF104" s="769"/>
      <c r="BLG104" s="769"/>
      <c r="BLH104" s="769"/>
      <c r="BLI104" s="769"/>
      <c r="BLJ104" s="769"/>
      <c r="BLK104" s="769"/>
      <c r="BLL104" s="769"/>
      <c r="BLM104" s="769"/>
      <c r="BLN104" s="769"/>
      <c r="BLO104" s="769"/>
      <c r="BLP104" s="769"/>
      <c r="BLQ104" s="769"/>
      <c r="BLR104" s="769"/>
      <c r="BLS104" s="769"/>
      <c r="BLT104" s="769"/>
      <c r="BLU104" s="769"/>
      <c r="BLV104" s="769"/>
      <c r="BLW104" s="769"/>
      <c r="BLX104" s="769"/>
      <c r="BLY104" s="769"/>
      <c r="BLZ104" s="769"/>
      <c r="BMA104" s="769"/>
      <c r="BMB104" s="769"/>
      <c r="BMC104" s="769"/>
      <c r="BMD104" s="769"/>
      <c r="BME104" s="769"/>
      <c r="BMF104" s="769"/>
      <c r="BMG104" s="769"/>
      <c r="BMH104" s="769"/>
      <c r="BMI104" s="769"/>
      <c r="BMJ104" s="769"/>
      <c r="BMK104" s="769"/>
      <c r="BML104" s="769"/>
      <c r="BMM104" s="769"/>
      <c r="BMN104" s="769"/>
      <c r="BMO104" s="769"/>
      <c r="BMP104" s="769"/>
      <c r="BMQ104" s="769"/>
      <c r="BMR104" s="769"/>
      <c r="BMS104" s="769"/>
      <c r="BMT104" s="769"/>
      <c r="BMU104" s="769"/>
      <c r="BMV104" s="769"/>
      <c r="BMW104" s="769"/>
      <c r="BMX104" s="769"/>
      <c r="BMY104" s="769"/>
      <c r="BMZ104" s="769"/>
      <c r="BNA104" s="769"/>
      <c r="BNB104" s="769"/>
      <c r="BNC104" s="769"/>
      <c r="BND104" s="769"/>
      <c r="BNE104" s="769"/>
      <c r="BNF104" s="769"/>
      <c r="BNG104" s="769"/>
      <c r="BNH104" s="769"/>
      <c r="BNI104" s="769"/>
      <c r="BNJ104" s="769"/>
      <c r="BNK104" s="769"/>
      <c r="BNL104" s="769"/>
      <c r="BNM104" s="769"/>
      <c r="BNN104" s="769"/>
      <c r="BNO104" s="769"/>
      <c r="BNP104" s="769"/>
      <c r="BNQ104" s="769"/>
      <c r="BNR104" s="769"/>
      <c r="BNS104" s="769"/>
      <c r="BNT104" s="769"/>
      <c r="BNU104" s="769"/>
      <c r="BNV104" s="769"/>
      <c r="BNW104" s="769"/>
      <c r="BNX104" s="769"/>
      <c r="BNY104" s="769"/>
      <c r="BNZ104" s="769"/>
      <c r="BOA104" s="769"/>
      <c r="BOB104" s="769"/>
      <c r="BOC104" s="769"/>
      <c r="BOD104" s="769"/>
      <c r="BOE104" s="769"/>
      <c r="BOF104" s="769"/>
      <c r="BOG104" s="769"/>
      <c r="BOH104" s="769"/>
      <c r="BOI104" s="769"/>
      <c r="BOJ104" s="769"/>
      <c r="BOK104" s="769"/>
      <c r="BOL104" s="769"/>
      <c r="BOM104" s="769"/>
      <c r="BON104" s="769"/>
      <c r="BOO104" s="769"/>
      <c r="BOP104" s="769"/>
      <c r="BOQ104" s="769"/>
      <c r="BOR104" s="769"/>
      <c r="BOS104" s="769"/>
      <c r="BOT104" s="769"/>
      <c r="BOU104" s="769"/>
      <c r="BOV104" s="769"/>
      <c r="BOW104" s="769"/>
      <c r="BOX104" s="769"/>
      <c r="BOY104" s="769"/>
      <c r="BOZ104" s="769"/>
      <c r="BPA104" s="769"/>
      <c r="BPB104" s="769"/>
      <c r="BPC104" s="769"/>
      <c r="BPD104" s="769"/>
      <c r="BPE104" s="769"/>
      <c r="BPF104" s="769"/>
      <c r="BPG104" s="769"/>
      <c r="BPH104" s="769"/>
      <c r="BPI104" s="769"/>
      <c r="BPJ104" s="769"/>
      <c r="BPK104" s="769"/>
      <c r="BPL104" s="769"/>
      <c r="BPM104" s="769"/>
      <c r="BPN104" s="769"/>
      <c r="BPO104" s="769"/>
      <c r="BPP104" s="769"/>
      <c r="BPQ104" s="769"/>
      <c r="BPR104" s="769"/>
      <c r="BPS104" s="769"/>
      <c r="BPT104" s="769"/>
      <c r="BPU104" s="769"/>
      <c r="BPV104" s="769"/>
      <c r="BPW104" s="769"/>
      <c r="BPX104" s="769"/>
      <c r="BPY104" s="769"/>
      <c r="BPZ104" s="769"/>
      <c r="BQA104" s="769"/>
      <c r="BQB104" s="769"/>
      <c r="BQC104" s="769"/>
      <c r="BQD104" s="769"/>
      <c r="BQE104" s="769"/>
      <c r="BQF104" s="769"/>
      <c r="BQG104" s="769"/>
      <c r="BQH104" s="769"/>
      <c r="BQI104" s="769"/>
      <c r="BQJ104" s="769"/>
      <c r="BQK104" s="769"/>
      <c r="BQL104" s="769"/>
      <c r="BQM104" s="769"/>
      <c r="BQN104" s="769"/>
      <c r="BQO104" s="769"/>
      <c r="BQP104" s="769"/>
      <c r="BQQ104" s="769"/>
      <c r="BQR104" s="769"/>
      <c r="BQS104" s="769"/>
      <c r="BQT104" s="769"/>
      <c r="BQU104" s="769"/>
      <c r="BQV104" s="769"/>
      <c r="BQW104" s="769"/>
      <c r="BQX104" s="769"/>
      <c r="BQY104" s="769"/>
      <c r="BQZ104" s="769"/>
      <c r="BRA104" s="769"/>
      <c r="BRB104" s="769"/>
      <c r="BRC104" s="769"/>
      <c r="BRD104" s="769"/>
      <c r="BRE104" s="769"/>
      <c r="BRF104" s="769"/>
      <c r="BRG104" s="769"/>
      <c r="BRH104" s="769"/>
      <c r="BRI104" s="769"/>
      <c r="BRJ104" s="769"/>
      <c r="BRK104" s="769"/>
      <c r="BRL104" s="769"/>
      <c r="BRM104" s="769"/>
      <c r="BRN104" s="769"/>
      <c r="BRO104" s="769"/>
      <c r="BRP104" s="769"/>
      <c r="BRQ104" s="769"/>
      <c r="BRR104" s="769"/>
      <c r="BRS104" s="769"/>
      <c r="BRT104" s="769"/>
      <c r="BRU104" s="769"/>
      <c r="BRV104" s="769"/>
      <c r="BRW104" s="769"/>
      <c r="BRX104" s="769"/>
      <c r="BRY104" s="769"/>
      <c r="BRZ104" s="769"/>
      <c r="BSA104" s="769"/>
      <c r="BSB104" s="769"/>
      <c r="BSC104" s="769"/>
      <c r="BSD104" s="769"/>
      <c r="BSE104" s="769"/>
      <c r="BSF104" s="769"/>
      <c r="BSG104" s="769"/>
      <c r="BSH104" s="769"/>
      <c r="BSI104" s="769"/>
      <c r="BSJ104" s="769"/>
      <c r="BSK104" s="769"/>
      <c r="BSL104" s="769"/>
      <c r="BSM104" s="769"/>
      <c r="BSN104" s="769"/>
      <c r="BSO104" s="769"/>
      <c r="BSP104" s="769"/>
      <c r="BSQ104" s="769"/>
      <c r="BSR104" s="769"/>
      <c r="BSS104" s="769"/>
      <c r="BST104" s="769"/>
      <c r="BSU104" s="769"/>
      <c r="BSV104" s="769"/>
      <c r="BSW104" s="769"/>
      <c r="BSX104" s="769"/>
      <c r="BSY104" s="769"/>
      <c r="BSZ104" s="769"/>
      <c r="BTA104" s="769"/>
      <c r="BTB104" s="769"/>
      <c r="BTC104" s="769"/>
      <c r="BTD104" s="769"/>
      <c r="BTE104" s="769"/>
      <c r="BTF104" s="769"/>
      <c r="BTG104" s="769"/>
      <c r="BTH104" s="769"/>
      <c r="BTI104" s="769"/>
      <c r="BTJ104" s="769"/>
      <c r="BTK104" s="769"/>
      <c r="BTL104" s="769"/>
      <c r="BTM104" s="769"/>
      <c r="BTN104" s="769"/>
      <c r="BTO104" s="769"/>
      <c r="BTP104" s="769"/>
      <c r="BTQ104" s="769"/>
      <c r="BTR104" s="769"/>
      <c r="BTS104" s="769"/>
      <c r="BTT104" s="769"/>
      <c r="BTU104" s="769"/>
      <c r="BTV104" s="769"/>
      <c r="BTW104" s="769"/>
      <c r="BTX104" s="769"/>
      <c r="BTY104" s="769"/>
      <c r="BTZ104" s="769"/>
      <c r="BUA104" s="769"/>
      <c r="BUB104" s="769"/>
      <c r="BUC104" s="769"/>
      <c r="BUD104" s="769"/>
      <c r="BUE104" s="769"/>
      <c r="BUF104" s="769"/>
      <c r="BUG104" s="769"/>
      <c r="BUH104" s="769"/>
      <c r="BUI104" s="769"/>
      <c r="BUJ104" s="769"/>
      <c r="BUK104" s="769"/>
      <c r="BUL104" s="769"/>
      <c r="BUM104" s="769"/>
      <c r="BUN104" s="769"/>
      <c r="BUO104" s="769"/>
      <c r="BUP104" s="769"/>
      <c r="BUQ104" s="769"/>
      <c r="BUR104" s="769"/>
      <c r="BUS104" s="769"/>
      <c r="BUT104" s="769"/>
      <c r="BUU104" s="769"/>
      <c r="BUV104" s="769"/>
      <c r="BUW104" s="769"/>
      <c r="BUX104" s="769"/>
      <c r="BUY104" s="769"/>
      <c r="BUZ104" s="769"/>
      <c r="BVA104" s="769"/>
      <c r="BVB104" s="769"/>
      <c r="BVC104" s="769"/>
      <c r="BVD104" s="769"/>
      <c r="BVE104" s="769"/>
      <c r="BVF104" s="769"/>
      <c r="BVG104" s="769"/>
      <c r="BVH104" s="769"/>
      <c r="BVI104" s="769"/>
      <c r="BVJ104" s="769"/>
      <c r="BVK104" s="769"/>
      <c r="BVL104" s="769"/>
      <c r="BVM104" s="769"/>
      <c r="BVN104" s="769"/>
      <c r="BVO104" s="769"/>
      <c r="BVP104" s="769"/>
      <c r="BVQ104" s="769"/>
      <c r="BVR104" s="769"/>
      <c r="BVS104" s="769"/>
      <c r="BVT104" s="769"/>
      <c r="BVU104" s="769"/>
      <c r="BVV104" s="769"/>
      <c r="BVW104" s="769"/>
      <c r="BVX104" s="769"/>
      <c r="BVY104" s="769"/>
      <c r="BVZ104" s="769"/>
      <c r="BWA104" s="769"/>
      <c r="BWB104" s="769"/>
      <c r="BWC104" s="769"/>
      <c r="BWD104" s="769"/>
      <c r="BWE104" s="769"/>
      <c r="BWF104" s="769"/>
      <c r="BWG104" s="769"/>
      <c r="BWH104" s="769"/>
      <c r="BWI104" s="769"/>
      <c r="BWJ104" s="769"/>
      <c r="BWK104" s="769"/>
      <c r="BWL104" s="769"/>
      <c r="BWM104" s="769"/>
      <c r="BWN104" s="769"/>
      <c r="BWO104" s="769"/>
      <c r="BWP104" s="769"/>
      <c r="BWQ104" s="769"/>
      <c r="BWR104" s="769"/>
      <c r="BWS104" s="769"/>
      <c r="BWT104" s="769"/>
      <c r="BWU104" s="769"/>
      <c r="BWV104" s="769"/>
      <c r="BWW104" s="769"/>
      <c r="BWX104" s="769"/>
      <c r="BWY104" s="769"/>
      <c r="BWZ104" s="769"/>
      <c r="BXA104" s="769"/>
      <c r="BXB104" s="769"/>
      <c r="BXC104" s="769"/>
      <c r="BXD104" s="769"/>
      <c r="BXE104" s="769"/>
      <c r="BXF104" s="769"/>
      <c r="BXG104" s="769"/>
      <c r="BXH104" s="769"/>
      <c r="BXI104" s="769"/>
      <c r="BXJ104" s="769"/>
      <c r="BXK104" s="769"/>
      <c r="BXL104" s="769"/>
      <c r="BXM104" s="769"/>
      <c r="BXN104" s="769"/>
      <c r="BXO104" s="769"/>
      <c r="BXP104" s="769"/>
      <c r="BXQ104" s="769"/>
      <c r="BXR104" s="769"/>
      <c r="BXS104" s="769"/>
      <c r="BXT104" s="769"/>
      <c r="BXU104" s="769"/>
      <c r="BXV104" s="769"/>
      <c r="BXW104" s="769"/>
      <c r="BXX104" s="769"/>
      <c r="BXY104" s="769"/>
      <c r="BXZ104" s="769"/>
      <c r="BYA104" s="769"/>
      <c r="BYB104" s="769"/>
      <c r="BYC104" s="769"/>
      <c r="BYD104" s="769"/>
      <c r="BYE104" s="769"/>
      <c r="BYF104" s="769"/>
      <c r="BYG104" s="769"/>
      <c r="BYH104" s="769"/>
      <c r="BYI104" s="769"/>
      <c r="BYJ104" s="769"/>
      <c r="BYK104" s="769"/>
      <c r="BYL104" s="769"/>
      <c r="BYM104" s="769"/>
      <c r="BYN104" s="769"/>
      <c r="BYO104" s="769"/>
      <c r="BYP104" s="769"/>
      <c r="BYQ104" s="769"/>
      <c r="BYR104" s="769"/>
      <c r="BYS104" s="769"/>
      <c r="BYT104" s="769"/>
      <c r="BYU104" s="769"/>
      <c r="BYV104" s="769"/>
      <c r="BYW104" s="769"/>
      <c r="BYX104" s="769"/>
      <c r="BYY104" s="769"/>
      <c r="BYZ104" s="769"/>
      <c r="BZA104" s="769"/>
      <c r="BZB104" s="769"/>
      <c r="BZC104" s="769"/>
      <c r="BZD104" s="769"/>
      <c r="BZE104" s="769"/>
      <c r="BZF104" s="769"/>
      <c r="BZG104" s="769"/>
      <c r="BZH104" s="769"/>
      <c r="BZI104" s="769"/>
      <c r="BZJ104" s="769"/>
      <c r="BZK104" s="769"/>
      <c r="BZL104" s="769"/>
      <c r="BZM104" s="769"/>
      <c r="BZN104" s="769"/>
      <c r="BZO104" s="769"/>
      <c r="BZP104" s="769"/>
      <c r="BZQ104" s="769"/>
      <c r="BZR104" s="769"/>
      <c r="BZS104" s="769"/>
      <c r="BZT104" s="769"/>
      <c r="BZU104" s="769"/>
      <c r="BZV104" s="769"/>
      <c r="BZW104" s="769"/>
      <c r="BZX104" s="769"/>
      <c r="BZY104" s="769"/>
      <c r="BZZ104" s="769"/>
      <c r="CAA104" s="769"/>
      <c r="CAB104" s="769"/>
      <c r="CAC104" s="769"/>
      <c r="CAD104" s="769"/>
      <c r="CAE104" s="769"/>
      <c r="CAF104" s="769"/>
      <c r="CAG104" s="769"/>
      <c r="CAH104" s="769"/>
      <c r="CAI104" s="769"/>
      <c r="CAJ104" s="769"/>
      <c r="CAK104" s="769"/>
      <c r="CAL104" s="769"/>
      <c r="CAM104" s="769"/>
      <c r="CAN104" s="769"/>
      <c r="CAO104" s="769"/>
      <c r="CAP104" s="769"/>
      <c r="CAQ104" s="769"/>
      <c r="CAR104" s="769"/>
      <c r="CAS104" s="769"/>
      <c r="CAT104" s="769"/>
      <c r="CAU104" s="769"/>
      <c r="CAV104" s="769"/>
      <c r="CAW104" s="769"/>
      <c r="CAX104" s="769"/>
      <c r="CAY104" s="769"/>
      <c r="CAZ104" s="769"/>
      <c r="CBA104" s="769"/>
      <c r="CBB104" s="769"/>
      <c r="CBC104" s="769"/>
      <c r="CBD104" s="769"/>
      <c r="CBE104" s="769"/>
      <c r="CBF104" s="769"/>
      <c r="CBG104" s="769"/>
      <c r="CBH104" s="769"/>
      <c r="CBI104" s="769"/>
      <c r="CBJ104" s="769"/>
      <c r="CBK104" s="769"/>
      <c r="CBL104" s="769"/>
      <c r="CBM104" s="769"/>
      <c r="CBN104" s="769"/>
      <c r="CBO104" s="769"/>
      <c r="CBP104" s="769"/>
      <c r="CBQ104" s="769"/>
      <c r="CBR104" s="769"/>
      <c r="CBS104" s="769"/>
      <c r="CBT104" s="769"/>
      <c r="CBU104" s="769"/>
      <c r="CBV104" s="769"/>
      <c r="CBW104" s="769"/>
      <c r="CBX104" s="769"/>
      <c r="CBY104" s="769"/>
      <c r="CBZ104" s="769"/>
      <c r="CCA104" s="769"/>
      <c r="CCB104" s="769"/>
      <c r="CCC104" s="769"/>
      <c r="CCD104" s="769"/>
      <c r="CCE104" s="769"/>
      <c r="CCF104" s="769"/>
      <c r="CCG104" s="769"/>
      <c r="CCH104" s="769"/>
      <c r="CCI104" s="769"/>
      <c r="CCJ104" s="769"/>
      <c r="CCK104" s="769"/>
      <c r="CCL104" s="769"/>
      <c r="CCM104" s="769"/>
      <c r="CCN104" s="769"/>
      <c r="CCO104" s="769"/>
      <c r="CCP104" s="769"/>
      <c r="CCQ104" s="769"/>
      <c r="CCR104" s="769"/>
      <c r="CCS104" s="769"/>
      <c r="CCT104" s="769"/>
      <c r="CCU104" s="769"/>
      <c r="CCV104" s="769"/>
      <c r="CCW104" s="769"/>
      <c r="CCX104" s="769"/>
      <c r="CCY104" s="769"/>
      <c r="CCZ104" s="769"/>
      <c r="CDA104" s="769"/>
      <c r="CDB104" s="769"/>
      <c r="CDC104" s="769"/>
      <c r="CDD104" s="769"/>
      <c r="CDE104" s="769"/>
      <c r="CDF104" s="769"/>
      <c r="CDG104" s="769"/>
      <c r="CDH104" s="769"/>
      <c r="CDI104" s="769"/>
      <c r="CDJ104" s="769"/>
      <c r="CDK104" s="769"/>
      <c r="CDL104" s="769"/>
      <c r="CDM104" s="769"/>
      <c r="CDN104" s="769"/>
      <c r="CDO104" s="769"/>
      <c r="CDP104" s="769"/>
      <c r="CDQ104" s="769"/>
      <c r="CDR104" s="769"/>
      <c r="CDS104" s="769"/>
      <c r="CDT104" s="769"/>
      <c r="CDU104" s="769"/>
      <c r="CDV104" s="769"/>
      <c r="CDW104" s="769"/>
      <c r="CDX104" s="769"/>
      <c r="CDY104" s="769"/>
      <c r="CDZ104" s="769"/>
      <c r="CEA104" s="769"/>
      <c r="CEB104" s="769"/>
      <c r="CEC104" s="769"/>
      <c r="CED104" s="769"/>
      <c r="CEE104" s="769"/>
      <c r="CEF104" s="769"/>
      <c r="CEG104" s="769"/>
      <c r="CEH104" s="769"/>
      <c r="CEI104" s="769"/>
      <c r="CEJ104" s="769"/>
      <c r="CEK104" s="769"/>
      <c r="CEL104" s="769"/>
      <c r="CEM104" s="769"/>
      <c r="CEN104" s="769"/>
      <c r="CEO104" s="769"/>
      <c r="CEP104" s="769"/>
      <c r="CEQ104" s="769"/>
      <c r="CER104" s="769"/>
      <c r="CES104" s="769"/>
      <c r="CET104" s="769"/>
      <c r="CEU104" s="769"/>
      <c r="CEV104" s="769"/>
      <c r="CEW104" s="769"/>
      <c r="CEX104" s="769"/>
      <c r="CEY104" s="769"/>
      <c r="CEZ104" s="769"/>
      <c r="CFA104" s="769"/>
      <c r="CFB104" s="769"/>
      <c r="CFC104" s="769"/>
      <c r="CFD104" s="769"/>
      <c r="CFE104" s="769"/>
      <c r="CFF104" s="769"/>
      <c r="CFG104" s="769"/>
      <c r="CFH104" s="769"/>
      <c r="CFI104" s="769"/>
      <c r="CFJ104" s="769"/>
      <c r="CFK104" s="769"/>
      <c r="CFL104" s="769"/>
      <c r="CFM104" s="769"/>
      <c r="CFN104" s="769"/>
      <c r="CFO104" s="769"/>
      <c r="CFP104" s="769"/>
      <c r="CFQ104" s="769"/>
      <c r="CFR104" s="769"/>
      <c r="CFS104" s="769"/>
      <c r="CFT104" s="769"/>
      <c r="CFU104" s="769"/>
      <c r="CFV104" s="769"/>
      <c r="CFW104" s="769"/>
      <c r="CFX104" s="769"/>
      <c r="CFY104" s="769"/>
      <c r="CFZ104" s="769"/>
      <c r="CGA104" s="769"/>
      <c r="CGB104" s="769"/>
      <c r="CGC104" s="769"/>
      <c r="CGD104" s="769"/>
      <c r="CGE104" s="769"/>
      <c r="CGF104" s="769"/>
      <c r="CGG104" s="769"/>
      <c r="CGH104" s="769"/>
      <c r="CGI104" s="769"/>
      <c r="CGJ104" s="769"/>
      <c r="CGK104" s="769"/>
      <c r="CGL104" s="769"/>
      <c r="CGM104" s="769"/>
      <c r="CGN104" s="769"/>
      <c r="CGO104" s="769"/>
      <c r="CGP104" s="769"/>
      <c r="CGQ104" s="769"/>
      <c r="CGR104" s="769"/>
      <c r="CGS104" s="769"/>
      <c r="CGT104" s="769"/>
      <c r="CGU104" s="769"/>
      <c r="CGV104" s="769"/>
      <c r="CGW104" s="769"/>
      <c r="CGX104" s="769"/>
      <c r="CGY104" s="769"/>
      <c r="CGZ104" s="769"/>
      <c r="CHA104" s="769"/>
      <c r="CHB104" s="769"/>
      <c r="CHC104" s="769"/>
      <c r="CHD104" s="769"/>
      <c r="CHE104" s="769"/>
      <c r="CHF104" s="769"/>
      <c r="CHG104" s="769"/>
      <c r="CHH104" s="769"/>
      <c r="CHI104" s="769"/>
      <c r="CHJ104" s="769"/>
      <c r="CHK104" s="769"/>
      <c r="CHL104" s="769"/>
      <c r="CHM104" s="769"/>
      <c r="CHN104" s="769"/>
      <c r="CHO104" s="769"/>
      <c r="CHP104" s="769"/>
      <c r="CHQ104" s="769"/>
      <c r="CHR104" s="769"/>
      <c r="CHS104" s="769"/>
      <c r="CHT104" s="769"/>
      <c r="CHU104" s="769"/>
      <c r="CHV104" s="769"/>
      <c r="CHW104" s="769"/>
      <c r="CHX104" s="769"/>
      <c r="CHY104" s="769"/>
      <c r="CHZ104" s="769"/>
      <c r="CIA104" s="769"/>
      <c r="CIB104" s="769"/>
      <c r="CIC104" s="769"/>
      <c r="CID104" s="769"/>
      <c r="CIE104" s="769"/>
      <c r="CIF104" s="769"/>
      <c r="CIG104" s="769"/>
      <c r="CIH104" s="769"/>
      <c r="CII104" s="769"/>
      <c r="CIJ104" s="769"/>
      <c r="CIK104" s="769"/>
      <c r="CIL104" s="769"/>
      <c r="CIM104" s="769"/>
      <c r="CIN104" s="769"/>
      <c r="CIO104" s="769"/>
      <c r="CIP104" s="769"/>
      <c r="CIQ104" s="769"/>
      <c r="CIR104" s="769"/>
      <c r="CIS104" s="769"/>
      <c r="CIT104" s="769"/>
      <c r="CIU104" s="769"/>
      <c r="CIV104" s="769"/>
      <c r="CIW104" s="769"/>
      <c r="CIX104" s="769"/>
      <c r="CIY104" s="769"/>
      <c r="CIZ104" s="769"/>
      <c r="CJA104" s="769"/>
      <c r="CJB104" s="769"/>
      <c r="CJC104" s="769"/>
      <c r="CJD104" s="769"/>
      <c r="CJE104" s="769"/>
      <c r="CJF104" s="769"/>
      <c r="CJG104" s="769"/>
      <c r="CJH104" s="769"/>
      <c r="CJI104" s="769"/>
      <c r="CJJ104" s="769"/>
      <c r="CJK104" s="769"/>
      <c r="CJL104" s="769"/>
      <c r="CJM104" s="769"/>
      <c r="CJN104" s="769"/>
      <c r="CJO104" s="769"/>
      <c r="CJP104" s="769"/>
      <c r="CJQ104" s="769"/>
      <c r="CJR104" s="769"/>
      <c r="CJS104" s="769"/>
      <c r="CJT104" s="769"/>
      <c r="CJU104" s="769"/>
      <c r="CJV104" s="769"/>
      <c r="CJW104" s="769"/>
      <c r="CJX104" s="769"/>
      <c r="CJY104" s="769"/>
      <c r="CJZ104" s="769"/>
      <c r="CKA104" s="769"/>
      <c r="CKB104" s="769"/>
      <c r="CKC104" s="769"/>
      <c r="CKD104" s="769"/>
      <c r="CKE104" s="769"/>
      <c r="CKF104" s="769"/>
      <c r="CKG104" s="769"/>
      <c r="CKH104" s="769"/>
      <c r="CKI104" s="769"/>
      <c r="CKJ104" s="769"/>
      <c r="CKK104" s="769"/>
      <c r="CKL104" s="769"/>
      <c r="CKM104" s="769"/>
      <c r="CKN104" s="769"/>
      <c r="CKO104" s="769"/>
      <c r="CKP104" s="769"/>
      <c r="CKQ104" s="769"/>
      <c r="CKR104" s="769"/>
      <c r="CKS104" s="769"/>
      <c r="CKT104" s="769"/>
      <c r="CKU104" s="769"/>
      <c r="CKV104" s="769"/>
      <c r="CKW104" s="769"/>
      <c r="CKX104" s="769"/>
      <c r="CKY104" s="769"/>
      <c r="CKZ104" s="769"/>
      <c r="CLA104" s="769"/>
      <c r="CLB104" s="769"/>
      <c r="CLC104" s="769"/>
      <c r="CLD104" s="769"/>
      <c r="CLE104" s="769"/>
      <c r="CLF104" s="769"/>
      <c r="CLG104" s="769"/>
      <c r="CLH104" s="769"/>
      <c r="CLI104" s="769"/>
      <c r="CLJ104" s="769"/>
      <c r="CLK104" s="769"/>
      <c r="CLL104" s="769"/>
      <c r="CLM104" s="769"/>
      <c r="CLN104" s="769"/>
      <c r="CLO104" s="769"/>
      <c r="CLP104" s="769"/>
      <c r="CLQ104" s="769"/>
      <c r="CLR104" s="769"/>
      <c r="CLS104" s="769"/>
      <c r="CLT104" s="769"/>
      <c r="CLU104" s="769"/>
      <c r="CLV104" s="769"/>
      <c r="CLW104" s="769"/>
      <c r="CLX104" s="769"/>
      <c r="CLY104" s="769"/>
      <c r="CLZ104" s="769"/>
      <c r="CMA104" s="769"/>
      <c r="CMB104" s="769"/>
      <c r="CMC104" s="769"/>
      <c r="CMD104" s="769"/>
      <c r="CME104" s="769"/>
      <c r="CMF104" s="769"/>
      <c r="CMG104" s="769"/>
      <c r="CMH104" s="769"/>
      <c r="CMI104" s="769"/>
      <c r="CMJ104" s="769"/>
      <c r="CMK104" s="769"/>
      <c r="CML104" s="769"/>
      <c r="CMM104" s="769"/>
      <c r="CMN104" s="769"/>
      <c r="CMO104" s="769"/>
      <c r="CMP104" s="769"/>
      <c r="CMQ104" s="769"/>
      <c r="CMR104" s="769"/>
      <c r="CMS104" s="769"/>
      <c r="CMT104" s="769"/>
      <c r="CMU104" s="769"/>
      <c r="CMV104" s="769"/>
      <c r="CMW104" s="769"/>
      <c r="CMX104" s="769"/>
      <c r="CMY104" s="769"/>
      <c r="CMZ104" s="769"/>
      <c r="CNA104" s="769"/>
      <c r="CNB104" s="769"/>
      <c r="CNC104" s="769"/>
      <c r="CND104" s="769"/>
      <c r="CNE104" s="769"/>
      <c r="CNF104" s="769"/>
      <c r="CNG104" s="769"/>
      <c r="CNH104" s="769"/>
      <c r="CNI104" s="769"/>
      <c r="CNJ104" s="769"/>
      <c r="CNK104" s="769"/>
      <c r="CNL104" s="769"/>
      <c r="CNM104" s="769"/>
      <c r="CNN104" s="769"/>
      <c r="CNO104" s="769"/>
      <c r="CNP104" s="769"/>
      <c r="CNQ104" s="769"/>
      <c r="CNR104" s="769"/>
      <c r="CNS104" s="769"/>
      <c r="CNT104" s="769"/>
      <c r="CNU104" s="769"/>
      <c r="CNV104" s="769"/>
      <c r="CNW104" s="769"/>
      <c r="CNX104" s="769"/>
      <c r="CNY104" s="769"/>
      <c r="CNZ104" s="769"/>
      <c r="COA104" s="769"/>
      <c r="COB104" s="769"/>
      <c r="COC104" s="769"/>
      <c r="COD104" s="769"/>
      <c r="COE104" s="769"/>
      <c r="COF104" s="769"/>
      <c r="COG104" s="769"/>
      <c r="COH104" s="769"/>
      <c r="COI104" s="769"/>
      <c r="COJ104" s="769"/>
      <c r="COK104" s="769"/>
      <c r="COL104" s="769"/>
      <c r="COM104" s="769"/>
      <c r="CON104" s="769"/>
      <c r="COO104" s="769"/>
      <c r="COP104" s="769"/>
      <c r="COQ104" s="769"/>
      <c r="COR104" s="769"/>
      <c r="COS104" s="769"/>
      <c r="COT104" s="769"/>
      <c r="COU104" s="769"/>
      <c r="COV104" s="769"/>
      <c r="COW104" s="769"/>
      <c r="COX104" s="769"/>
      <c r="COY104" s="769"/>
      <c r="COZ104" s="769"/>
      <c r="CPA104" s="769"/>
      <c r="CPB104" s="769"/>
      <c r="CPC104" s="769"/>
      <c r="CPD104" s="769"/>
      <c r="CPE104" s="769"/>
      <c r="CPF104" s="769"/>
      <c r="CPG104" s="769"/>
      <c r="CPH104" s="769"/>
      <c r="CPI104" s="769"/>
      <c r="CPJ104" s="769"/>
      <c r="CPK104" s="769"/>
      <c r="CPL104" s="769"/>
      <c r="CPM104" s="769"/>
      <c r="CPN104" s="769"/>
      <c r="CPO104" s="769"/>
      <c r="CPP104" s="769"/>
      <c r="CPQ104" s="769"/>
      <c r="CPR104" s="769"/>
      <c r="CPS104" s="769"/>
      <c r="CPT104" s="769"/>
      <c r="CPU104" s="769"/>
      <c r="CPV104" s="769"/>
      <c r="CPW104" s="769"/>
      <c r="CPX104" s="769"/>
      <c r="CPY104" s="769"/>
      <c r="CPZ104" s="769"/>
      <c r="CQA104" s="769"/>
      <c r="CQB104" s="769"/>
      <c r="CQC104" s="769"/>
      <c r="CQD104" s="769"/>
      <c r="CQE104" s="769"/>
      <c r="CQF104" s="769"/>
      <c r="CQG104" s="769"/>
      <c r="CQH104" s="769"/>
      <c r="CQI104" s="769"/>
      <c r="CQJ104" s="769"/>
      <c r="CQK104" s="769"/>
      <c r="CQL104" s="769"/>
      <c r="CQM104" s="769"/>
      <c r="CQN104" s="769"/>
      <c r="CQO104" s="769"/>
      <c r="CQP104" s="769"/>
      <c r="CQQ104" s="769"/>
      <c r="CQR104" s="769"/>
      <c r="CQS104" s="769"/>
      <c r="CQT104" s="769"/>
      <c r="CQU104" s="769"/>
      <c r="CQV104" s="769"/>
      <c r="CQW104" s="769"/>
      <c r="CQX104" s="769"/>
      <c r="CQY104" s="769"/>
      <c r="CQZ104" s="769"/>
      <c r="CRA104" s="769"/>
      <c r="CRB104" s="769"/>
      <c r="CRC104" s="769"/>
      <c r="CRD104" s="769"/>
      <c r="CRE104" s="769"/>
      <c r="CRF104" s="769"/>
      <c r="CRG104" s="769"/>
      <c r="CRH104" s="769"/>
      <c r="CRI104" s="769"/>
      <c r="CRJ104" s="769"/>
      <c r="CRK104" s="769"/>
      <c r="CRL104" s="769"/>
      <c r="CRM104" s="769"/>
      <c r="CRN104" s="769"/>
      <c r="CRO104" s="769"/>
      <c r="CRP104" s="769"/>
      <c r="CRQ104" s="769"/>
      <c r="CRR104" s="769"/>
      <c r="CRS104" s="769"/>
      <c r="CRT104" s="769"/>
      <c r="CRU104" s="769"/>
      <c r="CRV104" s="769"/>
      <c r="CRW104" s="769"/>
      <c r="CRX104" s="769"/>
      <c r="CRY104" s="769"/>
      <c r="CRZ104" s="769"/>
      <c r="CSA104" s="769"/>
      <c r="CSB104" s="769"/>
      <c r="CSC104" s="769"/>
      <c r="CSD104" s="769"/>
      <c r="CSE104" s="769"/>
      <c r="CSF104" s="769"/>
      <c r="CSG104" s="769"/>
      <c r="CSH104" s="769"/>
      <c r="CSI104" s="769"/>
      <c r="CSJ104" s="769"/>
      <c r="CSK104" s="769"/>
      <c r="CSL104" s="769"/>
      <c r="CSM104" s="769"/>
      <c r="CSN104" s="769"/>
      <c r="CSO104" s="769"/>
      <c r="CSP104" s="769"/>
      <c r="CSQ104" s="769"/>
      <c r="CSR104" s="769"/>
      <c r="CSS104" s="769"/>
      <c r="CST104" s="769"/>
      <c r="CSU104" s="769"/>
      <c r="CSV104" s="769"/>
      <c r="CSW104" s="769"/>
      <c r="CSX104" s="769"/>
      <c r="CSY104" s="769"/>
      <c r="CSZ104" s="769"/>
      <c r="CTA104" s="769"/>
      <c r="CTB104" s="769"/>
      <c r="CTC104" s="769"/>
      <c r="CTD104" s="769"/>
      <c r="CTE104" s="769"/>
      <c r="CTF104" s="769"/>
      <c r="CTG104" s="769"/>
      <c r="CTH104" s="769"/>
      <c r="CTI104" s="769"/>
      <c r="CTJ104" s="769"/>
      <c r="CTK104" s="769"/>
      <c r="CTL104" s="769"/>
      <c r="CTM104" s="769"/>
      <c r="CTN104" s="769"/>
      <c r="CTO104" s="769"/>
      <c r="CTP104" s="769"/>
      <c r="CTQ104" s="769"/>
      <c r="CTR104" s="769"/>
      <c r="CTS104" s="769"/>
      <c r="CTT104" s="769"/>
      <c r="CTU104" s="769"/>
      <c r="CTV104" s="769"/>
      <c r="CTW104" s="769"/>
      <c r="CTX104" s="769"/>
      <c r="CTY104" s="769"/>
      <c r="CTZ104" s="769"/>
      <c r="CUA104" s="769"/>
      <c r="CUB104" s="769"/>
      <c r="CUC104" s="769"/>
      <c r="CUD104" s="769"/>
      <c r="CUE104" s="769"/>
      <c r="CUF104" s="769"/>
      <c r="CUG104" s="769"/>
      <c r="CUH104" s="769"/>
      <c r="CUI104" s="769"/>
      <c r="CUJ104" s="769"/>
      <c r="CUK104" s="769"/>
      <c r="CUL104" s="769"/>
      <c r="CUM104" s="769"/>
      <c r="CUN104" s="769"/>
      <c r="CUO104" s="769"/>
      <c r="CUP104" s="769"/>
      <c r="CUQ104" s="769"/>
      <c r="CUR104" s="769"/>
      <c r="CUS104" s="769"/>
      <c r="CUT104" s="769"/>
      <c r="CUU104" s="769"/>
      <c r="CUV104" s="769"/>
      <c r="CUW104" s="769"/>
      <c r="CUX104" s="769"/>
      <c r="CUY104" s="769"/>
      <c r="CUZ104" s="769"/>
      <c r="CVA104" s="769"/>
      <c r="CVB104" s="769"/>
      <c r="CVC104" s="769"/>
      <c r="CVD104" s="769"/>
      <c r="CVE104" s="769"/>
      <c r="CVF104" s="769"/>
      <c r="CVG104" s="769"/>
      <c r="CVH104" s="769"/>
      <c r="CVI104" s="769"/>
      <c r="CVJ104" s="769"/>
      <c r="CVK104" s="769"/>
      <c r="CVL104" s="769"/>
      <c r="CVM104" s="769"/>
      <c r="CVN104" s="769"/>
      <c r="CVO104" s="769"/>
      <c r="CVP104" s="769"/>
      <c r="CVQ104" s="769"/>
      <c r="CVR104" s="769"/>
      <c r="CVS104" s="769"/>
      <c r="CVT104" s="769"/>
      <c r="CVU104" s="769"/>
      <c r="CVV104" s="769"/>
      <c r="CVW104" s="769"/>
      <c r="CVX104" s="769"/>
      <c r="CVY104" s="769"/>
      <c r="CVZ104" s="769"/>
      <c r="CWA104" s="769"/>
      <c r="CWB104" s="769"/>
      <c r="CWC104" s="769"/>
      <c r="CWD104" s="769"/>
      <c r="CWE104" s="769"/>
      <c r="CWF104" s="769"/>
      <c r="CWG104" s="769"/>
      <c r="CWH104" s="769"/>
      <c r="CWI104" s="769"/>
      <c r="CWJ104" s="769"/>
      <c r="CWK104" s="769"/>
      <c r="CWL104" s="769"/>
      <c r="CWM104" s="769"/>
      <c r="CWN104" s="769"/>
      <c r="CWO104" s="769"/>
      <c r="CWP104" s="769"/>
      <c r="CWQ104" s="769"/>
      <c r="CWR104" s="769"/>
      <c r="CWS104" s="769"/>
      <c r="CWT104" s="769"/>
      <c r="CWU104" s="769"/>
      <c r="CWV104" s="769"/>
      <c r="CWW104" s="769"/>
      <c r="CWX104" s="769"/>
      <c r="CWY104" s="769"/>
      <c r="CWZ104" s="769"/>
      <c r="CXA104" s="769"/>
      <c r="CXB104" s="769"/>
      <c r="CXC104" s="769"/>
      <c r="CXD104" s="769"/>
      <c r="CXE104" s="769"/>
      <c r="CXF104" s="769"/>
      <c r="CXG104" s="769"/>
      <c r="CXH104" s="769"/>
      <c r="CXI104" s="769"/>
      <c r="CXJ104" s="769"/>
      <c r="CXK104" s="769"/>
      <c r="CXL104" s="769"/>
      <c r="CXM104" s="769"/>
      <c r="CXN104" s="769"/>
      <c r="CXO104" s="769"/>
      <c r="CXP104" s="769"/>
      <c r="CXQ104" s="769"/>
      <c r="CXR104" s="769"/>
      <c r="CXS104" s="769"/>
      <c r="CXT104" s="769"/>
      <c r="CXU104" s="769"/>
      <c r="CXV104" s="769"/>
      <c r="CXW104" s="769"/>
      <c r="CXX104" s="769"/>
      <c r="CXY104" s="769"/>
      <c r="CXZ104" s="769"/>
      <c r="CYA104" s="769"/>
      <c r="CYB104" s="769"/>
      <c r="CYC104" s="769"/>
      <c r="CYD104" s="769"/>
      <c r="CYE104" s="769"/>
      <c r="CYF104" s="769"/>
      <c r="CYG104" s="769"/>
      <c r="CYH104" s="769"/>
      <c r="CYI104" s="769"/>
      <c r="CYJ104" s="769"/>
      <c r="CYK104" s="769"/>
      <c r="CYL104" s="769"/>
      <c r="CYM104" s="769"/>
      <c r="CYN104" s="769"/>
      <c r="CYO104" s="769"/>
      <c r="CYP104" s="769"/>
      <c r="CYQ104" s="769"/>
      <c r="CYR104" s="769"/>
      <c r="CYS104" s="769"/>
      <c r="CYT104" s="769"/>
      <c r="CYU104" s="769"/>
      <c r="CYV104" s="769"/>
      <c r="CYW104" s="769"/>
      <c r="CYX104" s="769"/>
      <c r="CYY104" s="769"/>
      <c r="CYZ104" s="769"/>
      <c r="CZA104" s="769"/>
      <c r="CZB104" s="769"/>
      <c r="CZC104" s="769"/>
      <c r="CZD104" s="769"/>
      <c r="CZE104" s="769"/>
      <c r="CZF104" s="769"/>
      <c r="CZG104" s="769"/>
      <c r="CZH104" s="769"/>
      <c r="CZI104" s="769"/>
      <c r="CZJ104" s="769"/>
      <c r="CZK104" s="769"/>
      <c r="CZL104" s="769"/>
      <c r="CZM104" s="769"/>
      <c r="CZN104" s="769"/>
      <c r="CZO104" s="769"/>
      <c r="CZP104" s="769"/>
      <c r="CZQ104" s="769"/>
      <c r="CZR104" s="769"/>
      <c r="CZS104" s="769"/>
      <c r="CZT104" s="769"/>
      <c r="CZU104" s="769"/>
      <c r="CZV104" s="769"/>
      <c r="CZW104" s="769"/>
      <c r="CZX104" s="769"/>
      <c r="CZY104" s="769"/>
      <c r="CZZ104" s="769"/>
      <c r="DAA104" s="769"/>
      <c r="DAB104" s="769"/>
      <c r="DAC104" s="769"/>
      <c r="DAD104" s="769"/>
      <c r="DAE104" s="769"/>
      <c r="DAF104" s="769"/>
      <c r="DAG104" s="769"/>
      <c r="DAH104" s="769"/>
      <c r="DAI104" s="769"/>
      <c r="DAJ104" s="769"/>
      <c r="DAK104" s="769"/>
      <c r="DAL104" s="769"/>
      <c r="DAM104" s="769"/>
      <c r="DAN104" s="769"/>
      <c r="DAO104" s="769"/>
      <c r="DAP104" s="769"/>
      <c r="DAQ104" s="769"/>
      <c r="DAR104" s="769"/>
      <c r="DAS104" s="769"/>
      <c r="DAT104" s="769"/>
      <c r="DAU104" s="769"/>
      <c r="DAV104" s="769"/>
      <c r="DAW104" s="769"/>
      <c r="DAX104" s="769"/>
      <c r="DAY104" s="769"/>
      <c r="DAZ104" s="769"/>
      <c r="DBA104" s="769"/>
      <c r="DBB104" s="769"/>
      <c r="DBC104" s="769"/>
      <c r="DBD104" s="769"/>
      <c r="DBE104" s="769"/>
      <c r="DBF104" s="769"/>
      <c r="DBG104" s="769"/>
      <c r="DBH104" s="769"/>
      <c r="DBI104" s="769"/>
      <c r="DBJ104" s="769"/>
      <c r="DBK104" s="769"/>
      <c r="DBL104" s="769"/>
      <c r="DBM104" s="769"/>
      <c r="DBN104" s="769"/>
      <c r="DBO104" s="769"/>
      <c r="DBP104" s="769"/>
      <c r="DBQ104" s="769"/>
      <c r="DBR104" s="769"/>
      <c r="DBS104" s="769"/>
      <c r="DBT104" s="769"/>
      <c r="DBU104" s="769"/>
      <c r="DBV104" s="769"/>
      <c r="DBW104" s="769"/>
      <c r="DBX104" s="769"/>
      <c r="DBY104" s="769"/>
      <c r="DBZ104" s="769"/>
      <c r="DCA104" s="769"/>
      <c r="DCB104" s="769"/>
      <c r="DCC104" s="769"/>
      <c r="DCD104" s="769"/>
      <c r="DCE104" s="769"/>
      <c r="DCF104" s="769"/>
      <c r="DCG104" s="769"/>
      <c r="DCH104" s="769"/>
      <c r="DCI104" s="769"/>
      <c r="DCJ104" s="769"/>
      <c r="DCK104" s="769"/>
      <c r="DCL104" s="769"/>
      <c r="DCM104" s="769"/>
      <c r="DCN104" s="769"/>
      <c r="DCO104" s="769"/>
      <c r="DCP104" s="769"/>
      <c r="DCQ104" s="769"/>
      <c r="DCR104" s="769"/>
      <c r="DCS104" s="769"/>
      <c r="DCT104" s="769"/>
      <c r="DCU104" s="769"/>
      <c r="DCV104" s="769"/>
      <c r="DCW104" s="769"/>
      <c r="DCX104" s="769"/>
      <c r="DCY104" s="769"/>
      <c r="DCZ104" s="769"/>
      <c r="DDA104" s="769"/>
      <c r="DDB104" s="769"/>
      <c r="DDC104" s="769"/>
      <c r="DDD104" s="769"/>
      <c r="DDE104" s="769"/>
      <c r="DDF104" s="769"/>
      <c r="DDG104" s="769"/>
      <c r="DDH104" s="769"/>
      <c r="DDI104" s="769"/>
      <c r="DDJ104" s="769"/>
      <c r="DDK104" s="769"/>
      <c r="DDL104" s="769"/>
      <c r="DDM104" s="769"/>
      <c r="DDN104" s="769"/>
      <c r="DDO104" s="769"/>
      <c r="DDP104" s="769"/>
      <c r="DDQ104" s="769"/>
      <c r="DDR104" s="769"/>
      <c r="DDS104" s="769"/>
      <c r="DDT104" s="769"/>
      <c r="DDU104" s="769"/>
      <c r="DDV104" s="769"/>
      <c r="DDW104" s="769"/>
      <c r="DDX104" s="769"/>
      <c r="DDY104" s="769"/>
      <c r="DDZ104" s="769"/>
      <c r="DEA104" s="769"/>
      <c r="DEB104" s="769"/>
      <c r="DEC104" s="769"/>
      <c r="DED104" s="769"/>
      <c r="DEE104" s="769"/>
      <c r="DEF104" s="769"/>
      <c r="DEG104" s="769"/>
      <c r="DEH104" s="769"/>
      <c r="DEI104" s="769"/>
      <c r="DEJ104" s="769"/>
      <c r="DEK104" s="769"/>
      <c r="DEL104" s="769"/>
      <c r="DEM104" s="769"/>
      <c r="DEN104" s="769"/>
      <c r="DEO104" s="769"/>
      <c r="DEP104" s="769"/>
      <c r="DEQ104" s="769"/>
      <c r="DER104" s="769"/>
      <c r="DES104" s="769"/>
      <c r="DET104" s="769"/>
      <c r="DEU104" s="769"/>
      <c r="DEV104" s="769"/>
      <c r="DEW104" s="769"/>
      <c r="DEX104" s="769"/>
      <c r="DEY104" s="769"/>
      <c r="DEZ104" s="769"/>
      <c r="DFA104" s="769"/>
      <c r="DFB104" s="769"/>
      <c r="DFC104" s="769"/>
      <c r="DFD104" s="769"/>
      <c r="DFE104" s="769"/>
      <c r="DFF104" s="769"/>
      <c r="DFG104" s="769"/>
      <c r="DFH104" s="769"/>
      <c r="DFI104" s="769"/>
      <c r="DFJ104" s="769"/>
      <c r="DFK104" s="769"/>
      <c r="DFL104" s="769"/>
      <c r="DFM104" s="769"/>
      <c r="DFN104" s="769"/>
      <c r="DFO104" s="769"/>
      <c r="DFP104" s="769"/>
      <c r="DFQ104" s="769"/>
      <c r="DFR104" s="769"/>
      <c r="DFS104" s="769"/>
      <c r="DFT104" s="769"/>
      <c r="DFU104" s="769"/>
      <c r="DFV104" s="769"/>
      <c r="DFW104" s="769"/>
      <c r="DFX104" s="769"/>
      <c r="DFY104" s="769"/>
      <c r="DFZ104" s="769"/>
      <c r="DGA104" s="769"/>
      <c r="DGB104" s="769"/>
      <c r="DGC104" s="769"/>
      <c r="DGD104" s="769"/>
      <c r="DGE104" s="769"/>
      <c r="DGF104" s="769"/>
      <c r="DGG104" s="769"/>
      <c r="DGH104" s="769"/>
      <c r="DGI104" s="769"/>
      <c r="DGJ104" s="769"/>
      <c r="DGK104" s="769"/>
      <c r="DGL104" s="769"/>
      <c r="DGM104" s="769"/>
      <c r="DGN104" s="769"/>
      <c r="DGO104" s="769"/>
      <c r="DGP104" s="769"/>
      <c r="DGQ104" s="769"/>
      <c r="DGR104" s="769"/>
      <c r="DGS104" s="769"/>
      <c r="DGT104" s="769"/>
      <c r="DGU104" s="769"/>
      <c r="DGV104" s="769"/>
      <c r="DGW104" s="769"/>
      <c r="DGX104" s="769"/>
      <c r="DGY104" s="769"/>
      <c r="DGZ104" s="769"/>
      <c r="DHA104" s="769"/>
      <c r="DHB104" s="769"/>
      <c r="DHC104" s="769"/>
      <c r="DHD104" s="769"/>
      <c r="DHE104" s="769"/>
      <c r="DHF104" s="769"/>
      <c r="DHG104" s="769"/>
      <c r="DHH104" s="769"/>
      <c r="DHI104" s="769"/>
      <c r="DHJ104" s="769"/>
      <c r="DHK104" s="769"/>
      <c r="DHL104" s="769"/>
      <c r="DHM104" s="769"/>
      <c r="DHN104" s="769"/>
      <c r="DHO104" s="769"/>
      <c r="DHP104" s="769"/>
      <c r="DHQ104" s="769"/>
      <c r="DHR104" s="769"/>
      <c r="DHS104" s="769"/>
      <c r="DHT104" s="769"/>
      <c r="DHU104" s="769"/>
      <c r="DHV104" s="769"/>
      <c r="DHW104" s="769"/>
      <c r="DHX104" s="769"/>
      <c r="DHY104" s="769"/>
      <c r="DHZ104" s="769"/>
      <c r="DIA104" s="769"/>
      <c r="DIB104" s="769"/>
      <c r="DIC104" s="769"/>
      <c r="DID104" s="769"/>
      <c r="DIE104" s="769"/>
      <c r="DIF104" s="769"/>
      <c r="DIG104" s="769"/>
      <c r="DIH104" s="769"/>
      <c r="DII104" s="769"/>
      <c r="DIJ104" s="769"/>
      <c r="DIK104" s="769"/>
      <c r="DIL104" s="769"/>
      <c r="DIM104" s="769"/>
      <c r="DIN104" s="769"/>
      <c r="DIO104" s="769"/>
      <c r="DIP104" s="769"/>
      <c r="DIQ104" s="769"/>
      <c r="DIR104" s="769"/>
      <c r="DIS104" s="769"/>
      <c r="DIT104" s="769"/>
      <c r="DIU104" s="769"/>
      <c r="DIV104" s="769"/>
      <c r="DIW104" s="769"/>
      <c r="DIX104" s="769"/>
      <c r="DIY104" s="769"/>
      <c r="DIZ104" s="769"/>
      <c r="DJA104" s="769"/>
      <c r="DJB104" s="769"/>
      <c r="DJC104" s="769"/>
      <c r="DJD104" s="769"/>
      <c r="DJE104" s="769"/>
      <c r="DJF104" s="769"/>
      <c r="DJG104" s="769"/>
      <c r="DJH104" s="769"/>
      <c r="DJI104" s="769"/>
      <c r="DJJ104" s="769"/>
      <c r="DJK104" s="769"/>
      <c r="DJL104" s="769"/>
      <c r="DJM104" s="769"/>
      <c r="DJN104" s="769"/>
      <c r="DJO104" s="769"/>
      <c r="DJP104" s="769"/>
      <c r="DJQ104" s="769"/>
      <c r="DJR104" s="769"/>
      <c r="DJS104" s="769"/>
      <c r="DJT104" s="769"/>
      <c r="DJU104" s="769"/>
      <c r="DJV104" s="769"/>
      <c r="DJW104" s="769"/>
      <c r="DJX104" s="769"/>
      <c r="DJY104" s="769"/>
      <c r="DJZ104" s="769"/>
      <c r="DKA104" s="769"/>
      <c r="DKB104" s="769"/>
      <c r="DKC104" s="769"/>
      <c r="DKD104" s="769"/>
      <c r="DKE104" s="769"/>
      <c r="DKF104" s="769"/>
      <c r="DKG104" s="769"/>
      <c r="DKH104" s="769"/>
      <c r="DKI104" s="769"/>
      <c r="DKJ104" s="769"/>
      <c r="DKK104" s="769"/>
      <c r="DKL104" s="769"/>
      <c r="DKM104" s="769"/>
      <c r="DKN104" s="769"/>
      <c r="DKO104" s="769"/>
      <c r="DKP104" s="769"/>
      <c r="DKQ104" s="769"/>
      <c r="DKR104" s="769"/>
      <c r="DKS104" s="769"/>
      <c r="DKT104" s="769"/>
      <c r="DKU104" s="769"/>
      <c r="DKV104" s="769"/>
      <c r="DKW104" s="769"/>
      <c r="DKX104" s="769"/>
      <c r="DKY104" s="769"/>
      <c r="DKZ104" s="769"/>
      <c r="DLA104" s="769"/>
      <c r="DLB104" s="769"/>
      <c r="DLC104" s="769"/>
      <c r="DLD104" s="769"/>
      <c r="DLE104" s="769"/>
      <c r="DLF104" s="769"/>
      <c r="DLG104" s="769"/>
      <c r="DLH104" s="769"/>
      <c r="DLI104" s="769"/>
      <c r="DLJ104" s="769"/>
      <c r="DLK104" s="769"/>
      <c r="DLL104" s="769"/>
      <c r="DLM104" s="769"/>
      <c r="DLN104" s="769"/>
      <c r="DLO104" s="769"/>
      <c r="DLP104" s="769"/>
      <c r="DLQ104" s="769"/>
      <c r="DLR104" s="769"/>
      <c r="DLS104" s="769"/>
      <c r="DLT104" s="769"/>
      <c r="DLU104" s="769"/>
      <c r="DLV104" s="769"/>
      <c r="DLW104" s="769"/>
      <c r="DLX104" s="769"/>
      <c r="DLY104" s="769"/>
      <c r="DLZ104" s="769"/>
      <c r="DMA104" s="769"/>
      <c r="DMB104" s="769"/>
      <c r="DMC104" s="769"/>
      <c r="DMD104" s="769"/>
      <c r="DME104" s="769"/>
      <c r="DMF104" s="769"/>
      <c r="DMG104" s="769"/>
      <c r="DMH104" s="769"/>
      <c r="DMI104" s="769"/>
      <c r="DMJ104" s="769"/>
      <c r="DMK104" s="769"/>
      <c r="DML104" s="769"/>
      <c r="DMM104" s="769"/>
      <c r="DMN104" s="769"/>
      <c r="DMO104" s="769"/>
      <c r="DMP104" s="769"/>
      <c r="DMQ104" s="769"/>
      <c r="DMR104" s="769"/>
      <c r="DMS104" s="769"/>
      <c r="DMT104" s="769"/>
      <c r="DMU104" s="769"/>
      <c r="DMV104" s="769"/>
      <c r="DMW104" s="769"/>
      <c r="DMX104" s="769"/>
      <c r="DMY104" s="769"/>
      <c r="DMZ104" s="769"/>
      <c r="DNA104" s="769"/>
      <c r="DNB104" s="769"/>
      <c r="DNC104" s="769"/>
      <c r="DND104" s="769"/>
      <c r="DNE104" s="769"/>
      <c r="DNF104" s="769"/>
      <c r="DNG104" s="769"/>
      <c r="DNH104" s="769"/>
      <c r="DNI104" s="769"/>
      <c r="DNJ104" s="769"/>
      <c r="DNK104" s="769"/>
      <c r="DNL104" s="769"/>
      <c r="DNM104" s="769"/>
      <c r="DNN104" s="769"/>
      <c r="DNO104" s="769"/>
      <c r="DNP104" s="769"/>
      <c r="DNQ104" s="769"/>
      <c r="DNR104" s="769"/>
      <c r="DNS104" s="769"/>
      <c r="DNT104" s="769"/>
      <c r="DNU104" s="769"/>
      <c r="DNV104" s="769"/>
      <c r="DNW104" s="769"/>
      <c r="DNX104" s="769"/>
      <c r="DNY104" s="769"/>
      <c r="DNZ104" s="769"/>
      <c r="DOA104" s="769"/>
      <c r="DOB104" s="769"/>
      <c r="DOC104" s="769"/>
      <c r="DOD104" s="769"/>
      <c r="DOE104" s="769"/>
      <c r="DOF104" s="769"/>
      <c r="DOG104" s="769"/>
      <c r="DOH104" s="769"/>
      <c r="DOI104" s="769"/>
      <c r="DOJ104" s="769"/>
      <c r="DOK104" s="769"/>
      <c r="DOL104" s="769"/>
      <c r="DOM104" s="769"/>
      <c r="DON104" s="769"/>
      <c r="DOO104" s="769"/>
      <c r="DOP104" s="769"/>
      <c r="DOQ104" s="769"/>
      <c r="DOR104" s="769"/>
      <c r="DOS104" s="769"/>
      <c r="DOT104" s="769"/>
      <c r="DOU104" s="769"/>
      <c r="DOV104" s="769"/>
      <c r="DOW104" s="769"/>
      <c r="DOX104" s="769"/>
      <c r="DOY104" s="769"/>
      <c r="DOZ104" s="769"/>
      <c r="DPA104" s="769"/>
      <c r="DPB104" s="769"/>
      <c r="DPC104" s="769"/>
      <c r="DPD104" s="769"/>
      <c r="DPE104" s="769"/>
      <c r="DPF104" s="769"/>
      <c r="DPG104" s="769"/>
      <c r="DPH104" s="769"/>
      <c r="DPI104" s="769"/>
      <c r="DPJ104" s="769"/>
      <c r="DPK104" s="769"/>
      <c r="DPL104" s="769"/>
      <c r="DPM104" s="769"/>
      <c r="DPN104" s="769"/>
      <c r="DPO104" s="769"/>
      <c r="DPP104" s="769"/>
      <c r="DPQ104" s="769"/>
      <c r="DPR104" s="769"/>
      <c r="DPS104" s="769"/>
      <c r="DPT104" s="769"/>
      <c r="DPU104" s="769"/>
      <c r="DPV104" s="769"/>
      <c r="DPW104" s="769"/>
      <c r="DPX104" s="769"/>
      <c r="DPY104" s="769"/>
      <c r="DPZ104" s="769"/>
      <c r="DQA104" s="769"/>
      <c r="DQB104" s="769"/>
      <c r="DQC104" s="769"/>
      <c r="DQD104" s="769"/>
      <c r="DQE104" s="769"/>
      <c r="DQF104" s="769"/>
      <c r="DQG104" s="769"/>
      <c r="DQH104" s="769"/>
      <c r="DQI104" s="769"/>
      <c r="DQJ104" s="769"/>
      <c r="DQK104" s="769"/>
      <c r="DQL104" s="769"/>
      <c r="DQM104" s="769"/>
      <c r="DQN104" s="769"/>
      <c r="DQO104" s="769"/>
      <c r="DQP104" s="769"/>
      <c r="DQQ104" s="769"/>
      <c r="DQR104" s="769"/>
      <c r="DQS104" s="769"/>
      <c r="DQT104" s="769"/>
      <c r="DQU104" s="769"/>
      <c r="DQV104" s="769"/>
      <c r="DQW104" s="769"/>
      <c r="DQX104" s="769"/>
      <c r="DQY104" s="769"/>
      <c r="DQZ104" s="769"/>
      <c r="DRA104" s="769"/>
      <c r="DRB104" s="769"/>
      <c r="DRC104" s="769"/>
      <c r="DRD104" s="769"/>
      <c r="DRE104" s="769"/>
      <c r="DRF104" s="769"/>
      <c r="DRG104" s="769"/>
      <c r="DRH104" s="769"/>
      <c r="DRI104" s="769"/>
      <c r="DRJ104" s="769"/>
      <c r="DRK104" s="769"/>
      <c r="DRL104" s="769"/>
      <c r="DRM104" s="769"/>
      <c r="DRN104" s="769"/>
      <c r="DRO104" s="769"/>
      <c r="DRP104" s="769"/>
      <c r="DRQ104" s="769"/>
      <c r="DRR104" s="769"/>
      <c r="DRS104" s="769"/>
      <c r="DRT104" s="769"/>
      <c r="DRU104" s="769"/>
      <c r="DRV104" s="769"/>
      <c r="DRW104" s="769"/>
      <c r="DRX104" s="769"/>
      <c r="DRY104" s="769"/>
      <c r="DRZ104" s="769"/>
      <c r="DSA104" s="769"/>
      <c r="DSB104" s="769"/>
      <c r="DSC104" s="769"/>
      <c r="DSD104" s="769"/>
      <c r="DSE104" s="769"/>
      <c r="DSF104" s="769"/>
      <c r="DSG104" s="769"/>
      <c r="DSH104" s="769"/>
      <c r="DSI104" s="769"/>
      <c r="DSJ104" s="769"/>
      <c r="DSK104" s="769"/>
      <c r="DSL104" s="769"/>
      <c r="DSM104" s="769"/>
      <c r="DSN104" s="769"/>
      <c r="DSO104" s="769"/>
      <c r="DSP104" s="769"/>
      <c r="DSQ104" s="769"/>
      <c r="DSR104" s="769"/>
      <c r="DSS104" s="769"/>
      <c r="DST104" s="769"/>
      <c r="DSU104" s="769"/>
      <c r="DSV104" s="769"/>
      <c r="DSW104" s="769"/>
      <c r="DSX104" s="769"/>
      <c r="DSY104" s="769"/>
      <c r="DSZ104" s="769"/>
      <c r="DTA104" s="769"/>
      <c r="DTB104" s="769"/>
      <c r="DTC104" s="769"/>
      <c r="DTD104" s="769"/>
      <c r="DTE104" s="769"/>
      <c r="DTF104" s="769"/>
      <c r="DTG104" s="769"/>
      <c r="DTH104" s="769"/>
      <c r="DTI104" s="769"/>
      <c r="DTJ104" s="769"/>
      <c r="DTK104" s="769"/>
      <c r="DTL104" s="769"/>
      <c r="DTM104" s="769"/>
      <c r="DTN104" s="769"/>
      <c r="DTO104" s="769"/>
      <c r="DTP104" s="769"/>
      <c r="DTQ104" s="769"/>
      <c r="DTR104" s="769"/>
      <c r="DTS104" s="769"/>
      <c r="DTT104" s="769"/>
      <c r="DTU104" s="769"/>
      <c r="DTV104" s="769"/>
      <c r="DTW104" s="769"/>
      <c r="DTX104" s="769"/>
      <c r="DTY104" s="769"/>
      <c r="DTZ104" s="769"/>
      <c r="DUA104" s="769"/>
      <c r="DUB104" s="769"/>
      <c r="DUC104" s="769"/>
      <c r="DUD104" s="769"/>
      <c r="DUE104" s="769"/>
      <c r="DUF104" s="769"/>
      <c r="DUG104" s="769"/>
      <c r="DUH104" s="769"/>
      <c r="DUI104" s="769"/>
      <c r="DUJ104" s="769"/>
      <c r="DUK104" s="769"/>
      <c r="DUL104" s="769"/>
      <c r="DUM104" s="769"/>
      <c r="DUN104" s="769"/>
      <c r="DUO104" s="769"/>
      <c r="DUP104" s="769"/>
      <c r="DUQ104" s="769"/>
      <c r="DUR104" s="769"/>
      <c r="DUS104" s="769"/>
      <c r="DUT104" s="769"/>
      <c r="DUU104" s="769"/>
      <c r="DUV104" s="769"/>
      <c r="DUW104" s="769"/>
      <c r="DUX104" s="769"/>
      <c r="DUY104" s="769"/>
      <c r="DUZ104" s="769"/>
      <c r="DVA104" s="769"/>
      <c r="DVB104" s="769"/>
      <c r="DVC104" s="769"/>
      <c r="DVD104" s="769"/>
      <c r="DVE104" s="769"/>
      <c r="DVF104" s="769"/>
      <c r="DVG104" s="769"/>
      <c r="DVH104" s="769"/>
      <c r="DVI104" s="769"/>
      <c r="DVJ104" s="769"/>
      <c r="DVK104" s="769"/>
      <c r="DVL104" s="769"/>
      <c r="DVM104" s="769"/>
      <c r="DVN104" s="769"/>
      <c r="DVO104" s="769"/>
      <c r="DVP104" s="769"/>
      <c r="DVQ104" s="769"/>
      <c r="DVR104" s="769"/>
      <c r="DVS104" s="769"/>
      <c r="DVT104" s="769"/>
      <c r="DVU104" s="769"/>
      <c r="DVV104" s="769"/>
      <c r="DVW104" s="769"/>
      <c r="DVX104" s="769"/>
      <c r="DVY104" s="769"/>
      <c r="DVZ104" s="769"/>
      <c r="DWA104" s="769"/>
      <c r="DWB104" s="769"/>
      <c r="DWC104" s="769"/>
      <c r="DWD104" s="769"/>
      <c r="DWE104" s="769"/>
      <c r="DWF104" s="769"/>
      <c r="DWG104" s="769"/>
      <c r="DWH104" s="769"/>
      <c r="DWI104" s="769"/>
      <c r="DWJ104" s="769"/>
      <c r="DWK104" s="769"/>
      <c r="DWL104" s="769"/>
      <c r="DWM104" s="769"/>
      <c r="DWN104" s="769"/>
      <c r="DWO104" s="769"/>
      <c r="DWP104" s="769"/>
      <c r="DWQ104" s="769"/>
      <c r="DWR104" s="769"/>
      <c r="DWS104" s="769"/>
      <c r="DWT104" s="769"/>
      <c r="DWU104" s="769"/>
      <c r="DWV104" s="769"/>
      <c r="DWW104" s="769"/>
      <c r="DWX104" s="769"/>
      <c r="DWY104" s="769"/>
      <c r="DWZ104" s="769"/>
      <c r="DXA104" s="769"/>
      <c r="DXB104" s="769"/>
      <c r="DXC104" s="769"/>
      <c r="DXD104" s="769"/>
      <c r="DXE104" s="769"/>
      <c r="DXF104" s="769"/>
      <c r="DXG104" s="769"/>
      <c r="DXH104" s="769"/>
      <c r="DXI104" s="769"/>
      <c r="DXJ104" s="769"/>
      <c r="DXK104" s="769"/>
      <c r="DXL104" s="769"/>
      <c r="DXM104" s="769"/>
      <c r="DXN104" s="769"/>
      <c r="DXO104" s="769"/>
      <c r="DXP104" s="769"/>
      <c r="DXQ104" s="769"/>
      <c r="DXR104" s="769"/>
      <c r="DXS104" s="769"/>
      <c r="DXT104" s="769"/>
      <c r="DXU104" s="769"/>
      <c r="DXV104" s="769"/>
      <c r="DXW104" s="769"/>
      <c r="DXX104" s="769"/>
      <c r="DXY104" s="769"/>
      <c r="DXZ104" s="769"/>
      <c r="DYA104" s="769"/>
      <c r="DYB104" s="769"/>
      <c r="DYC104" s="769"/>
      <c r="DYD104" s="769"/>
      <c r="DYE104" s="769"/>
      <c r="DYF104" s="769"/>
      <c r="DYG104" s="769"/>
      <c r="DYH104" s="769"/>
      <c r="DYI104" s="769"/>
      <c r="DYJ104" s="769"/>
      <c r="DYK104" s="769"/>
      <c r="DYL104" s="769"/>
      <c r="DYM104" s="769"/>
      <c r="DYN104" s="769"/>
      <c r="DYO104" s="769"/>
      <c r="DYP104" s="769"/>
      <c r="DYQ104" s="769"/>
      <c r="DYR104" s="769"/>
      <c r="DYS104" s="769"/>
      <c r="DYT104" s="769"/>
      <c r="DYU104" s="769"/>
      <c r="DYV104" s="769"/>
      <c r="DYW104" s="769"/>
      <c r="DYX104" s="769"/>
      <c r="DYY104" s="769"/>
      <c r="DYZ104" s="769"/>
      <c r="DZA104" s="769"/>
      <c r="DZB104" s="769"/>
      <c r="DZC104" s="769"/>
      <c r="DZD104" s="769"/>
      <c r="DZE104" s="769"/>
      <c r="DZF104" s="769"/>
      <c r="DZG104" s="769"/>
      <c r="DZH104" s="769"/>
      <c r="DZI104" s="769"/>
      <c r="DZJ104" s="769"/>
      <c r="DZK104" s="769"/>
      <c r="DZL104" s="769"/>
      <c r="DZM104" s="769"/>
      <c r="DZN104" s="769"/>
      <c r="DZO104" s="769"/>
      <c r="DZP104" s="769"/>
      <c r="DZQ104" s="769"/>
      <c r="DZR104" s="769"/>
      <c r="DZS104" s="769"/>
      <c r="DZT104" s="769"/>
      <c r="DZU104" s="769"/>
      <c r="DZV104" s="769"/>
      <c r="DZW104" s="769"/>
      <c r="DZX104" s="769"/>
      <c r="DZY104" s="769"/>
      <c r="DZZ104" s="769"/>
      <c r="EAA104" s="769"/>
      <c r="EAB104" s="769"/>
      <c r="EAC104" s="769"/>
      <c r="EAD104" s="769"/>
      <c r="EAE104" s="769"/>
      <c r="EAF104" s="769"/>
      <c r="EAG104" s="769"/>
      <c r="EAH104" s="769"/>
      <c r="EAI104" s="769"/>
      <c r="EAJ104" s="769"/>
      <c r="EAK104" s="769"/>
      <c r="EAL104" s="769"/>
      <c r="EAM104" s="769"/>
      <c r="EAN104" s="769"/>
      <c r="EAO104" s="769"/>
      <c r="EAP104" s="769"/>
      <c r="EAQ104" s="769"/>
      <c r="EAR104" s="769"/>
      <c r="EAS104" s="769"/>
      <c r="EAT104" s="769"/>
      <c r="EAU104" s="769"/>
      <c r="EAV104" s="769"/>
      <c r="EAW104" s="769"/>
      <c r="EAX104" s="769"/>
      <c r="EAY104" s="769"/>
      <c r="EAZ104" s="769"/>
      <c r="EBA104" s="769"/>
      <c r="EBB104" s="769"/>
      <c r="EBC104" s="769"/>
      <c r="EBD104" s="769"/>
      <c r="EBE104" s="769"/>
      <c r="EBF104" s="769"/>
      <c r="EBG104" s="769"/>
      <c r="EBH104" s="769"/>
      <c r="EBI104" s="769"/>
      <c r="EBJ104" s="769"/>
      <c r="EBK104" s="769"/>
      <c r="EBL104" s="769"/>
      <c r="EBM104" s="769"/>
      <c r="EBN104" s="769"/>
      <c r="EBO104" s="769"/>
      <c r="EBP104" s="769"/>
      <c r="EBQ104" s="769"/>
      <c r="EBR104" s="769"/>
      <c r="EBS104" s="769"/>
      <c r="EBT104" s="769"/>
      <c r="EBU104" s="769"/>
      <c r="EBV104" s="769"/>
      <c r="EBW104" s="769"/>
      <c r="EBX104" s="769"/>
      <c r="EBY104" s="769"/>
      <c r="EBZ104" s="769"/>
      <c r="ECA104" s="769"/>
      <c r="ECB104" s="769"/>
      <c r="ECC104" s="769"/>
      <c r="ECD104" s="769"/>
      <c r="ECE104" s="769"/>
      <c r="ECF104" s="769"/>
      <c r="ECG104" s="769"/>
      <c r="ECH104" s="769"/>
      <c r="ECI104" s="769"/>
      <c r="ECJ104" s="769"/>
      <c r="ECK104" s="769"/>
      <c r="ECL104" s="769"/>
      <c r="ECM104" s="769"/>
      <c r="ECN104" s="769"/>
      <c r="ECO104" s="769"/>
      <c r="ECP104" s="769"/>
      <c r="ECQ104" s="769"/>
      <c r="ECR104" s="769"/>
      <c r="ECS104" s="769"/>
      <c r="ECT104" s="769"/>
      <c r="ECU104" s="769"/>
      <c r="ECV104" s="769"/>
      <c r="ECW104" s="769"/>
      <c r="ECX104" s="769"/>
      <c r="ECY104" s="769"/>
      <c r="ECZ104" s="769"/>
      <c r="EDA104" s="769"/>
      <c r="EDB104" s="769"/>
      <c r="EDC104" s="769"/>
      <c r="EDD104" s="769"/>
      <c r="EDE104" s="769"/>
      <c r="EDF104" s="769"/>
      <c r="EDG104" s="769"/>
      <c r="EDH104" s="769"/>
      <c r="EDI104" s="769"/>
      <c r="EDJ104" s="769"/>
      <c r="EDK104" s="769"/>
      <c r="EDL104" s="769"/>
      <c r="EDM104" s="769"/>
      <c r="EDN104" s="769"/>
      <c r="EDO104" s="769"/>
      <c r="EDP104" s="769"/>
      <c r="EDQ104" s="769"/>
      <c r="EDR104" s="769"/>
      <c r="EDS104" s="769"/>
      <c r="EDT104" s="769"/>
      <c r="EDU104" s="769"/>
      <c r="EDV104" s="769"/>
      <c r="EDW104" s="769"/>
      <c r="EDX104" s="769"/>
      <c r="EDY104" s="769"/>
      <c r="EDZ104" s="769"/>
      <c r="EEA104" s="769"/>
      <c r="EEB104" s="769"/>
      <c r="EEC104" s="769"/>
      <c r="EED104" s="769"/>
      <c r="EEE104" s="769"/>
      <c r="EEF104" s="769"/>
      <c r="EEG104" s="769"/>
      <c r="EEH104" s="769"/>
      <c r="EEI104" s="769"/>
      <c r="EEJ104" s="769"/>
      <c r="EEK104" s="769"/>
      <c r="EEL104" s="769"/>
      <c r="EEM104" s="769"/>
      <c r="EEN104" s="769"/>
      <c r="EEO104" s="769"/>
      <c r="EEP104" s="769"/>
      <c r="EEQ104" s="769"/>
      <c r="EER104" s="769"/>
      <c r="EES104" s="769"/>
      <c r="EET104" s="769"/>
      <c r="EEU104" s="769"/>
      <c r="EEV104" s="769"/>
      <c r="EEW104" s="769"/>
      <c r="EEX104" s="769"/>
      <c r="EEY104" s="769"/>
      <c r="EEZ104" s="769"/>
      <c r="EFA104" s="769"/>
      <c r="EFB104" s="769"/>
      <c r="EFC104" s="769"/>
      <c r="EFD104" s="769"/>
      <c r="EFE104" s="769"/>
      <c r="EFF104" s="769"/>
      <c r="EFG104" s="769"/>
      <c r="EFH104" s="769"/>
      <c r="EFI104" s="769"/>
      <c r="EFJ104" s="769"/>
      <c r="EFK104" s="769"/>
      <c r="EFL104" s="769"/>
      <c r="EFM104" s="769"/>
      <c r="EFN104" s="769"/>
      <c r="EFO104" s="769"/>
      <c r="EFP104" s="769"/>
      <c r="EFQ104" s="769"/>
      <c r="EFR104" s="769"/>
      <c r="EFS104" s="769"/>
      <c r="EFT104" s="769"/>
      <c r="EFU104" s="769"/>
      <c r="EFV104" s="769"/>
      <c r="EFW104" s="769"/>
      <c r="EFX104" s="769"/>
      <c r="EFY104" s="769"/>
      <c r="EFZ104" s="769"/>
      <c r="EGA104" s="769"/>
      <c r="EGB104" s="769"/>
      <c r="EGC104" s="769"/>
      <c r="EGD104" s="769"/>
      <c r="EGE104" s="769"/>
      <c r="EGF104" s="769"/>
      <c r="EGG104" s="769"/>
      <c r="EGH104" s="769"/>
      <c r="EGI104" s="769"/>
      <c r="EGJ104" s="769"/>
      <c r="EGK104" s="769"/>
      <c r="EGL104" s="769"/>
      <c r="EGM104" s="769"/>
      <c r="EGN104" s="769"/>
      <c r="EGO104" s="769"/>
      <c r="EGP104" s="769"/>
      <c r="EGQ104" s="769"/>
      <c r="EGR104" s="769"/>
      <c r="EGS104" s="769"/>
      <c r="EGT104" s="769"/>
      <c r="EGU104" s="769"/>
      <c r="EGV104" s="769"/>
      <c r="EGW104" s="769"/>
      <c r="EGX104" s="769"/>
      <c r="EGY104" s="769"/>
      <c r="EGZ104" s="769"/>
      <c r="EHA104" s="769"/>
      <c r="EHB104" s="769"/>
      <c r="EHC104" s="769"/>
      <c r="EHD104" s="769"/>
      <c r="EHE104" s="769"/>
      <c r="EHF104" s="769"/>
      <c r="EHG104" s="769"/>
      <c r="EHH104" s="769"/>
      <c r="EHI104" s="769"/>
      <c r="EHJ104" s="769"/>
      <c r="EHK104" s="769"/>
      <c r="EHL104" s="769"/>
      <c r="EHM104" s="769"/>
      <c r="EHN104" s="769"/>
      <c r="EHO104" s="769"/>
      <c r="EHP104" s="769"/>
      <c r="EHQ104" s="769"/>
      <c r="EHR104" s="769"/>
      <c r="EHS104" s="769"/>
      <c r="EHT104" s="769"/>
      <c r="EHU104" s="769"/>
      <c r="EHV104" s="769"/>
      <c r="EHW104" s="769"/>
      <c r="EHX104" s="769"/>
      <c r="EHY104" s="769"/>
      <c r="EHZ104" s="769"/>
      <c r="EIA104" s="769"/>
      <c r="EIB104" s="769"/>
      <c r="EIC104" s="769"/>
      <c r="EID104" s="769"/>
      <c r="EIE104" s="769"/>
      <c r="EIF104" s="769"/>
      <c r="EIG104" s="769"/>
      <c r="EIH104" s="769"/>
      <c r="EII104" s="769"/>
      <c r="EIJ104" s="769"/>
      <c r="EIK104" s="769"/>
      <c r="EIL104" s="769"/>
      <c r="EIM104" s="769"/>
      <c r="EIN104" s="769"/>
      <c r="EIO104" s="769"/>
      <c r="EIP104" s="769"/>
      <c r="EIQ104" s="769"/>
      <c r="EIR104" s="769"/>
      <c r="EIS104" s="769"/>
      <c r="EIT104" s="769"/>
      <c r="EIU104" s="769"/>
      <c r="EIV104" s="769"/>
      <c r="EIW104" s="769"/>
      <c r="EIX104" s="769"/>
      <c r="EIY104" s="769"/>
      <c r="EIZ104" s="769"/>
      <c r="EJA104" s="769"/>
      <c r="EJB104" s="769"/>
      <c r="EJC104" s="769"/>
      <c r="EJD104" s="769"/>
      <c r="EJE104" s="769"/>
      <c r="EJF104" s="769"/>
      <c r="EJG104" s="769"/>
      <c r="EJH104" s="769"/>
      <c r="EJI104" s="769"/>
      <c r="EJJ104" s="769"/>
      <c r="EJK104" s="769"/>
      <c r="EJL104" s="769"/>
      <c r="EJM104" s="769"/>
      <c r="EJN104" s="769"/>
      <c r="EJO104" s="769"/>
      <c r="EJP104" s="769"/>
      <c r="EJQ104" s="769"/>
      <c r="EJR104" s="769"/>
      <c r="EJS104" s="769"/>
      <c r="EJT104" s="769"/>
      <c r="EJU104" s="769"/>
      <c r="EJV104" s="769"/>
      <c r="EJW104" s="769"/>
      <c r="EJX104" s="769"/>
      <c r="EJY104" s="769"/>
      <c r="EJZ104" s="769"/>
      <c r="EKA104" s="769"/>
      <c r="EKB104" s="769"/>
      <c r="EKC104" s="769"/>
      <c r="EKD104" s="769"/>
      <c r="EKE104" s="769"/>
      <c r="EKF104" s="769"/>
      <c r="EKG104" s="769"/>
      <c r="EKH104" s="769"/>
      <c r="EKI104" s="769"/>
      <c r="EKJ104" s="769"/>
      <c r="EKK104" s="769"/>
      <c r="EKL104" s="769"/>
      <c r="EKM104" s="769"/>
      <c r="EKN104" s="769"/>
      <c r="EKO104" s="769"/>
      <c r="EKP104" s="769"/>
      <c r="EKQ104" s="769"/>
      <c r="EKR104" s="769"/>
      <c r="EKS104" s="769"/>
      <c r="EKT104" s="769"/>
      <c r="EKU104" s="769"/>
      <c r="EKV104" s="769"/>
      <c r="EKW104" s="769"/>
      <c r="EKX104" s="769"/>
      <c r="EKY104" s="769"/>
      <c r="EKZ104" s="769"/>
      <c r="ELA104" s="769"/>
      <c r="ELB104" s="769"/>
      <c r="ELC104" s="769"/>
      <c r="ELD104" s="769"/>
      <c r="ELE104" s="769"/>
      <c r="ELF104" s="769"/>
      <c r="ELG104" s="769"/>
      <c r="ELH104" s="769"/>
      <c r="ELI104" s="769"/>
      <c r="ELJ104" s="769"/>
      <c r="ELK104" s="769"/>
      <c r="ELL104" s="769"/>
      <c r="ELM104" s="769"/>
      <c r="ELN104" s="769"/>
      <c r="ELO104" s="769"/>
      <c r="ELP104" s="769"/>
      <c r="ELQ104" s="769"/>
      <c r="ELR104" s="769"/>
      <c r="ELS104" s="769"/>
      <c r="ELT104" s="769"/>
      <c r="ELU104" s="769"/>
      <c r="ELV104" s="769"/>
      <c r="ELW104" s="769"/>
      <c r="ELX104" s="769"/>
      <c r="ELY104" s="769"/>
      <c r="ELZ104" s="769"/>
      <c r="EMA104" s="769"/>
      <c r="EMB104" s="769"/>
      <c r="EMC104" s="769"/>
      <c r="EMD104" s="769"/>
      <c r="EME104" s="769"/>
      <c r="EMF104" s="769"/>
      <c r="EMG104" s="769"/>
      <c r="EMH104" s="769"/>
      <c r="EMI104" s="769"/>
      <c r="EMJ104" s="769"/>
      <c r="EMK104" s="769"/>
      <c r="EML104" s="769"/>
      <c r="EMM104" s="769"/>
      <c r="EMN104" s="769"/>
      <c r="EMO104" s="769"/>
      <c r="EMP104" s="769"/>
      <c r="EMQ104" s="769"/>
      <c r="EMR104" s="769"/>
      <c r="EMS104" s="769"/>
      <c r="EMT104" s="769"/>
      <c r="EMU104" s="769"/>
      <c r="EMV104" s="769"/>
      <c r="EMW104" s="769"/>
      <c r="EMX104" s="769"/>
      <c r="EMY104" s="769"/>
      <c r="EMZ104" s="769"/>
      <c r="ENA104" s="769"/>
      <c r="ENB104" s="769"/>
      <c r="ENC104" s="769"/>
      <c r="END104" s="769"/>
      <c r="ENE104" s="769"/>
      <c r="ENF104" s="769"/>
      <c r="ENG104" s="769"/>
      <c r="ENH104" s="769"/>
      <c r="ENI104" s="769"/>
      <c r="ENJ104" s="769"/>
      <c r="ENK104" s="769"/>
      <c r="ENL104" s="769"/>
      <c r="ENM104" s="769"/>
      <c r="ENN104" s="769"/>
      <c r="ENO104" s="769"/>
      <c r="ENP104" s="769"/>
      <c r="ENQ104" s="769"/>
      <c r="ENR104" s="769"/>
      <c r="ENS104" s="769"/>
      <c r="ENT104" s="769"/>
      <c r="ENU104" s="769"/>
      <c r="ENV104" s="769"/>
      <c r="ENW104" s="769"/>
      <c r="ENX104" s="769"/>
      <c r="ENY104" s="769"/>
      <c r="ENZ104" s="769"/>
      <c r="EOA104" s="769"/>
      <c r="EOB104" s="769"/>
      <c r="EOC104" s="769"/>
      <c r="EOD104" s="769"/>
      <c r="EOE104" s="769"/>
      <c r="EOF104" s="769"/>
      <c r="EOG104" s="769"/>
      <c r="EOH104" s="769"/>
      <c r="EOI104" s="769"/>
      <c r="EOJ104" s="769"/>
      <c r="EOK104" s="769"/>
      <c r="EOL104" s="769"/>
      <c r="EOM104" s="769"/>
      <c r="EON104" s="769"/>
      <c r="EOO104" s="769"/>
      <c r="EOP104" s="769"/>
      <c r="EOQ104" s="769"/>
      <c r="EOR104" s="769"/>
      <c r="EOS104" s="769"/>
      <c r="EOT104" s="769"/>
      <c r="EOU104" s="769"/>
      <c r="EOV104" s="769"/>
      <c r="EOW104" s="769"/>
      <c r="EOX104" s="769"/>
      <c r="EOY104" s="769"/>
      <c r="EOZ104" s="769"/>
      <c r="EPA104" s="769"/>
      <c r="EPB104" s="769"/>
      <c r="EPC104" s="769"/>
      <c r="EPD104" s="769"/>
      <c r="EPE104" s="769"/>
      <c r="EPF104" s="769"/>
      <c r="EPG104" s="769"/>
      <c r="EPH104" s="769"/>
      <c r="EPI104" s="769"/>
      <c r="EPJ104" s="769"/>
      <c r="EPK104" s="769"/>
      <c r="EPL104" s="769"/>
      <c r="EPM104" s="769"/>
      <c r="EPN104" s="769"/>
      <c r="EPO104" s="769"/>
      <c r="EPP104" s="769"/>
      <c r="EPQ104" s="769"/>
      <c r="EPR104" s="769"/>
      <c r="EPS104" s="769"/>
      <c r="EPT104" s="769"/>
      <c r="EPU104" s="769"/>
      <c r="EPV104" s="769"/>
      <c r="EPW104" s="769"/>
      <c r="EPX104" s="769"/>
      <c r="EPY104" s="769"/>
      <c r="EPZ104" s="769"/>
      <c r="EQA104" s="769"/>
      <c r="EQB104" s="769"/>
      <c r="EQC104" s="769"/>
      <c r="EQD104" s="769"/>
      <c r="EQE104" s="769"/>
      <c r="EQF104" s="769"/>
      <c r="EQG104" s="769"/>
      <c r="EQH104" s="769"/>
      <c r="EQI104" s="769"/>
      <c r="EQJ104" s="769"/>
      <c r="EQK104" s="769"/>
      <c r="EQL104" s="769"/>
      <c r="EQM104" s="769"/>
      <c r="EQN104" s="769"/>
      <c r="EQO104" s="769"/>
      <c r="EQP104" s="769"/>
      <c r="EQQ104" s="769"/>
      <c r="EQR104" s="769"/>
      <c r="EQS104" s="769"/>
      <c r="EQT104" s="769"/>
      <c r="EQU104" s="769"/>
      <c r="EQV104" s="769"/>
      <c r="EQW104" s="769"/>
      <c r="EQX104" s="769"/>
      <c r="EQY104" s="769"/>
      <c r="EQZ104" s="769"/>
      <c r="ERA104" s="769"/>
      <c r="ERB104" s="769"/>
      <c r="ERC104" s="769"/>
      <c r="ERD104" s="769"/>
      <c r="ERE104" s="769"/>
      <c r="ERF104" s="769"/>
      <c r="ERG104" s="769"/>
      <c r="ERH104" s="769"/>
      <c r="ERI104" s="769"/>
      <c r="ERJ104" s="769"/>
      <c r="ERK104" s="769"/>
      <c r="ERL104" s="769"/>
      <c r="ERM104" s="769"/>
      <c r="ERN104" s="769"/>
      <c r="ERO104" s="769"/>
      <c r="ERP104" s="769"/>
      <c r="ERQ104" s="769"/>
      <c r="ERR104" s="769"/>
      <c r="ERS104" s="769"/>
      <c r="ERT104" s="769"/>
      <c r="ERU104" s="769"/>
      <c r="ERV104" s="769"/>
      <c r="ERW104" s="769"/>
      <c r="ERX104" s="769"/>
      <c r="ERY104" s="769"/>
      <c r="ERZ104" s="769"/>
      <c r="ESA104" s="769"/>
      <c r="ESB104" s="769"/>
      <c r="ESC104" s="769"/>
      <c r="ESD104" s="769"/>
      <c r="ESE104" s="769"/>
      <c r="ESF104" s="769"/>
      <c r="ESG104" s="769"/>
      <c r="ESH104" s="769"/>
      <c r="ESI104" s="769"/>
      <c r="ESJ104" s="769"/>
      <c r="ESK104" s="769"/>
      <c r="ESL104" s="769"/>
      <c r="ESM104" s="769"/>
      <c r="ESN104" s="769"/>
      <c r="ESO104" s="769"/>
      <c r="ESP104" s="769"/>
      <c r="ESQ104" s="769"/>
      <c r="ESR104" s="769"/>
      <c r="ESS104" s="769"/>
      <c r="EST104" s="769"/>
      <c r="ESU104" s="769"/>
      <c r="ESV104" s="769"/>
      <c r="ESW104" s="769"/>
      <c r="ESX104" s="769"/>
      <c r="ESY104" s="769"/>
      <c r="ESZ104" s="769"/>
      <c r="ETA104" s="769"/>
      <c r="ETB104" s="769"/>
      <c r="ETC104" s="769"/>
      <c r="ETD104" s="769"/>
      <c r="ETE104" s="769"/>
      <c r="ETF104" s="769"/>
      <c r="ETG104" s="769"/>
      <c r="ETH104" s="769"/>
      <c r="ETI104" s="769"/>
      <c r="ETJ104" s="769"/>
      <c r="ETK104" s="769"/>
      <c r="ETL104" s="769"/>
      <c r="ETM104" s="769"/>
      <c r="ETN104" s="769"/>
      <c r="ETO104" s="769"/>
      <c r="ETP104" s="769"/>
      <c r="ETQ104" s="769"/>
      <c r="ETR104" s="769"/>
      <c r="ETS104" s="769"/>
      <c r="ETT104" s="769"/>
      <c r="ETU104" s="769"/>
      <c r="ETV104" s="769"/>
      <c r="ETW104" s="769"/>
      <c r="ETX104" s="769"/>
      <c r="ETY104" s="769"/>
      <c r="ETZ104" s="769"/>
      <c r="EUA104" s="769"/>
      <c r="EUB104" s="769"/>
      <c r="EUC104" s="769"/>
      <c r="EUD104" s="769"/>
      <c r="EUE104" s="769"/>
      <c r="EUF104" s="769"/>
      <c r="EUG104" s="769"/>
      <c r="EUH104" s="769"/>
      <c r="EUI104" s="769"/>
      <c r="EUJ104" s="769"/>
      <c r="EUK104" s="769"/>
      <c r="EUL104" s="769"/>
      <c r="EUM104" s="769"/>
      <c r="EUN104" s="769"/>
      <c r="EUO104" s="769"/>
      <c r="EUP104" s="769"/>
      <c r="EUQ104" s="769"/>
      <c r="EUR104" s="769"/>
      <c r="EUS104" s="769"/>
      <c r="EUT104" s="769"/>
      <c r="EUU104" s="769"/>
      <c r="EUV104" s="769"/>
      <c r="EUW104" s="769"/>
      <c r="EUX104" s="769"/>
      <c r="EUY104" s="769"/>
      <c r="EUZ104" s="769"/>
      <c r="EVA104" s="769"/>
      <c r="EVB104" s="769"/>
      <c r="EVC104" s="769"/>
      <c r="EVD104" s="769"/>
      <c r="EVE104" s="769"/>
      <c r="EVF104" s="769"/>
      <c r="EVG104" s="769"/>
      <c r="EVH104" s="769"/>
      <c r="EVI104" s="769"/>
      <c r="EVJ104" s="769"/>
      <c r="EVK104" s="769"/>
      <c r="EVL104" s="769"/>
      <c r="EVM104" s="769"/>
      <c r="EVN104" s="769"/>
      <c r="EVO104" s="769"/>
      <c r="EVP104" s="769"/>
      <c r="EVQ104" s="769"/>
      <c r="EVR104" s="769"/>
      <c r="EVS104" s="769"/>
      <c r="EVT104" s="769"/>
      <c r="EVU104" s="769"/>
      <c r="EVV104" s="769"/>
      <c r="EVW104" s="769"/>
      <c r="EVX104" s="769"/>
      <c r="EVY104" s="769"/>
      <c r="EVZ104" s="769"/>
      <c r="EWA104" s="769"/>
      <c r="EWB104" s="769"/>
      <c r="EWC104" s="769"/>
      <c r="EWD104" s="769"/>
      <c r="EWE104" s="769"/>
      <c r="EWF104" s="769"/>
      <c r="EWG104" s="769"/>
      <c r="EWH104" s="769"/>
      <c r="EWI104" s="769"/>
      <c r="EWJ104" s="769"/>
      <c r="EWK104" s="769"/>
      <c r="EWL104" s="769"/>
      <c r="EWM104" s="769"/>
      <c r="EWN104" s="769"/>
      <c r="EWO104" s="769"/>
      <c r="EWP104" s="769"/>
      <c r="EWQ104" s="769"/>
      <c r="EWR104" s="769"/>
      <c r="EWS104" s="769"/>
      <c r="EWT104" s="769"/>
      <c r="EWU104" s="769"/>
      <c r="EWV104" s="769"/>
      <c r="EWW104" s="769"/>
      <c r="EWX104" s="769"/>
      <c r="EWY104" s="769"/>
      <c r="EWZ104" s="769"/>
      <c r="EXA104" s="769"/>
      <c r="EXB104" s="769"/>
      <c r="EXC104" s="769"/>
      <c r="EXD104" s="769"/>
      <c r="EXE104" s="769"/>
      <c r="EXF104" s="769"/>
      <c r="EXG104" s="769"/>
      <c r="EXH104" s="769"/>
      <c r="EXI104" s="769"/>
      <c r="EXJ104" s="769"/>
      <c r="EXK104" s="769"/>
      <c r="EXL104" s="769"/>
      <c r="EXM104" s="769"/>
      <c r="EXN104" s="769"/>
      <c r="EXO104" s="769"/>
      <c r="EXP104" s="769"/>
      <c r="EXQ104" s="769"/>
      <c r="EXR104" s="769"/>
      <c r="EXS104" s="769"/>
      <c r="EXT104" s="769"/>
      <c r="EXU104" s="769"/>
      <c r="EXV104" s="769"/>
      <c r="EXW104" s="769"/>
      <c r="EXX104" s="769"/>
      <c r="EXY104" s="769"/>
      <c r="EXZ104" s="769"/>
      <c r="EYA104" s="769"/>
      <c r="EYB104" s="769"/>
      <c r="EYC104" s="769"/>
      <c r="EYD104" s="769"/>
      <c r="EYE104" s="769"/>
      <c r="EYF104" s="769"/>
      <c r="EYG104" s="769"/>
      <c r="EYH104" s="769"/>
      <c r="EYI104" s="769"/>
      <c r="EYJ104" s="769"/>
      <c r="EYK104" s="769"/>
      <c r="EYL104" s="769"/>
      <c r="EYM104" s="769"/>
      <c r="EYN104" s="769"/>
      <c r="EYO104" s="769"/>
      <c r="EYP104" s="769"/>
      <c r="EYQ104" s="769"/>
      <c r="EYR104" s="769"/>
      <c r="EYS104" s="769"/>
      <c r="EYT104" s="769"/>
      <c r="EYU104" s="769"/>
      <c r="EYV104" s="769"/>
      <c r="EYW104" s="769"/>
      <c r="EYX104" s="769"/>
      <c r="EYY104" s="769"/>
      <c r="EYZ104" s="769"/>
      <c r="EZA104" s="769"/>
      <c r="EZB104" s="769"/>
      <c r="EZC104" s="769"/>
      <c r="EZD104" s="769"/>
      <c r="EZE104" s="769"/>
      <c r="EZF104" s="769"/>
      <c r="EZG104" s="769"/>
      <c r="EZH104" s="769"/>
      <c r="EZI104" s="769"/>
      <c r="EZJ104" s="769"/>
      <c r="EZK104" s="769"/>
      <c r="EZL104" s="769"/>
      <c r="EZM104" s="769"/>
      <c r="EZN104" s="769"/>
      <c r="EZO104" s="769"/>
      <c r="EZP104" s="769"/>
      <c r="EZQ104" s="769"/>
      <c r="EZR104" s="769"/>
      <c r="EZS104" s="769"/>
      <c r="EZT104" s="769"/>
      <c r="EZU104" s="769"/>
      <c r="EZV104" s="769"/>
      <c r="EZW104" s="769"/>
      <c r="EZX104" s="769"/>
      <c r="EZY104" s="769"/>
      <c r="EZZ104" s="769"/>
      <c r="FAA104" s="769"/>
      <c r="FAB104" s="769"/>
      <c r="FAC104" s="769"/>
      <c r="FAD104" s="769"/>
      <c r="FAE104" s="769"/>
      <c r="FAF104" s="769"/>
      <c r="FAG104" s="769"/>
      <c r="FAH104" s="769"/>
      <c r="FAI104" s="769"/>
      <c r="FAJ104" s="769"/>
      <c r="FAK104" s="769"/>
      <c r="FAL104" s="769"/>
      <c r="FAM104" s="769"/>
      <c r="FAN104" s="769"/>
      <c r="FAO104" s="769"/>
      <c r="FAP104" s="769"/>
      <c r="FAQ104" s="769"/>
      <c r="FAR104" s="769"/>
      <c r="FAS104" s="769"/>
      <c r="FAT104" s="769"/>
      <c r="FAU104" s="769"/>
      <c r="FAV104" s="769"/>
      <c r="FAW104" s="769"/>
      <c r="FAX104" s="769"/>
      <c r="FAY104" s="769"/>
      <c r="FAZ104" s="769"/>
      <c r="FBA104" s="769"/>
      <c r="FBB104" s="769"/>
      <c r="FBC104" s="769"/>
      <c r="FBD104" s="769"/>
      <c r="FBE104" s="769"/>
      <c r="FBF104" s="769"/>
      <c r="FBG104" s="769"/>
      <c r="FBH104" s="769"/>
      <c r="FBI104" s="769"/>
      <c r="FBJ104" s="769"/>
      <c r="FBK104" s="769"/>
      <c r="FBL104" s="769"/>
      <c r="FBM104" s="769"/>
      <c r="FBN104" s="769"/>
      <c r="FBO104" s="769"/>
      <c r="FBP104" s="769"/>
      <c r="FBQ104" s="769"/>
      <c r="FBR104" s="769"/>
      <c r="FBS104" s="769"/>
      <c r="FBT104" s="769"/>
      <c r="FBU104" s="769"/>
      <c r="FBV104" s="769"/>
      <c r="FBW104" s="769"/>
      <c r="FBX104" s="769"/>
      <c r="FBY104" s="769"/>
      <c r="FBZ104" s="769"/>
      <c r="FCA104" s="769"/>
      <c r="FCB104" s="769"/>
      <c r="FCC104" s="769"/>
      <c r="FCD104" s="769"/>
      <c r="FCE104" s="769"/>
      <c r="FCF104" s="769"/>
      <c r="FCG104" s="769"/>
      <c r="FCH104" s="769"/>
      <c r="FCI104" s="769"/>
      <c r="FCJ104" s="769"/>
      <c r="FCK104" s="769"/>
      <c r="FCL104" s="769"/>
      <c r="FCM104" s="769"/>
      <c r="FCN104" s="769"/>
      <c r="FCO104" s="769"/>
      <c r="FCP104" s="769"/>
      <c r="FCQ104" s="769"/>
      <c r="FCR104" s="769"/>
      <c r="FCS104" s="769"/>
      <c r="FCT104" s="769"/>
      <c r="FCU104" s="769"/>
      <c r="FCV104" s="769"/>
      <c r="FCW104" s="769"/>
      <c r="FCX104" s="769"/>
      <c r="FCY104" s="769"/>
      <c r="FCZ104" s="769"/>
      <c r="FDA104" s="769"/>
      <c r="FDB104" s="769"/>
      <c r="FDC104" s="769"/>
      <c r="FDD104" s="769"/>
      <c r="FDE104" s="769"/>
      <c r="FDF104" s="769"/>
      <c r="FDG104" s="769"/>
      <c r="FDH104" s="769"/>
      <c r="FDI104" s="769"/>
      <c r="FDJ104" s="769"/>
      <c r="FDK104" s="769"/>
      <c r="FDL104" s="769"/>
      <c r="FDM104" s="769"/>
      <c r="FDN104" s="769"/>
      <c r="FDO104" s="769"/>
      <c r="FDP104" s="769"/>
      <c r="FDQ104" s="769"/>
      <c r="FDR104" s="769"/>
      <c r="FDS104" s="769"/>
      <c r="FDT104" s="769"/>
      <c r="FDU104" s="769"/>
      <c r="FDV104" s="769"/>
      <c r="FDW104" s="769"/>
      <c r="FDX104" s="769"/>
      <c r="FDY104" s="769"/>
      <c r="FDZ104" s="769"/>
      <c r="FEA104" s="769"/>
      <c r="FEB104" s="769"/>
      <c r="FEC104" s="769"/>
      <c r="FED104" s="769"/>
      <c r="FEE104" s="769"/>
      <c r="FEF104" s="769"/>
      <c r="FEG104" s="769"/>
      <c r="FEH104" s="769"/>
      <c r="FEI104" s="769"/>
      <c r="FEJ104" s="769"/>
      <c r="FEK104" s="769"/>
      <c r="FEL104" s="769"/>
      <c r="FEM104" s="769"/>
      <c r="FEN104" s="769"/>
      <c r="FEO104" s="769"/>
      <c r="FEP104" s="769"/>
      <c r="FEQ104" s="769"/>
      <c r="FER104" s="769"/>
      <c r="FES104" s="769"/>
      <c r="FET104" s="769"/>
      <c r="FEU104" s="769"/>
      <c r="FEV104" s="769"/>
      <c r="FEW104" s="769"/>
      <c r="FEX104" s="769"/>
      <c r="FEY104" s="769"/>
      <c r="FEZ104" s="769"/>
      <c r="FFA104" s="769"/>
      <c r="FFB104" s="769"/>
      <c r="FFC104" s="769"/>
      <c r="FFD104" s="769"/>
      <c r="FFE104" s="769"/>
      <c r="FFF104" s="769"/>
      <c r="FFG104" s="769"/>
      <c r="FFH104" s="769"/>
      <c r="FFI104" s="769"/>
      <c r="FFJ104" s="769"/>
      <c r="FFK104" s="769"/>
      <c r="FFL104" s="769"/>
      <c r="FFM104" s="769"/>
      <c r="FFN104" s="769"/>
      <c r="FFO104" s="769"/>
      <c r="FFP104" s="769"/>
      <c r="FFQ104" s="769"/>
      <c r="FFR104" s="769"/>
      <c r="FFS104" s="769"/>
      <c r="FFT104" s="769"/>
      <c r="FFU104" s="769"/>
      <c r="FFV104" s="769"/>
      <c r="FFW104" s="769"/>
      <c r="FFX104" s="769"/>
      <c r="FFY104" s="769"/>
      <c r="FFZ104" s="769"/>
      <c r="FGA104" s="769"/>
      <c r="FGB104" s="769"/>
      <c r="FGC104" s="769"/>
      <c r="FGD104" s="769"/>
      <c r="FGE104" s="769"/>
      <c r="FGF104" s="769"/>
      <c r="FGG104" s="769"/>
      <c r="FGH104" s="769"/>
      <c r="FGI104" s="769"/>
      <c r="FGJ104" s="769"/>
      <c r="FGK104" s="769"/>
      <c r="FGL104" s="769"/>
      <c r="FGM104" s="769"/>
      <c r="FGN104" s="769"/>
      <c r="FGO104" s="769"/>
      <c r="FGP104" s="769"/>
      <c r="FGQ104" s="769"/>
      <c r="FGR104" s="769"/>
      <c r="FGS104" s="769"/>
      <c r="FGT104" s="769"/>
      <c r="FGU104" s="769"/>
      <c r="FGV104" s="769"/>
      <c r="FGW104" s="769"/>
      <c r="FGX104" s="769"/>
      <c r="FGY104" s="769"/>
      <c r="FGZ104" s="769"/>
      <c r="FHA104" s="769"/>
      <c r="FHB104" s="769"/>
      <c r="FHC104" s="769"/>
      <c r="FHD104" s="769"/>
      <c r="FHE104" s="769"/>
      <c r="FHF104" s="769"/>
      <c r="FHG104" s="769"/>
      <c r="FHH104" s="769"/>
      <c r="FHI104" s="769"/>
      <c r="FHJ104" s="769"/>
      <c r="FHK104" s="769"/>
      <c r="FHL104" s="769"/>
      <c r="FHM104" s="769"/>
      <c r="FHN104" s="769"/>
      <c r="FHO104" s="769"/>
      <c r="FHP104" s="769"/>
      <c r="FHQ104" s="769"/>
      <c r="FHR104" s="769"/>
      <c r="FHS104" s="769"/>
      <c r="FHT104" s="769"/>
      <c r="FHU104" s="769"/>
      <c r="FHV104" s="769"/>
      <c r="FHW104" s="769"/>
      <c r="FHX104" s="769"/>
      <c r="FHY104" s="769"/>
      <c r="FHZ104" s="769"/>
      <c r="FIA104" s="769"/>
      <c r="FIB104" s="769"/>
      <c r="FIC104" s="769"/>
      <c r="FID104" s="769"/>
      <c r="FIE104" s="769"/>
      <c r="FIF104" s="769"/>
      <c r="FIG104" s="769"/>
      <c r="FIH104" s="769"/>
      <c r="FII104" s="769"/>
      <c r="FIJ104" s="769"/>
      <c r="FIK104" s="769"/>
      <c r="FIL104" s="769"/>
      <c r="FIM104" s="769"/>
      <c r="FIN104" s="769"/>
      <c r="FIO104" s="769"/>
      <c r="FIP104" s="769"/>
      <c r="FIQ104" s="769"/>
      <c r="FIR104" s="769"/>
      <c r="FIS104" s="769"/>
      <c r="FIT104" s="769"/>
      <c r="FIU104" s="769"/>
      <c r="FIV104" s="769"/>
      <c r="FIW104" s="769"/>
      <c r="FIX104" s="769"/>
      <c r="FIY104" s="769"/>
      <c r="FIZ104" s="769"/>
      <c r="FJA104" s="769"/>
      <c r="FJB104" s="769"/>
      <c r="FJC104" s="769"/>
      <c r="FJD104" s="769"/>
      <c r="FJE104" s="769"/>
      <c r="FJF104" s="769"/>
      <c r="FJG104" s="769"/>
      <c r="FJH104" s="769"/>
      <c r="FJI104" s="769"/>
      <c r="FJJ104" s="769"/>
      <c r="FJK104" s="769"/>
      <c r="FJL104" s="769"/>
      <c r="FJM104" s="769"/>
      <c r="FJN104" s="769"/>
      <c r="FJO104" s="769"/>
      <c r="FJP104" s="769"/>
      <c r="FJQ104" s="769"/>
      <c r="FJR104" s="769"/>
      <c r="FJS104" s="769"/>
      <c r="FJT104" s="769"/>
      <c r="FJU104" s="769"/>
      <c r="FJV104" s="769"/>
      <c r="FJW104" s="769"/>
      <c r="FJX104" s="769"/>
      <c r="FJY104" s="769"/>
      <c r="FJZ104" s="769"/>
      <c r="FKA104" s="769"/>
      <c r="FKB104" s="769"/>
      <c r="FKC104" s="769"/>
      <c r="FKD104" s="769"/>
      <c r="FKE104" s="769"/>
      <c r="FKF104" s="769"/>
      <c r="FKG104" s="769"/>
      <c r="FKH104" s="769"/>
      <c r="FKI104" s="769"/>
      <c r="FKJ104" s="769"/>
      <c r="FKK104" s="769"/>
      <c r="FKL104" s="769"/>
      <c r="FKM104" s="769"/>
      <c r="FKN104" s="769"/>
      <c r="FKO104" s="769"/>
      <c r="FKP104" s="769"/>
      <c r="FKQ104" s="769"/>
      <c r="FKR104" s="769"/>
      <c r="FKS104" s="769"/>
      <c r="FKT104" s="769"/>
      <c r="FKU104" s="769"/>
      <c r="FKV104" s="769"/>
      <c r="FKW104" s="769"/>
      <c r="FKX104" s="769"/>
      <c r="FKY104" s="769"/>
      <c r="FKZ104" s="769"/>
      <c r="FLA104" s="769"/>
      <c r="FLB104" s="769"/>
      <c r="FLC104" s="769"/>
      <c r="FLD104" s="769"/>
      <c r="FLE104" s="769"/>
      <c r="FLF104" s="769"/>
      <c r="FLG104" s="769"/>
      <c r="FLH104" s="769"/>
      <c r="FLI104" s="769"/>
      <c r="FLJ104" s="769"/>
      <c r="FLK104" s="769"/>
      <c r="FLL104" s="769"/>
      <c r="FLM104" s="769"/>
      <c r="FLN104" s="769"/>
      <c r="FLO104" s="769"/>
      <c r="FLP104" s="769"/>
      <c r="FLQ104" s="769"/>
      <c r="FLR104" s="769"/>
      <c r="FLS104" s="769"/>
      <c r="FLT104" s="769"/>
      <c r="FLU104" s="769"/>
      <c r="FLV104" s="769"/>
      <c r="FLW104" s="769"/>
      <c r="FLX104" s="769"/>
      <c r="FLY104" s="769"/>
      <c r="FLZ104" s="769"/>
      <c r="FMA104" s="769"/>
      <c r="FMB104" s="769"/>
      <c r="FMC104" s="769"/>
      <c r="FMD104" s="769"/>
      <c r="FME104" s="769"/>
      <c r="FMF104" s="769"/>
      <c r="FMG104" s="769"/>
      <c r="FMH104" s="769"/>
      <c r="FMI104" s="769"/>
      <c r="FMJ104" s="769"/>
      <c r="FMK104" s="769"/>
      <c r="FML104" s="769"/>
      <c r="FMM104" s="769"/>
      <c r="FMN104" s="769"/>
      <c r="FMO104" s="769"/>
      <c r="FMP104" s="769"/>
      <c r="FMQ104" s="769"/>
      <c r="FMR104" s="769"/>
      <c r="FMS104" s="769"/>
      <c r="FMT104" s="769"/>
      <c r="FMU104" s="769"/>
      <c r="FMV104" s="769"/>
      <c r="FMW104" s="769"/>
      <c r="FMX104" s="769"/>
      <c r="FMY104" s="769"/>
      <c r="FMZ104" s="769"/>
      <c r="FNA104" s="769"/>
      <c r="FNB104" s="769"/>
      <c r="FNC104" s="769"/>
      <c r="FND104" s="769"/>
      <c r="FNE104" s="769"/>
      <c r="FNF104" s="769"/>
      <c r="FNG104" s="769"/>
      <c r="FNH104" s="769"/>
      <c r="FNI104" s="769"/>
      <c r="FNJ104" s="769"/>
      <c r="FNK104" s="769"/>
      <c r="FNL104" s="769"/>
      <c r="FNM104" s="769"/>
      <c r="FNN104" s="769"/>
      <c r="FNO104" s="769"/>
      <c r="FNP104" s="769"/>
      <c r="FNQ104" s="769"/>
      <c r="FNR104" s="769"/>
      <c r="FNS104" s="769"/>
      <c r="FNT104" s="769"/>
      <c r="FNU104" s="769"/>
      <c r="FNV104" s="769"/>
      <c r="FNW104" s="769"/>
      <c r="FNX104" s="769"/>
      <c r="FNY104" s="769"/>
      <c r="FNZ104" s="769"/>
      <c r="FOA104" s="769"/>
      <c r="FOB104" s="769"/>
      <c r="FOC104" s="769"/>
      <c r="FOD104" s="769"/>
      <c r="FOE104" s="769"/>
      <c r="FOF104" s="769"/>
      <c r="FOG104" s="769"/>
      <c r="FOH104" s="769"/>
      <c r="FOI104" s="769"/>
      <c r="FOJ104" s="769"/>
      <c r="FOK104" s="769"/>
      <c r="FOL104" s="769"/>
      <c r="FOM104" s="769"/>
      <c r="FON104" s="769"/>
      <c r="FOO104" s="769"/>
      <c r="FOP104" s="769"/>
      <c r="FOQ104" s="769"/>
      <c r="FOR104" s="769"/>
      <c r="FOS104" s="769"/>
      <c r="FOT104" s="769"/>
      <c r="FOU104" s="769"/>
      <c r="FOV104" s="769"/>
      <c r="FOW104" s="769"/>
      <c r="FOX104" s="769"/>
      <c r="FOY104" s="769"/>
      <c r="FOZ104" s="769"/>
      <c r="FPA104" s="769"/>
      <c r="FPB104" s="769"/>
      <c r="FPC104" s="769"/>
      <c r="FPD104" s="769"/>
      <c r="FPE104" s="769"/>
      <c r="FPF104" s="769"/>
      <c r="FPG104" s="769"/>
      <c r="FPH104" s="769"/>
      <c r="FPI104" s="769"/>
      <c r="FPJ104" s="769"/>
      <c r="FPK104" s="769"/>
      <c r="FPL104" s="769"/>
      <c r="FPM104" s="769"/>
      <c r="FPN104" s="769"/>
      <c r="FPO104" s="769"/>
      <c r="FPP104" s="769"/>
      <c r="FPQ104" s="769"/>
      <c r="FPR104" s="769"/>
      <c r="FPS104" s="769"/>
      <c r="FPT104" s="769"/>
      <c r="FPU104" s="769"/>
      <c r="FPV104" s="769"/>
      <c r="FPW104" s="769"/>
      <c r="FPX104" s="769"/>
      <c r="FPY104" s="769"/>
      <c r="FPZ104" s="769"/>
      <c r="FQA104" s="769"/>
      <c r="FQB104" s="769"/>
      <c r="FQC104" s="769"/>
      <c r="FQD104" s="769"/>
      <c r="FQE104" s="769"/>
      <c r="FQF104" s="769"/>
      <c r="FQG104" s="769"/>
      <c r="FQH104" s="769"/>
      <c r="FQI104" s="769"/>
      <c r="FQJ104" s="769"/>
      <c r="FQK104" s="769"/>
      <c r="FQL104" s="769"/>
      <c r="FQM104" s="769"/>
      <c r="FQN104" s="769"/>
      <c r="FQO104" s="769"/>
      <c r="FQP104" s="769"/>
      <c r="FQQ104" s="769"/>
      <c r="FQR104" s="769"/>
      <c r="FQS104" s="769"/>
      <c r="FQT104" s="769"/>
      <c r="FQU104" s="769"/>
      <c r="FQV104" s="769"/>
      <c r="FQW104" s="769"/>
      <c r="FQX104" s="769"/>
      <c r="FQY104" s="769"/>
      <c r="FQZ104" s="769"/>
      <c r="FRA104" s="769"/>
      <c r="FRB104" s="769"/>
      <c r="FRC104" s="769"/>
      <c r="FRD104" s="769"/>
      <c r="FRE104" s="769"/>
      <c r="FRF104" s="769"/>
      <c r="FRG104" s="769"/>
      <c r="FRH104" s="769"/>
      <c r="FRI104" s="769"/>
      <c r="FRJ104" s="769"/>
      <c r="FRK104" s="769"/>
      <c r="FRL104" s="769"/>
      <c r="FRM104" s="769"/>
      <c r="FRN104" s="769"/>
      <c r="FRO104" s="769"/>
      <c r="FRP104" s="769"/>
      <c r="FRQ104" s="769"/>
      <c r="FRR104" s="769"/>
      <c r="FRS104" s="769"/>
      <c r="FRT104" s="769"/>
      <c r="FRU104" s="769"/>
      <c r="FRV104" s="769"/>
      <c r="FRW104" s="769"/>
      <c r="FRX104" s="769"/>
      <c r="FRY104" s="769"/>
      <c r="FRZ104" s="769"/>
      <c r="FSA104" s="769"/>
      <c r="FSB104" s="769"/>
      <c r="FSC104" s="769"/>
      <c r="FSD104" s="769"/>
      <c r="FSE104" s="769"/>
      <c r="FSF104" s="769"/>
      <c r="FSG104" s="769"/>
      <c r="FSH104" s="769"/>
      <c r="FSI104" s="769"/>
      <c r="FSJ104" s="769"/>
      <c r="FSK104" s="769"/>
      <c r="FSL104" s="769"/>
      <c r="FSM104" s="769"/>
      <c r="FSN104" s="769"/>
      <c r="FSO104" s="769"/>
      <c r="FSP104" s="769"/>
      <c r="FSQ104" s="769"/>
      <c r="FSR104" s="769"/>
      <c r="FSS104" s="769"/>
      <c r="FST104" s="769"/>
      <c r="FSU104" s="769"/>
      <c r="FSV104" s="769"/>
      <c r="FSW104" s="769"/>
      <c r="FSX104" s="769"/>
      <c r="FSY104" s="769"/>
      <c r="FSZ104" s="769"/>
      <c r="FTA104" s="769"/>
      <c r="FTB104" s="769"/>
      <c r="FTC104" s="769"/>
      <c r="FTD104" s="769"/>
      <c r="FTE104" s="769"/>
      <c r="FTF104" s="769"/>
      <c r="FTG104" s="769"/>
      <c r="FTH104" s="769"/>
      <c r="FTI104" s="769"/>
      <c r="FTJ104" s="769"/>
      <c r="FTK104" s="769"/>
      <c r="FTL104" s="769"/>
      <c r="FTM104" s="769"/>
      <c r="FTN104" s="769"/>
      <c r="FTO104" s="769"/>
      <c r="FTP104" s="769"/>
      <c r="FTQ104" s="769"/>
      <c r="FTR104" s="769"/>
      <c r="FTS104" s="769"/>
      <c r="FTT104" s="769"/>
      <c r="FTU104" s="769"/>
      <c r="FTV104" s="769"/>
      <c r="FTW104" s="769"/>
      <c r="FTX104" s="769"/>
      <c r="FTY104" s="769"/>
      <c r="FTZ104" s="769"/>
      <c r="FUA104" s="769"/>
      <c r="FUB104" s="769"/>
      <c r="FUC104" s="769"/>
      <c r="FUD104" s="769"/>
      <c r="FUE104" s="769"/>
      <c r="FUF104" s="769"/>
      <c r="FUG104" s="769"/>
      <c r="FUH104" s="769"/>
      <c r="FUI104" s="769"/>
      <c r="FUJ104" s="769"/>
      <c r="FUK104" s="769"/>
      <c r="FUL104" s="769"/>
      <c r="FUM104" s="769"/>
      <c r="FUN104" s="769"/>
      <c r="FUO104" s="769"/>
      <c r="FUP104" s="769"/>
      <c r="FUQ104" s="769"/>
      <c r="FUR104" s="769"/>
      <c r="FUS104" s="769"/>
      <c r="FUT104" s="769"/>
      <c r="FUU104" s="769"/>
      <c r="FUV104" s="769"/>
      <c r="FUW104" s="769"/>
      <c r="FUX104" s="769"/>
      <c r="FUY104" s="769"/>
      <c r="FUZ104" s="769"/>
      <c r="FVA104" s="769"/>
      <c r="FVB104" s="769"/>
      <c r="FVC104" s="769"/>
      <c r="FVD104" s="769"/>
      <c r="FVE104" s="769"/>
      <c r="FVF104" s="769"/>
      <c r="FVG104" s="769"/>
      <c r="FVH104" s="769"/>
      <c r="FVI104" s="769"/>
      <c r="FVJ104" s="769"/>
      <c r="FVK104" s="769"/>
      <c r="FVL104" s="769"/>
      <c r="FVM104" s="769"/>
      <c r="FVN104" s="769"/>
      <c r="FVO104" s="769"/>
      <c r="FVP104" s="769"/>
      <c r="FVQ104" s="769"/>
      <c r="FVR104" s="769"/>
      <c r="FVS104" s="769"/>
      <c r="FVT104" s="769"/>
      <c r="FVU104" s="769"/>
      <c r="FVV104" s="769"/>
      <c r="FVW104" s="769"/>
      <c r="FVX104" s="769"/>
      <c r="FVY104" s="769"/>
      <c r="FVZ104" s="769"/>
      <c r="FWA104" s="769"/>
      <c r="FWB104" s="769"/>
      <c r="FWC104" s="769"/>
      <c r="FWD104" s="769"/>
      <c r="FWE104" s="769"/>
      <c r="FWF104" s="769"/>
      <c r="FWG104" s="769"/>
      <c r="FWH104" s="769"/>
      <c r="FWI104" s="769"/>
      <c r="FWJ104" s="769"/>
      <c r="FWK104" s="769"/>
      <c r="FWL104" s="769"/>
      <c r="FWM104" s="769"/>
      <c r="FWN104" s="769"/>
      <c r="FWO104" s="769"/>
      <c r="FWP104" s="769"/>
      <c r="FWQ104" s="769"/>
      <c r="FWR104" s="769"/>
      <c r="FWS104" s="769"/>
      <c r="FWT104" s="769"/>
      <c r="FWU104" s="769"/>
      <c r="FWV104" s="769"/>
      <c r="FWW104" s="769"/>
      <c r="FWX104" s="769"/>
      <c r="FWY104" s="769"/>
      <c r="FWZ104" s="769"/>
      <c r="FXA104" s="769"/>
      <c r="FXB104" s="769"/>
      <c r="FXC104" s="769"/>
      <c r="FXD104" s="769"/>
      <c r="FXE104" s="769"/>
      <c r="FXF104" s="769"/>
      <c r="FXG104" s="769"/>
      <c r="FXH104" s="769"/>
      <c r="FXI104" s="769"/>
      <c r="FXJ104" s="769"/>
      <c r="FXK104" s="769"/>
      <c r="FXL104" s="769"/>
      <c r="FXM104" s="769"/>
      <c r="FXN104" s="769"/>
      <c r="FXO104" s="769"/>
      <c r="FXP104" s="769"/>
      <c r="FXQ104" s="769"/>
      <c r="FXR104" s="769"/>
      <c r="FXS104" s="769"/>
      <c r="FXT104" s="769"/>
      <c r="FXU104" s="769"/>
      <c r="FXV104" s="769"/>
      <c r="FXW104" s="769"/>
      <c r="FXX104" s="769"/>
      <c r="FXY104" s="769"/>
      <c r="FXZ104" s="769"/>
      <c r="FYA104" s="769"/>
      <c r="FYB104" s="769"/>
      <c r="FYC104" s="769"/>
      <c r="FYD104" s="769"/>
      <c r="FYE104" s="769"/>
      <c r="FYF104" s="769"/>
      <c r="FYG104" s="769"/>
      <c r="FYH104" s="769"/>
      <c r="FYI104" s="769"/>
      <c r="FYJ104" s="769"/>
      <c r="FYK104" s="769"/>
      <c r="FYL104" s="769"/>
      <c r="FYM104" s="769"/>
      <c r="FYN104" s="769"/>
      <c r="FYO104" s="769"/>
      <c r="FYP104" s="769"/>
      <c r="FYQ104" s="769"/>
      <c r="FYR104" s="769"/>
      <c r="FYS104" s="769"/>
      <c r="FYT104" s="769"/>
      <c r="FYU104" s="769"/>
      <c r="FYV104" s="769"/>
      <c r="FYW104" s="769"/>
      <c r="FYX104" s="769"/>
      <c r="FYY104" s="769"/>
      <c r="FYZ104" s="769"/>
      <c r="FZA104" s="769"/>
      <c r="FZB104" s="769"/>
      <c r="FZC104" s="769"/>
      <c r="FZD104" s="769"/>
      <c r="FZE104" s="769"/>
      <c r="FZF104" s="769"/>
      <c r="FZG104" s="769"/>
      <c r="FZH104" s="769"/>
      <c r="FZI104" s="769"/>
      <c r="FZJ104" s="769"/>
      <c r="FZK104" s="769"/>
      <c r="FZL104" s="769"/>
      <c r="FZM104" s="769"/>
      <c r="FZN104" s="769"/>
      <c r="FZO104" s="769"/>
      <c r="FZP104" s="769"/>
      <c r="FZQ104" s="769"/>
      <c r="FZR104" s="769"/>
      <c r="FZS104" s="769"/>
      <c r="FZT104" s="769"/>
      <c r="FZU104" s="769"/>
      <c r="FZV104" s="769"/>
      <c r="FZW104" s="769"/>
      <c r="FZX104" s="769"/>
      <c r="FZY104" s="769"/>
      <c r="FZZ104" s="769"/>
      <c r="GAA104" s="769"/>
      <c r="GAB104" s="769"/>
      <c r="GAC104" s="769"/>
      <c r="GAD104" s="769"/>
      <c r="GAE104" s="769"/>
      <c r="GAF104" s="769"/>
      <c r="GAG104" s="769"/>
      <c r="GAH104" s="769"/>
      <c r="GAI104" s="769"/>
      <c r="GAJ104" s="769"/>
      <c r="GAK104" s="769"/>
      <c r="GAL104" s="769"/>
      <c r="GAM104" s="769"/>
      <c r="GAN104" s="769"/>
      <c r="GAO104" s="769"/>
      <c r="GAP104" s="769"/>
      <c r="GAQ104" s="769"/>
      <c r="GAR104" s="769"/>
      <c r="GAS104" s="769"/>
      <c r="GAT104" s="769"/>
      <c r="GAU104" s="769"/>
      <c r="GAV104" s="769"/>
      <c r="GAW104" s="769"/>
      <c r="GAX104" s="769"/>
      <c r="GAY104" s="769"/>
      <c r="GAZ104" s="769"/>
      <c r="GBA104" s="769"/>
      <c r="GBB104" s="769"/>
      <c r="GBC104" s="769"/>
      <c r="GBD104" s="769"/>
      <c r="GBE104" s="769"/>
      <c r="GBF104" s="769"/>
      <c r="GBG104" s="769"/>
      <c r="GBH104" s="769"/>
      <c r="GBI104" s="769"/>
      <c r="GBJ104" s="769"/>
      <c r="GBK104" s="769"/>
      <c r="GBL104" s="769"/>
      <c r="GBM104" s="769"/>
      <c r="GBN104" s="769"/>
      <c r="GBO104" s="769"/>
      <c r="GBP104" s="769"/>
      <c r="GBQ104" s="769"/>
      <c r="GBR104" s="769"/>
      <c r="GBS104" s="769"/>
      <c r="GBT104" s="769"/>
      <c r="GBU104" s="769"/>
      <c r="GBV104" s="769"/>
      <c r="GBW104" s="769"/>
      <c r="GBX104" s="769"/>
      <c r="GBY104" s="769"/>
      <c r="GBZ104" s="769"/>
      <c r="GCA104" s="769"/>
      <c r="GCB104" s="769"/>
      <c r="GCC104" s="769"/>
      <c r="GCD104" s="769"/>
      <c r="GCE104" s="769"/>
      <c r="GCF104" s="769"/>
      <c r="GCG104" s="769"/>
      <c r="GCH104" s="769"/>
      <c r="GCI104" s="769"/>
      <c r="GCJ104" s="769"/>
      <c r="GCK104" s="769"/>
      <c r="GCL104" s="769"/>
      <c r="GCM104" s="769"/>
      <c r="GCN104" s="769"/>
      <c r="GCO104" s="769"/>
      <c r="GCP104" s="769"/>
      <c r="GCQ104" s="769"/>
      <c r="GCR104" s="769"/>
      <c r="GCS104" s="769"/>
      <c r="GCT104" s="769"/>
      <c r="GCU104" s="769"/>
      <c r="GCV104" s="769"/>
      <c r="GCW104" s="769"/>
      <c r="GCX104" s="769"/>
      <c r="GCY104" s="769"/>
      <c r="GCZ104" s="769"/>
      <c r="GDA104" s="769"/>
      <c r="GDB104" s="769"/>
      <c r="GDC104" s="769"/>
      <c r="GDD104" s="769"/>
      <c r="GDE104" s="769"/>
      <c r="GDF104" s="769"/>
      <c r="GDG104" s="769"/>
      <c r="GDH104" s="769"/>
      <c r="GDI104" s="769"/>
      <c r="GDJ104" s="769"/>
      <c r="GDK104" s="769"/>
      <c r="GDL104" s="769"/>
      <c r="GDM104" s="769"/>
      <c r="GDN104" s="769"/>
      <c r="GDO104" s="769"/>
      <c r="GDP104" s="769"/>
      <c r="GDQ104" s="769"/>
      <c r="GDR104" s="769"/>
      <c r="GDS104" s="769"/>
      <c r="GDT104" s="769"/>
      <c r="GDU104" s="769"/>
      <c r="GDV104" s="769"/>
      <c r="GDW104" s="769"/>
      <c r="GDX104" s="769"/>
      <c r="GDY104" s="769"/>
      <c r="GDZ104" s="769"/>
      <c r="GEA104" s="769"/>
      <c r="GEB104" s="769"/>
      <c r="GEC104" s="769"/>
      <c r="GED104" s="769"/>
      <c r="GEE104" s="769"/>
      <c r="GEF104" s="769"/>
      <c r="GEG104" s="769"/>
      <c r="GEH104" s="769"/>
      <c r="GEI104" s="769"/>
      <c r="GEJ104" s="769"/>
      <c r="GEK104" s="769"/>
      <c r="GEL104" s="769"/>
      <c r="GEM104" s="769"/>
      <c r="GEN104" s="769"/>
      <c r="GEO104" s="769"/>
      <c r="GEP104" s="769"/>
      <c r="GEQ104" s="769"/>
      <c r="GER104" s="769"/>
      <c r="GES104" s="769"/>
      <c r="GET104" s="769"/>
      <c r="GEU104" s="769"/>
      <c r="GEV104" s="769"/>
      <c r="GEW104" s="769"/>
      <c r="GEX104" s="769"/>
      <c r="GEY104" s="769"/>
      <c r="GEZ104" s="769"/>
      <c r="GFA104" s="769"/>
      <c r="GFB104" s="769"/>
      <c r="GFC104" s="769"/>
      <c r="GFD104" s="769"/>
      <c r="GFE104" s="769"/>
      <c r="GFF104" s="769"/>
      <c r="GFG104" s="769"/>
      <c r="GFH104" s="769"/>
      <c r="GFI104" s="769"/>
      <c r="GFJ104" s="769"/>
      <c r="GFK104" s="769"/>
      <c r="GFL104" s="769"/>
      <c r="GFM104" s="769"/>
      <c r="GFN104" s="769"/>
      <c r="GFO104" s="769"/>
      <c r="GFP104" s="769"/>
      <c r="GFQ104" s="769"/>
      <c r="GFR104" s="769"/>
      <c r="GFS104" s="769"/>
      <c r="GFT104" s="769"/>
      <c r="GFU104" s="769"/>
      <c r="GFV104" s="769"/>
      <c r="GFW104" s="769"/>
      <c r="GFX104" s="769"/>
      <c r="GFY104" s="769"/>
      <c r="GFZ104" s="769"/>
      <c r="GGA104" s="769"/>
      <c r="GGB104" s="769"/>
      <c r="GGC104" s="769"/>
      <c r="GGD104" s="769"/>
      <c r="GGE104" s="769"/>
      <c r="GGF104" s="769"/>
      <c r="GGG104" s="769"/>
      <c r="GGH104" s="769"/>
      <c r="GGI104" s="769"/>
      <c r="GGJ104" s="769"/>
      <c r="GGK104" s="769"/>
      <c r="GGL104" s="769"/>
      <c r="GGM104" s="769"/>
      <c r="GGN104" s="769"/>
      <c r="GGO104" s="769"/>
      <c r="GGP104" s="769"/>
      <c r="GGQ104" s="769"/>
      <c r="GGR104" s="769"/>
      <c r="GGS104" s="769"/>
      <c r="GGT104" s="769"/>
      <c r="GGU104" s="769"/>
      <c r="GGV104" s="769"/>
      <c r="GGW104" s="769"/>
      <c r="GGX104" s="769"/>
      <c r="GGY104" s="769"/>
      <c r="GGZ104" s="769"/>
      <c r="GHA104" s="769"/>
      <c r="GHB104" s="769"/>
      <c r="GHC104" s="769"/>
      <c r="GHD104" s="769"/>
      <c r="GHE104" s="769"/>
      <c r="GHF104" s="769"/>
      <c r="GHG104" s="769"/>
      <c r="GHH104" s="769"/>
      <c r="GHI104" s="769"/>
      <c r="GHJ104" s="769"/>
      <c r="GHK104" s="769"/>
      <c r="GHL104" s="769"/>
      <c r="GHM104" s="769"/>
      <c r="GHN104" s="769"/>
      <c r="GHO104" s="769"/>
      <c r="GHP104" s="769"/>
      <c r="GHQ104" s="769"/>
      <c r="GHR104" s="769"/>
      <c r="GHS104" s="769"/>
      <c r="GHT104" s="769"/>
      <c r="GHU104" s="769"/>
      <c r="GHV104" s="769"/>
      <c r="GHW104" s="769"/>
      <c r="GHX104" s="769"/>
      <c r="GHY104" s="769"/>
      <c r="GHZ104" s="769"/>
      <c r="GIA104" s="769"/>
      <c r="GIB104" s="769"/>
      <c r="GIC104" s="769"/>
      <c r="GID104" s="769"/>
      <c r="GIE104" s="769"/>
      <c r="GIF104" s="769"/>
      <c r="GIG104" s="769"/>
      <c r="GIH104" s="769"/>
      <c r="GII104" s="769"/>
      <c r="GIJ104" s="769"/>
      <c r="GIK104" s="769"/>
      <c r="GIL104" s="769"/>
      <c r="GIM104" s="769"/>
      <c r="GIN104" s="769"/>
      <c r="GIO104" s="769"/>
      <c r="GIP104" s="769"/>
      <c r="GIQ104" s="769"/>
      <c r="GIR104" s="769"/>
      <c r="GIS104" s="769"/>
      <c r="GIT104" s="769"/>
      <c r="GIU104" s="769"/>
      <c r="GIV104" s="769"/>
      <c r="GIW104" s="769"/>
      <c r="GIX104" s="769"/>
      <c r="GIY104" s="769"/>
      <c r="GIZ104" s="769"/>
      <c r="GJA104" s="769"/>
      <c r="GJB104" s="769"/>
      <c r="GJC104" s="769"/>
      <c r="GJD104" s="769"/>
      <c r="GJE104" s="769"/>
      <c r="GJF104" s="769"/>
      <c r="GJG104" s="769"/>
      <c r="GJH104" s="769"/>
      <c r="GJI104" s="769"/>
      <c r="GJJ104" s="769"/>
      <c r="GJK104" s="769"/>
      <c r="GJL104" s="769"/>
      <c r="GJM104" s="769"/>
      <c r="GJN104" s="769"/>
      <c r="GJO104" s="769"/>
      <c r="GJP104" s="769"/>
      <c r="GJQ104" s="769"/>
      <c r="GJR104" s="769"/>
      <c r="GJS104" s="769"/>
      <c r="GJT104" s="769"/>
      <c r="GJU104" s="769"/>
      <c r="GJV104" s="769"/>
      <c r="GJW104" s="769"/>
      <c r="GJX104" s="769"/>
      <c r="GJY104" s="769"/>
      <c r="GJZ104" s="769"/>
      <c r="GKA104" s="769"/>
      <c r="GKB104" s="769"/>
      <c r="GKC104" s="769"/>
      <c r="GKD104" s="769"/>
      <c r="GKE104" s="769"/>
      <c r="GKF104" s="769"/>
      <c r="GKG104" s="769"/>
      <c r="GKH104" s="769"/>
      <c r="GKI104" s="769"/>
      <c r="GKJ104" s="769"/>
      <c r="GKK104" s="769"/>
      <c r="GKL104" s="769"/>
      <c r="GKM104" s="769"/>
      <c r="GKN104" s="769"/>
      <c r="GKO104" s="769"/>
      <c r="GKP104" s="769"/>
      <c r="GKQ104" s="769"/>
      <c r="GKR104" s="769"/>
      <c r="GKS104" s="769"/>
      <c r="GKT104" s="769"/>
      <c r="GKU104" s="769"/>
      <c r="GKV104" s="769"/>
      <c r="GKW104" s="769"/>
      <c r="GKX104" s="769"/>
      <c r="GKY104" s="769"/>
      <c r="GKZ104" s="769"/>
      <c r="GLA104" s="769"/>
      <c r="GLB104" s="769"/>
      <c r="GLC104" s="769"/>
      <c r="GLD104" s="769"/>
      <c r="GLE104" s="769"/>
      <c r="GLF104" s="769"/>
      <c r="GLG104" s="769"/>
      <c r="GLH104" s="769"/>
      <c r="GLI104" s="769"/>
      <c r="GLJ104" s="769"/>
      <c r="GLK104" s="769"/>
      <c r="GLL104" s="769"/>
      <c r="GLM104" s="769"/>
      <c r="GLN104" s="769"/>
      <c r="GLO104" s="769"/>
      <c r="GLP104" s="769"/>
      <c r="GLQ104" s="769"/>
      <c r="GLR104" s="769"/>
      <c r="GLS104" s="769"/>
      <c r="GLT104" s="769"/>
      <c r="GLU104" s="769"/>
      <c r="GLV104" s="769"/>
      <c r="GLW104" s="769"/>
      <c r="GLX104" s="769"/>
      <c r="GLY104" s="769"/>
      <c r="GLZ104" s="769"/>
      <c r="GMA104" s="769"/>
      <c r="GMB104" s="769"/>
      <c r="GMC104" s="769"/>
      <c r="GMD104" s="769"/>
      <c r="GME104" s="769"/>
      <c r="GMF104" s="769"/>
      <c r="GMG104" s="769"/>
      <c r="GMH104" s="769"/>
      <c r="GMI104" s="769"/>
      <c r="GMJ104" s="769"/>
      <c r="GMK104" s="769"/>
      <c r="GML104" s="769"/>
      <c r="GMM104" s="769"/>
      <c r="GMN104" s="769"/>
      <c r="GMO104" s="769"/>
      <c r="GMP104" s="769"/>
      <c r="GMQ104" s="769"/>
      <c r="GMR104" s="769"/>
      <c r="GMS104" s="769"/>
      <c r="GMT104" s="769"/>
      <c r="GMU104" s="769"/>
      <c r="GMV104" s="769"/>
      <c r="GMW104" s="769"/>
      <c r="GMX104" s="769"/>
      <c r="GMY104" s="769"/>
      <c r="GMZ104" s="769"/>
      <c r="GNA104" s="769"/>
      <c r="GNB104" s="769"/>
      <c r="GNC104" s="769"/>
      <c r="GND104" s="769"/>
      <c r="GNE104" s="769"/>
      <c r="GNF104" s="769"/>
      <c r="GNG104" s="769"/>
      <c r="GNH104" s="769"/>
      <c r="GNI104" s="769"/>
      <c r="GNJ104" s="769"/>
      <c r="GNK104" s="769"/>
      <c r="GNL104" s="769"/>
      <c r="GNM104" s="769"/>
      <c r="GNN104" s="769"/>
      <c r="GNO104" s="769"/>
      <c r="GNP104" s="769"/>
      <c r="GNQ104" s="769"/>
      <c r="GNR104" s="769"/>
      <c r="GNS104" s="769"/>
      <c r="GNT104" s="769"/>
      <c r="GNU104" s="769"/>
      <c r="GNV104" s="769"/>
      <c r="GNW104" s="769"/>
      <c r="GNX104" s="769"/>
      <c r="GNY104" s="769"/>
      <c r="GNZ104" s="769"/>
      <c r="GOA104" s="769"/>
      <c r="GOB104" s="769"/>
      <c r="GOC104" s="769"/>
      <c r="GOD104" s="769"/>
      <c r="GOE104" s="769"/>
      <c r="GOF104" s="769"/>
      <c r="GOG104" s="769"/>
      <c r="GOH104" s="769"/>
      <c r="GOI104" s="769"/>
      <c r="GOJ104" s="769"/>
      <c r="GOK104" s="769"/>
      <c r="GOL104" s="769"/>
      <c r="GOM104" s="769"/>
      <c r="GON104" s="769"/>
      <c r="GOO104" s="769"/>
      <c r="GOP104" s="769"/>
      <c r="GOQ104" s="769"/>
      <c r="GOR104" s="769"/>
      <c r="GOS104" s="769"/>
      <c r="GOT104" s="769"/>
      <c r="GOU104" s="769"/>
      <c r="GOV104" s="769"/>
      <c r="GOW104" s="769"/>
      <c r="GOX104" s="769"/>
      <c r="GOY104" s="769"/>
      <c r="GOZ104" s="769"/>
      <c r="GPA104" s="769"/>
      <c r="GPB104" s="769"/>
      <c r="GPC104" s="769"/>
      <c r="GPD104" s="769"/>
      <c r="GPE104" s="769"/>
      <c r="GPF104" s="769"/>
      <c r="GPG104" s="769"/>
      <c r="GPH104" s="769"/>
      <c r="GPI104" s="769"/>
      <c r="GPJ104" s="769"/>
      <c r="GPK104" s="769"/>
      <c r="GPL104" s="769"/>
      <c r="GPM104" s="769"/>
      <c r="GPN104" s="769"/>
      <c r="GPO104" s="769"/>
      <c r="GPP104" s="769"/>
      <c r="GPQ104" s="769"/>
      <c r="GPR104" s="769"/>
      <c r="GPS104" s="769"/>
      <c r="GPT104" s="769"/>
      <c r="GPU104" s="769"/>
      <c r="GPV104" s="769"/>
      <c r="GPW104" s="769"/>
      <c r="GPX104" s="769"/>
      <c r="GPY104" s="769"/>
      <c r="GPZ104" s="769"/>
      <c r="GQA104" s="769"/>
      <c r="GQB104" s="769"/>
      <c r="GQC104" s="769"/>
      <c r="GQD104" s="769"/>
      <c r="GQE104" s="769"/>
      <c r="GQF104" s="769"/>
      <c r="GQG104" s="769"/>
      <c r="GQH104" s="769"/>
      <c r="GQI104" s="769"/>
      <c r="GQJ104" s="769"/>
      <c r="GQK104" s="769"/>
      <c r="GQL104" s="769"/>
      <c r="GQM104" s="769"/>
      <c r="GQN104" s="769"/>
      <c r="GQO104" s="769"/>
      <c r="GQP104" s="769"/>
      <c r="GQQ104" s="769"/>
      <c r="GQR104" s="769"/>
      <c r="GQS104" s="769"/>
      <c r="GQT104" s="769"/>
      <c r="GQU104" s="769"/>
      <c r="GQV104" s="769"/>
      <c r="GQW104" s="769"/>
      <c r="GQX104" s="769"/>
      <c r="GQY104" s="769"/>
      <c r="GQZ104" s="769"/>
      <c r="GRA104" s="769"/>
      <c r="GRB104" s="769"/>
      <c r="GRC104" s="769"/>
      <c r="GRD104" s="769"/>
      <c r="GRE104" s="769"/>
      <c r="GRF104" s="769"/>
      <c r="GRG104" s="769"/>
      <c r="GRH104" s="769"/>
      <c r="GRI104" s="769"/>
      <c r="GRJ104" s="769"/>
      <c r="GRK104" s="769"/>
      <c r="GRL104" s="769"/>
      <c r="GRM104" s="769"/>
      <c r="GRN104" s="769"/>
      <c r="GRO104" s="769"/>
      <c r="GRP104" s="769"/>
      <c r="GRQ104" s="769"/>
      <c r="GRR104" s="769"/>
      <c r="GRS104" s="769"/>
      <c r="GRT104" s="769"/>
      <c r="GRU104" s="769"/>
      <c r="GRV104" s="769"/>
      <c r="GRW104" s="769"/>
      <c r="GRX104" s="769"/>
      <c r="GRY104" s="769"/>
      <c r="GRZ104" s="769"/>
      <c r="GSA104" s="769"/>
      <c r="GSB104" s="769"/>
      <c r="GSC104" s="769"/>
      <c r="GSD104" s="769"/>
      <c r="GSE104" s="769"/>
      <c r="GSF104" s="769"/>
      <c r="GSG104" s="769"/>
      <c r="GSH104" s="769"/>
      <c r="GSI104" s="769"/>
      <c r="GSJ104" s="769"/>
      <c r="GSK104" s="769"/>
      <c r="GSL104" s="769"/>
      <c r="GSM104" s="769"/>
      <c r="GSN104" s="769"/>
      <c r="GSO104" s="769"/>
      <c r="GSP104" s="769"/>
      <c r="GSQ104" s="769"/>
      <c r="GSR104" s="769"/>
      <c r="GSS104" s="769"/>
      <c r="GST104" s="769"/>
      <c r="GSU104" s="769"/>
      <c r="GSV104" s="769"/>
      <c r="GSW104" s="769"/>
      <c r="GSX104" s="769"/>
      <c r="GSY104" s="769"/>
      <c r="GSZ104" s="769"/>
      <c r="GTA104" s="769"/>
      <c r="GTB104" s="769"/>
      <c r="GTC104" s="769"/>
      <c r="GTD104" s="769"/>
      <c r="GTE104" s="769"/>
      <c r="GTF104" s="769"/>
      <c r="GTG104" s="769"/>
      <c r="GTH104" s="769"/>
      <c r="GTI104" s="769"/>
      <c r="GTJ104" s="769"/>
      <c r="GTK104" s="769"/>
      <c r="GTL104" s="769"/>
      <c r="GTM104" s="769"/>
      <c r="GTN104" s="769"/>
      <c r="GTO104" s="769"/>
      <c r="GTP104" s="769"/>
      <c r="GTQ104" s="769"/>
      <c r="GTR104" s="769"/>
      <c r="GTS104" s="769"/>
      <c r="GTT104" s="769"/>
      <c r="GTU104" s="769"/>
      <c r="GTV104" s="769"/>
      <c r="GTW104" s="769"/>
      <c r="GTX104" s="769"/>
      <c r="GTY104" s="769"/>
      <c r="GTZ104" s="769"/>
      <c r="GUA104" s="769"/>
      <c r="GUB104" s="769"/>
      <c r="GUC104" s="769"/>
      <c r="GUD104" s="769"/>
      <c r="GUE104" s="769"/>
      <c r="GUF104" s="769"/>
      <c r="GUG104" s="769"/>
      <c r="GUH104" s="769"/>
      <c r="GUI104" s="769"/>
      <c r="GUJ104" s="769"/>
      <c r="GUK104" s="769"/>
      <c r="GUL104" s="769"/>
      <c r="GUM104" s="769"/>
      <c r="GUN104" s="769"/>
      <c r="GUO104" s="769"/>
      <c r="GUP104" s="769"/>
      <c r="GUQ104" s="769"/>
      <c r="GUR104" s="769"/>
      <c r="GUS104" s="769"/>
      <c r="GUT104" s="769"/>
      <c r="GUU104" s="769"/>
      <c r="GUV104" s="769"/>
      <c r="GUW104" s="769"/>
      <c r="GUX104" s="769"/>
      <c r="GUY104" s="769"/>
      <c r="GUZ104" s="769"/>
      <c r="GVA104" s="769"/>
      <c r="GVB104" s="769"/>
      <c r="GVC104" s="769"/>
      <c r="GVD104" s="769"/>
      <c r="GVE104" s="769"/>
      <c r="GVF104" s="769"/>
      <c r="GVG104" s="769"/>
      <c r="GVH104" s="769"/>
      <c r="GVI104" s="769"/>
      <c r="GVJ104" s="769"/>
      <c r="GVK104" s="769"/>
      <c r="GVL104" s="769"/>
      <c r="GVM104" s="769"/>
      <c r="GVN104" s="769"/>
      <c r="GVO104" s="769"/>
      <c r="GVP104" s="769"/>
      <c r="GVQ104" s="769"/>
      <c r="GVR104" s="769"/>
      <c r="GVS104" s="769"/>
      <c r="GVT104" s="769"/>
      <c r="GVU104" s="769"/>
      <c r="GVV104" s="769"/>
      <c r="GVW104" s="769"/>
      <c r="GVX104" s="769"/>
      <c r="GVY104" s="769"/>
      <c r="GVZ104" s="769"/>
      <c r="GWA104" s="769"/>
      <c r="GWB104" s="769"/>
      <c r="GWC104" s="769"/>
      <c r="GWD104" s="769"/>
      <c r="GWE104" s="769"/>
      <c r="GWF104" s="769"/>
      <c r="GWG104" s="769"/>
      <c r="GWH104" s="769"/>
      <c r="GWI104" s="769"/>
      <c r="GWJ104" s="769"/>
      <c r="GWK104" s="769"/>
      <c r="GWL104" s="769"/>
      <c r="GWM104" s="769"/>
      <c r="GWN104" s="769"/>
      <c r="GWO104" s="769"/>
      <c r="GWP104" s="769"/>
      <c r="GWQ104" s="769"/>
      <c r="GWR104" s="769"/>
      <c r="GWS104" s="769"/>
      <c r="GWT104" s="769"/>
      <c r="GWU104" s="769"/>
      <c r="GWV104" s="769"/>
      <c r="GWW104" s="769"/>
      <c r="GWX104" s="769"/>
      <c r="GWY104" s="769"/>
      <c r="GWZ104" s="769"/>
      <c r="GXA104" s="769"/>
      <c r="GXB104" s="769"/>
      <c r="GXC104" s="769"/>
      <c r="GXD104" s="769"/>
      <c r="GXE104" s="769"/>
      <c r="GXF104" s="769"/>
      <c r="GXG104" s="769"/>
      <c r="GXH104" s="769"/>
      <c r="GXI104" s="769"/>
      <c r="GXJ104" s="769"/>
      <c r="GXK104" s="769"/>
      <c r="GXL104" s="769"/>
      <c r="GXM104" s="769"/>
      <c r="GXN104" s="769"/>
      <c r="GXO104" s="769"/>
      <c r="GXP104" s="769"/>
      <c r="GXQ104" s="769"/>
      <c r="GXR104" s="769"/>
      <c r="GXS104" s="769"/>
      <c r="GXT104" s="769"/>
      <c r="GXU104" s="769"/>
      <c r="GXV104" s="769"/>
      <c r="GXW104" s="769"/>
      <c r="GXX104" s="769"/>
      <c r="GXY104" s="769"/>
      <c r="GXZ104" s="769"/>
      <c r="GYA104" s="769"/>
      <c r="GYB104" s="769"/>
      <c r="GYC104" s="769"/>
      <c r="GYD104" s="769"/>
      <c r="GYE104" s="769"/>
      <c r="GYF104" s="769"/>
      <c r="GYG104" s="769"/>
      <c r="GYH104" s="769"/>
      <c r="GYI104" s="769"/>
      <c r="GYJ104" s="769"/>
      <c r="GYK104" s="769"/>
      <c r="GYL104" s="769"/>
      <c r="GYM104" s="769"/>
      <c r="GYN104" s="769"/>
      <c r="GYO104" s="769"/>
      <c r="GYP104" s="769"/>
      <c r="GYQ104" s="769"/>
      <c r="GYR104" s="769"/>
      <c r="GYS104" s="769"/>
      <c r="GYT104" s="769"/>
      <c r="GYU104" s="769"/>
      <c r="GYV104" s="769"/>
      <c r="GYW104" s="769"/>
      <c r="GYX104" s="769"/>
      <c r="GYY104" s="769"/>
      <c r="GYZ104" s="769"/>
      <c r="GZA104" s="769"/>
      <c r="GZB104" s="769"/>
      <c r="GZC104" s="769"/>
      <c r="GZD104" s="769"/>
      <c r="GZE104" s="769"/>
      <c r="GZF104" s="769"/>
      <c r="GZG104" s="769"/>
      <c r="GZH104" s="769"/>
      <c r="GZI104" s="769"/>
      <c r="GZJ104" s="769"/>
      <c r="GZK104" s="769"/>
      <c r="GZL104" s="769"/>
      <c r="GZM104" s="769"/>
      <c r="GZN104" s="769"/>
      <c r="GZO104" s="769"/>
      <c r="GZP104" s="769"/>
      <c r="GZQ104" s="769"/>
      <c r="GZR104" s="769"/>
      <c r="GZS104" s="769"/>
      <c r="GZT104" s="769"/>
      <c r="GZU104" s="769"/>
      <c r="GZV104" s="769"/>
      <c r="GZW104" s="769"/>
      <c r="GZX104" s="769"/>
      <c r="GZY104" s="769"/>
      <c r="GZZ104" s="769"/>
      <c r="HAA104" s="769"/>
      <c r="HAB104" s="769"/>
      <c r="HAC104" s="769"/>
      <c r="HAD104" s="769"/>
      <c r="HAE104" s="769"/>
      <c r="HAF104" s="769"/>
      <c r="HAG104" s="769"/>
      <c r="HAH104" s="769"/>
      <c r="HAI104" s="769"/>
      <c r="HAJ104" s="769"/>
      <c r="HAK104" s="769"/>
      <c r="HAL104" s="769"/>
      <c r="HAM104" s="769"/>
      <c r="HAN104" s="769"/>
      <c r="HAO104" s="769"/>
      <c r="HAP104" s="769"/>
      <c r="HAQ104" s="769"/>
      <c r="HAR104" s="769"/>
      <c r="HAS104" s="769"/>
      <c r="HAT104" s="769"/>
      <c r="HAU104" s="769"/>
      <c r="HAV104" s="769"/>
      <c r="HAW104" s="769"/>
      <c r="HAX104" s="769"/>
      <c r="HAY104" s="769"/>
      <c r="HAZ104" s="769"/>
      <c r="HBA104" s="769"/>
      <c r="HBB104" s="769"/>
      <c r="HBC104" s="769"/>
      <c r="HBD104" s="769"/>
      <c r="HBE104" s="769"/>
      <c r="HBF104" s="769"/>
      <c r="HBG104" s="769"/>
      <c r="HBH104" s="769"/>
      <c r="HBI104" s="769"/>
      <c r="HBJ104" s="769"/>
      <c r="HBK104" s="769"/>
      <c r="HBL104" s="769"/>
      <c r="HBM104" s="769"/>
      <c r="HBN104" s="769"/>
      <c r="HBO104" s="769"/>
      <c r="HBP104" s="769"/>
      <c r="HBQ104" s="769"/>
      <c r="HBR104" s="769"/>
      <c r="HBS104" s="769"/>
      <c r="HBT104" s="769"/>
      <c r="HBU104" s="769"/>
      <c r="HBV104" s="769"/>
      <c r="HBW104" s="769"/>
      <c r="HBX104" s="769"/>
      <c r="HBY104" s="769"/>
      <c r="HBZ104" s="769"/>
      <c r="HCA104" s="769"/>
      <c r="HCB104" s="769"/>
      <c r="HCC104" s="769"/>
      <c r="HCD104" s="769"/>
      <c r="HCE104" s="769"/>
      <c r="HCF104" s="769"/>
      <c r="HCG104" s="769"/>
      <c r="HCH104" s="769"/>
      <c r="HCI104" s="769"/>
      <c r="HCJ104" s="769"/>
      <c r="HCK104" s="769"/>
      <c r="HCL104" s="769"/>
      <c r="HCM104" s="769"/>
      <c r="HCN104" s="769"/>
      <c r="HCO104" s="769"/>
      <c r="HCP104" s="769"/>
      <c r="HCQ104" s="769"/>
      <c r="HCR104" s="769"/>
      <c r="HCS104" s="769"/>
      <c r="HCT104" s="769"/>
      <c r="HCU104" s="769"/>
      <c r="HCV104" s="769"/>
      <c r="HCW104" s="769"/>
      <c r="HCX104" s="769"/>
      <c r="HCY104" s="769"/>
      <c r="HCZ104" s="769"/>
      <c r="HDA104" s="769"/>
      <c r="HDB104" s="769"/>
      <c r="HDC104" s="769"/>
      <c r="HDD104" s="769"/>
      <c r="HDE104" s="769"/>
      <c r="HDF104" s="769"/>
      <c r="HDG104" s="769"/>
      <c r="HDH104" s="769"/>
      <c r="HDI104" s="769"/>
      <c r="HDJ104" s="769"/>
      <c r="HDK104" s="769"/>
      <c r="HDL104" s="769"/>
      <c r="HDM104" s="769"/>
      <c r="HDN104" s="769"/>
      <c r="HDO104" s="769"/>
      <c r="HDP104" s="769"/>
      <c r="HDQ104" s="769"/>
      <c r="HDR104" s="769"/>
      <c r="HDS104" s="769"/>
      <c r="HDT104" s="769"/>
      <c r="HDU104" s="769"/>
      <c r="HDV104" s="769"/>
      <c r="HDW104" s="769"/>
      <c r="HDX104" s="769"/>
      <c r="HDY104" s="769"/>
      <c r="HDZ104" s="769"/>
      <c r="HEA104" s="769"/>
      <c r="HEB104" s="769"/>
      <c r="HEC104" s="769"/>
      <c r="HED104" s="769"/>
      <c r="HEE104" s="769"/>
      <c r="HEF104" s="769"/>
      <c r="HEG104" s="769"/>
      <c r="HEH104" s="769"/>
      <c r="HEI104" s="769"/>
      <c r="HEJ104" s="769"/>
      <c r="HEK104" s="769"/>
      <c r="HEL104" s="769"/>
      <c r="HEM104" s="769"/>
      <c r="HEN104" s="769"/>
      <c r="HEO104" s="769"/>
      <c r="HEP104" s="769"/>
      <c r="HEQ104" s="769"/>
      <c r="HER104" s="769"/>
      <c r="HES104" s="769"/>
      <c r="HET104" s="769"/>
      <c r="HEU104" s="769"/>
      <c r="HEV104" s="769"/>
      <c r="HEW104" s="769"/>
      <c r="HEX104" s="769"/>
      <c r="HEY104" s="769"/>
      <c r="HEZ104" s="769"/>
      <c r="HFA104" s="769"/>
      <c r="HFB104" s="769"/>
      <c r="HFC104" s="769"/>
      <c r="HFD104" s="769"/>
      <c r="HFE104" s="769"/>
      <c r="HFF104" s="769"/>
      <c r="HFG104" s="769"/>
      <c r="HFH104" s="769"/>
      <c r="HFI104" s="769"/>
      <c r="HFJ104" s="769"/>
      <c r="HFK104" s="769"/>
      <c r="HFL104" s="769"/>
      <c r="HFM104" s="769"/>
      <c r="HFN104" s="769"/>
      <c r="HFO104" s="769"/>
      <c r="HFP104" s="769"/>
      <c r="HFQ104" s="769"/>
      <c r="HFR104" s="769"/>
      <c r="HFS104" s="769"/>
      <c r="HFT104" s="769"/>
      <c r="HFU104" s="769"/>
      <c r="HFV104" s="769"/>
      <c r="HFW104" s="769"/>
      <c r="HFX104" s="769"/>
      <c r="HFY104" s="769"/>
      <c r="HFZ104" s="769"/>
      <c r="HGA104" s="769"/>
      <c r="HGB104" s="769"/>
      <c r="HGC104" s="769"/>
      <c r="HGD104" s="769"/>
      <c r="HGE104" s="769"/>
      <c r="HGF104" s="769"/>
      <c r="HGG104" s="769"/>
      <c r="HGH104" s="769"/>
      <c r="HGI104" s="769"/>
      <c r="HGJ104" s="769"/>
      <c r="HGK104" s="769"/>
      <c r="HGL104" s="769"/>
      <c r="HGM104" s="769"/>
      <c r="HGN104" s="769"/>
      <c r="HGO104" s="769"/>
      <c r="HGP104" s="769"/>
      <c r="HGQ104" s="769"/>
      <c r="HGR104" s="769"/>
      <c r="HGS104" s="769"/>
      <c r="HGT104" s="769"/>
      <c r="HGU104" s="769"/>
      <c r="HGV104" s="769"/>
      <c r="HGW104" s="769"/>
      <c r="HGX104" s="769"/>
      <c r="HGY104" s="769"/>
      <c r="HGZ104" s="769"/>
      <c r="HHA104" s="769"/>
      <c r="HHB104" s="769"/>
      <c r="HHC104" s="769"/>
      <c r="HHD104" s="769"/>
      <c r="HHE104" s="769"/>
      <c r="HHF104" s="769"/>
      <c r="HHG104" s="769"/>
      <c r="HHH104" s="769"/>
      <c r="HHI104" s="769"/>
      <c r="HHJ104" s="769"/>
      <c r="HHK104" s="769"/>
      <c r="HHL104" s="769"/>
      <c r="HHM104" s="769"/>
      <c r="HHN104" s="769"/>
      <c r="HHO104" s="769"/>
      <c r="HHP104" s="769"/>
      <c r="HHQ104" s="769"/>
      <c r="HHR104" s="769"/>
      <c r="HHS104" s="769"/>
      <c r="HHT104" s="769"/>
      <c r="HHU104" s="769"/>
      <c r="HHV104" s="769"/>
      <c r="HHW104" s="769"/>
      <c r="HHX104" s="769"/>
      <c r="HHY104" s="769"/>
      <c r="HHZ104" s="769"/>
      <c r="HIA104" s="769"/>
      <c r="HIB104" s="769"/>
      <c r="HIC104" s="769"/>
      <c r="HID104" s="769"/>
      <c r="HIE104" s="769"/>
      <c r="HIF104" s="769"/>
      <c r="HIG104" s="769"/>
      <c r="HIH104" s="769"/>
      <c r="HII104" s="769"/>
      <c r="HIJ104" s="769"/>
      <c r="HIK104" s="769"/>
      <c r="HIL104" s="769"/>
      <c r="HIM104" s="769"/>
      <c r="HIN104" s="769"/>
      <c r="HIO104" s="769"/>
      <c r="HIP104" s="769"/>
      <c r="HIQ104" s="769"/>
      <c r="HIR104" s="769"/>
      <c r="HIS104" s="769"/>
      <c r="HIT104" s="769"/>
      <c r="HIU104" s="769"/>
      <c r="HIV104" s="769"/>
      <c r="HIW104" s="769"/>
      <c r="HIX104" s="769"/>
      <c r="HIY104" s="769"/>
      <c r="HIZ104" s="769"/>
      <c r="HJA104" s="769"/>
      <c r="HJB104" s="769"/>
      <c r="HJC104" s="769"/>
      <c r="HJD104" s="769"/>
      <c r="HJE104" s="769"/>
      <c r="HJF104" s="769"/>
      <c r="HJG104" s="769"/>
      <c r="HJH104" s="769"/>
      <c r="HJI104" s="769"/>
      <c r="HJJ104" s="769"/>
      <c r="HJK104" s="769"/>
      <c r="HJL104" s="769"/>
      <c r="HJM104" s="769"/>
      <c r="HJN104" s="769"/>
      <c r="HJO104" s="769"/>
      <c r="HJP104" s="769"/>
      <c r="HJQ104" s="769"/>
      <c r="HJR104" s="769"/>
      <c r="HJS104" s="769"/>
      <c r="HJT104" s="769"/>
      <c r="HJU104" s="769"/>
      <c r="HJV104" s="769"/>
      <c r="HJW104" s="769"/>
      <c r="HJX104" s="769"/>
      <c r="HJY104" s="769"/>
      <c r="HJZ104" s="769"/>
      <c r="HKA104" s="769"/>
      <c r="HKB104" s="769"/>
      <c r="HKC104" s="769"/>
      <c r="HKD104" s="769"/>
      <c r="HKE104" s="769"/>
      <c r="HKF104" s="769"/>
      <c r="HKG104" s="769"/>
      <c r="HKH104" s="769"/>
      <c r="HKI104" s="769"/>
      <c r="HKJ104" s="769"/>
      <c r="HKK104" s="769"/>
      <c r="HKL104" s="769"/>
      <c r="HKM104" s="769"/>
      <c r="HKN104" s="769"/>
      <c r="HKO104" s="769"/>
      <c r="HKP104" s="769"/>
      <c r="HKQ104" s="769"/>
      <c r="HKR104" s="769"/>
      <c r="HKS104" s="769"/>
      <c r="HKT104" s="769"/>
      <c r="HKU104" s="769"/>
      <c r="HKV104" s="769"/>
      <c r="HKW104" s="769"/>
      <c r="HKX104" s="769"/>
      <c r="HKY104" s="769"/>
      <c r="HKZ104" s="769"/>
      <c r="HLA104" s="769"/>
      <c r="HLB104" s="769"/>
      <c r="HLC104" s="769"/>
      <c r="HLD104" s="769"/>
      <c r="HLE104" s="769"/>
      <c r="HLF104" s="769"/>
      <c r="HLG104" s="769"/>
      <c r="HLH104" s="769"/>
      <c r="HLI104" s="769"/>
      <c r="HLJ104" s="769"/>
      <c r="HLK104" s="769"/>
      <c r="HLL104" s="769"/>
      <c r="HLM104" s="769"/>
      <c r="HLN104" s="769"/>
      <c r="HLO104" s="769"/>
      <c r="HLP104" s="769"/>
      <c r="HLQ104" s="769"/>
      <c r="HLR104" s="769"/>
      <c r="HLS104" s="769"/>
      <c r="HLT104" s="769"/>
      <c r="HLU104" s="769"/>
      <c r="HLV104" s="769"/>
      <c r="HLW104" s="769"/>
      <c r="HLX104" s="769"/>
      <c r="HLY104" s="769"/>
      <c r="HLZ104" s="769"/>
      <c r="HMA104" s="769"/>
      <c r="HMB104" s="769"/>
      <c r="HMC104" s="769"/>
      <c r="HMD104" s="769"/>
      <c r="HME104" s="769"/>
      <c r="HMF104" s="769"/>
      <c r="HMG104" s="769"/>
      <c r="HMH104" s="769"/>
      <c r="HMI104" s="769"/>
      <c r="HMJ104" s="769"/>
      <c r="HMK104" s="769"/>
      <c r="HML104" s="769"/>
      <c r="HMM104" s="769"/>
      <c r="HMN104" s="769"/>
      <c r="HMO104" s="769"/>
      <c r="HMP104" s="769"/>
      <c r="HMQ104" s="769"/>
      <c r="HMR104" s="769"/>
      <c r="HMS104" s="769"/>
      <c r="HMT104" s="769"/>
      <c r="HMU104" s="769"/>
      <c r="HMV104" s="769"/>
      <c r="HMW104" s="769"/>
      <c r="HMX104" s="769"/>
      <c r="HMY104" s="769"/>
      <c r="HMZ104" s="769"/>
      <c r="HNA104" s="769"/>
      <c r="HNB104" s="769"/>
      <c r="HNC104" s="769"/>
      <c r="HND104" s="769"/>
      <c r="HNE104" s="769"/>
      <c r="HNF104" s="769"/>
      <c r="HNG104" s="769"/>
      <c r="HNH104" s="769"/>
      <c r="HNI104" s="769"/>
      <c r="HNJ104" s="769"/>
      <c r="HNK104" s="769"/>
      <c r="HNL104" s="769"/>
      <c r="HNM104" s="769"/>
      <c r="HNN104" s="769"/>
      <c r="HNO104" s="769"/>
      <c r="HNP104" s="769"/>
      <c r="HNQ104" s="769"/>
      <c r="HNR104" s="769"/>
      <c r="HNS104" s="769"/>
      <c r="HNT104" s="769"/>
      <c r="HNU104" s="769"/>
      <c r="HNV104" s="769"/>
      <c r="HNW104" s="769"/>
      <c r="HNX104" s="769"/>
      <c r="HNY104" s="769"/>
      <c r="HNZ104" s="769"/>
      <c r="HOA104" s="769"/>
      <c r="HOB104" s="769"/>
      <c r="HOC104" s="769"/>
      <c r="HOD104" s="769"/>
      <c r="HOE104" s="769"/>
      <c r="HOF104" s="769"/>
      <c r="HOG104" s="769"/>
      <c r="HOH104" s="769"/>
      <c r="HOI104" s="769"/>
      <c r="HOJ104" s="769"/>
      <c r="HOK104" s="769"/>
      <c r="HOL104" s="769"/>
      <c r="HOM104" s="769"/>
      <c r="HON104" s="769"/>
      <c r="HOO104" s="769"/>
      <c r="HOP104" s="769"/>
      <c r="HOQ104" s="769"/>
      <c r="HOR104" s="769"/>
      <c r="HOS104" s="769"/>
      <c r="HOT104" s="769"/>
      <c r="HOU104" s="769"/>
      <c r="HOV104" s="769"/>
      <c r="HOW104" s="769"/>
      <c r="HOX104" s="769"/>
      <c r="HOY104" s="769"/>
      <c r="HOZ104" s="769"/>
      <c r="HPA104" s="769"/>
      <c r="HPB104" s="769"/>
      <c r="HPC104" s="769"/>
      <c r="HPD104" s="769"/>
      <c r="HPE104" s="769"/>
      <c r="HPF104" s="769"/>
      <c r="HPG104" s="769"/>
      <c r="HPH104" s="769"/>
      <c r="HPI104" s="769"/>
      <c r="HPJ104" s="769"/>
      <c r="HPK104" s="769"/>
      <c r="HPL104" s="769"/>
      <c r="HPM104" s="769"/>
      <c r="HPN104" s="769"/>
      <c r="HPO104" s="769"/>
      <c r="HPP104" s="769"/>
      <c r="HPQ104" s="769"/>
      <c r="HPR104" s="769"/>
      <c r="HPS104" s="769"/>
      <c r="HPT104" s="769"/>
      <c r="HPU104" s="769"/>
      <c r="HPV104" s="769"/>
      <c r="HPW104" s="769"/>
      <c r="HPX104" s="769"/>
      <c r="HPY104" s="769"/>
      <c r="HPZ104" s="769"/>
      <c r="HQA104" s="769"/>
      <c r="HQB104" s="769"/>
      <c r="HQC104" s="769"/>
      <c r="HQD104" s="769"/>
      <c r="HQE104" s="769"/>
      <c r="HQF104" s="769"/>
      <c r="HQG104" s="769"/>
      <c r="HQH104" s="769"/>
      <c r="HQI104" s="769"/>
      <c r="HQJ104" s="769"/>
      <c r="HQK104" s="769"/>
      <c r="HQL104" s="769"/>
      <c r="HQM104" s="769"/>
      <c r="HQN104" s="769"/>
      <c r="HQO104" s="769"/>
      <c r="HQP104" s="769"/>
      <c r="HQQ104" s="769"/>
      <c r="HQR104" s="769"/>
      <c r="HQS104" s="769"/>
      <c r="HQT104" s="769"/>
      <c r="HQU104" s="769"/>
      <c r="HQV104" s="769"/>
      <c r="HQW104" s="769"/>
      <c r="HQX104" s="769"/>
      <c r="HQY104" s="769"/>
      <c r="HQZ104" s="769"/>
      <c r="HRA104" s="769"/>
      <c r="HRB104" s="769"/>
      <c r="HRC104" s="769"/>
      <c r="HRD104" s="769"/>
      <c r="HRE104" s="769"/>
      <c r="HRF104" s="769"/>
      <c r="HRG104" s="769"/>
      <c r="HRH104" s="769"/>
      <c r="HRI104" s="769"/>
      <c r="HRJ104" s="769"/>
      <c r="HRK104" s="769"/>
      <c r="HRL104" s="769"/>
      <c r="HRM104" s="769"/>
      <c r="HRN104" s="769"/>
      <c r="HRO104" s="769"/>
      <c r="HRP104" s="769"/>
      <c r="HRQ104" s="769"/>
      <c r="HRR104" s="769"/>
      <c r="HRS104" s="769"/>
      <c r="HRT104" s="769"/>
      <c r="HRU104" s="769"/>
      <c r="HRV104" s="769"/>
      <c r="HRW104" s="769"/>
      <c r="HRX104" s="769"/>
      <c r="HRY104" s="769"/>
      <c r="HRZ104" s="769"/>
      <c r="HSA104" s="769"/>
      <c r="HSB104" s="769"/>
      <c r="HSC104" s="769"/>
      <c r="HSD104" s="769"/>
      <c r="HSE104" s="769"/>
      <c r="HSF104" s="769"/>
      <c r="HSG104" s="769"/>
      <c r="HSH104" s="769"/>
      <c r="HSI104" s="769"/>
      <c r="HSJ104" s="769"/>
      <c r="HSK104" s="769"/>
      <c r="HSL104" s="769"/>
      <c r="HSM104" s="769"/>
      <c r="HSN104" s="769"/>
      <c r="HSO104" s="769"/>
      <c r="HSP104" s="769"/>
      <c r="HSQ104" s="769"/>
      <c r="HSR104" s="769"/>
      <c r="HSS104" s="769"/>
      <c r="HST104" s="769"/>
      <c r="HSU104" s="769"/>
      <c r="HSV104" s="769"/>
      <c r="HSW104" s="769"/>
      <c r="HSX104" s="769"/>
      <c r="HSY104" s="769"/>
      <c r="HSZ104" s="769"/>
      <c r="HTA104" s="769"/>
      <c r="HTB104" s="769"/>
      <c r="HTC104" s="769"/>
      <c r="HTD104" s="769"/>
      <c r="HTE104" s="769"/>
      <c r="HTF104" s="769"/>
      <c r="HTG104" s="769"/>
      <c r="HTH104" s="769"/>
      <c r="HTI104" s="769"/>
      <c r="HTJ104" s="769"/>
      <c r="HTK104" s="769"/>
      <c r="HTL104" s="769"/>
      <c r="HTM104" s="769"/>
      <c r="HTN104" s="769"/>
      <c r="HTO104" s="769"/>
      <c r="HTP104" s="769"/>
      <c r="HTQ104" s="769"/>
      <c r="HTR104" s="769"/>
      <c r="HTS104" s="769"/>
      <c r="HTT104" s="769"/>
      <c r="HTU104" s="769"/>
      <c r="HTV104" s="769"/>
      <c r="HTW104" s="769"/>
      <c r="HTX104" s="769"/>
      <c r="HTY104" s="769"/>
      <c r="HTZ104" s="769"/>
      <c r="HUA104" s="769"/>
      <c r="HUB104" s="769"/>
      <c r="HUC104" s="769"/>
      <c r="HUD104" s="769"/>
      <c r="HUE104" s="769"/>
      <c r="HUF104" s="769"/>
      <c r="HUG104" s="769"/>
      <c r="HUH104" s="769"/>
      <c r="HUI104" s="769"/>
      <c r="HUJ104" s="769"/>
      <c r="HUK104" s="769"/>
      <c r="HUL104" s="769"/>
      <c r="HUM104" s="769"/>
      <c r="HUN104" s="769"/>
      <c r="HUO104" s="769"/>
      <c r="HUP104" s="769"/>
      <c r="HUQ104" s="769"/>
      <c r="HUR104" s="769"/>
      <c r="HUS104" s="769"/>
      <c r="HUT104" s="769"/>
      <c r="HUU104" s="769"/>
      <c r="HUV104" s="769"/>
      <c r="HUW104" s="769"/>
      <c r="HUX104" s="769"/>
      <c r="HUY104" s="769"/>
      <c r="HUZ104" s="769"/>
      <c r="HVA104" s="769"/>
      <c r="HVB104" s="769"/>
      <c r="HVC104" s="769"/>
      <c r="HVD104" s="769"/>
      <c r="HVE104" s="769"/>
      <c r="HVF104" s="769"/>
      <c r="HVG104" s="769"/>
      <c r="HVH104" s="769"/>
      <c r="HVI104" s="769"/>
      <c r="HVJ104" s="769"/>
      <c r="HVK104" s="769"/>
      <c r="HVL104" s="769"/>
      <c r="HVM104" s="769"/>
      <c r="HVN104" s="769"/>
      <c r="HVO104" s="769"/>
      <c r="HVP104" s="769"/>
      <c r="HVQ104" s="769"/>
      <c r="HVR104" s="769"/>
      <c r="HVS104" s="769"/>
      <c r="HVT104" s="769"/>
      <c r="HVU104" s="769"/>
      <c r="HVV104" s="769"/>
      <c r="HVW104" s="769"/>
      <c r="HVX104" s="769"/>
      <c r="HVY104" s="769"/>
      <c r="HVZ104" s="769"/>
      <c r="HWA104" s="769"/>
      <c r="HWB104" s="769"/>
      <c r="HWC104" s="769"/>
      <c r="HWD104" s="769"/>
      <c r="HWE104" s="769"/>
      <c r="HWF104" s="769"/>
      <c r="HWG104" s="769"/>
      <c r="HWH104" s="769"/>
      <c r="HWI104" s="769"/>
      <c r="HWJ104" s="769"/>
      <c r="HWK104" s="769"/>
      <c r="HWL104" s="769"/>
      <c r="HWM104" s="769"/>
      <c r="HWN104" s="769"/>
      <c r="HWO104" s="769"/>
      <c r="HWP104" s="769"/>
      <c r="HWQ104" s="769"/>
      <c r="HWR104" s="769"/>
      <c r="HWS104" s="769"/>
      <c r="HWT104" s="769"/>
      <c r="HWU104" s="769"/>
      <c r="HWV104" s="769"/>
      <c r="HWW104" s="769"/>
      <c r="HWX104" s="769"/>
      <c r="HWY104" s="769"/>
      <c r="HWZ104" s="769"/>
      <c r="HXA104" s="769"/>
      <c r="HXB104" s="769"/>
      <c r="HXC104" s="769"/>
      <c r="HXD104" s="769"/>
      <c r="HXE104" s="769"/>
      <c r="HXF104" s="769"/>
      <c r="HXG104" s="769"/>
      <c r="HXH104" s="769"/>
      <c r="HXI104" s="769"/>
      <c r="HXJ104" s="769"/>
      <c r="HXK104" s="769"/>
      <c r="HXL104" s="769"/>
      <c r="HXM104" s="769"/>
      <c r="HXN104" s="769"/>
      <c r="HXO104" s="769"/>
      <c r="HXP104" s="769"/>
      <c r="HXQ104" s="769"/>
      <c r="HXR104" s="769"/>
      <c r="HXS104" s="769"/>
      <c r="HXT104" s="769"/>
      <c r="HXU104" s="769"/>
      <c r="HXV104" s="769"/>
      <c r="HXW104" s="769"/>
      <c r="HXX104" s="769"/>
      <c r="HXY104" s="769"/>
      <c r="HXZ104" s="769"/>
      <c r="HYA104" s="769"/>
      <c r="HYB104" s="769"/>
      <c r="HYC104" s="769"/>
      <c r="HYD104" s="769"/>
      <c r="HYE104" s="769"/>
      <c r="HYF104" s="769"/>
      <c r="HYG104" s="769"/>
      <c r="HYH104" s="769"/>
      <c r="HYI104" s="769"/>
      <c r="HYJ104" s="769"/>
      <c r="HYK104" s="769"/>
      <c r="HYL104" s="769"/>
      <c r="HYM104" s="769"/>
      <c r="HYN104" s="769"/>
      <c r="HYO104" s="769"/>
      <c r="HYP104" s="769"/>
      <c r="HYQ104" s="769"/>
      <c r="HYR104" s="769"/>
      <c r="HYS104" s="769"/>
      <c r="HYT104" s="769"/>
      <c r="HYU104" s="769"/>
      <c r="HYV104" s="769"/>
      <c r="HYW104" s="769"/>
      <c r="HYX104" s="769"/>
      <c r="HYY104" s="769"/>
      <c r="HYZ104" s="769"/>
      <c r="HZA104" s="769"/>
      <c r="HZB104" s="769"/>
      <c r="HZC104" s="769"/>
      <c r="HZD104" s="769"/>
      <c r="HZE104" s="769"/>
      <c r="HZF104" s="769"/>
      <c r="HZG104" s="769"/>
      <c r="HZH104" s="769"/>
      <c r="HZI104" s="769"/>
      <c r="HZJ104" s="769"/>
      <c r="HZK104" s="769"/>
      <c r="HZL104" s="769"/>
      <c r="HZM104" s="769"/>
      <c r="HZN104" s="769"/>
      <c r="HZO104" s="769"/>
      <c r="HZP104" s="769"/>
      <c r="HZQ104" s="769"/>
      <c r="HZR104" s="769"/>
      <c r="HZS104" s="769"/>
      <c r="HZT104" s="769"/>
      <c r="HZU104" s="769"/>
      <c r="HZV104" s="769"/>
      <c r="HZW104" s="769"/>
      <c r="HZX104" s="769"/>
      <c r="HZY104" s="769"/>
      <c r="HZZ104" s="769"/>
      <c r="IAA104" s="769"/>
      <c r="IAB104" s="769"/>
      <c r="IAC104" s="769"/>
      <c r="IAD104" s="769"/>
      <c r="IAE104" s="769"/>
      <c r="IAF104" s="769"/>
      <c r="IAG104" s="769"/>
      <c r="IAH104" s="769"/>
      <c r="IAI104" s="769"/>
      <c r="IAJ104" s="769"/>
      <c r="IAK104" s="769"/>
      <c r="IAL104" s="769"/>
      <c r="IAM104" s="769"/>
      <c r="IAN104" s="769"/>
      <c r="IAO104" s="769"/>
      <c r="IAP104" s="769"/>
      <c r="IAQ104" s="769"/>
      <c r="IAR104" s="769"/>
      <c r="IAS104" s="769"/>
      <c r="IAT104" s="769"/>
      <c r="IAU104" s="769"/>
      <c r="IAV104" s="769"/>
      <c r="IAW104" s="769"/>
      <c r="IAX104" s="769"/>
      <c r="IAY104" s="769"/>
      <c r="IAZ104" s="769"/>
      <c r="IBA104" s="769"/>
      <c r="IBB104" s="769"/>
      <c r="IBC104" s="769"/>
      <c r="IBD104" s="769"/>
      <c r="IBE104" s="769"/>
      <c r="IBF104" s="769"/>
      <c r="IBG104" s="769"/>
      <c r="IBH104" s="769"/>
      <c r="IBI104" s="769"/>
      <c r="IBJ104" s="769"/>
      <c r="IBK104" s="769"/>
      <c r="IBL104" s="769"/>
      <c r="IBM104" s="769"/>
      <c r="IBN104" s="769"/>
      <c r="IBO104" s="769"/>
      <c r="IBP104" s="769"/>
      <c r="IBQ104" s="769"/>
      <c r="IBR104" s="769"/>
      <c r="IBS104" s="769"/>
      <c r="IBT104" s="769"/>
      <c r="IBU104" s="769"/>
      <c r="IBV104" s="769"/>
      <c r="IBW104" s="769"/>
      <c r="IBX104" s="769"/>
      <c r="IBY104" s="769"/>
      <c r="IBZ104" s="769"/>
      <c r="ICA104" s="769"/>
      <c r="ICB104" s="769"/>
      <c r="ICC104" s="769"/>
      <c r="ICD104" s="769"/>
      <c r="ICE104" s="769"/>
      <c r="ICF104" s="769"/>
      <c r="ICG104" s="769"/>
      <c r="ICH104" s="769"/>
      <c r="ICI104" s="769"/>
      <c r="ICJ104" s="769"/>
      <c r="ICK104" s="769"/>
      <c r="ICL104" s="769"/>
      <c r="ICM104" s="769"/>
      <c r="ICN104" s="769"/>
      <c r="ICO104" s="769"/>
      <c r="ICP104" s="769"/>
      <c r="ICQ104" s="769"/>
      <c r="ICR104" s="769"/>
      <c r="ICS104" s="769"/>
      <c r="ICT104" s="769"/>
      <c r="ICU104" s="769"/>
      <c r="ICV104" s="769"/>
      <c r="ICW104" s="769"/>
      <c r="ICX104" s="769"/>
      <c r="ICY104" s="769"/>
      <c r="ICZ104" s="769"/>
      <c r="IDA104" s="769"/>
      <c r="IDB104" s="769"/>
      <c r="IDC104" s="769"/>
      <c r="IDD104" s="769"/>
      <c r="IDE104" s="769"/>
      <c r="IDF104" s="769"/>
      <c r="IDG104" s="769"/>
      <c r="IDH104" s="769"/>
      <c r="IDI104" s="769"/>
      <c r="IDJ104" s="769"/>
      <c r="IDK104" s="769"/>
      <c r="IDL104" s="769"/>
      <c r="IDM104" s="769"/>
      <c r="IDN104" s="769"/>
      <c r="IDO104" s="769"/>
      <c r="IDP104" s="769"/>
      <c r="IDQ104" s="769"/>
      <c r="IDR104" s="769"/>
      <c r="IDS104" s="769"/>
      <c r="IDT104" s="769"/>
      <c r="IDU104" s="769"/>
      <c r="IDV104" s="769"/>
      <c r="IDW104" s="769"/>
      <c r="IDX104" s="769"/>
      <c r="IDY104" s="769"/>
      <c r="IDZ104" s="769"/>
      <c r="IEA104" s="769"/>
      <c r="IEB104" s="769"/>
      <c r="IEC104" s="769"/>
      <c r="IED104" s="769"/>
      <c r="IEE104" s="769"/>
      <c r="IEF104" s="769"/>
      <c r="IEG104" s="769"/>
      <c r="IEH104" s="769"/>
      <c r="IEI104" s="769"/>
      <c r="IEJ104" s="769"/>
      <c r="IEK104" s="769"/>
      <c r="IEL104" s="769"/>
      <c r="IEM104" s="769"/>
      <c r="IEN104" s="769"/>
      <c r="IEO104" s="769"/>
      <c r="IEP104" s="769"/>
      <c r="IEQ104" s="769"/>
      <c r="IER104" s="769"/>
      <c r="IES104" s="769"/>
      <c r="IET104" s="769"/>
      <c r="IEU104" s="769"/>
      <c r="IEV104" s="769"/>
      <c r="IEW104" s="769"/>
      <c r="IEX104" s="769"/>
      <c r="IEY104" s="769"/>
      <c r="IEZ104" s="769"/>
      <c r="IFA104" s="769"/>
      <c r="IFB104" s="769"/>
      <c r="IFC104" s="769"/>
      <c r="IFD104" s="769"/>
      <c r="IFE104" s="769"/>
      <c r="IFF104" s="769"/>
      <c r="IFG104" s="769"/>
      <c r="IFH104" s="769"/>
      <c r="IFI104" s="769"/>
      <c r="IFJ104" s="769"/>
      <c r="IFK104" s="769"/>
      <c r="IFL104" s="769"/>
      <c r="IFM104" s="769"/>
      <c r="IFN104" s="769"/>
      <c r="IFO104" s="769"/>
      <c r="IFP104" s="769"/>
      <c r="IFQ104" s="769"/>
      <c r="IFR104" s="769"/>
      <c r="IFS104" s="769"/>
      <c r="IFT104" s="769"/>
      <c r="IFU104" s="769"/>
      <c r="IFV104" s="769"/>
      <c r="IFW104" s="769"/>
      <c r="IFX104" s="769"/>
      <c r="IFY104" s="769"/>
      <c r="IFZ104" s="769"/>
      <c r="IGA104" s="769"/>
      <c r="IGB104" s="769"/>
      <c r="IGC104" s="769"/>
      <c r="IGD104" s="769"/>
      <c r="IGE104" s="769"/>
      <c r="IGF104" s="769"/>
      <c r="IGG104" s="769"/>
      <c r="IGH104" s="769"/>
      <c r="IGI104" s="769"/>
      <c r="IGJ104" s="769"/>
      <c r="IGK104" s="769"/>
      <c r="IGL104" s="769"/>
      <c r="IGM104" s="769"/>
      <c r="IGN104" s="769"/>
      <c r="IGO104" s="769"/>
      <c r="IGP104" s="769"/>
      <c r="IGQ104" s="769"/>
      <c r="IGR104" s="769"/>
      <c r="IGS104" s="769"/>
      <c r="IGT104" s="769"/>
      <c r="IGU104" s="769"/>
      <c r="IGV104" s="769"/>
      <c r="IGW104" s="769"/>
      <c r="IGX104" s="769"/>
      <c r="IGY104" s="769"/>
      <c r="IGZ104" s="769"/>
      <c r="IHA104" s="769"/>
      <c r="IHB104" s="769"/>
      <c r="IHC104" s="769"/>
      <c r="IHD104" s="769"/>
      <c r="IHE104" s="769"/>
      <c r="IHF104" s="769"/>
      <c r="IHG104" s="769"/>
      <c r="IHH104" s="769"/>
      <c r="IHI104" s="769"/>
      <c r="IHJ104" s="769"/>
      <c r="IHK104" s="769"/>
      <c r="IHL104" s="769"/>
      <c r="IHM104" s="769"/>
      <c r="IHN104" s="769"/>
      <c r="IHO104" s="769"/>
      <c r="IHP104" s="769"/>
      <c r="IHQ104" s="769"/>
      <c r="IHR104" s="769"/>
      <c r="IHS104" s="769"/>
      <c r="IHT104" s="769"/>
      <c r="IHU104" s="769"/>
      <c r="IHV104" s="769"/>
      <c r="IHW104" s="769"/>
      <c r="IHX104" s="769"/>
      <c r="IHY104" s="769"/>
      <c r="IHZ104" s="769"/>
      <c r="IIA104" s="769"/>
      <c r="IIB104" s="769"/>
      <c r="IIC104" s="769"/>
      <c r="IID104" s="769"/>
      <c r="IIE104" s="769"/>
      <c r="IIF104" s="769"/>
      <c r="IIG104" s="769"/>
      <c r="IIH104" s="769"/>
      <c r="III104" s="769"/>
      <c r="IIJ104" s="769"/>
      <c r="IIK104" s="769"/>
      <c r="IIL104" s="769"/>
      <c r="IIM104" s="769"/>
      <c r="IIN104" s="769"/>
      <c r="IIO104" s="769"/>
      <c r="IIP104" s="769"/>
      <c r="IIQ104" s="769"/>
      <c r="IIR104" s="769"/>
      <c r="IIS104" s="769"/>
      <c r="IIT104" s="769"/>
      <c r="IIU104" s="769"/>
      <c r="IIV104" s="769"/>
      <c r="IIW104" s="769"/>
      <c r="IIX104" s="769"/>
      <c r="IIY104" s="769"/>
      <c r="IIZ104" s="769"/>
      <c r="IJA104" s="769"/>
      <c r="IJB104" s="769"/>
      <c r="IJC104" s="769"/>
      <c r="IJD104" s="769"/>
      <c r="IJE104" s="769"/>
      <c r="IJF104" s="769"/>
      <c r="IJG104" s="769"/>
      <c r="IJH104" s="769"/>
      <c r="IJI104" s="769"/>
      <c r="IJJ104" s="769"/>
      <c r="IJK104" s="769"/>
      <c r="IJL104" s="769"/>
      <c r="IJM104" s="769"/>
      <c r="IJN104" s="769"/>
      <c r="IJO104" s="769"/>
      <c r="IJP104" s="769"/>
      <c r="IJQ104" s="769"/>
      <c r="IJR104" s="769"/>
      <c r="IJS104" s="769"/>
      <c r="IJT104" s="769"/>
      <c r="IJU104" s="769"/>
      <c r="IJV104" s="769"/>
      <c r="IJW104" s="769"/>
      <c r="IJX104" s="769"/>
      <c r="IJY104" s="769"/>
      <c r="IJZ104" s="769"/>
      <c r="IKA104" s="769"/>
      <c r="IKB104" s="769"/>
      <c r="IKC104" s="769"/>
      <c r="IKD104" s="769"/>
      <c r="IKE104" s="769"/>
      <c r="IKF104" s="769"/>
      <c r="IKG104" s="769"/>
      <c r="IKH104" s="769"/>
      <c r="IKI104" s="769"/>
      <c r="IKJ104" s="769"/>
      <c r="IKK104" s="769"/>
      <c r="IKL104" s="769"/>
      <c r="IKM104" s="769"/>
      <c r="IKN104" s="769"/>
      <c r="IKO104" s="769"/>
      <c r="IKP104" s="769"/>
      <c r="IKQ104" s="769"/>
      <c r="IKR104" s="769"/>
      <c r="IKS104" s="769"/>
      <c r="IKT104" s="769"/>
      <c r="IKU104" s="769"/>
      <c r="IKV104" s="769"/>
      <c r="IKW104" s="769"/>
      <c r="IKX104" s="769"/>
      <c r="IKY104" s="769"/>
      <c r="IKZ104" s="769"/>
      <c r="ILA104" s="769"/>
      <c r="ILB104" s="769"/>
      <c r="ILC104" s="769"/>
      <c r="ILD104" s="769"/>
      <c r="ILE104" s="769"/>
      <c r="ILF104" s="769"/>
      <c r="ILG104" s="769"/>
      <c r="ILH104" s="769"/>
      <c r="ILI104" s="769"/>
      <c r="ILJ104" s="769"/>
      <c r="ILK104" s="769"/>
      <c r="ILL104" s="769"/>
      <c r="ILM104" s="769"/>
      <c r="ILN104" s="769"/>
      <c r="ILO104" s="769"/>
      <c r="ILP104" s="769"/>
      <c r="ILQ104" s="769"/>
      <c r="ILR104" s="769"/>
      <c r="ILS104" s="769"/>
      <c r="ILT104" s="769"/>
      <c r="ILU104" s="769"/>
      <c r="ILV104" s="769"/>
      <c r="ILW104" s="769"/>
      <c r="ILX104" s="769"/>
      <c r="ILY104" s="769"/>
      <c r="ILZ104" s="769"/>
      <c r="IMA104" s="769"/>
      <c r="IMB104" s="769"/>
      <c r="IMC104" s="769"/>
      <c r="IMD104" s="769"/>
      <c r="IME104" s="769"/>
      <c r="IMF104" s="769"/>
      <c r="IMG104" s="769"/>
      <c r="IMH104" s="769"/>
      <c r="IMI104" s="769"/>
      <c r="IMJ104" s="769"/>
      <c r="IMK104" s="769"/>
      <c r="IML104" s="769"/>
      <c r="IMM104" s="769"/>
      <c r="IMN104" s="769"/>
      <c r="IMO104" s="769"/>
      <c r="IMP104" s="769"/>
      <c r="IMQ104" s="769"/>
      <c r="IMR104" s="769"/>
      <c r="IMS104" s="769"/>
      <c r="IMT104" s="769"/>
      <c r="IMU104" s="769"/>
      <c r="IMV104" s="769"/>
      <c r="IMW104" s="769"/>
      <c r="IMX104" s="769"/>
      <c r="IMY104" s="769"/>
      <c r="IMZ104" s="769"/>
      <c r="INA104" s="769"/>
      <c r="INB104" s="769"/>
      <c r="INC104" s="769"/>
      <c r="IND104" s="769"/>
      <c r="INE104" s="769"/>
      <c r="INF104" s="769"/>
      <c r="ING104" s="769"/>
      <c r="INH104" s="769"/>
      <c r="INI104" s="769"/>
      <c r="INJ104" s="769"/>
      <c r="INK104" s="769"/>
      <c r="INL104" s="769"/>
      <c r="INM104" s="769"/>
      <c r="INN104" s="769"/>
      <c r="INO104" s="769"/>
      <c r="INP104" s="769"/>
      <c r="INQ104" s="769"/>
      <c r="INR104" s="769"/>
      <c r="INS104" s="769"/>
      <c r="INT104" s="769"/>
      <c r="INU104" s="769"/>
      <c r="INV104" s="769"/>
      <c r="INW104" s="769"/>
      <c r="INX104" s="769"/>
      <c r="INY104" s="769"/>
      <c r="INZ104" s="769"/>
      <c r="IOA104" s="769"/>
      <c r="IOB104" s="769"/>
      <c r="IOC104" s="769"/>
      <c r="IOD104" s="769"/>
      <c r="IOE104" s="769"/>
      <c r="IOF104" s="769"/>
      <c r="IOG104" s="769"/>
      <c r="IOH104" s="769"/>
      <c r="IOI104" s="769"/>
      <c r="IOJ104" s="769"/>
      <c r="IOK104" s="769"/>
      <c r="IOL104" s="769"/>
      <c r="IOM104" s="769"/>
      <c r="ION104" s="769"/>
      <c r="IOO104" s="769"/>
      <c r="IOP104" s="769"/>
      <c r="IOQ104" s="769"/>
      <c r="IOR104" s="769"/>
      <c r="IOS104" s="769"/>
      <c r="IOT104" s="769"/>
      <c r="IOU104" s="769"/>
      <c r="IOV104" s="769"/>
      <c r="IOW104" s="769"/>
      <c r="IOX104" s="769"/>
      <c r="IOY104" s="769"/>
      <c r="IOZ104" s="769"/>
      <c r="IPA104" s="769"/>
      <c r="IPB104" s="769"/>
      <c r="IPC104" s="769"/>
      <c r="IPD104" s="769"/>
      <c r="IPE104" s="769"/>
      <c r="IPF104" s="769"/>
      <c r="IPG104" s="769"/>
      <c r="IPH104" s="769"/>
      <c r="IPI104" s="769"/>
      <c r="IPJ104" s="769"/>
      <c r="IPK104" s="769"/>
      <c r="IPL104" s="769"/>
      <c r="IPM104" s="769"/>
      <c r="IPN104" s="769"/>
      <c r="IPO104" s="769"/>
      <c r="IPP104" s="769"/>
      <c r="IPQ104" s="769"/>
      <c r="IPR104" s="769"/>
      <c r="IPS104" s="769"/>
      <c r="IPT104" s="769"/>
      <c r="IPU104" s="769"/>
      <c r="IPV104" s="769"/>
      <c r="IPW104" s="769"/>
      <c r="IPX104" s="769"/>
      <c r="IPY104" s="769"/>
      <c r="IPZ104" s="769"/>
      <c r="IQA104" s="769"/>
      <c r="IQB104" s="769"/>
      <c r="IQC104" s="769"/>
      <c r="IQD104" s="769"/>
      <c r="IQE104" s="769"/>
      <c r="IQF104" s="769"/>
      <c r="IQG104" s="769"/>
      <c r="IQH104" s="769"/>
      <c r="IQI104" s="769"/>
      <c r="IQJ104" s="769"/>
      <c r="IQK104" s="769"/>
      <c r="IQL104" s="769"/>
      <c r="IQM104" s="769"/>
      <c r="IQN104" s="769"/>
      <c r="IQO104" s="769"/>
      <c r="IQP104" s="769"/>
      <c r="IQQ104" s="769"/>
      <c r="IQR104" s="769"/>
      <c r="IQS104" s="769"/>
      <c r="IQT104" s="769"/>
      <c r="IQU104" s="769"/>
      <c r="IQV104" s="769"/>
      <c r="IQW104" s="769"/>
      <c r="IQX104" s="769"/>
      <c r="IQY104" s="769"/>
      <c r="IQZ104" s="769"/>
      <c r="IRA104" s="769"/>
      <c r="IRB104" s="769"/>
      <c r="IRC104" s="769"/>
      <c r="IRD104" s="769"/>
      <c r="IRE104" s="769"/>
      <c r="IRF104" s="769"/>
      <c r="IRG104" s="769"/>
      <c r="IRH104" s="769"/>
      <c r="IRI104" s="769"/>
      <c r="IRJ104" s="769"/>
      <c r="IRK104" s="769"/>
      <c r="IRL104" s="769"/>
      <c r="IRM104" s="769"/>
      <c r="IRN104" s="769"/>
      <c r="IRO104" s="769"/>
      <c r="IRP104" s="769"/>
      <c r="IRQ104" s="769"/>
      <c r="IRR104" s="769"/>
      <c r="IRS104" s="769"/>
      <c r="IRT104" s="769"/>
      <c r="IRU104" s="769"/>
      <c r="IRV104" s="769"/>
      <c r="IRW104" s="769"/>
      <c r="IRX104" s="769"/>
      <c r="IRY104" s="769"/>
      <c r="IRZ104" s="769"/>
      <c r="ISA104" s="769"/>
      <c r="ISB104" s="769"/>
      <c r="ISC104" s="769"/>
      <c r="ISD104" s="769"/>
      <c r="ISE104" s="769"/>
      <c r="ISF104" s="769"/>
      <c r="ISG104" s="769"/>
      <c r="ISH104" s="769"/>
      <c r="ISI104" s="769"/>
      <c r="ISJ104" s="769"/>
      <c r="ISK104" s="769"/>
      <c r="ISL104" s="769"/>
      <c r="ISM104" s="769"/>
      <c r="ISN104" s="769"/>
      <c r="ISO104" s="769"/>
      <c r="ISP104" s="769"/>
      <c r="ISQ104" s="769"/>
      <c r="ISR104" s="769"/>
      <c r="ISS104" s="769"/>
      <c r="IST104" s="769"/>
      <c r="ISU104" s="769"/>
      <c r="ISV104" s="769"/>
      <c r="ISW104" s="769"/>
      <c r="ISX104" s="769"/>
      <c r="ISY104" s="769"/>
      <c r="ISZ104" s="769"/>
      <c r="ITA104" s="769"/>
      <c r="ITB104" s="769"/>
      <c r="ITC104" s="769"/>
      <c r="ITD104" s="769"/>
      <c r="ITE104" s="769"/>
      <c r="ITF104" s="769"/>
      <c r="ITG104" s="769"/>
      <c r="ITH104" s="769"/>
      <c r="ITI104" s="769"/>
      <c r="ITJ104" s="769"/>
      <c r="ITK104" s="769"/>
      <c r="ITL104" s="769"/>
      <c r="ITM104" s="769"/>
      <c r="ITN104" s="769"/>
      <c r="ITO104" s="769"/>
      <c r="ITP104" s="769"/>
      <c r="ITQ104" s="769"/>
      <c r="ITR104" s="769"/>
      <c r="ITS104" s="769"/>
      <c r="ITT104" s="769"/>
      <c r="ITU104" s="769"/>
      <c r="ITV104" s="769"/>
      <c r="ITW104" s="769"/>
      <c r="ITX104" s="769"/>
      <c r="ITY104" s="769"/>
      <c r="ITZ104" s="769"/>
      <c r="IUA104" s="769"/>
      <c r="IUB104" s="769"/>
      <c r="IUC104" s="769"/>
      <c r="IUD104" s="769"/>
      <c r="IUE104" s="769"/>
      <c r="IUF104" s="769"/>
      <c r="IUG104" s="769"/>
      <c r="IUH104" s="769"/>
      <c r="IUI104" s="769"/>
      <c r="IUJ104" s="769"/>
      <c r="IUK104" s="769"/>
      <c r="IUL104" s="769"/>
      <c r="IUM104" s="769"/>
      <c r="IUN104" s="769"/>
      <c r="IUO104" s="769"/>
      <c r="IUP104" s="769"/>
      <c r="IUQ104" s="769"/>
      <c r="IUR104" s="769"/>
      <c r="IUS104" s="769"/>
      <c r="IUT104" s="769"/>
      <c r="IUU104" s="769"/>
      <c r="IUV104" s="769"/>
      <c r="IUW104" s="769"/>
      <c r="IUX104" s="769"/>
      <c r="IUY104" s="769"/>
      <c r="IUZ104" s="769"/>
      <c r="IVA104" s="769"/>
      <c r="IVB104" s="769"/>
      <c r="IVC104" s="769"/>
      <c r="IVD104" s="769"/>
      <c r="IVE104" s="769"/>
      <c r="IVF104" s="769"/>
      <c r="IVG104" s="769"/>
      <c r="IVH104" s="769"/>
      <c r="IVI104" s="769"/>
      <c r="IVJ104" s="769"/>
      <c r="IVK104" s="769"/>
      <c r="IVL104" s="769"/>
      <c r="IVM104" s="769"/>
      <c r="IVN104" s="769"/>
      <c r="IVO104" s="769"/>
      <c r="IVP104" s="769"/>
      <c r="IVQ104" s="769"/>
      <c r="IVR104" s="769"/>
      <c r="IVS104" s="769"/>
      <c r="IVT104" s="769"/>
      <c r="IVU104" s="769"/>
      <c r="IVV104" s="769"/>
      <c r="IVW104" s="769"/>
      <c r="IVX104" s="769"/>
      <c r="IVY104" s="769"/>
      <c r="IVZ104" s="769"/>
      <c r="IWA104" s="769"/>
      <c r="IWB104" s="769"/>
      <c r="IWC104" s="769"/>
      <c r="IWD104" s="769"/>
      <c r="IWE104" s="769"/>
      <c r="IWF104" s="769"/>
      <c r="IWG104" s="769"/>
      <c r="IWH104" s="769"/>
      <c r="IWI104" s="769"/>
      <c r="IWJ104" s="769"/>
      <c r="IWK104" s="769"/>
      <c r="IWL104" s="769"/>
      <c r="IWM104" s="769"/>
      <c r="IWN104" s="769"/>
      <c r="IWO104" s="769"/>
      <c r="IWP104" s="769"/>
      <c r="IWQ104" s="769"/>
      <c r="IWR104" s="769"/>
      <c r="IWS104" s="769"/>
      <c r="IWT104" s="769"/>
      <c r="IWU104" s="769"/>
      <c r="IWV104" s="769"/>
      <c r="IWW104" s="769"/>
      <c r="IWX104" s="769"/>
      <c r="IWY104" s="769"/>
      <c r="IWZ104" s="769"/>
      <c r="IXA104" s="769"/>
      <c r="IXB104" s="769"/>
      <c r="IXC104" s="769"/>
      <c r="IXD104" s="769"/>
      <c r="IXE104" s="769"/>
      <c r="IXF104" s="769"/>
      <c r="IXG104" s="769"/>
      <c r="IXH104" s="769"/>
      <c r="IXI104" s="769"/>
      <c r="IXJ104" s="769"/>
      <c r="IXK104" s="769"/>
      <c r="IXL104" s="769"/>
      <c r="IXM104" s="769"/>
      <c r="IXN104" s="769"/>
      <c r="IXO104" s="769"/>
      <c r="IXP104" s="769"/>
      <c r="IXQ104" s="769"/>
      <c r="IXR104" s="769"/>
      <c r="IXS104" s="769"/>
      <c r="IXT104" s="769"/>
      <c r="IXU104" s="769"/>
      <c r="IXV104" s="769"/>
      <c r="IXW104" s="769"/>
      <c r="IXX104" s="769"/>
      <c r="IXY104" s="769"/>
      <c r="IXZ104" s="769"/>
      <c r="IYA104" s="769"/>
      <c r="IYB104" s="769"/>
      <c r="IYC104" s="769"/>
      <c r="IYD104" s="769"/>
      <c r="IYE104" s="769"/>
      <c r="IYF104" s="769"/>
      <c r="IYG104" s="769"/>
      <c r="IYH104" s="769"/>
      <c r="IYI104" s="769"/>
      <c r="IYJ104" s="769"/>
      <c r="IYK104" s="769"/>
      <c r="IYL104" s="769"/>
      <c r="IYM104" s="769"/>
      <c r="IYN104" s="769"/>
      <c r="IYO104" s="769"/>
      <c r="IYP104" s="769"/>
      <c r="IYQ104" s="769"/>
      <c r="IYR104" s="769"/>
      <c r="IYS104" s="769"/>
      <c r="IYT104" s="769"/>
      <c r="IYU104" s="769"/>
      <c r="IYV104" s="769"/>
      <c r="IYW104" s="769"/>
      <c r="IYX104" s="769"/>
      <c r="IYY104" s="769"/>
      <c r="IYZ104" s="769"/>
      <c r="IZA104" s="769"/>
      <c r="IZB104" s="769"/>
      <c r="IZC104" s="769"/>
      <c r="IZD104" s="769"/>
      <c r="IZE104" s="769"/>
      <c r="IZF104" s="769"/>
      <c r="IZG104" s="769"/>
      <c r="IZH104" s="769"/>
      <c r="IZI104" s="769"/>
      <c r="IZJ104" s="769"/>
      <c r="IZK104" s="769"/>
      <c r="IZL104" s="769"/>
      <c r="IZM104" s="769"/>
      <c r="IZN104" s="769"/>
      <c r="IZO104" s="769"/>
      <c r="IZP104" s="769"/>
      <c r="IZQ104" s="769"/>
      <c r="IZR104" s="769"/>
      <c r="IZS104" s="769"/>
      <c r="IZT104" s="769"/>
      <c r="IZU104" s="769"/>
      <c r="IZV104" s="769"/>
      <c r="IZW104" s="769"/>
      <c r="IZX104" s="769"/>
      <c r="IZY104" s="769"/>
      <c r="IZZ104" s="769"/>
      <c r="JAA104" s="769"/>
      <c r="JAB104" s="769"/>
      <c r="JAC104" s="769"/>
      <c r="JAD104" s="769"/>
      <c r="JAE104" s="769"/>
      <c r="JAF104" s="769"/>
      <c r="JAG104" s="769"/>
      <c r="JAH104" s="769"/>
      <c r="JAI104" s="769"/>
      <c r="JAJ104" s="769"/>
      <c r="JAK104" s="769"/>
      <c r="JAL104" s="769"/>
      <c r="JAM104" s="769"/>
      <c r="JAN104" s="769"/>
      <c r="JAO104" s="769"/>
      <c r="JAP104" s="769"/>
      <c r="JAQ104" s="769"/>
      <c r="JAR104" s="769"/>
      <c r="JAS104" s="769"/>
      <c r="JAT104" s="769"/>
      <c r="JAU104" s="769"/>
      <c r="JAV104" s="769"/>
      <c r="JAW104" s="769"/>
      <c r="JAX104" s="769"/>
      <c r="JAY104" s="769"/>
      <c r="JAZ104" s="769"/>
      <c r="JBA104" s="769"/>
      <c r="JBB104" s="769"/>
      <c r="JBC104" s="769"/>
      <c r="JBD104" s="769"/>
      <c r="JBE104" s="769"/>
      <c r="JBF104" s="769"/>
      <c r="JBG104" s="769"/>
      <c r="JBH104" s="769"/>
      <c r="JBI104" s="769"/>
      <c r="JBJ104" s="769"/>
      <c r="JBK104" s="769"/>
      <c r="JBL104" s="769"/>
      <c r="JBM104" s="769"/>
      <c r="JBN104" s="769"/>
      <c r="JBO104" s="769"/>
      <c r="JBP104" s="769"/>
      <c r="JBQ104" s="769"/>
      <c r="JBR104" s="769"/>
      <c r="JBS104" s="769"/>
      <c r="JBT104" s="769"/>
      <c r="JBU104" s="769"/>
      <c r="JBV104" s="769"/>
      <c r="JBW104" s="769"/>
      <c r="JBX104" s="769"/>
      <c r="JBY104" s="769"/>
      <c r="JBZ104" s="769"/>
      <c r="JCA104" s="769"/>
      <c r="JCB104" s="769"/>
      <c r="JCC104" s="769"/>
      <c r="JCD104" s="769"/>
      <c r="JCE104" s="769"/>
      <c r="JCF104" s="769"/>
      <c r="JCG104" s="769"/>
      <c r="JCH104" s="769"/>
      <c r="JCI104" s="769"/>
      <c r="JCJ104" s="769"/>
      <c r="JCK104" s="769"/>
      <c r="JCL104" s="769"/>
      <c r="JCM104" s="769"/>
      <c r="JCN104" s="769"/>
      <c r="JCO104" s="769"/>
      <c r="JCP104" s="769"/>
      <c r="JCQ104" s="769"/>
      <c r="JCR104" s="769"/>
      <c r="JCS104" s="769"/>
      <c r="JCT104" s="769"/>
      <c r="JCU104" s="769"/>
      <c r="JCV104" s="769"/>
      <c r="JCW104" s="769"/>
      <c r="JCX104" s="769"/>
      <c r="JCY104" s="769"/>
      <c r="JCZ104" s="769"/>
      <c r="JDA104" s="769"/>
      <c r="JDB104" s="769"/>
      <c r="JDC104" s="769"/>
      <c r="JDD104" s="769"/>
      <c r="JDE104" s="769"/>
      <c r="JDF104" s="769"/>
      <c r="JDG104" s="769"/>
      <c r="JDH104" s="769"/>
      <c r="JDI104" s="769"/>
      <c r="JDJ104" s="769"/>
      <c r="JDK104" s="769"/>
      <c r="JDL104" s="769"/>
      <c r="JDM104" s="769"/>
      <c r="JDN104" s="769"/>
      <c r="JDO104" s="769"/>
      <c r="JDP104" s="769"/>
      <c r="JDQ104" s="769"/>
      <c r="JDR104" s="769"/>
      <c r="JDS104" s="769"/>
      <c r="JDT104" s="769"/>
      <c r="JDU104" s="769"/>
      <c r="JDV104" s="769"/>
      <c r="JDW104" s="769"/>
      <c r="JDX104" s="769"/>
      <c r="JDY104" s="769"/>
      <c r="JDZ104" s="769"/>
      <c r="JEA104" s="769"/>
      <c r="JEB104" s="769"/>
      <c r="JEC104" s="769"/>
      <c r="JED104" s="769"/>
      <c r="JEE104" s="769"/>
      <c r="JEF104" s="769"/>
      <c r="JEG104" s="769"/>
      <c r="JEH104" s="769"/>
      <c r="JEI104" s="769"/>
      <c r="JEJ104" s="769"/>
      <c r="JEK104" s="769"/>
      <c r="JEL104" s="769"/>
      <c r="JEM104" s="769"/>
      <c r="JEN104" s="769"/>
      <c r="JEO104" s="769"/>
      <c r="JEP104" s="769"/>
      <c r="JEQ104" s="769"/>
      <c r="JER104" s="769"/>
      <c r="JES104" s="769"/>
      <c r="JET104" s="769"/>
      <c r="JEU104" s="769"/>
      <c r="JEV104" s="769"/>
      <c r="JEW104" s="769"/>
      <c r="JEX104" s="769"/>
      <c r="JEY104" s="769"/>
      <c r="JEZ104" s="769"/>
      <c r="JFA104" s="769"/>
      <c r="JFB104" s="769"/>
      <c r="JFC104" s="769"/>
      <c r="JFD104" s="769"/>
      <c r="JFE104" s="769"/>
      <c r="JFF104" s="769"/>
      <c r="JFG104" s="769"/>
      <c r="JFH104" s="769"/>
      <c r="JFI104" s="769"/>
      <c r="JFJ104" s="769"/>
      <c r="JFK104" s="769"/>
      <c r="JFL104" s="769"/>
      <c r="JFM104" s="769"/>
      <c r="JFN104" s="769"/>
      <c r="JFO104" s="769"/>
      <c r="JFP104" s="769"/>
      <c r="JFQ104" s="769"/>
      <c r="JFR104" s="769"/>
      <c r="JFS104" s="769"/>
      <c r="JFT104" s="769"/>
      <c r="JFU104" s="769"/>
      <c r="JFV104" s="769"/>
      <c r="JFW104" s="769"/>
      <c r="JFX104" s="769"/>
      <c r="JFY104" s="769"/>
      <c r="JFZ104" s="769"/>
      <c r="JGA104" s="769"/>
      <c r="JGB104" s="769"/>
      <c r="JGC104" s="769"/>
      <c r="JGD104" s="769"/>
      <c r="JGE104" s="769"/>
      <c r="JGF104" s="769"/>
      <c r="JGG104" s="769"/>
      <c r="JGH104" s="769"/>
      <c r="JGI104" s="769"/>
      <c r="JGJ104" s="769"/>
      <c r="JGK104" s="769"/>
      <c r="JGL104" s="769"/>
      <c r="JGM104" s="769"/>
      <c r="JGN104" s="769"/>
      <c r="JGO104" s="769"/>
      <c r="JGP104" s="769"/>
      <c r="JGQ104" s="769"/>
      <c r="JGR104" s="769"/>
      <c r="JGS104" s="769"/>
      <c r="JGT104" s="769"/>
      <c r="JGU104" s="769"/>
      <c r="JGV104" s="769"/>
      <c r="JGW104" s="769"/>
      <c r="JGX104" s="769"/>
      <c r="JGY104" s="769"/>
      <c r="JGZ104" s="769"/>
      <c r="JHA104" s="769"/>
      <c r="JHB104" s="769"/>
      <c r="JHC104" s="769"/>
      <c r="JHD104" s="769"/>
      <c r="JHE104" s="769"/>
      <c r="JHF104" s="769"/>
      <c r="JHG104" s="769"/>
      <c r="JHH104" s="769"/>
      <c r="JHI104" s="769"/>
      <c r="JHJ104" s="769"/>
      <c r="JHK104" s="769"/>
      <c r="JHL104" s="769"/>
      <c r="JHM104" s="769"/>
      <c r="JHN104" s="769"/>
      <c r="JHO104" s="769"/>
      <c r="JHP104" s="769"/>
      <c r="JHQ104" s="769"/>
      <c r="JHR104" s="769"/>
      <c r="JHS104" s="769"/>
      <c r="JHT104" s="769"/>
      <c r="JHU104" s="769"/>
      <c r="JHV104" s="769"/>
      <c r="JHW104" s="769"/>
      <c r="JHX104" s="769"/>
      <c r="JHY104" s="769"/>
      <c r="JHZ104" s="769"/>
      <c r="JIA104" s="769"/>
      <c r="JIB104" s="769"/>
      <c r="JIC104" s="769"/>
      <c r="JID104" s="769"/>
      <c r="JIE104" s="769"/>
      <c r="JIF104" s="769"/>
      <c r="JIG104" s="769"/>
      <c r="JIH104" s="769"/>
      <c r="JII104" s="769"/>
      <c r="JIJ104" s="769"/>
      <c r="JIK104" s="769"/>
      <c r="JIL104" s="769"/>
      <c r="JIM104" s="769"/>
      <c r="JIN104" s="769"/>
      <c r="JIO104" s="769"/>
      <c r="JIP104" s="769"/>
      <c r="JIQ104" s="769"/>
      <c r="JIR104" s="769"/>
      <c r="JIS104" s="769"/>
      <c r="JIT104" s="769"/>
      <c r="JIU104" s="769"/>
      <c r="JIV104" s="769"/>
      <c r="JIW104" s="769"/>
      <c r="JIX104" s="769"/>
      <c r="JIY104" s="769"/>
      <c r="JIZ104" s="769"/>
      <c r="JJA104" s="769"/>
      <c r="JJB104" s="769"/>
      <c r="JJC104" s="769"/>
      <c r="JJD104" s="769"/>
      <c r="JJE104" s="769"/>
      <c r="JJF104" s="769"/>
      <c r="JJG104" s="769"/>
      <c r="JJH104" s="769"/>
      <c r="JJI104" s="769"/>
      <c r="JJJ104" s="769"/>
      <c r="JJK104" s="769"/>
      <c r="JJL104" s="769"/>
      <c r="JJM104" s="769"/>
      <c r="JJN104" s="769"/>
      <c r="JJO104" s="769"/>
      <c r="JJP104" s="769"/>
      <c r="JJQ104" s="769"/>
      <c r="JJR104" s="769"/>
      <c r="JJS104" s="769"/>
      <c r="JJT104" s="769"/>
      <c r="JJU104" s="769"/>
      <c r="JJV104" s="769"/>
      <c r="JJW104" s="769"/>
      <c r="JJX104" s="769"/>
      <c r="JJY104" s="769"/>
      <c r="JJZ104" s="769"/>
      <c r="JKA104" s="769"/>
      <c r="JKB104" s="769"/>
      <c r="JKC104" s="769"/>
      <c r="JKD104" s="769"/>
      <c r="JKE104" s="769"/>
      <c r="JKF104" s="769"/>
      <c r="JKG104" s="769"/>
      <c r="JKH104" s="769"/>
      <c r="JKI104" s="769"/>
      <c r="JKJ104" s="769"/>
      <c r="JKK104" s="769"/>
      <c r="JKL104" s="769"/>
      <c r="JKM104" s="769"/>
      <c r="JKN104" s="769"/>
      <c r="JKO104" s="769"/>
      <c r="JKP104" s="769"/>
      <c r="JKQ104" s="769"/>
      <c r="JKR104" s="769"/>
      <c r="JKS104" s="769"/>
      <c r="JKT104" s="769"/>
      <c r="JKU104" s="769"/>
      <c r="JKV104" s="769"/>
      <c r="JKW104" s="769"/>
      <c r="JKX104" s="769"/>
      <c r="JKY104" s="769"/>
      <c r="JKZ104" s="769"/>
      <c r="JLA104" s="769"/>
      <c r="JLB104" s="769"/>
      <c r="JLC104" s="769"/>
      <c r="JLD104" s="769"/>
      <c r="JLE104" s="769"/>
      <c r="JLF104" s="769"/>
      <c r="JLG104" s="769"/>
      <c r="JLH104" s="769"/>
      <c r="JLI104" s="769"/>
      <c r="JLJ104" s="769"/>
      <c r="JLK104" s="769"/>
      <c r="JLL104" s="769"/>
      <c r="JLM104" s="769"/>
      <c r="JLN104" s="769"/>
      <c r="JLO104" s="769"/>
      <c r="JLP104" s="769"/>
      <c r="JLQ104" s="769"/>
      <c r="JLR104" s="769"/>
      <c r="JLS104" s="769"/>
      <c r="JLT104" s="769"/>
      <c r="JLU104" s="769"/>
      <c r="JLV104" s="769"/>
      <c r="JLW104" s="769"/>
      <c r="JLX104" s="769"/>
      <c r="JLY104" s="769"/>
      <c r="JLZ104" s="769"/>
      <c r="JMA104" s="769"/>
      <c r="JMB104" s="769"/>
      <c r="JMC104" s="769"/>
      <c r="JMD104" s="769"/>
      <c r="JME104" s="769"/>
      <c r="JMF104" s="769"/>
      <c r="JMG104" s="769"/>
      <c r="JMH104" s="769"/>
      <c r="JMI104" s="769"/>
      <c r="JMJ104" s="769"/>
      <c r="JMK104" s="769"/>
      <c r="JML104" s="769"/>
      <c r="JMM104" s="769"/>
      <c r="JMN104" s="769"/>
      <c r="JMO104" s="769"/>
      <c r="JMP104" s="769"/>
      <c r="JMQ104" s="769"/>
      <c r="JMR104" s="769"/>
      <c r="JMS104" s="769"/>
      <c r="JMT104" s="769"/>
      <c r="JMU104" s="769"/>
      <c r="JMV104" s="769"/>
      <c r="JMW104" s="769"/>
      <c r="JMX104" s="769"/>
      <c r="JMY104" s="769"/>
      <c r="JMZ104" s="769"/>
      <c r="JNA104" s="769"/>
      <c r="JNB104" s="769"/>
      <c r="JNC104" s="769"/>
      <c r="JND104" s="769"/>
      <c r="JNE104" s="769"/>
      <c r="JNF104" s="769"/>
      <c r="JNG104" s="769"/>
      <c r="JNH104" s="769"/>
      <c r="JNI104" s="769"/>
      <c r="JNJ104" s="769"/>
      <c r="JNK104" s="769"/>
      <c r="JNL104" s="769"/>
      <c r="JNM104" s="769"/>
      <c r="JNN104" s="769"/>
      <c r="JNO104" s="769"/>
      <c r="JNP104" s="769"/>
      <c r="JNQ104" s="769"/>
      <c r="JNR104" s="769"/>
      <c r="JNS104" s="769"/>
      <c r="JNT104" s="769"/>
      <c r="JNU104" s="769"/>
      <c r="JNV104" s="769"/>
      <c r="JNW104" s="769"/>
      <c r="JNX104" s="769"/>
      <c r="JNY104" s="769"/>
      <c r="JNZ104" s="769"/>
      <c r="JOA104" s="769"/>
      <c r="JOB104" s="769"/>
      <c r="JOC104" s="769"/>
      <c r="JOD104" s="769"/>
      <c r="JOE104" s="769"/>
      <c r="JOF104" s="769"/>
      <c r="JOG104" s="769"/>
      <c r="JOH104" s="769"/>
      <c r="JOI104" s="769"/>
      <c r="JOJ104" s="769"/>
      <c r="JOK104" s="769"/>
      <c r="JOL104" s="769"/>
      <c r="JOM104" s="769"/>
      <c r="JON104" s="769"/>
      <c r="JOO104" s="769"/>
      <c r="JOP104" s="769"/>
      <c r="JOQ104" s="769"/>
      <c r="JOR104" s="769"/>
      <c r="JOS104" s="769"/>
      <c r="JOT104" s="769"/>
      <c r="JOU104" s="769"/>
      <c r="JOV104" s="769"/>
      <c r="JOW104" s="769"/>
      <c r="JOX104" s="769"/>
      <c r="JOY104" s="769"/>
      <c r="JOZ104" s="769"/>
      <c r="JPA104" s="769"/>
      <c r="JPB104" s="769"/>
      <c r="JPC104" s="769"/>
      <c r="JPD104" s="769"/>
      <c r="JPE104" s="769"/>
      <c r="JPF104" s="769"/>
      <c r="JPG104" s="769"/>
      <c r="JPH104" s="769"/>
      <c r="JPI104" s="769"/>
      <c r="JPJ104" s="769"/>
      <c r="JPK104" s="769"/>
      <c r="JPL104" s="769"/>
      <c r="JPM104" s="769"/>
      <c r="JPN104" s="769"/>
      <c r="JPO104" s="769"/>
      <c r="JPP104" s="769"/>
      <c r="JPQ104" s="769"/>
      <c r="JPR104" s="769"/>
      <c r="JPS104" s="769"/>
      <c r="JPT104" s="769"/>
      <c r="JPU104" s="769"/>
      <c r="JPV104" s="769"/>
      <c r="JPW104" s="769"/>
      <c r="JPX104" s="769"/>
      <c r="JPY104" s="769"/>
      <c r="JPZ104" s="769"/>
      <c r="JQA104" s="769"/>
      <c r="JQB104" s="769"/>
      <c r="JQC104" s="769"/>
      <c r="JQD104" s="769"/>
      <c r="JQE104" s="769"/>
      <c r="JQF104" s="769"/>
      <c r="JQG104" s="769"/>
      <c r="JQH104" s="769"/>
      <c r="JQI104" s="769"/>
      <c r="JQJ104" s="769"/>
      <c r="JQK104" s="769"/>
      <c r="JQL104" s="769"/>
      <c r="JQM104" s="769"/>
      <c r="JQN104" s="769"/>
      <c r="JQO104" s="769"/>
      <c r="JQP104" s="769"/>
      <c r="JQQ104" s="769"/>
      <c r="JQR104" s="769"/>
      <c r="JQS104" s="769"/>
      <c r="JQT104" s="769"/>
      <c r="JQU104" s="769"/>
      <c r="JQV104" s="769"/>
      <c r="JQW104" s="769"/>
      <c r="JQX104" s="769"/>
      <c r="JQY104" s="769"/>
      <c r="JQZ104" s="769"/>
      <c r="JRA104" s="769"/>
      <c r="JRB104" s="769"/>
      <c r="JRC104" s="769"/>
      <c r="JRD104" s="769"/>
      <c r="JRE104" s="769"/>
      <c r="JRF104" s="769"/>
      <c r="JRG104" s="769"/>
      <c r="JRH104" s="769"/>
      <c r="JRI104" s="769"/>
      <c r="JRJ104" s="769"/>
      <c r="JRK104" s="769"/>
      <c r="JRL104" s="769"/>
      <c r="JRM104" s="769"/>
      <c r="JRN104" s="769"/>
      <c r="JRO104" s="769"/>
      <c r="JRP104" s="769"/>
      <c r="JRQ104" s="769"/>
      <c r="JRR104" s="769"/>
      <c r="JRS104" s="769"/>
      <c r="JRT104" s="769"/>
      <c r="JRU104" s="769"/>
      <c r="JRV104" s="769"/>
      <c r="JRW104" s="769"/>
      <c r="JRX104" s="769"/>
      <c r="JRY104" s="769"/>
      <c r="JRZ104" s="769"/>
      <c r="JSA104" s="769"/>
      <c r="JSB104" s="769"/>
      <c r="JSC104" s="769"/>
      <c r="JSD104" s="769"/>
      <c r="JSE104" s="769"/>
      <c r="JSF104" s="769"/>
      <c r="JSG104" s="769"/>
      <c r="JSH104" s="769"/>
      <c r="JSI104" s="769"/>
      <c r="JSJ104" s="769"/>
      <c r="JSK104" s="769"/>
      <c r="JSL104" s="769"/>
      <c r="JSM104" s="769"/>
      <c r="JSN104" s="769"/>
      <c r="JSO104" s="769"/>
      <c r="JSP104" s="769"/>
      <c r="JSQ104" s="769"/>
      <c r="JSR104" s="769"/>
      <c r="JSS104" s="769"/>
      <c r="JST104" s="769"/>
      <c r="JSU104" s="769"/>
      <c r="JSV104" s="769"/>
      <c r="JSW104" s="769"/>
      <c r="JSX104" s="769"/>
      <c r="JSY104" s="769"/>
      <c r="JSZ104" s="769"/>
      <c r="JTA104" s="769"/>
      <c r="JTB104" s="769"/>
      <c r="JTC104" s="769"/>
      <c r="JTD104" s="769"/>
      <c r="JTE104" s="769"/>
      <c r="JTF104" s="769"/>
      <c r="JTG104" s="769"/>
      <c r="JTH104" s="769"/>
      <c r="JTI104" s="769"/>
      <c r="JTJ104" s="769"/>
      <c r="JTK104" s="769"/>
      <c r="JTL104" s="769"/>
      <c r="JTM104" s="769"/>
      <c r="JTN104" s="769"/>
      <c r="JTO104" s="769"/>
      <c r="JTP104" s="769"/>
      <c r="JTQ104" s="769"/>
      <c r="JTR104" s="769"/>
      <c r="JTS104" s="769"/>
      <c r="JTT104" s="769"/>
      <c r="JTU104" s="769"/>
      <c r="JTV104" s="769"/>
      <c r="JTW104" s="769"/>
      <c r="JTX104" s="769"/>
      <c r="JTY104" s="769"/>
      <c r="JTZ104" s="769"/>
      <c r="JUA104" s="769"/>
      <c r="JUB104" s="769"/>
      <c r="JUC104" s="769"/>
      <c r="JUD104" s="769"/>
      <c r="JUE104" s="769"/>
      <c r="JUF104" s="769"/>
      <c r="JUG104" s="769"/>
      <c r="JUH104" s="769"/>
      <c r="JUI104" s="769"/>
      <c r="JUJ104" s="769"/>
      <c r="JUK104" s="769"/>
      <c r="JUL104" s="769"/>
      <c r="JUM104" s="769"/>
      <c r="JUN104" s="769"/>
      <c r="JUO104" s="769"/>
      <c r="JUP104" s="769"/>
      <c r="JUQ104" s="769"/>
      <c r="JUR104" s="769"/>
      <c r="JUS104" s="769"/>
      <c r="JUT104" s="769"/>
      <c r="JUU104" s="769"/>
      <c r="JUV104" s="769"/>
      <c r="JUW104" s="769"/>
      <c r="JUX104" s="769"/>
      <c r="JUY104" s="769"/>
      <c r="JUZ104" s="769"/>
      <c r="JVA104" s="769"/>
      <c r="JVB104" s="769"/>
      <c r="JVC104" s="769"/>
      <c r="JVD104" s="769"/>
      <c r="JVE104" s="769"/>
      <c r="JVF104" s="769"/>
      <c r="JVG104" s="769"/>
      <c r="JVH104" s="769"/>
      <c r="JVI104" s="769"/>
      <c r="JVJ104" s="769"/>
      <c r="JVK104" s="769"/>
      <c r="JVL104" s="769"/>
      <c r="JVM104" s="769"/>
      <c r="JVN104" s="769"/>
      <c r="JVO104" s="769"/>
      <c r="JVP104" s="769"/>
      <c r="JVQ104" s="769"/>
      <c r="JVR104" s="769"/>
      <c r="JVS104" s="769"/>
      <c r="JVT104" s="769"/>
      <c r="JVU104" s="769"/>
      <c r="JVV104" s="769"/>
      <c r="JVW104" s="769"/>
      <c r="JVX104" s="769"/>
      <c r="JVY104" s="769"/>
      <c r="JVZ104" s="769"/>
      <c r="JWA104" s="769"/>
      <c r="JWB104" s="769"/>
      <c r="JWC104" s="769"/>
      <c r="JWD104" s="769"/>
      <c r="JWE104" s="769"/>
      <c r="JWF104" s="769"/>
      <c r="JWG104" s="769"/>
      <c r="JWH104" s="769"/>
      <c r="JWI104" s="769"/>
      <c r="JWJ104" s="769"/>
      <c r="JWK104" s="769"/>
      <c r="JWL104" s="769"/>
      <c r="JWM104" s="769"/>
      <c r="JWN104" s="769"/>
      <c r="JWO104" s="769"/>
      <c r="JWP104" s="769"/>
      <c r="JWQ104" s="769"/>
      <c r="JWR104" s="769"/>
      <c r="JWS104" s="769"/>
      <c r="JWT104" s="769"/>
      <c r="JWU104" s="769"/>
      <c r="JWV104" s="769"/>
      <c r="JWW104" s="769"/>
      <c r="JWX104" s="769"/>
      <c r="JWY104" s="769"/>
      <c r="JWZ104" s="769"/>
      <c r="JXA104" s="769"/>
      <c r="JXB104" s="769"/>
      <c r="JXC104" s="769"/>
      <c r="JXD104" s="769"/>
      <c r="JXE104" s="769"/>
      <c r="JXF104" s="769"/>
      <c r="JXG104" s="769"/>
      <c r="JXH104" s="769"/>
      <c r="JXI104" s="769"/>
      <c r="JXJ104" s="769"/>
      <c r="JXK104" s="769"/>
      <c r="JXL104" s="769"/>
      <c r="JXM104" s="769"/>
      <c r="JXN104" s="769"/>
      <c r="JXO104" s="769"/>
      <c r="JXP104" s="769"/>
      <c r="JXQ104" s="769"/>
      <c r="JXR104" s="769"/>
      <c r="JXS104" s="769"/>
      <c r="JXT104" s="769"/>
      <c r="JXU104" s="769"/>
      <c r="JXV104" s="769"/>
      <c r="JXW104" s="769"/>
      <c r="JXX104" s="769"/>
      <c r="JXY104" s="769"/>
      <c r="JXZ104" s="769"/>
      <c r="JYA104" s="769"/>
      <c r="JYB104" s="769"/>
      <c r="JYC104" s="769"/>
      <c r="JYD104" s="769"/>
      <c r="JYE104" s="769"/>
      <c r="JYF104" s="769"/>
      <c r="JYG104" s="769"/>
      <c r="JYH104" s="769"/>
      <c r="JYI104" s="769"/>
      <c r="JYJ104" s="769"/>
      <c r="JYK104" s="769"/>
      <c r="JYL104" s="769"/>
      <c r="JYM104" s="769"/>
      <c r="JYN104" s="769"/>
      <c r="JYO104" s="769"/>
      <c r="JYP104" s="769"/>
      <c r="JYQ104" s="769"/>
      <c r="JYR104" s="769"/>
      <c r="JYS104" s="769"/>
      <c r="JYT104" s="769"/>
      <c r="JYU104" s="769"/>
      <c r="JYV104" s="769"/>
      <c r="JYW104" s="769"/>
      <c r="JYX104" s="769"/>
      <c r="JYY104" s="769"/>
      <c r="JYZ104" s="769"/>
      <c r="JZA104" s="769"/>
      <c r="JZB104" s="769"/>
      <c r="JZC104" s="769"/>
      <c r="JZD104" s="769"/>
      <c r="JZE104" s="769"/>
      <c r="JZF104" s="769"/>
      <c r="JZG104" s="769"/>
      <c r="JZH104" s="769"/>
      <c r="JZI104" s="769"/>
      <c r="JZJ104" s="769"/>
      <c r="JZK104" s="769"/>
      <c r="JZL104" s="769"/>
      <c r="JZM104" s="769"/>
      <c r="JZN104" s="769"/>
      <c r="JZO104" s="769"/>
      <c r="JZP104" s="769"/>
      <c r="JZQ104" s="769"/>
      <c r="JZR104" s="769"/>
      <c r="JZS104" s="769"/>
      <c r="JZT104" s="769"/>
      <c r="JZU104" s="769"/>
      <c r="JZV104" s="769"/>
      <c r="JZW104" s="769"/>
      <c r="JZX104" s="769"/>
      <c r="JZY104" s="769"/>
      <c r="JZZ104" s="769"/>
      <c r="KAA104" s="769"/>
      <c r="KAB104" s="769"/>
      <c r="KAC104" s="769"/>
      <c r="KAD104" s="769"/>
      <c r="KAE104" s="769"/>
      <c r="KAF104" s="769"/>
      <c r="KAG104" s="769"/>
      <c r="KAH104" s="769"/>
      <c r="KAI104" s="769"/>
      <c r="KAJ104" s="769"/>
      <c r="KAK104" s="769"/>
      <c r="KAL104" s="769"/>
      <c r="KAM104" s="769"/>
      <c r="KAN104" s="769"/>
      <c r="KAO104" s="769"/>
      <c r="KAP104" s="769"/>
      <c r="KAQ104" s="769"/>
      <c r="KAR104" s="769"/>
      <c r="KAS104" s="769"/>
      <c r="KAT104" s="769"/>
      <c r="KAU104" s="769"/>
      <c r="KAV104" s="769"/>
      <c r="KAW104" s="769"/>
      <c r="KAX104" s="769"/>
      <c r="KAY104" s="769"/>
      <c r="KAZ104" s="769"/>
      <c r="KBA104" s="769"/>
      <c r="KBB104" s="769"/>
      <c r="KBC104" s="769"/>
      <c r="KBD104" s="769"/>
      <c r="KBE104" s="769"/>
      <c r="KBF104" s="769"/>
      <c r="KBG104" s="769"/>
      <c r="KBH104" s="769"/>
      <c r="KBI104" s="769"/>
      <c r="KBJ104" s="769"/>
      <c r="KBK104" s="769"/>
      <c r="KBL104" s="769"/>
      <c r="KBM104" s="769"/>
      <c r="KBN104" s="769"/>
      <c r="KBO104" s="769"/>
      <c r="KBP104" s="769"/>
      <c r="KBQ104" s="769"/>
      <c r="KBR104" s="769"/>
      <c r="KBS104" s="769"/>
      <c r="KBT104" s="769"/>
      <c r="KBU104" s="769"/>
      <c r="KBV104" s="769"/>
      <c r="KBW104" s="769"/>
      <c r="KBX104" s="769"/>
      <c r="KBY104" s="769"/>
      <c r="KBZ104" s="769"/>
      <c r="KCA104" s="769"/>
      <c r="KCB104" s="769"/>
      <c r="KCC104" s="769"/>
      <c r="KCD104" s="769"/>
      <c r="KCE104" s="769"/>
      <c r="KCF104" s="769"/>
      <c r="KCG104" s="769"/>
      <c r="KCH104" s="769"/>
      <c r="KCI104" s="769"/>
      <c r="KCJ104" s="769"/>
      <c r="KCK104" s="769"/>
      <c r="KCL104" s="769"/>
      <c r="KCM104" s="769"/>
      <c r="KCN104" s="769"/>
      <c r="KCO104" s="769"/>
      <c r="KCP104" s="769"/>
      <c r="KCQ104" s="769"/>
      <c r="KCR104" s="769"/>
      <c r="KCS104" s="769"/>
      <c r="KCT104" s="769"/>
      <c r="KCU104" s="769"/>
      <c r="KCV104" s="769"/>
      <c r="KCW104" s="769"/>
      <c r="KCX104" s="769"/>
      <c r="KCY104" s="769"/>
      <c r="KCZ104" s="769"/>
      <c r="KDA104" s="769"/>
      <c r="KDB104" s="769"/>
      <c r="KDC104" s="769"/>
      <c r="KDD104" s="769"/>
      <c r="KDE104" s="769"/>
      <c r="KDF104" s="769"/>
      <c r="KDG104" s="769"/>
      <c r="KDH104" s="769"/>
      <c r="KDI104" s="769"/>
      <c r="KDJ104" s="769"/>
      <c r="KDK104" s="769"/>
      <c r="KDL104" s="769"/>
      <c r="KDM104" s="769"/>
      <c r="KDN104" s="769"/>
      <c r="KDO104" s="769"/>
      <c r="KDP104" s="769"/>
      <c r="KDQ104" s="769"/>
      <c r="KDR104" s="769"/>
      <c r="KDS104" s="769"/>
      <c r="KDT104" s="769"/>
      <c r="KDU104" s="769"/>
      <c r="KDV104" s="769"/>
      <c r="KDW104" s="769"/>
      <c r="KDX104" s="769"/>
      <c r="KDY104" s="769"/>
      <c r="KDZ104" s="769"/>
      <c r="KEA104" s="769"/>
      <c r="KEB104" s="769"/>
      <c r="KEC104" s="769"/>
      <c r="KED104" s="769"/>
      <c r="KEE104" s="769"/>
      <c r="KEF104" s="769"/>
      <c r="KEG104" s="769"/>
      <c r="KEH104" s="769"/>
      <c r="KEI104" s="769"/>
      <c r="KEJ104" s="769"/>
      <c r="KEK104" s="769"/>
      <c r="KEL104" s="769"/>
      <c r="KEM104" s="769"/>
      <c r="KEN104" s="769"/>
      <c r="KEO104" s="769"/>
      <c r="KEP104" s="769"/>
      <c r="KEQ104" s="769"/>
      <c r="KER104" s="769"/>
      <c r="KES104" s="769"/>
      <c r="KET104" s="769"/>
      <c r="KEU104" s="769"/>
      <c r="KEV104" s="769"/>
      <c r="KEW104" s="769"/>
      <c r="KEX104" s="769"/>
      <c r="KEY104" s="769"/>
      <c r="KEZ104" s="769"/>
      <c r="KFA104" s="769"/>
      <c r="KFB104" s="769"/>
      <c r="KFC104" s="769"/>
      <c r="KFD104" s="769"/>
      <c r="KFE104" s="769"/>
      <c r="KFF104" s="769"/>
      <c r="KFG104" s="769"/>
      <c r="KFH104" s="769"/>
      <c r="KFI104" s="769"/>
      <c r="KFJ104" s="769"/>
      <c r="KFK104" s="769"/>
      <c r="KFL104" s="769"/>
      <c r="KFM104" s="769"/>
      <c r="KFN104" s="769"/>
      <c r="KFO104" s="769"/>
      <c r="KFP104" s="769"/>
      <c r="KFQ104" s="769"/>
      <c r="KFR104" s="769"/>
      <c r="KFS104" s="769"/>
      <c r="KFT104" s="769"/>
      <c r="KFU104" s="769"/>
      <c r="KFV104" s="769"/>
      <c r="KFW104" s="769"/>
      <c r="KFX104" s="769"/>
      <c r="KFY104" s="769"/>
      <c r="KFZ104" s="769"/>
      <c r="KGA104" s="769"/>
      <c r="KGB104" s="769"/>
      <c r="KGC104" s="769"/>
      <c r="KGD104" s="769"/>
      <c r="KGE104" s="769"/>
      <c r="KGF104" s="769"/>
      <c r="KGG104" s="769"/>
      <c r="KGH104" s="769"/>
      <c r="KGI104" s="769"/>
      <c r="KGJ104" s="769"/>
      <c r="KGK104" s="769"/>
      <c r="KGL104" s="769"/>
      <c r="KGM104" s="769"/>
      <c r="KGN104" s="769"/>
      <c r="KGO104" s="769"/>
      <c r="KGP104" s="769"/>
      <c r="KGQ104" s="769"/>
      <c r="KGR104" s="769"/>
      <c r="KGS104" s="769"/>
      <c r="KGT104" s="769"/>
      <c r="KGU104" s="769"/>
      <c r="KGV104" s="769"/>
      <c r="KGW104" s="769"/>
      <c r="KGX104" s="769"/>
      <c r="KGY104" s="769"/>
      <c r="KGZ104" s="769"/>
      <c r="KHA104" s="769"/>
      <c r="KHB104" s="769"/>
      <c r="KHC104" s="769"/>
      <c r="KHD104" s="769"/>
      <c r="KHE104" s="769"/>
      <c r="KHF104" s="769"/>
      <c r="KHG104" s="769"/>
      <c r="KHH104" s="769"/>
      <c r="KHI104" s="769"/>
      <c r="KHJ104" s="769"/>
      <c r="KHK104" s="769"/>
      <c r="KHL104" s="769"/>
      <c r="KHM104" s="769"/>
      <c r="KHN104" s="769"/>
      <c r="KHO104" s="769"/>
      <c r="KHP104" s="769"/>
      <c r="KHQ104" s="769"/>
      <c r="KHR104" s="769"/>
      <c r="KHS104" s="769"/>
      <c r="KHT104" s="769"/>
      <c r="KHU104" s="769"/>
      <c r="KHV104" s="769"/>
      <c r="KHW104" s="769"/>
      <c r="KHX104" s="769"/>
      <c r="KHY104" s="769"/>
      <c r="KHZ104" s="769"/>
      <c r="KIA104" s="769"/>
      <c r="KIB104" s="769"/>
      <c r="KIC104" s="769"/>
      <c r="KID104" s="769"/>
      <c r="KIE104" s="769"/>
      <c r="KIF104" s="769"/>
      <c r="KIG104" s="769"/>
      <c r="KIH104" s="769"/>
      <c r="KII104" s="769"/>
      <c r="KIJ104" s="769"/>
      <c r="KIK104" s="769"/>
      <c r="KIL104" s="769"/>
      <c r="KIM104" s="769"/>
      <c r="KIN104" s="769"/>
      <c r="KIO104" s="769"/>
      <c r="KIP104" s="769"/>
      <c r="KIQ104" s="769"/>
      <c r="KIR104" s="769"/>
      <c r="KIS104" s="769"/>
      <c r="KIT104" s="769"/>
      <c r="KIU104" s="769"/>
      <c r="KIV104" s="769"/>
      <c r="KIW104" s="769"/>
      <c r="KIX104" s="769"/>
      <c r="KIY104" s="769"/>
      <c r="KIZ104" s="769"/>
      <c r="KJA104" s="769"/>
      <c r="KJB104" s="769"/>
      <c r="KJC104" s="769"/>
      <c r="KJD104" s="769"/>
      <c r="KJE104" s="769"/>
      <c r="KJF104" s="769"/>
      <c r="KJG104" s="769"/>
      <c r="KJH104" s="769"/>
      <c r="KJI104" s="769"/>
      <c r="KJJ104" s="769"/>
      <c r="KJK104" s="769"/>
      <c r="KJL104" s="769"/>
      <c r="KJM104" s="769"/>
      <c r="KJN104" s="769"/>
      <c r="KJO104" s="769"/>
      <c r="KJP104" s="769"/>
      <c r="KJQ104" s="769"/>
      <c r="KJR104" s="769"/>
      <c r="KJS104" s="769"/>
      <c r="KJT104" s="769"/>
      <c r="KJU104" s="769"/>
      <c r="KJV104" s="769"/>
      <c r="KJW104" s="769"/>
      <c r="KJX104" s="769"/>
      <c r="KJY104" s="769"/>
      <c r="KJZ104" s="769"/>
      <c r="KKA104" s="769"/>
      <c r="KKB104" s="769"/>
      <c r="KKC104" s="769"/>
      <c r="KKD104" s="769"/>
      <c r="KKE104" s="769"/>
      <c r="KKF104" s="769"/>
      <c r="KKG104" s="769"/>
      <c r="KKH104" s="769"/>
      <c r="KKI104" s="769"/>
      <c r="KKJ104" s="769"/>
      <c r="KKK104" s="769"/>
      <c r="KKL104" s="769"/>
      <c r="KKM104" s="769"/>
      <c r="KKN104" s="769"/>
      <c r="KKO104" s="769"/>
      <c r="KKP104" s="769"/>
      <c r="KKQ104" s="769"/>
      <c r="KKR104" s="769"/>
      <c r="KKS104" s="769"/>
      <c r="KKT104" s="769"/>
      <c r="KKU104" s="769"/>
      <c r="KKV104" s="769"/>
      <c r="KKW104" s="769"/>
      <c r="KKX104" s="769"/>
      <c r="KKY104" s="769"/>
      <c r="KKZ104" s="769"/>
      <c r="KLA104" s="769"/>
      <c r="KLB104" s="769"/>
      <c r="KLC104" s="769"/>
      <c r="KLD104" s="769"/>
      <c r="KLE104" s="769"/>
      <c r="KLF104" s="769"/>
      <c r="KLG104" s="769"/>
      <c r="KLH104" s="769"/>
      <c r="KLI104" s="769"/>
      <c r="KLJ104" s="769"/>
      <c r="KLK104" s="769"/>
      <c r="KLL104" s="769"/>
      <c r="KLM104" s="769"/>
      <c r="KLN104" s="769"/>
      <c r="KLO104" s="769"/>
      <c r="KLP104" s="769"/>
      <c r="KLQ104" s="769"/>
      <c r="KLR104" s="769"/>
      <c r="KLS104" s="769"/>
      <c r="KLT104" s="769"/>
      <c r="KLU104" s="769"/>
      <c r="KLV104" s="769"/>
      <c r="KLW104" s="769"/>
      <c r="KLX104" s="769"/>
      <c r="KLY104" s="769"/>
      <c r="KLZ104" s="769"/>
      <c r="KMA104" s="769"/>
      <c r="KMB104" s="769"/>
      <c r="KMC104" s="769"/>
      <c r="KMD104" s="769"/>
      <c r="KME104" s="769"/>
      <c r="KMF104" s="769"/>
      <c r="KMG104" s="769"/>
      <c r="KMH104" s="769"/>
      <c r="KMI104" s="769"/>
      <c r="KMJ104" s="769"/>
      <c r="KMK104" s="769"/>
      <c r="KML104" s="769"/>
      <c r="KMM104" s="769"/>
      <c r="KMN104" s="769"/>
      <c r="KMO104" s="769"/>
      <c r="KMP104" s="769"/>
      <c r="KMQ104" s="769"/>
      <c r="KMR104" s="769"/>
      <c r="KMS104" s="769"/>
      <c r="KMT104" s="769"/>
      <c r="KMU104" s="769"/>
      <c r="KMV104" s="769"/>
      <c r="KMW104" s="769"/>
      <c r="KMX104" s="769"/>
      <c r="KMY104" s="769"/>
      <c r="KMZ104" s="769"/>
      <c r="KNA104" s="769"/>
      <c r="KNB104" s="769"/>
      <c r="KNC104" s="769"/>
      <c r="KND104" s="769"/>
      <c r="KNE104" s="769"/>
      <c r="KNF104" s="769"/>
      <c r="KNG104" s="769"/>
      <c r="KNH104" s="769"/>
      <c r="KNI104" s="769"/>
      <c r="KNJ104" s="769"/>
      <c r="KNK104" s="769"/>
      <c r="KNL104" s="769"/>
      <c r="KNM104" s="769"/>
      <c r="KNN104" s="769"/>
      <c r="KNO104" s="769"/>
      <c r="KNP104" s="769"/>
      <c r="KNQ104" s="769"/>
      <c r="KNR104" s="769"/>
      <c r="KNS104" s="769"/>
      <c r="KNT104" s="769"/>
      <c r="KNU104" s="769"/>
      <c r="KNV104" s="769"/>
      <c r="KNW104" s="769"/>
      <c r="KNX104" s="769"/>
      <c r="KNY104" s="769"/>
      <c r="KNZ104" s="769"/>
      <c r="KOA104" s="769"/>
      <c r="KOB104" s="769"/>
      <c r="KOC104" s="769"/>
      <c r="KOD104" s="769"/>
      <c r="KOE104" s="769"/>
      <c r="KOF104" s="769"/>
      <c r="KOG104" s="769"/>
      <c r="KOH104" s="769"/>
      <c r="KOI104" s="769"/>
      <c r="KOJ104" s="769"/>
      <c r="KOK104" s="769"/>
      <c r="KOL104" s="769"/>
      <c r="KOM104" s="769"/>
      <c r="KON104" s="769"/>
      <c r="KOO104" s="769"/>
      <c r="KOP104" s="769"/>
      <c r="KOQ104" s="769"/>
      <c r="KOR104" s="769"/>
      <c r="KOS104" s="769"/>
      <c r="KOT104" s="769"/>
      <c r="KOU104" s="769"/>
      <c r="KOV104" s="769"/>
      <c r="KOW104" s="769"/>
      <c r="KOX104" s="769"/>
      <c r="KOY104" s="769"/>
      <c r="KOZ104" s="769"/>
      <c r="KPA104" s="769"/>
      <c r="KPB104" s="769"/>
      <c r="KPC104" s="769"/>
      <c r="KPD104" s="769"/>
      <c r="KPE104" s="769"/>
      <c r="KPF104" s="769"/>
      <c r="KPG104" s="769"/>
      <c r="KPH104" s="769"/>
      <c r="KPI104" s="769"/>
      <c r="KPJ104" s="769"/>
      <c r="KPK104" s="769"/>
      <c r="KPL104" s="769"/>
      <c r="KPM104" s="769"/>
      <c r="KPN104" s="769"/>
      <c r="KPO104" s="769"/>
      <c r="KPP104" s="769"/>
      <c r="KPQ104" s="769"/>
      <c r="KPR104" s="769"/>
      <c r="KPS104" s="769"/>
      <c r="KPT104" s="769"/>
      <c r="KPU104" s="769"/>
      <c r="KPV104" s="769"/>
      <c r="KPW104" s="769"/>
      <c r="KPX104" s="769"/>
      <c r="KPY104" s="769"/>
      <c r="KPZ104" s="769"/>
      <c r="KQA104" s="769"/>
      <c r="KQB104" s="769"/>
      <c r="KQC104" s="769"/>
      <c r="KQD104" s="769"/>
      <c r="KQE104" s="769"/>
      <c r="KQF104" s="769"/>
      <c r="KQG104" s="769"/>
      <c r="KQH104" s="769"/>
      <c r="KQI104" s="769"/>
      <c r="KQJ104" s="769"/>
      <c r="KQK104" s="769"/>
      <c r="KQL104" s="769"/>
      <c r="KQM104" s="769"/>
      <c r="KQN104" s="769"/>
      <c r="KQO104" s="769"/>
      <c r="KQP104" s="769"/>
      <c r="KQQ104" s="769"/>
      <c r="KQR104" s="769"/>
      <c r="KQS104" s="769"/>
      <c r="KQT104" s="769"/>
      <c r="KQU104" s="769"/>
      <c r="KQV104" s="769"/>
      <c r="KQW104" s="769"/>
      <c r="KQX104" s="769"/>
      <c r="KQY104" s="769"/>
      <c r="KQZ104" s="769"/>
      <c r="KRA104" s="769"/>
      <c r="KRB104" s="769"/>
      <c r="KRC104" s="769"/>
      <c r="KRD104" s="769"/>
      <c r="KRE104" s="769"/>
      <c r="KRF104" s="769"/>
      <c r="KRG104" s="769"/>
      <c r="KRH104" s="769"/>
      <c r="KRI104" s="769"/>
      <c r="KRJ104" s="769"/>
      <c r="KRK104" s="769"/>
      <c r="KRL104" s="769"/>
      <c r="KRM104" s="769"/>
      <c r="KRN104" s="769"/>
      <c r="KRO104" s="769"/>
      <c r="KRP104" s="769"/>
      <c r="KRQ104" s="769"/>
      <c r="KRR104" s="769"/>
      <c r="KRS104" s="769"/>
      <c r="KRT104" s="769"/>
      <c r="KRU104" s="769"/>
      <c r="KRV104" s="769"/>
      <c r="KRW104" s="769"/>
      <c r="KRX104" s="769"/>
      <c r="KRY104" s="769"/>
      <c r="KRZ104" s="769"/>
      <c r="KSA104" s="769"/>
      <c r="KSB104" s="769"/>
      <c r="KSC104" s="769"/>
      <c r="KSD104" s="769"/>
      <c r="KSE104" s="769"/>
      <c r="KSF104" s="769"/>
      <c r="KSG104" s="769"/>
      <c r="KSH104" s="769"/>
      <c r="KSI104" s="769"/>
      <c r="KSJ104" s="769"/>
      <c r="KSK104" s="769"/>
      <c r="KSL104" s="769"/>
      <c r="KSM104" s="769"/>
      <c r="KSN104" s="769"/>
      <c r="KSO104" s="769"/>
      <c r="KSP104" s="769"/>
      <c r="KSQ104" s="769"/>
      <c r="KSR104" s="769"/>
      <c r="KSS104" s="769"/>
      <c r="KST104" s="769"/>
      <c r="KSU104" s="769"/>
      <c r="KSV104" s="769"/>
      <c r="KSW104" s="769"/>
      <c r="KSX104" s="769"/>
      <c r="KSY104" s="769"/>
      <c r="KSZ104" s="769"/>
      <c r="KTA104" s="769"/>
      <c r="KTB104" s="769"/>
      <c r="KTC104" s="769"/>
      <c r="KTD104" s="769"/>
      <c r="KTE104" s="769"/>
      <c r="KTF104" s="769"/>
      <c r="KTG104" s="769"/>
      <c r="KTH104" s="769"/>
      <c r="KTI104" s="769"/>
      <c r="KTJ104" s="769"/>
      <c r="KTK104" s="769"/>
      <c r="KTL104" s="769"/>
      <c r="KTM104" s="769"/>
      <c r="KTN104" s="769"/>
      <c r="KTO104" s="769"/>
      <c r="KTP104" s="769"/>
      <c r="KTQ104" s="769"/>
      <c r="KTR104" s="769"/>
      <c r="KTS104" s="769"/>
      <c r="KTT104" s="769"/>
      <c r="KTU104" s="769"/>
      <c r="KTV104" s="769"/>
      <c r="KTW104" s="769"/>
      <c r="KTX104" s="769"/>
      <c r="KTY104" s="769"/>
      <c r="KTZ104" s="769"/>
      <c r="KUA104" s="769"/>
      <c r="KUB104" s="769"/>
      <c r="KUC104" s="769"/>
      <c r="KUD104" s="769"/>
      <c r="KUE104" s="769"/>
      <c r="KUF104" s="769"/>
      <c r="KUG104" s="769"/>
      <c r="KUH104" s="769"/>
      <c r="KUI104" s="769"/>
      <c r="KUJ104" s="769"/>
      <c r="KUK104" s="769"/>
      <c r="KUL104" s="769"/>
      <c r="KUM104" s="769"/>
      <c r="KUN104" s="769"/>
      <c r="KUO104" s="769"/>
      <c r="KUP104" s="769"/>
      <c r="KUQ104" s="769"/>
      <c r="KUR104" s="769"/>
      <c r="KUS104" s="769"/>
      <c r="KUT104" s="769"/>
      <c r="KUU104" s="769"/>
      <c r="KUV104" s="769"/>
      <c r="KUW104" s="769"/>
      <c r="KUX104" s="769"/>
      <c r="KUY104" s="769"/>
      <c r="KUZ104" s="769"/>
      <c r="KVA104" s="769"/>
      <c r="KVB104" s="769"/>
      <c r="KVC104" s="769"/>
      <c r="KVD104" s="769"/>
      <c r="KVE104" s="769"/>
      <c r="KVF104" s="769"/>
      <c r="KVG104" s="769"/>
      <c r="KVH104" s="769"/>
      <c r="KVI104" s="769"/>
      <c r="KVJ104" s="769"/>
      <c r="KVK104" s="769"/>
      <c r="KVL104" s="769"/>
      <c r="KVM104" s="769"/>
      <c r="KVN104" s="769"/>
      <c r="KVO104" s="769"/>
      <c r="KVP104" s="769"/>
      <c r="KVQ104" s="769"/>
      <c r="KVR104" s="769"/>
      <c r="KVS104" s="769"/>
      <c r="KVT104" s="769"/>
      <c r="KVU104" s="769"/>
      <c r="KVV104" s="769"/>
      <c r="KVW104" s="769"/>
      <c r="KVX104" s="769"/>
      <c r="KVY104" s="769"/>
      <c r="KVZ104" s="769"/>
      <c r="KWA104" s="769"/>
      <c r="KWB104" s="769"/>
      <c r="KWC104" s="769"/>
      <c r="KWD104" s="769"/>
      <c r="KWE104" s="769"/>
      <c r="KWF104" s="769"/>
      <c r="KWG104" s="769"/>
      <c r="KWH104" s="769"/>
      <c r="KWI104" s="769"/>
      <c r="KWJ104" s="769"/>
      <c r="KWK104" s="769"/>
      <c r="KWL104" s="769"/>
      <c r="KWM104" s="769"/>
      <c r="KWN104" s="769"/>
      <c r="KWO104" s="769"/>
      <c r="KWP104" s="769"/>
      <c r="KWQ104" s="769"/>
      <c r="KWR104" s="769"/>
      <c r="KWS104" s="769"/>
      <c r="KWT104" s="769"/>
      <c r="KWU104" s="769"/>
      <c r="KWV104" s="769"/>
      <c r="KWW104" s="769"/>
      <c r="KWX104" s="769"/>
      <c r="KWY104" s="769"/>
      <c r="KWZ104" s="769"/>
      <c r="KXA104" s="769"/>
      <c r="KXB104" s="769"/>
      <c r="KXC104" s="769"/>
      <c r="KXD104" s="769"/>
      <c r="KXE104" s="769"/>
      <c r="KXF104" s="769"/>
      <c r="KXG104" s="769"/>
      <c r="KXH104" s="769"/>
      <c r="KXI104" s="769"/>
      <c r="KXJ104" s="769"/>
      <c r="KXK104" s="769"/>
      <c r="KXL104" s="769"/>
      <c r="KXM104" s="769"/>
      <c r="KXN104" s="769"/>
      <c r="KXO104" s="769"/>
      <c r="KXP104" s="769"/>
      <c r="KXQ104" s="769"/>
      <c r="KXR104" s="769"/>
      <c r="KXS104" s="769"/>
      <c r="KXT104" s="769"/>
      <c r="KXU104" s="769"/>
      <c r="KXV104" s="769"/>
      <c r="KXW104" s="769"/>
      <c r="KXX104" s="769"/>
      <c r="KXY104" s="769"/>
      <c r="KXZ104" s="769"/>
      <c r="KYA104" s="769"/>
      <c r="KYB104" s="769"/>
      <c r="KYC104" s="769"/>
      <c r="KYD104" s="769"/>
      <c r="KYE104" s="769"/>
      <c r="KYF104" s="769"/>
      <c r="KYG104" s="769"/>
      <c r="KYH104" s="769"/>
      <c r="KYI104" s="769"/>
      <c r="KYJ104" s="769"/>
      <c r="KYK104" s="769"/>
      <c r="KYL104" s="769"/>
      <c r="KYM104" s="769"/>
      <c r="KYN104" s="769"/>
      <c r="KYO104" s="769"/>
      <c r="KYP104" s="769"/>
      <c r="KYQ104" s="769"/>
      <c r="KYR104" s="769"/>
      <c r="KYS104" s="769"/>
      <c r="KYT104" s="769"/>
      <c r="KYU104" s="769"/>
      <c r="KYV104" s="769"/>
      <c r="KYW104" s="769"/>
      <c r="KYX104" s="769"/>
      <c r="KYY104" s="769"/>
      <c r="KYZ104" s="769"/>
      <c r="KZA104" s="769"/>
      <c r="KZB104" s="769"/>
      <c r="KZC104" s="769"/>
      <c r="KZD104" s="769"/>
      <c r="KZE104" s="769"/>
      <c r="KZF104" s="769"/>
      <c r="KZG104" s="769"/>
      <c r="KZH104" s="769"/>
      <c r="KZI104" s="769"/>
      <c r="KZJ104" s="769"/>
      <c r="KZK104" s="769"/>
      <c r="KZL104" s="769"/>
      <c r="KZM104" s="769"/>
      <c r="KZN104" s="769"/>
      <c r="KZO104" s="769"/>
      <c r="KZP104" s="769"/>
      <c r="KZQ104" s="769"/>
      <c r="KZR104" s="769"/>
      <c r="KZS104" s="769"/>
      <c r="KZT104" s="769"/>
      <c r="KZU104" s="769"/>
      <c r="KZV104" s="769"/>
      <c r="KZW104" s="769"/>
      <c r="KZX104" s="769"/>
      <c r="KZY104" s="769"/>
      <c r="KZZ104" s="769"/>
      <c r="LAA104" s="769"/>
      <c r="LAB104" s="769"/>
      <c r="LAC104" s="769"/>
      <c r="LAD104" s="769"/>
      <c r="LAE104" s="769"/>
      <c r="LAF104" s="769"/>
      <c r="LAG104" s="769"/>
      <c r="LAH104" s="769"/>
      <c r="LAI104" s="769"/>
      <c r="LAJ104" s="769"/>
      <c r="LAK104" s="769"/>
      <c r="LAL104" s="769"/>
      <c r="LAM104" s="769"/>
      <c r="LAN104" s="769"/>
      <c r="LAO104" s="769"/>
      <c r="LAP104" s="769"/>
      <c r="LAQ104" s="769"/>
      <c r="LAR104" s="769"/>
      <c r="LAS104" s="769"/>
      <c r="LAT104" s="769"/>
      <c r="LAU104" s="769"/>
      <c r="LAV104" s="769"/>
      <c r="LAW104" s="769"/>
      <c r="LAX104" s="769"/>
      <c r="LAY104" s="769"/>
      <c r="LAZ104" s="769"/>
      <c r="LBA104" s="769"/>
      <c r="LBB104" s="769"/>
      <c r="LBC104" s="769"/>
      <c r="LBD104" s="769"/>
      <c r="LBE104" s="769"/>
      <c r="LBF104" s="769"/>
      <c r="LBG104" s="769"/>
      <c r="LBH104" s="769"/>
      <c r="LBI104" s="769"/>
      <c r="LBJ104" s="769"/>
      <c r="LBK104" s="769"/>
      <c r="LBL104" s="769"/>
      <c r="LBM104" s="769"/>
      <c r="LBN104" s="769"/>
      <c r="LBO104" s="769"/>
      <c r="LBP104" s="769"/>
      <c r="LBQ104" s="769"/>
      <c r="LBR104" s="769"/>
      <c r="LBS104" s="769"/>
      <c r="LBT104" s="769"/>
      <c r="LBU104" s="769"/>
      <c r="LBV104" s="769"/>
      <c r="LBW104" s="769"/>
      <c r="LBX104" s="769"/>
      <c r="LBY104" s="769"/>
      <c r="LBZ104" s="769"/>
      <c r="LCA104" s="769"/>
      <c r="LCB104" s="769"/>
      <c r="LCC104" s="769"/>
      <c r="LCD104" s="769"/>
      <c r="LCE104" s="769"/>
      <c r="LCF104" s="769"/>
      <c r="LCG104" s="769"/>
      <c r="LCH104" s="769"/>
      <c r="LCI104" s="769"/>
      <c r="LCJ104" s="769"/>
      <c r="LCK104" s="769"/>
      <c r="LCL104" s="769"/>
      <c r="LCM104" s="769"/>
      <c r="LCN104" s="769"/>
      <c r="LCO104" s="769"/>
      <c r="LCP104" s="769"/>
      <c r="LCQ104" s="769"/>
      <c r="LCR104" s="769"/>
      <c r="LCS104" s="769"/>
      <c r="LCT104" s="769"/>
      <c r="LCU104" s="769"/>
      <c r="LCV104" s="769"/>
      <c r="LCW104" s="769"/>
      <c r="LCX104" s="769"/>
      <c r="LCY104" s="769"/>
      <c r="LCZ104" s="769"/>
      <c r="LDA104" s="769"/>
      <c r="LDB104" s="769"/>
      <c r="LDC104" s="769"/>
      <c r="LDD104" s="769"/>
      <c r="LDE104" s="769"/>
      <c r="LDF104" s="769"/>
      <c r="LDG104" s="769"/>
      <c r="LDH104" s="769"/>
      <c r="LDI104" s="769"/>
      <c r="LDJ104" s="769"/>
      <c r="LDK104" s="769"/>
      <c r="LDL104" s="769"/>
      <c r="LDM104" s="769"/>
      <c r="LDN104" s="769"/>
      <c r="LDO104" s="769"/>
      <c r="LDP104" s="769"/>
      <c r="LDQ104" s="769"/>
      <c r="LDR104" s="769"/>
      <c r="LDS104" s="769"/>
      <c r="LDT104" s="769"/>
      <c r="LDU104" s="769"/>
      <c r="LDV104" s="769"/>
      <c r="LDW104" s="769"/>
      <c r="LDX104" s="769"/>
      <c r="LDY104" s="769"/>
      <c r="LDZ104" s="769"/>
      <c r="LEA104" s="769"/>
      <c r="LEB104" s="769"/>
      <c r="LEC104" s="769"/>
      <c r="LED104" s="769"/>
      <c r="LEE104" s="769"/>
      <c r="LEF104" s="769"/>
      <c r="LEG104" s="769"/>
      <c r="LEH104" s="769"/>
      <c r="LEI104" s="769"/>
      <c r="LEJ104" s="769"/>
      <c r="LEK104" s="769"/>
      <c r="LEL104" s="769"/>
      <c r="LEM104" s="769"/>
      <c r="LEN104" s="769"/>
      <c r="LEO104" s="769"/>
      <c r="LEP104" s="769"/>
      <c r="LEQ104" s="769"/>
      <c r="LER104" s="769"/>
      <c r="LES104" s="769"/>
      <c r="LET104" s="769"/>
      <c r="LEU104" s="769"/>
      <c r="LEV104" s="769"/>
      <c r="LEW104" s="769"/>
      <c r="LEX104" s="769"/>
      <c r="LEY104" s="769"/>
      <c r="LEZ104" s="769"/>
      <c r="LFA104" s="769"/>
      <c r="LFB104" s="769"/>
      <c r="LFC104" s="769"/>
      <c r="LFD104" s="769"/>
      <c r="LFE104" s="769"/>
      <c r="LFF104" s="769"/>
      <c r="LFG104" s="769"/>
      <c r="LFH104" s="769"/>
      <c r="LFI104" s="769"/>
      <c r="LFJ104" s="769"/>
      <c r="LFK104" s="769"/>
      <c r="LFL104" s="769"/>
      <c r="LFM104" s="769"/>
      <c r="LFN104" s="769"/>
      <c r="LFO104" s="769"/>
      <c r="LFP104" s="769"/>
      <c r="LFQ104" s="769"/>
      <c r="LFR104" s="769"/>
      <c r="LFS104" s="769"/>
      <c r="LFT104" s="769"/>
      <c r="LFU104" s="769"/>
      <c r="LFV104" s="769"/>
      <c r="LFW104" s="769"/>
      <c r="LFX104" s="769"/>
      <c r="LFY104" s="769"/>
      <c r="LFZ104" s="769"/>
      <c r="LGA104" s="769"/>
      <c r="LGB104" s="769"/>
      <c r="LGC104" s="769"/>
      <c r="LGD104" s="769"/>
      <c r="LGE104" s="769"/>
      <c r="LGF104" s="769"/>
      <c r="LGG104" s="769"/>
      <c r="LGH104" s="769"/>
      <c r="LGI104" s="769"/>
      <c r="LGJ104" s="769"/>
      <c r="LGK104" s="769"/>
      <c r="LGL104" s="769"/>
      <c r="LGM104" s="769"/>
      <c r="LGN104" s="769"/>
      <c r="LGO104" s="769"/>
      <c r="LGP104" s="769"/>
      <c r="LGQ104" s="769"/>
      <c r="LGR104" s="769"/>
      <c r="LGS104" s="769"/>
      <c r="LGT104" s="769"/>
      <c r="LGU104" s="769"/>
      <c r="LGV104" s="769"/>
      <c r="LGW104" s="769"/>
      <c r="LGX104" s="769"/>
      <c r="LGY104" s="769"/>
      <c r="LGZ104" s="769"/>
      <c r="LHA104" s="769"/>
      <c r="LHB104" s="769"/>
      <c r="LHC104" s="769"/>
      <c r="LHD104" s="769"/>
      <c r="LHE104" s="769"/>
      <c r="LHF104" s="769"/>
      <c r="LHG104" s="769"/>
      <c r="LHH104" s="769"/>
      <c r="LHI104" s="769"/>
      <c r="LHJ104" s="769"/>
      <c r="LHK104" s="769"/>
      <c r="LHL104" s="769"/>
      <c r="LHM104" s="769"/>
      <c r="LHN104" s="769"/>
      <c r="LHO104" s="769"/>
      <c r="LHP104" s="769"/>
      <c r="LHQ104" s="769"/>
      <c r="LHR104" s="769"/>
      <c r="LHS104" s="769"/>
      <c r="LHT104" s="769"/>
      <c r="LHU104" s="769"/>
      <c r="LHV104" s="769"/>
      <c r="LHW104" s="769"/>
      <c r="LHX104" s="769"/>
      <c r="LHY104" s="769"/>
      <c r="LHZ104" s="769"/>
      <c r="LIA104" s="769"/>
      <c r="LIB104" s="769"/>
      <c r="LIC104" s="769"/>
      <c r="LID104" s="769"/>
      <c r="LIE104" s="769"/>
      <c r="LIF104" s="769"/>
      <c r="LIG104" s="769"/>
      <c r="LIH104" s="769"/>
      <c r="LII104" s="769"/>
      <c r="LIJ104" s="769"/>
      <c r="LIK104" s="769"/>
      <c r="LIL104" s="769"/>
      <c r="LIM104" s="769"/>
      <c r="LIN104" s="769"/>
      <c r="LIO104" s="769"/>
      <c r="LIP104" s="769"/>
      <c r="LIQ104" s="769"/>
      <c r="LIR104" s="769"/>
      <c r="LIS104" s="769"/>
      <c r="LIT104" s="769"/>
      <c r="LIU104" s="769"/>
      <c r="LIV104" s="769"/>
      <c r="LIW104" s="769"/>
      <c r="LIX104" s="769"/>
      <c r="LIY104" s="769"/>
      <c r="LIZ104" s="769"/>
      <c r="LJA104" s="769"/>
      <c r="LJB104" s="769"/>
      <c r="LJC104" s="769"/>
      <c r="LJD104" s="769"/>
      <c r="LJE104" s="769"/>
      <c r="LJF104" s="769"/>
      <c r="LJG104" s="769"/>
      <c r="LJH104" s="769"/>
      <c r="LJI104" s="769"/>
      <c r="LJJ104" s="769"/>
      <c r="LJK104" s="769"/>
      <c r="LJL104" s="769"/>
      <c r="LJM104" s="769"/>
      <c r="LJN104" s="769"/>
      <c r="LJO104" s="769"/>
      <c r="LJP104" s="769"/>
      <c r="LJQ104" s="769"/>
      <c r="LJR104" s="769"/>
      <c r="LJS104" s="769"/>
      <c r="LJT104" s="769"/>
      <c r="LJU104" s="769"/>
      <c r="LJV104" s="769"/>
      <c r="LJW104" s="769"/>
      <c r="LJX104" s="769"/>
      <c r="LJY104" s="769"/>
      <c r="LJZ104" s="769"/>
      <c r="LKA104" s="769"/>
      <c r="LKB104" s="769"/>
      <c r="LKC104" s="769"/>
      <c r="LKD104" s="769"/>
      <c r="LKE104" s="769"/>
      <c r="LKF104" s="769"/>
      <c r="LKG104" s="769"/>
      <c r="LKH104" s="769"/>
      <c r="LKI104" s="769"/>
      <c r="LKJ104" s="769"/>
      <c r="LKK104" s="769"/>
      <c r="LKL104" s="769"/>
      <c r="LKM104" s="769"/>
      <c r="LKN104" s="769"/>
      <c r="LKO104" s="769"/>
      <c r="LKP104" s="769"/>
      <c r="LKQ104" s="769"/>
      <c r="LKR104" s="769"/>
      <c r="LKS104" s="769"/>
      <c r="LKT104" s="769"/>
      <c r="LKU104" s="769"/>
      <c r="LKV104" s="769"/>
      <c r="LKW104" s="769"/>
      <c r="LKX104" s="769"/>
      <c r="LKY104" s="769"/>
      <c r="LKZ104" s="769"/>
      <c r="LLA104" s="769"/>
      <c r="LLB104" s="769"/>
      <c r="LLC104" s="769"/>
      <c r="LLD104" s="769"/>
      <c r="LLE104" s="769"/>
      <c r="LLF104" s="769"/>
      <c r="LLG104" s="769"/>
      <c r="LLH104" s="769"/>
      <c r="LLI104" s="769"/>
      <c r="LLJ104" s="769"/>
      <c r="LLK104" s="769"/>
      <c r="LLL104" s="769"/>
      <c r="LLM104" s="769"/>
      <c r="LLN104" s="769"/>
      <c r="LLO104" s="769"/>
      <c r="LLP104" s="769"/>
      <c r="LLQ104" s="769"/>
      <c r="LLR104" s="769"/>
      <c r="LLS104" s="769"/>
      <c r="LLT104" s="769"/>
      <c r="LLU104" s="769"/>
      <c r="LLV104" s="769"/>
      <c r="LLW104" s="769"/>
      <c r="LLX104" s="769"/>
      <c r="LLY104" s="769"/>
      <c r="LLZ104" s="769"/>
      <c r="LMA104" s="769"/>
      <c r="LMB104" s="769"/>
      <c r="LMC104" s="769"/>
      <c r="LMD104" s="769"/>
      <c r="LME104" s="769"/>
      <c r="LMF104" s="769"/>
      <c r="LMG104" s="769"/>
      <c r="LMH104" s="769"/>
      <c r="LMI104" s="769"/>
      <c r="LMJ104" s="769"/>
      <c r="LMK104" s="769"/>
      <c r="LML104" s="769"/>
      <c r="LMM104" s="769"/>
      <c r="LMN104" s="769"/>
      <c r="LMO104" s="769"/>
      <c r="LMP104" s="769"/>
      <c r="LMQ104" s="769"/>
      <c r="LMR104" s="769"/>
      <c r="LMS104" s="769"/>
      <c r="LMT104" s="769"/>
      <c r="LMU104" s="769"/>
      <c r="LMV104" s="769"/>
      <c r="LMW104" s="769"/>
      <c r="LMX104" s="769"/>
      <c r="LMY104" s="769"/>
      <c r="LMZ104" s="769"/>
      <c r="LNA104" s="769"/>
      <c r="LNB104" s="769"/>
      <c r="LNC104" s="769"/>
      <c r="LND104" s="769"/>
      <c r="LNE104" s="769"/>
      <c r="LNF104" s="769"/>
      <c r="LNG104" s="769"/>
      <c r="LNH104" s="769"/>
      <c r="LNI104" s="769"/>
      <c r="LNJ104" s="769"/>
      <c r="LNK104" s="769"/>
      <c r="LNL104" s="769"/>
      <c r="LNM104" s="769"/>
      <c r="LNN104" s="769"/>
      <c r="LNO104" s="769"/>
      <c r="LNP104" s="769"/>
      <c r="LNQ104" s="769"/>
      <c r="LNR104" s="769"/>
      <c r="LNS104" s="769"/>
      <c r="LNT104" s="769"/>
      <c r="LNU104" s="769"/>
      <c r="LNV104" s="769"/>
      <c r="LNW104" s="769"/>
      <c r="LNX104" s="769"/>
      <c r="LNY104" s="769"/>
      <c r="LNZ104" s="769"/>
      <c r="LOA104" s="769"/>
      <c r="LOB104" s="769"/>
      <c r="LOC104" s="769"/>
      <c r="LOD104" s="769"/>
      <c r="LOE104" s="769"/>
      <c r="LOF104" s="769"/>
      <c r="LOG104" s="769"/>
      <c r="LOH104" s="769"/>
      <c r="LOI104" s="769"/>
      <c r="LOJ104" s="769"/>
      <c r="LOK104" s="769"/>
      <c r="LOL104" s="769"/>
      <c r="LOM104" s="769"/>
      <c r="LON104" s="769"/>
      <c r="LOO104" s="769"/>
      <c r="LOP104" s="769"/>
      <c r="LOQ104" s="769"/>
      <c r="LOR104" s="769"/>
      <c r="LOS104" s="769"/>
      <c r="LOT104" s="769"/>
      <c r="LOU104" s="769"/>
      <c r="LOV104" s="769"/>
      <c r="LOW104" s="769"/>
      <c r="LOX104" s="769"/>
      <c r="LOY104" s="769"/>
      <c r="LOZ104" s="769"/>
      <c r="LPA104" s="769"/>
      <c r="LPB104" s="769"/>
      <c r="LPC104" s="769"/>
      <c r="LPD104" s="769"/>
      <c r="LPE104" s="769"/>
      <c r="LPF104" s="769"/>
      <c r="LPG104" s="769"/>
      <c r="LPH104" s="769"/>
      <c r="LPI104" s="769"/>
      <c r="LPJ104" s="769"/>
      <c r="LPK104" s="769"/>
      <c r="LPL104" s="769"/>
      <c r="LPM104" s="769"/>
      <c r="LPN104" s="769"/>
      <c r="LPO104" s="769"/>
      <c r="LPP104" s="769"/>
      <c r="LPQ104" s="769"/>
      <c r="LPR104" s="769"/>
      <c r="LPS104" s="769"/>
      <c r="LPT104" s="769"/>
      <c r="LPU104" s="769"/>
      <c r="LPV104" s="769"/>
      <c r="LPW104" s="769"/>
      <c r="LPX104" s="769"/>
      <c r="LPY104" s="769"/>
      <c r="LPZ104" s="769"/>
      <c r="LQA104" s="769"/>
      <c r="LQB104" s="769"/>
      <c r="LQC104" s="769"/>
      <c r="LQD104" s="769"/>
      <c r="LQE104" s="769"/>
      <c r="LQF104" s="769"/>
      <c r="LQG104" s="769"/>
      <c r="LQH104" s="769"/>
      <c r="LQI104" s="769"/>
      <c r="LQJ104" s="769"/>
      <c r="LQK104" s="769"/>
      <c r="LQL104" s="769"/>
      <c r="LQM104" s="769"/>
      <c r="LQN104" s="769"/>
      <c r="LQO104" s="769"/>
      <c r="LQP104" s="769"/>
      <c r="LQQ104" s="769"/>
      <c r="LQR104" s="769"/>
      <c r="LQS104" s="769"/>
      <c r="LQT104" s="769"/>
      <c r="LQU104" s="769"/>
      <c r="LQV104" s="769"/>
      <c r="LQW104" s="769"/>
      <c r="LQX104" s="769"/>
      <c r="LQY104" s="769"/>
      <c r="LQZ104" s="769"/>
      <c r="LRA104" s="769"/>
      <c r="LRB104" s="769"/>
      <c r="LRC104" s="769"/>
      <c r="LRD104" s="769"/>
      <c r="LRE104" s="769"/>
      <c r="LRF104" s="769"/>
      <c r="LRG104" s="769"/>
      <c r="LRH104" s="769"/>
      <c r="LRI104" s="769"/>
      <c r="LRJ104" s="769"/>
      <c r="LRK104" s="769"/>
      <c r="LRL104" s="769"/>
      <c r="LRM104" s="769"/>
      <c r="LRN104" s="769"/>
      <c r="LRO104" s="769"/>
      <c r="LRP104" s="769"/>
      <c r="LRQ104" s="769"/>
      <c r="LRR104" s="769"/>
      <c r="LRS104" s="769"/>
      <c r="LRT104" s="769"/>
      <c r="LRU104" s="769"/>
      <c r="LRV104" s="769"/>
      <c r="LRW104" s="769"/>
      <c r="LRX104" s="769"/>
      <c r="LRY104" s="769"/>
      <c r="LRZ104" s="769"/>
      <c r="LSA104" s="769"/>
      <c r="LSB104" s="769"/>
      <c r="LSC104" s="769"/>
      <c r="LSD104" s="769"/>
      <c r="LSE104" s="769"/>
      <c r="LSF104" s="769"/>
      <c r="LSG104" s="769"/>
      <c r="LSH104" s="769"/>
      <c r="LSI104" s="769"/>
      <c r="LSJ104" s="769"/>
      <c r="LSK104" s="769"/>
      <c r="LSL104" s="769"/>
      <c r="LSM104" s="769"/>
      <c r="LSN104" s="769"/>
      <c r="LSO104" s="769"/>
      <c r="LSP104" s="769"/>
      <c r="LSQ104" s="769"/>
      <c r="LSR104" s="769"/>
      <c r="LSS104" s="769"/>
      <c r="LST104" s="769"/>
      <c r="LSU104" s="769"/>
      <c r="LSV104" s="769"/>
      <c r="LSW104" s="769"/>
      <c r="LSX104" s="769"/>
      <c r="LSY104" s="769"/>
      <c r="LSZ104" s="769"/>
      <c r="LTA104" s="769"/>
      <c r="LTB104" s="769"/>
      <c r="LTC104" s="769"/>
      <c r="LTD104" s="769"/>
      <c r="LTE104" s="769"/>
      <c r="LTF104" s="769"/>
      <c r="LTG104" s="769"/>
      <c r="LTH104" s="769"/>
      <c r="LTI104" s="769"/>
      <c r="LTJ104" s="769"/>
      <c r="LTK104" s="769"/>
      <c r="LTL104" s="769"/>
      <c r="LTM104" s="769"/>
      <c r="LTN104" s="769"/>
      <c r="LTO104" s="769"/>
      <c r="LTP104" s="769"/>
      <c r="LTQ104" s="769"/>
      <c r="LTR104" s="769"/>
      <c r="LTS104" s="769"/>
      <c r="LTT104" s="769"/>
      <c r="LTU104" s="769"/>
      <c r="LTV104" s="769"/>
      <c r="LTW104" s="769"/>
      <c r="LTX104" s="769"/>
      <c r="LTY104" s="769"/>
      <c r="LTZ104" s="769"/>
      <c r="LUA104" s="769"/>
      <c r="LUB104" s="769"/>
      <c r="LUC104" s="769"/>
      <c r="LUD104" s="769"/>
      <c r="LUE104" s="769"/>
      <c r="LUF104" s="769"/>
      <c r="LUG104" s="769"/>
      <c r="LUH104" s="769"/>
      <c r="LUI104" s="769"/>
      <c r="LUJ104" s="769"/>
      <c r="LUK104" s="769"/>
      <c r="LUL104" s="769"/>
      <c r="LUM104" s="769"/>
      <c r="LUN104" s="769"/>
      <c r="LUO104" s="769"/>
      <c r="LUP104" s="769"/>
      <c r="LUQ104" s="769"/>
      <c r="LUR104" s="769"/>
      <c r="LUS104" s="769"/>
      <c r="LUT104" s="769"/>
      <c r="LUU104" s="769"/>
      <c r="LUV104" s="769"/>
      <c r="LUW104" s="769"/>
      <c r="LUX104" s="769"/>
      <c r="LUY104" s="769"/>
      <c r="LUZ104" s="769"/>
      <c r="LVA104" s="769"/>
      <c r="LVB104" s="769"/>
      <c r="LVC104" s="769"/>
      <c r="LVD104" s="769"/>
      <c r="LVE104" s="769"/>
      <c r="LVF104" s="769"/>
      <c r="LVG104" s="769"/>
      <c r="LVH104" s="769"/>
      <c r="LVI104" s="769"/>
      <c r="LVJ104" s="769"/>
      <c r="LVK104" s="769"/>
      <c r="LVL104" s="769"/>
      <c r="LVM104" s="769"/>
      <c r="LVN104" s="769"/>
      <c r="LVO104" s="769"/>
      <c r="LVP104" s="769"/>
      <c r="LVQ104" s="769"/>
      <c r="LVR104" s="769"/>
      <c r="LVS104" s="769"/>
      <c r="LVT104" s="769"/>
      <c r="LVU104" s="769"/>
      <c r="LVV104" s="769"/>
      <c r="LVW104" s="769"/>
      <c r="LVX104" s="769"/>
      <c r="LVY104" s="769"/>
      <c r="LVZ104" s="769"/>
      <c r="LWA104" s="769"/>
      <c r="LWB104" s="769"/>
      <c r="LWC104" s="769"/>
      <c r="LWD104" s="769"/>
      <c r="LWE104" s="769"/>
      <c r="LWF104" s="769"/>
      <c r="LWG104" s="769"/>
      <c r="LWH104" s="769"/>
      <c r="LWI104" s="769"/>
      <c r="LWJ104" s="769"/>
      <c r="LWK104" s="769"/>
      <c r="LWL104" s="769"/>
      <c r="LWM104" s="769"/>
      <c r="LWN104" s="769"/>
      <c r="LWO104" s="769"/>
      <c r="LWP104" s="769"/>
      <c r="LWQ104" s="769"/>
      <c r="LWR104" s="769"/>
      <c r="LWS104" s="769"/>
      <c r="LWT104" s="769"/>
      <c r="LWU104" s="769"/>
      <c r="LWV104" s="769"/>
      <c r="LWW104" s="769"/>
      <c r="LWX104" s="769"/>
      <c r="LWY104" s="769"/>
      <c r="LWZ104" s="769"/>
      <c r="LXA104" s="769"/>
      <c r="LXB104" s="769"/>
      <c r="LXC104" s="769"/>
      <c r="LXD104" s="769"/>
      <c r="LXE104" s="769"/>
      <c r="LXF104" s="769"/>
      <c r="LXG104" s="769"/>
      <c r="LXH104" s="769"/>
      <c r="LXI104" s="769"/>
      <c r="LXJ104" s="769"/>
      <c r="LXK104" s="769"/>
      <c r="LXL104" s="769"/>
      <c r="LXM104" s="769"/>
      <c r="LXN104" s="769"/>
      <c r="LXO104" s="769"/>
      <c r="LXP104" s="769"/>
      <c r="LXQ104" s="769"/>
      <c r="LXR104" s="769"/>
      <c r="LXS104" s="769"/>
      <c r="LXT104" s="769"/>
      <c r="LXU104" s="769"/>
      <c r="LXV104" s="769"/>
      <c r="LXW104" s="769"/>
      <c r="LXX104" s="769"/>
      <c r="LXY104" s="769"/>
      <c r="LXZ104" s="769"/>
      <c r="LYA104" s="769"/>
      <c r="LYB104" s="769"/>
      <c r="LYC104" s="769"/>
      <c r="LYD104" s="769"/>
      <c r="LYE104" s="769"/>
      <c r="LYF104" s="769"/>
      <c r="LYG104" s="769"/>
      <c r="LYH104" s="769"/>
      <c r="LYI104" s="769"/>
      <c r="LYJ104" s="769"/>
      <c r="LYK104" s="769"/>
      <c r="LYL104" s="769"/>
      <c r="LYM104" s="769"/>
      <c r="LYN104" s="769"/>
      <c r="LYO104" s="769"/>
      <c r="LYP104" s="769"/>
      <c r="LYQ104" s="769"/>
      <c r="LYR104" s="769"/>
      <c r="LYS104" s="769"/>
      <c r="LYT104" s="769"/>
      <c r="LYU104" s="769"/>
      <c r="LYV104" s="769"/>
      <c r="LYW104" s="769"/>
      <c r="LYX104" s="769"/>
      <c r="LYY104" s="769"/>
      <c r="LYZ104" s="769"/>
      <c r="LZA104" s="769"/>
      <c r="LZB104" s="769"/>
      <c r="LZC104" s="769"/>
      <c r="LZD104" s="769"/>
      <c r="LZE104" s="769"/>
      <c r="LZF104" s="769"/>
      <c r="LZG104" s="769"/>
      <c r="LZH104" s="769"/>
      <c r="LZI104" s="769"/>
      <c r="LZJ104" s="769"/>
      <c r="LZK104" s="769"/>
      <c r="LZL104" s="769"/>
      <c r="LZM104" s="769"/>
      <c r="LZN104" s="769"/>
      <c r="LZO104" s="769"/>
      <c r="LZP104" s="769"/>
      <c r="LZQ104" s="769"/>
      <c r="LZR104" s="769"/>
      <c r="LZS104" s="769"/>
      <c r="LZT104" s="769"/>
      <c r="LZU104" s="769"/>
      <c r="LZV104" s="769"/>
      <c r="LZW104" s="769"/>
      <c r="LZX104" s="769"/>
      <c r="LZY104" s="769"/>
      <c r="LZZ104" s="769"/>
      <c r="MAA104" s="769"/>
      <c r="MAB104" s="769"/>
      <c r="MAC104" s="769"/>
      <c r="MAD104" s="769"/>
      <c r="MAE104" s="769"/>
      <c r="MAF104" s="769"/>
      <c r="MAG104" s="769"/>
      <c r="MAH104" s="769"/>
      <c r="MAI104" s="769"/>
      <c r="MAJ104" s="769"/>
      <c r="MAK104" s="769"/>
      <c r="MAL104" s="769"/>
      <c r="MAM104" s="769"/>
      <c r="MAN104" s="769"/>
      <c r="MAO104" s="769"/>
      <c r="MAP104" s="769"/>
      <c r="MAQ104" s="769"/>
      <c r="MAR104" s="769"/>
      <c r="MAS104" s="769"/>
      <c r="MAT104" s="769"/>
      <c r="MAU104" s="769"/>
      <c r="MAV104" s="769"/>
      <c r="MAW104" s="769"/>
      <c r="MAX104" s="769"/>
      <c r="MAY104" s="769"/>
      <c r="MAZ104" s="769"/>
      <c r="MBA104" s="769"/>
      <c r="MBB104" s="769"/>
      <c r="MBC104" s="769"/>
      <c r="MBD104" s="769"/>
      <c r="MBE104" s="769"/>
      <c r="MBF104" s="769"/>
      <c r="MBG104" s="769"/>
      <c r="MBH104" s="769"/>
      <c r="MBI104" s="769"/>
      <c r="MBJ104" s="769"/>
      <c r="MBK104" s="769"/>
      <c r="MBL104" s="769"/>
      <c r="MBM104" s="769"/>
      <c r="MBN104" s="769"/>
      <c r="MBO104" s="769"/>
      <c r="MBP104" s="769"/>
      <c r="MBQ104" s="769"/>
      <c r="MBR104" s="769"/>
      <c r="MBS104" s="769"/>
      <c r="MBT104" s="769"/>
      <c r="MBU104" s="769"/>
      <c r="MBV104" s="769"/>
      <c r="MBW104" s="769"/>
      <c r="MBX104" s="769"/>
      <c r="MBY104" s="769"/>
      <c r="MBZ104" s="769"/>
      <c r="MCA104" s="769"/>
      <c r="MCB104" s="769"/>
      <c r="MCC104" s="769"/>
      <c r="MCD104" s="769"/>
      <c r="MCE104" s="769"/>
      <c r="MCF104" s="769"/>
      <c r="MCG104" s="769"/>
      <c r="MCH104" s="769"/>
      <c r="MCI104" s="769"/>
      <c r="MCJ104" s="769"/>
      <c r="MCK104" s="769"/>
      <c r="MCL104" s="769"/>
      <c r="MCM104" s="769"/>
      <c r="MCN104" s="769"/>
      <c r="MCO104" s="769"/>
      <c r="MCP104" s="769"/>
      <c r="MCQ104" s="769"/>
      <c r="MCR104" s="769"/>
      <c r="MCS104" s="769"/>
      <c r="MCT104" s="769"/>
      <c r="MCU104" s="769"/>
      <c r="MCV104" s="769"/>
      <c r="MCW104" s="769"/>
      <c r="MCX104" s="769"/>
      <c r="MCY104" s="769"/>
      <c r="MCZ104" s="769"/>
      <c r="MDA104" s="769"/>
      <c r="MDB104" s="769"/>
      <c r="MDC104" s="769"/>
      <c r="MDD104" s="769"/>
      <c r="MDE104" s="769"/>
      <c r="MDF104" s="769"/>
      <c r="MDG104" s="769"/>
      <c r="MDH104" s="769"/>
      <c r="MDI104" s="769"/>
      <c r="MDJ104" s="769"/>
      <c r="MDK104" s="769"/>
      <c r="MDL104" s="769"/>
      <c r="MDM104" s="769"/>
      <c r="MDN104" s="769"/>
      <c r="MDO104" s="769"/>
      <c r="MDP104" s="769"/>
      <c r="MDQ104" s="769"/>
      <c r="MDR104" s="769"/>
      <c r="MDS104" s="769"/>
      <c r="MDT104" s="769"/>
      <c r="MDU104" s="769"/>
      <c r="MDV104" s="769"/>
      <c r="MDW104" s="769"/>
      <c r="MDX104" s="769"/>
      <c r="MDY104" s="769"/>
      <c r="MDZ104" s="769"/>
      <c r="MEA104" s="769"/>
      <c r="MEB104" s="769"/>
      <c r="MEC104" s="769"/>
      <c r="MED104" s="769"/>
      <c r="MEE104" s="769"/>
      <c r="MEF104" s="769"/>
      <c r="MEG104" s="769"/>
      <c r="MEH104" s="769"/>
      <c r="MEI104" s="769"/>
      <c r="MEJ104" s="769"/>
      <c r="MEK104" s="769"/>
      <c r="MEL104" s="769"/>
      <c r="MEM104" s="769"/>
      <c r="MEN104" s="769"/>
      <c r="MEO104" s="769"/>
      <c r="MEP104" s="769"/>
      <c r="MEQ104" s="769"/>
      <c r="MER104" s="769"/>
      <c r="MES104" s="769"/>
      <c r="MET104" s="769"/>
      <c r="MEU104" s="769"/>
      <c r="MEV104" s="769"/>
      <c r="MEW104" s="769"/>
      <c r="MEX104" s="769"/>
      <c r="MEY104" s="769"/>
      <c r="MEZ104" s="769"/>
      <c r="MFA104" s="769"/>
      <c r="MFB104" s="769"/>
      <c r="MFC104" s="769"/>
      <c r="MFD104" s="769"/>
      <c r="MFE104" s="769"/>
      <c r="MFF104" s="769"/>
      <c r="MFG104" s="769"/>
      <c r="MFH104" s="769"/>
      <c r="MFI104" s="769"/>
      <c r="MFJ104" s="769"/>
      <c r="MFK104" s="769"/>
      <c r="MFL104" s="769"/>
      <c r="MFM104" s="769"/>
      <c r="MFN104" s="769"/>
      <c r="MFO104" s="769"/>
      <c r="MFP104" s="769"/>
      <c r="MFQ104" s="769"/>
      <c r="MFR104" s="769"/>
      <c r="MFS104" s="769"/>
      <c r="MFT104" s="769"/>
      <c r="MFU104" s="769"/>
      <c r="MFV104" s="769"/>
      <c r="MFW104" s="769"/>
      <c r="MFX104" s="769"/>
      <c r="MFY104" s="769"/>
      <c r="MFZ104" s="769"/>
      <c r="MGA104" s="769"/>
      <c r="MGB104" s="769"/>
      <c r="MGC104" s="769"/>
      <c r="MGD104" s="769"/>
      <c r="MGE104" s="769"/>
      <c r="MGF104" s="769"/>
      <c r="MGG104" s="769"/>
      <c r="MGH104" s="769"/>
      <c r="MGI104" s="769"/>
      <c r="MGJ104" s="769"/>
      <c r="MGK104" s="769"/>
      <c r="MGL104" s="769"/>
      <c r="MGM104" s="769"/>
      <c r="MGN104" s="769"/>
      <c r="MGO104" s="769"/>
      <c r="MGP104" s="769"/>
      <c r="MGQ104" s="769"/>
      <c r="MGR104" s="769"/>
      <c r="MGS104" s="769"/>
      <c r="MGT104" s="769"/>
      <c r="MGU104" s="769"/>
      <c r="MGV104" s="769"/>
      <c r="MGW104" s="769"/>
      <c r="MGX104" s="769"/>
      <c r="MGY104" s="769"/>
      <c r="MGZ104" s="769"/>
      <c r="MHA104" s="769"/>
      <c r="MHB104" s="769"/>
      <c r="MHC104" s="769"/>
      <c r="MHD104" s="769"/>
      <c r="MHE104" s="769"/>
      <c r="MHF104" s="769"/>
      <c r="MHG104" s="769"/>
      <c r="MHH104" s="769"/>
      <c r="MHI104" s="769"/>
      <c r="MHJ104" s="769"/>
      <c r="MHK104" s="769"/>
      <c r="MHL104" s="769"/>
      <c r="MHM104" s="769"/>
      <c r="MHN104" s="769"/>
      <c r="MHO104" s="769"/>
      <c r="MHP104" s="769"/>
      <c r="MHQ104" s="769"/>
      <c r="MHR104" s="769"/>
      <c r="MHS104" s="769"/>
      <c r="MHT104" s="769"/>
      <c r="MHU104" s="769"/>
      <c r="MHV104" s="769"/>
      <c r="MHW104" s="769"/>
      <c r="MHX104" s="769"/>
      <c r="MHY104" s="769"/>
      <c r="MHZ104" s="769"/>
      <c r="MIA104" s="769"/>
      <c r="MIB104" s="769"/>
      <c r="MIC104" s="769"/>
      <c r="MID104" s="769"/>
      <c r="MIE104" s="769"/>
      <c r="MIF104" s="769"/>
      <c r="MIG104" s="769"/>
      <c r="MIH104" s="769"/>
      <c r="MII104" s="769"/>
      <c r="MIJ104" s="769"/>
      <c r="MIK104" s="769"/>
      <c r="MIL104" s="769"/>
      <c r="MIM104" s="769"/>
      <c r="MIN104" s="769"/>
      <c r="MIO104" s="769"/>
      <c r="MIP104" s="769"/>
      <c r="MIQ104" s="769"/>
      <c r="MIR104" s="769"/>
      <c r="MIS104" s="769"/>
      <c r="MIT104" s="769"/>
      <c r="MIU104" s="769"/>
      <c r="MIV104" s="769"/>
      <c r="MIW104" s="769"/>
      <c r="MIX104" s="769"/>
      <c r="MIY104" s="769"/>
      <c r="MIZ104" s="769"/>
      <c r="MJA104" s="769"/>
      <c r="MJB104" s="769"/>
      <c r="MJC104" s="769"/>
      <c r="MJD104" s="769"/>
      <c r="MJE104" s="769"/>
      <c r="MJF104" s="769"/>
      <c r="MJG104" s="769"/>
      <c r="MJH104" s="769"/>
      <c r="MJI104" s="769"/>
      <c r="MJJ104" s="769"/>
      <c r="MJK104" s="769"/>
      <c r="MJL104" s="769"/>
      <c r="MJM104" s="769"/>
      <c r="MJN104" s="769"/>
      <c r="MJO104" s="769"/>
      <c r="MJP104" s="769"/>
      <c r="MJQ104" s="769"/>
      <c r="MJR104" s="769"/>
      <c r="MJS104" s="769"/>
      <c r="MJT104" s="769"/>
      <c r="MJU104" s="769"/>
      <c r="MJV104" s="769"/>
      <c r="MJW104" s="769"/>
      <c r="MJX104" s="769"/>
      <c r="MJY104" s="769"/>
      <c r="MJZ104" s="769"/>
      <c r="MKA104" s="769"/>
      <c r="MKB104" s="769"/>
      <c r="MKC104" s="769"/>
      <c r="MKD104" s="769"/>
      <c r="MKE104" s="769"/>
      <c r="MKF104" s="769"/>
      <c r="MKG104" s="769"/>
      <c r="MKH104" s="769"/>
      <c r="MKI104" s="769"/>
      <c r="MKJ104" s="769"/>
      <c r="MKK104" s="769"/>
      <c r="MKL104" s="769"/>
      <c r="MKM104" s="769"/>
      <c r="MKN104" s="769"/>
      <c r="MKO104" s="769"/>
      <c r="MKP104" s="769"/>
      <c r="MKQ104" s="769"/>
      <c r="MKR104" s="769"/>
      <c r="MKS104" s="769"/>
      <c r="MKT104" s="769"/>
      <c r="MKU104" s="769"/>
      <c r="MKV104" s="769"/>
      <c r="MKW104" s="769"/>
      <c r="MKX104" s="769"/>
      <c r="MKY104" s="769"/>
      <c r="MKZ104" s="769"/>
      <c r="MLA104" s="769"/>
      <c r="MLB104" s="769"/>
      <c r="MLC104" s="769"/>
      <c r="MLD104" s="769"/>
      <c r="MLE104" s="769"/>
      <c r="MLF104" s="769"/>
      <c r="MLG104" s="769"/>
      <c r="MLH104" s="769"/>
      <c r="MLI104" s="769"/>
      <c r="MLJ104" s="769"/>
      <c r="MLK104" s="769"/>
      <c r="MLL104" s="769"/>
      <c r="MLM104" s="769"/>
      <c r="MLN104" s="769"/>
      <c r="MLO104" s="769"/>
      <c r="MLP104" s="769"/>
      <c r="MLQ104" s="769"/>
      <c r="MLR104" s="769"/>
      <c r="MLS104" s="769"/>
      <c r="MLT104" s="769"/>
      <c r="MLU104" s="769"/>
      <c r="MLV104" s="769"/>
      <c r="MLW104" s="769"/>
      <c r="MLX104" s="769"/>
      <c r="MLY104" s="769"/>
      <c r="MLZ104" s="769"/>
      <c r="MMA104" s="769"/>
      <c r="MMB104" s="769"/>
      <c r="MMC104" s="769"/>
      <c r="MMD104" s="769"/>
      <c r="MME104" s="769"/>
      <c r="MMF104" s="769"/>
      <c r="MMG104" s="769"/>
      <c r="MMH104" s="769"/>
      <c r="MMI104" s="769"/>
      <c r="MMJ104" s="769"/>
      <c r="MMK104" s="769"/>
      <c r="MML104" s="769"/>
      <c r="MMM104" s="769"/>
      <c r="MMN104" s="769"/>
      <c r="MMO104" s="769"/>
      <c r="MMP104" s="769"/>
      <c r="MMQ104" s="769"/>
      <c r="MMR104" s="769"/>
      <c r="MMS104" s="769"/>
      <c r="MMT104" s="769"/>
      <c r="MMU104" s="769"/>
      <c r="MMV104" s="769"/>
      <c r="MMW104" s="769"/>
      <c r="MMX104" s="769"/>
      <c r="MMY104" s="769"/>
      <c r="MMZ104" s="769"/>
      <c r="MNA104" s="769"/>
      <c r="MNB104" s="769"/>
      <c r="MNC104" s="769"/>
      <c r="MND104" s="769"/>
      <c r="MNE104" s="769"/>
      <c r="MNF104" s="769"/>
      <c r="MNG104" s="769"/>
      <c r="MNH104" s="769"/>
      <c r="MNI104" s="769"/>
      <c r="MNJ104" s="769"/>
      <c r="MNK104" s="769"/>
      <c r="MNL104" s="769"/>
      <c r="MNM104" s="769"/>
      <c r="MNN104" s="769"/>
      <c r="MNO104" s="769"/>
      <c r="MNP104" s="769"/>
      <c r="MNQ104" s="769"/>
      <c r="MNR104" s="769"/>
      <c r="MNS104" s="769"/>
      <c r="MNT104" s="769"/>
      <c r="MNU104" s="769"/>
      <c r="MNV104" s="769"/>
      <c r="MNW104" s="769"/>
      <c r="MNX104" s="769"/>
      <c r="MNY104" s="769"/>
      <c r="MNZ104" s="769"/>
      <c r="MOA104" s="769"/>
      <c r="MOB104" s="769"/>
      <c r="MOC104" s="769"/>
      <c r="MOD104" s="769"/>
      <c r="MOE104" s="769"/>
      <c r="MOF104" s="769"/>
      <c r="MOG104" s="769"/>
      <c r="MOH104" s="769"/>
      <c r="MOI104" s="769"/>
      <c r="MOJ104" s="769"/>
      <c r="MOK104" s="769"/>
      <c r="MOL104" s="769"/>
      <c r="MOM104" s="769"/>
      <c r="MON104" s="769"/>
      <c r="MOO104" s="769"/>
      <c r="MOP104" s="769"/>
      <c r="MOQ104" s="769"/>
      <c r="MOR104" s="769"/>
      <c r="MOS104" s="769"/>
      <c r="MOT104" s="769"/>
      <c r="MOU104" s="769"/>
      <c r="MOV104" s="769"/>
      <c r="MOW104" s="769"/>
      <c r="MOX104" s="769"/>
      <c r="MOY104" s="769"/>
      <c r="MOZ104" s="769"/>
      <c r="MPA104" s="769"/>
      <c r="MPB104" s="769"/>
      <c r="MPC104" s="769"/>
      <c r="MPD104" s="769"/>
      <c r="MPE104" s="769"/>
      <c r="MPF104" s="769"/>
      <c r="MPG104" s="769"/>
      <c r="MPH104" s="769"/>
      <c r="MPI104" s="769"/>
      <c r="MPJ104" s="769"/>
      <c r="MPK104" s="769"/>
      <c r="MPL104" s="769"/>
      <c r="MPM104" s="769"/>
      <c r="MPN104" s="769"/>
      <c r="MPO104" s="769"/>
      <c r="MPP104" s="769"/>
      <c r="MPQ104" s="769"/>
      <c r="MPR104" s="769"/>
      <c r="MPS104" s="769"/>
      <c r="MPT104" s="769"/>
      <c r="MPU104" s="769"/>
      <c r="MPV104" s="769"/>
      <c r="MPW104" s="769"/>
      <c r="MPX104" s="769"/>
      <c r="MPY104" s="769"/>
      <c r="MPZ104" s="769"/>
      <c r="MQA104" s="769"/>
      <c r="MQB104" s="769"/>
      <c r="MQC104" s="769"/>
      <c r="MQD104" s="769"/>
      <c r="MQE104" s="769"/>
      <c r="MQF104" s="769"/>
      <c r="MQG104" s="769"/>
      <c r="MQH104" s="769"/>
      <c r="MQI104" s="769"/>
      <c r="MQJ104" s="769"/>
      <c r="MQK104" s="769"/>
      <c r="MQL104" s="769"/>
      <c r="MQM104" s="769"/>
      <c r="MQN104" s="769"/>
      <c r="MQO104" s="769"/>
      <c r="MQP104" s="769"/>
      <c r="MQQ104" s="769"/>
      <c r="MQR104" s="769"/>
      <c r="MQS104" s="769"/>
      <c r="MQT104" s="769"/>
      <c r="MQU104" s="769"/>
      <c r="MQV104" s="769"/>
      <c r="MQW104" s="769"/>
      <c r="MQX104" s="769"/>
      <c r="MQY104" s="769"/>
      <c r="MQZ104" s="769"/>
      <c r="MRA104" s="769"/>
      <c r="MRB104" s="769"/>
      <c r="MRC104" s="769"/>
      <c r="MRD104" s="769"/>
      <c r="MRE104" s="769"/>
      <c r="MRF104" s="769"/>
      <c r="MRG104" s="769"/>
      <c r="MRH104" s="769"/>
      <c r="MRI104" s="769"/>
      <c r="MRJ104" s="769"/>
      <c r="MRK104" s="769"/>
      <c r="MRL104" s="769"/>
      <c r="MRM104" s="769"/>
      <c r="MRN104" s="769"/>
      <c r="MRO104" s="769"/>
      <c r="MRP104" s="769"/>
      <c r="MRQ104" s="769"/>
      <c r="MRR104" s="769"/>
      <c r="MRS104" s="769"/>
      <c r="MRT104" s="769"/>
      <c r="MRU104" s="769"/>
      <c r="MRV104" s="769"/>
      <c r="MRW104" s="769"/>
      <c r="MRX104" s="769"/>
      <c r="MRY104" s="769"/>
      <c r="MRZ104" s="769"/>
      <c r="MSA104" s="769"/>
      <c r="MSB104" s="769"/>
      <c r="MSC104" s="769"/>
      <c r="MSD104" s="769"/>
      <c r="MSE104" s="769"/>
      <c r="MSF104" s="769"/>
      <c r="MSG104" s="769"/>
      <c r="MSH104" s="769"/>
      <c r="MSI104" s="769"/>
      <c r="MSJ104" s="769"/>
      <c r="MSK104" s="769"/>
      <c r="MSL104" s="769"/>
      <c r="MSM104" s="769"/>
      <c r="MSN104" s="769"/>
      <c r="MSO104" s="769"/>
      <c r="MSP104" s="769"/>
      <c r="MSQ104" s="769"/>
      <c r="MSR104" s="769"/>
      <c r="MSS104" s="769"/>
      <c r="MST104" s="769"/>
      <c r="MSU104" s="769"/>
      <c r="MSV104" s="769"/>
      <c r="MSW104" s="769"/>
      <c r="MSX104" s="769"/>
      <c r="MSY104" s="769"/>
      <c r="MSZ104" s="769"/>
      <c r="MTA104" s="769"/>
      <c r="MTB104" s="769"/>
      <c r="MTC104" s="769"/>
      <c r="MTD104" s="769"/>
      <c r="MTE104" s="769"/>
      <c r="MTF104" s="769"/>
      <c r="MTG104" s="769"/>
      <c r="MTH104" s="769"/>
      <c r="MTI104" s="769"/>
      <c r="MTJ104" s="769"/>
      <c r="MTK104" s="769"/>
      <c r="MTL104" s="769"/>
      <c r="MTM104" s="769"/>
      <c r="MTN104" s="769"/>
      <c r="MTO104" s="769"/>
      <c r="MTP104" s="769"/>
      <c r="MTQ104" s="769"/>
      <c r="MTR104" s="769"/>
      <c r="MTS104" s="769"/>
      <c r="MTT104" s="769"/>
      <c r="MTU104" s="769"/>
      <c r="MTV104" s="769"/>
      <c r="MTW104" s="769"/>
      <c r="MTX104" s="769"/>
      <c r="MTY104" s="769"/>
      <c r="MTZ104" s="769"/>
      <c r="MUA104" s="769"/>
      <c r="MUB104" s="769"/>
      <c r="MUC104" s="769"/>
      <c r="MUD104" s="769"/>
      <c r="MUE104" s="769"/>
      <c r="MUF104" s="769"/>
      <c r="MUG104" s="769"/>
      <c r="MUH104" s="769"/>
      <c r="MUI104" s="769"/>
      <c r="MUJ104" s="769"/>
      <c r="MUK104" s="769"/>
      <c r="MUL104" s="769"/>
      <c r="MUM104" s="769"/>
      <c r="MUN104" s="769"/>
      <c r="MUO104" s="769"/>
      <c r="MUP104" s="769"/>
      <c r="MUQ104" s="769"/>
      <c r="MUR104" s="769"/>
      <c r="MUS104" s="769"/>
      <c r="MUT104" s="769"/>
      <c r="MUU104" s="769"/>
      <c r="MUV104" s="769"/>
      <c r="MUW104" s="769"/>
      <c r="MUX104" s="769"/>
      <c r="MUY104" s="769"/>
      <c r="MUZ104" s="769"/>
      <c r="MVA104" s="769"/>
      <c r="MVB104" s="769"/>
      <c r="MVC104" s="769"/>
      <c r="MVD104" s="769"/>
      <c r="MVE104" s="769"/>
      <c r="MVF104" s="769"/>
      <c r="MVG104" s="769"/>
      <c r="MVH104" s="769"/>
      <c r="MVI104" s="769"/>
      <c r="MVJ104" s="769"/>
      <c r="MVK104" s="769"/>
      <c r="MVL104" s="769"/>
      <c r="MVM104" s="769"/>
      <c r="MVN104" s="769"/>
      <c r="MVO104" s="769"/>
      <c r="MVP104" s="769"/>
      <c r="MVQ104" s="769"/>
      <c r="MVR104" s="769"/>
      <c r="MVS104" s="769"/>
      <c r="MVT104" s="769"/>
      <c r="MVU104" s="769"/>
      <c r="MVV104" s="769"/>
      <c r="MVW104" s="769"/>
      <c r="MVX104" s="769"/>
      <c r="MVY104" s="769"/>
      <c r="MVZ104" s="769"/>
      <c r="MWA104" s="769"/>
      <c r="MWB104" s="769"/>
      <c r="MWC104" s="769"/>
      <c r="MWD104" s="769"/>
      <c r="MWE104" s="769"/>
      <c r="MWF104" s="769"/>
      <c r="MWG104" s="769"/>
      <c r="MWH104" s="769"/>
      <c r="MWI104" s="769"/>
      <c r="MWJ104" s="769"/>
      <c r="MWK104" s="769"/>
      <c r="MWL104" s="769"/>
      <c r="MWM104" s="769"/>
      <c r="MWN104" s="769"/>
      <c r="MWO104" s="769"/>
      <c r="MWP104" s="769"/>
      <c r="MWQ104" s="769"/>
      <c r="MWR104" s="769"/>
      <c r="MWS104" s="769"/>
      <c r="MWT104" s="769"/>
      <c r="MWU104" s="769"/>
      <c r="MWV104" s="769"/>
      <c r="MWW104" s="769"/>
      <c r="MWX104" s="769"/>
      <c r="MWY104" s="769"/>
      <c r="MWZ104" s="769"/>
      <c r="MXA104" s="769"/>
      <c r="MXB104" s="769"/>
      <c r="MXC104" s="769"/>
      <c r="MXD104" s="769"/>
      <c r="MXE104" s="769"/>
      <c r="MXF104" s="769"/>
      <c r="MXG104" s="769"/>
      <c r="MXH104" s="769"/>
      <c r="MXI104" s="769"/>
      <c r="MXJ104" s="769"/>
      <c r="MXK104" s="769"/>
      <c r="MXL104" s="769"/>
      <c r="MXM104" s="769"/>
      <c r="MXN104" s="769"/>
      <c r="MXO104" s="769"/>
      <c r="MXP104" s="769"/>
      <c r="MXQ104" s="769"/>
      <c r="MXR104" s="769"/>
      <c r="MXS104" s="769"/>
      <c r="MXT104" s="769"/>
      <c r="MXU104" s="769"/>
      <c r="MXV104" s="769"/>
      <c r="MXW104" s="769"/>
      <c r="MXX104" s="769"/>
      <c r="MXY104" s="769"/>
      <c r="MXZ104" s="769"/>
      <c r="MYA104" s="769"/>
      <c r="MYB104" s="769"/>
      <c r="MYC104" s="769"/>
      <c r="MYD104" s="769"/>
      <c r="MYE104" s="769"/>
      <c r="MYF104" s="769"/>
      <c r="MYG104" s="769"/>
      <c r="MYH104" s="769"/>
      <c r="MYI104" s="769"/>
      <c r="MYJ104" s="769"/>
      <c r="MYK104" s="769"/>
      <c r="MYL104" s="769"/>
      <c r="MYM104" s="769"/>
      <c r="MYN104" s="769"/>
      <c r="MYO104" s="769"/>
      <c r="MYP104" s="769"/>
      <c r="MYQ104" s="769"/>
      <c r="MYR104" s="769"/>
      <c r="MYS104" s="769"/>
      <c r="MYT104" s="769"/>
      <c r="MYU104" s="769"/>
      <c r="MYV104" s="769"/>
      <c r="MYW104" s="769"/>
      <c r="MYX104" s="769"/>
      <c r="MYY104" s="769"/>
      <c r="MYZ104" s="769"/>
      <c r="MZA104" s="769"/>
      <c r="MZB104" s="769"/>
      <c r="MZC104" s="769"/>
      <c r="MZD104" s="769"/>
      <c r="MZE104" s="769"/>
      <c r="MZF104" s="769"/>
      <c r="MZG104" s="769"/>
      <c r="MZH104" s="769"/>
      <c r="MZI104" s="769"/>
      <c r="MZJ104" s="769"/>
      <c r="MZK104" s="769"/>
      <c r="MZL104" s="769"/>
      <c r="MZM104" s="769"/>
      <c r="MZN104" s="769"/>
      <c r="MZO104" s="769"/>
      <c r="MZP104" s="769"/>
      <c r="MZQ104" s="769"/>
      <c r="MZR104" s="769"/>
      <c r="MZS104" s="769"/>
      <c r="MZT104" s="769"/>
      <c r="MZU104" s="769"/>
      <c r="MZV104" s="769"/>
      <c r="MZW104" s="769"/>
      <c r="MZX104" s="769"/>
      <c r="MZY104" s="769"/>
      <c r="MZZ104" s="769"/>
      <c r="NAA104" s="769"/>
      <c r="NAB104" s="769"/>
      <c r="NAC104" s="769"/>
      <c r="NAD104" s="769"/>
      <c r="NAE104" s="769"/>
      <c r="NAF104" s="769"/>
      <c r="NAG104" s="769"/>
      <c r="NAH104" s="769"/>
      <c r="NAI104" s="769"/>
      <c r="NAJ104" s="769"/>
      <c r="NAK104" s="769"/>
      <c r="NAL104" s="769"/>
      <c r="NAM104" s="769"/>
      <c r="NAN104" s="769"/>
      <c r="NAO104" s="769"/>
      <c r="NAP104" s="769"/>
      <c r="NAQ104" s="769"/>
      <c r="NAR104" s="769"/>
      <c r="NAS104" s="769"/>
      <c r="NAT104" s="769"/>
      <c r="NAU104" s="769"/>
      <c r="NAV104" s="769"/>
      <c r="NAW104" s="769"/>
      <c r="NAX104" s="769"/>
      <c r="NAY104" s="769"/>
      <c r="NAZ104" s="769"/>
      <c r="NBA104" s="769"/>
      <c r="NBB104" s="769"/>
      <c r="NBC104" s="769"/>
      <c r="NBD104" s="769"/>
      <c r="NBE104" s="769"/>
      <c r="NBF104" s="769"/>
      <c r="NBG104" s="769"/>
      <c r="NBH104" s="769"/>
      <c r="NBI104" s="769"/>
      <c r="NBJ104" s="769"/>
      <c r="NBK104" s="769"/>
      <c r="NBL104" s="769"/>
      <c r="NBM104" s="769"/>
      <c r="NBN104" s="769"/>
      <c r="NBO104" s="769"/>
      <c r="NBP104" s="769"/>
      <c r="NBQ104" s="769"/>
      <c r="NBR104" s="769"/>
      <c r="NBS104" s="769"/>
      <c r="NBT104" s="769"/>
      <c r="NBU104" s="769"/>
      <c r="NBV104" s="769"/>
      <c r="NBW104" s="769"/>
      <c r="NBX104" s="769"/>
      <c r="NBY104" s="769"/>
      <c r="NBZ104" s="769"/>
      <c r="NCA104" s="769"/>
      <c r="NCB104" s="769"/>
      <c r="NCC104" s="769"/>
      <c r="NCD104" s="769"/>
      <c r="NCE104" s="769"/>
      <c r="NCF104" s="769"/>
      <c r="NCG104" s="769"/>
      <c r="NCH104" s="769"/>
      <c r="NCI104" s="769"/>
      <c r="NCJ104" s="769"/>
      <c r="NCK104" s="769"/>
      <c r="NCL104" s="769"/>
      <c r="NCM104" s="769"/>
      <c r="NCN104" s="769"/>
      <c r="NCO104" s="769"/>
      <c r="NCP104" s="769"/>
      <c r="NCQ104" s="769"/>
      <c r="NCR104" s="769"/>
      <c r="NCS104" s="769"/>
      <c r="NCT104" s="769"/>
      <c r="NCU104" s="769"/>
      <c r="NCV104" s="769"/>
      <c r="NCW104" s="769"/>
      <c r="NCX104" s="769"/>
      <c r="NCY104" s="769"/>
      <c r="NCZ104" s="769"/>
      <c r="NDA104" s="769"/>
      <c r="NDB104" s="769"/>
      <c r="NDC104" s="769"/>
      <c r="NDD104" s="769"/>
      <c r="NDE104" s="769"/>
      <c r="NDF104" s="769"/>
      <c r="NDG104" s="769"/>
      <c r="NDH104" s="769"/>
      <c r="NDI104" s="769"/>
      <c r="NDJ104" s="769"/>
      <c r="NDK104" s="769"/>
      <c r="NDL104" s="769"/>
      <c r="NDM104" s="769"/>
      <c r="NDN104" s="769"/>
      <c r="NDO104" s="769"/>
      <c r="NDP104" s="769"/>
      <c r="NDQ104" s="769"/>
      <c r="NDR104" s="769"/>
      <c r="NDS104" s="769"/>
      <c r="NDT104" s="769"/>
      <c r="NDU104" s="769"/>
      <c r="NDV104" s="769"/>
      <c r="NDW104" s="769"/>
      <c r="NDX104" s="769"/>
      <c r="NDY104" s="769"/>
      <c r="NDZ104" s="769"/>
      <c r="NEA104" s="769"/>
      <c r="NEB104" s="769"/>
      <c r="NEC104" s="769"/>
      <c r="NED104" s="769"/>
      <c r="NEE104" s="769"/>
      <c r="NEF104" s="769"/>
      <c r="NEG104" s="769"/>
      <c r="NEH104" s="769"/>
      <c r="NEI104" s="769"/>
      <c r="NEJ104" s="769"/>
      <c r="NEK104" s="769"/>
      <c r="NEL104" s="769"/>
      <c r="NEM104" s="769"/>
      <c r="NEN104" s="769"/>
      <c r="NEO104" s="769"/>
      <c r="NEP104" s="769"/>
      <c r="NEQ104" s="769"/>
      <c r="NER104" s="769"/>
      <c r="NES104" s="769"/>
      <c r="NET104" s="769"/>
      <c r="NEU104" s="769"/>
      <c r="NEV104" s="769"/>
      <c r="NEW104" s="769"/>
      <c r="NEX104" s="769"/>
      <c r="NEY104" s="769"/>
      <c r="NEZ104" s="769"/>
      <c r="NFA104" s="769"/>
      <c r="NFB104" s="769"/>
      <c r="NFC104" s="769"/>
      <c r="NFD104" s="769"/>
      <c r="NFE104" s="769"/>
      <c r="NFF104" s="769"/>
      <c r="NFG104" s="769"/>
      <c r="NFH104" s="769"/>
      <c r="NFI104" s="769"/>
      <c r="NFJ104" s="769"/>
      <c r="NFK104" s="769"/>
      <c r="NFL104" s="769"/>
      <c r="NFM104" s="769"/>
      <c r="NFN104" s="769"/>
      <c r="NFO104" s="769"/>
      <c r="NFP104" s="769"/>
      <c r="NFQ104" s="769"/>
      <c r="NFR104" s="769"/>
      <c r="NFS104" s="769"/>
      <c r="NFT104" s="769"/>
      <c r="NFU104" s="769"/>
      <c r="NFV104" s="769"/>
      <c r="NFW104" s="769"/>
      <c r="NFX104" s="769"/>
      <c r="NFY104" s="769"/>
      <c r="NFZ104" s="769"/>
      <c r="NGA104" s="769"/>
      <c r="NGB104" s="769"/>
      <c r="NGC104" s="769"/>
      <c r="NGD104" s="769"/>
      <c r="NGE104" s="769"/>
      <c r="NGF104" s="769"/>
      <c r="NGG104" s="769"/>
      <c r="NGH104" s="769"/>
      <c r="NGI104" s="769"/>
      <c r="NGJ104" s="769"/>
      <c r="NGK104" s="769"/>
      <c r="NGL104" s="769"/>
      <c r="NGM104" s="769"/>
      <c r="NGN104" s="769"/>
      <c r="NGO104" s="769"/>
      <c r="NGP104" s="769"/>
      <c r="NGQ104" s="769"/>
      <c r="NGR104" s="769"/>
      <c r="NGS104" s="769"/>
      <c r="NGT104" s="769"/>
      <c r="NGU104" s="769"/>
      <c r="NGV104" s="769"/>
      <c r="NGW104" s="769"/>
      <c r="NGX104" s="769"/>
      <c r="NGY104" s="769"/>
      <c r="NGZ104" s="769"/>
      <c r="NHA104" s="769"/>
      <c r="NHB104" s="769"/>
      <c r="NHC104" s="769"/>
      <c r="NHD104" s="769"/>
      <c r="NHE104" s="769"/>
      <c r="NHF104" s="769"/>
      <c r="NHG104" s="769"/>
      <c r="NHH104" s="769"/>
      <c r="NHI104" s="769"/>
      <c r="NHJ104" s="769"/>
      <c r="NHK104" s="769"/>
      <c r="NHL104" s="769"/>
      <c r="NHM104" s="769"/>
      <c r="NHN104" s="769"/>
      <c r="NHO104" s="769"/>
      <c r="NHP104" s="769"/>
      <c r="NHQ104" s="769"/>
      <c r="NHR104" s="769"/>
      <c r="NHS104" s="769"/>
      <c r="NHT104" s="769"/>
      <c r="NHU104" s="769"/>
      <c r="NHV104" s="769"/>
      <c r="NHW104" s="769"/>
      <c r="NHX104" s="769"/>
      <c r="NHY104" s="769"/>
      <c r="NHZ104" s="769"/>
      <c r="NIA104" s="769"/>
      <c r="NIB104" s="769"/>
      <c r="NIC104" s="769"/>
      <c r="NID104" s="769"/>
      <c r="NIE104" s="769"/>
      <c r="NIF104" s="769"/>
      <c r="NIG104" s="769"/>
      <c r="NIH104" s="769"/>
      <c r="NII104" s="769"/>
      <c r="NIJ104" s="769"/>
      <c r="NIK104" s="769"/>
      <c r="NIL104" s="769"/>
      <c r="NIM104" s="769"/>
      <c r="NIN104" s="769"/>
      <c r="NIO104" s="769"/>
      <c r="NIP104" s="769"/>
      <c r="NIQ104" s="769"/>
      <c r="NIR104" s="769"/>
      <c r="NIS104" s="769"/>
      <c r="NIT104" s="769"/>
      <c r="NIU104" s="769"/>
      <c r="NIV104" s="769"/>
      <c r="NIW104" s="769"/>
      <c r="NIX104" s="769"/>
      <c r="NIY104" s="769"/>
      <c r="NIZ104" s="769"/>
      <c r="NJA104" s="769"/>
      <c r="NJB104" s="769"/>
      <c r="NJC104" s="769"/>
      <c r="NJD104" s="769"/>
      <c r="NJE104" s="769"/>
      <c r="NJF104" s="769"/>
      <c r="NJG104" s="769"/>
      <c r="NJH104" s="769"/>
      <c r="NJI104" s="769"/>
      <c r="NJJ104" s="769"/>
      <c r="NJK104" s="769"/>
      <c r="NJL104" s="769"/>
      <c r="NJM104" s="769"/>
      <c r="NJN104" s="769"/>
      <c r="NJO104" s="769"/>
      <c r="NJP104" s="769"/>
      <c r="NJQ104" s="769"/>
      <c r="NJR104" s="769"/>
      <c r="NJS104" s="769"/>
      <c r="NJT104" s="769"/>
      <c r="NJU104" s="769"/>
      <c r="NJV104" s="769"/>
      <c r="NJW104" s="769"/>
      <c r="NJX104" s="769"/>
      <c r="NJY104" s="769"/>
      <c r="NJZ104" s="769"/>
      <c r="NKA104" s="769"/>
      <c r="NKB104" s="769"/>
      <c r="NKC104" s="769"/>
      <c r="NKD104" s="769"/>
      <c r="NKE104" s="769"/>
      <c r="NKF104" s="769"/>
      <c r="NKG104" s="769"/>
      <c r="NKH104" s="769"/>
      <c r="NKI104" s="769"/>
      <c r="NKJ104" s="769"/>
      <c r="NKK104" s="769"/>
      <c r="NKL104" s="769"/>
      <c r="NKM104" s="769"/>
      <c r="NKN104" s="769"/>
      <c r="NKO104" s="769"/>
      <c r="NKP104" s="769"/>
      <c r="NKQ104" s="769"/>
      <c r="NKR104" s="769"/>
      <c r="NKS104" s="769"/>
      <c r="NKT104" s="769"/>
      <c r="NKU104" s="769"/>
      <c r="NKV104" s="769"/>
      <c r="NKW104" s="769"/>
      <c r="NKX104" s="769"/>
      <c r="NKY104" s="769"/>
      <c r="NKZ104" s="769"/>
      <c r="NLA104" s="769"/>
      <c r="NLB104" s="769"/>
      <c r="NLC104" s="769"/>
      <c r="NLD104" s="769"/>
      <c r="NLE104" s="769"/>
      <c r="NLF104" s="769"/>
      <c r="NLG104" s="769"/>
      <c r="NLH104" s="769"/>
      <c r="NLI104" s="769"/>
      <c r="NLJ104" s="769"/>
      <c r="NLK104" s="769"/>
      <c r="NLL104" s="769"/>
      <c r="NLM104" s="769"/>
      <c r="NLN104" s="769"/>
      <c r="NLO104" s="769"/>
      <c r="NLP104" s="769"/>
      <c r="NLQ104" s="769"/>
      <c r="NLR104" s="769"/>
      <c r="NLS104" s="769"/>
      <c r="NLT104" s="769"/>
      <c r="NLU104" s="769"/>
      <c r="NLV104" s="769"/>
      <c r="NLW104" s="769"/>
      <c r="NLX104" s="769"/>
      <c r="NLY104" s="769"/>
      <c r="NLZ104" s="769"/>
      <c r="NMA104" s="769"/>
      <c r="NMB104" s="769"/>
      <c r="NMC104" s="769"/>
      <c r="NMD104" s="769"/>
      <c r="NME104" s="769"/>
      <c r="NMF104" s="769"/>
      <c r="NMG104" s="769"/>
      <c r="NMH104" s="769"/>
      <c r="NMI104" s="769"/>
      <c r="NMJ104" s="769"/>
      <c r="NMK104" s="769"/>
      <c r="NML104" s="769"/>
      <c r="NMM104" s="769"/>
      <c r="NMN104" s="769"/>
      <c r="NMO104" s="769"/>
      <c r="NMP104" s="769"/>
      <c r="NMQ104" s="769"/>
      <c r="NMR104" s="769"/>
      <c r="NMS104" s="769"/>
      <c r="NMT104" s="769"/>
      <c r="NMU104" s="769"/>
      <c r="NMV104" s="769"/>
      <c r="NMW104" s="769"/>
      <c r="NMX104" s="769"/>
      <c r="NMY104" s="769"/>
      <c r="NMZ104" s="769"/>
      <c r="NNA104" s="769"/>
      <c r="NNB104" s="769"/>
      <c r="NNC104" s="769"/>
      <c r="NND104" s="769"/>
      <c r="NNE104" s="769"/>
      <c r="NNF104" s="769"/>
      <c r="NNG104" s="769"/>
      <c r="NNH104" s="769"/>
      <c r="NNI104" s="769"/>
      <c r="NNJ104" s="769"/>
      <c r="NNK104" s="769"/>
      <c r="NNL104" s="769"/>
      <c r="NNM104" s="769"/>
      <c r="NNN104" s="769"/>
      <c r="NNO104" s="769"/>
      <c r="NNP104" s="769"/>
      <c r="NNQ104" s="769"/>
      <c r="NNR104" s="769"/>
      <c r="NNS104" s="769"/>
      <c r="NNT104" s="769"/>
      <c r="NNU104" s="769"/>
      <c r="NNV104" s="769"/>
      <c r="NNW104" s="769"/>
      <c r="NNX104" s="769"/>
      <c r="NNY104" s="769"/>
      <c r="NNZ104" s="769"/>
      <c r="NOA104" s="769"/>
      <c r="NOB104" s="769"/>
      <c r="NOC104" s="769"/>
      <c r="NOD104" s="769"/>
      <c r="NOE104" s="769"/>
      <c r="NOF104" s="769"/>
      <c r="NOG104" s="769"/>
      <c r="NOH104" s="769"/>
      <c r="NOI104" s="769"/>
      <c r="NOJ104" s="769"/>
      <c r="NOK104" s="769"/>
      <c r="NOL104" s="769"/>
      <c r="NOM104" s="769"/>
      <c r="NON104" s="769"/>
      <c r="NOO104" s="769"/>
      <c r="NOP104" s="769"/>
      <c r="NOQ104" s="769"/>
      <c r="NOR104" s="769"/>
      <c r="NOS104" s="769"/>
      <c r="NOT104" s="769"/>
      <c r="NOU104" s="769"/>
      <c r="NOV104" s="769"/>
      <c r="NOW104" s="769"/>
      <c r="NOX104" s="769"/>
      <c r="NOY104" s="769"/>
      <c r="NOZ104" s="769"/>
      <c r="NPA104" s="769"/>
      <c r="NPB104" s="769"/>
      <c r="NPC104" s="769"/>
      <c r="NPD104" s="769"/>
      <c r="NPE104" s="769"/>
      <c r="NPF104" s="769"/>
      <c r="NPG104" s="769"/>
      <c r="NPH104" s="769"/>
      <c r="NPI104" s="769"/>
      <c r="NPJ104" s="769"/>
      <c r="NPK104" s="769"/>
      <c r="NPL104" s="769"/>
      <c r="NPM104" s="769"/>
      <c r="NPN104" s="769"/>
      <c r="NPO104" s="769"/>
      <c r="NPP104" s="769"/>
      <c r="NPQ104" s="769"/>
      <c r="NPR104" s="769"/>
      <c r="NPS104" s="769"/>
      <c r="NPT104" s="769"/>
      <c r="NPU104" s="769"/>
      <c r="NPV104" s="769"/>
      <c r="NPW104" s="769"/>
      <c r="NPX104" s="769"/>
      <c r="NPY104" s="769"/>
      <c r="NPZ104" s="769"/>
      <c r="NQA104" s="769"/>
      <c r="NQB104" s="769"/>
      <c r="NQC104" s="769"/>
      <c r="NQD104" s="769"/>
      <c r="NQE104" s="769"/>
      <c r="NQF104" s="769"/>
      <c r="NQG104" s="769"/>
      <c r="NQH104" s="769"/>
      <c r="NQI104" s="769"/>
      <c r="NQJ104" s="769"/>
      <c r="NQK104" s="769"/>
      <c r="NQL104" s="769"/>
      <c r="NQM104" s="769"/>
      <c r="NQN104" s="769"/>
      <c r="NQO104" s="769"/>
      <c r="NQP104" s="769"/>
      <c r="NQQ104" s="769"/>
      <c r="NQR104" s="769"/>
      <c r="NQS104" s="769"/>
      <c r="NQT104" s="769"/>
      <c r="NQU104" s="769"/>
      <c r="NQV104" s="769"/>
      <c r="NQW104" s="769"/>
      <c r="NQX104" s="769"/>
      <c r="NQY104" s="769"/>
      <c r="NQZ104" s="769"/>
      <c r="NRA104" s="769"/>
      <c r="NRB104" s="769"/>
      <c r="NRC104" s="769"/>
      <c r="NRD104" s="769"/>
      <c r="NRE104" s="769"/>
      <c r="NRF104" s="769"/>
      <c r="NRG104" s="769"/>
      <c r="NRH104" s="769"/>
      <c r="NRI104" s="769"/>
      <c r="NRJ104" s="769"/>
      <c r="NRK104" s="769"/>
      <c r="NRL104" s="769"/>
      <c r="NRM104" s="769"/>
      <c r="NRN104" s="769"/>
      <c r="NRO104" s="769"/>
      <c r="NRP104" s="769"/>
      <c r="NRQ104" s="769"/>
      <c r="NRR104" s="769"/>
      <c r="NRS104" s="769"/>
      <c r="NRT104" s="769"/>
      <c r="NRU104" s="769"/>
      <c r="NRV104" s="769"/>
      <c r="NRW104" s="769"/>
      <c r="NRX104" s="769"/>
      <c r="NRY104" s="769"/>
      <c r="NRZ104" s="769"/>
      <c r="NSA104" s="769"/>
      <c r="NSB104" s="769"/>
      <c r="NSC104" s="769"/>
      <c r="NSD104" s="769"/>
      <c r="NSE104" s="769"/>
      <c r="NSF104" s="769"/>
      <c r="NSG104" s="769"/>
      <c r="NSH104" s="769"/>
      <c r="NSI104" s="769"/>
      <c r="NSJ104" s="769"/>
      <c r="NSK104" s="769"/>
      <c r="NSL104" s="769"/>
      <c r="NSM104" s="769"/>
      <c r="NSN104" s="769"/>
      <c r="NSO104" s="769"/>
      <c r="NSP104" s="769"/>
      <c r="NSQ104" s="769"/>
      <c r="NSR104" s="769"/>
      <c r="NSS104" s="769"/>
      <c r="NST104" s="769"/>
      <c r="NSU104" s="769"/>
      <c r="NSV104" s="769"/>
      <c r="NSW104" s="769"/>
      <c r="NSX104" s="769"/>
      <c r="NSY104" s="769"/>
      <c r="NSZ104" s="769"/>
      <c r="NTA104" s="769"/>
      <c r="NTB104" s="769"/>
      <c r="NTC104" s="769"/>
      <c r="NTD104" s="769"/>
      <c r="NTE104" s="769"/>
      <c r="NTF104" s="769"/>
      <c r="NTG104" s="769"/>
      <c r="NTH104" s="769"/>
      <c r="NTI104" s="769"/>
      <c r="NTJ104" s="769"/>
      <c r="NTK104" s="769"/>
      <c r="NTL104" s="769"/>
      <c r="NTM104" s="769"/>
      <c r="NTN104" s="769"/>
      <c r="NTO104" s="769"/>
      <c r="NTP104" s="769"/>
      <c r="NTQ104" s="769"/>
      <c r="NTR104" s="769"/>
      <c r="NTS104" s="769"/>
      <c r="NTT104" s="769"/>
      <c r="NTU104" s="769"/>
      <c r="NTV104" s="769"/>
      <c r="NTW104" s="769"/>
      <c r="NTX104" s="769"/>
      <c r="NTY104" s="769"/>
      <c r="NTZ104" s="769"/>
      <c r="NUA104" s="769"/>
      <c r="NUB104" s="769"/>
      <c r="NUC104" s="769"/>
      <c r="NUD104" s="769"/>
      <c r="NUE104" s="769"/>
      <c r="NUF104" s="769"/>
      <c r="NUG104" s="769"/>
      <c r="NUH104" s="769"/>
      <c r="NUI104" s="769"/>
      <c r="NUJ104" s="769"/>
      <c r="NUK104" s="769"/>
      <c r="NUL104" s="769"/>
      <c r="NUM104" s="769"/>
      <c r="NUN104" s="769"/>
      <c r="NUO104" s="769"/>
      <c r="NUP104" s="769"/>
      <c r="NUQ104" s="769"/>
      <c r="NUR104" s="769"/>
      <c r="NUS104" s="769"/>
      <c r="NUT104" s="769"/>
      <c r="NUU104" s="769"/>
      <c r="NUV104" s="769"/>
      <c r="NUW104" s="769"/>
      <c r="NUX104" s="769"/>
      <c r="NUY104" s="769"/>
      <c r="NUZ104" s="769"/>
      <c r="NVA104" s="769"/>
      <c r="NVB104" s="769"/>
      <c r="NVC104" s="769"/>
      <c r="NVD104" s="769"/>
      <c r="NVE104" s="769"/>
      <c r="NVF104" s="769"/>
      <c r="NVG104" s="769"/>
      <c r="NVH104" s="769"/>
      <c r="NVI104" s="769"/>
      <c r="NVJ104" s="769"/>
      <c r="NVK104" s="769"/>
      <c r="NVL104" s="769"/>
      <c r="NVM104" s="769"/>
      <c r="NVN104" s="769"/>
      <c r="NVO104" s="769"/>
      <c r="NVP104" s="769"/>
      <c r="NVQ104" s="769"/>
      <c r="NVR104" s="769"/>
      <c r="NVS104" s="769"/>
      <c r="NVT104" s="769"/>
      <c r="NVU104" s="769"/>
      <c r="NVV104" s="769"/>
      <c r="NVW104" s="769"/>
      <c r="NVX104" s="769"/>
      <c r="NVY104" s="769"/>
      <c r="NVZ104" s="769"/>
      <c r="NWA104" s="769"/>
      <c r="NWB104" s="769"/>
      <c r="NWC104" s="769"/>
      <c r="NWD104" s="769"/>
      <c r="NWE104" s="769"/>
      <c r="NWF104" s="769"/>
      <c r="NWG104" s="769"/>
      <c r="NWH104" s="769"/>
      <c r="NWI104" s="769"/>
      <c r="NWJ104" s="769"/>
      <c r="NWK104" s="769"/>
      <c r="NWL104" s="769"/>
      <c r="NWM104" s="769"/>
      <c r="NWN104" s="769"/>
      <c r="NWO104" s="769"/>
      <c r="NWP104" s="769"/>
      <c r="NWQ104" s="769"/>
      <c r="NWR104" s="769"/>
      <c r="NWS104" s="769"/>
      <c r="NWT104" s="769"/>
      <c r="NWU104" s="769"/>
      <c r="NWV104" s="769"/>
      <c r="NWW104" s="769"/>
      <c r="NWX104" s="769"/>
      <c r="NWY104" s="769"/>
      <c r="NWZ104" s="769"/>
      <c r="NXA104" s="769"/>
      <c r="NXB104" s="769"/>
      <c r="NXC104" s="769"/>
      <c r="NXD104" s="769"/>
      <c r="NXE104" s="769"/>
      <c r="NXF104" s="769"/>
      <c r="NXG104" s="769"/>
      <c r="NXH104" s="769"/>
      <c r="NXI104" s="769"/>
      <c r="NXJ104" s="769"/>
      <c r="NXK104" s="769"/>
      <c r="NXL104" s="769"/>
      <c r="NXM104" s="769"/>
      <c r="NXN104" s="769"/>
      <c r="NXO104" s="769"/>
      <c r="NXP104" s="769"/>
      <c r="NXQ104" s="769"/>
      <c r="NXR104" s="769"/>
      <c r="NXS104" s="769"/>
      <c r="NXT104" s="769"/>
      <c r="NXU104" s="769"/>
      <c r="NXV104" s="769"/>
      <c r="NXW104" s="769"/>
      <c r="NXX104" s="769"/>
      <c r="NXY104" s="769"/>
      <c r="NXZ104" s="769"/>
      <c r="NYA104" s="769"/>
      <c r="NYB104" s="769"/>
      <c r="NYC104" s="769"/>
      <c r="NYD104" s="769"/>
      <c r="NYE104" s="769"/>
      <c r="NYF104" s="769"/>
      <c r="NYG104" s="769"/>
      <c r="NYH104" s="769"/>
      <c r="NYI104" s="769"/>
      <c r="NYJ104" s="769"/>
      <c r="NYK104" s="769"/>
      <c r="NYL104" s="769"/>
      <c r="NYM104" s="769"/>
      <c r="NYN104" s="769"/>
      <c r="NYO104" s="769"/>
      <c r="NYP104" s="769"/>
      <c r="NYQ104" s="769"/>
      <c r="NYR104" s="769"/>
      <c r="NYS104" s="769"/>
      <c r="NYT104" s="769"/>
      <c r="NYU104" s="769"/>
      <c r="NYV104" s="769"/>
      <c r="NYW104" s="769"/>
      <c r="NYX104" s="769"/>
      <c r="NYY104" s="769"/>
      <c r="NYZ104" s="769"/>
      <c r="NZA104" s="769"/>
      <c r="NZB104" s="769"/>
      <c r="NZC104" s="769"/>
      <c r="NZD104" s="769"/>
      <c r="NZE104" s="769"/>
      <c r="NZF104" s="769"/>
      <c r="NZG104" s="769"/>
      <c r="NZH104" s="769"/>
      <c r="NZI104" s="769"/>
      <c r="NZJ104" s="769"/>
      <c r="NZK104" s="769"/>
      <c r="NZL104" s="769"/>
      <c r="NZM104" s="769"/>
      <c r="NZN104" s="769"/>
      <c r="NZO104" s="769"/>
      <c r="NZP104" s="769"/>
      <c r="NZQ104" s="769"/>
      <c r="NZR104" s="769"/>
      <c r="NZS104" s="769"/>
      <c r="NZT104" s="769"/>
      <c r="NZU104" s="769"/>
      <c r="NZV104" s="769"/>
      <c r="NZW104" s="769"/>
      <c r="NZX104" s="769"/>
      <c r="NZY104" s="769"/>
      <c r="NZZ104" s="769"/>
      <c r="OAA104" s="769"/>
      <c r="OAB104" s="769"/>
      <c r="OAC104" s="769"/>
      <c r="OAD104" s="769"/>
      <c r="OAE104" s="769"/>
      <c r="OAF104" s="769"/>
      <c r="OAG104" s="769"/>
      <c r="OAH104" s="769"/>
      <c r="OAI104" s="769"/>
      <c r="OAJ104" s="769"/>
      <c r="OAK104" s="769"/>
      <c r="OAL104" s="769"/>
      <c r="OAM104" s="769"/>
      <c r="OAN104" s="769"/>
      <c r="OAO104" s="769"/>
      <c r="OAP104" s="769"/>
      <c r="OAQ104" s="769"/>
      <c r="OAR104" s="769"/>
      <c r="OAS104" s="769"/>
      <c r="OAT104" s="769"/>
      <c r="OAU104" s="769"/>
      <c r="OAV104" s="769"/>
      <c r="OAW104" s="769"/>
      <c r="OAX104" s="769"/>
      <c r="OAY104" s="769"/>
      <c r="OAZ104" s="769"/>
      <c r="OBA104" s="769"/>
      <c r="OBB104" s="769"/>
      <c r="OBC104" s="769"/>
      <c r="OBD104" s="769"/>
      <c r="OBE104" s="769"/>
      <c r="OBF104" s="769"/>
      <c r="OBG104" s="769"/>
      <c r="OBH104" s="769"/>
      <c r="OBI104" s="769"/>
      <c r="OBJ104" s="769"/>
      <c r="OBK104" s="769"/>
      <c r="OBL104" s="769"/>
      <c r="OBM104" s="769"/>
      <c r="OBN104" s="769"/>
      <c r="OBO104" s="769"/>
      <c r="OBP104" s="769"/>
      <c r="OBQ104" s="769"/>
      <c r="OBR104" s="769"/>
      <c r="OBS104" s="769"/>
      <c r="OBT104" s="769"/>
      <c r="OBU104" s="769"/>
      <c r="OBV104" s="769"/>
      <c r="OBW104" s="769"/>
      <c r="OBX104" s="769"/>
      <c r="OBY104" s="769"/>
      <c r="OBZ104" s="769"/>
      <c r="OCA104" s="769"/>
      <c r="OCB104" s="769"/>
      <c r="OCC104" s="769"/>
      <c r="OCD104" s="769"/>
      <c r="OCE104" s="769"/>
      <c r="OCF104" s="769"/>
      <c r="OCG104" s="769"/>
      <c r="OCH104" s="769"/>
      <c r="OCI104" s="769"/>
      <c r="OCJ104" s="769"/>
      <c r="OCK104" s="769"/>
      <c r="OCL104" s="769"/>
      <c r="OCM104" s="769"/>
      <c r="OCN104" s="769"/>
      <c r="OCO104" s="769"/>
      <c r="OCP104" s="769"/>
      <c r="OCQ104" s="769"/>
      <c r="OCR104" s="769"/>
      <c r="OCS104" s="769"/>
      <c r="OCT104" s="769"/>
      <c r="OCU104" s="769"/>
      <c r="OCV104" s="769"/>
      <c r="OCW104" s="769"/>
      <c r="OCX104" s="769"/>
      <c r="OCY104" s="769"/>
      <c r="OCZ104" s="769"/>
      <c r="ODA104" s="769"/>
      <c r="ODB104" s="769"/>
      <c r="ODC104" s="769"/>
      <c r="ODD104" s="769"/>
      <c r="ODE104" s="769"/>
      <c r="ODF104" s="769"/>
      <c r="ODG104" s="769"/>
      <c r="ODH104" s="769"/>
      <c r="ODI104" s="769"/>
      <c r="ODJ104" s="769"/>
      <c r="ODK104" s="769"/>
      <c r="ODL104" s="769"/>
      <c r="ODM104" s="769"/>
      <c r="ODN104" s="769"/>
      <c r="ODO104" s="769"/>
      <c r="ODP104" s="769"/>
      <c r="ODQ104" s="769"/>
      <c r="ODR104" s="769"/>
      <c r="ODS104" s="769"/>
      <c r="ODT104" s="769"/>
      <c r="ODU104" s="769"/>
      <c r="ODV104" s="769"/>
      <c r="ODW104" s="769"/>
      <c r="ODX104" s="769"/>
      <c r="ODY104" s="769"/>
      <c r="ODZ104" s="769"/>
      <c r="OEA104" s="769"/>
      <c r="OEB104" s="769"/>
      <c r="OEC104" s="769"/>
      <c r="OED104" s="769"/>
      <c r="OEE104" s="769"/>
      <c r="OEF104" s="769"/>
      <c r="OEG104" s="769"/>
      <c r="OEH104" s="769"/>
      <c r="OEI104" s="769"/>
      <c r="OEJ104" s="769"/>
      <c r="OEK104" s="769"/>
      <c r="OEL104" s="769"/>
      <c r="OEM104" s="769"/>
      <c r="OEN104" s="769"/>
      <c r="OEO104" s="769"/>
      <c r="OEP104" s="769"/>
      <c r="OEQ104" s="769"/>
      <c r="OER104" s="769"/>
      <c r="OES104" s="769"/>
      <c r="OET104" s="769"/>
      <c r="OEU104" s="769"/>
      <c r="OEV104" s="769"/>
      <c r="OEW104" s="769"/>
      <c r="OEX104" s="769"/>
      <c r="OEY104" s="769"/>
      <c r="OEZ104" s="769"/>
      <c r="OFA104" s="769"/>
      <c r="OFB104" s="769"/>
      <c r="OFC104" s="769"/>
      <c r="OFD104" s="769"/>
      <c r="OFE104" s="769"/>
      <c r="OFF104" s="769"/>
      <c r="OFG104" s="769"/>
      <c r="OFH104" s="769"/>
      <c r="OFI104" s="769"/>
      <c r="OFJ104" s="769"/>
      <c r="OFK104" s="769"/>
      <c r="OFL104" s="769"/>
      <c r="OFM104" s="769"/>
      <c r="OFN104" s="769"/>
      <c r="OFO104" s="769"/>
      <c r="OFP104" s="769"/>
      <c r="OFQ104" s="769"/>
      <c r="OFR104" s="769"/>
      <c r="OFS104" s="769"/>
      <c r="OFT104" s="769"/>
      <c r="OFU104" s="769"/>
      <c r="OFV104" s="769"/>
      <c r="OFW104" s="769"/>
      <c r="OFX104" s="769"/>
      <c r="OFY104" s="769"/>
      <c r="OFZ104" s="769"/>
      <c r="OGA104" s="769"/>
      <c r="OGB104" s="769"/>
      <c r="OGC104" s="769"/>
      <c r="OGD104" s="769"/>
      <c r="OGE104" s="769"/>
      <c r="OGF104" s="769"/>
      <c r="OGG104" s="769"/>
      <c r="OGH104" s="769"/>
      <c r="OGI104" s="769"/>
      <c r="OGJ104" s="769"/>
      <c r="OGK104" s="769"/>
      <c r="OGL104" s="769"/>
      <c r="OGM104" s="769"/>
      <c r="OGN104" s="769"/>
      <c r="OGO104" s="769"/>
      <c r="OGP104" s="769"/>
      <c r="OGQ104" s="769"/>
      <c r="OGR104" s="769"/>
      <c r="OGS104" s="769"/>
      <c r="OGT104" s="769"/>
      <c r="OGU104" s="769"/>
      <c r="OGV104" s="769"/>
      <c r="OGW104" s="769"/>
      <c r="OGX104" s="769"/>
      <c r="OGY104" s="769"/>
      <c r="OGZ104" s="769"/>
      <c r="OHA104" s="769"/>
      <c r="OHB104" s="769"/>
      <c r="OHC104" s="769"/>
      <c r="OHD104" s="769"/>
      <c r="OHE104" s="769"/>
      <c r="OHF104" s="769"/>
      <c r="OHG104" s="769"/>
      <c r="OHH104" s="769"/>
      <c r="OHI104" s="769"/>
      <c r="OHJ104" s="769"/>
      <c r="OHK104" s="769"/>
      <c r="OHL104" s="769"/>
      <c r="OHM104" s="769"/>
      <c r="OHN104" s="769"/>
      <c r="OHO104" s="769"/>
      <c r="OHP104" s="769"/>
      <c r="OHQ104" s="769"/>
      <c r="OHR104" s="769"/>
      <c r="OHS104" s="769"/>
      <c r="OHT104" s="769"/>
      <c r="OHU104" s="769"/>
      <c r="OHV104" s="769"/>
      <c r="OHW104" s="769"/>
      <c r="OHX104" s="769"/>
      <c r="OHY104" s="769"/>
      <c r="OHZ104" s="769"/>
      <c r="OIA104" s="769"/>
      <c r="OIB104" s="769"/>
      <c r="OIC104" s="769"/>
      <c r="OID104" s="769"/>
      <c r="OIE104" s="769"/>
      <c r="OIF104" s="769"/>
      <c r="OIG104" s="769"/>
      <c r="OIH104" s="769"/>
      <c r="OII104" s="769"/>
      <c r="OIJ104" s="769"/>
      <c r="OIK104" s="769"/>
      <c r="OIL104" s="769"/>
      <c r="OIM104" s="769"/>
      <c r="OIN104" s="769"/>
      <c r="OIO104" s="769"/>
      <c r="OIP104" s="769"/>
      <c r="OIQ104" s="769"/>
      <c r="OIR104" s="769"/>
      <c r="OIS104" s="769"/>
      <c r="OIT104" s="769"/>
      <c r="OIU104" s="769"/>
      <c r="OIV104" s="769"/>
      <c r="OIW104" s="769"/>
      <c r="OIX104" s="769"/>
      <c r="OIY104" s="769"/>
      <c r="OIZ104" s="769"/>
      <c r="OJA104" s="769"/>
      <c r="OJB104" s="769"/>
      <c r="OJC104" s="769"/>
      <c r="OJD104" s="769"/>
      <c r="OJE104" s="769"/>
      <c r="OJF104" s="769"/>
      <c r="OJG104" s="769"/>
      <c r="OJH104" s="769"/>
      <c r="OJI104" s="769"/>
      <c r="OJJ104" s="769"/>
      <c r="OJK104" s="769"/>
      <c r="OJL104" s="769"/>
      <c r="OJM104" s="769"/>
      <c r="OJN104" s="769"/>
      <c r="OJO104" s="769"/>
      <c r="OJP104" s="769"/>
      <c r="OJQ104" s="769"/>
      <c r="OJR104" s="769"/>
      <c r="OJS104" s="769"/>
      <c r="OJT104" s="769"/>
      <c r="OJU104" s="769"/>
      <c r="OJV104" s="769"/>
      <c r="OJW104" s="769"/>
      <c r="OJX104" s="769"/>
      <c r="OJY104" s="769"/>
      <c r="OJZ104" s="769"/>
      <c r="OKA104" s="769"/>
      <c r="OKB104" s="769"/>
      <c r="OKC104" s="769"/>
      <c r="OKD104" s="769"/>
      <c r="OKE104" s="769"/>
      <c r="OKF104" s="769"/>
      <c r="OKG104" s="769"/>
      <c r="OKH104" s="769"/>
      <c r="OKI104" s="769"/>
      <c r="OKJ104" s="769"/>
      <c r="OKK104" s="769"/>
      <c r="OKL104" s="769"/>
      <c r="OKM104" s="769"/>
      <c r="OKN104" s="769"/>
      <c r="OKO104" s="769"/>
      <c r="OKP104" s="769"/>
      <c r="OKQ104" s="769"/>
      <c r="OKR104" s="769"/>
      <c r="OKS104" s="769"/>
      <c r="OKT104" s="769"/>
      <c r="OKU104" s="769"/>
      <c r="OKV104" s="769"/>
      <c r="OKW104" s="769"/>
      <c r="OKX104" s="769"/>
      <c r="OKY104" s="769"/>
      <c r="OKZ104" s="769"/>
      <c r="OLA104" s="769"/>
      <c r="OLB104" s="769"/>
      <c r="OLC104" s="769"/>
      <c r="OLD104" s="769"/>
      <c r="OLE104" s="769"/>
      <c r="OLF104" s="769"/>
      <c r="OLG104" s="769"/>
      <c r="OLH104" s="769"/>
      <c r="OLI104" s="769"/>
      <c r="OLJ104" s="769"/>
      <c r="OLK104" s="769"/>
      <c r="OLL104" s="769"/>
      <c r="OLM104" s="769"/>
      <c r="OLN104" s="769"/>
      <c r="OLO104" s="769"/>
      <c r="OLP104" s="769"/>
      <c r="OLQ104" s="769"/>
      <c r="OLR104" s="769"/>
      <c r="OLS104" s="769"/>
      <c r="OLT104" s="769"/>
      <c r="OLU104" s="769"/>
      <c r="OLV104" s="769"/>
      <c r="OLW104" s="769"/>
      <c r="OLX104" s="769"/>
      <c r="OLY104" s="769"/>
      <c r="OLZ104" s="769"/>
      <c r="OMA104" s="769"/>
      <c r="OMB104" s="769"/>
      <c r="OMC104" s="769"/>
      <c r="OMD104" s="769"/>
      <c r="OME104" s="769"/>
      <c r="OMF104" s="769"/>
      <c r="OMG104" s="769"/>
      <c r="OMH104" s="769"/>
      <c r="OMI104" s="769"/>
      <c r="OMJ104" s="769"/>
      <c r="OMK104" s="769"/>
      <c r="OML104" s="769"/>
      <c r="OMM104" s="769"/>
      <c r="OMN104" s="769"/>
      <c r="OMO104" s="769"/>
      <c r="OMP104" s="769"/>
      <c r="OMQ104" s="769"/>
      <c r="OMR104" s="769"/>
      <c r="OMS104" s="769"/>
      <c r="OMT104" s="769"/>
      <c r="OMU104" s="769"/>
      <c r="OMV104" s="769"/>
      <c r="OMW104" s="769"/>
      <c r="OMX104" s="769"/>
      <c r="OMY104" s="769"/>
      <c r="OMZ104" s="769"/>
      <c r="ONA104" s="769"/>
      <c r="ONB104" s="769"/>
      <c r="ONC104" s="769"/>
      <c r="OND104" s="769"/>
      <c r="ONE104" s="769"/>
      <c r="ONF104" s="769"/>
      <c r="ONG104" s="769"/>
      <c r="ONH104" s="769"/>
      <c r="ONI104" s="769"/>
      <c r="ONJ104" s="769"/>
      <c r="ONK104" s="769"/>
      <c r="ONL104" s="769"/>
      <c r="ONM104" s="769"/>
      <c r="ONN104" s="769"/>
      <c r="ONO104" s="769"/>
      <c r="ONP104" s="769"/>
      <c r="ONQ104" s="769"/>
      <c r="ONR104" s="769"/>
      <c r="ONS104" s="769"/>
      <c r="ONT104" s="769"/>
      <c r="ONU104" s="769"/>
      <c r="ONV104" s="769"/>
      <c r="ONW104" s="769"/>
      <c r="ONX104" s="769"/>
      <c r="ONY104" s="769"/>
      <c r="ONZ104" s="769"/>
      <c r="OOA104" s="769"/>
      <c r="OOB104" s="769"/>
      <c r="OOC104" s="769"/>
      <c r="OOD104" s="769"/>
      <c r="OOE104" s="769"/>
      <c r="OOF104" s="769"/>
      <c r="OOG104" s="769"/>
      <c r="OOH104" s="769"/>
      <c r="OOI104" s="769"/>
      <c r="OOJ104" s="769"/>
      <c r="OOK104" s="769"/>
      <c r="OOL104" s="769"/>
      <c r="OOM104" s="769"/>
      <c r="OON104" s="769"/>
      <c r="OOO104" s="769"/>
      <c r="OOP104" s="769"/>
      <c r="OOQ104" s="769"/>
      <c r="OOR104" s="769"/>
      <c r="OOS104" s="769"/>
      <c r="OOT104" s="769"/>
      <c r="OOU104" s="769"/>
      <c r="OOV104" s="769"/>
      <c r="OOW104" s="769"/>
      <c r="OOX104" s="769"/>
      <c r="OOY104" s="769"/>
      <c r="OOZ104" s="769"/>
      <c r="OPA104" s="769"/>
      <c r="OPB104" s="769"/>
      <c r="OPC104" s="769"/>
      <c r="OPD104" s="769"/>
      <c r="OPE104" s="769"/>
      <c r="OPF104" s="769"/>
      <c r="OPG104" s="769"/>
      <c r="OPH104" s="769"/>
      <c r="OPI104" s="769"/>
      <c r="OPJ104" s="769"/>
      <c r="OPK104" s="769"/>
      <c r="OPL104" s="769"/>
      <c r="OPM104" s="769"/>
      <c r="OPN104" s="769"/>
      <c r="OPO104" s="769"/>
      <c r="OPP104" s="769"/>
      <c r="OPQ104" s="769"/>
      <c r="OPR104" s="769"/>
      <c r="OPS104" s="769"/>
      <c r="OPT104" s="769"/>
      <c r="OPU104" s="769"/>
      <c r="OPV104" s="769"/>
      <c r="OPW104" s="769"/>
      <c r="OPX104" s="769"/>
      <c r="OPY104" s="769"/>
      <c r="OPZ104" s="769"/>
      <c r="OQA104" s="769"/>
      <c r="OQB104" s="769"/>
      <c r="OQC104" s="769"/>
      <c r="OQD104" s="769"/>
      <c r="OQE104" s="769"/>
      <c r="OQF104" s="769"/>
      <c r="OQG104" s="769"/>
      <c r="OQH104" s="769"/>
      <c r="OQI104" s="769"/>
      <c r="OQJ104" s="769"/>
      <c r="OQK104" s="769"/>
      <c r="OQL104" s="769"/>
      <c r="OQM104" s="769"/>
      <c r="OQN104" s="769"/>
      <c r="OQO104" s="769"/>
      <c r="OQP104" s="769"/>
      <c r="OQQ104" s="769"/>
      <c r="OQR104" s="769"/>
      <c r="OQS104" s="769"/>
      <c r="OQT104" s="769"/>
      <c r="OQU104" s="769"/>
      <c r="OQV104" s="769"/>
      <c r="OQW104" s="769"/>
      <c r="OQX104" s="769"/>
      <c r="OQY104" s="769"/>
      <c r="OQZ104" s="769"/>
      <c r="ORA104" s="769"/>
      <c r="ORB104" s="769"/>
      <c r="ORC104" s="769"/>
      <c r="ORD104" s="769"/>
      <c r="ORE104" s="769"/>
      <c r="ORF104" s="769"/>
      <c r="ORG104" s="769"/>
      <c r="ORH104" s="769"/>
      <c r="ORI104" s="769"/>
      <c r="ORJ104" s="769"/>
      <c r="ORK104" s="769"/>
      <c r="ORL104" s="769"/>
      <c r="ORM104" s="769"/>
      <c r="ORN104" s="769"/>
      <c r="ORO104" s="769"/>
      <c r="ORP104" s="769"/>
      <c r="ORQ104" s="769"/>
      <c r="ORR104" s="769"/>
      <c r="ORS104" s="769"/>
      <c r="ORT104" s="769"/>
      <c r="ORU104" s="769"/>
      <c r="ORV104" s="769"/>
      <c r="ORW104" s="769"/>
      <c r="ORX104" s="769"/>
      <c r="ORY104" s="769"/>
      <c r="ORZ104" s="769"/>
      <c r="OSA104" s="769"/>
      <c r="OSB104" s="769"/>
      <c r="OSC104" s="769"/>
      <c r="OSD104" s="769"/>
      <c r="OSE104" s="769"/>
      <c r="OSF104" s="769"/>
      <c r="OSG104" s="769"/>
      <c r="OSH104" s="769"/>
      <c r="OSI104" s="769"/>
      <c r="OSJ104" s="769"/>
      <c r="OSK104" s="769"/>
      <c r="OSL104" s="769"/>
      <c r="OSM104" s="769"/>
      <c r="OSN104" s="769"/>
      <c r="OSO104" s="769"/>
      <c r="OSP104" s="769"/>
      <c r="OSQ104" s="769"/>
      <c r="OSR104" s="769"/>
      <c r="OSS104" s="769"/>
      <c r="OST104" s="769"/>
      <c r="OSU104" s="769"/>
      <c r="OSV104" s="769"/>
      <c r="OSW104" s="769"/>
      <c r="OSX104" s="769"/>
      <c r="OSY104" s="769"/>
      <c r="OSZ104" s="769"/>
      <c r="OTA104" s="769"/>
      <c r="OTB104" s="769"/>
      <c r="OTC104" s="769"/>
      <c r="OTD104" s="769"/>
      <c r="OTE104" s="769"/>
      <c r="OTF104" s="769"/>
      <c r="OTG104" s="769"/>
      <c r="OTH104" s="769"/>
      <c r="OTI104" s="769"/>
      <c r="OTJ104" s="769"/>
      <c r="OTK104" s="769"/>
      <c r="OTL104" s="769"/>
      <c r="OTM104" s="769"/>
      <c r="OTN104" s="769"/>
      <c r="OTO104" s="769"/>
      <c r="OTP104" s="769"/>
      <c r="OTQ104" s="769"/>
      <c r="OTR104" s="769"/>
      <c r="OTS104" s="769"/>
      <c r="OTT104" s="769"/>
      <c r="OTU104" s="769"/>
      <c r="OTV104" s="769"/>
      <c r="OTW104" s="769"/>
      <c r="OTX104" s="769"/>
      <c r="OTY104" s="769"/>
      <c r="OTZ104" s="769"/>
      <c r="OUA104" s="769"/>
      <c r="OUB104" s="769"/>
      <c r="OUC104" s="769"/>
      <c r="OUD104" s="769"/>
      <c r="OUE104" s="769"/>
      <c r="OUF104" s="769"/>
      <c r="OUG104" s="769"/>
      <c r="OUH104" s="769"/>
      <c r="OUI104" s="769"/>
      <c r="OUJ104" s="769"/>
      <c r="OUK104" s="769"/>
      <c r="OUL104" s="769"/>
      <c r="OUM104" s="769"/>
      <c r="OUN104" s="769"/>
      <c r="OUO104" s="769"/>
      <c r="OUP104" s="769"/>
      <c r="OUQ104" s="769"/>
      <c r="OUR104" s="769"/>
      <c r="OUS104" s="769"/>
      <c r="OUT104" s="769"/>
      <c r="OUU104" s="769"/>
      <c r="OUV104" s="769"/>
      <c r="OUW104" s="769"/>
      <c r="OUX104" s="769"/>
      <c r="OUY104" s="769"/>
      <c r="OUZ104" s="769"/>
      <c r="OVA104" s="769"/>
      <c r="OVB104" s="769"/>
      <c r="OVC104" s="769"/>
      <c r="OVD104" s="769"/>
      <c r="OVE104" s="769"/>
      <c r="OVF104" s="769"/>
      <c r="OVG104" s="769"/>
      <c r="OVH104" s="769"/>
      <c r="OVI104" s="769"/>
      <c r="OVJ104" s="769"/>
      <c r="OVK104" s="769"/>
      <c r="OVL104" s="769"/>
      <c r="OVM104" s="769"/>
      <c r="OVN104" s="769"/>
      <c r="OVO104" s="769"/>
      <c r="OVP104" s="769"/>
      <c r="OVQ104" s="769"/>
      <c r="OVR104" s="769"/>
      <c r="OVS104" s="769"/>
      <c r="OVT104" s="769"/>
      <c r="OVU104" s="769"/>
      <c r="OVV104" s="769"/>
      <c r="OVW104" s="769"/>
      <c r="OVX104" s="769"/>
      <c r="OVY104" s="769"/>
      <c r="OVZ104" s="769"/>
      <c r="OWA104" s="769"/>
      <c r="OWB104" s="769"/>
      <c r="OWC104" s="769"/>
      <c r="OWD104" s="769"/>
      <c r="OWE104" s="769"/>
      <c r="OWF104" s="769"/>
      <c r="OWG104" s="769"/>
      <c r="OWH104" s="769"/>
      <c r="OWI104" s="769"/>
      <c r="OWJ104" s="769"/>
      <c r="OWK104" s="769"/>
      <c r="OWL104" s="769"/>
      <c r="OWM104" s="769"/>
      <c r="OWN104" s="769"/>
      <c r="OWO104" s="769"/>
      <c r="OWP104" s="769"/>
      <c r="OWQ104" s="769"/>
      <c r="OWR104" s="769"/>
      <c r="OWS104" s="769"/>
      <c r="OWT104" s="769"/>
      <c r="OWU104" s="769"/>
      <c r="OWV104" s="769"/>
      <c r="OWW104" s="769"/>
      <c r="OWX104" s="769"/>
      <c r="OWY104" s="769"/>
      <c r="OWZ104" s="769"/>
      <c r="OXA104" s="769"/>
      <c r="OXB104" s="769"/>
      <c r="OXC104" s="769"/>
      <c r="OXD104" s="769"/>
      <c r="OXE104" s="769"/>
      <c r="OXF104" s="769"/>
      <c r="OXG104" s="769"/>
      <c r="OXH104" s="769"/>
      <c r="OXI104" s="769"/>
      <c r="OXJ104" s="769"/>
      <c r="OXK104" s="769"/>
      <c r="OXL104" s="769"/>
      <c r="OXM104" s="769"/>
      <c r="OXN104" s="769"/>
      <c r="OXO104" s="769"/>
      <c r="OXP104" s="769"/>
      <c r="OXQ104" s="769"/>
      <c r="OXR104" s="769"/>
      <c r="OXS104" s="769"/>
      <c r="OXT104" s="769"/>
      <c r="OXU104" s="769"/>
      <c r="OXV104" s="769"/>
      <c r="OXW104" s="769"/>
      <c r="OXX104" s="769"/>
      <c r="OXY104" s="769"/>
      <c r="OXZ104" s="769"/>
      <c r="OYA104" s="769"/>
      <c r="OYB104" s="769"/>
      <c r="OYC104" s="769"/>
      <c r="OYD104" s="769"/>
      <c r="OYE104" s="769"/>
      <c r="OYF104" s="769"/>
      <c r="OYG104" s="769"/>
      <c r="OYH104" s="769"/>
      <c r="OYI104" s="769"/>
      <c r="OYJ104" s="769"/>
      <c r="OYK104" s="769"/>
      <c r="OYL104" s="769"/>
      <c r="OYM104" s="769"/>
      <c r="OYN104" s="769"/>
      <c r="OYO104" s="769"/>
      <c r="OYP104" s="769"/>
      <c r="OYQ104" s="769"/>
      <c r="OYR104" s="769"/>
      <c r="OYS104" s="769"/>
      <c r="OYT104" s="769"/>
      <c r="OYU104" s="769"/>
      <c r="OYV104" s="769"/>
      <c r="OYW104" s="769"/>
      <c r="OYX104" s="769"/>
      <c r="OYY104" s="769"/>
      <c r="OYZ104" s="769"/>
      <c r="OZA104" s="769"/>
      <c r="OZB104" s="769"/>
      <c r="OZC104" s="769"/>
      <c r="OZD104" s="769"/>
      <c r="OZE104" s="769"/>
      <c r="OZF104" s="769"/>
      <c r="OZG104" s="769"/>
      <c r="OZH104" s="769"/>
      <c r="OZI104" s="769"/>
      <c r="OZJ104" s="769"/>
      <c r="OZK104" s="769"/>
      <c r="OZL104" s="769"/>
      <c r="OZM104" s="769"/>
      <c r="OZN104" s="769"/>
      <c r="OZO104" s="769"/>
      <c r="OZP104" s="769"/>
      <c r="OZQ104" s="769"/>
      <c r="OZR104" s="769"/>
      <c r="OZS104" s="769"/>
      <c r="OZT104" s="769"/>
      <c r="OZU104" s="769"/>
      <c r="OZV104" s="769"/>
      <c r="OZW104" s="769"/>
      <c r="OZX104" s="769"/>
      <c r="OZY104" s="769"/>
      <c r="OZZ104" s="769"/>
      <c r="PAA104" s="769"/>
      <c r="PAB104" s="769"/>
      <c r="PAC104" s="769"/>
      <c r="PAD104" s="769"/>
      <c r="PAE104" s="769"/>
      <c r="PAF104" s="769"/>
      <c r="PAG104" s="769"/>
      <c r="PAH104" s="769"/>
      <c r="PAI104" s="769"/>
      <c r="PAJ104" s="769"/>
      <c r="PAK104" s="769"/>
      <c r="PAL104" s="769"/>
      <c r="PAM104" s="769"/>
      <c r="PAN104" s="769"/>
      <c r="PAO104" s="769"/>
      <c r="PAP104" s="769"/>
      <c r="PAQ104" s="769"/>
      <c r="PAR104" s="769"/>
      <c r="PAS104" s="769"/>
      <c r="PAT104" s="769"/>
      <c r="PAU104" s="769"/>
      <c r="PAV104" s="769"/>
      <c r="PAW104" s="769"/>
      <c r="PAX104" s="769"/>
      <c r="PAY104" s="769"/>
      <c r="PAZ104" s="769"/>
      <c r="PBA104" s="769"/>
      <c r="PBB104" s="769"/>
      <c r="PBC104" s="769"/>
      <c r="PBD104" s="769"/>
      <c r="PBE104" s="769"/>
      <c r="PBF104" s="769"/>
      <c r="PBG104" s="769"/>
      <c r="PBH104" s="769"/>
      <c r="PBI104" s="769"/>
      <c r="PBJ104" s="769"/>
      <c r="PBK104" s="769"/>
      <c r="PBL104" s="769"/>
      <c r="PBM104" s="769"/>
      <c r="PBN104" s="769"/>
      <c r="PBO104" s="769"/>
      <c r="PBP104" s="769"/>
      <c r="PBQ104" s="769"/>
      <c r="PBR104" s="769"/>
      <c r="PBS104" s="769"/>
      <c r="PBT104" s="769"/>
      <c r="PBU104" s="769"/>
      <c r="PBV104" s="769"/>
      <c r="PBW104" s="769"/>
      <c r="PBX104" s="769"/>
      <c r="PBY104" s="769"/>
      <c r="PBZ104" s="769"/>
      <c r="PCA104" s="769"/>
      <c r="PCB104" s="769"/>
      <c r="PCC104" s="769"/>
      <c r="PCD104" s="769"/>
      <c r="PCE104" s="769"/>
      <c r="PCF104" s="769"/>
      <c r="PCG104" s="769"/>
      <c r="PCH104" s="769"/>
      <c r="PCI104" s="769"/>
      <c r="PCJ104" s="769"/>
      <c r="PCK104" s="769"/>
      <c r="PCL104" s="769"/>
      <c r="PCM104" s="769"/>
      <c r="PCN104" s="769"/>
      <c r="PCO104" s="769"/>
      <c r="PCP104" s="769"/>
      <c r="PCQ104" s="769"/>
      <c r="PCR104" s="769"/>
      <c r="PCS104" s="769"/>
      <c r="PCT104" s="769"/>
      <c r="PCU104" s="769"/>
      <c r="PCV104" s="769"/>
      <c r="PCW104" s="769"/>
      <c r="PCX104" s="769"/>
      <c r="PCY104" s="769"/>
      <c r="PCZ104" s="769"/>
      <c r="PDA104" s="769"/>
      <c r="PDB104" s="769"/>
      <c r="PDC104" s="769"/>
      <c r="PDD104" s="769"/>
      <c r="PDE104" s="769"/>
      <c r="PDF104" s="769"/>
      <c r="PDG104" s="769"/>
      <c r="PDH104" s="769"/>
      <c r="PDI104" s="769"/>
      <c r="PDJ104" s="769"/>
      <c r="PDK104" s="769"/>
      <c r="PDL104" s="769"/>
      <c r="PDM104" s="769"/>
      <c r="PDN104" s="769"/>
      <c r="PDO104" s="769"/>
      <c r="PDP104" s="769"/>
      <c r="PDQ104" s="769"/>
      <c r="PDR104" s="769"/>
      <c r="PDS104" s="769"/>
      <c r="PDT104" s="769"/>
      <c r="PDU104" s="769"/>
      <c r="PDV104" s="769"/>
      <c r="PDW104" s="769"/>
      <c r="PDX104" s="769"/>
      <c r="PDY104" s="769"/>
      <c r="PDZ104" s="769"/>
      <c r="PEA104" s="769"/>
      <c r="PEB104" s="769"/>
      <c r="PEC104" s="769"/>
      <c r="PED104" s="769"/>
      <c r="PEE104" s="769"/>
      <c r="PEF104" s="769"/>
      <c r="PEG104" s="769"/>
      <c r="PEH104" s="769"/>
      <c r="PEI104" s="769"/>
      <c r="PEJ104" s="769"/>
      <c r="PEK104" s="769"/>
      <c r="PEL104" s="769"/>
      <c r="PEM104" s="769"/>
      <c r="PEN104" s="769"/>
      <c r="PEO104" s="769"/>
      <c r="PEP104" s="769"/>
      <c r="PEQ104" s="769"/>
      <c r="PER104" s="769"/>
      <c r="PES104" s="769"/>
      <c r="PET104" s="769"/>
      <c r="PEU104" s="769"/>
      <c r="PEV104" s="769"/>
      <c r="PEW104" s="769"/>
      <c r="PEX104" s="769"/>
      <c r="PEY104" s="769"/>
      <c r="PEZ104" s="769"/>
      <c r="PFA104" s="769"/>
      <c r="PFB104" s="769"/>
      <c r="PFC104" s="769"/>
      <c r="PFD104" s="769"/>
      <c r="PFE104" s="769"/>
      <c r="PFF104" s="769"/>
      <c r="PFG104" s="769"/>
      <c r="PFH104" s="769"/>
      <c r="PFI104" s="769"/>
      <c r="PFJ104" s="769"/>
      <c r="PFK104" s="769"/>
      <c r="PFL104" s="769"/>
      <c r="PFM104" s="769"/>
      <c r="PFN104" s="769"/>
      <c r="PFO104" s="769"/>
      <c r="PFP104" s="769"/>
      <c r="PFQ104" s="769"/>
      <c r="PFR104" s="769"/>
      <c r="PFS104" s="769"/>
      <c r="PFT104" s="769"/>
      <c r="PFU104" s="769"/>
      <c r="PFV104" s="769"/>
      <c r="PFW104" s="769"/>
      <c r="PFX104" s="769"/>
      <c r="PFY104" s="769"/>
      <c r="PFZ104" s="769"/>
      <c r="PGA104" s="769"/>
      <c r="PGB104" s="769"/>
      <c r="PGC104" s="769"/>
      <c r="PGD104" s="769"/>
      <c r="PGE104" s="769"/>
      <c r="PGF104" s="769"/>
      <c r="PGG104" s="769"/>
      <c r="PGH104" s="769"/>
      <c r="PGI104" s="769"/>
      <c r="PGJ104" s="769"/>
      <c r="PGK104" s="769"/>
      <c r="PGL104" s="769"/>
      <c r="PGM104" s="769"/>
      <c r="PGN104" s="769"/>
      <c r="PGO104" s="769"/>
      <c r="PGP104" s="769"/>
      <c r="PGQ104" s="769"/>
      <c r="PGR104" s="769"/>
      <c r="PGS104" s="769"/>
      <c r="PGT104" s="769"/>
      <c r="PGU104" s="769"/>
      <c r="PGV104" s="769"/>
      <c r="PGW104" s="769"/>
      <c r="PGX104" s="769"/>
      <c r="PGY104" s="769"/>
      <c r="PGZ104" s="769"/>
      <c r="PHA104" s="769"/>
      <c r="PHB104" s="769"/>
      <c r="PHC104" s="769"/>
      <c r="PHD104" s="769"/>
      <c r="PHE104" s="769"/>
      <c r="PHF104" s="769"/>
      <c r="PHG104" s="769"/>
      <c r="PHH104" s="769"/>
      <c r="PHI104" s="769"/>
      <c r="PHJ104" s="769"/>
      <c r="PHK104" s="769"/>
      <c r="PHL104" s="769"/>
      <c r="PHM104" s="769"/>
      <c r="PHN104" s="769"/>
      <c r="PHO104" s="769"/>
      <c r="PHP104" s="769"/>
      <c r="PHQ104" s="769"/>
      <c r="PHR104" s="769"/>
      <c r="PHS104" s="769"/>
      <c r="PHT104" s="769"/>
      <c r="PHU104" s="769"/>
      <c r="PHV104" s="769"/>
      <c r="PHW104" s="769"/>
      <c r="PHX104" s="769"/>
      <c r="PHY104" s="769"/>
      <c r="PHZ104" s="769"/>
      <c r="PIA104" s="769"/>
      <c r="PIB104" s="769"/>
      <c r="PIC104" s="769"/>
      <c r="PID104" s="769"/>
      <c r="PIE104" s="769"/>
      <c r="PIF104" s="769"/>
      <c r="PIG104" s="769"/>
      <c r="PIH104" s="769"/>
      <c r="PII104" s="769"/>
      <c r="PIJ104" s="769"/>
      <c r="PIK104" s="769"/>
      <c r="PIL104" s="769"/>
      <c r="PIM104" s="769"/>
      <c r="PIN104" s="769"/>
      <c r="PIO104" s="769"/>
      <c r="PIP104" s="769"/>
      <c r="PIQ104" s="769"/>
      <c r="PIR104" s="769"/>
      <c r="PIS104" s="769"/>
      <c r="PIT104" s="769"/>
      <c r="PIU104" s="769"/>
      <c r="PIV104" s="769"/>
      <c r="PIW104" s="769"/>
      <c r="PIX104" s="769"/>
      <c r="PIY104" s="769"/>
      <c r="PIZ104" s="769"/>
      <c r="PJA104" s="769"/>
      <c r="PJB104" s="769"/>
      <c r="PJC104" s="769"/>
      <c r="PJD104" s="769"/>
      <c r="PJE104" s="769"/>
      <c r="PJF104" s="769"/>
      <c r="PJG104" s="769"/>
      <c r="PJH104" s="769"/>
      <c r="PJI104" s="769"/>
      <c r="PJJ104" s="769"/>
      <c r="PJK104" s="769"/>
      <c r="PJL104" s="769"/>
      <c r="PJM104" s="769"/>
      <c r="PJN104" s="769"/>
      <c r="PJO104" s="769"/>
      <c r="PJP104" s="769"/>
      <c r="PJQ104" s="769"/>
      <c r="PJR104" s="769"/>
      <c r="PJS104" s="769"/>
      <c r="PJT104" s="769"/>
      <c r="PJU104" s="769"/>
      <c r="PJV104" s="769"/>
      <c r="PJW104" s="769"/>
      <c r="PJX104" s="769"/>
      <c r="PJY104" s="769"/>
      <c r="PJZ104" s="769"/>
      <c r="PKA104" s="769"/>
      <c r="PKB104" s="769"/>
      <c r="PKC104" s="769"/>
      <c r="PKD104" s="769"/>
      <c r="PKE104" s="769"/>
      <c r="PKF104" s="769"/>
      <c r="PKG104" s="769"/>
      <c r="PKH104" s="769"/>
      <c r="PKI104" s="769"/>
      <c r="PKJ104" s="769"/>
      <c r="PKK104" s="769"/>
      <c r="PKL104" s="769"/>
      <c r="PKM104" s="769"/>
      <c r="PKN104" s="769"/>
      <c r="PKO104" s="769"/>
      <c r="PKP104" s="769"/>
      <c r="PKQ104" s="769"/>
      <c r="PKR104" s="769"/>
      <c r="PKS104" s="769"/>
      <c r="PKT104" s="769"/>
      <c r="PKU104" s="769"/>
      <c r="PKV104" s="769"/>
      <c r="PKW104" s="769"/>
      <c r="PKX104" s="769"/>
      <c r="PKY104" s="769"/>
      <c r="PKZ104" s="769"/>
      <c r="PLA104" s="769"/>
      <c r="PLB104" s="769"/>
      <c r="PLC104" s="769"/>
      <c r="PLD104" s="769"/>
      <c r="PLE104" s="769"/>
      <c r="PLF104" s="769"/>
      <c r="PLG104" s="769"/>
      <c r="PLH104" s="769"/>
      <c r="PLI104" s="769"/>
      <c r="PLJ104" s="769"/>
      <c r="PLK104" s="769"/>
      <c r="PLL104" s="769"/>
      <c r="PLM104" s="769"/>
      <c r="PLN104" s="769"/>
      <c r="PLO104" s="769"/>
      <c r="PLP104" s="769"/>
      <c r="PLQ104" s="769"/>
      <c r="PLR104" s="769"/>
      <c r="PLS104" s="769"/>
      <c r="PLT104" s="769"/>
      <c r="PLU104" s="769"/>
      <c r="PLV104" s="769"/>
      <c r="PLW104" s="769"/>
      <c r="PLX104" s="769"/>
      <c r="PLY104" s="769"/>
      <c r="PLZ104" s="769"/>
      <c r="PMA104" s="769"/>
      <c r="PMB104" s="769"/>
      <c r="PMC104" s="769"/>
      <c r="PMD104" s="769"/>
      <c r="PME104" s="769"/>
      <c r="PMF104" s="769"/>
      <c r="PMG104" s="769"/>
      <c r="PMH104" s="769"/>
      <c r="PMI104" s="769"/>
      <c r="PMJ104" s="769"/>
      <c r="PMK104" s="769"/>
      <c r="PML104" s="769"/>
      <c r="PMM104" s="769"/>
      <c r="PMN104" s="769"/>
      <c r="PMO104" s="769"/>
      <c r="PMP104" s="769"/>
      <c r="PMQ104" s="769"/>
      <c r="PMR104" s="769"/>
      <c r="PMS104" s="769"/>
      <c r="PMT104" s="769"/>
      <c r="PMU104" s="769"/>
      <c r="PMV104" s="769"/>
      <c r="PMW104" s="769"/>
      <c r="PMX104" s="769"/>
      <c r="PMY104" s="769"/>
      <c r="PMZ104" s="769"/>
      <c r="PNA104" s="769"/>
      <c r="PNB104" s="769"/>
      <c r="PNC104" s="769"/>
      <c r="PND104" s="769"/>
      <c r="PNE104" s="769"/>
      <c r="PNF104" s="769"/>
      <c r="PNG104" s="769"/>
      <c r="PNH104" s="769"/>
      <c r="PNI104" s="769"/>
      <c r="PNJ104" s="769"/>
      <c r="PNK104" s="769"/>
      <c r="PNL104" s="769"/>
      <c r="PNM104" s="769"/>
      <c r="PNN104" s="769"/>
      <c r="PNO104" s="769"/>
      <c r="PNP104" s="769"/>
      <c r="PNQ104" s="769"/>
      <c r="PNR104" s="769"/>
      <c r="PNS104" s="769"/>
      <c r="PNT104" s="769"/>
      <c r="PNU104" s="769"/>
      <c r="PNV104" s="769"/>
      <c r="PNW104" s="769"/>
      <c r="PNX104" s="769"/>
      <c r="PNY104" s="769"/>
      <c r="PNZ104" s="769"/>
      <c r="POA104" s="769"/>
      <c r="POB104" s="769"/>
      <c r="POC104" s="769"/>
      <c r="POD104" s="769"/>
      <c r="POE104" s="769"/>
      <c r="POF104" s="769"/>
      <c r="POG104" s="769"/>
      <c r="POH104" s="769"/>
      <c r="POI104" s="769"/>
      <c r="POJ104" s="769"/>
      <c r="POK104" s="769"/>
      <c r="POL104" s="769"/>
      <c r="POM104" s="769"/>
      <c r="PON104" s="769"/>
      <c r="POO104" s="769"/>
      <c r="POP104" s="769"/>
      <c r="POQ104" s="769"/>
      <c r="POR104" s="769"/>
      <c r="POS104" s="769"/>
      <c r="POT104" s="769"/>
      <c r="POU104" s="769"/>
      <c r="POV104" s="769"/>
      <c r="POW104" s="769"/>
      <c r="POX104" s="769"/>
      <c r="POY104" s="769"/>
      <c r="POZ104" s="769"/>
      <c r="PPA104" s="769"/>
      <c r="PPB104" s="769"/>
      <c r="PPC104" s="769"/>
      <c r="PPD104" s="769"/>
      <c r="PPE104" s="769"/>
      <c r="PPF104" s="769"/>
      <c r="PPG104" s="769"/>
      <c r="PPH104" s="769"/>
      <c r="PPI104" s="769"/>
      <c r="PPJ104" s="769"/>
      <c r="PPK104" s="769"/>
      <c r="PPL104" s="769"/>
      <c r="PPM104" s="769"/>
      <c r="PPN104" s="769"/>
      <c r="PPO104" s="769"/>
      <c r="PPP104" s="769"/>
      <c r="PPQ104" s="769"/>
      <c r="PPR104" s="769"/>
      <c r="PPS104" s="769"/>
      <c r="PPT104" s="769"/>
      <c r="PPU104" s="769"/>
      <c r="PPV104" s="769"/>
      <c r="PPW104" s="769"/>
      <c r="PPX104" s="769"/>
      <c r="PPY104" s="769"/>
      <c r="PPZ104" s="769"/>
      <c r="PQA104" s="769"/>
      <c r="PQB104" s="769"/>
      <c r="PQC104" s="769"/>
      <c r="PQD104" s="769"/>
      <c r="PQE104" s="769"/>
      <c r="PQF104" s="769"/>
      <c r="PQG104" s="769"/>
      <c r="PQH104" s="769"/>
      <c r="PQI104" s="769"/>
      <c r="PQJ104" s="769"/>
      <c r="PQK104" s="769"/>
      <c r="PQL104" s="769"/>
      <c r="PQM104" s="769"/>
      <c r="PQN104" s="769"/>
      <c r="PQO104" s="769"/>
      <c r="PQP104" s="769"/>
      <c r="PQQ104" s="769"/>
      <c r="PQR104" s="769"/>
      <c r="PQS104" s="769"/>
      <c r="PQT104" s="769"/>
      <c r="PQU104" s="769"/>
      <c r="PQV104" s="769"/>
      <c r="PQW104" s="769"/>
      <c r="PQX104" s="769"/>
      <c r="PQY104" s="769"/>
      <c r="PQZ104" s="769"/>
      <c r="PRA104" s="769"/>
      <c r="PRB104" s="769"/>
      <c r="PRC104" s="769"/>
      <c r="PRD104" s="769"/>
      <c r="PRE104" s="769"/>
      <c r="PRF104" s="769"/>
      <c r="PRG104" s="769"/>
      <c r="PRH104" s="769"/>
      <c r="PRI104" s="769"/>
      <c r="PRJ104" s="769"/>
      <c r="PRK104" s="769"/>
      <c r="PRL104" s="769"/>
      <c r="PRM104" s="769"/>
      <c r="PRN104" s="769"/>
      <c r="PRO104" s="769"/>
      <c r="PRP104" s="769"/>
      <c r="PRQ104" s="769"/>
      <c r="PRR104" s="769"/>
      <c r="PRS104" s="769"/>
      <c r="PRT104" s="769"/>
      <c r="PRU104" s="769"/>
      <c r="PRV104" s="769"/>
      <c r="PRW104" s="769"/>
      <c r="PRX104" s="769"/>
      <c r="PRY104" s="769"/>
      <c r="PRZ104" s="769"/>
      <c r="PSA104" s="769"/>
      <c r="PSB104" s="769"/>
      <c r="PSC104" s="769"/>
      <c r="PSD104" s="769"/>
      <c r="PSE104" s="769"/>
      <c r="PSF104" s="769"/>
      <c r="PSG104" s="769"/>
      <c r="PSH104" s="769"/>
      <c r="PSI104" s="769"/>
      <c r="PSJ104" s="769"/>
      <c r="PSK104" s="769"/>
      <c r="PSL104" s="769"/>
      <c r="PSM104" s="769"/>
      <c r="PSN104" s="769"/>
      <c r="PSO104" s="769"/>
      <c r="PSP104" s="769"/>
      <c r="PSQ104" s="769"/>
      <c r="PSR104" s="769"/>
      <c r="PSS104" s="769"/>
      <c r="PST104" s="769"/>
      <c r="PSU104" s="769"/>
      <c r="PSV104" s="769"/>
      <c r="PSW104" s="769"/>
      <c r="PSX104" s="769"/>
      <c r="PSY104" s="769"/>
      <c r="PSZ104" s="769"/>
      <c r="PTA104" s="769"/>
      <c r="PTB104" s="769"/>
      <c r="PTC104" s="769"/>
      <c r="PTD104" s="769"/>
      <c r="PTE104" s="769"/>
      <c r="PTF104" s="769"/>
      <c r="PTG104" s="769"/>
      <c r="PTH104" s="769"/>
      <c r="PTI104" s="769"/>
      <c r="PTJ104" s="769"/>
      <c r="PTK104" s="769"/>
      <c r="PTL104" s="769"/>
      <c r="PTM104" s="769"/>
      <c r="PTN104" s="769"/>
      <c r="PTO104" s="769"/>
      <c r="PTP104" s="769"/>
      <c r="PTQ104" s="769"/>
      <c r="PTR104" s="769"/>
      <c r="PTS104" s="769"/>
      <c r="PTT104" s="769"/>
      <c r="PTU104" s="769"/>
      <c r="PTV104" s="769"/>
      <c r="PTW104" s="769"/>
      <c r="PTX104" s="769"/>
      <c r="PTY104" s="769"/>
      <c r="PTZ104" s="769"/>
      <c r="PUA104" s="769"/>
      <c r="PUB104" s="769"/>
      <c r="PUC104" s="769"/>
      <c r="PUD104" s="769"/>
      <c r="PUE104" s="769"/>
      <c r="PUF104" s="769"/>
      <c r="PUG104" s="769"/>
      <c r="PUH104" s="769"/>
      <c r="PUI104" s="769"/>
      <c r="PUJ104" s="769"/>
      <c r="PUK104" s="769"/>
      <c r="PUL104" s="769"/>
      <c r="PUM104" s="769"/>
      <c r="PUN104" s="769"/>
      <c r="PUO104" s="769"/>
      <c r="PUP104" s="769"/>
      <c r="PUQ104" s="769"/>
      <c r="PUR104" s="769"/>
      <c r="PUS104" s="769"/>
      <c r="PUT104" s="769"/>
      <c r="PUU104" s="769"/>
      <c r="PUV104" s="769"/>
      <c r="PUW104" s="769"/>
      <c r="PUX104" s="769"/>
      <c r="PUY104" s="769"/>
      <c r="PUZ104" s="769"/>
      <c r="PVA104" s="769"/>
      <c r="PVB104" s="769"/>
      <c r="PVC104" s="769"/>
      <c r="PVD104" s="769"/>
      <c r="PVE104" s="769"/>
      <c r="PVF104" s="769"/>
      <c r="PVG104" s="769"/>
      <c r="PVH104" s="769"/>
      <c r="PVI104" s="769"/>
      <c r="PVJ104" s="769"/>
      <c r="PVK104" s="769"/>
      <c r="PVL104" s="769"/>
      <c r="PVM104" s="769"/>
      <c r="PVN104" s="769"/>
      <c r="PVO104" s="769"/>
      <c r="PVP104" s="769"/>
      <c r="PVQ104" s="769"/>
      <c r="PVR104" s="769"/>
      <c r="PVS104" s="769"/>
      <c r="PVT104" s="769"/>
      <c r="PVU104" s="769"/>
      <c r="PVV104" s="769"/>
      <c r="PVW104" s="769"/>
      <c r="PVX104" s="769"/>
      <c r="PVY104" s="769"/>
      <c r="PVZ104" s="769"/>
      <c r="PWA104" s="769"/>
      <c r="PWB104" s="769"/>
      <c r="PWC104" s="769"/>
      <c r="PWD104" s="769"/>
      <c r="PWE104" s="769"/>
      <c r="PWF104" s="769"/>
      <c r="PWG104" s="769"/>
      <c r="PWH104" s="769"/>
      <c r="PWI104" s="769"/>
      <c r="PWJ104" s="769"/>
      <c r="PWK104" s="769"/>
      <c r="PWL104" s="769"/>
      <c r="PWM104" s="769"/>
      <c r="PWN104" s="769"/>
      <c r="PWO104" s="769"/>
      <c r="PWP104" s="769"/>
      <c r="PWQ104" s="769"/>
      <c r="PWR104" s="769"/>
      <c r="PWS104" s="769"/>
      <c r="PWT104" s="769"/>
      <c r="PWU104" s="769"/>
      <c r="PWV104" s="769"/>
      <c r="PWW104" s="769"/>
      <c r="PWX104" s="769"/>
      <c r="PWY104" s="769"/>
      <c r="PWZ104" s="769"/>
      <c r="PXA104" s="769"/>
      <c r="PXB104" s="769"/>
      <c r="PXC104" s="769"/>
      <c r="PXD104" s="769"/>
      <c r="PXE104" s="769"/>
      <c r="PXF104" s="769"/>
      <c r="PXG104" s="769"/>
      <c r="PXH104" s="769"/>
      <c r="PXI104" s="769"/>
      <c r="PXJ104" s="769"/>
      <c r="PXK104" s="769"/>
      <c r="PXL104" s="769"/>
      <c r="PXM104" s="769"/>
      <c r="PXN104" s="769"/>
      <c r="PXO104" s="769"/>
      <c r="PXP104" s="769"/>
      <c r="PXQ104" s="769"/>
      <c r="PXR104" s="769"/>
      <c r="PXS104" s="769"/>
      <c r="PXT104" s="769"/>
      <c r="PXU104" s="769"/>
      <c r="PXV104" s="769"/>
      <c r="PXW104" s="769"/>
      <c r="PXX104" s="769"/>
      <c r="PXY104" s="769"/>
      <c r="PXZ104" s="769"/>
      <c r="PYA104" s="769"/>
      <c r="PYB104" s="769"/>
      <c r="PYC104" s="769"/>
      <c r="PYD104" s="769"/>
      <c r="PYE104" s="769"/>
      <c r="PYF104" s="769"/>
      <c r="PYG104" s="769"/>
      <c r="PYH104" s="769"/>
      <c r="PYI104" s="769"/>
      <c r="PYJ104" s="769"/>
      <c r="PYK104" s="769"/>
      <c r="PYL104" s="769"/>
      <c r="PYM104" s="769"/>
      <c r="PYN104" s="769"/>
      <c r="PYO104" s="769"/>
      <c r="PYP104" s="769"/>
      <c r="PYQ104" s="769"/>
      <c r="PYR104" s="769"/>
      <c r="PYS104" s="769"/>
      <c r="PYT104" s="769"/>
      <c r="PYU104" s="769"/>
      <c r="PYV104" s="769"/>
      <c r="PYW104" s="769"/>
      <c r="PYX104" s="769"/>
      <c r="PYY104" s="769"/>
      <c r="PYZ104" s="769"/>
      <c r="PZA104" s="769"/>
      <c r="PZB104" s="769"/>
      <c r="PZC104" s="769"/>
      <c r="PZD104" s="769"/>
      <c r="PZE104" s="769"/>
      <c r="PZF104" s="769"/>
      <c r="PZG104" s="769"/>
      <c r="PZH104" s="769"/>
      <c r="PZI104" s="769"/>
      <c r="PZJ104" s="769"/>
      <c r="PZK104" s="769"/>
      <c r="PZL104" s="769"/>
      <c r="PZM104" s="769"/>
      <c r="PZN104" s="769"/>
      <c r="PZO104" s="769"/>
      <c r="PZP104" s="769"/>
      <c r="PZQ104" s="769"/>
      <c r="PZR104" s="769"/>
      <c r="PZS104" s="769"/>
      <c r="PZT104" s="769"/>
      <c r="PZU104" s="769"/>
      <c r="PZV104" s="769"/>
      <c r="PZW104" s="769"/>
      <c r="PZX104" s="769"/>
      <c r="PZY104" s="769"/>
      <c r="PZZ104" s="769"/>
      <c r="QAA104" s="769"/>
      <c r="QAB104" s="769"/>
      <c r="QAC104" s="769"/>
      <c r="QAD104" s="769"/>
      <c r="QAE104" s="769"/>
      <c r="QAF104" s="769"/>
      <c r="QAG104" s="769"/>
      <c r="QAH104" s="769"/>
      <c r="QAI104" s="769"/>
      <c r="QAJ104" s="769"/>
      <c r="QAK104" s="769"/>
      <c r="QAL104" s="769"/>
      <c r="QAM104" s="769"/>
      <c r="QAN104" s="769"/>
      <c r="QAO104" s="769"/>
      <c r="QAP104" s="769"/>
      <c r="QAQ104" s="769"/>
      <c r="QAR104" s="769"/>
      <c r="QAS104" s="769"/>
      <c r="QAT104" s="769"/>
      <c r="QAU104" s="769"/>
      <c r="QAV104" s="769"/>
      <c r="QAW104" s="769"/>
      <c r="QAX104" s="769"/>
      <c r="QAY104" s="769"/>
      <c r="QAZ104" s="769"/>
      <c r="QBA104" s="769"/>
      <c r="QBB104" s="769"/>
      <c r="QBC104" s="769"/>
      <c r="QBD104" s="769"/>
      <c r="QBE104" s="769"/>
      <c r="QBF104" s="769"/>
      <c r="QBG104" s="769"/>
      <c r="QBH104" s="769"/>
      <c r="QBI104" s="769"/>
      <c r="QBJ104" s="769"/>
      <c r="QBK104" s="769"/>
      <c r="QBL104" s="769"/>
      <c r="QBM104" s="769"/>
      <c r="QBN104" s="769"/>
      <c r="QBO104" s="769"/>
      <c r="QBP104" s="769"/>
      <c r="QBQ104" s="769"/>
      <c r="QBR104" s="769"/>
      <c r="QBS104" s="769"/>
      <c r="QBT104" s="769"/>
      <c r="QBU104" s="769"/>
      <c r="QBV104" s="769"/>
      <c r="QBW104" s="769"/>
      <c r="QBX104" s="769"/>
      <c r="QBY104" s="769"/>
      <c r="QBZ104" s="769"/>
      <c r="QCA104" s="769"/>
      <c r="QCB104" s="769"/>
      <c r="QCC104" s="769"/>
      <c r="QCD104" s="769"/>
      <c r="QCE104" s="769"/>
      <c r="QCF104" s="769"/>
      <c r="QCG104" s="769"/>
      <c r="QCH104" s="769"/>
      <c r="QCI104" s="769"/>
      <c r="QCJ104" s="769"/>
      <c r="QCK104" s="769"/>
      <c r="QCL104" s="769"/>
      <c r="QCM104" s="769"/>
      <c r="QCN104" s="769"/>
      <c r="QCO104" s="769"/>
      <c r="QCP104" s="769"/>
      <c r="QCQ104" s="769"/>
      <c r="QCR104" s="769"/>
      <c r="QCS104" s="769"/>
      <c r="QCT104" s="769"/>
      <c r="QCU104" s="769"/>
      <c r="QCV104" s="769"/>
      <c r="QCW104" s="769"/>
      <c r="QCX104" s="769"/>
      <c r="QCY104" s="769"/>
      <c r="QCZ104" s="769"/>
      <c r="QDA104" s="769"/>
      <c r="QDB104" s="769"/>
      <c r="QDC104" s="769"/>
      <c r="QDD104" s="769"/>
      <c r="QDE104" s="769"/>
      <c r="QDF104" s="769"/>
      <c r="QDG104" s="769"/>
      <c r="QDH104" s="769"/>
      <c r="QDI104" s="769"/>
      <c r="QDJ104" s="769"/>
      <c r="QDK104" s="769"/>
      <c r="QDL104" s="769"/>
      <c r="QDM104" s="769"/>
      <c r="QDN104" s="769"/>
      <c r="QDO104" s="769"/>
      <c r="QDP104" s="769"/>
      <c r="QDQ104" s="769"/>
      <c r="QDR104" s="769"/>
      <c r="QDS104" s="769"/>
      <c r="QDT104" s="769"/>
      <c r="QDU104" s="769"/>
      <c r="QDV104" s="769"/>
      <c r="QDW104" s="769"/>
      <c r="QDX104" s="769"/>
      <c r="QDY104" s="769"/>
      <c r="QDZ104" s="769"/>
      <c r="QEA104" s="769"/>
      <c r="QEB104" s="769"/>
      <c r="QEC104" s="769"/>
      <c r="QED104" s="769"/>
      <c r="QEE104" s="769"/>
      <c r="QEF104" s="769"/>
      <c r="QEG104" s="769"/>
      <c r="QEH104" s="769"/>
      <c r="QEI104" s="769"/>
      <c r="QEJ104" s="769"/>
      <c r="QEK104" s="769"/>
      <c r="QEL104" s="769"/>
      <c r="QEM104" s="769"/>
      <c r="QEN104" s="769"/>
      <c r="QEO104" s="769"/>
      <c r="QEP104" s="769"/>
      <c r="QEQ104" s="769"/>
      <c r="QER104" s="769"/>
      <c r="QES104" s="769"/>
      <c r="QET104" s="769"/>
      <c r="QEU104" s="769"/>
      <c r="QEV104" s="769"/>
      <c r="QEW104" s="769"/>
      <c r="QEX104" s="769"/>
      <c r="QEY104" s="769"/>
      <c r="QEZ104" s="769"/>
      <c r="QFA104" s="769"/>
      <c r="QFB104" s="769"/>
      <c r="QFC104" s="769"/>
      <c r="QFD104" s="769"/>
      <c r="QFE104" s="769"/>
      <c r="QFF104" s="769"/>
      <c r="QFG104" s="769"/>
      <c r="QFH104" s="769"/>
      <c r="QFI104" s="769"/>
      <c r="QFJ104" s="769"/>
      <c r="QFK104" s="769"/>
      <c r="QFL104" s="769"/>
      <c r="QFM104" s="769"/>
      <c r="QFN104" s="769"/>
      <c r="QFO104" s="769"/>
      <c r="QFP104" s="769"/>
      <c r="QFQ104" s="769"/>
      <c r="QFR104" s="769"/>
      <c r="QFS104" s="769"/>
      <c r="QFT104" s="769"/>
      <c r="QFU104" s="769"/>
      <c r="QFV104" s="769"/>
      <c r="QFW104" s="769"/>
      <c r="QFX104" s="769"/>
      <c r="QFY104" s="769"/>
      <c r="QFZ104" s="769"/>
      <c r="QGA104" s="769"/>
      <c r="QGB104" s="769"/>
      <c r="QGC104" s="769"/>
      <c r="QGD104" s="769"/>
      <c r="QGE104" s="769"/>
      <c r="QGF104" s="769"/>
      <c r="QGG104" s="769"/>
      <c r="QGH104" s="769"/>
      <c r="QGI104" s="769"/>
      <c r="QGJ104" s="769"/>
      <c r="QGK104" s="769"/>
      <c r="QGL104" s="769"/>
      <c r="QGM104" s="769"/>
      <c r="QGN104" s="769"/>
      <c r="QGO104" s="769"/>
      <c r="QGP104" s="769"/>
      <c r="QGQ104" s="769"/>
      <c r="QGR104" s="769"/>
      <c r="QGS104" s="769"/>
      <c r="QGT104" s="769"/>
      <c r="QGU104" s="769"/>
      <c r="QGV104" s="769"/>
      <c r="QGW104" s="769"/>
      <c r="QGX104" s="769"/>
      <c r="QGY104" s="769"/>
      <c r="QGZ104" s="769"/>
      <c r="QHA104" s="769"/>
      <c r="QHB104" s="769"/>
      <c r="QHC104" s="769"/>
      <c r="QHD104" s="769"/>
      <c r="QHE104" s="769"/>
      <c r="QHF104" s="769"/>
      <c r="QHG104" s="769"/>
      <c r="QHH104" s="769"/>
      <c r="QHI104" s="769"/>
      <c r="QHJ104" s="769"/>
      <c r="QHK104" s="769"/>
      <c r="QHL104" s="769"/>
      <c r="QHM104" s="769"/>
      <c r="QHN104" s="769"/>
      <c r="QHO104" s="769"/>
      <c r="QHP104" s="769"/>
      <c r="QHQ104" s="769"/>
      <c r="QHR104" s="769"/>
      <c r="QHS104" s="769"/>
      <c r="QHT104" s="769"/>
      <c r="QHU104" s="769"/>
      <c r="QHV104" s="769"/>
      <c r="QHW104" s="769"/>
      <c r="QHX104" s="769"/>
      <c r="QHY104" s="769"/>
      <c r="QHZ104" s="769"/>
      <c r="QIA104" s="769"/>
      <c r="QIB104" s="769"/>
      <c r="QIC104" s="769"/>
      <c r="QID104" s="769"/>
      <c r="QIE104" s="769"/>
      <c r="QIF104" s="769"/>
      <c r="QIG104" s="769"/>
      <c r="QIH104" s="769"/>
      <c r="QII104" s="769"/>
      <c r="QIJ104" s="769"/>
      <c r="QIK104" s="769"/>
      <c r="QIL104" s="769"/>
      <c r="QIM104" s="769"/>
      <c r="QIN104" s="769"/>
      <c r="QIO104" s="769"/>
      <c r="QIP104" s="769"/>
      <c r="QIQ104" s="769"/>
      <c r="QIR104" s="769"/>
      <c r="QIS104" s="769"/>
      <c r="QIT104" s="769"/>
      <c r="QIU104" s="769"/>
      <c r="QIV104" s="769"/>
      <c r="QIW104" s="769"/>
      <c r="QIX104" s="769"/>
      <c r="QIY104" s="769"/>
      <c r="QIZ104" s="769"/>
      <c r="QJA104" s="769"/>
      <c r="QJB104" s="769"/>
      <c r="QJC104" s="769"/>
      <c r="QJD104" s="769"/>
      <c r="QJE104" s="769"/>
      <c r="QJF104" s="769"/>
      <c r="QJG104" s="769"/>
      <c r="QJH104" s="769"/>
      <c r="QJI104" s="769"/>
      <c r="QJJ104" s="769"/>
      <c r="QJK104" s="769"/>
      <c r="QJL104" s="769"/>
      <c r="QJM104" s="769"/>
      <c r="QJN104" s="769"/>
      <c r="QJO104" s="769"/>
      <c r="QJP104" s="769"/>
      <c r="QJQ104" s="769"/>
      <c r="QJR104" s="769"/>
      <c r="QJS104" s="769"/>
      <c r="QJT104" s="769"/>
      <c r="QJU104" s="769"/>
      <c r="QJV104" s="769"/>
      <c r="QJW104" s="769"/>
      <c r="QJX104" s="769"/>
      <c r="QJY104" s="769"/>
      <c r="QJZ104" s="769"/>
      <c r="QKA104" s="769"/>
      <c r="QKB104" s="769"/>
      <c r="QKC104" s="769"/>
      <c r="QKD104" s="769"/>
      <c r="QKE104" s="769"/>
      <c r="QKF104" s="769"/>
      <c r="QKG104" s="769"/>
      <c r="QKH104" s="769"/>
      <c r="QKI104" s="769"/>
      <c r="QKJ104" s="769"/>
      <c r="QKK104" s="769"/>
      <c r="QKL104" s="769"/>
      <c r="QKM104" s="769"/>
      <c r="QKN104" s="769"/>
      <c r="QKO104" s="769"/>
      <c r="QKP104" s="769"/>
      <c r="QKQ104" s="769"/>
      <c r="QKR104" s="769"/>
      <c r="QKS104" s="769"/>
      <c r="QKT104" s="769"/>
      <c r="QKU104" s="769"/>
      <c r="QKV104" s="769"/>
      <c r="QKW104" s="769"/>
      <c r="QKX104" s="769"/>
      <c r="QKY104" s="769"/>
      <c r="QKZ104" s="769"/>
      <c r="QLA104" s="769"/>
      <c r="QLB104" s="769"/>
      <c r="QLC104" s="769"/>
      <c r="QLD104" s="769"/>
      <c r="QLE104" s="769"/>
      <c r="QLF104" s="769"/>
      <c r="QLG104" s="769"/>
      <c r="QLH104" s="769"/>
      <c r="QLI104" s="769"/>
      <c r="QLJ104" s="769"/>
      <c r="QLK104" s="769"/>
      <c r="QLL104" s="769"/>
      <c r="QLM104" s="769"/>
      <c r="QLN104" s="769"/>
      <c r="QLO104" s="769"/>
      <c r="QLP104" s="769"/>
      <c r="QLQ104" s="769"/>
      <c r="QLR104" s="769"/>
      <c r="QLS104" s="769"/>
      <c r="QLT104" s="769"/>
      <c r="QLU104" s="769"/>
      <c r="QLV104" s="769"/>
      <c r="QLW104" s="769"/>
      <c r="QLX104" s="769"/>
      <c r="QLY104" s="769"/>
      <c r="QLZ104" s="769"/>
      <c r="QMA104" s="769"/>
      <c r="QMB104" s="769"/>
      <c r="QMC104" s="769"/>
      <c r="QMD104" s="769"/>
      <c r="QME104" s="769"/>
      <c r="QMF104" s="769"/>
      <c r="QMG104" s="769"/>
      <c r="QMH104" s="769"/>
      <c r="QMI104" s="769"/>
      <c r="QMJ104" s="769"/>
      <c r="QMK104" s="769"/>
      <c r="QML104" s="769"/>
      <c r="QMM104" s="769"/>
      <c r="QMN104" s="769"/>
      <c r="QMO104" s="769"/>
      <c r="QMP104" s="769"/>
      <c r="QMQ104" s="769"/>
      <c r="QMR104" s="769"/>
      <c r="QMS104" s="769"/>
      <c r="QMT104" s="769"/>
      <c r="QMU104" s="769"/>
      <c r="QMV104" s="769"/>
      <c r="QMW104" s="769"/>
      <c r="QMX104" s="769"/>
      <c r="QMY104" s="769"/>
      <c r="QMZ104" s="769"/>
      <c r="QNA104" s="769"/>
      <c r="QNB104" s="769"/>
      <c r="QNC104" s="769"/>
      <c r="QND104" s="769"/>
      <c r="QNE104" s="769"/>
      <c r="QNF104" s="769"/>
      <c r="QNG104" s="769"/>
      <c r="QNH104" s="769"/>
      <c r="QNI104" s="769"/>
      <c r="QNJ104" s="769"/>
      <c r="QNK104" s="769"/>
      <c r="QNL104" s="769"/>
      <c r="QNM104" s="769"/>
      <c r="QNN104" s="769"/>
      <c r="QNO104" s="769"/>
      <c r="QNP104" s="769"/>
      <c r="QNQ104" s="769"/>
      <c r="QNR104" s="769"/>
      <c r="QNS104" s="769"/>
      <c r="QNT104" s="769"/>
      <c r="QNU104" s="769"/>
      <c r="QNV104" s="769"/>
      <c r="QNW104" s="769"/>
      <c r="QNX104" s="769"/>
      <c r="QNY104" s="769"/>
      <c r="QNZ104" s="769"/>
      <c r="QOA104" s="769"/>
      <c r="QOB104" s="769"/>
      <c r="QOC104" s="769"/>
      <c r="QOD104" s="769"/>
      <c r="QOE104" s="769"/>
      <c r="QOF104" s="769"/>
      <c r="QOG104" s="769"/>
      <c r="QOH104" s="769"/>
      <c r="QOI104" s="769"/>
      <c r="QOJ104" s="769"/>
      <c r="QOK104" s="769"/>
      <c r="QOL104" s="769"/>
      <c r="QOM104" s="769"/>
      <c r="QON104" s="769"/>
      <c r="QOO104" s="769"/>
      <c r="QOP104" s="769"/>
      <c r="QOQ104" s="769"/>
      <c r="QOR104" s="769"/>
      <c r="QOS104" s="769"/>
      <c r="QOT104" s="769"/>
      <c r="QOU104" s="769"/>
      <c r="QOV104" s="769"/>
      <c r="QOW104" s="769"/>
      <c r="QOX104" s="769"/>
      <c r="QOY104" s="769"/>
      <c r="QOZ104" s="769"/>
      <c r="QPA104" s="769"/>
      <c r="QPB104" s="769"/>
      <c r="QPC104" s="769"/>
      <c r="QPD104" s="769"/>
      <c r="QPE104" s="769"/>
      <c r="QPF104" s="769"/>
      <c r="QPG104" s="769"/>
      <c r="QPH104" s="769"/>
      <c r="QPI104" s="769"/>
      <c r="QPJ104" s="769"/>
      <c r="QPK104" s="769"/>
      <c r="QPL104" s="769"/>
      <c r="QPM104" s="769"/>
      <c r="QPN104" s="769"/>
      <c r="QPO104" s="769"/>
      <c r="QPP104" s="769"/>
      <c r="QPQ104" s="769"/>
      <c r="QPR104" s="769"/>
      <c r="QPS104" s="769"/>
      <c r="QPT104" s="769"/>
      <c r="QPU104" s="769"/>
      <c r="QPV104" s="769"/>
      <c r="QPW104" s="769"/>
      <c r="QPX104" s="769"/>
      <c r="QPY104" s="769"/>
      <c r="QPZ104" s="769"/>
      <c r="QQA104" s="769"/>
      <c r="QQB104" s="769"/>
      <c r="QQC104" s="769"/>
      <c r="QQD104" s="769"/>
      <c r="QQE104" s="769"/>
      <c r="QQF104" s="769"/>
      <c r="QQG104" s="769"/>
      <c r="QQH104" s="769"/>
      <c r="QQI104" s="769"/>
      <c r="QQJ104" s="769"/>
      <c r="QQK104" s="769"/>
      <c r="QQL104" s="769"/>
      <c r="QQM104" s="769"/>
      <c r="QQN104" s="769"/>
      <c r="QQO104" s="769"/>
      <c r="QQP104" s="769"/>
      <c r="QQQ104" s="769"/>
      <c r="QQR104" s="769"/>
      <c r="QQS104" s="769"/>
      <c r="QQT104" s="769"/>
      <c r="QQU104" s="769"/>
      <c r="QQV104" s="769"/>
      <c r="QQW104" s="769"/>
      <c r="QQX104" s="769"/>
      <c r="QQY104" s="769"/>
      <c r="QQZ104" s="769"/>
      <c r="QRA104" s="769"/>
      <c r="QRB104" s="769"/>
      <c r="QRC104" s="769"/>
      <c r="QRD104" s="769"/>
      <c r="QRE104" s="769"/>
      <c r="QRF104" s="769"/>
      <c r="QRG104" s="769"/>
      <c r="QRH104" s="769"/>
      <c r="QRI104" s="769"/>
      <c r="QRJ104" s="769"/>
      <c r="QRK104" s="769"/>
      <c r="QRL104" s="769"/>
      <c r="QRM104" s="769"/>
      <c r="QRN104" s="769"/>
      <c r="QRO104" s="769"/>
      <c r="QRP104" s="769"/>
      <c r="QRQ104" s="769"/>
      <c r="QRR104" s="769"/>
      <c r="QRS104" s="769"/>
      <c r="QRT104" s="769"/>
      <c r="QRU104" s="769"/>
      <c r="QRV104" s="769"/>
      <c r="QRW104" s="769"/>
      <c r="QRX104" s="769"/>
      <c r="QRY104" s="769"/>
      <c r="QRZ104" s="769"/>
      <c r="QSA104" s="769"/>
      <c r="QSB104" s="769"/>
      <c r="QSC104" s="769"/>
      <c r="QSD104" s="769"/>
      <c r="QSE104" s="769"/>
      <c r="QSF104" s="769"/>
      <c r="QSG104" s="769"/>
      <c r="QSH104" s="769"/>
      <c r="QSI104" s="769"/>
      <c r="QSJ104" s="769"/>
      <c r="QSK104" s="769"/>
      <c r="QSL104" s="769"/>
      <c r="QSM104" s="769"/>
      <c r="QSN104" s="769"/>
      <c r="QSO104" s="769"/>
      <c r="QSP104" s="769"/>
      <c r="QSQ104" s="769"/>
      <c r="QSR104" s="769"/>
      <c r="QSS104" s="769"/>
      <c r="QST104" s="769"/>
      <c r="QSU104" s="769"/>
      <c r="QSV104" s="769"/>
      <c r="QSW104" s="769"/>
      <c r="QSX104" s="769"/>
      <c r="QSY104" s="769"/>
      <c r="QSZ104" s="769"/>
      <c r="QTA104" s="769"/>
      <c r="QTB104" s="769"/>
      <c r="QTC104" s="769"/>
      <c r="QTD104" s="769"/>
      <c r="QTE104" s="769"/>
      <c r="QTF104" s="769"/>
      <c r="QTG104" s="769"/>
      <c r="QTH104" s="769"/>
      <c r="QTI104" s="769"/>
      <c r="QTJ104" s="769"/>
      <c r="QTK104" s="769"/>
      <c r="QTL104" s="769"/>
      <c r="QTM104" s="769"/>
      <c r="QTN104" s="769"/>
      <c r="QTO104" s="769"/>
      <c r="QTP104" s="769"/>
      <c r="QTQ104" s="769"/>
      <c r="QTR104" s="769"/>
      <c r="QTS104" s="769"/>
      <c r="QTT104" s="769"/>
      <c r="QTU104" s="769"/>
      <c r="QTV104" s="769"/>
      <c r="QTW104" s="769"/>
      <c r="QTX104" s="769"/>
      <c r="QTY104" s="769"/>
      <c r="QTZ104" s="769"/>
      <c r="QUA104" s="769"/>
      <c r="QUB104" s="769"/>
      <c r="QUC104" s="769"/>
      <c r="QUD104" s="769"/>
      <c r="QUE104" s="769"/>
      <c r="QUF104" s="769"/>
      <c r="QUG104" s="769"/>
      <c r="QUH104" s="769"/>
      <c r="QUI104" s="769"/>
      <c r="QUJ104" s="769"/>
      <c r="QUK104" s="769"/>
      <c r="QUL104" s="769"/>
      <c r="QUM104" s="769"/>
      <c r="QUN104" s="769"/>
      <c r="QUO104" s="769"/>
      <c r="QUP104" s="769"/>
      <c r="QUQ104" s="769"/>
      <c r="QUR104" s="769"/>
      <c r="QUS104" s="769"/>
      <c r="QUT104" s="769"/>
      <c r="QUU104" s="769"/>
      <c r="QUV104" s="769"/>
      <c r="QUW104" s="769"/>
      <c r="QUX104" s="769"/>
      <c r="QUY104" s="769"/>
      <c r="QUZ104" s="769"/>
      <c r="QVA104" s="769"/>
      <c r="QVB104" s="769"/>
      <c r="QVC104" s="769"/>
      <c r="QVD104" s="769"/>
      <c r="QVE104" s="769"/>
      <c r="QVF104" s="769"/>
      <c r="QVG104" s="769"/>
      <c r="QVH104" s="769"/>
      <c r="QVI104" s="769"/>
      <c r="QVJ104" s="769"/>
      <c r="QVK104" s="769"/>
      <c r="QVL104" s="769"/>
      <c r="QVM104" s="769"/>
      <c r="QVN104" s="769"/>
      <c r="QVO104" s="769"/>
      <c r="QVP104" s="769"/>
      <c r="QVQ104" s="769"/>
      <c r="QVR104" s="769"/>
      <c r="QVS104" s="769"/>
      <c r="QVT104" s="769"/>
      <c r="QVU104" s="769"/>
      <c r="QVV104" s="769"/>
      <c r="QVW104" s="769"/>
      <c r="QVX104" s="769"/>
      <c r="QVY104" s="769"/>
      <c r="QVZ104" s="769"/>
      <c r="QWA104" s="769"/>
      <c r="QWB104" s="769"/>
      <c r="QWC104" s="769"/>
      <c r="QWD104" s="769"/>
      <c r="QWE104" s="769"/>
      <c r="QWF104" s="769"/>
      <c r="QWG104" s="769"/>
      <c r="QWH104" s="769"/>
      <c r="QWI104" s="769"/>
      <c r="QWJ104" s="769"/>
      <c r="QWK104" s="769"/>
      <c r="QWL104" s="769"/>
      <c r="QWM104" s="769"/>
      <c r="QWN104" s="769"/>
      <c r="QWO104" s="769"/>
      <c r="QWP104" s="769"/>
      <c r="QWQ104" s="769"/>
      <c r="QWR104" s="769"/>
      <c r="QWS104" s="769"/>
      <c r="QWT104" s="769"/>
      <c r="QWU104" s="769"/>
      <c r="QWV104" s="769"/>
      <c r="QWW104" s="769"/>
      <c r="QWX104" s="769"/>
      <c r="QWY104" s="769"/>
      <c r="QWZ104" s="769"/>
      <c r="QXA104" s="769"/>
      <c r="QXB104" s="769"/>
      <c r="QXC104" s="769"/>
      <c r="QXD104" s="769"/>
      <c r="QXE104" s="769"/>
      <c r="QXF104" s="769"/>
      <c r="QXG104" s="769"/>
      <c r="QXH104" s="769"/>
      <c r="QXI104" s="769"/>
      <c r="QXJ104" s="769"/>
      <c r="QXK104" s="769"/>
      <c r="QXL104" s="769"/>
      <c r="QXM104" s="769"/>
      <c r="QXN104" s="769"/>
      <c r="QXO104" s="769"/>
      <c r="QXP104" s="769"/>
      <c r="QXQ104" s="769"/>
      <c r="QXR104" s="769"/>
      <c r="QXS104" s="769"/>
      <c r="QXT104" s="769"/>
      <c r="QXU104" s="769"/>
      <c r="QXV104" s="769"/>
      <c r="QXW104" s="769"/>
      <c r="QXX104" s="769"/>
      <c r="QXY104" s="769"/>
      <c r="QXZ104" s="769"/>
      <c r="QYA104" s="769"/>
      <c r="QYB104" s="769"/>
      <c r="QYC104" s="769"/>
      <c r="QYD104" s="769"/>
      <c r="QYE104" s="769"/>
      <c r="QYF104" s="769"/>
      <c r="QYG104" s="769"/>
      <c r="QYH104" s="769"/>
      <c r="QYI104" s="769"/>
      <c r="QYJ104" s="769"/>
      <c r="QYK104" s="769"/>
      <c r="QYL104" s="769"/>
      <c r="QYM104" s="769"/>
      <c r="QYN104" s="769"/>
      <c r="QYO104" s="769"/>
      <c r="QYP104" s="769"/>
      <c r="QYQ104" s="769"/>
      <c r="QYR104" s="769"/>
      <c r="QYS104" s="769"/>
      <c r="QYT104" s="769"/>
      <c r="QYU104" s="769"/>
      <c r="QYV104" s="769"/>
      <c r="QYW104" s="769"/>
      <c r="QYX104" s="769"/>
      <c r="QYY104" s="769"/>
      <c r="QYZ104" s="769"/>
      <c r="QZA104" s="769"/>
      <c r="QZB104" s="769"/>
      <c r="QZC104" s="769"/>
      <c r="QZD104" s="769"/>
      <c r="QZE104" s="769"/>
      <c r="QZF104" s="769"/>
      <c r="QZG104" s="769"/>
      <c r="QZH104" s="769"/>
      <c r="QZI104" s="769"/>
      <c r="QZJ104" s="769"/>
      <c r="QZK104" s="769"/>
      <c r="QZL104" s="769"/>
      <c r="QZM104" s="769"/>
      <c r="QZN104" s="769"/>
      <c r="QZO104" s="769"/>
      <c r="QZP104" s="769"/>
      <c r="QZQ104" s="769"/>
      <c r="QZR104" s="769"/>
      <c r="QZS104" s="769"/>
      <c r="QZT104" s="769"/>
      <c r="QZU104" s="769"/>
      <c r="QZV104" s="769"/>
      <c r="QZW104" s="769"/>
      <c r="QZX104" s="769"/>
      <c r="QZY104" s="769"/>
      <c r="QZZ104" s="769"/>
      <c r="RAA104" s="769"/>
      <c r="RAB104" s="769"/>
      <c r="RAC104" s="769"/>
      <c r="RAD104" s="769"/>
      <c r="RAE104" s="769"/>
      <c r="RAF104" s="769"/>
      <c r="RAG104" s="769"/>
      <c r="RAH104" s="769"/>
      <c r="RAI104" s="769"/>
      <c r="RAJ104" s="769"/>
      <c r="RAK104" s="769"/>
      <c r="RAL104" s="769"/>
      <c r="RAM104" s="769"/>
      <c r="RAN104" s="769"/>
      <c r="RAO104" s="769"/>
      <c r="RAP104" s="769"/>
      <c r="RAQ104" s="769"/>
      <c r="RAR104" s="769"/>
      <c r="RAS104" s="769"/>
      <c r="RAT104" s="769"/>
      <c r="RAU104" s="769"/>
      <c r="RAV104" s="769"/>
      <c r="RAW104" s="769"/>
      <c r="RAX104" s="769"/>
      <c r="RAY104" s="769"/>
      <c r="RAZ104" s="769"/>
      <c r="RBA104" s="769"/>
      <c r="RBB104" s="769"/>
      <c r="RBC104" s="769"/>
      <c r="RBD104" s="769"/>
      <c r="RBE104" s="769"/>
      <c r="RBF104" s="769"/>
      <c r="RBG104" s="769"/>
      <c r="RBH104" s="769"/>
      <c r="RBI104" s="769"/>
      <c r="RBJ104" s="769"/>
      <c r="RBK104" s="769"/>
      <c r="RBL104" s="769"/>
      <c r="RBM104" s="769"/>
      <c r="RBN104" s="769"/>
      <c r="RBO104" s="769"/>
      <c r="RBP104" s="769"/>
      <c r="RBQ104" s="769"/>
      <c r="RBR104" s="769"/>
      <c r="RBS104" s="769"/>
      <c r="RBT104" s="769"/>
      <c r="RBU104" s="769"/>
      <c r="RBV104" s="769"/>
      <c r="RBW104" s="769"/>
      <c r="RBX104" s="769"/>
      <c r="RBY104" s="769"/>
      <c r="RBZ104" s="769"/>
      <c r="RCA104" s="769"/>
      <c r="RCB104" s="769"/>
      <c r="RCC104" s="769"/>
      <c r="RCD104" s="769"/>
      <c r="RCE104" s="769"/>
      <c r="RCF104" s="769"/>
      <c r="RCG104" s="769"/>
      <c r="RCH104" s="769"/>
      <c r="RCI104" s="769"/>
      <c r="RCJ104" s="769"/>
      <c r="RCK104" s="769"/>
      <c r="RCL104" s="769"/>
      <c r="RCM104" s="769"/>
      <c r="RCN104" s="769"/>
      <c r="RCO104" s="769"/>
      <c r="RCP104" s="769"/>
      <c r="RCQ104" s="769"/>
      <c r="RCR104" s="769"/>
      <c r="RCS104" s="769"/>
      <c r="RCT104" s="769"/>
      <c r="RCU104" s="769"/>
      <c r="RCV104" s="769"/>
      <c r="RCW104" s="769"/>
      <c r="RCX104" s="769"/>
      <c r="RCY104" s="769"/>
      <c r="RCZ104" s="769"/>
      <c r="RDA104" s="769"/>
      <c r="RDB104" s="769"/>
      <c r="RDC104" s="769"/>
      <c r="RDD104" s="769"/>
      <c r="RDE104" s="769"/>
      <c r="RDF104" s="769"/>
      <c r="RDG104" s="769"/>
      <c r="RDH104" s="769"/>
      <c r="RDI104" s="769"/>
      <c r="RDJ104" s="769"/>
      <c r="RDK104" s="769"/>
      <c r="RDL104" s="769"/>
      <c r="RDM104" s="769"/>
      <c r="RDN104" s="769"/>
      <c r="RDO104" s="769"/>
      <c r="RDP104" s="769"/>
      <c r="RDQ104" s="769"/>
      <c r="RDR104" s="769"/>
      <c r="RDS104" s="769"/>
      <c r="RDT104" s="769"/>
      <c r="RDU104" s="769"/>
      <c r="RDV104" s="769"/>
      <c r="RDW104" s="769"/>
      <c r="RDX104" s="769"/>
      <c r="RDY104" s="769"/>
      <c r="RDZ104" s="769"/>
      <c r="REA104" s="769"/>
      <c r="REB104" s="769"/>
      <c r="REC104" s="769"/>
      <c r="RED104" s="769"/>
      <c r="REE104" s="769"/>
      <c r="REF104" s="769"/>
      <c r="REG104" s="769"/>
      <c r="REH104" s="769"/>
      <c r="REI104" s="769"/>
      <c r="REJ104" s="769"/>
      <c r="REK104" s="769"/>
      <c r="REL104" s="769"/>
      <c r="REM104" s="769"/>
      <c r="REN104" s="769"/>
      <c r="REO104" s="769"/>
      <c r="REP104" s="769"/>
      <c r="REQ104" s="769"/>
      <c r="RER104" s="769"/>
      <c r="RES104" s="769"/>
      <c r="RET104" s="769"/>
      <c r="REU104" s="769"/>
      <c r="REV104" s="769"/>
      <c r="REW104" s="769"/>
      <c r="REX104" s="769"/>
      <c r="REY104" s="769"/>
      <c r="REZ104" s="769"/>
      <c r="RFA104" s="769"/>
      <c r="RFB104" s="769"/>
      <c r="RFC104" s="769"/>
      <c r="RFD104" s="769"/>
      <c r="RFE104" s="769"/>
      <c r="RFF104" s="769"/>
      <c r="RFG104" s="769"/>
      <c r="RFH104" s="769"/>
      <c r="RFI104" s="769"/>
      <c r="RFJ104" s="769"/>
      <c r="RFK104" s="769"/>
      <c r="RFL104" s="769"/>
      <c r="RFM104" s="769"/>
      <c r="RFN104" s="769"/>
      <c r="RFO104" s="769"/>
      <c r="RFP104" s="769"/>
      <c r="RFQ104" s="769"/>
      <c r="RFR104" s="769"/>
      <c r="RFS104" s="769"/>
      <c r="RFT104" s="769"/>
      <c r="RFU104" s="769"/>
      <c r="RFV104" s="769"/>
      <c r="RFW104" s="769"/>
      <c r="RFX104" s="769"/>
      <c r="RFY104" s="769"/>
      <c r="RFZ104" s="769"/>
      <c r="RGA104" s="769"/>
      <c r="RGB104" s="769"/>
      <c r="RGC104" s="769"/>
      <c r="RGD104" s="769"/>
      <c r="RGE104" s="769"/>
      <c r="RGF104" s="769"/>
      <c r="RGG104" s="769"/>
      <c r="RGH104" s="769"/>
      <c r="RGI104" s="769"/>
      <c r="RGJ104" s="769"/>
      <c r="RGK104" s="769"/>
      <c r="RGL104" s="769"/>
      <c r="RGM104" s="769"/>
      <c r="RGN104" s="769"/>
      <c r="RGO104" s="769"/>
      <c r="RGP104" s="769"/>
      <c r="RGQ104" s="769"/>
      <c r="RGR104" s="769"/>
      <c r="RGS104" s="769"/>
      <c r="RGT104" s="769"/>
      <c r="RGU104" s="769"/>
      <c r="RGV104" s="769"/>
      <c r="RGW104" s="769"/>
      <c r="RGX104" s="769"/>
      <c r="RGY104" s="769"/>
      <c r="RGZ104" s="769"/>
      <c r="RHA104" s="769"/>
      <c r="RHB104" s="769"/>
      <c r="RHC104" s="769"/>
      <c r="RHD104" s="769"/>
      <c r="RHE104" s="769"/>
      <c r="RHF104" s="769"/>
      <c r="RHG104" s="769"/>
      <c r="RHH104" s="769"/>
      <c r="RHI104" s="769"/>
      <c r="RHJ104" s="769"/>
      <c r="RHK104" s="769"/>
      <c r="RHL104" s="769"/>
      <c r="RHM104" s="769"/>
      <c r="RHN104" s="769"/>
      <c r="RHO104" s="769"/>
      <c r="RHP104" s="769"/>
      <c r="RHQ104" s="769"/>
      <c r="RHR104" s="769"/>
      <c r="RHS104" s="769"/>
      <c r="RHT104" s="769"/>
      <c r="RHU104" s="769"/>
      <c r="RHV104" s="769"/>
      <c r="RHW104" s="769"/>
      <c r="RHX104" s="769"/>
      <c r="RHY104" s="769"/>
      <c r="RHZ104" s="769"/>
      <c r="RIA104" s="769"/>
      <c r="RIB104" s="769"/>
      <c r="RIC104" s="769"/>
      <c r="RID104" s="769"/>
      <c r="RIE104" s="769"/>
      <c r="RIF104" s="769"/>
      <c r="RIG104" s="769"/>
      <c r="RIH104" s="769"/>
      <c r="RII104" s="769"/>
      <c r="RIJ104" s="769"/>
      <c r="RIK104" s="769"/>
      <c r="RIL104" s="769"/>
      <c r="RIM104" s="769"/>
      <c r="RIN104" s="769"/>
      <c r="RIO104" s="769"/>
      <c r="RIP104" s="769"/>
      <c r="RIQ104" s="769"/>
      <c r="RIR104" s="769"/>
      <c r="RIS104" s="769"/>
      <c r="RIT104" s="769"/>
      <c r="RIU104" s="769"/>
      <c r="RIV104" s="769"/>
      <c r="RIW104" s="769"/>
      <c r="RIX104" s="769"/>
      <c r="RIY104" s="769"/>
      <c r="RIZ104" s="769"/>
      <c r="RJA104" s="769"/>
      <c r="RJB104" s="769"/>
      <c r="RJC104" s="769"/>
      <c r="RJD104" s="769"/>
      <c r="RJE104" s="769"/>
      <c r="RJF104" s="769"/>
      <c r="RJG104" s="769"/>
      <c r="RJH104" s="769"/>
      <c r="RJI104" s="769"/>
      <c r="RJJ104" s="769"/>
      <c r="RJK104" s="769"/>
      <c r="RJL104" s="769"/>
      <c r="RJM104" s="769"/>
      <c r="RJN104" s="769"/>
      <c r="RJO104" s="769"/>
      <c r="RJP104" s="769"/>
      <c r="RJQ104" s="769"/>
      <c r="RJR104" s="769"/>
      <c r="RJS104" s="769"/>
      <c r="RJT104" s="769"/>
      <c r="RJU104" s="769"/>
      <c r="RJV104" s="769"/>
      <c r="RJW104" s="769"/>
      <c r="RJX104" s="769"/>
      <c r="RJY104" s="769"/>
      <c r="RJZ104" s="769"/>
      <c r="RKA104" s="769"/>
      <c r="RKB104" s="769"/>
      <c r="RKC104" s="769"/>
      <c r="RKD104" s="769"/>
      <c r="RKE104" s="769"/>
      <c r="RKF104" s="769"/>
      <c r="RKG104" s="769"/>
      <c r="RKH104" s="769"/>
      <c r="RKI104" s="769"/>
      <c r="RKJ104" s="769"/>
      <c r="RKK104" s="769"/>
      <c r="RKL104" s="769"/>
      <c r="RKM104" s="769"/>
      <c r="RKN104" s="769"/>
      <c r="RKO104" s="769"/>
      <c r="RKP104" s="769"/>
      <c r="RKQ104" s="769"/>
      <c r="RKR104" s="769"/>
      <c r="RKS104" s="769"/>
      <c r="RKT104" s="769"/>
      <c r="RKU104" s="769"/>
      <c r="RKV104" s="769"/>
      <c r="RKW104" s="769"/>
      <c r="RKX104" s="769"/>
      <c r="RKY104" s="769"/>
      <c r="RKZ104" s="769"/>
      <c r="RLA104" s="769"/>
      <c r="RLB104" s="769"/>
      <c r="RLC104" s="769"/>
      <c r="RLD104" s="769"/>
      <c r="RLE104" s="769"/>
      <c r="RLF104" s="769"/>
      <c r="RLG104" s="769"/>
      <c r="RLH104" s="769"/>
      <c r="RLI104" s="769"/>
      <c r="RLJ104" s="769"/>
      <c r="RLK104" s="769"/>
      <c r="RLL104" s="769"/>
      <c r="RLM104" s="769"/>
      <c r="RLN104" s="769"/>
      <c r="RLO104" s="769"/>
      <c r="RLP104" s="769"/>
      <c r="RLQ104" s="769"/>
      <c r="RLR104" s="769"/>
      <c r="RLS104" s="769"/>
      <c r="RLT104" s="769"/>
      <c r="RLU104" s="769"/>
      <c r="RLV104" s="769"/>
      <c r="RLW104" s="769"/>
      <c r="RLX104" s="769"/>
      <c r="RLY104" s="769"/>
      <c r="RLZ104" s="769"/>
      <c r="RMA104" s="769"/>
      <c r="RMB104" s="769"/>
      <c r="RMC104" s="769"/>
      <c r="RMD104" s="769"/>
      <c r="RME104" s="769"/>
      <c r="RMF104" s="769"/>
      <c r="RMG104" s="769"/>
      <c r="RMH104" s="769"/>
      <c r="RMI104" s="769"/>
      <c r="RMJ104" s="769"/>
      <c r="RMK104" s="769"/>
      <c r="RML104" s="769"/>
      <c r="RMM104" s="769"/>
      <c r="RMN104" s="769"/>
      <c r="RMO104" s="769"/>
      <c r="RMP104" s="769"/>
      <c r="RMQ104" s="769"/>
      <c r="RMR104" s="769"/>
      <c r="RMS104" s="769"/>
      <c r="RMT104" s="769"/>
      <c r="RMU104" s="769"/>
      <c r="RMV104" s="769"/>
      <c r="RMW104" s="769"/>
      <c r="RMX104" s="769"/>
      <c r="RMY104" s="769"/>
      <c r="RMZ104" s="769"/>
      <c r="RNA104" s="769"/>
      <c r="RNB104" s="769"/>
      <c r="RNC104" s="769"/>
      <c r="RND104" s="769"/>
      <c r="RNE104" s="769"/>
      <c r="RNF104" s="769"/>
      <c r="RNG104" s="769"/>
      <c r="RNH104" s="769"/>
      <c r="RNI104" s="769"/>
      <c r="RNJ104" s="769"/>
      <c r="RNK104" s="769"/>
      <c r="RNL104" s="769"/>
      <c r="RNM104" s="769"/>
      <c r="RNN104" s="769"/>
      <c r="RNO104" s="769"/>
      <c r="RNP104" s="769"/>
      <c r="RNQ104" s="769"/>
      <c r="RNR104" s="769"/>
      <c r="RNS104" s="769"/>
      <c r="RNT104" s="769"/>
      <c r="RNU104" s="769"/>
      <c r="RNV104" s="769"/>
      <c r="RNW104" s="769"/>
      <c r="RNX104" s="769"/>
      <c r="RNY104" s="769"/>
      <c r="RNZ104" s="769"/>
      <c r="ROA104" s="769"/>
      <c r="ROB104" s="769"/>
      <c r="ROC104" s="769"/>
      <c r="ROD104" s="769"/>
      <c r="ROE104" s="769"/>
      <c r="ROF104" s="769"/>
      <c r="ROG104" s="769"/>
      <c r="ROH104" s="769"/>
      <c r="ROI104" s="769"/>
      <c r="ROJ104" s="769"/>
      <c r="ROK104" s="769"/>
      <c r="ROL104" s="769"/>
      <c r="ROM104" s="769"/>
      <c r="RON104" s="769"/>
      <c r="ROO104" s="769"/>
      <c r="ROP104" s="769"/>
      <c r="ROQ104" s="769"/>
      <c r="ROR104" s="769"/>
      <c r="ROS104" s="769"/>
      <c r="ROT104" s="769"/>
      <c r="ROU104" s="769"/>
      <c r="ROV104" s="769"/>
      <c r="ROW104" s="769"/>
      <c r="ROX104" s="769"/>
      <c r="ROY104" s="769"/>
      <c r="ROZ104" s="769"/>
      <c r="RPA104" s="769"/>
      <c r="RPB104" s="769"/>
      <c r="RPC104" s="769"/>
      <c r="RPD104" s="769"/>
      <c r="RPE104" s="769"/>
      <c r="RPF104" s="769"/>
      <c r="RPG104" s="769"/>
      <c r="RPH104" s="769"/>
      <c r="RPI104" s="769"/>
      <c r="RPJ104" s="769"/>
      <c r="RPK104" s="769"/>
      <c r="RPL104" s="769"/>
      <c r="RPM104" s="769"/>
      <c r="RPN104" s="769"/>
      <c r="RPO104" s="769"/>
      <c r="RPP104" s="769"/>
      <c r="RPQ104" s="769"/>
      <c r="RPR104" s="769"/>
      <c r="RPS104" s="769"/>
      <c r="RPT104" s="769"/>
      <c r="RPU104" s="769"/>
      <c r="RPV104" s="769"/>
      <c r="RPW104" s="769"/>
      <c r="RPX104" s="769"/>
      <c r="RPY104" s="769"/>
      <c r="RPZ104" s="769"/>
      <c r="RQA104" s="769"/>
      <c r="RQB104" s="769"/>
      <c r="RQC104" s="769"/>
      <c r="RQD104" s="769"/>
      <c r="RQE104" s="769"/>
      <c r="RQF104" s="769"/>
      <c r="RQG104" s="769"/>
      <c r="RQH104" s="769"/>
      <c r="RQI104" s="769"/>
      <c r="RQJ104" s="769"/>
      <c r="RQK104" s="769"/>
      <c r="RQL104" s="769"/>
      <c r="RQM104" s="769"/>
      <c r="RQN104" s="769"/>
      <c r="RQO104" s="769"/>
      <c r="RQP104" s="769"/>
      <c r="RQQ104" s="769"/>
      <c r="RQR104" s="769"/>
      <c r="RQS104" s="769"/>
      <c r="RQT104" s="769"/>
      <c r="RQU104" s="769"/>
      <c r="RQV104" s="769"/>
      <c r="RQW104" s="769"/>
      <c r="RQX104" s="769"/>
      <c r="RQY104" s="769"/>
      <c r="RQZ104" s="769"/>
      <c r="RRA104" s="769"/>
      <c r="RRB104" s="769"/>
      <c r="RRC104" s="769"/>
      <c r="RRD104" s="769"/>
      <c r="RRE104" s="769"/>
      <c r="RRF104" s="769"/>
      <c r="RRG104" s="769"/>
      <c r="RRH104" s="769"/>
      <c r="RRI104" s="769"/>
      <c r="RRJ104" s="769"/>
      <c r="RRK104" s="769"/>
      <c r="RRL104" s="769"/>
      <c r="RRM104" s="769"/>
      <c r="RRN104" s="769"/>
      <c r="RRO104" s="769"/>
      <c r="RRP104" s="769"/>
      <c r="RRQ104" s="769"/>
      <c r="RRR104" s="769"/>
      <c r="RRS104" s="769"/>
      <c r="RRT104" s="769"/>
      <c r="RRU104" s="769"/>
      <c r="RRV104" s="769"/>
      <c r="RRW104" s="769"/>
      <c r="RRX104" s="769"/>
      <c r="RRY104" s="769"/>
      <c r="RRZ104" s="769"/>
      <c r="RSA104" s="769"/>
      <c r="RSB104" s="769"/>
      <c r="RSC104" s="769"/>
      <c r="RSD104" s="769"/>
      <c r="RSE104" s="769"/>
      <c r="RSF104" s="769"/>
      <c r="RSG104" s="769"/>
      <c r="RSH104" s="769"/>
      <c r="RSI104" s="769"/>
      <c r="RSJ104" s="769"/>
      <c r="RSK104" s="769"/>
      <c r="RSL104" s="769"/>
      <c r="RSM104" s="769"/>
      <c r="RSN104" s="769"/>
      <c r="RSO104" s="769"/>
      <c r="RSP104" s="769"/>
      <c r="RSQ104" s="769"/>
      <c r="RSR104" s="769"/>
      <c r="RSS104" s="769"/>
      <c r="RST104" s="769"/>
      <c r="RSU104" s="769"/>
      <c r="RSV104" s="769"/>
      <c r="RSW104" s="769"/>
      <c r="RSX104" s="769"/>
      <c r="RSY104" s="769"/>
      <c r="RSZ104" s="769"/>
      <c r="RTA104" s="769"/>
      <c r="RTB104" s="769"/>
      <c r="RTC104" s="769"/>
      <c r="RTD104" s="769"/>
      <c r="RTE104" s="769"/>
      <c r="RTF104" s="769"/>
      <c r="RTG104" s="769"/>
      <c r="RTH104" s="769"/>
      <c r="RTI104" s="769"/>
      <c r="RTJ104" s="769"/>
      <c r="RTK104" s="769"/>
      <c r="RTL104" s="769"/>
      <c r="RTM104" s="769"/>
      <c r="RTN104" s="769"/>
      <c r="RTO104" s="769"/>
      <c r="RTP104" s="769"/>
      <c r="RTQ104" s="769"/>
      <c r="RTR104" s="769"/>
      <c r="RTS104" s="769"/>
      <c r="RTT104" s="769"/>
      <c r="RTU104" s="769"/>
      <c r="RTV104" s="769"/>
      <c r="RTW104" s="769"/>
      <c r="RTX104" s="769"/>
      <c r="RTY104" s="769"/>
      <c r="RTZ104" s="769"/>
      <c r="RUA104" s="769"/>
      <c r="RUB104" s="769"/>
      <c r="RUC104" s="769"/>
      <c r="RUD104" s="769"/>
      <c r="RUE104" s="769"/>
      <c r="RUF104" s="769"/>
      <c r="RUG104" s="769"/>
      <c r="RUH104" s="769"/>
      <c r="RUI104" s="769"/>
      <c r="RUJ104" s="769"/>
      <c r="RUK104" s="769"/>
      <c r="RUL104" s="769"/>
      <c r="RUM104" s="769"/>
      <c r="RUN104" s="769"/>
      <c r="RUO104" s="769"/>
      <c r="RUP104" s="769"/>
      <c r="RUQ104" s="769"/>
      <c r="RUR104" s="769"/>
      <c r="RUS104" s="769"/>
      <c r="RUT104" s="769"/>
      <c r="RUU104" s="769"/>
      <c r="RUV104" s="769"/>
      <c r="RUW104" s="769"/>
      <c r="RUX104" s="769"/>
      <c r="RUY104" s="769"/>
      <c r="RUZ104" s="769"/>
      <c r="RVA104" s="769"/>
      <c r="RVB104" s="769"/>
      <c r="RVC104" s="769"/>
      <c r="RVD104" s="769"/>
      <c r="RVE104" s="769"/>
      <c r="RVF104" s="769"/>
      <c r="RVG104" s="769"/>
      <c r="RVH104" s="769"/>
      <c r="RVI104" s="769"/>
      <c r="RVJ104" s="769"/>
      <c r="RVK104" s="769"/>
      <c r="RVL104" s="769"/>
      <c r="RVM104" s="769"/>
      <c r="RVN104" s="769"/>
      <c r="RVO104" s="769"/>
      <c r="RVP104" s="769"/>
      <c r="RVQ104" s="769"/>
      <c r="RVR104" s="769"/>
      <c r="RVS104" s="769"/>
      <c r="RVT104" s="769"/>
      <c r="RVU104" s="769"/>
      <c r="RVV104" s="769"/>
      <c r="RVW104" s="769"/>
      <c r="RVX104" s="769"/>
      <c r="RVY104" s="769"/>
      <c r="RVZ104" s="769"/>
      <c r="RWA104" s="769"/>
      <c r="RWB104" s="769"/>
      <c r="RWC104" s="769"/>
      <c r="RWD104" s="769"/>
      <c r="RWE104" s="769"/>
      <c r="RWF104" s="769"/>
      <c r="RWG104" s="769"/>
      <c r="RWH104" s="769"/>
      <c r="RWI104" s="769"/>
      <c r="RWJ104" s="769"/>
      <c r="RWK104" s="769"/>
      <c r="RWL104" s="769"/>
      <c r="RWM104" s="769"/>
      <c r="RWN104" s="769"/>
      <c r="RWO104" s="769"/>
      <c r="RWP104" s="769"/>
      <c r="RWQ104" s="769"/>
      <c r="RWR104" s="769"/>
      <c r="RWS104" s="769"/>
      <c r="RWT104" s="769"/>
      <c r="RWU104" s="769"/>
      <c r="RWV104" s="769"/>
      <c r="RWW104" s="769"/>
      <c r="RWX104" s="769"/>
      <c r="RWY104" s="769"/>
      <c r="RWZ104" s="769"/>
      <c r="RXA104" s="769"/>
      <c r="RXB104" s="769"/>
      <c r="RXC104" s="769"/>
      <c r="RXD104" s="769"/>
      <c r="RXE104" s="769"/>
      <c r="RXF104" s="769"/>
      <c r="RXG104" s="769"/>
      <c r="RXH104" s="769"/>
      <c r="RXI104" s="769"/>
      <c r="RXJ104" s="769"/>
      <c r="RXK104" s="769"/>
      <c r="RXL104" s="769"/>
      <c r="RXM104" s="769"/>
      <c r="RXN104" s="769"/>
      <c r="RXO104" s="769"/>
      <c r="RXP104" s="769"/>
      <c r="RXQ104" s="769"/>
      <c r="RXR104" s="769"/>
      <c r="RXS104" s="769"/>
      <c r="RXT104" s="769"/>
      <c r="RXU104" s="769"/>
      <c r="RXV104" s="769"/>
      <c r="RXW104" s="769"/>
      <c r="RXX104" s="769"/>
      <c r="RXY104" s="769"/>
      <c r="RXZ104" s="769"/>
      <c r="RYA104" s="769"/>
      <c r="RYB104" s="769"/>
      <c r="RYC104" s="769"/>
      <c r="RYD104" s="769"/>
      <c r="RYE104" s="769"/>
      <c r="RYF104" s="769"/>
      <c r="RYG104" s="769"/>
      <c r="RYH104" s="769"/>
      <c r="RYI104" s="769"/>
      <c r="RYJ104" s="769"/>
      <c r="RYK104" s="769"/>
      <c r="RYL104" s="769"/>
      <c r="RYM104" s="769"/>
      <c r="RYN104" s="769"/>
      <c r="RYO104" s="769"/>
      <c r="RYP104" s="769"/>
      <c r="RYQ104" s="769"/>
      <c r="RYR104" s="769"/>
      <c r="RYS104" s="769"/>
      <c r="RYT104" s="769"/>
      <c r="RYU104" s="769"/>
      <c r="RYV104" s="769"/>
      <c r="RYW104" s="769"/>
      <c r="RYX104" s="769"/>
      <c r="RYY104" s="769"/>
      <c r="RYZ104" s="769"/>
      <c r="RZA104" s="769"/>
      <c r="RZB104" s="769"/>
      <c r="RZC104" s="769"/>
      <c r="RZD104" s="769"/>
      <c r="RZE104" s="769"/>
      <c r="RZF104" s="769"/>
      <c r="RZG104" s="769"/>
      <c r="RZH104" s="769"/>
      <c r="RZI104" s="769"/>
      <c r="RZJ104" s="769"/>
      <c r="RZK104" s="769"/>
      <c r="RZL104" s="769"/>
      <c r="RZM104" s="769"/>
      <c r="RZN104" s="769"/>
      <c r="RZO104" s="769"/>
      <c r="RZP104" s="769"/>
      <c r="RZQ104" s="769"/>
      <c r="RZR104" s="769"/>
      <c r="RZS104" s="769"/>
      <c r="RZT104" s="769"/>
      <c r="RZU104" s="769"/>
      <c r="RZV104" s="769"/>
      <c r="RZW104" s="769"/>
      <c r="RZX104" s="769"/>
      <c r="RZY104" s="769"/>
      <c r="RZZ104" s="769"/>
      <c r="SAA104" s="769"/>
      <c r="SAB104" s="769"/>
      <c r="SAC104" s="769"/>
      <c r="SAD104" s="769"/>
      <c r="SAE104" s="769"/>
      <c r="SAF104" s="769"/>
      <c r="SAG104" s="769"/>
      <c r="SAH104" s="769"/>
      <c r="SAI104" s="769"/>
      <c r="SAJ104" s="769"/>
      <c r="SAK104" s="769"/>
      <c r="SAL104" s="769"/>
      <c r="SAM104" s="769"/>
      <c r="SAN104" s="769"/>
      <c r="SAO104" s="769"/>
      <c r="SAP104" s="769"/>
      <c r="SAQ104" s="769"/>
      <c r="SAR104" s="769"/>
      <c r="SAS104" s="769"/>
      <c r="SAT104" s="769"/>
      <c r="SAU104" s="769"/>
      <c r="SAV104" s="769"/>
      <c r="SAW104" s="769"/>
      <c r="SAX104" s="769"/>
      <c r="SAY104" s="769"/>
      <c r="SAZ104" s="769"/>
      <c r="SBA104" s="769"/>
      <c r="SBB104" s="769"/>
      <c r="SBC104" s="769"/>
      <c r="SBD104" s="769"/>
      <c r="SBE104" s="769"/>
      <c r="SBF104" s="769"/>
      <c r="SBG104" s="769"/>
      <c r="SBH104" s="769"/>
      <c r="SBI104" s="769"/>
      <c r="SBJ104" s="769"/>
      <c r="SBK104" s="769"/>
      <c r="SBL104" s="769"/>
      <c r="SBM104" s="769"/>
      <c r="SBN104" s="769"/>
      <c r="SBO104" s="769"/>
      <c r="SBP104" s="769"/>
      <c r="SBQ104" s="769"/>
      <c r="SBR104" s="769"/>
      <c r="SBS104" s="769"/>
      <c r="SBT104" s="769"/>
      <c r="SBU104" s="769"/>
      <c r="SBV104" s="769"/>
      <c r="SBW104" s="769"/>
      <c r="SBX104" s="769"/>
      <c r="SBY104" s="769"/>
      <c r="SBZ104" s="769"/>
      <c r="SCA104" s="769"/>
      <c r="SCB104" s="769"/>
      <c r="SCC104" s="769"/>
      <c r="SCD104" s="769"/>
      <c r="SCE104" s="769"/>
      <c r="SCF104" s="769"/>
      <c r="SCG104" s="769"/>
      <c r="SCH104" s="769"/>
      <c r="SCI104" s="769"/>
      <c r="SCJ104" s="769"/>
      <c r="SCK104" s="769"/>
      <c r="SCL104" s="769"/>
      <c r="SCM104" s="769"/>
      <c r="SCN104" s="769"/>
      <c r="SCO104" s="769"/>
      <c r="SCP104" s="769"/>
      <c r="SCQ104" s="769"/>
      <c r="SCR104" s="769"/>
      <c r="SCS104" s="769"/>
      <c r="SCT104" s="769"/>
      <c r="SCU104" s="769"/>
      <c r="SCV104" s="769"/>
      <c r="SCW104" s="769"/>
      <c r="SCX104" s="769"/>
      <c r="SCY104" s="769"/>
      <c r="SCZ104" s="769"/>
      <c r="SDA104" s="769"/>
      <c r="SDB104" s="769"/>
      <c r="SDC104" s="769"/>
      <c r="SDD104" s="769"/>
      <c r="SDE104" s="769"/>
      <c r="SDF104" s="769"/>
      <c r="SDG104" s="769"/>
      <c r="SDH104" s="769"/>
      <c r="SDI104" s="769"/>
      <c r="SDJ104" s="769"/>
      <c r="SDK104" s="769"/>
      <c r="SDL104" s="769"/>
      <c r="SDM104" s="769"/>
      <c r="SDN104" s="769"/>
      <c r="SDO104" s="769"/>
      <c r="SDP104" s="769"/>
      <c r="SDQ104" s="769"/>
      <c r="SDR104" s="769"/>
      <c r="SDS104" s="769"/>
      <c r="SDT104" s="769"/>
      <c r="SDU104" s="769"/>
      <c r="SDV104" s="769"/>
      <c r="SDW104" s="769"/>
      <c r="SDX104" s="769"/>
      <c r="SDY104" s="769"/>
      <c r="SDZ104" s="769"/>
      <c r="SEA104" s="769"/>
      <c r="SEB104" s="769"/>
      <c r="SEC104" s="769"/>
      <c r="SED104" s="769"/>
      <c r="SEE104" s="769"/>
      <c r="SEF104" s="769"/>
      <c r="SEG104" s="769"/>
      <c r="SEH104" s="769"/>
      <c r="SEI104" s="769"/>
      <c r="SEJ104" s="769"/>
      <c r="SEK104" s="769"/>
      <c r="SEL104" s="769"/>
      <c r="SEM104" s="769"/>
      <c r="SEN104" s="769"/>
      <c r="SEO104" s="769"/>
      <c r="SEP104" s="769"/>
      <c r="SEQ104" s="769"/>
      <c r="SER104" s="769"/>
      <c r="SES104" s="769"/>
      <c r="SET104" s="769"/>
      <c r="SEU104" s="769"/>
      <c r="SEV104" s="769"/>
      <c r="SEW104" s="769"/>
      <c r="SEX104" s="769"/>
      <c r="SEY104" s="769"/>
      <c r="SEZ104" s="769"/>
      <c r="SFA104" s="769"/>
      <c r="SFB104" s="769"/>
      <c r="SFC104" s="769"/>
      <c r="SFD104" s="769"/>
      <c r="SFE104" s="769"/>
      <c r="SFF104" s="769"/>
      <c r="SFG104" s="769"/>
      <c r="SFH104" s="769"/>
      <c r="SFI104" s="769"/>
      <c r="SFJ104" s="769"/>
      <c r="SFK104" s="769"/>
      <c r="SFL104" s="769"/>
      <c r="SFM104" s="769"/>
      <c r="SFN104" s="769"/>
      <c r="SFO104" s="769"/>
      <c r="SFP104" s="769"/>
      <c r="SFQ104" s="769"/>
      <c r="SFR104" s="769"/>
      <c r="SFS104" s="769"/>
      <c r="SFT104" s="769"/>
      <c r="SFU104" s="769"/>
      <c r="SFV104" s="769"/>
      <c r="SFW104" s="769"/>
      <c r="SFX104" s="769"/>
      <c r="SFY104" s="769"/>
      <c r="SFZ104" s="769"/>
      <c r="SGA104" s="769"/>
      <c r="SGB104" s="769"/>
      <c r="SGC104" s="769"/>
      <c r="SGD104" s="769"/>
      <c r="SGE104" s="769"/>
      <c r="SGF104" s="769"/>
      <c r="SGG104" s="769"/>
      <c r="SGH104" s="769"/>
      <c r="SGI104" s="769"/>
      <c r="SGJ104" s="769"/>
      <c r="SGK104" s="769"/>
      <c r="SGL104" s="769"/>
      <c r="SGM104" s="769"/>
      <c r="SGN104" s="769"/>
      <c r="SGO104" s="769"/>
      <c r="SGP104" s="769"/>
      <c r="SGQ104" s="769"/>
      <c r="SGR104" s="769"/>
      <c r="SGS104" s="769"/>
      <c r="SGT104" s="769"/>
      <c r="SGU104" s="769"/>
      <c r="SGV104" s="769"/>
      <c r="SGW104" s="769"/>
      <c r="SGX104" s="769"/>
      <c r="SGY104" s="769"/>
      <c r="SGZ104" s="769"/>
      <c r="SHA104" s="769"/>
      <c r="SHB104" s="769"/>
      <c r="SHC104" s="769"/>
      <c r="SHD104" s="769"/>
      <c r="SHE104" s="769"/>
      <c r="SHF104" s="769"/>
      <c r="SHG104" s="769"/>
      <c r="SHH104" s="769"/>
      <c r="SHI104" s="769"/>
      <c r="SHJ104" s="769"/>
      <c r="SHK104" s="769"/>
      <c r="SHL104" s="769"/>
      <c r="SHM104" s="769"/>
      <c r="SHN104" s="769"/>
      <c r="SHO104" s="769"/>
      <c r="SHP104" s="769"/>
      <c r="SHQ104" s="769"/>
      <c r="SHR104" s="769"/>
      <c r="SHS104" s="769"/>
      <c r="SHT104" s="769"/>
      <c r="SHU104" s="769"/>
      <c r="SHV104" s="769"/>
      <c r="SHW104" s="769"/>
      <c r="SHX104" s="769"/>
      <c r="SHY104" s="769"/>
      <c r="SHZ104" s="769"/>
      <c r="SIA104" s="769"/>
      <c r="SIB104" s="769"/>
      <c r="SIC104" s="769"/>
      <c r="SID104" s="769"/>
      <c r="SIE104" s="769"/>
      <c r="SIF104" s="769"/>
      <c r="SIG104" s="769"/>
      <c r="SIH104" s="769"/>
      <c r="SII104" s="769"/>
      <c r="SIJ104" s="769"/>
      <c r="SIK104" s="769"/>
      <c r="SIL104" s="769"/>
      <c r="SIM104" s="769"/>
      <c r="SIN104" s="769"/>
      <c r="SIO104" s="769"/>
      <c r="SIP104" s="769"/>
      <c r="SIQ104" s="769"/>
      <c r="SIR104" s="769"/>
      <c r="SIS104" s="769"/>
      <c r="SIT104" s="769"/>
      <c r="SIU104" s="769"/>
      <c r="SIV104" s="769"/>
      <c r="SIW104" s="769"/>
      <c r="SIX104" s="769"/>
      <c r="SIY104" s="769"/>
      <c r="SIZ104" s="769"/>
      <c r="SJA104" s="769"/>
      <c r="SJB104" s="769"/>
      <c r="SJC104" s="769"/>
      <c r="SJD104" s="769"/>
      <c r="SJE104" s="769"/>
      <c r="SJF104" s="769"/>
      <c r="SJG104" s="769"/>
      <c r="SJH104" s="769"/>
      <c r="SJI104" s="769"/>
      <c r="SJJ104" s="769"/>
      <c r="SJK104" s="769"/>
      <c r="SJL104" s="769"/>
      <c r="SJM104" s="769"/>
      <c r="SJN104" s="769"/>
      <c r="SJO104" s="769"/>
      <c r="SJP104" s="769"/>
      <c r="SJQ104" s="769"/>
      <c r="SJR104" s="769"/>
      <c r="SJS104" s="769"/>
      <c r="SJT104" s="769"/>
      <c r="SJU104" s="769"/>
      <c r="SJV104" s="769"/>
      <c r="SJW104" s="769"/>
      <c r="SJX104" s="769"/>
      <c r="SJY104" s="769"/>
      <c r="SJZ104" s="769"/>
      <c r="SKA104" s="769"/>
      <c r="SKB104" s="769"/>
      <c r="SKC104" s="769"/>
      <c r="SKD104" s="769"/>
      <c r="SKE104" s="769"/>
      <c r="SKF104" s="769"/>
      <c r="SKG104" s="769"/>
      <c r="SKH104" s="769"/>
      <c r="SKI104" s="769"/>
      <c r="SKJ104" s="769"/>
      <c r="SKK104" s="769"/>
      <c r="SKL104" s="769"/>
      <c r="SKM104" s="769"/>
      <c r="SKN104" s="769"/>
      <c r="SKO104" s="769"/>
      <c r="SKP104" s="769"/>
      <c r="SKQ104" s="769"/>
      <c r="SKR104" s="769"/>
      <c r="SKS104" s="769"/>
      <c r="SKT104" s="769"/>
      <c r="SKU104" s="769"/>
      <c r="SKV104" s="769"/>
      <c r="SKW104" s="769"/>
      <c r="SKX104" s="769"/>
      <c r="SKY104" s="769"/>
      <c r="SKZ104" s="769"/>
      <c r="SLA104" s="769"/>
      <c r="SLB104" s="769"/>
      <c r="SLC104" s="769"/>
      <c r="SLD104" s="769"/>
      <c r="SLE104" s="769"/>
      <c r="SLF104" s="769"/>
      <c r="SLG104" s="769"/>
      <c r="SLH104" s="769"/>
      <c r="SLI104" s="769"/>
      <c r="SLJ104" s="769"/>
      <c r="SLK104" s="769"/>
      <c r="SLL104" s="769"/>
      <c r="SLM104" s="769"/>
      <c r="SLN104" s="769"/>
      <c r="SLO104" s="769"/>
      <c r="SLP104" s="769"/>
      <c r="SLQ104" s="769"/>
      <c r="SLR104" s="769"/>
      <c r="SLS104" s="769"/>
      <c r="SLT104" s="769"/>
      <c r="SLU104" s="769"/>
      <c r="SLV104" s="769"/>
      <c r="SLW104" s="769"/>
      <c r="SLX104" s="769"/>
      <c r="SLY104" s="769"/>
      <c r="SLZ104" s="769"/>
      <c r="SMA104" s="769"/>
      <c r="SMB104" s="769"/>
      <c r="SMC104" s="769"/>
      <c r="SMD104" s="769"/>
      <c r="SME104" s="769"/>
      <c r="SMF104" s="769"/>
      <c r="SMG104" s="769"/>
      <c r="SMH104" s="769"/>
      <c r="SMI104" s="769"/>
      <c r="SMJ104" s="769"/>
      <c r="SMK104" s="769"/>
      <c r="SML104" s="769"/>
      <c r="SMM104" s="769"/>
      <c r="SMN104" s="769"/>
      <c r="SMO104" s="769"/>
      <c r="SMP104" s="769"/>
      <c r="SMQ104" s="769"/>
      <c r="SMR104" s="769"/>
      <c r="SMS104" s="769"/>
      <c r="SMT104" s="769"/>
      <c r="SMU104" s="769"/>
      <c r="SMV104" s="769"/>
      <c r="SMW104" s="769"/>
      <c r="SMX104" s="769"/>
      <c r="SMY104" s="769"/>
      <c r="SMZ104" s="769"/>
      <c r="SNA104" s="769"/>
      <c r="SNB104" s="769"/>
      <c r="SNC104" s="769"/>
      <c r="SND104" s="769"/>
      <c r="SNE104" s="769"/>
      <c r="SNF104" s="769"/>
      <c r="SNG104" s="769"/>
      <c r="SNH104" s="769"/>
      <c r="SNI104" s="769"/>
      <c r="SNJ104" s="769"/>
      <c r="SNK104" s="769"/>
      <c r="SNL104" s="769"/>
      <c r="SNM104" s="769"/>
      <c r="SNN104" s="769"/>
      <c r="SNO104" s="769"/>
      <c r="SNP104" s="769"/>
      <c r="SNQ104" s="769"/>
      <c r="SNR104" s="769"/>
      <c r="SNS104" s="769"/>
      <c r="SNT104" s="769"/>
      <c r="SNU104" s="769"/>
      <c r="SNV104" s="769"/>
      <c r="SNW104" s="769"/>
      <c r="SNX104" s="769"/>
      <c r="SNY104" s="769"/>
      <c r="SNZ104" s="769"/>
      <c r="SOA104" s="769"/>
      <c r="SOB104" s="769"/>
      <c r="SOC104" s="769"/>
      <c r="SOD104" s="769"/>
      <c r="SOE104" s="769"/>
      <c r="SOF104" s="769"/>
      <c r="SOG104" s="769"/>
      <c r="SOH104" s="769"/>
      <c r="SOI104" s="769"/>
      <c r="SOJ104" s="769"/>
      <c r="SOK104" s="769"/>
      <c r="SOL104" s="769"/>
      <c r="SOM104" s="769"/>
      <c r="SON104" s="769"/>
      <c r="SOO104" s="769"/>
      <c r="SOP104" s="769"/>
      <c r="SOQ104" s="769"/>
      <c r="SOR104" s="769"/>
      <c r="SOS104" s="769"/>
      <c r="SOT104" s="769"/>
      <c r="SOU104" s="769"/>
      <c r="SOV104" s="769"/>
      <c r="SOW104" s="769"/>
      <c r="SOX104" s="769"/>
      <c r="SOY104" s="769"/>
      <c r="SOZ104" s="769"/>
      <c r="SPA104" s="769"/>
      <c r="SPB104" s="769"/>
      <c r="SPC104" s="769"/>
      <c r="SPD104" s="769"/>
      <c r="SPE104" s="769"/>
      <c r="SPF104" s="769"/>
      <c r="SPG104" s="769"/>
      <c r="SPH104" s="769"/>
      <c r="SPI104" s="769"/>
      <c r="SPJ104" s="769"/>
      <c r="SPK104" s="769"/>
      <c r="SPL104" s="769"/>
      <c r="SPM104" s="769"/>
      <c r="SPN104" s="769"/>
      <c r="SPO104" s="769"/>
      <c r="SPP104" s="769"/>
      <c r="SPQ104" s="769"/>
      <c r="SPR104" s="769"/>
      <c r="SPS104" s="769"/>
      <c r="SPT104" s="769"/>
      <c r="SPU104" s="769"/>
      <c r="SPV104" s="769"/>
      <c r="SPW104" s="769"/>
      <c r="SPX104" s="769"/>
      <c r="SPY104" s="769"/>
      <c r="SPZ104" s="769"/>
      <c r="SQA104" s="769"/>
      <c r="SQB104" s="769"/>
      <c r="SQC104" s="769"/>
      <c r="SQD104" s="769"/>
      <c r="SQE104" s="769"/>
      <c r="SQF104" s="769"/>
      <c r="SQG104" s="769"/>
      <c r="SQH104" s="769"/>
      <c r="SQI104" s="769"/>
      <c r="SQJ104" s="769"/>
      <c r="SQK104" s="769"/>
      <c r="SQL104" s="769"/>
      <c r="SQM104" s="769"/>
      <c r="SQN104" s="769"/>
      <c r="SQO104" s="769"/>
      <c r="SQP104" s="769"/>
      <c r="SQQ104" s="769"/>
      <c r="SQR104" s="769"/>
      <c r="SQS104" s="769"/>
      <c r="SQT104" s="769"/>
      <c r="SQU104" s="769"/>
      <c r="SQV104" s="769"/>
      <c r="SQW104" s="769"/>
      <c r="SQX104" s="769"/>
      <c r="SQY104" s="769"/>
      <c r="SQZ104" s="769"/>
      <c r="SRA104" s="769"/>
      <c r="SRB104" s="769"/>
      <c r="SRC104" s="769"/>
      <c r="SRD104" s="769"/>
      <c r="SRE104" s="769"/>
      <c r="SRF104" s="769"/>
      <c r="SRG104" s="769"/>
      <c r="SRH104" s="769"/>
      <c r="SRI104" s="769"/>
      <c r="SRJ104" s="769"/>
      <c r="SRK104" s="769"/>
      <c r="SRL104" s="769"/>
      <c r="SRM104" s="769"/>
      <c r="SRN104" s="769"/>
      <c r="SRO104" s="769"/>
      <c r="SRP104" s="769"/>
      <c r="SRQ104" s="769"/>
      <c r="SRR104" s="769"/>
      <c r="SRS104" s="769"/>
      <c r="SRT104" s="769"/>
      <c r="SRU104" s="769"/>
      <c r="SRV104" s="769"/>
      <c r="SRW104" s="769"/>
      <c r="SRX104" s="769"/>
      <c r="SRY104" s="769"/>
      <c r="SRZ104" s="769"/>
      <c r="SSA104" s="769"/>
      <c r="SSB104" s="769"/>
      <c r="SSC104" s="769"/>
      <c r="SSD104" s="769"/>
      <c r="SSE104" s="769"/>
      <c r="SSF104" s="769"/>
      <c r="SSG104" s="769"/>
      <c r="SSH104" s="769"/>
      <c r="SSI104" s="769"/>
      <c r="SSJ104" s="769"/>
      <c r="SSK104" s="769"/>
      <c r="SSL104" s="769"/>
      <c r="SSM104" s="769"/>
      <c r="SSN104" s="769"/>
      <c r="SSO104" s="769"/>
      <c r="SSP104" s="769"/>
      <c r="SSQ104" s="769"/>
      <c r="SSR104" s="769"/>
      <c r="SSS104" s="769"/>
      <c r="SST104" s="769"/>
      <c r="SSU104" s="769"/>
      <c r="SSV104" s="769"/>
      <c r="SSW104" s="769"/>
      <c r="SSX104" s="769"/>
      <c r="SSY104" s="769"/>
      <c r="SSZ104" s="769"/>
      <c r="STA104" s="769"/>
      <c r="STB104" s="769"/>
      <c r="STC104" s="769"/>
      <c r="STD104" s="769"/>
      <c r="STE104" s="769"/>
      <c r="STF104" s="769"/>
      <c r="STG104" s="769"/>
      <c r="STH104" s="769"/>
      <c r="STI104" s="769"/>
      <c r="STJ104" s="769"/>
      <c r="STK104" s="769"/>
      <c r="STL104" s="769"/>
      <c r="STM104" s="769"/>
      <c r="STN104" s="769"/>
      <c r="STO104" s="769"/>
      <c r="STP104" s="769"/>
      <c r="STQ104" s="769"/>
      <c r="STR104" s="769"/>
      <c r="STS104" s="769"/>
      <c r="STT104" s="769"/>
      <c r="STU104" s="769"/>
      <c r="STV104" s="769"/>
      <c r="STW104" s="769"/>
      <c r="STX104" s="769"/>
      <c r="STY104" s="769"/>
      <c r="STZ104" s="769"/>
      <c r="SUA104" s="769"/>
      <c r="SUB104" s="769"/>
      <c r="SUC104" s="769"/>
      <c r="SUD104" s="769"/>
      <c r="SUE104" s="769"/>
      <c r="SUF104" s="769"/>
      <c r="SUG104" s="769"/>
      <c r="SUH104" s="769"/>
      <c r="SUI104" s="769"/>
      <c r="SUJ104" s="769"/>
      <c r="SUK104" s="769"/>
      <c r="SUL104" s="769"/>
      <c r="SUM104" s="769"/>
      <c r="SUN104" s="769"/>
      <c r="SUO104" s="769"/>
      <c r="SUP104" s="769"/>
      <c r="SUQ104" s="769"/>
      <c r="SUR104" s="769"/>
      <c r="SUS104" s="769"/>
      <c r="SUT104" s="769"/>
      <c r="SUU104" s="769"/>
      <c r="SUV104" s="769"/>
      <c r="SUW104" s="769"/>
      <c r="SUX104" s="769"/>
      <c r="SUY104" s="769"/>
      <c r="SUZ104" s="769"/>
      <c r="SVA104" s="769"/>
      <c r="SVB104" s="769"/>
      <c r="SVC104" s="769"/>
      <c r="SVD104" s="769"/>
      <c r="SVE104" s="769"/>
      <c r="SVF104" s="769"/>
      <c r="SVG104" s="769"/>
      <c r="SVH104" s="769"/>
      <c r="SVI104" s="769"/>
      <c r="SVJ104" s="769"/>
      <c r="SVK104" s="769"/>
      <c r="SVL104" s="769"/>
      <c r="SVM104" s="769"/>
      <c r="SVN104" s="769"/>
      <c r="SVO104" s="769"/>
      <c r="SVP104" s="769"/>
      <c r="SVQ104" s="769"/>
      <c r="SVR104" s="769"/>
      <c r="SVS104" s="769"/>
      <c r="SVT104" s="769"/>
      <c r="SVU104" s="769"/>
      <c r="SVV104" s="769"/>
      <c r="SVW104" s="769"/>
      <c r="SVX104" s="769"/>
      <c r="SVY104" s="769"/>
      <c r="SVZ104" s="769"/>
      <c r="SWA104" s="769"/>
      <c r="SWB104" s="769"/>
      <c r="SWC104" s="769"/>
      <c r="SWD104" s="769"/>
      <c r="SWE104" s="769"/>
      <c r="SWF104" s="769"/>
      <c r="SWG104" s="769"/>
      <c r="SWH104" s="769"/>
      <c r="SWI104" s="769"/>
      <c r="SWJ104" s="769"/>
      <c r="SWK104" s="769"/>
      <c r="SWL104" s="769"/>
      <c r="SWM104" s="769"/>
      <c r="SWN104" s="769"/>
      <c r="SWO104" s="769"/>
      <c r="SWP104" s="769"/>
      <c r="SWQ104" s="769"/>
      <c r="SWR104" s="769"/>
      <c r="SWS104" s="769"/>
      <c r="SWT104" s="769"/>
      <c r="SWU104" s="769"/>
      <c r="SWV104" s="769"/>
      <c r="SWW104" s="769"/>
      <c r="SWX104" s="769"/>
      <c r="SWY104" s="769"/>
      <c r="SWZ104" s="769"/>
      <c r="SXA104" s="769"/>
      <c r="SXB104" s="769"/>
      <c r="SXC104" s="769"/>
      <c r="SXD104" s="769"/>
      <c r="SXE104" s="769"/>
      <c r="SXF104" s="769"/>
      <c r="SXG104" s="769"/>
      <c r="SXH104" s="769"/>
      <c r="SXI104" s="769"/>
      <c r="SXJ104" s="769"/>
      <c r="SXK104" s="769"/>
      <c r="SXL104" s="769"/>
      <c r="SXM104" s="769"/>
      <c r="SXN104" s="769"/>
      <c r="SXO104" s="769"/>
      <c r="SXP104" s="769"/>
      <c r="SXQ104" s="769"/>
      <c r="SXR104" s="769"/>
      <c r="SXS104" s="769"/>
      <c r="SXT104" s="769"/>
      <c r="SXU104" s="769"/>
      <c r="SXV104" s="769"/>
      <c r="SXW104" s="769"/>
      <c r="SXX104" s="769"/>
      <c r="SXY104" s="769"/>
      <c r="SXZ104" s="769"/>
      <c r="SYA104" s="769"/>
      <c r="SYB104" s="769"/>
      <c r="SYC104" s="769"/>
      <c r="SYD104" s="769"/>
      <c r="SYE104" s="769"/>
      <c r="SYF104" s="769"/>
      <c r="SYG104" s="769"/>
      <c r="SYH104" s="769"/>
      <c r="SYI104" s="769"/>
      <c r="SYJ104" s="769"/>
      <c r="SYK104" s="769"/>
      <c r="SYL104" s="769"/>
      <c r="SYM104" s="769"/>
      <c r="SYN104" s="769"/>
      <c r="SYO104" s="769"/>
      <c r="SYP104" s="769"/>
      <c r="SYQ104" s="769"/>
      <c r="SYR104" s="769"/>
      <c r="SYS104" s="769"/>
      <c r="SYT104" s="769"/>
      <c r="SYU104" s="769"/>
      <c r="SYV104" s="769"/>
      <c r="SYW104" s="769"/>
      <c r="SYX104" s="769"/>
      <c r="SYY104" s="769"/>
      <c r="SYZ104" s="769"/>
      <c r="SZA104" s="769"/>
      <c r="SZB104" s="769"/>
      <c r="SZC104" s="769"/>
      <c r="SZD104" s="769"/>
      <c r="SZE104" s="769"/>
      <c r="SZF104" s="769"/>
      <c r="SZG104" s="769"/>
      <c r="SZH104" s="769"/>
      <c r="SZI104" s="769"/>
      <c r="SZJ104" s="769"/>
      <c r="SZK104" s="769"/>
      <c r="SZL104" s="769"/>
      <c r="SZM104" s="769"/>
      <c r="SZN104" s="769"/>
      <c r="SZO104" s="769"/>
      <c r="SZP104" s="769"/>
      <c r="SZQ104" s="769"/>
      <c r="SZR104" s="769"/>
      <c r="SZS104" s="769"/>
      <c r="SZT104" s="769"/>
      <c r="SZU104" s="769"/>
      <c r="SZV104" s="769"/>
      <c r="SZW104" s="769"/>
      <c r="SZX104" s="769"/>
      <c r="SZY104" s="769"/>
      <c r="SZZ104" s="769"/>
      <c r="TAA104" s="769"/>
      <c r="TAB104" s="769"/>
      <c r="TAC104" s="769"/>
      <c r="TAD104" s="769"/>
      <c r="TAE104" s="769"/>
      <c r="TAF104" s="769"/>
      <c r="TAG104" s="769"/>
      <c r="TAH104" s="769"/>
      <c r="TAI104" s="769"/>
      <c r="TAJ104" s="769"/>
      <c r="TAK104" s="769"/>
      <c r="TAL104" s="769"/>
      <c r="TAM104" s="769"/>
      <c r="TAN104" s="769"/>
      <c r="TAO104" s="769"/>
      <c r="TAP104" s="769"/>
      <c r="TAQ104" s="769"/>
      <c r="TAR104" s="769"/>
      <c r="TAS104" s="769"/>
      <c r="TAT104" s="769"/>
      <c r="TAU104" s="769"/>
      <c r="TAV104" s="769"/>
      <c r="TAW104" s="769"/>
      <c r="TAX104" s="769"/>
      <c r="TAY104" s="769"/>
      <c r="TAZ104" s="769"/>
      <c r="TBA104" s="769"/>
      <c r="TBB104" s="769"/>
      <c r="TBC104" s="769"/>
      <c r="TBD104" s="769"/>
      <c r="TBE104" s="769"/>
      <c r="TBF104" s="769"/>
      <c r="TBG104" s="769"/>
      <c r="TBH104" s="769"/>
      <c r="TBI104" s="769"/>
      <c r="TBJ104" s="769"/>
      <c r="TBK104" s="769"/>
      <c r="TBL104" s="769"/>
      <c r="TBM104" s="769"/>
      <c r="TBN104" s="769"/>
      <c r="TBO104" s="769"/>
      <c r="TBP104" s="769"/>
      <c r="TBQ104" s="769"/>
      <c r="TBR104" s="769"/>
      <c r="TBS104" s="769"/>
      <c r="TBT104" s="769"/>
      <c r="TBU104" s="769"/>
      <c r="TBV104" s="769"/>
      <c r="TBW104" s="769"/>
      <c r="TBX104" s="769"/>
      <c r="TBY104" s="769"/>
      <c r="TBZ104" s="769"/>
      <c r="TCA104" s="769"/>
      <c r="TCB104" s="769"/>
      <c r="TCC104" s="769"/>
      <c r="TCD104" s="769"/>
      <c r="TCE104" s="769"/>
      <c r="TCF104" s="769"/>
      <c r="TCG104" s="769"/>
      <c r="TCH104" s="769"/>
      <c r="TCI104" s="769"/>
      <c r="TCJ104" s="769"/>
      <c r="TCK104" s="769"/>
      <c r="TCL104" s="769"/>
      <c r="TCM104" s="769"/>
      <c r="TCN104" s="769"/>
      <c r="TCO104" s="769"/>
      <c r="TCP104" s="769"/>
      <c r="TCQ104" s="769"/>
      <c r="TCR104" s="769"/>
      <c r="TCS104" s="769"/>
      <c r="TCT104" s="769"/>
      <c r="TCU104" s="769"/>
      <c r="TCV104" s="769"/>
      <c r="TCW104" s="769"/>
      <c r="TCX104" s="769"/>
      <c r="TCY104" s="769"/>
      <c r="TCZ104" s="769"/>
      <c r="TDA104" s="769"/>
      <c r="TDB104" s="769"/>
      <c r="TDC104" s="769"/>
      <c r="TDD104" s="769"/>
      <c r="TDE104" s="769"/>
      <c r="TDF104" s="769"/>
      <c r="TDG104" s="769"/>
      <c r="TDH104" s="769"/>
      <c r="TDI104" s="769"/>
      <c r="TDJ104" s="769"/>
      <c r="TDK104" s="769"/>
      <c r="TDL104" s="769"/>
      <c r="TDM104" s="769"/>
      <c r="TDN104" s="769"/>
      <c r="TDO104" s="769"/>
      <c r="TDP104" s="769"/>
      <c r="TDQ104" s="769"/>
      <c r="TDR104" s="769"/>
      <c r="TDS104" s="769"/>
      <c r="TDT104" s="769"/>
      <c r="TDU104" s="769"/>
      <c r="TDV104" s="769"/>
      <c r="TDW104" s="769"/>
      <c r="TDX104" s="769"/>
      <c r="TDY104" s="769"/>
      <c r="TDZ104" s="769"/>
      <c r="TEA104" s="769"/>
      <c r="TEB104" s="769"/>
      <c r="TEC104" s="769"/>
      <c r="TED104" s="769"/>
      <c r="TEE104" s="769"/>
      <c r="TEF104" s="769"/>
      <c r="TEG104" s="769"/>
      <c r="TEH104" s="769"/>
      <c r="TEI104" s="769"/>
      <c r="TEJ104" s="769"/>
      <c r="TEK104" s="769"/>
      <c r="TEL104" s="769"/>
      <c r="TEM104" s="769"/>
      <c r="TEN104" s="769"/>
      <c r="TEO104" s="769"/>
      <c r="TEP104" s="769"/>
      <c r="TEQ104" s="769"/>
      <c r="TER104" s="769"/>
      <c r="TES104" s="769"/>
      <c r="TET104" s="769"/>
      <c r="TEU104" s="769"/>
      <c r="TEV104" s="769"/>
      <c r="TEW104" s="769"/>
      <c r="TEX104" s="769"/>
      <c r="TEY104" s="769"/>
      <c r="TEZ104" s="769"/>
      <c r="TFA104" s="769"/>
      <c r="TFB104" s="769"/>
      <c r="TFC104" s="769"/>
      <c r="TFD104" s="769"/>
      <c r="TFE104" s="769"/>
      <c r="TFF104" s="769"/>
      <c r="TFG104" s="769"/>
      <c r="TFH104" s="769"/>
      <c r="TFI104" s="769"/>
      <c r="TFJ104" s="769"/>
      <c r="TFK104" s="769"/>
      <c r="TFL104" s="769"/>
      <c r="TFM104" s="769"/>
      <c r="TFN104" s="769"/>
      <c r="TFO104" s="769"/>
      <c r="TFP104" s="769"/>
      <c r="TFQ104" s="769"/>
      <c r="TFR104" s="769"/>
      <c r="TFS104" s="769"/>
      <c r="TFT104" s="769"/>
      <c r="TFU104" s="769"/>
      <c r="TFV104" s="769"/>
      <c r="TFW104" s="769"/>
      <c r="TFX104" s="769"/>
      <c r="TFY104" s="769"/>
      <c r="TFZ104" s="769"/>
      <c r="TGA104" s="769"/>
      <c r="TGB104" s="769"/>
      <c r="TGC104" s="769"/>
      <c r="TGD104" s="769"/>
      <c r="TGE104" s="769"/>
      <c r="TGF104" s="769"/>
      <c r="TGG104" s="769"/>
      <c r="TGH104" s="769"/>
      <c r="TGI104" s="769"/>
      <c r="TGJ104" s="769"/>
      <c r="TGK104" s="769"/>
      <c r="TGL104" s="769"/>
      <c r="TGM104" s="769"/>
      <c r="TGN104" s="769"/>
      <c r="TGO104" s="769"/>
      <c r="TGP104" s="769"/>
      <c r="TGQ104" s="769"/>
      <c r="TGR104" s="769"/>
      <c r="TGS104" s="769"/>
      <c r="TGT104" s="769"/>
      <c r="TGU104" s="769"/>
      <c r="TGV104" s="769"/>
      <c r="TGW104" s="769"/>
      <c r="TGX104" s="769"/>
      <c r="TGY104" s="769"/>
      <c r="TGZ104" s="769"/>
      <c r="THA104" s="769"/>
      <c r="THB104" s="769"/>
      <c r="THC104" s="769"/>
      <c r="THD104" s="769"/>
      <c r="THE104" s="769"/>
      <c r="THF104" s="769"/>
      <c r="THG104" s="769"/>
      <c r="THH104" s="769"/>
      <c r="THI104" s="769"/>
      <c r="THJ104" s="769"/>
      <c r="THK104" s="769"/>
      <c r="THL104" s="769"/>
      <c r="THM104" s="769"/>
      <c r="THN104" s="769"/>
      <c r="THO104" s="769"/>
      <c r="THP104" s="769"/>
      <c r="THQ104" s="769"/>
      <c r="THR104" s="769"/>
      <c r="THS104" s="769"/>
      <c r="THT104" s="769"/>
      <c r="THU104" s="769"/>
      <c r="THV104" s="769"/>
      <c r="THW104" s="769"/>
      <c r="THX104" s="769"/>
      <c r="THY104" s="769"/>
      <c r="THZ104" s="769"/>
      <c r="TIA104" s="769"/>
      <c r="TIB104" s="769"/>
      <c r="TIC104" s="769"/>
      <c r="TID104" s="769"/>
      <c r="TIE104" s="769"/>
      <c r="TIF104" s="769"/>
      <c r="TIG104" s="769"/>
      <c r="TIH104" s="769"/>
      <c r="TII104" s="769"/>
      <c r="TIJ104" s="769"/>
      <c r="TIK104" s="769"/>
      <c r="TIL104" s="769"/>
      <c r="TIM104" s="769"/>
      <c r="TIN104" s="769"/>
      <c r="TIO104" s="769"/>
      <c r="TIP104" s="769"/>
      <c r="TIQ104" s="769"/>
      <c r="TIR104" s="769"/>
      <c r="TIS104" s="769"/>
      <c r="TIT104" s="769"/>
      <c r="TIU104" s="769"/>
      <c r="TIV104" s="769"/>
      <c r="TIW104" s="769"/>
      <c r="TIX104" s="769"/>
      <c r="TIY104" s="769"/>
      <c r="TIZ104" s="769"/>
      <c r="TJA104" s="769"/>
      <c r="TJB104" s="769"/>
      <c r="TJC104" s="769"/>
      <c r="TJD104" s="769"/>
      <c r="TJE104" s="769"/>
      <c r="TJF104" s="769"/>
      <c r="TJG104" s="769"/>
      <c r="TJH104" s="769"/>
      <c r="TJI104" s="769"/>
      <c r="TJJ104" s="769"/>
      <c r="TJK104" s="769"/>
      <c r="TJL104" s="769"/>
      <c r="TJM104" s="769"/>
      <c r="TJN104" s="769"/>
      <c r="TJO104" s="769"/>
      <c r="TJP104" s="769"/>
      <c r="TJQ104" s="769"/>
      <c r="TJR104" s="769"/>
      <c r="TJS104" s="769"/>
      <c r="TJT104" s="769"/>
      <c r="TJU104" s="769"/>
      <c r="TJV104" s="769"/>
      <c r="TJW104" s="769"/>
      <c r="TJX104" s="769"/>
      <c r="TJY104" s="769"/>
      <c r="TJZ104" s="769"/>
      <c r="TKA104" s="769"/>
      <c r="TKB104" s="769"/>
      <c r="TKC104" s="769"/>
      <c r="TKD104" s="769"/>
      <c r="TKE104" s="769"/>
      <c r="TKF104" s="769"/>
      <c r="TKG104" s="769"/>
      <c r="TKH104" s="769"/>
      <c r="TKI104" s="769"/>
      <c r="TKJ104" s="769"/>
      <c r="TKK104" s="769"/>
      <c r="TKL104" s="769"/>
      <c r="TKM104" s="769"/>
      <c r="TKN104" s="769"/>
      <c r="TKO104" s="769"/>
      <c r="TKP104" s="769"/>
      <c r="TKQ104" s="769"/>
      <c r="TKR104" s="769"/>
      <c r="TKS104" s="769"/>
      <c r="TKT104" s="769"/>
      <c r="TKU104" s="769"/>
      <c r="TKV104" s="769"/>
      <c r="TKW104" s="769"/>
      <c r="TKX104" s="769"/>
      <c r="TKY104" s="769"/>
      <c r="TKZ104" s="769"/>
      <c r="TLA104" s="769"/>
      <c r="TLB104" s="769"/>
      <c r="TLC104" s="769"/>
      <c r="TLD104" s="769"/>
      <c r="TLE104" s="769"/>
      <c r="TLF104" s="769"/>
      <c r="TLG104" s="769"/>
      <c r="TLH104" s="769"/>
      <c r="TLI104" s="769"/>
      <c r="TLJ104" s="769"/>
      <c r="TLK104" s="769"/>
      <c r="TLL104" s="769"/>
      <c r="TLM104" s="769"/>
      <c r="TLN104" s="769"/>
      <c r="TLO104" s="769"/>
      <c r="TLP104" s="769"/>
      <c r="TLQ104" s="769"/>
      <c r="TLR104" s="769"/>
      <c r="TLS104" s="769"/>
      <c r="TLT104" s="769"/>
      <c r="TLU104" s="769"/>
      <c r="TLV104" s="769"/>
      <c r="TLW104" s="769"/>
      <c r="TLX104" s="769"/>
      <c r="TLY104" s="769"/>
      <c r="TLZ104" s="769"/>
      <c r="TMA104" s="769"/>
      <c r="TMB104" s="769"/>
      <c r="TMC104" s="769"/>
      <c r="TMD104" s="769"/>
      <c r="TME104" s="769"/>
      <c r="TMF104" s="769"/>
      <c r="TMG104" s="769"/>
      <c r="TMH104" s="769"/>
      <c r="TMI104" s="769"/>
      <c r="TMJ104" s="769"/>
      <c r="TMK104" s="769"/>
      <c r="TML104" s="769"/>
      <c r="TMM104" s="769"/>
      <c r="TMN104" s="769"/>
      <c r="TMO104" s="769"/>
      <c r="TMP104" s="769"/>
      <c r="TMQ104" s="769"/>
      <c r="TMR104" s="769"/>
      <c r="TMS104" s="769"/>
      <c r="TMT104" s="769"/>
      <c r="TMU104" s="769"/>
      <c r="TMV104" s="769"/>
      <c r="TMW104" s="769"/>
      <c r="TMX104" s="769"/>
      <c r="TMY104" s="769"/>
      <c r="TMZ104" s="769"/>
      <c r="TNA104" s="769"/>
      <c r="TNB104" s="769"/>
      <c r="TNC104" s="769"/>
      <c r="TND104" s="769"/>
      <c r="TNE104" s="769"/>
      <c r="TNF104" s="769"/>
      <c r="TNG104" s="769"/>
      <c r="TNH104" s="769"/>
      <c r="TNI104" s="769"/>
      <c r="TNJ104" s="769"/>
      <c r="TNK104" s="769"/>
      <c r="TNL104" s="769"/>
      <c r="TNM104" s="769"/>
      <c r="TNN104" s="769"/>
      <c r="TNO104" s="769"/>
      <c r="TNP104" s="769"/>
      <c r="TNQ104" s="769"/>
      <c r="TNR104" s="769"/>
      <c r="TNS104" s="769"/>
      <c r="TNT104" s="769"/>
      <c r="TNU104" s="769"/>
      <c r="TNV104" s="769"/>
      <c r="TNW104" s="769"/>
      <c r="TNX104" s="769"/>
      <c r="TNY104" s="769"/>
      <c r="TNZ104" s="769"/>
      <c r="TOA104" s="769"/>
      <c r="TOB104" s="769"/>
      <c r="TOC104" s="769"/>
      <c r="TOD104" s="769"/>
      <c r="TOE104" s="769"/>
      <c r="TOF104" s="769"/>
      <c r="TOG104" s="769"/>
      <c r="TOH104" s="769"/>
      <c r="TOI104" s="769"/>
      <c r="TOJ104" s="769"/>
      <c r="TOK104" s="769"/>
      <c r="TOL104" s="769"/>
      <c r="TOM104" s="769"/>
      <c r="TON104" s="769"/>
      <c r="TOO104" s="769"/>
      <c r="TOP104" s="769"/>
      <c r="TOQ104" s="769"/>
      <c r="TOR104" s="769"/>
      <c r="TOS104" s="769"/>
      <c r="TOT104" s="769"/>
      <c r="TOU104" s="769"/>
      <c r="TOV104" s="769"/>
      <c r="TOW104" s="769"/>
      <c r="TOX104" s="769"/>
      <c r="TOY104" s="769"/>
      <c r="TOZ104" s="769"/>
      <c r="TPA104" s="769"/>
      <c r="TPB104" s="769"/>
      <c r="TPC104" s="769"/>
      <c r="TPD104" s="769"/>
      <c r="TPE104" s="769"/>
      <c r="TPF104" s="769"/>
      <c r="TPG104" s="769"/>
      <c r="TPH104" s="769"/>
      <c r="TPI104" s="769"/>
      <c r="TPJ104" s="769"/>
      <c r="TPK104" s="769"/>
      <c r="TPL104" s="769"/>
      <c r="TPM104" s="769"/>
      <c r="TPN104" s="769"/>
      <c r="TPO104" s="769"/>
      <c r="TPP104" s="769"/>
      <c r="TPQ104" s="769"/>
      <c r="TPR104" s="769"/>
      <c r="TPS104" s="769"/>
      <c r="TPT104" s="769"/>
      <c r="TPU104" s="769"/>
      <c r="TPV104" s="769"/>
      <c r="TPW104" s="769"/>
      <c r="TPX104" s="769"/>
      <c r="TPY104" s="769"/>
      <c r="TPZ104" s="769"/>
      <c r="TQA104" s="769"/>
      <c r="TQB104" s="769"/>
      <c r="TQC104" s="769"/>
      <c r="TQD104" s="769"/>
      <c r="TQE104" s="769"/>
      <c r="TQF104" s="769"/>
      <c r="TQG104" s="769"/>
      <c r="TQH104" s="769"/>
      <c r="TQI104" s="769"/>
      <c r="TQJ104" s="769"/>
      <c r="TQK104" s="769"/>
      <c r="TQL104" s="769"/>
      <c r="TQM104" s="769"/>
      <c r="TQN104" s="769"/>
      <c r="TQO104" s="769"/>
      <c r="TQP104" s="769"/>
      <c r="TQQ104" s="769"/>
      <c r="TQR104" s="769"/>
      <c r="TQS104" s="769"/>
      <c r="TQT104" s="769"/>
      <c r="TQU104" s="769"/>
      <c r="TQV104" s="769"/>
      <c r="TQW104" s="769"/>
      <c r="TQX104" s="769"/>
      <c r="TQY104" s="769"/>
      <c r="TQZ104" s="769"/>
      <c r="TRA104" s="769"/>
      <c r="TRB104" s="769"/>
      <c r="TRC104" s="769"/>
      <c r="TRD104" s="769"/>
      <c r="TRE104" s="769"/>
      <c r="TRF104" s="769"/>
      <c r="TRG104" s="769"/>
      <c r="TRH104" s="769"/>
      <c r="TRI104" s="769"/>
      <c r="TRJ104" s="769"/>
      <c r="TRK104" s="769"/>
      <c r="TRL104" s="769"/>
      <c r="TRM104" s="769"/>
      <c r="TRN104" s="769"/>
      <c r="TRO104" s="769"/>
      <c r="TRP104" s="769"/>
      <c r="TRQ104" s="769"/>
      <c r="TRR104" s="769"/>
      <c r="TRS104" s="769"/>
      <c r="TRT104" s="769"/>
      <c r="TRU104" s="769"/>
      <c r="TRV104" s="769"/>
      <c r="TRW104" s="769"/>
      <c r="TRX104" s="769"/>
      <c r="TRY104" s="769"/>
      <c r="TRZ104" s="769"/>
      <c r="TSA104" s="769"/>
      <c r="TSB104" s="769"/>
      <c r="TSC104" s="769"/>
      <c r="TSD104" s="769"/>
      <c r="TSE104" s="769"/>
      <c r="TSF104" s="769"/>
      <c r="TSG104" s="769"/>
      <c r="TSH104" s="769"/>
      <c r="TSI104" s="769"/>
      <c r="TSJ104" s="769"/>
      <c r="TSK104" s="769"/>
      <c r="TSL104" s="769"/>
      <c r="TSM104" s="769"/>
      <c r="TSN104" s="769"/>
      <c r="TSO104" s="769"/>
      <c r="TSP104" s="769"/>
      <c r="TSQ104" s="769"/>
      <c r="TSR104" s="769"/>
      <c r="TSS104" s="769"/>
      <c r="TST104" s="769"/>
      <c r="TSU104" s="769"/>
      <c r="TSV104" s="769"/>
      <c r="TSW104" s="769"/>
      <c r="TSX104" s="769"/>
      <c r="TSY104" s="769"/>
      <c r="TSZ104" s="769"/>
      <c r="TTA104" s="769"/>
      <c r="TTB104" s="769"/>
      <c r="TTC104" s="769"/>
      <c r="TTD104" s="769"/>
      <c r="TTE104" s="769"/>
      <c r="TTF104" s="769"/>
      <c r="TTG104" s="769"/>
      <c r="TTH104" s="769"/>
      <c r="TTI104" s="769"/>
      <c r="TTJ104" s="769"/>
      <c r="TTK104" s="769"/>
      <c r="TTL104" s="769"/>
      <c r="TTM104" s="769"/>
      <c r="TTN104" s="769"/>
      <c r="TTO104" s="769"/>
      <c r="TTP104" s="769"/>
      <c r="TTQ104" s="769"/>
      <c r="TTR104" s="769"/>
      <c r="TTS104" s="769"/>
      <c r="TTT104" s="769"/>
      <c r="TTU104" s="769"/>
      <c r="TTV104" s="769"/>
      <c r="TTW104" s="769"/>
      <c r="TTX104" s="769"/>
      <c r="TTY104" s="769"/>
      <c r="TTZ104" s="769"/>
      <c r="TUA104" s="769"/>
      <c r="TUB104" s="769"/>
      <c r="TUC104" s="769"/>
      <c r="TUD104" s="769"/>
      <c r="TUE104" s="769"/>
      <c r="TUF104" s="769"/>
      <c r="TUG104" s="769"/>
      <c r="TUH104" s="769"/>
      <c r="TUI104" s="769"/>
      <c r="TUJ104" s="769"/>
      <c r="TUK104" s="769"/>
      <c r="TUL104" s="769"/>
      <c r="TUM104" s="769"/>
      <c r="TUN104" s="769"/>
      <c r="TUO104" s="769"/>
      <c r="TUP104" s="769"/>
      <c r="TUQ104" s="769"/>
      <c r="TUR104" s="769"/>
      <c r="TUS104" s="769"/>
      <c r="TUT104" s="769"/>
      <c r="TUU104" s="769"/>
      <c r="TUV104" s="769"/>
      <c r="TUW104" s="769"/>
      <c r="TUX104" s="769"/>
      <c r="TUY104" s="769"/>
      <c r="TUZ104" s="769"/>
      <c r="TVA104" s="769"/>
      <c r="TVB104" s="769"/>
      <c r="TVC104" s="769"/>
      <c r="TVD104" s="769"/>
      <c r="TVE104" s="769"/>
      <c r="TVF104" s="769"/>
      <c r="TVG104" s="769"/>
      <c r="TVH104" s="769"/>
      <c r="TVI104" s="769"/>
      <c r="TVJ104" s="769"/>
      <c r="TVK104" s="769"/>
      <c r="TVL104" s="769"/>
      <c r="TVM104" s="769"/>
      <c r="TVN104" s="769"/>
      <c r="TVO104" s="769"/>
      <c r="TVP104" s="769"/>
      <c r="TVQ104" s="769"/>
      <c r="TVR104" s="769"/>
      <c r="TVS104" s="769"/>
      <c r="TVT104" s="769"/>
      <c r="TVU104" s="769"/>
      <c r="TVV104" s="769"/>
      <c r="TVW104" s="769"/>
      <c r="TVX104" s="769"/>
      <c r="TVY104" s="769"/>
      <c r="TVZ104" s="769"/>
      <c r="TWA104" s="769"/>
      <c r="TWB104" s="769"/>
      <c r="TWC104" s="769"/>
      <c r="TWD104" s="769"/>
      <c r="TWE104" s="769"/>
      <c r="TWF104" s="769"/>
      <c r="TWG104" s="769"/>
      <c r="TWH104" s="769"/>
      <c r="TWI104" s="769"/>
      <c r="TWJ104" s="769"/>
      <c r="TWK104" s="769"/>
      <c r="TWL104" s="769"/>
      <c r="TWM104" s="769"/>
      <c r="TWN104" s="769"/>
      <c r="TWO104" s="769"/>
      <c r="TWP104" s="769"/>
      <c r="TWQ104" s="769"/>
      <c r="TWR104" s="769"/>
      <c r="TWS104" s="769"/>
      <c r="TWT104" s="769"/>
      <c r="TWU104" s="769"/>
      <c r="TWV104" s="769"/>
      <c r="TWW104" s="769"/>
      <c r="TWX104" s="769"/>
      <c r="TWY104" s="769"/>
      <c r="TWZ104" s="769"/>
      <c r="TXA104" s="769"/>
      <c r="TXB104" s="769"/>
      <c r="TXC104" s="769"/>
      <c r="TXD104" s="769"/>
      <c r="TXE104" s="769"/>
      <c r="TXF104" s="769"/>
      <c r="TXG104" s="769"/>
      <c r="TXH104" s="769"/>
      <c r="TXI104" s="769"/>
      <c r="TXJ104" s="769"/>
      <c r="TXK104" s="769"/>
      <c r="TXL104" s="769"/>
      <c r="TXM104" s="769"/>
      <c r="TXN104" s="769"/>
      <c r="TXO104" s="769"/>
      <c r="TXP104" s="769"/>
      <c r="TXQ104" s="769"/>
      <c r="TXR104" s="769"/>
      <c r="TXS104" s="769"/>
      <c r="TXT104" s="769"/>
      <c r="TXU104" s="769"/>
      <c r="TXV104" s="769"/>
      <c r="TXW104" s="769"/>
      <c r="TXX104" s="769"/>
      <c r="TXY104" s="769"/>
      <c r="TXZ104" s="769"/>
      <c r="TYA104" s="769"/>
      <c r="TYB104" s="769"/>
      <c r="TYC104" s="769"/>
      <c r="TYD104" s="769"/>
      <c r="TYE104" s="769"/>
      <c r="TYF104" s="769"/>
      <c r="TYG104" s="769"/>
      <c r="TYH104" s="769"/>
      <c r="TYI104" s="769"/>
      <c r="TYJ104" s="769"/>
      <c r="TYK104" s="769"/>
      <c r="TYL104" s="769"/>
      <c r="TYM104" s="769"/>
      <c r="TYN104" s="769"/>
      <c r="TYO104" s="769"/>
      <c r="TYP104" s="769"/>
      <c r="TYQ104" s="769"/>
      <c r="TYR104" s="769"/>
      <c r="TYS104" s="769"/>
      <c r="TYT104" s="769"/>
      <c r="TYU104" s="769"/>
      <c r="TYV104" s="769"/>
      <c r="TYW104" s="769"/>
      <c r="TYX104" s="769"/>
      <c r="TYY104" s="769"/>
      <c r="TYZ104" s="769"/>
      <c r="TZA104" s="769"/>
      <c r="TZB104" s="769"/>
      <c r="TZC104" s="769"/>
      <c r="TZD104" s="769"/>
      <c r="TZE104" s="769"/>
      <c r="TZF104" s="769"/>
      <c r="TZG104" s="769"/>
      <c r="TZH104" s="769"/>
      <c r="TZI104" s="769"/>
      <c r="TZJ104" s="769"/>
      <c r="TZK104" s="769"/>
      <c r="TZL104" s="769"/>
      <c r="TZM104" s="769"/>
      <c r="TZN104" s="769"/>
      <c r="TZO104" s="769"/>
      <c r="TZP104" s="769"/>
      <c r="TZQ104" s="769"/>
      <c r="TZR104" s="769"/>
      <c r="TZS104" s="769"/>
      <c r="TZT104" s="769"/>
      <c r="TZU104" s="769"/>
      <c r="TZV104" s="769"/>
      <c r="TZW104" s="769"/>
      <c r="TZX104" s="769"/>
      <c r="TZY104" s="769"/>
      <c r="TZZ104" s="769"/>
      <c r="UAA104" s="769"/>
      <c r="UAB104" s="769"/>
      <c r="UAC104" s="769"/>
      <c r="UAD104" s="769"/>
      <c r="UAE104" s="769"/>
      <c r="UAF104" s="769"/>
      <c r="UAG104" s="769"/>
      <c r="UAH104" s="769"/>
      <c r="UAI104" s="769"/>
      <c r="UAJ104" s="769"/>
      <c r="UAK104" s="769"/>
      <c r="UAL104" s="769"/>
      <c r="UAM104" s="769"/>
      <c r="UAN104" s="769"/>
      <c r="UAO104" s="769"/>
      <c r="UAP104" s="769"/>
      <c r="UAQ104" s="769"/>
      <c r="UAR104" s="769"/>
      <c r="UAS104" s="769"/>
      <c r="UAT104" s="769"/>
      <c r="UAU104" s="769"/>
      <c r="UAV104" s="769"/>
      <c r="UAW104" s="769"/>
      <c r="UAX104" s="769"/>
      <c r="UAY104" s="769"/>
      <c r="UAZ104" s="769"/>
      <c r="UBA104" s="769"/>
      <c r="UBB104" s="769"/>
      <c r="UBC104" s="769"/>
      <c r="UBD104" s="769"/>
      <c r="UBE104" s="769"/>
      <c r="UBF104" s="769"/>
      <c r="UBG104" s="769"/>
      <c r="UBH104" s="769"/>
      <c r="UBI104" s="769"/>
      <c r="UBJ104" s="769"/>
      <c r="UBK104" s="769"/>
      <c r="UBL104" s="769"/>
      <c r="UBM104" s="769"/>
      <c r="UBN104" s="769"/>
      <c r="UBO104" s="769"/>
      <c r="UBP104" s="769"/>
      <c r="UBQ104" s="769"/>
      <c r="UBR104" s="769"/>
      <c r="UBS104" s="769"/>
      <c r="UBT104" s="769"/>
      <c r="UBU104" s="769"/>
      <c r="UBV104" s="769"/>
      <c r="UBW104" s="769"/>
      <c r="UBX104" s="769"/>
      <c r="UBY104" s="769"/>
      <c r="UBZ104" s="769"/>
      <c r="UCA104" s="769"/>
      <c r="UCB104" s="769"/>
      <c r="UCC104" s="769"/>
      <c r="UCD104" s="769"/>
      <c r="UCE104" s="769"/>
      <c r="UCF104" s="769"/>
      <c r="UCG104" s="769"/>
      <c r="UCH104" s="769"/>
      <c r="UCI104" s="769"/>
      <c r="UCJ104" s="769"/>
      <c r="UCK104" s="769"/>
      <c r="UCL104" s="769"/>
      <c r="UCM104" s="769"/>
      <c r="UCN104" s="769"/>
      <c r="UCO104" s="769"/>
      <c r="UCP104" s="769"/>
      <c r="UCQ104" s="769"/>
      <c r="UCR104" s="769"/>
      <c r="UCS104" s="769"/>
      <c r="UCT104" s="769"/>
      <c r="UCU104" s="769"/>
      <c r="UCV104" s="769"/>
      <c r="UCW104" s="769"/>
      <c r="UCX104" s="769"/>
      <c r="UCY104" s="769"/>
      <c r="UCZ104" s="769"/>
      <c r="UDA104" s="769"/>
      <c r="UDB104" s="769"/>
      <c r="UDC104" s="769"/>
      <c r="UDD104" s="769"/>
      <c r="UDE104" s="769"/>
      <c r="UDF104" s="769"/>
      <c r="UDG104" s="769"/>
      <c r="UDH104" s="769"/>
      <c r="UDI104" s="769"/>
      <c r="UDJ104" s="769"/>
      <c r="UDK104" s="769"/>
      <c r="UDL104" s="769"/>
      <c r="UDM104" s="769"/>
      <c r="UDN104" s="769"/>
      <c r="UDO104" s="769"/>
      <c r="UDP104" s="769"/>
      <c r="UDQ104" s="769"/>
      <c r="UDR104" s="769"/>
      <c r="UDS104" s="769"/>
      <c r="UDT104" s="769"/>
      <c r="UDU104" s="769"/>
      <c r="UDV104" s="769"/>
      <c r="UDW104" s="769"/>
      <c r="UDX104" s="769"/>
      <c r="UDY104" s="769"/>
      <c r="UDZ104" s="769"/>
      <c r="UEA104" s="769"/>
      <c r="UEB104" s="769"/>
      <c r="UEC104" s="769"/>
      <c r="UED104" s="769"/>
      <c r="UEE104" s="769"/>
      <c r="UEF104" s="769"/>
      <c r="UEG104" s="769"/>
      <c r="UEH104" s="769"/>
      <c r="UEI104" s="769"/>
      <c r="UEJ104" s="769"/>
      <c r="UEK104" s="769"/>
      <c r="UEL104" s="769"/>
      <c r="UEM104" s="769"/>
      <c r="UEN104" s="769"/>
      <c r="UEO104" s="769"/>
      <c r="UEP104" s="769"/>
      <c r="UEQ104" s="769"/>
      <c r="UER104" s="769"/>
      <c r="UES104" s="769"/>
      <c r="UET104" s="769"/>
      <c r="UEU104" s="769"/>
      <c r="UEV104" s="769"/>
      <c r="UEW104" s="769"/>
      <c r="UEX104" s="769"/>
      <c r="UEY104" s="769"/>
      <c r="UEZ104" s="769"/>
      <c r="UFA104" s="769"/>
      <c r="UFB104" s="769"/>
      <c r="UFC104" s="769"/>
      <c r="UFD104" s="769"/>
      <c r="UFE104" s="769"/>
      <c r="UFF104" s="769"/>
      <c r="UFG104" s="769"/>
      <c r="UFH104" s="769"/>
      <c r="UFI104" s="769"/>
      <c r="UFJ104" s="769"/>
      <c r="UFK104" s="769"/>
      <c r="UFL104" s="769"/>
      <c r="UFM104" s="769"/>
      <c r="UFN104" s="769"/>
      <c r="UFO104" s="769"/>
      <c r="UFP104" s="769"/>
      <c r="UFQ104" s="769"/>
      <c r="UFR104" s="769"/>
      <c r="UFS104" s="769"/>
      <c r="UFT104" s="769"/>
      <c r="UFU104" s="769"/>
      <c r="UFV104" s="769"/>
      <c r="UFW104" s="769"/>
      <c r="UFX104" s="769"/>
      <c r="UFY104" s="769"/>
      <c r="UFZ104" s="769"/>
      <c r="UGA104" s="769"/>
      <c r="UGB104" s="769"/>
      <c r="UGC104" s="769"/>
      <c r="UGD104" s="769"/>
      <c r="UGE104" s="769"/>
      <c r="UGF104" s="769"/>
      <c r="UGG104" s="769"/>
      <c r="UGH104" s="769"/>
      <c r="UGI104" s="769"/>
      <c r="UGJ104" s="769"/>
      <c r="UGK104" s="769"/>
      <c r="UGL104" s="769"/>
      <c r="UGM104" s="769"/>
      <c r="UGN104" s="769"/>
      <c r="UGO104" s="769"/>
      <c r="UGP104" s="769"/>
      <c r="UGQ104" s="769"/>
      <c r="UGR104" s="769"/>
      <c r="UGS104" s="769"/>
      <c r="UGT104" s="769"/>
      <c r="UGU104" s="769"/>
      <c r="UGV104" s="769"/>
      <c r="UGW104" s="769"/>
      <c r="UGX104" s="769"/>
      <c r="UGY104" s="769"/>
      <c r="UGZ104" s="769"/>
      <c r="UHA104" s="769"/>
      <c r="UHB104" s="769"/>
      <c r="UHC104" s="769"/>
      <c r="UHD104" s="769"/>
      <c r="UHE104" s="769"/>
      <c r="UHF104" s="769"/>
      <c r="UHG104" s="769"/>
      <c r="UHH104" s="769"/>
      <c r="UHI104" s="769"/>
      <c r="UHJ104" s="769"/>
      <c r="UHK104" s="769"/>
      <c r="UHL104" s="769"/>
      <c r="UHM104" s="769"/>
      <c r="UHN104" s="769"/>
      <c r="UHO104" s="769"/>
      <c r="UHP104" s="769"/>
      <c r="UHQ104" s="769"/>
      <c r="UHR104" s="769"/>
      <c r="UHS104" s="769"/>
      <c r="UHT104" s="769"/>
      <c r="UHU104" s="769"/>
      <c r="UHV104" s="769"/>
      <c r="UHW104" s="769"/>
      <c r="UHX104" s="769"/>
      <c r="UHY104" s="769"/>
      <c r="UHZ104" s="769"/>
      <c r="UIA104" s="769"/>
      <c r="UIB104" s="769"/>
      <c r="UIC104" s="769"/>
      <c r="UID104" s="769"/>
      <c r="UIE104" s="769"/>
      <c r="UIF104" s="769"/>
      <c r="UIG104" s="769"/>
      <c r="UIH104" s="769"/>
      <c r="UII104" s="769"/>
      <c r="UIJ104" s="769"/>
      <c r="UIK104" s="769"/>
      <c r="UIL104" s="769"/>
      <c r="UIM104" s="769"/>
      <c r="UIN104" s="769"/>
      <c r="UIO104" s="769"/>
      <c r="UIP104" s="769"/>
      <c r="UIQ104" s="769"/>
      <c r="UIR104" s="769"/>
      <c r="UIS104" s="769"/>
      <c r="UIT104" s="769"/>
      <c r="UIU104" s="769"/>
      <c r="UIV104" s="769"/>
      <c r="UIW104" s="769"/>
      <c r="UIX104" s="769"/>
      <c r="UIY104" s="769"/>
      <c r="UIZ104" s="769"/>
      <c r="UJA104" s="769"/>
      <c r="UJB104" s="769"/>
      <c r="UJC104" s="769"/>
      <c r="UJD104" s="769"/>
      <c r="UJE104" s="769"/>
      <c r="UJF104" s="769"/>
      <c r="UJG104" s="769"/>
      <c r="UJH104" s="769"/>
      <c r="UJI104" s="769"/>
      <c r="UJJ104" s="769"/>
      <c r="UJK104" s="769"/>
      <c r="UJL104" s="769"/>
      <c r="UJM104" s="769"/>
      <c r="UJN104" s="769"/>
      <c r="UJO104" s="769"/>
      <c r="UJP104" s="769"/>
      <c r="UJQ104" s="769"/>
      <c r="UJR104" s="769"/>
      <c r="UJS104" s="769"/>
      <c r="UJT104" s="769"/>
      <c r="UJU104" s="769"/>
      <c r="UJV104" s="769"/>
      <c r="UJW104" s="769"/>
      <c r="UJX104" s="769"/>
      <c r="UJY104" s="769"/>
      <c r="UJZ104" s="769"/>
      <c r="UKA104" s="769"/>
      <c r="UKB104" s="769"/>
      <c r="UKC104" s="769"/>
      <c r="UKD104" s="769"/>
      <c r="UKE104" s="769"/>
      <c r="UKF104" s="769"/>
      <c r="UKG104" s="769"/>
      <c r="UKH104" s="769"/>
      <c r="UKI104" s="769"/>
      <c r="UKJ104" s="769"/>
      <c r="UKK104" s="769"/>
      <c r="UKL104" s="769"/>
      <c r="UKM104" s="769"/>
      <c r="UKN104" s="769"/>
      <c r="UKO104" s="769"/>
      <c r="UKP104" s="769"/>
      <c r="UKQ104" s="769"/>
      <c r="UKR104" s="769"/>
      <c r="UKS104" s="769"/>
      <c r="UKT104" s="769"/>
      <c r="UKU104" s="769"/>
      <c r="UKV104" s="769"/>
      <c r="UKW104" s="769"/>
      <c r="UKX104" s="769"/>
      <c r="UKY104" s="769"/>
      <c r="UKZ104" s="769"/>
      <c r="ULA104" s="769"/>
      <c r="ULB104" s="769"/>
      <c r="ULC104" s="769"/>
      <c r="ULD104" s="769"/>
      <c r="ULE104" s="769"/>
      <c r="ULF104" s="769"/>
      <c r="ULG104" s="769"/>
      <c r="ULH104" s="769"/>
      <c r="ULI104" s="769"/>
      <c r="ULJ104" s="769"/>
      <c r="ULK104" s="769"/>
      <c r="ULL104" s="769"/>
      <c r="ULM104" s="769"/>
      <c r="ULN104" s="769"/>
      <c r="ULO104" s="769"/>
      <c r="ULP104" s="769"/>
      <c r="ULQ104" s="769"/>
      <c r="ULR104" s="769"/>
      <c r="ULS104" s="769"/>
      <c r="ULT104" s="769"/>
      <c r="ULU104" s="769"/>
      <c r="ULV104" s="769"/>
      <c r="ULW104" s="769"/>
      <c r="ULX104" s="769"/>
      <c r="ULY104" s="769"/>
      <c r="ULZ104" s="769"/>
      <c r="UMA104" s="769"/>
      <c r="UMB104" s="769"/>
      <c r="UMC104" s="769"/>
      <c r="UMD104" s="769"/>
      <c r="UME104" s="769"/>
      <c r="UMF104" s="769"/>
      <c r="UMG104" s="769"/>
      <c r="UMH104" s="769"/>
      <c r="UMI104" s="769"/>
      <c r="UMJ104" s="769"/>
      <c r="UMK104" s="769"/>
      <c r="UML104" s="769"/>
      <c r="UMM104" s="769"/>
      <c r="UMN104" s="769"/>
      <c r="UMO104" s="769"/>
      <c r="UMP104" s="769"/>
      <c r="UMQ104" s="769"/>
      <c r="UMR104" s="769"/>
      <c r="UMS104" s="769"/>
      <c r="UMT104" s="769"/>
      <c r="UMU104" s="769"/>
      <c r="UMV104" s="769"/>
      <c r="UMW104" s="769"/>
      <c r="UMX104" s="769"/>
      <c r="UMY104" s="769"/>
      <c r="UMZ104" s="769"/>
      <c r="UNA104" s="769"/>
      <c r="UNB104" s="769"/>
      <c r="UNC104" s="769"/>
      <c r="UND104" s="769"/>
      <c r="UNE104" s="769"/>
      <c r="UNF104" s="769"/>
      <c r="UNG104" s="769"/>
      <c r="UNH104" s="769"/>
      <c r="UNI104" s="769"/>
      <c r="UNJ104" s="769"/>
      <c r="UNK104" s="769"/>
      <c r="UNL104" s="769"/>
      <c r="UNM104" s="769"/>
      <c r="UNN104" s="769"/>
      <c r="UNO104" s="769"/>
      <c r="UNP104" s="769"/>
      <c r="UNQ104" s="769"/>
      <c r="UNR104" s="769"/>
      <c r="UNS104" s="769"/>
      <c r="UNT104" s="769"/>
      <c r="UNU104" s="769"/>
      <c r="UNV104" s="769"/>
      <c r="UNW104" s="769"/>
      <c r="UNX104" s="769"/>
      <c r="UNY104" s="769"/>
      <c r="UNZ104" s="769"/>
      <c r="UOA104" s="769"/>
      <c r="UOB104" s="769"/>
      <c r="UOC104" s="769"/>
      <c r="UOD104" s="769"/>
      <c r="UOE104" s="769"/>
      <c r="UOF104" s="769"/>
      <c r="UOG104" s="769"/>
      <c r="UOH104" s="769"/>
      <c r="UOI104" s="769"/>
      <c r="UOJ104" s="769"/>
      <c r="UOK104" s="769"/>
      <c r="UOL104" s="769"/>
      <c r="UOM104" s="769"/>
      <c r="UON104" s="769"/>
      <c r="UOO104" s="769"/>
      <c r="UOP104" s="769"/>
      <c r="UOQ104" s="769"/>
      <c r="UOR104" s="769"/>
      <c r="UOS104" s="769"/>
      <c r="UOT104" s="769"/>
      <c r="UOU104" s="769"/>
      <c r="UOV104" s="769"/>
      <c r="UOW104" s="769"/>
      <c r="UOX104" s="769"/>
      <c r="UOY104" s="769"/>
      <c r="UOZ104" s="769"/>
      <c r="UPA104" s="769"/>
      <c r="UPB104" s="769"/>
      <c r="UPC104" s="769"/>
      <c r="UPD104" s="769"/>
      <c r="UPE104" s="769"/>
      <c r="UPF104" s="769"/>
      <c r="UPG104" s="769"/>
      <c r="UPH104" s="769"/>
      <c r="UPI104" s="769"/>
      <c r="UPJ104" s="769"/>
      <c r="UPK104" s="769"/>
      <c r="UPL104" s="769"/>
      <c r="UPM104" s="769"/>
      <c r="UPN104" s="769"/>
      <c r="UPO104" s="769"/>
      <c r="UPP104" s="769"/>
      <c r="UPQ104" s="769"/>
      <c r="UPR104" s="769"/>
      <c r="UPS104" s="769"/>
      <c r="UPT104" s="769"/>
      <c r="UPU104" s="769"/>
      <c r="UPV104" s="769"/>
      <c r="UPW104" s="769"/>
      <c r="UPX104" s="769"/>
      <c r="UPY104" s="769"/>
      <c r="UPZ104" s="769"/>
      <c r="UQA104" s="769"/>
      <c r="UQB104" s="769"/>
      <c r="UQC104" s="769"/>
      <c r="UQD104" s="769"/>
      <c r="UQE104" s="769"/>
      <c r="UQF104" s="769"/>
      <c r="UQG104" s="769"/>
      <c r="UQH104" s="769"/>
      <c r="UQI104" s="769"/>
      <c r="UQJ104" s="769"/>
      <c r="UQK104" s="769"/>
      <c r="UQL104" s="769"/>
      <c r="UQM104" s="769"/>
      <c r="UQN104" s="769"/>
      <c r="UQO104" s="769"/>
      <c r="UQP104" s="769"/>
      <c r="UQQ104" s="769"/>
      <c r="UQR104" s="769"/>
      <c r="UQS104" s="769"/>
      <c r="UQT104" s="769"/>
      <c r="UQU104" s="769"/>
      <c r="UQV104" s="769"/>
      <c r="UQW104" s="769"/>
      <c r="UQX104" s="769"/>
      <c r="UQY104" s="769"/>
      <c r="UQZ104" s="769"/>
      <c r="URA104" s="769"/>
      <c r="URB104" s="769"/>
      <c r="URC104" s="769"/>
      <c r="URD104" s="769"/>
      <c r="URE104" s="769"/>
      <c r="URF104" s="769"/>
      <c r="URG104" s="769"/>
      <c r="URH104" s="769"/>
      <c r="URI104" s="769"/>
      <c r="URJ104" s="769"/>
      <c r="URK104" s="769"/>
      <c r="URL104" s="769"/>
      <c r="URM104" s="769"/>
      <c r="URN104" s="769"/>
      <c r="URO104" s="769"/>
      <c r="URP104" s="769"/>
      <c r="URQ104" s="769"/>
      <c r="URR104" s="769"/>
      <c r="URS104" s="769"/>
      <c r="URT104" s="769"/>
      <c r="URU104" s="769"/>
      <c r="URV104" s="769"/>
      <c r="URW104" s="769"/>
      <c r="URX104" s="769"/>
      <c r="URY104" s="769"/>
      <c r="URZ104" s="769"/>
      <c r="USA104" s="769"/>
      <c r="USB104" s="769"/>
      <c r="USC104" s="769"/>
      <c r="USD104" s="769"/>
      <c r="USE104" s="769"/>
      <c r="USF104" s="769"/>
      <c r="USG104" s="769"/>
      <c r="USH104" s="769"/>
      <c r="USI104" s="769"/>
      <c r="USJ104" s="769"/>
      <c r="USK104" s="769"/>
      <c r="USL104" s="769"/>
      <c r="USM104" s="769"/>
      <c r="USN104" s="769"/>
      <c r="USO104" s="769"/>
      <c r="USP104" s="769"/>
      <c r="USQ104" s="769"/>
      <c r="USR104" s="769"/>
      <c r="USS104" s="769"/>
      <c r="UST104" s="769"/>
      <c r="USU104" s="769"/>
      <c r="USV104" s="769"/>
      <c r="USW104" s="769"/>
      <c r="USX104" s="769"/>
      <c r="USY104" s="769"/>
      <c r="USZ104" s="769"/>
      <c r="UTA104" s="769"/>
      <c r="UTB104" s="769"/>
      <c r="UTC104" s="769"/>
      <c r="UTD104" s="769"/>
      <c r="UTE104" s="769"/>
      <c r="UTF104" s="769"/>
      <c r="UTG104" s="769"/>
      <c r="UTH104" s="769"/>
      <c r="UTI104" s="769"/>
      <c r="UTJ104" s="769"/>
      <c r="UTK104" s="769"/>
      <c r="UTL104" s="769"/>
      <c r="UTM104" s="769"/>
      <c r="UTN104" s="769"/>
      <c r="UTO104" s="769"/>
      <c r="UTP104" s="769"/>
      <c r="UTQ104" s="769"/>
      <c r="UTR104" s="769"/>
      <c r="UTS104" s="769"/>
      <c r="UTT104" s="769"/>
      <c r="UTU104" s="769"/>
      <c r="UTV104" s="769"/>
      <c r="UTW104" s="769"/>
      <c r="UTX104" s="769"/>
      <c r="UTY104" s="769"/>
      <c r="UTZ104" s="769"/>
      <c r="UUA104" s="769"/>
      <c r="UUB104" s="769"/>
      <c r="UUC104" s="769"/>
      <c r="UUD104" s="769"/>
      <c r="UUE104" s="769"/>
      <c r="UUF104" s="769"/>
      <c r="UUG104" s="769"/>
      <c r="UUH104" s="769"/>
      <c r="UUI104" s="769"/>
      <c r="UUJ104" s="769"/>
      <c r="UUK104" s="769"/>
      <c r="UUL104" s="769"/>
      <c r="UUM104" s="769"/>
      <c r="UUN104" s="769"/>
      <c r="UUO104" s="769"/>
      <c r="UUP104" s="769"/>
      <c r="UUQ104" s="769"/>
      <c r="UUR104" s="769"/>
      <c r="UUS104" s="769"/>
      <c r="UUT104" s="769"/>
      <c r="UUU104" s="769"/>
      <c r="UUV104" s="769"/>
      <c r="UUW104" s="769"/>
      <c r="UUX104" s="769"/>
      <c r="UUY104" s="769"/>
      <c r="UUZ104" s="769"/>
      <c r="UVA104" s="769"/>
      <c r="UVB104" s="769"/>
      <c r="UVC104" s="769"/>
      <c r="UVD104" s="769"/>
      <c r="UVE104" s="769"/>
      <c r="UVF104" s="769"/>
      <c r="UVG104" s="769"/>
      <c r="UVH104" s="769"/>
      <c r="UVI104" s="769"/>
      <c r="UVJ104" s="769"/>
      <c r="UVK104" s="769"/>
      <c r="UVL104" s="769"/>
      <c r="UVM104" s="769"/>
      <c r="UVN104" s="769"/>
      <c r="UVO104" s="769"/>
      <c r="UVP104" s="769"/>
      <c r="UVQ104" s="769"/>
      <c r="UVR104" s="769"/>
      <c r="UVS104" s="769"/>
      <c r="UVT104" s="769"/>
      <c r="UVU104" s="769"/>
      <c r="UVV104" s="769"/>
      <c r="UVW104" s="769"/>
      <c r="UVX104" s="769"/>
      <c r="UVY104" s="769"/>
      <c r="UVZ104" s="769"/>
      <c r="UWA104" s="769"/>
      <c r="UWB104" s="769"/>
      <c r="UWC104" s="769"/>
      <c r="UWD104" s="769"/>
      <c r="UWE104" s="769"/>
      <c r="UWF104" s="769"/>
      <c r="UWG104" s="769"/>
      <c r="UWH104" s="769"/>
      <c r="UWI104" s="769"/>
      <c r="UWJ104" s="769"/>
      <c r="UWK104" s="769"/>
      <c r="UWL104" s="769"/>
      <c r="UWM104" s="769"/>
      <c r="UWN104" s="769"/>
      <c r="UWO104" s="769"/>
      <c r="UWP104" s="769"/>
      <c r="UWQ104" s="769"/>
      <c r="UWR104" s="769"/>
      <c r="UWS104" s="769"/>
      <c r="UWT104" s="769"/>
      <c r="UWU104" s="769"/>
      <c r="UWV104" s="769"/>
      <c r="UWW104" s="769"/>
      <c r="UWX104" s="769"/>
      <c r="UWY104" s="769"/>
      <c r="UWZ104" s="769"/>
      <c r="UXA104" s="769"/>
      <c r="UXB104" s="769"/>
      <c r="UXC104" s="769"/>
      <c r="UXD104" s="769"/>
      <c r="UXE104" s="769"/>
      <c r="UXF104" s="769"/>
      <c r="UXG104" s="769"/>
      <c r="UXH104" s="769"/>
      <c r="UXI104" s="769"/>
      <c r="UXJ104" s="769"/>
      <c r="UXK104" s="769"/>
      <c r="UXL104" s="769"/>
      <c r="UXM104" s="769"/>
      <c r="UXN104" s="769"/>
      <c r="UXO104" s="769"/>
      <c r="UXP104" s="769"/>
      <c r="UXQ104" s="769"/>
      <c r="UXR104" s="769"/>
      <c r="UXS104" s="769"/>
      <c r="UXT104" s="769"/>
      <c r="UXU104" s="769"/>
      <c r="UXV104" s="769"/>
      <c r="UXW104" s="769"/>
      <c r="UXX104" s="769"/>
      <c r="UXY104" s="769"/>
      <c r="UXZ104" s="769"/>
      <c r="UYA104" s="769"/>
      <c r="UYB104" s="769"/>
      <c r="UYC104" s="769"/>
      <c r="UYD104" s="769"/>
      <c r="UYE104" s="769"/>
      <c r="UYF104" s="769"/>
      <c r="UYG104" s="769"/>
      <c r="UYH104" s="769"/>
      <c r="UYI104" s="769"/>
      <c r="UYJ104" s="769"/>
      <c r="UYK104" s="769"/>
      <c r="UYL104" s="769"/>
      <c r="UYM104" s="769"/>
      <c r="UYN104" s="769"/>
      <c r="UYO104" s="769"/>
      <c r="UYP104" s="769"/>
      <c r="UYQ104" s="769"/>
      <c r="UYR104" s="769"/>
      <c r="UYS104" s="769"/>
      <c r="UYT104" s="769"/>
      <c r="UYU104" s="769"/>
      <c r="UYV104" s="769"/>
      <c r="UYW104" s="769"/>
      <c r="UYX104" s="769"/>
      <c r="UYY104" s="769"/>
      <c r="UYZ104" s="769"/>
      <c r="UZA104" s="769"/>
      <c r="UZB104" s="769"/>
      <c r="UZC104" s="769"/>
      <c r="UZD104" s="769"/>
      <c r="UZE104" s="769"/>
      <c r="UZF104" s="769"/>
      <c r="UZG104" s="769"/>
      <c r="UZH104" s="769"/>
      <c r="UZI104" s="769"/>
      <c r="UZJ104" s="769"/>
      <c r="UZK104" s="769"/>
      <c r="UZL104" s="769"/>
      <c r="UZM104" s="769"/>
      <c r="UZN104" s="769"/>
      <c r="UZO104" s="769"/>
      <c r="UZP104" s="769"/>
      <c r="UZQ104" s="769"/>
      <c r="UZR104" s="769"/>
      <c r="UZS104" s="769"/>
      <c r="UZT104" s="769"/>
      <c r="UZU104" s="769"/>
      <c r="UZV104" s="769"/>
      <c r="UZW104" s="769"/>
      <c r="UZX104" s="769"/>
      <c r="UZY104" s="769"/>
      <c r="UZZ104" s="769"/>
      <c r="VAA104" s="769"/>
      <c r="VAB104" s="769"/>
      <c r="VAC104" s="769"/>
      <c r="VAD104" s="769"/>
      <c r="VAE104" s="769"/>
      <c r="VAF104" s="769"/>
      <c r="VAG104" s="769"/>
      <c r="VAH104" s="769"/>
      <c r="VAI104" s="769"/>
      <c r="VAJ104" s="769"/>
      <c r="VAK104" s="769"/>
      <c r="VAL104" s="769"/>
      <c r="VAM104" s="769"/>
      <c r="VAN104" s="769"/>
      <c r="VAO104" s="769"/>
      <c r="VAP104" s="769"/>
      <c r="VAQ104" s="769"/>
      <c r="VAR104" s="769"/>
      <c r="VAS104" s="769"/>
      <c r="VAT104" s="769"/>
      <c r="VAU104" s="769"/>
      <c r="VAV104" s="769"/>
      <c r="VAW104" s="769"/>
      <c r="VAX104" s="769"/>
      <c r="VAY104" s="769"/>
      <c r="VAZ104" s="769"/>
      <c r="VBA104" s="769"/>
      <c r="VBB104" s="769"/>
      <c r="VBC104" s="769"/>
      <c r="VBD104" s="769"/>
      <c r="VBE104" s="769"/>
      <c r="VBF104" s="769"/>
      <c r="VBG104" s="769"/>
      <c r="VBH104" s="769"/>
      <c r="VBI104" s="769"/>
      <c r="VBJ104" s="769"/>
      <c r="VBK104" s="769"/>
      <c r="VBL104" s="769"/>
      <c r="VBM104" s="769"/>
      <c r="VBN104" s="769"/>
      <c r="VBO104" s="769"/>
      <c r="VBP104" s="769"/>
      <c r="VBQ104" s="769"/>
      <c r="VBR104" s="769"/>
      <c r="VBS104" s="769"/>
      <c r="VBT104" s="769"/>
      <c r="VBU104" s="769"/>
      <c r="VBV104" s="769"/>
      <c r="VBW104" s="769"/>
      <c r="VBX104" s="769"/>
      <c r="VBY104" s="769"/>
      <c r="VBZ104" s="769"/>
      <c r="VCA104" s="769"/>
      <c r="VCB104" s="769"/>
      <c r="VCC104" s="769"/>
      <c r="VCD104" s="769"/>
      <c r="VCE104" s="769"/>
      <c r="VCF104" s="769"/>
      <c r="VCG104" s="769"/>
      <c r="VCH104" s="769"/>
      <c r="VCI104" s="769"/>
      <c r="VCJ104" s="769"/>
      <c r="VCK104" s="769"/>
      <c r="VCL104" s="769"/>
      <c r="VCM104" s="769"/>
      <c r="VCN104" s="769"/>
      <c r="VCO104" s="769"/>
      <c r="VCP104" s="769"/>
      <c r="VCQ104" s="769"/>
      <c r="VCR104" s="769"/>
      <c r="VCS104" s="769"/>
      <c r="VCT104" s="769"/>
      <c r="VCU104" s="769"/>
      <c r="VCV104" s="769"/>
      <c r="VCW104" s="769"/>
      <c r="VCX104" s="769"/>
      <c r="VCY104" s="769"/>
      <c r="VCZ104" s="769"/>
      <c r="VDA104" s="769"/>
      <c r="VDB104" s="769"/>
      <c r="VDC104" s="769"/>
      <c r="VDD104" s="769"/>
      <c r="VDE104" s="769"/>
      <c r="VDF104" s="769"/>
      <c r="VDG104" s="769"/>
      <c r="VDH104" s="769"/>
      <c r="VDI104" s="769"/>
      <c r="VDJ104" s="769"/>
      <c r="VDK104" s="769"/>
      <c r="VDL104" s="769"/>
      <c r="VDM104" s="769"/>
      <c r="VDN104" s="769"/>
      <c r="VDO104" s="769"/>
      <c r="VDP104" s="769"/>
      <c r="VDQ104" s="769"/>
      <c r="VDR104" s="769"/>
      <c r="VDS104" s="769"/>
      <c r="VDT104" s="769"/>
      <c r="VDU104" s="769"/>
      <c r="VDV104" s="769"/>
      <c r="VDW104" s="769"/>
      <c r="VDX104" s="769"/>
      <c r="VDY104" s="769"/>
      <c r="VDZ104" s="769"/>
      <c r="VEA104" s="769"/>
      <c r="VEB104" s="769"/>
      <c r="VEC104" s="769"/>
      <c r="VED104" s="769"/>
      <c r="VEE104" s="769"/>
      <c r="VEF104" s="769"/>
      <c r="VEG104" s="769"/>
      <c r="VEH104" s="769"/>
      <c r="VEI104" s="769"/>
      <c r="VEJ104" s="769"/>
      <c r="VEK104" s="769"/>
      <c r="VEL104" s="769"/>
      <c r="VEM104" s="769"/>
      <c r="VEN104" s="769"/>
      <c r="VEO104" s="769"/>
      <c r="VEP104" s="769"/>
      <c r="VEQ104" s="769"/>
      <c r="VER104" s="769"/>
      <c r="VES104" s="769"/>
      <c r="VET104" s="769"/>
      <c r="VEU104" s="769"/>
      <c r="VEV104" s="769"/>
      <c r="VEW104" s="769"/>
      <c r="VEX104" s="769"/>
      <c r="VEY104" s="769"/>
      <c r="VEZ104" s="769"/>
      <c r="VFA104" s="769"/>
      <c r="VFB104" s="769"/>
      <c r="VFC104" s="769"/>
      <c r="VFD104" s="769"/>
      <c r="VFE104" s="769"/>
      <c r="VFF104" s="769"/>
      <c r="VFG104" s="769"/>
      <c r="VFH104" s="769"/>
      <c r="VFI104" s="769"/>
      <c r="VFJ104" s="769"/>
      <c r="VFK104" s="769"/>
      <c r="VFL104" s="769"/>
      <c r="VFM104" s="769"/>
      <c r="VFN104" s="769"/>
      <c r="VFO104" s="769"/>
      <c r="VFP104" s="769"/>
      <c r="VFQ104" s="769"/>
      <c r="VFR104" s="769"/>
      <c r="VFS104" s="769"/>
      <c r="VFT104" s="769"/>
      <c r="VFU104" s="769"/>
      <c r="VFV104" s="769"/>
      <c r="VFW104" s="769"/>
      <c r="VFX104" s="769"/>
      <c r="VFY104" s="769"/>
      <c r="VFZ104" s="769"/>
      <c r="VGA104" s="769"/>
      <c r="VGB104" s="769"/>
      <c r="VGC104" s="769"/>
      <c r="VGD104" s="769"/>
      <c r="VGE104" s="769"/>
      <c r="VGF104" s="769"/>
      <c r="VGG104" s="769"/>
      <c r="VGH104" s="769"/>
      <c r="VGI104" s="769"/>
      <c r="VGJ104" s="769"/>
      <c r="VGK104" s="769"/>
      <c r="VGL104" s="769"/>
      <c r="VGM104" s="769"/>
      <c r="VGN104" s="769"/>
      <c r="VGO104" s="769"/>
      <c r="VGP104" s="769"/>
      <c r="VGQ104" s="769"/>
      <c r="VGR104" s="769"/>
      <c r="VGS104" s="769"/>
      <c r="VGT104" s="769"/>
      <c r="VGU104" s="769"/>
      <c r="VGV104" s="769"/>
      <c r="VGW104" s="769"/>
      <c r="VGX104" s="769"/>
      <c r="VGY104" s="769"/>
      <c r="VGZ104" s="769"/>
      <c r="VHA104" s="769"/>
      <c r="VHB104" s="769"/>
      <c r="VHC104" s="769"/>
      <c r="VHD104" s="769"/>
      <c r="VHE104" s="769"/>
      <c r="VHF104" s="769"/>
      <c r="VHG104" s="769"/>
      <c r="VHH104" s="769"/>
      <c r="VHI104" s="769"/>
      <c r="VHJ104" s="769"/>
      <c r="VHK104" s="769"/>
      <c r="VHL104" s="769"/>
      <c r="VHM104" s="769"/>
      <c r="VHN104" s="769"/>
      <c r="VHO104" s="769"/>
      <c r="VHP104" s="769"/>
      <c r="VHQ104" s="769"/>
      <c r="VHR104" s="769"/>
      <c r="VHS104" s="769"/>
      <c r="VHT104" s="769"/>
      <c r="VHU104" s="769"/>
      <c r="VHV104" s="769"/>
      <c r="VHW104" s="769"/>
      <c r="VHX104" s="769"/>
      <c r="VHY104" s="769"/>
      <c r="VHZ104" s="769"/>
      <c r="VIA104" s="769"/>
      <c r="VIB104" s="769"/>
      <c r="VIC104" s="769"/>
      <c r="VID104" s="769"/>
      <c r="VIE104" s="769"/>
      <c r="VIF104" s="769"/>
      <c r="VIG104" s="769"/>
      <c r="VIH104" s="769"/>
      <c r="VII104" s="769"/>
      <c r="VIJ104" s="769"/>
      <c r="VIK104" s="769"/>
      <c r="VIL104" s="769"/>
      <c r="VIM104" s="769"/>
      <c r="VIN104" s="769"/>
      <c r="VIO104" s="769"/>
      <c r="VIP104" s="769"/>
      <c r="VIQ104" s="769"/>
      <c r="VIR104" s="769"/>
      <c r="VIS104" s="769"/>
      <c r="VIT104" s="769"/>
      <c r="VIU104" s="769"/>
      <c r="VIV104" s="769"/>
      <c r="VIW104" s="769"/>
      <c r="VIX104" s="769"/>
      <c r="VIY104" s="769"/>
      <c r="VIZ104" s="769"/>
      <c r="VJA104" s="769"/>
      <c r="VJB104" s="769"/>
      <c r="VJC104" s="769"/>
      <c r="VJD104" s="769"/>
      <c r="VJE104" s="769"/>
      <c r="VJF104" s="769"/>
      <c r="VJG104" s="769"/>
      <c r="VJH104" s="769"/>
      <c r="VJI104" s="769"/>
      <c r="VJJ104" s="769"/>
      <c r="VJK104" s="769"/>
      <c r="VJL104" s="769"/>
      <c r="VJM104" s="769"/>
      <c r="VJN104" s="769"/>
      <c r="VJO104" s="769"/>
      <c r="VJP104" s="769"/>
      <c r="VJQ104" s="769"/>
      <c r="VJR104" s="769"/>
      <c r="VJS104" s="769"/>
      <c r="VJT104" s="769"/>
      <c r="VJU104" s="769"/>
      <c r="VJV104" s="769"/>
      <c r="VJW104" s="769"/>
      <c r="VJX104" s="769"/>
      <c r="VJY104" s="769"/>
      <c r="VJZ104" s="769"/>
      <c r="VKA104" s="769"/>
      <c r="VKB104" s="769"/>
      <c r="VKC104" s="769"/>
      <c r="VKD104" s="769"/>
      <c r="VKE104" s="769"/>
      <c r="VKF104" s="769"/>
      <c r="VKG104" s="769"/>
      <c r="VKH104" s="769"/>
      <c r="VKI104" s="769"/>
      <c r="VKJ104" s="769"/>
      <c r="VKK104" s="769"/>
      <c r="VKL104" s="769"/>
      <c r="VKM104" s="769"/>
      <c r="VKN104" s="769"/>
      <c r="VKO104" s="769"/>
      <c r="VKP104" s="769"/>
      <c r="VKQ104" s="769"/>
      <c r="VKR104" s="769"/>
      <c r="VKS104" s="769"/>
      <c r="VKT104" s="769"/>
      <c r="VKU104" s="769"/>
      <c r="VKV104" s="769"/>
      <c r="VKW104" s="769"/>
      <c r="VKX104" s="769"/>
      <c r="VKY104" s="769"/>
      <c r="VKZ104" s="769"/>
      <c r="VLA104" s="769"/>
      <c r="VLB104" s="769"/>
      <c r="VLC104" s="769"/>
      <c r="VLD104" s="769"/>
      <c r="VLE104" s="769"/>
      <c r="VLF104" s="769"/>
      <c r="VLG104" s="769"/>
      <c r="VLH104" s="769"/>
      <c r="VLI104" s="769"/>
      <c r="VLJ104" s="769"/>
      <c r="VLK104" s="769"/>
      <c r="VLL104" s="769"/>
      <c r="VLM104" s="769"/>
      <c r="VLN104" s="769"/>
      <c r="VLO104" s="769"/>
      <c r="VLP104" s="769"/>
      <c r="VLQ104" s="769"/>
      <c r="VLR104" s="769"/>
      <c r="VLS104" s="769"/>
      <c r="VLT104" s="769"/>
      <c r="VLU104" s="769"/>
      <c r="VLV104" s="769"/>
      <c r="VLW104" s="769"/>
      <c r="VLX104" s="769"/>
      <c r="VLY104" s="769"/>
      <c r="VLZ104" s="769"/>
      <c r="VMA104" s="769"/>
      <c r="VMB104" s="769"/>
      <c r="VMC104" s="769"/>
      <c r="VMD104" s="769"/>
      <c r="VME104" s="769"/>
      <c r="VMF104" s="769"/>
      <c r="VMG104" s="769"/>
      <c r="VMH104" s="769"/>
      <c r="VMI104" s="769"/>
      <c r="VMJ104" s="769"/>
      <c r="VMK104" s="769"/>
      <c r="VML104" s="769"/>
      <c r="VMM104" s="769"/>
      <c r="VMN104" s="769"/>
      <c r="VMO104" s="769"/>
      <c r="VMP104" s="769"/>
      <c r="VMQ104" s="769"/>
      <c r="VMR104" s="769"/>
      <c r="VMS104" s="769"/>
      <c r="VMT104" s="769"/>
      <c r="VMU104" s="769"/>
      <c r="VMV104" s="769"/>
      <c r="VMW104" s="769"/>
      <c r="VMX104" s="769"/>
      <c r="VMY104" s="769"/>
      <c r="VMZ104" s="769"/>
      <c r="VNA104" s="769"/>
      <c r="VNB104" s="769"/>
      <c r="VNC104" s="769"/>
      <c r="VND104" s="769"/>
      <c r="VNE104" s="769"/>
      <c r="VNF104" s="769"/>
      <c r="VNG104" s="769"/>
      <c r="VNH104" s="769"/>
      <c r="VNI104" s="769"/>
      <c r="VNJ104" s="769"/>
      <c r="VNK104" s="769"/>
      <c r="VNL104" s="769"/>
      <c r="VNM104" s="769"/>
      <c r="VNN104" s="769"/>
      <c r="VNO104" s="769"/>
      <c r="VNP104" s="769"/>
      <c r="VNQ104" s="769"/>
      <c r="VNR104" s="769"/>
      <c r="VNS104" s="769"/>
      <c r="VNT104" s="769"/>
      <c r="VNU104" s="769"/>
      <c r="VNV104" s="769"/>
      <c r="VNW104" s="769"/>
      <c r="VNX104" s="769"/>
      <c r="VNY104" s="769"/>
      <c r="VNZ104" s="769"/>
      <c r="VOA104" s="769"/>
      <c r="VOB104" s="769"/>
      <c r="VOC104" s="769"/>
      <c r="VOD104" s="769"/>
      <c r="VOE104" s="769"/>
      <c r="VOF104" s="769"/>
      <c r="VOG104" s="769"/>
      <c r="VOH104" s="769"/>
      <c r="VOI104" s="769"/>
      <c r="VOJ104" s="769"/>
      <c r="VOK104" s="769"/>
      <c r="VOL104" s="769"/>
      <c r="VOM104" s="769"/>
      <c r="VON104" s="769"/>
      <c r="VOO104" s="769"/>
      <c r="VOP104" s="769"/>
      <c r="VOQ104" s="769"/>
      <c r="VOR104" s="769"/>
      <c r="VOS104" s="769"/>
      <c r="VOT104" s="769"/>
      <c r="VOU104" s="769"/>
      <c r="VOV104" s="769"/>
      <c r="VOW104" s="769"/>
      <c r="VOX104" s="769"/>
      <c r="VOY104" s="769"/>
      <c r="VOZ104" s="769"/>
      <c r="VPA104" s="769"/>
      <c r="VPB104" s="769"/>
      <c r="VPC104" s="769"/>
      <c r="VPD104" s="769"/>
      <c r="VPE104" s="769"/>
      <c r="VPF104" s="769"/>
      <c r="VPG104" s="769"/>
      <c r="VPH104" s="769"/>
      <c r="VPI104" s="769"/>
      <c r="VPJ104" s="769"/>
      <c r="VPK104" s="769"/>
      <c r="VPL104" s="769"/>
      <c r="VPM104" s="769"/>
      <c r="VPN104" s="769"/>
      <c r="VPO104" s="769"/>
      <c r="VPP104" s="769"/>
      <c r="VPQ104" s="769"/>
      <c r="VPR104" s="769"/>
      <c r="VPS104" s="769"/>
      <c r="VPT104" s="769"/>
      <c r="VPU104" s="769"/>
      <c r="VPV104" s="769"/>
      <c r="VPW104" s="769"/>
      <c r="VPX104" s="769"/>
      <c r="VPY104" s="769"/>
      <c r="VPZ104" s="769"/>
      <c r="VQA104" s="769"/>
      <c r="VQB104" s="769"/>
      <c r="VQC104" s="769"/>
      <c r="VQD104" s="769"/>
      <c r="VQE104" s="769"/>
      <c r="VQF104" s="769"/>
      <c r="VQG104" s="769"/>
      <c r="VQH104" s="769"/>
      <c r="VQI104" s="769"/>
      <c r="VQJ104" s="769"/>
      <c r="VQK104" s="769"/>
      <c r="VQL104" s="769"/>
      <c r="VQM104" s="769"/>
      <c r="VQN104" s="769"/>
      <c r="VQO104" s="769"/>
      <c r="VQP104" s="769"/>
      <c r="VQQ104" s="769"/>
      <c r="VQR104" s="769"/>
      <c r="VQS104" s="769"/>
      <c r="VQT104" s="769"/>
      <c r="VQU104" s="769"/>
      <c r="VQV104" s="769"/>
      <c r="VQW104" s="769"/>
      <c r="VQX104" s="769"/>
      <c r="VQY104" s="769"/>
      <c r="VQZ104" s="769"/>
      <c r="VRA104" s="769"/>
      <c r="VRB104" s="769"/>
      <c r="VRC104" s="769"/>
      <c r="VRD104" s="769"/>
      <c r="VRE104" s="769"/>
      <c r="VRF104" s="769"/>
      <c r="VRG104" s="769"/>
      <c r="VRH104" s="769"/>
      <c r="VRI104" s="769"/>
      <c r="VRJ104" s="769"/>
      <c r="VRK104" s="769"/>
      <c r="VRL104" s="769"/>
      <c r="VRM104" s="769"/>
      <c r="VRN104" s="769"/>
      <c r="VRO104" s="769"/>
      <c r="VRP104" s="769"/>
      <c r="VRQ104" s="769"/>
      <c r="VRR104" s="769"/>
      <c r="VRS104" s="769"/>
      <c r="VRT104" s="769"/>
      <c r="VRU104" s="769"/>
      <c r="VRV104" s="769"/>
      <c r="VRW104" s="769"/>
      <c r="VRX104" s="769"/>
      <c r="VRY104" s="769"/>
      <c r="VRZ104" s="769"/>
      <c r="VSA104" s="769"/>
      <c r="VSB104" s="769"/>
      <c r="VSC104" s="769"/>
      <c r="VSD104" s="769"/>
      <c r="VSE104" s="769"/>
      <c r="VSF104" s="769"/>
      <c r="VSG104" s="769"/>
      <c r="VSH104" s="769"/>
      <c r="VSI104" s="769"/>
      <c r="VSJ104" s="769"/>
      <c r="VSK104" s="769"/>
      <c r="VSL104" s="769"/>
      <c r="VSM104" s="769"/>
      <c r="VSN104" s="769"/>
      <c r="VSO104" s="769"/>
      <c r="VSP104" s="769"/>
      <c r="VSQ104" s="769"/>
      <c r="VSR104" s="769"/>
      <c r="VSS104" s="769"/>
      <c r="VST104" s="769"/>
      <c r="VSU104" s="769"/>
      <c r="VSV104" s="769"/>
      <c r="VSW104" s="769"/>
      <c r="VSX104" s="769"/>
      <c r="VSY104" s="769"/>
      <c r="VSZ104" s="769"/>
      <c r="VTA104" s="769"/>
      <c r="VTB104" s="769"/>
      <c r="VTC104" s="769"/>
      <c r="VTD104" s="769"/>
      <c r="VTE104" s="769"/>
      <c r="VTF104" s="769"/>
      <c r="VTG104" s="769"/>
      <c r="VTH104" s="769"/>
      <c r="VTI104" s="769"/>
      <c r="VTJ104" s="769"/>
      <c r="VTK104" s="769"/>
      <c r="VTL104" s="769"/>
      <c r="VTM104" s="769"/>
      <c r="VTN104" s="769"/>
      <c r="VTO104" s="769"/>
      <c r="VTP104" s="769"/>
      <c r="VTQ104" s="769"/>
      <c r="VTR104" s="769"/>
      <c r="VTS104" s="769"/>
      <c r="VTT104" s="769"/>
      <c r="VTU104" s="769"/>
      <c r="VTV104" s="769"/>
      <c r="VTW104" s="769"/>
      <c r="VTX104" s="769"/>
      <c r="VTY104" s="769"/>
      <c r="VTZ104" s="769"/>
      <c r="VUA104" s="769"/>
      <c r="VUB104" s="769"/>
      <c r="VUC104" s="769"/>
      <c r="VUD104" s="769"/>
      <c r="VUE104" s="769"/>
      <c r="VUF104" s="769"/>
      <c r="VUG104" s="769"/>
      <c r="VUH104" s="769"/>
      <c r="VUI104" s="769"/>
      <c r="VUJ104" s="769"/>
      <c r="VUK104" s="769"/>
      <c r="VUL104" s="769"/>
      <c r="VUM104" s="769"/>
      <c r="VUN104" s="769"/>
      <c r="VUO104" s="769"/>
      <c r="VUP104" s="769"/>
      <c r="VUQ104" s="769"/>
      <c r="VUR104" s="769"/>
      <c r="VUS104" s="769"/>
      <c r="VUT104" s="769"/>
      <c r="VUU104" s="769"/>
      <c r="VUV104" s="769"/>
      <c r="VUW104" s="769"/>
      <c r="VUX104" s="769"/>
      <c r="VUY104" s="769"/>
      <c r="VUZ104" s="769"/>
      <c r="VVA104" s="769"/>
      <c r="VVB104" s="769"/>
      <c r="VVC104" s="769"/>
      <c r="VVD104" s="769"/>
      <c r="VVE104" s="769"/>
      <c r="VVF104" s="769"/>
      <c r="VVG104" s="769"/>
      <c r="VVH104" s="769"/>
      <c r="VVI104" s="769"/>
      <c r="VVJ104" s="769"/>
      <c r="VVK104" s="769"/>
      <c r="VVL104" s="769"/>
      <c r="VVM104" s="769"/>
      <c r="VVN104" s="769"/>
      <c r="VVO104" s="769"/>
      <c r="VVP104" s="769"/>
      <c r="VVQ104" s="769"/>
      <c r="VVR104" s="769"/>
      <c r="VVS104" s="769"/>
      <c r="VVT104" s="769"/>
      <c r="VVU104" s="769"/>
      <c r="VVV104" s="769"/>
      <c r="VVW104" s="769"/>
      <c r="VVX104" s="769"/>
      <c r="VVY104" s="769"/>
      <c r="VVZ104" s="769"/>
      <c r="VWA104" s="769"/>
      <c r="VWB104" s="769"/>
      <c r="VWC104" s="769"/>
      <c r="VWD104" s="769"/>
      <c r="VWE104" s="769"/>
      <c r="VWF104" s="769"/>
      <c r="VWG104" s="769"/>
      <c r="VWH104" s="769"/>
      <c r="VWI104" s="769"/>
      <c r="VWJ104" s="769"/>
      <c r="VWK104" s="769"/>
      <c r="VWL104" s="769"/>
      <c r="VWM104" s="769"/>
      <c r="VWN104" s="769"/>
      <c r="VWO104" s="769"/>
      <c r="VWP104" s="769"/>
      <c r="VWQ104" s="769"/>
      <c r="VWR104" s="769"/>
      <c r="VWS104" s="769"/>
      <c r="VWT104" s="769"/>
      <c r="VWU104" s="769"/>
      <c r="VWV104" s="769"/>
      <c r="VWW104" s="769"/>
      <c r="VWX104" s="769"/>
      <c r="VWY104" s="769"/>
      <c r="VWZ104" s="769"/>
      <c r="VXA104" s="769"/>
      <c r="VXB104" s="769"/>
      <c r="VXC104" s="769"/>
      <c r="VXD104" s="769"/>
      <c r="VXE104" s="769"/>
      <c r="VXF104" s="769"/>
      <c r="VXG104" s="769"/>
      <c r="VXH104" s="769"/>
      <c r="VXI104" s="769"/>
      <c r="VXJ104" s="769"/>
      <c r="VXK104" s="769"/>
      <c r="VXL104" s="769"/>
      <c r="VXM104" s="769"/>
      <c r="VXN104" s="769"/>
      <c r="VXO104" s="769"/>
      <c r="VXP104" s="769"/>
      <c r="VXQ104" s="769"/>
      <c r="VXR104" s="769"/>
      <c r="VXS104" s="769"/>
      <c r="VXT104" s="769"/>
      <c r="VXU104" s="769"/>
      <c r="VXV104" s="769"/>
      <c r="VXW104" s="769"/>
      <c r="VXX104" s="769"/>
      <c r="VXY104" s="769"/>
      <c r="VXZ104" s="769"/>
      <c r="VYA104" s="769"/>
      <c r="VYB104" s="769"/>
      <c r="VYC104" s="769"/>
      <c r="VYD104" s="769"/>
      <c r="VYE104" s="769"/>
      <c r="VYF104" s="769"/>
      <c r="VYG104" s="769"/>
      <c r="VYH104" s="769"/>
      <c r="VYI104" s="769"/>
      <c r="VYJ104" s="769"/>
      <c r="VYK104" s="769"/>
      <c r="VYL104" s="769"/>
      <c r="VYM104" s="769"/>
      <c r="VYN104" s="769"/>
      <c r="VYO104" s="769"/>
      <c r="VYP104" s="769"/>
      <c r="VYQ104" s="769"/>
      <c r="VYR104" s="769"/>
      <c r="VYS104" s="769"/>
      <c r="VYT104" s="769"/>
      <c r="VYU104" s="769"/>
      <c r="VYV104" s="769"/>
      <c r="VYW104" s="769"/>
      <c r="VYX104" s="769"/>
      <c r="VYY104" s="769"/>
      <c r="VYZ104" s="769"/>
      <c r="VZA104" s="769"/>
      <c r="VZB104" s="769"/>
      <c r="VZC104" s="769"/>
      <c r="VZD104" s="769"/>
      <c r="VZE104" s="769"/>
      <c r="VZF104" s="769"/>
      <c r="VZG104" s="769"/>
      <c r="VZH104" s="769"/>
      <c r="VZI104" s="769"/>
      <c r="VZJ104" s="769"/>
      <c r="VZK104" s="769"/>
      <c r="VZL104" s="769"/>
      <c r="VZM104" s="769"/>
      <c r="VZN104" s="769"/>
      <c r="VZO104" s="769"/>
      <c r="VZP104" s="769"/>
      <c r="VZQ104" s="769"/>
      <c r="VZR104" s="769"/>
      <c r="VZS104" s="769"/>
      <c r="VZT104" s="769"/>
      <c r="VZU104" s="769"/>
      <c r="VZV104" s="769"/>
      <c r="VZW104" s="769"/>
      <c r="VZX104" s="769"/>
      <c r="VZY104" s="769"/>
      <c r="VZZ104" s="769"/>
      <c r="WAA104" s="769"/>
      <c r="WAB104" s="769"/>
      <c r="WAC104" s="769"/>
      <c r="WAD104" s="769"/>
      <c r="WAE104" s="769"/>
      <c r="WAF104" s="769"/>
      <c r="WAG104" s="769"/>
      <c r="WAH104" s="769"/>
      <c r="WAI104" s="769"/>
      <c r="WAJ104" s="769"/>
      <c r="WAK104" s="769"/>
      <c r="WAL104" s="769"/>
      <c r="WAM104" s="769"/>
      <c r="WAN104" s="769"/>
      <c r="WAO104" s="769"/>
      <c r="WAP104" s="769"/>
      <c r="WAQ104" s="769"/>
      <c r="WAR104" s="769"/>
      <c r="WAS104" s="769"/>
      <c r="WAT104" s="769"/>
      <c r="WAU104" s="769"/>
      <c r="WAV104" s="769"/>
      <c r="WAW104" s="769"/>
      <c r="WAX104" s="769"/>
      <c r="WAY104" s="769"/>
      <c r="WAZ104" s="769"/>
      <c r="WBA104" s="769"/>
      <c r="WBB104" s="769"/>
      <c r="WBC104" s="769"/>
      <c r="WBD104" s="769"/>
      <c r="WBE104" s="769"/>
      <c r="WBF104" s="769"/>
      <c r="WBG104" s="769"/>
      <c r="WBH104" s="769"/>
      <c r="WBI104" s="769"/>
      <c r="WBJ104" s="769"/>
      <c r="WBK104" s="769"/>
      <c r="WBL104" s="769"/>
      <c r="WBM104" s="769"/>
      <c r="WBN104" s="769"/>
      <c r="WBO104" s="769"/>
      <c r="WBP104" s="769"/>
      <c r="WBQ104" s="769"/>
      <c r="WBR104" s="769"/>
      <c r="WBS104" s="769"/>
      <c r="WBT104" s="769"/>
      <c r="WBU104" s="769"/>
      <c r="WBV104" s="769"/>
      <c r="WBW104" s="769"/>
      <c r="WBX104" s="769"/>
      <c r="WBY104" s="769"/>
      <c r="WBZ104" s="769"/>
      <c r="WCA104" s="769"/>
      <c r="WCB104" s="769"/>
      <c r="WCC104" s="769"/>
      <c r="WCD104" s="769"/>
      <c r="WCE104" s="769"/>
      <c r="WCF104" s="769"/>
      <c r="WCG104" s="769"/>
      <c r="WCH104" s="769"/>
      <c r="WCI104" s="769"/>
      <c r="WCJ104" s="769"/>
      <c r="WCK104" s="769"/>
      <c r="WCL104" s="769"/>
      <c r="WCM104" s="769"/>
      <c r="WCN104" s="769"/>
      <c r="WCO104" s="769"/>
      <c r="WCP104" s="769"/>
      <c r="WCQ104" s="769"/>
      <c r="WCR104" s="769"/>
      <c r="WCS104" s="769"/>
      <c r="WCT104" s="769"/>
      <c r="WCU104" s="769"/>
      <c r="WCV104" s="769"/>
      <c r="WCW104" s="769"/>
      <c r="WCX104" s="769"/>
      <c r="WCY104" s="769"/>
      <c r="WCZ104" s="769"/>
      <c r="WDA104" s="769"/>
      <c r="WDB104" s="769"/>
      <c r="WDC104" s="769"/>
      <c r="WDD104" s="769"/>
      <c r="WDE104" s="769"/>
      <c r="WDF104" s="769"/>
      <c r="WDG104" s="769"/>
      <c r="WDH104" s="769"/>
      <c r="WDI104" s="769"/>
      <c r="WDJ104" s="769"/>
      <c r="WDK104" s="769"/>
      <c r="WDL104" s="769"/>
      <c r="WDM104" s="769"/>
      <c r="WDN104" s="769"/>
      <c r="WDO104" s="769"/>
      <c r="WDP104" s="769"/>
      <c r="WDQ104" s="769"/>
      <c r="WDR104" s="769"/>
      <c r="WDS104" s="769"/>
      <c r="WDT104" s="769"/>
      <c r="WDU104" s="769"/>
      <c r="WDV104" s="769"/>
      <c r="WDW104" s="769"/>
      <c r="WDX104" s="769"/>
      <c r="WDY104" s="769"/>
      <c r="WDZ104" s="769"/>
      <c r="WEA104" s="769"/>
      <c r="WEB104" s="769"/>
      <c r="WEC104" s="769"/>
      <c r="WED104" s="769"/>
      <c r="WEE104" s="769"/>
      <c r="WEF104" s="769"/>
      <c r="WEG104" s="769"/>
      <c r="WEH104" s="769"/>
      <c r="WEI104" s="769"/>
      <c r="WEJ104" s="769"/>
      <c r="WEK104" s="769"/>
      <c r="WEL104" s="769"/>
      <c r="WEM104" s="769"/>
      <c r="WEN104" s="769"/>
      <c r="WEO104" s="769"/>
      <c r="WEP104" s="769"/>
      <c r="WEQ104" s="769"/>
      <c r="WER104" s="769"/>
      <c r="WES104" s="769"/>
      <c r="WET104" s="769"/>
      <c r="WEU104" s="769"/>
      <c r="WEV104" s="769"/>
      <c r="WEW104" s="769"/>
      <c r="WEX104" s="769"/>
      <c r="WEY104" s="769"/>
      <c r="WEZ104" s="769"/>
      <c r="WFA104" s="769"/>
      <c r="WFB104" s="769"/>
      <c r="WFC104" s="769"/>
      <c r="WFD104" s="769"/>
      <c r="WFE104" s="769"/>
      <c r="WFF104" s="769"/>
      <c r="WFG104" s="769"/>
      <c r="WFH104" s="769"/>
      <c r="WFI104" s="769"/>
      <c r="WFJ104" s="769"/>
      <c r="WFK104" s="769"/>
      <c r="WFL104" s="769"/>
      <c r="WFM104" s="769"/>
      <c r="WFN104" s="769"/>
      <c r="WFO104" s="769"/>
      <c r="WFP104" s="769"/>
      <c r="WFQ104" s="769"/>
      <c r="WFR104" s="769"/>
      <c r="WFS104" s="769"/>
      <c r="WFT104" s="769"/>
      <c r="WFU104" s="769"/>
      <c r="WFV104" s="769"/>
      <c r="WFW104" s="769"/>
      <c r="WFX104" s="769"/>
      <c r="WFY104" s="769"/>
      <c r="WFZ104" s="769"/>
      <c r="WGA104" s="769"/>
      <c r="WGB104" s="769"/>
      <c r="WGC104" s="769"/>
      <c r="WGD104" s="769"/>
      <c r="WGE104" s="769"/>
      <c r="WGF104" s="769"/>
      <c r="WGG104" s="769"/>
      <c r="WGH104" s="769"/>
      <c r="WGI104" s="769"/>
      <c r="WGJ104" s="769"/>
      <c r="WGK104" s="769"/>
      <c r="WGL104" s="769"/>
      <c r="WGM104" s="769"/>
      <c r="WGN104" s="769"/>
      <c r="WGO104" s="769"/>
      <c r="WGP104" s="769"/>
      <c r="WGQ104" s="769"/>
      <c r="WGR104" s="769"/>
      <c r="WGS104" s="769"/>
      <c r="WGT104" s="769"/>
      <c r="WGU104" s="769"/>
      <c r="WGV104" s="769"/>
      <c r="WGW104" s="769"/>
      <c r="WGX104" s="769"/>
      <c r="WGY104" s="769"/>
      <c r="WGZ104" s="769"/>
      <c r="WHA104" s="769"/>
      <c r="WHB104" s="769"/>
      <c r="WHC104" s="769"/>
      <c r="WHD104" s="769"/>
      <c r="WHE104" s="769"/>
      <c r="WHF104" s="769"/>
      <c r="WHG104" s="769"/>
      <c r="WHH104" s="769"/>
      <c r="WHI104" s="769"/>
      <c r="WHJ104" s="769"/>
      <c r="WHK104" s="769"/>
      <c r="WHL104" s="769"/>
      <c r="WHM104" s="769"/>
      <c r="WHN104" s="769"/>
      <c r="WHO104" s="769"/>
      <c r="WHP104" s="769"/>
      <c r="WHQ104" s="769"/>
      <c r="WHR104" s="769"/>
      <c r="WHS104" s="769"/>
      <c r="WHT104" s="769"/>
      <c r="WHU104" s="769"/>
      <c r="WHV104" s="769"/>
      <c r="WHW104" s="769"/>
      <c r="WHX104" s="769"/>
      <c r="WHY104" s="769"/>
      <c r="WHZ104" s="769"/>
      <c r="WIA104" s="769"/>
      <c r="WIB104" s="769"/>
      <c r="WIC104" s="769"/>
      <c r="WID104" s="769"/>
      <c r="WIE104" s="769"/>
      <c r="WIF104" s="769"/>
      <c r="WIG104" s="769"/>
      <c r="WIH104" s="769"/>
      <c r="WII104" s="769"/>
      <c r="WIJ104" s="769"/>
      <c r="WIK104" s="769"/>
      <c r="WIL104" s="769"/>
      <c r="WIM104" s="769"/>
      <c r="WIN104" s="769"/>
      <c r="WIO104" s="769"/>
      <c r="WIP104" s="769"/>
      <c r="WIQ104" s="769"/>
      <c r="WIR104" s="769"/>
      <c r="WIS104" s="769"/>
      <c r="WIT104" s="769"/>
      <c r="WIU104" s="769"/>
      <c r="WIV104" s="769"/>
      <c r="WIW104" s="769"/>
      <c r="WIX104" s="769"/>
      <c r="WIY104" s="769"/>
      <c r="WIZ104" s="769"/>
      <c r="WJA104" s="769"/>
      <c r="WJB104" s="769"/>
      <c r="WJC104" s="769"/>
      <c r="WJD104" s="769"/>
      <c r="WJE104" s="769"/>
      <c r="WJF104" s="769"/>
      <c r="WJG104" s="769"/>
      <c r="WJH104" s="769"/>
      <c r="WJI104" s="769"/>
      <c r="WJJ104" s="769"/>
      <c r="WJK104" s="769"/>
      <c r="WJL104" s="769"/>
      <c r="WJM104" s="769"/>
      <c r="WJN104" s="769"/>
      <c r="WJO104" s="769"/>
      <c r="WJP104" s="769"/>
      <c r="WJQ104" s="769"/>
      <c r="WJR104" s="769"/>
      <c r="WJS104" s="769"/>
      <c r="WJT104" s="769"/>
      <c r="WJU104" s="769"/>
      <c r="WJV104" s="769"/>
      <c r="WJW104" s="769"/>
      <c r="WJX104" s="769"/>
      <c r="WJY104" s="769"/>
      <c r="WJZ104" s="769"/>
      <c r="WKA104" s="769"/>
      <c r="WKB104" s="769"/>
      <c r="WKC104" s="769"/>
      <c r="WKD104" s="769"/>
      <c r="WKE104" s="769"/>
      <c r="WKF104" s="769"/>
      <c r="WKG104" s="769"/>
      <c r="WKH104" s="769"/>
      <c r="WKI104" s="769"/>
      <c r="WKJ104" s="769"/>
      <c r="WKK104" s="769"/>
      <c r="WKL104" s="769"/>
      <c r="WKM104" s="769"/>
      <c r="WKN104" s="769"/>
      <c r="WKO104" s="769"/>
      <c r="WKP104" s="769"/>
      <c r="WKQ104" s="769"/>
      <c r="WKR104" s="769"/>
      <c r="WKS104" s="769"/>
      <c r="WKT104" s="769"/>
      <c r="WKU104" s="769"/>
      <c r="WKV104" s="769"/>
      <c r="WKW104" s="769"/>
      <c r="WKX104" s="769"/>
      <c r="WKY104" s="769"/>
      <c r="WKZ104" s="769"/>
      <c r="WLA104" s="769"/>
      <c r="WLB104" s="769"/>
      <c r="WLC104" s="769"/>
      <c r="WLD104" s="769"/>
      <c r="WLE104" s="769"/>
      <c r="WLF104" s="769"/>
      <c r="WLG104" s="769"/>
      <c r="WLH104" s="769"/>
      <c r="WLI104" s="769"/>
      <c r="WLJ104" s="769"/>
      <c r="WLK104" s="769"/>
      <c r="WLL104" s="769"/>
      <c r="WLM104" s="769"/>
      <c r="WLN104" s="769"/>
      <c r="WLO104" s="769"/>
      <c r="WLP104" s="769"/>
      <c r="WLQ104" s="769"/>
      <c r="WLR104" s="769"/>
      <c r="WLS104" s="769"/>
      <c r="WLT104" s="769"/>
      <c r="WLU104" s="769"/>
      <c r="WLV104" s="769"/>
      <c r="WLW104" s="769"/>
      <c r="WLX104" s="769"/>
      <c r="WLY104" s="769"/>
      <c r="WLZ104" s="769"/>
      <c r="WMA104" s="769"/>
      <c r="WMB104" s="769"/>
      <c r="WMC104" s="769"/>
      <c r="WMD104" s="769"/>
      <c r="WME104" s="769"/>
      <c r="WMF104" s="769"/>
      <c r="WMG104" s="769"/>
      <c r="WMH104" s="769"/>
      <c r="WMI104" s="769"/>
      <c r="WMJ104" s="769"/>
      <c r="WMK104" s="769"/>
      <c r="WML104" s="769"/>
      <c r="WMM104" s="769"/>
      <c r="WMN104" s="769"/>
      <c r="WMO104" s="769"/>
      <c r="WMP104" s="769"/>
      <c r="WMQ104" s="769"/>
      <c r="WMR104" s="769"/>
      <c r="WMS104" s="769"/>
      <c r="WMT104" s="769"/>
      <c r="WMU104" s="769"/>
      <c r="WMV104" s="769"/>
      <c r="WMW104" s="769"/>
      <c r="WMX104" s="769"/>
      <c r="WMY104" s="769"/>
      <c r="WMZ104" s="769"/>
      <c r="WNA104" s="769"/>
      <c r="WNB104" s="769"/>
      <c r="WNC104" s="769"/>
      <c r="WND104" s="769"/>
      <c r="WNE104" s="769"/>
      <c r="WNF104" s="769"/>
      <c r="WNG104" s="769"/>
      <c r="WNH104" s="769"/>
      <c r="WNI104" s="769"/>
      <c r="WNJ104" s="769"/>
      <c r="WNK104" s="769"/>
      <c r="WNL104" s="769"/>
      <c r="WNM104" s="769"/>
      <c r="WNN104" s="769"/>
      <c r="WNO104" s="769"/>
      <c r="WNP104" s="769"/>
      <c r="WNQ104" s="769"/>
      <c r="WNR104" s="769"/>
      <c r="WNS104" s="769"/>
      <c r="WNT104" s="769"/>
      <c r="WNU104" s="769"/>
      <c r="WNV104" s="769"/>
      <c r="WNW104" s="769"/>
      <c r="WNX104" s="769"/>
      <c r="WNY104" s="769"/>
      <c r="WNZ104" s="769"/>
      <c r="WOA104" s="769"/>
      <c r="WOB104" s="769"/>
      <c r="WOC104" s="769"/>
      <c r="WOD104" s="769"/>
      <c r="WOE104" s="769"/>
      <c r="WOF104" s="769"/>
      <c r="WOG104" s="769"/>
      <c r="WOH104" s="769"/>
      <c r="WOI104" s="769"/>
      <c r="WOJ104" s="769"/>
      <c r="WOK104" s="769"/>
      <c r="WOL104" s="769"/>
      <c r="WOM104" s="769"/>
      <c r="WON104" s="769"/>
      <c r="WOO104" s="769"/>
      <c r="WOP104" s="769"/>
      <c r="WOQ104" s="769"/>
      <c r="WOR104" s="769"/>
      <c r="WOS104" s="769"/>
      <c r="WOT104" s="769"/>
      <c r="WOU104" s="769"/>
      <c r="WOV104" s="769"/>
      <c r="WOW104" s="769"/>
      <c r="WOX104" s="769"/>
      <c r="WOY104" s="769"/>
      <c r="WOZ104" s="769"/>
      <c r="WPA104" s="769"/>
      <c r="WPB104" s="769"/>
      <c r="WPC104" s="769"/>
      <c r="WPD104" s="769"/>
      <c r="WPE104" s="769"/>
      <c r="WPF104" s="769"/>
      <c r="WPG104" s="769"/>
      <c r="WPH104" s="769"/>
      <c r="WPI104" s="769"/>
      <c r="WPJ104" s="769"/>
      <c r="WPK104" s="769"/>
      <c r="WPL104" s="769"/>
      <c r="WPM104" s="769"/>
      <c r="WPN104" s="769"/>
      <c r="WPO104" s="769"/>
      <c r="WPP104" s="769"/>
      <c r="WPQ104" s="769"/>
      <c r="WPR104" s="769"/>
      <c r="WPS104" s="769"/>
      <c r="WPT104" s="769"/>
      <c r="WPU104" s="769"/>
      <c r="WPV104" s="769"/>
      <c r="WPW104" s="769"/>
      <c r="WPX104" s="769"/>
      <c r="WPY104" s="769"/>
      <c r="WPZ104" s="769"/>
      <c r="WQA104" s="769"/>
      <c r="WQB104" s="769"/>
      <c r="WQC104" s="769"/>
      <c r="WQD104" s="769"/>
      <c r="WQE104" s="769"/>
      <c r="WQF104" s="769"/>
      <c r="WQG104" s="769"/>
      <c r="WQH104" s="769"/>
      <c r="WQI104" s="769"/>
      <c r="WQJ104" s="769"/>
      <c r="WQK104" s="769"/>
      <c r="WQL104" s="769"/>
      <c r="WQM104" s="769"/>
      <c r="WQN104" s="769"/>
      <c r="WQO104" s="769"/>
      <c r="WQP104" s="769"/>
      <c r="WQQ104" s="769"/>
      <c r="WQR104" s="769"/>
      <c r="WQS104" s="769"/>
      <c r="WQT104" s="769"/>
      <c r="WQU104" s="769"/>
      <c r="WQV104" s="769"/>
      <c r="WQW104" s="769"/>
      <c r="WQX104" s="769"/>
      <c r="WQY104" s="769"/>
      <c r="WQZ104" s="769"/>
      <c r="WRA104" s="769"/>
      <c r="WRB104" s="769"/>
      <c r="WRC104" s="769"/>
      <c r="WRD104" s="769"/>
      <c r="WRE104" s="769"/>
      <c r="WRF104" s="769"/>
      <c r="WRG104" s="769"/>
      <c r="WRH104" s="769"/>
      <c r="WRI104" s="769"/>
      <c r="WRJ104" s="769"/>
      <c r="WRK104" s="769"/>
      <c r="WRL104" s="769"/>
      <c r="WRM104" s="769"/>
      <c r="WRN104" s="769"/>
      <c r="WRO104" s="769"/>
      <c r="WRP104" s="769"/>
      <c r="WRQ104" s="769"/>
      <c r="WRR104" s="769"/>
      <c r="WRS104" s="769"/>
      <c r="WRT104" s="769"/>
      <c r="WRU104" s="769"/>
      <c r="WRV104" s="769"/>
      <c r="WRW104" s="769"/>
      <c r="WRX104" s="769"/>
      <c r="WRY104" s="769"/>
      <c r="WRZ104" s="769"/>
      <c r="WSA104" s="769"/>
      <c r="WSB104" s="769"/>
      <c r="WSC104" s="769"/>
      <c r="WSD104" s="769"/>
      <c r="WSE104" s="769"/>
      <c r="WSF104" s="769"/>
      <c r="WSG104" s="769"/>
      <c r="WSH104" s="769"/>
      <c r="WSI104" s="769"/>
      <c r="WSJ104" s="769"/>
      <c r="WSK104" s="769"/>
      <c r="WSL104" s="769"/>
      <c r="WSM104" s="769"/>
      <c r="WSN104" s="769"/>
      <c r="WSO104" s="769"/>
      <c r="WSP104" s="769"/>
      <c r="WSQ104" s="769"/>
      <c r="WSR104" s="769"/>
      <c r="WSS104" s="769"/>
      <c r="WST104" s="769"/>
      <c r="WSU104" s="769"/>
      <c r="WSV104" s="769"/>
      <c r="WSW104" s="769"/>
      <c r="WSX104" s="769"/>
      <c r="WSY104" s="769"/>
      <c r="WSZ104" s="769"/>
      <c r="WTA104" s="769"/>
      <c r="WTB104" s="769"/>
      <c r="WTC104" s="769"/>
      <c r="WTD104" s="769"/>
      <c r="WTE104" s="769"/>
      <c r="WTF104" s="769"/>
      <c r="WTG104" s="769"/>
      <c r="WTH104" s="769"/>
      <c r="WTI104" s="769"/>
      <c r="WTJ104" s="769"/>
      <c r="WTK104" s="769"/>
      <c r="WTL104" s="769"/>
      <c r="WTM104" s="769"/>
      <c r="WTN104" s="769"/>
      <c r="WTO104" s="769"/>
      <c r="WTP104" s="769"/>
      <c r="WTQ104" s="769"/>
      <c r="WTR104" s="769"/>
      <c r="WTS104" s="769"/>
      <c r="WTT104" s="769"/>
      <c r="WTU104" s="769"/>
      <c r="WTV104" s="769"/>
      <c r="WTW104" s="769"/>
      <c r="WTX104" s="769"/>
      <c r="WTY104" s="769"/>
      <c r="WTZ104" s="769"/>
      <c r="WUA104" s="769"/>
      <c r="WUB104" s="769"/>
      <c r="WUC104" s="769"/>
      <c r="WUD104" s="769"/>
      <c r="WUE104" s="769"/>
      <c r="WUF104" s="769"/>
      <c r="WUG104" s="769"/>
      <c r="WUH104" s="769"/>
      <c r="WUI104" s="769"/>
      <c r="WUJ104" s="769"/>
      <c r="WUK104" s="769"/>
      <c r="WUL104" s="769"/>
      <c r="WUM104" s="769"/>
      <c r="WUN104" s="769"/>
      <c r="WUO104" s="769"/>
      <c r="WUP104" s="769"/>
      <c r="WUQ104" s="769"/>
      <c r="WUR104" s="769"/>
      <c r="WUS104" s="769"/>
      <c r="WUT104" s="769"/>
      <c r="WUU104" s="769"/>
      <c r="WUV104" s="769"/>
      <c r="WUW104" s="769"/>
      <c r="WUX104" s="769"/>
      <c r="WUY104" s="769"/>
      <c r="WUZ104" s="769"/>
      <c r="WVA104" s="769"/>
      <c r="WVB104" s="769"/>
      <c r="WVC104" s="769"/>
      <c r="WVD104" s="769"/>
      <c r="WVE104" s="769"/>
      <c r="WVF104" s="769"/>
      <c r="WVG104" s="769"/>
      <c r="WVH104" s="769"/>
      <c r="WVI104" s="769"/>
      <c r="WVJ104" s="769"/>
      <c r="WVK104" s="769"/>
      <c r="WVL104" s="769"/>
      <c r="WVM104" s="769"/>
      <c r="WVN104" s="769"/>
      <c r="WVO104" s="769"/>
      <c r="WVP104" s="769"/>
      <c r="WVQ104" s="769"/>
      <c r="WVR104" s="769"/>
      <c r="WVS104" s="769"/>
      <c r="WVT104" s="769"/>
      <c r="WVU104" s="769"/>
      <c r="WVV104" s="769"/>
      <c r="WVW104" s="769"/>
      <c r="WVX104" s="769"/>
      <c r="WVY104" s="769"/>
      <c r="WVZ104" s="769"/>
      <c r="WWA104" s="769"/>
      <c r="WWB104" s="769"/>
      <c r="WWC104" s="769"/>
      <c r="WWD104" s="769"/>
      <c r="WWE104" s="769"/>
      <c r="WWF104" s="769"/>
      <c r="WWG104" s="769"/>
      <c r="WWH104" s="769"/>
      <c r="WWI104" s="769"/>
      <c r="WWJ104" s="769"/>
      <c r="WWK104" s="769"/>
      <c r="WWL104" s="769"/>
      <c r="WWM104" s="769"/>
      <c r="WWN104" s="769"/>
      <c r="WWO104" s="769"/>
      <c r="WWP104" s="769"/>
      <c r="WWQ104" s="769"/>
      <c r="WWR104" s="769"/>
      <c r="WWS104" s="769"/>
      <c r="WWT104" s="769"/>
      <c r="WWU104" s="769"/>
      <c r="WWV104" s="769"/>
      <c r="WWW104" s="769"/>
      <c r="WWX104" s="769"/>
      <c r="WWY104" s="769"/>
      <c r="WWZ104" s="769"/>
      <c r="WXA104" s="769"/>
      <c r="WXB104" s="769"/>
      <c r="WXC104" s="769"/>
      <c r="WXD104" s="769"/>
      <c r="WXE104" s="769"/>
      <c r="WXF104" s="769"/>
      <c r="WXG104" s="769"/>
      <c r="WXH104" s="769"/>
      <c r="WXI104" s="769"/>
      <c r="WXJ104" s="769"/>
      <c r="WXK104" s="769"/>
      <c r="WXL104" s="769"/>
      <c r="WXM104" s="769"/>
      <c r="WXN104" s="769"/>
      <c r="WXO104" s="769"/>
      <c r="WXP104" s="769"/>
      <c r="WXQ104" s="769"/>
      <c r="WXR104" s="769"/>
      <c r="WXS104" s="769"/>
      <c r="WXT104" s="769"/>
      <c r="WXU104" s="769"/>
      <c r="WXV104" s="769"/>
      <c r="WXW104" s="769"/>
      <c r="WXX104" s="769"/>
      <c r="WXY104" s="769"/>
      <c r="WXZ104" s="769"/>
      <c r="WYA104" s="769"/>
      <c r="WYB104" s="769"/>
      <c r="WYC104" s="769"/>
      <c r="WYD104" s="769"/>
      <c r="WYE104" s="769"/>
      <c r="WYF104" s="769"/>
      <c r="WYG104" s="769"/>
      <c r="WYH104" s="769"/>
      <c r="WYI104" s="769"/>
      <c r="WYJ104" s="769"/>
      <c r="WYK104" s="769"/>
      <c r="WYL104" s="769"/>
      <c r="WYM104" s="769"/>
      <c r="WYN104" s="769"/>
      <c r="WYO104" s="769"/>
      <c r="WYP104" s="769"/>
      <c r="WYQ104" s="769"/>
      <c r="WYR104" s="769"/>
      <c r="WYS104" s="769"/>
      <c r="WYT104" s="769"/>
      <c r="WYU104" s="769"/>
      <c r="WYV104" s="769"/>
      <c r="WYW104" s="769"/>
      <c r="WYX104" s="769"/>
      <c r="WYY104" s="769"/>
      <c r="WYZ104" s="769"/>
      <c r="WZA104" s="769"/>
      <c r="WZB104" s="769"/>
      <c r="WZC104" s="769"/>
      <c r="WZD104" s="769"/>
      <c r="WZE104" s="769"/>
      <c r="WZF104" s="769"/>
      <c r="WZG104" s="769"/>
      <c r="WZH104" s="769"/>
      <c r="WZI104" s="769"/>
      <c r="WZJ104" s="769"/>
      <c r="WZK104" s="769"/>
      <c r="WZL104" s="769"/>
      <c r="WZM104" s="769"/>
      <c r="WZN104" s="769"/>
      <c r="WZO104" s="769"/>
      <c r="WZP104" s="769"/>
      <c r="WZQ104" s="769"/>
      <c r="WZR104" s="769"/>
      <c r="WZS104" s="769"/>
      <c r="WZT104" s="769"/>
      <c r="WZU104" s="769"/>
      <c r="WZV104" s="769"/>
      <c r="WZW104" s="769"/>
      <c r="WZX104" s="769"/>
      <c r="WZY104" s="769"/>
      <c r="WZZ104" s="769"/>
      <c r="XAA104" s="769"/>
      <c r="XAB104" s="769"/>
      <c r="XAC104" s="769"/>
      <c r="XAD104" s="769"/>
      <c r="XAE104" s="769"/>
      <c r="XAF104" s="769"/>
      <c r="XAG104" s="769"/>
      <c r="XAH104" s="769"/>
      <c r="XAI104" s="769"/>
      <c r="XAJ104" s="769"/>
      <c r="XAK104" s="769"/>
      <c r="XAL104" s="769"/>
      <c r="XAM104" s="769"/>
      <c r="XAN104" s="769"/>
      <c r="XAO104" s="769"/>
      <c r="XAP104" s="769"/>
      <c r="XAQ104" s="769"/>
      <c r="XAR104" s="769"/>
      <c r="XAS104" s="769"/>
      <c r="XAT104" s="769"/>
      <c r="XAU104" s="769"/>
      <c r="XAV104" s="769"/>
      <c r="XAW104" s="769"/>
      <c r="XAX104" s="769"/>
      <c r="XAY104" s="769"/>
      <c r="XAZ104" s="769"/>
      <c r="XBA104" s="769"/>
      <c r="XBB104" s="769"/>
      <c r="XBC104" s="769"/>
      <c r="XBD104" s="769"/>
      <c r="XBE104" s="769"/>
      <c r="XBF104" s="769"/>
      <c r="XBG104" s="769"/>
      <c r="XBH104" s="769"/>
      <c r="XBI104" s="769"/>
      <c r="XBJ104" s="769"/>
      <c r="XBK104" s="769"/>
      <c r="XBL104" s="769"/>
      <c r="XBM104" s="769"/>
      <c r="XBN104" s="769"/>
      <c r="XBO104" s="769"/>
      <c r="XBP104" s="769"/>
      <c r="XBQ104" s="769"/>
      <c r="XBR104" s="769"/>
      <c r="XBS104" s="769"/>
      <c r="XBT104" s="769"/>
      <c r="XBU104" s="769"/>
      <c r="XBV104" s="769"/>
      <c r="XBW104" s="769"/>
      <c r="XBX104" s="769"/>
      <c r="XBY104" s="769"/>
      <c r="XBZ104" s="769"/>
      <c r="XCA104" s="769"/>
      <c r="XCB104" s="769"/>
      <c r="XCC104" s="769"/>
      <c r="XCD104" s="769"/>
      <c r="XCE104" s="769"/>
      <c r="XCF104" s="769"/>
      <c r="XCG104" s="769"/>
      <c r="XCH104" s="769"/>
      <c r="XCI104" s="769"/>
      <c r="XCJ104" s="769"/>
      <c r="XCK104" s="769"/>
      <c r="XCL104" s="769"/>
      <c r="XCM104" s="769"/>
      <c r="XCN104" s="769"/>
      <c r="XCO104" s="769"/>
      <c r="XCP104" s="769"/>
      <c r="XCQ104" s="769"/>
      <c r="XCR104" s="769"/>
      <c r="XCS104" s="769"/>
      <c r="XCT104" s="769"/>
      <c r="XCU104" s="769"/>
      <c r="XCV104" s="769"/>
      <c r="XCW104" s="769"/>
      <c r="XCX104" s="769"/>
      <c r="XCY104" s="769"/>
      <c r="XCZ104" s="769"/>
      <c r="XDA104" s="769"/>
      <c r="XDB104" s="769"/>
      <c r="XDC104" s="769"/>
      <c r="XDD104" s="769"/>
      <c r="XDE104" s="769"/>
      <c r="XDF104" s="769"/>
      <c r="XDG104" s="769"/>
      <c r="XDH104" s="769"/>
      <c r="XDI104" s="769"/>
      <c r="XDJ104" s="769"/>
      <c r="XDK104" s="769"/>
      <c r="XDL104" s="769"/>
      <c r="XDM104" s="769"/>
      <c r="XDN104" s="769"/>
      <c r="XDO104" s="769"/>
      <c r="XDP104" s="769"/>
      <c r="XDQ104" s="769"/>
      <c r="XDR104" s="769"/>
      <c r="XDS104" s="769"/>
      <c r="XDT104" s="769"/>
      <c r="XDU104" s="769"/>
      <c r="XDV104" s="769"/>
      <c r="XDW104" s="769"/>
      <c r="XDX104" s="769"/>
      <c r="XDY104" s="769"/>
      <c r="XDZ104" s="769"/>
      <c r="XEA104" s="769"/>
      <c r="XEB104" s="769"/>
      <c r="XEC104" s="769"/>
      <c r="XED104" s="769"/>
      <c r="XEE104" s="769"/>
      <c r="XEF104" s="769"/>
      <c r="XEG104" s="769"/>
      <c r="XEH104" s="769"/>
      <c r="XEI104" s="769"/>
      <c r="XEJ104" s="769"/>
      <c r="XEK104" s="769"/>
      <c r="XEL104" s="769"/>
      <c r="XEM104" s="769"/>
      <c r="XEN104" s="769"/>
      <c r="XEO104" s="769"/>
      <c r="XEP104" s="769"/>
      <c r="XEQ104" s="769"/>
      <c r="XER104" s="769"/>
      <c r="XES104" s="769"/>
      <c r="XET104" s="769"/>
      <c r="XEU104" s="769"/>
      <c r="XEV104" s="769"/>
      <c r="XEW104" s="769"/>
      <c r="XEX104" s="769"/>
      <c r="XEY104" s="769"/>
      <c r="XEZ104" s="769"/>
      <c r="XFA104" s="769"/>
      <c r="XFB104" s="769"/>
    </row>
    <row r="105" spans="1:16382" hidden="1" x14ac:dyDescent="0.25">
      <c r="A105" s="769"/>
      <c r="B105" s="2186"/>
      <c r="C105" s="2225"/>
      <c r="D105" s="2236"/>
      <c r="E105" s="2236"/>
      <c r="F105" s="2236"/>
      <c r="G105" s="2236"/>
      <c r="H105" s="2236"/>
      <c r="I105" s="2236"/>
      <c r="J105" s="2236"/>
      <c r="K105" s="2236"/>
      <c r="L105" s="2237"/>
      <c r="M105" s="2237"/>
      <c r="N105" s="2237"/>
      <c r="O105" s="2237"/>
      <c r="P105" s="2238"/>
      <c r="Q105" s="2239"/>
      <c r="R105" s="769"/>
      <c r="S105" s="769"/>
      <c r="T105" s="769"/>
      <c r="U105" s="769"/>
      <c r="V105" s="769"/>
      <c r="W105" s="769"/>
      <c r="X105" s="769"/>
      <c r="Y105" s="769"/>
      <c r="Z105" s="769"/>
      <c r="AA105" s="769"/>
      <c r="AB105" s="769"/>
      <c r="AC105" s="769"/>
      <c r="AD105" s="769"/>
      <c r="AE105" s="769"/>
      <c r="AF105" s="769"/>
      <c r="AG105" s="769"/>
      <c r="AH105" s="769"/>
      <c r="AI105" s="769"/>
      <c r="AJ105" s="769"/>
      <c r="AK105" s="769"/>
      <c r="AL105" s="769"/>
      <c r="AM105" s="769"/>
      <c r="AN105" s="769"/>
      <c r="AO105" s="769"/>
      <c r="AP105" s="769"/>
      <c r="AQ105" s="769"/>
      <c r="AR105" s="769"/>
      <c r="AS105" s="769"/>
      <c r="AT105" s="769"/>
      <c r="AU105" s="769"/>
      <c r="AV105" s="769"/>
      <c r="AW105" s="769"/>
      <c r="AX105" s="769"/>
      <c r="AY105" s="769"/>
      <c r="AZ105" s="769"/>
      <c r="BA105" s="769"/>
      <c r="BB105" s="769"/>
      <c r="BC105" s="769"/>
      <c r="BD105" s="769"/>
      <c r="BE105" s="769"/>
      <c r="BF105" s="769"/>
      <c r="BG105" s="769"/>
      <c r="BH105" s="769"/>
      <c r="BI105" s="769"/>
      <c r="BJ105" s="769"/>
      <c r="BK105" s="769"/>
      <c r="BL105" s="769"/>
      <c r="BM105" s="769"/>
      <c r="BN105" s="769"/>
      <c r="BO105" s="769"/>
      <c r="BP105" s="769"/>
      <c r="BQ105" s="769"/>
      <c r="BR105" s="769"/>
      <c r="BS105" s="769"/>
      <c r="BT105" s="769"/>
      <c r="BU105" s="769"/>
      <c r="BV105" s="769"/>
      <c r="BW105" s="769"/>
      <c r="BX105" s="769"/>
      <c r="BY105" s="769"/>
      <c r="BZ105" s="769"/>
      <c r="CA105" s="769"/>
      <c r="CB105" s="769"/>
      <c r="CC105" s="769"/>
      <c r="CD105" s="769"/>
      <c r="CE105" s="769"/>
      <c r="CF105" s="769"/>
      <c r="CG105" s="769"/>
      <c r="CH105" s="769"/>
      <c r="CI105" s="769"/>
      <c r="CJ105" s="769"/>
      <c r="CK105" s="769"/>
      <c r="CL105" s="769"/>
      <c r="CM105" s="769"/>
      <c r="CN105" s="769"/>
      <c r="CO105" s="769"/>
      <c r="CP105" s="769"/>
      <c r="CQ105" s="769"/>
      <c r="CR105" s="769"/>
      <c r="CS105" s="769"/>
      <c r="CT105" s="769"/>
      <c r="CU105" s="769"/>
      <c r="CV105" s="769"/>
      <c r="CW105" s="769"/>
      <c r="CX105" s="769"/>
      <c r="CY105" s="769"/>
      <c r="CZ105" s="769"/>
      <c r="DA105" s="769"/>
      <c r="DB105" s="769"/>
      <c r="DC105" s="769"/>
      <c r="DD105" s="769"/>
      <c r="DE105" s="769"/>
      <c r="DF105" s="769"/>
      <c r="DG105" s="769"/>
      <c r="DH105" s="769"/>
      <c r="DI105" s="769"/>
      <c r="DJ105" s="769"/>
      <c r="DK105" s="769"/>
      <c r="DL105" s="769"/>
      <c r="DM105" s="769"/>
      <c r="DN105" s="769"/>
      <c r="DO105" s="769"/>
      <c r="DP105" s="769"/>
      <c r="DQ105" s="769"/>
      <c r="DR105" s="769"/>
      <c r="DS105" s="769"/>
      <c r="DT105" s="769"/>
      <c r="DU105" s="769"/>
      <c r="DV105" s="769"/>
      <c r="DW105" s="769"/>
      <c r="DX105" s="769"/>
      <c r="DY105" s="769"/>
      <c r="DZ105" s="769"/>
      <c r="EA105" s="769"/>
      <c r="EB105" s="769"/>
      <c r="EC105" s="769"/>
      <c r="ED105" s="769"/>
      <c r="EE105" s="769"/>
      <c r="EF105" s="769"/>
      <c r="EG105" s="769"/>
      <c r="EH105" s="769"/>
      <c r="EI105" s="769"/>
      <c r="EJ105" s="769"/>
      <c r="EK105" s="769"/>
      <c r="EL105" s="769"/>
      <c r="EM105" s="769"/>
      <c r="EN105" s="769"/>
      <c r="EO105" s="769"/>
      <c r="EP105" s="769"/>
      <c r="EQ105" s="769"/>
      <c r="ER105" s="769"/>
      <c r="ES105" s="769"/>
      <c r="ET105" s="769"/>
      <c r="EU105" s="769"/>
      <c r="EV105" s="769"/>
      <c r="EW105" s="769"/>
      <c r="EX105" s="769"/>
      <c r="EY105" s="769"/>
      <c r="EZ105" s="769"/>
      <c r="FA105" s="769"/>
      <c r="FB105" s="769"/>
      <c r="FC105" s="769"/>
      <c r="FD105" s="769"/>
      <c r="FE105" s="769"/>
      <c r="FF105" s="769"/>
      <c r="FG105" s="769"/>
      <c r="FH105" s="769"/>
      <c r="FI105" s="769"/>
      <c r="FJ105" s="769"/>
      <c r="FK105" s="769"/>
      <c r="FL105" s="769"/>
      <c r="FM105" s="769"/>
      <c r="FN105" s="769"/>
      <c r="FO105" s="769"/>
      <c r="FP105" s="769"/>
      <c r="FQ105" s="769"/>
      <c r="FR105" s="769"/>
      <c r="FS105" s="769"/>
      <c r="FT105" s="769"/>
      <c r="FU105" s="769"/>
      <c r="FV105" s="769"/>
      <c r="FW105" s="769"/>
      <c r="FX105" s="769"/>
      <c r="FY105" s="769"/>
      <c r="FZ105" s="769"/>
      <c r="GA105" s="769"/>
      <c r="GB105" s="769"/>
      <c r="GC105" s="769"/>
      <c r="GD105" s="769"/>
      <c r="GE105" s="769"/>
      <c r="GF105" s="769"/>
      <c r="GG105" s="769"/>
      <c r="GH105" s="769"/>
      <c r="GI105" s="769"/>
      <c r="GJ105" s="769"/>
      <c r="GK105" s="769"/>
      <c r="GL105" s="769"/>
      <c r="GM105" s="769"/>
      <c r="GN105" s="769"/>
      <c r="GO105" s="769"/>
      <c r="GP105" s="769"/>
      <c r="GQ105" s="769"/>
      <c r="GR105" s="769"/>
      <c r="GS105" s="769"/>
      <c r="GT105" s="769"/>
      <c r="GU105" s="769"/>
      <c r="GV105" s="769"/>
      <c r="GW105" s="769"/>
      <c r="GX105" s="769"/>
      <c r="GY105" s="769"/>
      <c r="GZ105" s="769"/>
      <c r="HA105" s="769"/>
      <c r="HB105" s="769"/>
      <c r="HC105" s="769"/>
      <c r="HD105" s="769"/>
      <c r="HE105" s="769"/>
      <c r="HF105" s="769"/>
      <c r="HG105" s="769"/>
      <c r="HH105" s="769"/>
      <c r="HI105" s="769"/>
      <c r="HJ105" s="769"/>
      <c r="HK105" s="769"/>
      <c r="HL105" s="769"/>
      <c r="HM105" s="769"/>
      <c r="HN105" s="769"/>
      <c r="HO105" s="769"/>
      <c r="HP105" s="769"/>
      <c r="HQ105" s="769"/>
      <c r="HR105" s="769"/>
      <c r="HS105" s="769"/>
      <c r="HT105" s="769"/>
      <c r="HU105" s="769"/>
      <c r="HV105" s="769"/>
      <c r="HW105" s="769"/>
      <c r="HX105" s="769"/>
      <c r="HY105" s="769"/>
      <c r="HZ105" s="769"/>
      <c r="IA105" s="769"/>
      <c r="IB105" s="769"/>
      <c r="IC105" s="769"/>
      <c r="ID105" s="769"/>
      <c r="IE105" s="769"/>
      <c r="IF105" s="769"/>
      <c r="IG105" s="769"/>
      <c r="IH105" s="769"/>
      <c r="II105" s="769"/>
      <c r="IJ105" s="769"/>
      <c r="IK105" s="769"/>
      <c r="IL105" s="769"/>
      <c r="IM105" s="769"/>
      <c r="IN105" s="769"/>
      <c r="IO105" s="769"/>
      <c r="IP105" s="769"/>
      <c r="IQ105" s="769"/>
      <c r="IR105" s="769"/>
      <c r="IS105" s="769"/>
      <c r="IT105" s="769"/>
      <c r="IU105" s="769"/>
      <c r="IV105" s="769"/>
      <c r="IW105" s="769"/>
      <c r="IX105" s="769"/>
      <c r="IY105" s="769"/>
      <c r="IZ105" s="769"/>
      <c r="JA105" s="769"/>
      <c r="JB105" s="769"/>
      <c r="JC105" s="769"/>
      <c r="JD105" s="769"/>
      <c r="JE105" s="769"/>
      <c r="JF105" s="769"/>
      <c r="JG105" s="769"/>
      <c r="JH105" s="769"/>
      <c r="JI105" s="769"/>
      <c r="JJ105" s="769"/>
      <c r="JK105" s="769"/>
      <c r="JL105" s="769"/>
      <c r="JM105" s="769"/>
      <c r="JN105" s="769"/>
      <c r="JO105" s="769"/>
      <c r="JP105" s="769"/>
      <c r="JQ105" s="769"/>
      <c r="JR105" s="769"/>
      <c r="JS105" s="769"/>
      <c r="JT105" s="769"/>
      <c r="JU105" s="769"/>
      <c r="JV105" s="769"/>
      <c r="JW105" s="769"/>
      <c r="JX105" s="769"/>
      <c r="JY105" s="769"/>
      <c r="JZ105" s="769"/>
      <c r="KA105" s="769"/>
      <c r="KB105" s="769"/>
      <c r="KC105" s="769"/>
      <c r="KD105" s="769"/>
      <c r="KE105" s="769"/>
      <c r="KF105" s="769"/>
      <c r="KG105" s="769"/>
      <c r="KH105" s="769"/>
      <c r="KI105" s="769"/>
      <c r="KJ105" s="769"/>
      <c r="KK105" s="769"/>
      <c r="KL105" s="769"/>
      <c r="KM105" s="769"/>
      <c r="KN105" s="769"/>
      <c r="KO105" s="769"/>
      <c r="KP105" s="769"/>
      <c r="KQ105" s="769"/>
      <c r="KR105" s="769"/>
      <c r="KS105" s="769"/>
      <c r="KT105" s="769"/>
      <c r="KU105" s="769"/>
      <c r="KV105" s="769"/>
      <c r="KW105" s="769"/>
      <c r="KX105" s="769"/>
      <c r="KY105" s="769"/>
      <c r="KZ105" s="769"/>
      <c r="LA105" s="769"/>
      <c r="LB105" s="769"/>
      <c r="LC105" s="769"/>
      <c r="LD105" s="769"/>
      <c r="LE105" s="769"/>
      <c r="LF105" s="769"/>
      <c r="LG105" s="769"/>
      <c r="LH105" s="769"/>
      <c r="LI105" s="769"/>
      <c r="LJ105" s="769"/>
      <c r="LK105" s="769"/>
      <c r="LL105" s="769"/>
      <c r="LM105" s="769"/>
      <c r="LN105" s="769"/>
      <c r="LO105" s="769"/>
      <c r="LP105" s="769"/>
      <c r="LQ105" s="769"/>
      <c r="LR105" s="769"/>
      <c r="LS105" s="769"/>
      <c r="LT105" s="769"/>
      <c r="LU105" s="769"/>
      <c r="LV105" s="769"/>
      <c r="LW105" s="769"/>
      <c r="LX105" s="769"/>
      <c r="LY105" s="769"/>
      <c r="LZ105" s="769"/>
      <c r="MA105" s="769"/>
      <c r="MB105" s="769"/>
      <c r="MC105" s="769"/>
      <c r="MD105" s="769"/>
      <c r="ME105" s="769"/>
      <c r="MF105" s="769"/>
      <c r="MG105" s="769"/>
      <c r="MH105" s="769"/>
      <c r="MI105" s="769"/>
      <c r="MJ105" s="769"/>
      <c r="MK105" s="769"/>
      <c r="ML105" s="769"/>
      <c r="MM105" s="769"/>
      <c r="MN105" s="769"/>
      <c r="MO105" s="769"/>
      <c r="MP105" s="769"/>
      <c r="MQ105" s="769"/>
      <c r="MR105" s="769"/>
      <c r="MS105" s="769"/>
      <c r="MT105" s="769"/>
      <c r="MU105" s="769"/>
      <c r="MV105" s="769"/>
      <c r="MW105" s="769"/>
      <c r="MX105" s="769"/>
      <c r="MY105" s="769"/>
      <c r="MZ105" s="769"/>
      <c r="NA105" s="769"/>
      <c r="NB105" s="769"/>
      <c r="NC105" s="769"/>
      <c r="ND105" s="769"/>
      <c r="NE105" s="769"/>
      <c r="NF105" s="769"/>
      <c r="NG105" s="769"/>
      <c r="NH105" s="769"/>
      <c r="NI105" s="769"/>
      <c r="NJ105" s="769"/>
      <c r="NK105" s="769"/>
      <c r="NL105" s="769"/>
      <c r="NM105" s="769"/>
      <c r="NN105" s="769"/>
      <c r="NO105" s="769"/>
      <c r="NP105" s="769"/>
      <c r="NQ105" s="769"/>
      <c r="NR105" s="769"/>
      <c r="NS105" s="769"/>
      <c r="NT105" s="769"/>
      <c r="NU105" s="769"/>
      <c r="NV105" s="769"/>
      <c r="NW105" s="769"/>
      <c r="NX105" s="769"/>
      <c r="NY105" s="769"/>
      <c r="NZ105" s="769"/>
      <c r="OA105" s="769"/>
      <c r="OB105" s="769"/>
      <c r="OC105" s="769"/>
      <c r="OD105" s="769"/>
      <c r="OE105" s="769"/>
      <c r="OF105" s="769"/>
      <c r="OG105" s="769"/>
      <c r="OH105" s="769"/>
      <c r="OI105" s="769"/>
      <c r="OJ105" s="769"/>
      <c r="OK105" s="769"/>
      <c r="OL105" s="769"/>
      <c r="OM105" s="769"/>
      <c r="ON105" s="769"/>
      <c r="OO105" s="769"/>
      <c r="OP105" s="769"/>
      <c r="OQ105" s="769"/>
      <c r="OR105" s="769"/>
      <c r="OS105" s="769"/>
      <c r="OT105" s="769"/>
      <c r="OU105" s="769"/>
      <c r="OV105" s="769"/>
      <c r="OW105" s="769"/>
      <c r="OX105" s="769"/>
      <c r="OY105" s="769"/>
      <c r="OZ105" s="769"/>
      <c r="PA105" s="769"/>
      <c r="PB105" s="769"/>
      <c r="PC105" s="769"/>
      <c r="PD105" s="769"/>
      <c r="PE105" s="769"/>
      <c r="PF105" s="769"/>
      <c r="PG105" s="769"/>
      <c r="PH105" s="769"/>
      <c r="PI105" s="769"/>
      <c r="PJ105" s="769"/>
      <c r="PK105" s="769"/>
      <c r="PL105" s="769"/>
      <c r="PM105" s="769"/>
      <c r="PN105" s="769"/>
      <c r="PO105" s="769"/>
      <c r="PP105" s="769"/>
      <c r="PQ105" s="769"/>
      <c r="PR105" s="769"/>
      <c r="PS105" s="769"/>
      <c r="PT105" s="769"/>
      <c r="PU105" s="769"/>
      <c r="PV105" s="769"/>
      <c r="PW105" s="769"/>
      <c r="PX105" s="769"/>
      <c r="PY105" s="769"/>
      <c r="PZ105" s="769"/>
      <c r="QA105" s="769"/>
      <c r="QB105" s="769"/>
      <c r="QC105" s="769"/>
      <c r="QD105" s="769"/>
      <c r="QE105" s="769"/>
      <c r="QF105" s="769"/>
      <c r="QG105" s="769"/>
      <c r="QH105" s="769"/>
      <c r="QI105" s="769"/>
      <c r="QJ105" s="769"/>
      <c r="QK105" s="769"/>
      <c r="QL105" s="769"/>
      <c r="QM105" s="769"/>
      <c r="QN105" s="769"/>
      <c r="QO105" s="769"/>
      <c r="QP105" s="769"/>
      <c r="QQ105" s="769"/>
      <c r="QR105" s="769"/>
      <c r="QS105" s="769"/>
      <c r="QT105" s="769"/>
      <c r="QU105" s="769"/>
      <c r="QV105" s="769"/>
      <c r="QW105" s="769"/>
      <c r="QX105" s="769"/>
      <c r="QY105" s="769"/>
      <c r="QZ105" s="769"/>
      <c r="RA105" s="769"/>
      <c r="RB105" s="769"/>
      <c r="RC105" s="769"/>
      <c r="RD105" s="769"/>
      <c r="RE105" s="769"/>
      <c r="RF105" s="769"/>
      <c r="RG105" s="769"/>
      <c r="RH105" s="769"/>
      <c r="RI105" s="769"/>
      <c r="RJ105" s="769"/>
      <c r="RK105" s="769"/>
      <c r="RL105" s="769"/>
      <c r="RM105" s="769"/>
      <c r="RN105" s="769"/>
      <c r="RO105" s="769"/>
      <c r="RP105" s="769"/>
      <c r="RQ105" s="769"/>
      <c r="RR105" s="769"/>
      <c r="RS105" s="769"/>
      <c r="RT105" s="769"/>
      <c r="RU105" s="769"/>
      <c r="RV105" s="769"/>
      <c r="RW105" s="769"/>
      <c r="RX105" s="769"/>
      <c r="RY105" s="769"/>
      <c r="RZ105" s="769"/>
      <c r="SA105" s="769"/>
      <c r="SB105" s="769"/>
      <c r="SC105" s="769"/>
      <c r="SD105" s="769"/>
      <c r="SE105" s="769"/>
      <c r="SF105" s="769"/>
      <c r="SG105" s="769"/>
      <c r="SH105" s="769"/>
      <c r="SI105" s="769"/>
      <c r="SJ105" s="769"/>
      <c r="SK105" s="769"/>
      <c r="SL105" s="769"/>
      <c r="SM105" s="769"/>
      <c r="SN105" s="769"/>
      <c r="SO105" s="769"/>
      <c r="SP105" s="769"/>
      <c r="SQ105" s="769"/>
      <c r="SR105" s="769"/>
      <c r="SS105" s="769"/>
      <c r="ST105" s="769"/>
      <c r="SU105" s="769"/>
      <c r="SV105" s="769"/>
      <c r="SW105" s="769"/>
      <c r="SX105" s="769"/>
      <c r="SY105" s="769"/>
      <c r="SZ105" s="769"/>
      <c r="TA105" s="769"/>
      <c r="TB105" s="769"/>
      <c r="TC105" s="769"/>
      <c r="TD105" s="769"/>
      <c r="TE105" s="769"/>
      <c r="TF105" s="769"/>
      <c r="TG105" s="769"/>
      <c r="TH105" s="769"/>
      <c r="TI105" s="769"/>
      <c r="TJ105" s="769"/>
      <c r="TK105" s="769"/>
      <c r="TL105" s="769"/>
      <c r="TM105" s="769"/>
      <c r="TN105" s="769"/>
      <c r="TO105" s="769"/>
      <c r="TP105" s="769"/>
      <c r="TQ105" s="769"/>
      <c r="TR105" s="769"/>
      <c r="TS105" s="769"/>
      <c r="TT105" s="769"/>
      <c r="TU105" s="769"/>
      <c r="TV105" s="769"/>
      <c r="TW105" s="769"/>
      <c r="TX105" s="769"/>
      <c r="TY105" s="769"/>
      <c r="TZ105" s="769"/>
      <c r="UA105" s="769"/>
      <c r="UB105" s="769"/>
      <c r="UC105" s="769"/>
      <c r="UD105" s="769"/>
      <c r="UE105" s="769"/>
      <c r="UF105" s="769"/>
      <c r="UG105" s="769"/>
      <c r="UH105" s="769"/>
      <c r="UI105" s="769"/>
      <c r="UJ105" s="769"/>
      <c r="UK105" s="769"/>
      <c r="UL105" s="769"/>
      <c r="UM105" s="769"/>
      <c r="UN105" s="769"/>
      <c r="UO105" s="769"/>
      <c r="UP105" s="769"/>
      <c r="UQ105" s="769"/>
      <c r="UR105" s="769"/>
      <c r="US105" s="769"/>
      <c r="UT105" s="769"/>
      <c r="UU105" s="769"/>
      <c r="UV105" s="769"/>
      <c r="UW105" s="769"/>
      <c r="UX105" s="769"/>
      <c r="UY105" s="769"/>
      <c r="UZ105" s="769"/>
      <c r="VA105" s="769"/>
      <c r="VB105" s="769"/>
      <c r="VC105" s="769"/>
      <c r="VD105" s="769"/>
      <c r="VE105" s="769"/>
      <c r="VF105" s="769"/>
      <c r="VG105" s="769"/>
      <c r="VH105" s="769"/>
      <c r="VI105" s="769"/>
      <c r="VJ105" s="769"/>
      <c r="VK105" s="769"/>
      <c r="VL105" s="769"/>
      <c r="VM105" s="769"/>
      <c r="VN105" s="769"/>
      <c r="VO105" s="769"/>
      <c r="VP105" s="769"/>
      <c r="VQ105" s="769"/>
      <c r="VR105" s="769"/>
      <c r="VS105" s="769"/>
      <c r="VT105" s="769"/>
      <c r="VU105" s="769"/>
      <c r="VV105" s="769"/>
      <c r="VW105" s="769"/>
      <c r="VX105" s="769"/>
      <c r="VY105" s="769"/>
      <c r="VZ105" s="769"/>
      <c r="WA105" s="769"/>
      <c r="WB105" s="769"/>
      <c r="WC105" s="769"/>
      <c r="WD105" s="769"/>
      <c r="WE105" s="769"/>
      <c r="WF105" s="769"/>
      <c r="WG105" s="769"/>
      <c r="WH105" s="769"/>
      <c r="WI105" s="769"/>
      <c r="WJ105" s="769"/>
      <c r="WK105" s="769"/>
      <c r="WL105" s="769"/>
      <c r="WM105" s="769"/>
      <c r="WN105" s="769"/>
      <c r="WO105" s="769"/>
      <c r="WP105" s="769"/>
      <c r="WQ105" s="769"/>
      <c r="WR105" s="769"/>
      <c r="WS105" s="769"/>
      <c r="WT105" s="769"/>
      <c r="WU105" s="769"/>
      <c r="WV105" s="769"/>
      <c r="WW105" s="769"/>
      <c r="WX105" s="769"/>
      <c r="WY105" s="769"/>
      <c r="WZ105" s="769"/>
      <c r="XA105" s="769"/>
      <c r="XB105" s="769"/>
      <c r="XC105" s="769"/>
      <c r="XD105" s="769"/>
      <c r="XE105" s="769"/>
      <c r="XF105" s="769"/>
      <c r="XG105" s="769"/>
      <c r="XH105" s="769"/>
      <c r="XI105" s="769"/>
      <c r="XJ105" s="769"/>
      <c r="XK105" s="769"/>
      <c r="XL105" s="769"/>
      <c r="XM105" s="769"/>
      <c r="XN105" s="769"/>
      <c r="XO105" s="769"/>
      <c r="XP105" s="769"/>
      <c r="XQ105" s="769"/>
      <c r="XR105" s="769"/>
      <c r="XS105" s="769"/>
      <c r="XT105" s="769"/>
      <c r="XU105" s="769"/>
      <c r="XV105" s="769"/>
      <c r="XW105" s="769"/>
      <c r="XX105" s="769"/>
      <c r="XY105" s="769"/>
      <c r="XZ105" s="769"/>
      <c r="YA105" s="769"/>
      <c r="YB105" s="769"/>
      <c r="YC105" s="769"/>
      <c r="YD105" s="769"/>
      <c r="YE105" s="769"/>
      <c r="YF105" s="769"/>
      <c r="YG105" s="769"/>
      <c r="YH105" s="769"/>
      <c r="YI105" s="769"/>
      <c r="YJ105" s="769"/>
      <c r="YK105" s="769"/>
      <c r="YL105" s="769"/>
      <c r="YM105" s="769"/>
      <c r="YN105" s="769"/>
      <c r="YO105" s="769"/>
      <c r="YP105" s="769"/>
      <c r="YQ105" s="769"/>
      <c r="YR105" s="769"/>
      <c r="YS105" s="769"/>
      <c r="YT105" s="769"/>
      <c r="YU105" s="769"/>
      <c r="YV105" s="769"/>
      <c r="YW105" s="769"/>
      <c r="YX105" s="769"/>
      <c r="YY105" s="769"/>
      <c r="YZ105" s="769"/>
      <c r="ZA105" s="769"/>
      <c r="ZB105" s="769"/>
      <c r="ZC105" s="769"/>
      <c r="ZD105" s="769"/>
      <c r="ZE105" s="769"/>
      <c r="ZF105" s="769"/>
      <c r="ZG105" s="769"/>
      <c r="ZH105" s="769"/>
      <c r="ZI105" s="769"/>
      <c r="ZJ105" s="769"/>
      <c r="ZK105" s="769"/>
      <c r="ZL105" s="769"/>
      <c r="ZM105" s="769"/>
      <c r="ZN105" s="769"/>
      <c r="ZO105" s="769"/>
      <c r="ZP105" s="769"/>
      <c r="ZQ105" s="769"/>
      <c r="ZR105" s="769"/>
      <c r="ZS105" s="769"/>
      <c r="ZT105" s="769"/>
      <c r="ZU105" s="769"/>
      <c r="ZV105" s="769"/>
      <c r="ZW105" s="769"/>
      <c r="ZX105" s="769"/>
      <c r="ZY105" s="769"/>
      <c r="ZZ105" s="769"/>
      <c r="AAA105" s="769"/>
      <c r="AAB105" s="769"/>
      <c r="AAC105" s="769"/>
      <c r="AAD105" s="769"/>
      <c r="AAE105" s="769"/>
      <c r="AAF105" s="769"/>
      <c r="AAG105" s="769"/>
      <c r="AAH105" s="769"/>
      <c r="AAI105" s="769"/>
      <c r="AAJ105" s="769"/>
      <c r="AAK105" s="769"/>
      <c r="AAL105" s="769"/>
      <c r="AAM105" s="769"/>
      <c r="AAN105" s="769"/>
      <c r="AAO105" s="769"/>
      <c r="AAP105" s="769"/>
      <c r="AAQ105" s="769"/>
      <c r="AAR105" s="769"/>
      <c r="AAS105" s="769"/>
      <c r="AAT105" s="769"/>
      <c r="AAU105" s="769"/>
      <c r="AAV105" s="769"/>
      <c r="AAW105" s="769"/>
      <c r="AAX105" s="769"/>
      <c r="AAY105" s="769"/>
      <c r="AAZ105" s="769"/>
      <c r="ABA105" s="769"/>
      <c r="ABB105" s="769"/>
      <c r="ABC105" s="769"/>
      <c r="ABD105" s="769"/>
      <c r="ABE105" s="769"/>
      <c r="ABF105" s="769"/>
      <c r="ABG105" s="769"/>
      <c r="ABH105" s="769"/>
      <c r="ABI105" s="769"/>
      <c r="ABJ105" s="769"/>
      <c r="ABK105" s="769"/>
      <c r="ABL105" s="769"/>
      <c r="ABM105" s="769"/>
      <c r="ABN105" s="769"/>
      <c r="ABO105" s="769"/>
      <c r="ABP105" s="769"/>
      <c r="ABQ105" s="769"/>
      <c r="ABR105" s="769"/>
      <c r="ABS105" s="769"/>
      <c r="ABT105" s="769"/>
      <c r="ABU105" s="769"/>
      <c r="ABV105" s="769"/>
      <c r="ABW105" s="769"/>
      <c r="ABX105" s="769"/>
      <c r="ABY105" s="769"/>
      <c r="ABZ105" s="769"/>
      <c r="ACA105" s="769"/>
      <c r="ACB105" s="769"/>
      <c r="ACC105" s="769"/>
      <c r="ACD105" s="769"/>
      <c r="ACE105" s="769"/>
      <c r="ACF105" s="769"/>
      <c r="ACG105" s="769"/>
      <c r="ACH105" s="769"/>
      <c r="ACI105" s="769"/>
      <c r="ACJ105" s="769"/>
      <c r="ACK105" s="769"/>
      <c r="ACL105" s="769"/>
      <c r="ACM105" s="769"/>
      <c r="ACN105" s="769"/>
      <c r="ACO105" s="769"/>
      <c r="ACP105" s="769"/>
      <c r="ACQ105" s="769"/>
      <c r="ACR105" s="769"/>
      <c r="ACS105" s="769"/>
      <c r="ACT105" s="769"/>
      <c r="ACU105" s="769"/>
      <c r="ACV105" s="769"/>
      <c r="ACW105" s="769"/>
      <c r="ACX105" s="769"/>
      <c r="ACY105" s="769"/>
      <c r="ACZ105" s="769"/>
      <c r="ADA105" s="769"/>
      <c r="ADB105" s="769"/>
      <c r="ADC105" s="769"/>
      <c r="ADD105" s="769"/>
      <c r="ADE105" s="769"/>
      <c r="ADF105" s="769"/>
      <c r="ADG105" s="769"/>
      <c r="ADH105" s="769"/>
      <c r="ADI105" s="769"/>
      <c r="ADJ105" s="769"/>
      <c r="ADK105" s="769"/>
      <c r="ADL105" s="769"/>
      <c r="ADM105" s="769"/>
      <c r="ADN105" s="769"/>
      <c r="ADO105" s="769"/>
      <c r="ADP105" s="769"/>
      <c r="ADQ105" s="769"/>
      <c r="ADR105" s="769"/>
      <c r="ADS105" s="769"/>
      <c r="ADT105" s="769"/>
      <c r="ADU105" s="769"/>
      <c r="ADV105" s="769"/>
      <c r="ADW105" s="769"/>
      <c r="ADX105" s="769"/>
      <c r="ADY105" s="769"/>
      <c r="ADZ105" s="769"/>
      <c r="AEA105" s="769"/>
      <c r="AEB105" s="769"/>
      <c r="AEC105" s="769"/>
      <c r="AED105" s="769"/>
      <c r="AEE105" s="769"/>
      <c r="AEF105" s="769"/>
      <c r="AEG105" s="769"/>
      <c r="AEH105" s="769"/>
      <c r="AEI105" s="769"/>
      <c r="AEJ105" s="769"/>
      <c r="AEK105" s="769"/>
      <c r="AEL105" s="769"/>
      <c r="AEM105" s="769"/>
      <c r="AEN105" s="769"/>
      <c r="AEO105" s="769"/>
      <c r="AEP105" s="769"/>
      <c r="AEQ105" s="769"/>
      <c r="AER105" s="769"/>
      <c r="AES105" s="769"/>
      <c r="AET105" s="769"/>
      <c r="AEU105" s="769"/>
      <c r="AEV105" s="769"/>
      <c r="AEW105" s="769"/>
      <c r="AEX105" s="769"/>
      <c r="AEY105" s="769"/>
      <c r="AEZ105" s="769"/>
      <c r="AFA105" s="769"/>
      <c r="AFB105" s="769"/>
      <c r="AFC105" s="769"/>
      <c r="AFD105" s="769"/>
      <c r="AFE105" s="769"/>
      <c r="AFF105" s="769"/>
      <c r="AFG105" s="769"/>
      <c r="AFH105" s="769"/>
      <c r="AFI105" s="769"/>
      <c r="AFJ105" s="769"/>
      <c r="AFK105" s="769"/>
      <c r="AFL105" s="769"/>
      <c r="AFM105" s="769"/>
      <c r="AFN105" s="769"/>
      <c r="AFO105" s="769"/>
      <c r="AFP105" s="769"/>
      <c r="AFQ105" s="769"/>
      <c r="AFR105" s="769"/>
      <c r="AFS105" s="769"/>
      <c r="AFT105" s="769"/>
      <c r="AFU105" s="769"/>
      <c r="AFV105" s="769"/>
      <c r="AFW105" s="769"/>
      <c r="AFX105" s="769"/>
      <c r="AFY105" s="769"/>
      <c r="AFZ105" s="769"/>
      <c r="AGA105" s="769"/>
      <c r="AGB105" s="769"/>
      <c r="AGC105" s="769"/>
      <c r="AGD105" s="769"/>
      <c r="AGE105" s="769"/>
      <c r="AGF105" s="769"/>
      <c r="AGG105" s="769"/>
      <c r="AGH105" s="769"/>
      <c r="AGI105" s="769"/>
      <c r="AGJ105" s="769"/>
      <c r="AGK105" s="769"/>
      <c r="AGL105" s="769"/>
      <c r="AGM105" s="769"/>
      <c r="AGN105" s="769"/>
      <c r="AGO105" s="769"/>
      <c r="AGP105" s="769"/>
      <c r="AGQ105" s="769"/>
      <c r="AGR105" s="769"/>
      <c r="AGS105" s="769"/>
      <c r="AGT105" s="769"/>
      <c r="AGU105" s="769"/>
      <c r="AGV105" s="769"/>
      <c r="AGW105" s="769"/>
      <c r="AGX105" s="769"/>
      <c r="AGY105" s="769"/>
      <c r="AGZ105" s="769"/>
      <c r="AHA105" s="769"/>
      <c r="AHB105" s="769"/>
      <c r="AHC105" s="769"/>
      <c r="AHD105" s="769"/>
      <c r="AHE105" s="769"/>
      <c r="AHF105" s="769"/>
      <c r="AHG105" s="769"/>
      <c r="AHH105" s="769"/>
      <c r="AHI105" s="769"/>
      <c r="AHJ105" s="769"/>
      <c r="AHK105" s="769"/>
      <c r="AHL105" s="769"/>
      <c r="AHM105" s="769"/>
      <c r="AHN105" s="769"/>
      <c r="AHO105" s="769"/>
      <c r="AHP105" s="769"/>
      <c r="AHQ105" s="769"/>
      <c r="AHR105" s="769"/>
      <c r="AHS105" s="769"/>
      <c r="AHT105" s="769"/>
      <c r="AHU105" s="769"/>
      <c r="AHV105" s="769"/>
      <c r="AHW105" s="769"/>
      <c r="AHX105" s="769"/>
      <c r="AHY105" s="769"/>
      <c r="AHZ105" s="769"/>
      <c r="AIA105" s="769"/>
      <c r="AIB105" s="769"/>
      <c r="AIC105" s="769"/>
      <c r="AID105" s="769"/>
      <c r="AIE105" s="769"/>
      <c r="AIF105" s="769"/>
      <c r="AIG105" s="769"/>
      <c r="AIH105" s="769"/>
      <c r="AII105" s="769"/>
      <c r="AIJ105" s="769"/>
      <c r="AIK105" s="769"/>
      <c r="AIL105" s="769"/>
      <c r="AIM105" s="769"/>
      <c r="AIN105" s="769"/>
      <c r="AIO105" s="769"/>
      <c r="AIP105" s="769"/>
      <c r="AIQ105" s="769"/>
      <c r="AIR105" s="769"/>
      <c r="AIS105" s="769"/>
      <c r="AIT105" s="769"/>
      <c r="AIU105" s="769"/>
      <c r="AIV105" s="769"/>
      <c r="AIW105" s="769"/>
      <c r="AIX105" s="769"/>
      <c r="AIY105" s="769"/>
      <c r="AIZ105" s="769"/>
      <c r="AJA105" s="769"/>
      <c r="AJB105" s="769"/>
      <c r="AJC105" s="769"/>
      <c r="AJD105" s="769"/>
      <c r="AJE105" s="769"/>
      <c r="AJF105" s="769"/>
      <c r="AJG105" s="769"/>
      <c r="AJH105" s="769"/>
      <c r="AJI105" s="769"/>
      <c r="AJJ105" s="769"/>
      <c r="AJK105" s="769"/>
      <c r="AJL105" s="769"/>
      <c r="AJM105" s="769"/>
      <c r="AJN105" s="769"/>
      <c r="AJO105" s="769"/>
      <c r="AJP105" s="769"/>
      <c r="AJQ105" s="769"/>
      <c r="AJR105" s="769"/>
      <c r="AJS105" s="769"/>
      <c r="AJT105" s="769"/>
      <c r="AJU105" s="769"/>
      <c r="AJV105" s="769"/>
      <c r="AJW105" s="769"/>
      <c r="AJX105" s="769"/>
      <c r="AJY105" s="769"/>
      <c r="AJZ105" s="769"/>
      <c r="AKA105" s="769"/>
      <c r="AKB105" s="769"/>
      <c r="AKC105" s="769"/>
      <c r="AKD105" s="769"/>
      <c r="AKE105" s="769"/>
      <c r="AKF105" s="769"/>
      <c r="AKG105" s="769"/>
      <c r="AKH105" s="769"/>
      <c r="AKI105" s="769"/>
      <c r="AKJ105" s="769"/>
      <c r="AKK105" s="769"/>
      <c r="AKL105" s="769"/>
      <c r="AKM105" s="769"/>
      <c r="AKN105" s="769"/>
      <c r="AKO105" s="769"/>
      <c r="AKP105" s="769"/>
      <c r="AKQ105" s="769"/>
      <c r="AKR105" s="769"/>
      <c r="AKS105" s="769"/>
      <c r="AKT105" s="769"/>
      <c r="AKU105" s="769"/>
      <c r="AKV105" s="769"/>
      <c r="AKW105" s="769"/>
      <c r="AKX105" s="769"/>
      <c r="AKY105" s="769"/>
      <c r="AKZ105" s="769"/>
      <c r="ALA105" s="769"/>
      <c r="ALB105" s="769"/>
      <c r="ALC105" s="769"/>
      <c r="ALD105" s="769"/>
      <c r="ALE105" s="769"/>
      <c r="ALF105" s="769"/>
      <c r="ALG105" s="769"/>
      <c r="ALH105" s="769"/>
      <c r="ALI105" s="769"/>
      <c r="ALJ105" s="769"/>
      <c r="ALK105" s="769"/>
      <c r="ALL105" s="769"/>
      <c r="ALM105" s="769"/>
      <c r="ALN105" s="769"/>
      <c r="ALO105" s="769"/>
      <c r="ALP105" s="769"/>
      <c r="ALQ105" s="769"/>
      <c r="ALR105" s="769"/>
      <c r="ALS105" s="769"/>
      <c r="ALT105" s="769"/>
      <c r="ALU105" s="769"/>
      <c r="ALV105" s="769"/>
      <c r="ALW105" s="769"/>
      <c r="ALX105" s="769"/>
      <c r="ALY105" s="769"/>
      <c r="ALZ105" s="769"/>
      <c r="AMA105" s="769"/>
      <c r="AMB105" s="769"/>
      <c r="AMC105" s="769"/>
      <c r="AMD105" s="769"/>
      <c r="AME105" s="769"/>
      <c r="AMF105" s="769"/>
      <c r="AMG105" s="769"/>
      <c r="AMH105" s="769"/>
      <c r="AMI105" s="769"/>
      <c r="AMJ105" s="769"/>
      <c r="AMK105" s="769"/>
      <c r="AML105" s="769"/>
      <c r="AMM105" s="769"/>
      <c r="AMN105" s="769"/>
      <c r="AMO105" s="769"/>
      <c r="AMP105" s="769"/>
      <c r="AMQ105" s="769"/>
      <c r="AMR105" s="769"/>
      <c r="AMS105" s="769"/>
      <c r="AMT105" s="769"/>
      <c r="AMU105" s="769"/>
      <c r="AMV105" s="769"/>
      <c r="AMW105" s="769"/>
      <c r="AMX105" s="769"/>
      <c r="AMY105" s="769"/>
      <c r="AMZ105" s="769"/>
      <c r="ANA105" s="769"/>
      <c r="ANB105" s="769"/>
      <c r="ANC105" s="769"/>
      <c r="AND105" s="769"/>
      <c r="ANE105" s="769"/>
      <c r="ANF105" s="769"/>
      <c r="ANG105" s="769"/>
      <c r="ANH105" s="769"/>
      <c r="ANI105" s="769"/>
      <c r="ANJ105" s="769"/>
      <c r="ANK105" s="769"/>
      <c r="ANL105" s="769"/>
      <c r="ANM105" s="769"/>
      <c r="ANN105" s="769"/>
      <c r="ANO105" s="769"/>
      <c r="ANP105" s="769"/>
      <c r="ANQ105" s="769"/>
      <c r="ANR105" s="769"/>
      <c r="ANS105" s="769"/>
      <c r="ANT105" s="769"/>
      <c r="ANU105" s="769"/>
      <c r="ANV105" s="769"/>
      <c r="ANW105" s="769"/>
      <c r="ANX105" s="769"/>
      <c r="ANY105" s="769"/>
      <c r="ANZ105" s="769"/>
      <c r="AOA105" s="769"/>
      <c r="AOB105" s="769"/>
      <c r="AOC105" s="769"/>
      <c r="AOD105" s="769"/>
      <c r="AOE105" s="769"/>
      <c r="AOF105" s="769"/>
      <c r="AOG105" s="769"/>
      <c r="AOH105" s="769"/>
      <c r="AOI105" s="769"/>
      <c r="AOJ105" s="769"/>
      <c r="AOK105" s="769"/>
      <c r="AOL105" s="769"/>
      <c r="AOM105" s="769"/>
      <c r="AON105" s="769"/>
      <c r="AOO105" s="769"/>
      <c r="AOP105" s="769"/>
      <c r="AOQ105" s="769"/>
      <c r="AOR105" s="769"/>
      <c r="AOS105" s="769"/>
      <c r="AOT105" s="769"/>
      <c r="AOU105" s="769"/>
      <c r="AOV105" s="769"/>
      <c r="AOW105" s="769"/>
      <c r="AOX105" s="769"/>
      <c r="AOY105" s="769"/>
      <c r="AOZ105" s="769"/>
      <c r="APA105" s="769"/>
      <c r="APB105" s="769"/>
      <c r="APC105" s="769"/>
      <c r="APD105" s="769"/>
      <c r="APE105" s="769"/>
      <c r="APF105" s="769"/>
      <c r="APG105" s="769"/>
      <c r="APH105" s="769"/>
      <c r="API105" s="769"/>
      <c r="APJ105" s="769"/>
      <c r="APK105" s="769"/>
      <c r="APL105" s="769"/>
      <c r="APM105" s="769"/>
      <c r="APN105" s="769"/>
      <c r="APO105" s="769"/>
      <c r="APP105" s="769"/>
      <c r="APQ105" s="769"/>
      <c r="APR105" s="769"/>
      <c r="APS105" s="769"/>
      <c r="APT105" s="769"/>
      <c r="APU105" s="769"/>
      <c r="APV105" s="769"/>
      <c r="APW105" s="769"/>
      <c r="APX105" s="769"/>
      <c r="APY105" s="769"/>
      <c r="APZ105" s="769"/>
      <c r="AQA105" s="769"/>
      <c r="AQB105" s="769"/>
      <c r="AQC105" s="769"/>
      <c r="AQD105" s="769"/>
      <c r="AQE105" s="769"/>
      <c r="AQF105" s="769"/>
      <c r="AQG105" s="769"/>
      <c r="AQH105" s="769"/>
      <c r="AQI105" s="769"/>
      <c r="AQJ105" s="769"/>
      <c r="AQK105" s="769"/>
      <c r="AQL105" s="769"/>
      <c r="AQM105" s="769"/>
      <c r="AQN105" s="769"/>
      <c r="AQO105" s="769"/>
      <c r="AQP105" s="769"/>
      <c r="AQQ105" s="769"/>
      <c r="AQR105" s="769"/>
      <c r="AQS105" s="769"/>
      <c r="AQT105" s="769"/>
      <c r="AQU105" s="769"/>
      <c r="AQV105" s="769"/>
      <c r="AQW105" s="769"/>
      <c r="AQX105" s="769"/>
      <c r="AQY105" s="769"/>
      <c r="AQZ105" s="769"/>
      <c r="ARA105" s="769"/>
      <c r="ARB105" s="769"/>
      <c r="ARC105" s="769"/>
      <c r="ARD105" s="769"/>
      <c r="ARE105" s="769"/>
      <c r="ARF105" s="769"/>
      <c r="ARG105" s="769"/>
      <c r="ARH105" s="769"/>
      <c r="ARI105" s="769"/>
      <c r="ARJ105" s="769"/>
      <c r="ARK105" s="769"/>
      <c r="ARL105" s="769"/>
      <c r="ARM105" s="769"/>
      <c r="ARN105" s="769"/>
      <c r="ARO105" s="769"/>
      <c r="ARP105" s="769"/>
      <c r="ARQ105" s="769"/>
      <c r="ARR105" s="769"/>
      <c r="ARS105" s="769"/>
      <c r="ART105" s="769"/>
      <c r="ARU105" s="769"/>
      <c r="ARV105" s="769"/>
      <c r="ARW105" s="769"/>
      <c r="ARX105" s="769"/>
      <c r="ARY105" s="769"/>
      <c r="ARZ105" s="769"/>
      <c r="ASA105" s="769"/>
      <c r="ASB105" s="769"/>
      <c r="ASC105" s="769"/>
      <c r="ASD105" s="769"/>
      <c r="ASE105" s="769"/>
      <c r="ASF105" s="769"/>
      <c r="ASG105" s="769"/>
      <c r="ASH105" s="769"/>
      <c r="ASI105" s="769"/>
      <c r="ASJ105" s="769"/>
      <c r="ASK105" s="769"/>
      <c r="ASL105" s="769"/>
      <c r="ASM105" s="769"/>
      <c r="ASN105" s="769"/>
      <c r="ASO105" s="769"/>
      <c r="ASP105" s="769"/>
      <c r="ASQ105" s="769"/>
      <c r="ASR105" s="769"/>
      <c r="ASS105" s="769"/>
      <c r="AST105" s="769"/>
      <c r="ASU105" s="769"/>
      <c r="ASV105" s="769"/>
      <c r="ASW105" s="769"/>
      <c r="ASX105" s="769"/>
      <c r="ASY105" s="769"/>
      <c r="ASZ105" s="769"/>
      <c r="ATA105" s="769"/>
      <c r="ATB105" s="769"/>
      <c r="ATC105" s="769"/>
      <c r="ATD105" s="769"/>
      <c r="ATE105" s="769"/>
      <c r="ATF105" s="769"/>
      <c r="ATG105" s="769"/>
      <c r="ATH105" s="769"/>
      <c r="ATI105" s="769"/>
      <c r="ATJ105" s="769"/>
      <c r="ATK105" s="769"/>
      <c r="ATL105" s="769"/>
      <c r="ATM105" s="769"/>
      <c r="ATN105" s="769"/>
      <c r="ATO105" s="769"/>
      <c r="ATP105" s="769"/>
      <c r="ATQ105" s="769"/>
      <c r="ATR105" s="769"/>
      <c r="ATS105" s="769"/>
      <c r="ATT105" s="769"/>
      <c r="ATU105" s="769"/>
      <c r="ATV105" s="769"/>
      <c r="ATW105" s="769"/>
      <c r="ATX105" s="769"/>
      <c r="ATY105" s="769"/>
      <c r="ATZ105" s="769"/>
      <c r="AUA105" s="769"/>
      <c r="AUB105" s="769"/>
      <c r="AUC105" s="769"/>
      <c r="AUD105" s="769"/>
      <c r="AUE105" s="769"/>
      <c r="AUF105" s="769"/>
      <c r="AUG105" s="769"/>
      <c r="AUH105" s="769"/>
      <c r="AUI105" s="769"/>
      <c r="AUJ105" s="769"/>
      <c r="AUK105" s="769"/>
      <c r="AUL105" s="769"/>
      <c r="AUM105" s="769"/>
      <c r="AUN105" s="769"/>
      <c r="AUO105" s="769"/>
      <c r="AUP105" s="769"/>
      <c r="AUQ105" s="769"/>
      <c r="AUR105" s="769"/>
      <c r="AUS105" s="769"/>
      <c r="AUT105" s="769"/>
      <c r="AUU105" s="769"/>
      <c r="AUV105" s="769"/>
      <c r="AUW105" s="769"/>
      <c r="AUX105" s="769"/>
      <c r="AUY105" s="769"/>
      <c r="AUZ105" s="769"/>
      <c r="AVA105" s="769"/>
      <c r="AVB105" s="769"/>
      <c r="AVC105" s="769"/>
      <c r="AVD105" s="769"/>
      <c r="AVE105" s="769"/>
      <c r="AVF105" s="769"/>
      <c r="AVG105" s="769"/>
      <c r="AVH105" s="769"/>
      <c r="AVI105" s="769"/>
      <c r="AVJ105" s="769"/>
      <c r="AVK105" s="769"/>
      <c r="AVL105" s="769"/>
      <c r="AVM105" s="769"/>
      <c r="AVN105" s="769"/>
      <c r="AVO105" s="769"/>
      <c r="AVP105" s="769"/>
      <c r="AVQ105" s="769"/>
      <c r="AVR105" s="769"/>
      <c r="AVS105" s="769"/>
      <c r="AVT105" s="769"/>
      <c r="AVU105" s="769"/>
      <c r="AVV105" s="769"/>
      <c r="AVW105" s="769"/>
      <c r="AVX105" s="769"/>
      <c r="AVY105" s="769"/>
      <c r="AVZ105" s="769"/>
      <c r="AWA105" s="769"/>
      <c r="AWB105" s="769"/>
      <c r="AWC105" s="769"/>
      <c r="AWD105" s="769"/>
      <c r="AWE105" s="769"/>
      <c r="AWF105" s="769"/>
      <c r="AWG105" s="769"/>
      <c r="AWH105" s="769"/>
      <c r="AWI105" s="769"/>
      <c r="AWJ105" s="769"/>
      <c r="AWK105" s="769"/>
      <c r="AWL105" s="769"/>
      <c r="AWM105" s="769"/>
      <c r="AWN105" s="769"/>
      <c r="AWO105" s="769"/>
      <c r="AWP105" s="769"/>
      <c r="AWQ105" s="769"/>
      <c r="AWR105" s="769"/>
      <c r="AWS105" s="769"/>
      <c r="AWT105" s="769"/>
      <c r="AWU105" s="769"/>
      <c r="AWV105" s="769"/>
      <c r="AWW105" s="769"/>
      <c r="AWX105" s="769"/>
      <c r="AWY105" s="769"/>
      <c r="AWZ105" s="769"/>
      <c r="AXA105" s="769"/>
      <c r="AXB105" s="769"/>
      <c r="AXC105" s="769"/>
      <c r="AXD105" s="769"/>
      <c r="AXE105" s="769"/>
      <c r="AXF105" s="769"/>
      <c r="AXG105" s="769"/>
      <c r="AXH105" s="769"/>
      <c r="AXI105" s="769"/>
      <c r="AXJ105" s="769"/>
      <c r="AXK105" s="769"/>
      <c r="AXL105" s="769"/>
      <c r="AXM105" s="769"/>
      <c r="AXN105" s="769"/>
      <c r="AXO105" s="769"/>
      <c r="AXP105" s="769"/>
      <c r="AXQ105" s="769"/>
      <c r="AXR105" s="769"/>
      <c r="AXS105" s="769"/>
      <c r="AXT105" s="769"/>
      <c r="AXU105" s="769"/>
      <c r="AXV105" s="769"/>
      <c r="AXW105" s="769"/>
      <c r="AXX105" s="769"/>
      <c r="AXY105" s="769"/>
      <c r="AXZ105" s="769"/>
      <c r="AYA105" s="769"/>
      <c r="AYB105" s="769"/>
      <c r="AYC105" s="769"/>
      <c r="AYD105" s="769"/>
      <c r="AYE105" s="769"/>
      <c r="AYF105" s="769"/>
      <c r="AYG105" s="769"/>
      <c r="AYH105" s="769"/>
      <c r="AYI105" s="769"/>
      <c r="AYJ105" s="769"/>
      <c r="AYK105" s="769"/>
      <c r="AYL105" s="769"/>
      <c r="AYM105" s="769"/>
      <c r="AYN105" s="769"/>
      <c r="AYO105" s="769"/>
      <c r="AYP105" s="769"/>
      <c r="AYQ105" s="769"/>
      <c r="AYR105" s="769"/>
      <c r="AYS105" s="769"/>
      <c r="AYT105" s="769"/>
      <c r="AYU105" s="769"/>
      <c r="AYV105" s="769"/>
      <c r="AYW105" s="769"/>
      <c r="AYX105" s="769"/>
      <c r="AYY105" s="769"/>
      <c r="AYZ105" s="769"/>
      <c r="AZA105" s="769"/>
      <c r="AZB105" s="769"/>
      <c r="AZC105" s="769"/>
      <c r="AZD105" s="769"/>
      <c r="AZE105" s="769"/>
      <c r="AZF105" s="769"/>
      <c r="AZG105" s="769"/>
      <c r="AZH105" s="769"/>
      <c r="AZI105" s="769"/>
      <c r="AZJ105" s="769"/>
      <c r="AZK105" s="769"/>
      <c r="AZL105" s="769"/>
      <c r="AZM105" s="769"/>
      <c r="AZN105" s="769"/>
      <c r="AZO105" s="769"/>
      <c r="AZP105" s="769"/>
      <c r="AZQ105" s="769"/>
      <c r="AZR105" s="769"/>
      <c r="AZS105" s="769"/>
      <c r="AZT105" s="769"/>
      <c r="AZU105" s="769"/>
      <c r="AZV105" s="769"/>
      <c r="AZW105" s="769"/>
      <c r="AZX105" s="769"/>
      <c r="AZY105" s="769"/>
      <c r="AZZ105" s="769"/>
      <c r="BAA105" s="769"/>
      <c r="BAB105" s="769"/>
      <c r="BAC105" s="769"/>
      <c r="BAD105" s="769"/>
      <c r="BAE105" s="769"/>
      <c r="BAF105" s="769"/>
      <c r="BAG105" s="769"/>
      <c r="BAH105" s="769"/>
      <c r="BAI105" s="769"/>
      <c r="BAJ105" s="769"/>
      <c r="BAK105" s="769"/>
      <c r="BAL105" s="769"/>
      <c r="BAM105" s="769"/>
      <c r="BAN105" s="769"/>
      <c r="BAO105" s="769"/>
      <c r="BAP105" s="769"/>
      <c r="BAQ105" s="769"/>
      <c r="BAR105" s="769"/>
      <c r="BAS105" s="769"/>
      <c r="BAT105" s="769"/>
      <c r="BAU105" s="769"/>
      <c r="BAV105" s="769"/>
      <c r="BAW105" s="769"/>
      <c r="BAX105" s="769"/>
      <c r="BAY105" s="769"/>
      <c r="BAZ105" s="769"/>
      <c r="BBA105" s="769"/>
      <c r="BBB105" s="769"/>
      <c r="BBC105" s="769"/>
      <c r="BBD105" s="769"/>
      <c r="BBE105" s="769"/>
      <c r="BBF105" s="769"/>
      <c r="BBG105" s="769"/>
      <c r="BBH105" s="769"/>
      <c r="BBI105" s="769"/>
      <c r="BBJ105" s="769"/>
      <c r="BBK105" s="769"/>
      <c r="BBL105" s="769"/>
      <c r="BBM105" s="769"/>
      <c r="BBN105" s="769"/>
      <c r="BBO105" s="769"/>
      <c r="BBP105" s="769"/>
      <c r="BBQ105" s="769"/>
      <c r="BBR105" s="769"/>
      <c r="BBS105" s="769"/>
      <c r="BBT105" s="769"/>
      <c r="BBU105" s="769"/>
      <c r="BBV105" s="769"/>
      <c r="BBW105" s="769"/>
      <c r="BBX105" s="769"/>
      <c r="BBY105" s="769"/>
      <c r="BBZ105" s="769"/>
      <c r="BCA105" s="769"/>
      <c r="BCB105" s="769"/>
      <c r="BCC105" s="769"/>
      <c r="BCD105" s="769"/>
      <c r="BCE105" s="769"/>
      <c r="BCF105" s="769"/>
      <c r="BCG105" s="769"/>
      <c r="BCH105" s="769"/>
      <c r="BCI105" s="769"/>
      <c r="BCJ105" s="769"/>
      <c r="BCK105" s="769"/>
      <c r="BCL105" s="769"/>
      <c r="BCM105" s="769"/>
      <c r="BCN105" s="769"/>
      <c r="BCO105" s="769"/>
      <c r="BCP105" s="769"/>
      <c r="BCQ105" s="769"/>
      <c r="BCR105" s="769"/>
      <c r="BCS105" s="769"/>
      <c r="BCT105" s="769"/>
      <c r="BCU105" s="769"/>
      <c r="BCV105" s="769"/>
      <c r="BCW105" s="769"/>
      <c r="BCX105" s="769"/>
      <c r="BCY105" s="769"/>
      <c r="BCZ105" s="769"/>
      <c r="BDA105" s="769"/>
      <c r="BDB105" s="769"/>
      <c r="BDC105" s="769"/>
      <c r="BDD105" s="769"/>
      <c r="BDE105" s="769"/>
      <c r="BDF105" s="769"/>
      <c r="BDG105" s="769"/>
      <c r="BDH105" s="769"/>
      <c r="BDI105" s="769"/>
      <c r="BDJ105" s="769"/>
      <c r="BDK105" s="769"/>
      <c r="BDL105" s="769"/>
      <c r="BDM105" s="769"/>
      <c r="BDN105" s="769"/>
      <c r="BDO105" s="769"/>
      <c r="BDP105" s="769"/>
      <c r="BDQ105" s="769"/>
      <c r="BDR105" s="769"/>
      <c r="BDS105" s="769"/>
      <c r="BDT105" s="769"/>
      <c r="BDU105" s="769"/>
      <c r="BDV105" s="769"/>
      <c r="BDW105" s="769"/>
      <c r="BDX105" s="769"/>
      <c r="BDY105" s="769"/>
      <c r="BDZ105" s="769"/>
      <c r="BEA105" s="769"/>
      <c r="BEB105" s="769"/>
      <c r="BEC105" s="769"/>
      <c r="BED105" s="769"/>
      <c r="BEE105" s="769"/>
      <c r="BEF105" s="769"/>
      <c r="BEG105" s="769"/>
      <c r="BEH105" s="769"/>
      <c r="BEI105" s="769"/>
      <c r="BEJ105" s="769"/>
      <c r="BEK105" s="769"/>
      <c r="BEL105" s="769"/>
      <c r="BEM105" s="769"/>
      <c r="BEN105" s="769"/>
      <c r="BEO105" s="769"/>
      <c r="BEP105" s="769"/>
      <c r="BEQ105" s="769"/>
      <c r="BER105" s="769"/>
      <c r="BES105" s="769"/>
      <c r="BET105" s="769"/>
      <c r="BEU105" s="769"/>
      <c r="BEV105" s="769"/>
      <c r="BEW105" s="769"/>
      <c r="BEX105" s="769"/>
      <c r="BEY105" s="769"/>
      <c r="BEZ105" s="769"/>
      <c r="BFA105" s="769"/>
      <c r="BFB105" s="769"/>
      <c r="BFC105" s="769"/>
      <c r="BFD105" s="769"/>
      <c r="BFE105" s="769"/>
      <c r="BFF105" s="769"/>
      <c r="BFG105" s="769"/>
      <c r="BFH105" s="769"/>
      <c r="BFI105" s="769"/>
      <c r="BFJ105" s="769"/>
      <c r="BFK105" s="769"/>
      <c r="BFL105" s="769"/>
      <c r="BFM105" s="769"/>
      <c r="BFN105" s="769"/>
      <c r="BFO105" s="769"/>
      <c r="BFP105" s="769"/>
      <c r="BFQ105" s="769"/>
      <c r="BFR105" s="769"/>
      <c r="BFS105" s="769"/>
      <c r="BFT105" s="769"/>
      <c r="BFU105" s="769"/>
      <c r="BFV105" s="769"/>
      <c r="BFW105" s="769"/>
      <c r="BFX105" s="769"/>
      <c r="BFY105" s="769"/>
      <c r="BFZ105" s="769"/>
      <c r="BGA105" s="769"/>
      <c r="BGB105" s="769"/>
      <c r="BGC105" s="769"/>
      <c r="BGD105" s="769"/>
      <c r="BGE105" s="769"/>
      <c r="BGF105" s="769"/>
      <c r="BGG105" s="769"/>
      <c r="BGH105" s="769"/>
      <c r="BGI105" s="769"/>
      <c r="BGJ105" s="769"/>
      <c r="BGK105" s="769"/>
      <c r="BGL105" s="769"/>
      <c r="BGM105" s="769"/>
      <c r="BGN105" s="769"/>
      <c r="BGO105" s="769"/>
      <c r="BGP105" s="769"/>
      <c r="BGQ105" s="769"/>
      <c r="BGR105" s="769"/>
      <c r="BGS105" s="769"/>
      <c r="BGT105" s="769"/>
      <c r="BGU105" s="769"/>
      <c r="BGV105" s="769"/>
      <c r="BGW105" s="769"/>
      <c r="BGX105" s="769"/>
      <c r="BGY105" s="769"/>
      <c r="BGZ105" s="769"/>
      <c r="BHA105" s="769"/>
      <c r="BHB105" s="769"/>
      <c r="BHC105" s="769"/>
      <c r="BHD105" s="769"/>
      <c r="BHE105" s="769"/>
      <c r="BHF105" s="769"/>
      <c r="BHG105" s="769"/>
      <c r="BHH105" s="769"/>
      <c r="BHI105" s="769"/>
      <c r="BHJ105" s="769"/>
      <c r="BHK105" s="769"/>
      <c r="BHL105" s="769"/>
      <c r="BHM105" s="769"/>
      <c r="BHN105" s="769"/>
      <c r="BHO105" s="769"/>
      <c r="BHP105" s="769"/>
      <c r="BHQ105" s="769"/>
      <c r="BHR105" s="769"/>
      <c r="BHS105" s="769"/>
      <c r="BHT105" s="769"/>
      <c r="BHU105" s="769"/>
      <c r="BHV105" s="769"/>
      <c r="BHW105" s="769"/>
      <c r="BHX105" s="769"/>
      <c r="BHY105" s="769"/>
      <c r="BHZ105" s="769"/>
      <c r="BIA105" s="769"/>
      <c r="BIB105" s="769"/>
      <c r="BIC105" s="769"/>
      <c r="BID105" s="769"/>
      <c r="BIE105" s="769"/>
      <c r="BIF105" s="769"/>
      <c r="BIG105" s="769"/>
      <c r="BIH105" s="769"/>
      <c r="BII105" s="769"/>
      <c r="BIJ105" s="769"/>
      <c r="BIK105" s="769"/>
      <c r="BIL105" s="769"/>
      <c r="BIM105" s="769"/>
      <c r="BIN105" s="769"/>
      <c r="BIO105" s="769"/>
      <c r="BIP105" s="769"/>
      <c r="BIQ105" s="769"/>
      <c r="BIR105" s="769"/>
      <c r="BIS105" s="769"/>
      <c r="BIT105" s="769"/>
      <c r="BIU105" s="769"/>
      <c r="BIV105" s="769"/>
      <c r="BIW105" s="769"/>
      <c r="BIX105" s="769"/>
      <c r="BIY105" s="769"/>
      <c r="BIZ105" s="769"/>
      <c r="BJA105" s="769"/>
      <c r="BJB105" s="769"/>
      <c r="BJC105" s="769"/>
      <c r="BJD105" s="769"/>
      <c r="BJE105" s="769"/>
      <c r="BJF105" s="769"/>
      <c r="BJG105" s="769"/>
      <c r="BJH105" s="769"/>
      <c r="BJI105" s="769"/>
      <c r="BJJ105" s="769"/>
      <c r="BJK105" s="769"/>
      <c r="BJL105" s="769"/>
      <c r="BJM105" s="769"/>
      <c r="BJN105" s="769"/>
      <c r="BJO105" s="769"/>
      <c r="BJP105" s="769"/>
      <c r="BJQ105" s="769"/>
      <c r="BJR105" s="769"/>
      <c r="BJS105" s="769"/>
      <c r="BJT105" s="769"/>
      <c r="BJU105" s="769"/>
      <c r="BJV105" s="769"/>
      <c r="BJW105" s="769"/>
      <c r="BJX105" s="769"/>
      <c r="BJY105" s="769"/>
      <c r="BJZ105" s="769"/>
      <c r="BKA105" s="769"/>
      <c r="BKB105" s="769"/>
      <c r="BKC105" s="769"/>
      <c r="BKD105" s="769"/>
      <c r="BKE105" s="769"/>
      <c r="BKF105" s="769"/>
      <c r="BKG105" s="769"/>
      <c r="BKH105" s="769"/>
      <c r="BKI105" s="769"/>
      <c r="BKJ105" s="769"/>
      <c r="BKK105" s="769"/>
      <c r="BKL105" s="769"/>
      <c r="BKM105" s="769"/>
      <c r="BKN105" s="769"/>
      <c r="BKO105" s="769"/>
      <c r="BKP105" s="769"/>
      <c r="BKQ105" s="769"/>
      <c r="BKR105" s="769"/>
      <c r="BKS105" s="769"/>
      <c r="BKT105" s="769"/>
      <c r="BKU105" s="769"/>
      <c r="BKV105" s="769"/>
      <c r="BKW105" s="769"/>
      <c r="BKX105" s="769"/>
      <c r="BKY105" s="769"/>
      <c r="BKZ105" s="769"/>
      <c r="BLA105" s="769"/>
      <c r="BLB105" s="769"/>
      <c r="BLC105" s="769"/>
      <c r="BLD105" s="769"/>
      <c r="BLE105" s="769"/>
      <c r="BLF105" s="769"/>
      <c r="BLG105" s="769"/>
      <c r="BLH105" s="769"/>
      <c r="BLI105" s="769"/>
      <c r="BLJ105" s="769"/>
      <c r="BLK105" s="769"/>
      <c r="BLL105" s="769"/>
      <c r="BLM105" s="769"/>
      <c r="BLN105" s="769"/>
      <c r="BLO105" s="769"/>
      <c r="BLP105" s="769"/>
      <c r="BLQ105" s="769"/>
      <c r="BLR105" s="769"/>
      <c r="BLS105" s="769"/>
      <c r="BLT105" s="769"/>
      <c r="BLU105" s="769"/>
      <c r="BLV105" s="769"/>
      <c r="BLW105" s="769"/>
      <c r="BLX105" s="769"/>
      <c r="BLY105" s="769"/>
      <c r="BLZ105" s="769"/>
      <c r="BMA105" s="769"/>
      <c r="BMB105" s="769"/>
      <c r="BMC105" s="769"/>
      <c r="BMD105" s="769"/>
      <c r="BME105" s="769"/>
      <c r="BMF105" s="769"/>
      <c r="BMG105" s="769"/>
      <c r="BMH105" s="769"/>
      <c r="BMI105" s="769"/>
      <c r="BMJ105" s="769"/>
      <c r="BMK105" s="769"/>
      <c r="BML105" s="769"/>
      <c r="BMM105" s="769"/>
      <c r="BMN105" s="769"/>
      <c r="BMO105" s="769"/>
      <c r="BMP105" s="769"/>
      <c r="BMQ105" s="769"/>
      <c r="BMR105" s="769"/>
      <c r="BMS105" s="769"/>
      <c r="BMT105" s="769"/>
      <c r="BMU105" s="769"/>
      <c r="BMV105" s="769"/>
      <c r="BMW105" s="769"/>
      <c r="BMX105" s="769"/>
      <c r="BMY105" s="769"/>
      <c r="BMZ105" s="769"/>
      <c r="BNA105" s="769"/>
      <c r="BNB105" s="769"/>
      <c r="BNC105" s="769"/>
      <c r="BND105" s="769"/>
      <c r="BNE105" s="769"/>
      <c r="BNF105" s="769"/>
      <c r="BNG105" s="769"/>
      <c r="BNH105" s="769"/>
      <c r="BNI105" s="769"/>
      <c r="BNJ105" s="769"/>
      <c r="BNK105" s="769"/>
      <c r="BNL105" s="769"/>
      <c r="BNM105" s="769"/>
      <c r="BNN105" s="769"/>
      <c r="BNO105" s="769"/>
      <c r="BNP105" s="769"/>
      <c r="BNQ105" s="769"/>
      <c r="BNR105" s="769"/>
      <c r="BNS105" s="769"/>
      <c r="BNT105" s="769"/>
      <c r="BNU105" s="769"/>
      <c r="BNV105" s="769"/>
      <c r="BNW105" s="769"/>
      <c r="BNX105" s="769"/>
      <c r="BNY105" s="769"/>
      <c r="BNZ105" s="769"/>
      <c r="BOA105" s="769"/>
      <c r="BOB105" s="769"/>
      <c r="BOC105" s="769"/>
      <c r="BOD105" s="769"/>
      <c r="BOE105" s="769"/>
      <c r="BOF105" s="769"/>
      <c r="BOG105" s="769"/>
      <c r="BOH105" s="769"/>
      <c r="BOI105" s="769"/>
      <c r="BOJ105" s="769"/>
      <c r="BOK105" s="769"/>
      <c r="BOL105" s="769"/>
      <c r="BOM105" s="769"/>
      <c r="BON105" s="769"/>
      <c r="BOO105" s="769"/>
      <c r="BOP105" s="769"/>
      <c r="BOQ105" s="769"/>
      <c r="BOR105" s="769"/>
      <c r="BOS105" s="769"/>
      <c r="BOT105" s="769"/>
      <c r="BOU105" s="769"/>
      <c r="BOV105" s="769"/>
      <c r="BOW105" s="769"/>
      <c r="BOX105" s="769"/>
      <c r="BOY105" s="769"/>
      <c r="BOZ105" s="769"/>
      <c r="BPA105" s="769"/>
      <c r="BPB105" s="769"/>
      <c r="BPC105" s="769"/>
      <c r="BPD105" s="769"/>
      <c r="BPE105" s="769"/>
      <c r="BPF105" s="769"/>
      <c r="BPG105" s="769"/>
      <c r="BPH105" s="769"/>
      <c r="BPI105" s="769"/>
      <c r="BPJ105" s="769"/>
      <c r="BPK105" s="769"/>
      <c r="BPL105" s="769"/>
      <c r="BPM105" s="769"/>
      <c r="BPN105" s="769"/>
      <c r="BPO105" s="769"/>
      <c r="BPP105" s="769"/>
      <c r="BPQ105" s="769"/>
      <c r="BPR105" s="769"/>
      <c r="BPS105" s="769"/>
      <c r="BPT105" s="769"/>
      <c r="BPU105" s="769"/>
      <c r="BPV105" s="769"/>
      <c r="BPW105" s="769"/>
      <c r="BPX105" s="769"/>
      <c r="BPY105" s="769"/>
      <c r="BPZ105" s="769"/>
      <c r="BQA105" s="769"/>
      <c r="BQB105" s="769"/>
      <c r="BQC105" s="769"/>
      <c r="BQD105" s="769"/>
      <c r="BQE105" s="769"/>
      <c r="BQF105" s="769"/>
      <c r="BQG105" s="769"/>
      <c r="BQH105" s="769"/>
      <c r="BQI105" s="769"/>
      <c r="BQJ105" s="769"/>
      <c r="BQK105" s="769"/>
      <c r="BQL105" s="769"/>
      <c r="BQM105" s="769"/>
      <c r="BQN105" s="769"/>
      <c r="BQO105" s="769"/>
      <c r="BQP105" s="769"/>
      <c r="BQQ105" s="769"/>
      <c r="BQR105" s="769"/>
      <c r="BQS105" s="769"/>
      <c r="BQT105" s="769"/>
      <c r="BQU105" s="769"/>
      <c r="BQV105" s="769"/>
      <c r="BQW105" s="769"/>
      <c r="BQX105" s="769"/>
      <c r="BQY105" s="769"/>
      <c r="BQZ105" s="769"/>
      <c r="BRA105" s="769"/>
      <c r="BRB105" s="769"/>
      <c r="BRC105" s="769"/>
      <c r="BRD105" s="769"/>
      <c r="BRE105" s="769"/>
      <c r="BRF105" s="769"/>
      <c r="BRG105" s="769"/>
      <c r="BRH105" s="769"/>
      <c r="BRI105" s="769"/>
      <c r="BRJ105" s="769"/>
      <c r="BRK105" s="769"/>
      <c r="BRL105" s="769"/>
      <c r="BRM105" s="769"/>
      <c r="BRN105" s="769"/>
      <c r="BRO105" s="769"/>
      <c r="BRP105" s="769"/>
      <c r="BRQ105" s="769"/>
      <c r="BRR105" s="769"/>
      <c r="BRS105" s="769"/>
      <c r="BRT105" s="769"/>
      <c r="BRU105" s="769"/>
      <c r="BRV105" s="769"/>
      <c r="BRW105" s="769"/>
      <c r="BRX105" s="769"/>
      <c r="BRY105" s="769"/>
      <c r="BRZ105" s="769"/>
      <c r="BSA105" s="769"/>
      <c r="BSB105" s="769"/>
      <c r="BSC105" s="769"/>
      <c r="BSD105" s="769"/>
      <c r="BSE105" s="769"/>
      <c r="BSF105" s="769"/>
      <c r="BSG105" s="769"/>
      <c r="BSH105" s="769"/>
      <c r="BSI105" s="769"/>
      <c r="BSJ105" s="769"/>
      <c r="BSK105" s="769"/>
      <c r="BSL105" s="769"/>
      <c r="BSM105" s="769"/>
      <c r="BSN105" s="769"/>
      <c r="BSO105" s="769"/>
      <c r="BSP105" s="769"/>
      <c r="BSQ105" s="769"/>
      <c r="BSR105" s="769"/>
      <c r="BSS105" s="769"/>
      <c r="BST105" s="769"/>
      <c r="BSU105" s="769"/>
      <c r="BSV105" s="769"/>
      <c r="BSW105" s="769"/>
      <c r="BSX105" s="769"/>
      <c r="BSY105" s="769"/>
      <c r="BSZ105" s="769"/>
      <c r="BTA105" s="769"/>
      <c r="BTB105" s="769"/>
      <c r="BTC105" s="769"/>
      <c r="BTD105" s="769"/>
      <c r="BTE105" s="769"/>
      <c r="BTF105" s="769"/>
      <c r="BTG105" s="769"/>
      <c r="BTH105" s="769"/>
      <c r="BTI105" s="769"/>
      <c r="BTJ105" s="769"/>
      <c r="BTK105" s="769"/>
      <c r="BTL105" s="769"/>
      <c r="BTM105" s="769"/>
      <c r="BTN105" s="769"/>
      <c r="BTO105" s="769"/>
      <c r="BTP105" s="769"/>
      <c r="BTQ105" s="769"/>
      <c r="BTR105" s="769"/>
      <c r="BTS105" s="769"/>
      <c r="BTT105" s="769"/>
      <c r="BTU105" s="769"/>
      <c r="BTV105" s="769"/>
      <c r="BTW105" s="769"/>
      <c r="BTX105" s="769"/>
      <c r="BTY105" s="769"/>
      <c r="BTZ105" s="769"/>
      <c r="BUA105" s="769"/>
      <c r="BUB105" s="769"/>
      <c r="BUC105" s="769"/>
      <c r="BUD105" s="769"/>
      <c r="BUE105" s="769"/>
      <c r="BUF105" s="769"/>
      <c r="BUG105" s="769"/>
      <c r="BUH105" s="769"/>
      <c r="BUI105" s="769"/>
      <c r="BUJ105" s="769"/>
      <c r="BUK105" s="769"/>
      <c r="BUL105" s="769"/>
      <c r="BUM105" s="769"/>
      <c r="BUN105" s="769"/>
      <c r="BUO105" s="769"/>
      <c r="BUP105" s="769"/>
      <c r="BUQ105" s="769"/>
      <c r="BUR105" s="769"/>
      <c r="BUS105" s="769"/>
      <c r="BUT105" s="769"/>
      <c r="BUU105" s="769"/>
      <c r="BUV105" s="769"/>
      <c r="BUW105" s="769"/>
      <c r="BUX105" s="769"/>
      <c r="BUY105" s="769"/>
      <c r="BUZ105" s="769"/>
      <c r="BVA105" s="769"/>
      <c r="BVB105" s="769"/>
      <c r="BVC105" s="769"/>
      <c r="BVD105" s="769"/>
      <c r="BVE105" s="769"/>
      <c r="BVF105" s="769"/>
      <c r="BVG105" s="769"/>
      <c r="BVH105" s="769"/>
      <c r="BVI105" s="769"/>
      <c r="BVJ105" s="769"/>
      <c r="BVK105" s="769"/>
      <c r="BVL105" s="769"/>
      <c r="BVM105" s="769"/>
      <c r="BVN105" s="769"/>
      <c r="BVO105" s="769"/>
      <c r="BVP105" s="769"/>
      <c r="BVQ105" s="769"/>
      <c r="BVR105" s="769"/>
      <c r="BVS105" s="769"/>
      <c r="BVT105" s="769"/>
      <c r="BVU105" s="769"/>
      <c r="BVV105" s="769"/>
      <c r="BVW105" s="769"/>
      <c r="BVX105" s="769"/>
      <c r="BVY105" s="769"/>
      <c r="BVZ105" s="769"/>
      <c r="BWA105" s="769"/>
      <c r="BWB105" s="769"/>
      <c r="BWC105" s="769"/>
      <c r="BWD105" s="769"/>
      <c r="BWE105" s="769"/>
      <c r="BWF105" s="769"/>
      <c r="BWG105" s="769"/>
      <c r="BWH105" s="769"/>
      <c r="BWI105" s="769"/>
      <c r="BWJ105" s="769"/>
      <c r="BWK105" s="769"/>
      <c r="BWL105" s="769"/>
      <c r="BWM105" s="769"/>
      <c r="BWN105" s="769"/>
      <c r="BWO105" s="769"/>
      <c r="BWP105" s="769"/>
      <c r="BWQ105" s="769"/>
      <c r="BWR105" s="769"/>
      <c r="BWS105" s="769"/>
      <c r="BWT105" s="769"/>
      <c r="BWU105" s="769"/>
      <c r="BWV105" s="769"/>
      <c r="BWW105" s="769"/>
      <c r="BWX105" s="769"/>
      <c r="BWY105" s="769"/>
      <c r="BWZ105" s="769"/>
      <c r="BXA105" s="769"/>
      <c r="BXB105" s="769"/>
      <c r="BXC105" s="769"/>
      <c r="BXD105" s="769"/>
      <c r="BXE105" s="769"/>
      <c r="BXF105" s="769"/>
      <c r="BXG105" s="769"/>
      <c r="BXH105" s="769"/>
      <c r="BXI105" s="769"/>
      <c r="BXJ105" s="769"/>
      <c r="BXK105" s="769"/>
      <c r="BXL105" s="769"/>
      <c r="BXM105" s="769"/>
      <c r="BXN105" s="769"/>
      <c r="BXO105" s="769"/>
      <c r="BXP105" s="769"/>
      <c r="BXQ105" s="769"/>
      <c r="BXR105" s="769"/>
      <c r="BXS105" s="769"/>
      <c r="BXT105" s="769"/>
      <c r="BXU105" s="769"/>
      <c r="BXV105" s="769"/>
      <c r="BXW105" s="769"/>
      <c r="BXX105" s="769"/>
      <c r="BXY105" s="769"/>
      <c r="BXZ105" s="769"/>
      <c r="BYA105" s="769"/>
      <c r="BYB105" s="769"/>
      <c r="BYC105" s="769"/>
      <c r="BYD105" s="769"/>
      <c r="BYE105" s="769"/>
      <c r="BYF105" s="769"/>
      <c r="BYG105" s="769"/>
      <c r="BYH105" s="769"/>
      <c r="BYI105" s="769"/>
      <c r="BYJ105" s="769"/>
      <c r="BYK105" s="769"/>
      <c r="BYL105" s="769"/>
      <c r="BYM105" s="769"/>
      <c r="BYN105" s="769"/>
      <c r="BYO105" s="769"/>
      <c r="BYP105" s="769"/>
      <c r="BYQ105" s="769"/>
      <c r="BYR105" s="769"/>
      <c r="BYS105" s="769"/>
      <c r="BYT105" s="769"/>
      <c r="BYU105" s="769"/>
      <c r="BYV105" s="769"/>
      <c r="BYW105" s="769"/>
      <c r="BYX105" s="769"/>
      <c r="BYY105" s="769"/>
      <c r="BYZ105" s="769"/>
      <c r="BZA105" s="769"/>
      <c r="BZB105" s="769"/>
      <c r="BZC105" s="769"/>
      <c r="BZD105" s="769"/>
      <c r="BZE105" s="769"/>
      <c r="BZF105" s="769"/>
      <c r="BZG105" s="769"/>
      <c r="BZH105" s="769"/>
      <c r="BZI105" s="769"/>
      <c r="BZJ105" s="769"/>
      <c r="BZK105" s="769"/>
      <c r="BZL105" s="769"/>
      <c r="BZM105" s="769"/>
      <c r="BZN105" s="769"/>
      <c r="BZO105" s="769"/>
      <c r="BZP105" s="769"/>
      <c r="BZQ105" s="769"/>
      <c r="BZR105" s="769"/>
      <c r="BZS105" s="769"/>
      <c r="BZT105" s="769"/>
      <c r="BZU105" s="769"/>
      <c r="BZV105" s="769"/>
      <c r="BZW105" s="769"/>
      <c r="BZX105" s="769"/>
      <c r="BZY105" s="769"/>
      <c r="BZZ105" s="769"/>
      <c r="CAA105" s="769"/>
      <c r="CAB105" s="769"/>
      <c r="CAC105" s="769"/>
      <c r="CAD105" s="769"/>
      <c r="CAE105" s="769"/>
      <c r="CAF105" s="769"/>
      <c r="CAG105" s="769"/>
      <c r="CAH105" s="769"/>
      <c r="CAI105" s="769"/>
      <c r="CAJ105" s="769"/>
      <c r="CAK105" s="769"/>
      <c r="CAL105" s="769"/>
      <c r="CAM105" s="769"/>
      <c r="CAN105" s="769"/>
      <c r="CAO105" s="769"/>
      <c r="CAP105" s="769"/>
      <c r="CAQ105" s="769"/>
      <c r="CAR105" s="769"/>
      <c r="CAS105" s="769"/>
      <c r="CAT105" s="769"/>
      <c r="CAU105" s="769"/>
      <c r="CAV105" s="769"/>
      <c r="CAW105" s="769"/>
      <c r="CAX105" s="769"/>
      <c r="CAY105" s="769"/>
      <c r="CAZ105" s="769"/>
      <c r="CBA105" s="769"/>
      <c r="CBB105" s="769"/>
      <c r="CBC105" s="769"/>
      <c r="CBD105" s="769"/>
      <c r="CBE105" s="769"/>
      <c r="CBF105" s="769"/>
      <c r="CBG105" s="769"/>
      <c r="CBH105" s="769"/>
      <c r="CBI105" s="769"/>
      <c r="CBJ105" s="769"/>
      <c r="CBK105" s="769"/>
      <c r="CBL105" s="769"/>
      <c r="CBM105" s="769"/>
      <c r="CBN105" s="769"/>
      <c r="CBO105" s="769"/>
      <c r="CBP105" s="769"/>
      <c r="CBQ105" s="769"/>
      <c r="CBR105" s="769"/>
      <c r="CBS105" s="769"/>
      <c r="CBT105" s="769"/>
      <c r="CBU105" s="769"/>
      <c r="CBV105" s="769"/>
      <c r="CBW105" s="769"/>
      <c r="CBX105" s="769"/>
      <c r="CBY105" s="769"/>
      <c r="CBZ105" s="769"/>
      <c r="CCA105" s="769"/>
      <c r="CCB105" s="769"/>
      <c r="CCC105" s="769"/>
      <c r="CCD105" s="769"/>
      <c r="CCE105" s="769"/>
      <c r="CCF105" s="769"/>
      <c r="CCG105" s="769"/>
      <c r="CCH105" s="769"/>
      <c r="CCI105" s="769"/>
      <c r="CCJ105" s="769"/>
      <c r="CCK105" s="769"/>
      <c r="CCL105" s="769"/>
      <c r="CCM105" s="769"/>
      <c r="CCN105" s="769"/>
      <c r="CCO105" s="769"/>
      <c r="CCP105" s="769"/>
      <c r="CCQ105" s="769"/>
      <c r="CCR105" s="769"/>
      <c r="CCS105" s="769"/>
      <c r="CCT105" s="769"/>
      <c r="CCU105" s="769"/>
      <c r="CCV105" s="769"/>
      <c r="CCW105" s="769"/>
      <c r="CCX105" s="769"/>
      <c r="CCY105" s="769"/>
      <c r="CCZ105" s="769"/>
      <c r="CDA105" s="769"/>
      <c r="CDB105" s="769"/>
      <c r="CDC105" s="769"/>
      <c r="CDD105" s="769"/>
      <c r="CDE105" s="769"/>
      <c r="CDF105" s="769"/>
      <c r="CDG105" s="769"/>
      <c r="CDH105" s="769"/>
      <c r="CDI105" s="769"/>
      <c r="CDJ105" s="769"/>
      <c r="CDK105" s="769"/>
      <c r="CDL105" s="769"/>
      <c r="CDM105" s="769"/>
      <c r="CDN105" s="769"/>
      <c r="CDO105" s="769"/>
      <c r="CDP105" s="769"/>
      <c r="CDQ105" s="769"/>
      <c r="CDR105" s="769"/>
      <c r="CDS105" s="769"/>
      <c r="CDT105" s="769"/>
      <c r="CDU105" s="769"/>
      <c r="CDV105" s="769"/>
      <c r="CDW105" s="769"/>
      <c r="CDX105" s="769"/>
      <c r="CDY105" s="769"/>
      <c r="CDZ105" s="769"/>
      <c r="CEA105" s="769"/>
      <c r="CEB105" s="769"/>
      <c r="CEC105" s="769"/>
      <c r="CED105" s="769"/>
      <c r="CEE105" s="769"/>
      <c r="CEF105" s="769"/>
      <c r="CEG105" s="769"/>
      <c r="CEH105" s="769"/>
      <c r="CEI105" s="769"/>
      <c r="CEJ105" s="769"/>
      <c r="CEK105" s="769"/>
      <c r="CEL105" s="769"/>
      <c r="CEM105" s="769"/>
      <c r="CEN105" s="769"/>
      <c r="CEO105" s="769"/>
      <c r="CEP105" s="769"/>
      <c r="CEQ105" s="769"/>
      <c r="CER105" s="769"/>
      <c r="CES105" s="769"/>
      <c r="CET105" s="769"/>
      <c r="CEU105" s="769"/>
      <c r="CEV105" s="769"/>
      <c r="CEW105" s="769"/>
      <c r="CEX105" s="769"/>
      <c r="CEY105" s="769"/>
      <c r="CEZ105" s="769"/>
      <c r="CFA105" s="769"/>
      <c r="CFB105" s="769"/>
      <c r="CFC105" s="769"/>
      <c r="CFD105" s="769"/>
      <c r="CFE105" s="769"/>
      <c r="CFF105" s="769"/>
      <c r="CFG105" s="769"/>
      <c r="CFH105" s="769"/>
      <c r="CFI105" s="769"/>
      <c r="CFJ105" s="769"/>
      <c r="CFK105" s="769"/>
      <c r="CFL105" s="769"/>
      <c r="CFM105" s="769"/>
      <c r="CFN105" s="769"/>
      <c r="CFO105" s="769"/>
      <c r="CFP105" s="769"/>
      <c r="CFQ105" s="769"/>
      <c r="CFR105" s="769"/>
      <c r="CFS105" s="769"/>
      <c r="CFT105" s="769"/>
      <c r="CFU105" s="769"/>
      <c r="CFV105" s="769"/>
      <c r="CFW105" s="769"/>
      <c r="CFX105" s="769"/>
      <c r="CFY105" s="769"/>
      <c r="CFZ105" s="769"/>
      <c r="CGA105" s="769"/>
      <c r="CGB105" s="769"/>
      <c r="CGC105" s="769"/>
      <c r="CGD105" s="769"/>
      <c r="CGE105" s="769"/>
      <c r="CGF105" s="769"/>
      <c r="CGG105" s="769"/>
      <c r="CGH105" s="769"/>
      <c r="CGI105" s="769"/>
      <c r="CGJ105" s="769"/>
      <c r="CGK105" s="769"/>
      <c r="CGL105" s="769"/>
      <c r="CGM105" s="769"/>
      <c r="CGN105" s="769"/>
      <c r="CGO105" s="769"/>
      <c r="CGP105" s="769"/>
      <c r="CGQ105" s="769"/>
      <c r="CGR105" s="769"/>
      <c r="CGS105" s="769"/>
      <c r="CGT105" s="769"/>
      <c r="CGU105" s="769"/>
      <c r="CGV105" s="769"/>
      <c r="CGW105" s="769"/>
      <c r="CGX105" s="769"/>
      <c r="CGY105" s="769"/>
      <c r="CGZ105" s="769"/>
      <c r="CHA105" s="769"/>
      <c r="CHB105" s="769"/>
      <c r="CHC105" s="769"/>
      <c r="CHD105" s="769"/>
      <c r="CHE105" s="769"/>
      <c r="CHF105" s="769"/>
      <c r="CHG105" s="769"/>
      <c r="CHH105" s="769"/>
      <c r="CHI105" s="769"/>
      <c r="CHJ105" s="769"/>
      <c r="CHK105" s="769"/>
      <c r="CHL105" s="769"/>
      <c r="CHM105" s="769"/>
      <c r="CHN105" s="769"/>
      <c r="CHO105" s="769"/>
      <c r="CHP105" s="769"/>
      <c r="CHQ105" s="769"/>
      <c r="CHR105" s="769"/>
      <c r="CHS105" s="769"/>
      <c r="CHT105" s="769"/>
      <c r="CHU105" s="769"/>
      <c r="CHV105" s="769"/>
      <c r="CHW105" s="769"/>
      <c r="CHX105" s="769"/>
      <c r="CHY105" s="769"/>
      <c r="CHZ105" s="769"/>
      <c r="CIA105" s="769"/>
      <c r="CIB105" s="769"/>
      <c r="CIC105" s="769"/>
      <c r="CID105" s="769"/>
      <c r="CIE105" s="769"/>
      <c r="CIF105" s="769"/>
      <c r="CIG105" s="769"/>
      <c r="CIH105" s="769"/>
      <c r="CII105" s="769"/>
      <c r="CIJ105" s="769"/>
      <c r="CIK105" s="769"/>
      <c r="CIL105" s="769"/>
      <c r="CIM105" s="769"/>
      <c r="CIN105" s="769"/>
      <c r="CIO105" s="769"/>
      <c r="CIP105" s="769"/>
      <c r="CIQ105" s="769"/>
      <c r="CIR105" s="769"/>
      <c r="CIS105" s="769"/>
      <c r="CIT105" s="769"/>
      <c r="CIU105" s="769"/>
      <c r="CIV105" s="769"/>
      <c r="CIW105" s="769"/>
      <c r="CIX105" s="769"/>
      <c r="CIY105" s="769"/>
      <c r="CIZ105" s="769"/>
      <c r="CJA105" s="769"/>
      <c r="CJB105" s="769"/>
      <c r="CJC105" s="769"/>
      <c r="CJD105" s="769"/>
      <c r="CJE105" s="769"/>
      <c r="CJF105" s="769"/>
      <c r="CJG105" s="769"/>
      <c r="CJH105" s="769"/>
      <c r="CJI105" s="769"/>
      <c r="CJJ105" s="769"/>
      <c r="CJK105" s="769"/>
      <c r="CJL105" s="769"/>
      <c r="CJM105" s="769"/>
      <c r="CJN105" s="769"/>
      <c r="CJO105" s="769"/>
      <c r="CJP105" s="769"/>
      <c r="CJQ105" s="769"/>
      <c r="CJR105" s="769"/>
      <c r="CJS105" s="769"/>
      <c r="CJT105" s="769"/>
      <c r="CJU105" s="769"/>
      <c r="CJV105" s="769"/>
      <c r="CJW105" s="769"/>
      <c r="CJX105" s="769"/>
      <c r="CJY105" s="769"/>
      <c r="CJZ105" s="769"/>
      <c r="CKA105" s="769"/>
      <c r="CKB105" s="769"/>
      <c r="CKC105" s="769"/>
      <c r="CKD105" s="769"/>
      <c r="CKE105" s="769"/>
      <c r="CKF105" s="769"/>
      <c r="CKG105" s="769"/>
      <c r="CKH105" s="769"/>
      <c r="CKI105" s="769"/>
      <c r="CKJ105" s="769"/>
      <c r="CKK105" s="769"/>
      <c r="CKL105" s="769"/>
      <c r="CKM105" s="769"/>
      <c r="CKN105" s="769"/>
      <c r="CKO105" s="769"/>
      <c r="CKP105" s="769"/>
      <c r="CKQ105" s="769"/>
      <c r="CKR105" s="769"/>
      <c r="CKS105" s="769"/>
      <c r="CKT105" s="769"/>
      <c r="CKU105" s="769"/>
      <c r="CKV105" s="769"/>
      <c r="CKW105" s="769"/>
      <c r="CKX105" s="769"/>
      <c r="CKY105" s="769"/>
      <c r="CKZ105" s="769"/>
      <c r="CLA105" s="769"/>
      <c r="CLB105" s="769"/>
      <c r="CLC105" s="769"/>
      <c r="CLD105" s="769"/>
      <c r="CLE105" s="769"/>
      <c r="CLF105" s="769"/>
      <c r="CLG105" s="769"/>
      <c r="CLH105" s="769"/>
      <c r="CLI105" s="769"/>
      <c r="CLJ105" s="769"/>
      <c r="CLK105" s="769"/>
      <c r="CLL105" s="769"/>
      <c r="CLM105" s="769"/>
      <c r="CLN105" s="769"/>
      <c r="CLO105" s="769"/>
      <c r="CLP105" s="769"/>
      <c r="CLQ105" s="769"/>
      <c r="CLR105" s="769"/>
      <c r="CLS105" s="769"/>
      <c r="CLT105" s="769"/>
      <c r="CLU105" s="769"/>
      <c r="CLV105" s="769"/>
      <c r="CLW105" s="769"/>
      <c r="CLX105" s="769"/>
      <c r="CLY105" s="769"/>
      <c r="CLZ105" s="769"/>
      <c r="CMA105" s="769"/>
      <c r="CMB105" s="769"/>
      <c r="CMC105" s="769"/>
      <c r="CMD105" s="769"/>
      <c r="CME105" s="769"/>
      <c r="CMF105" s="769"/>
      <c r="CMG105" s="769"/>
      <c r="CMH105" s="769"/>
      <c r="CMI105" s="769"/>
      <c r="CMJ105" s="769"/>
      <c r="CMK105" s="769"/>
      <c r="CML105" s="769"/>
      <c r="CMM105" s="769"/>
      <c r="CMN105" s="769"/>
      <c r="CMO105" s="769"/>
      <c r="CMP105" s="769"/>
      <c r="CMQ105" s="769"/>
      <c r="CMR105" s="769"/>
      <c r="CMS105" s="769"/>
      <c r="CMT105" s="769"/>
      <c r="CMU105" s="769"/>
      <c r="CMV105" s="769"/>
      <c r="CMW105" s="769"/>
      <c r="CMX105" s="769"/>
      <c r="CMY105" s="769"/>
      <c r="CMZ105" s="769"/>
      <c r="CNA105" s="769"/>
      <c r="CNB105" s="769"/>
      <c r="CNC105" s="769"/>
      <c r="CND105" s="769"/>
      <c r="CNE105" s="769"/>
      <c r="CNF105" s="769"/>
      <c r="CNG105" s="769"/>
      <c r="CNH105" s="769"/>
      <c r="CNI105" s="769"/>
      <c r="CNJ105" s="769"/>
      <c r="CNK105" s="769"/>
      <c r="CNL105" s="769"/>
      <c r="CNM105" s="769"/>
      <c r="CNN105" s="769"/>
      <c r="CNO105" s="769"/>
      <c r="CNP105" s="769"/>
      <c r="CNQ105" s="769"/>
      <c r="CNR105" s="769"/>
      <c r="CNS105" s="769"/>
      <c r="CNT105" s="769"/>
      <c r="CNU105" s="769"/>
      <c r="CNV105" s="769"/>
      <c r="CNW105" s="769"/>
      <c r="CNX105" s="769"/>
      <c r="CNY105" s="769"/>
      <c r="CNZ105" s="769"/>
      <c r="COA105" s="769"/>
      <c r="COB105" s="769"/>
      <c r="COC105" s="769"/>
      <c r="COD105" s="769"/>
      <c r="COE105" s="769"/>
      <c r="COF105" s="769"/>
      <c r="COG105" s="769"/>
      <c r="COH105" s="769"/>
      <c r="COI105" s="769"/>
      <c r="COJ105" s="769"/>
      <c r="COK105" s="769"/>
      <c r="COL105" s="769"/>
      <c r="COM105" s="769"/>
      <c r="CON105" s="769"/>
      <c r="COO105" s="769"/>
      <c r="COP105" s="769"/>
      <c r="COQ105" s="769"/>
      <c r="COR105" s="769"/>
      <c r="COS105" s="769"/>
      <c r="COT105" s="769"/>
      <c r="COU105" s="769"/>
      <c r="COV105" s="769"/>
      <c r="COW105" s="769"/>
      <c r="COX105" s="769"/>
      <c r="COY105" s="769"/>
      <c r="COZ105" s="769"/>
      <c r="CPA105" s="769"/>
      <c r="CPB105" s="769"/>
      <c r="CPC105" s="769"/>
      <c r="CPD105" s="769"/>
      <c r="CPE105" s="769"/>
      <c r="CPF105" s="769"/>
      <c r="CPG105" s="769"/>
      <c r="CPH105" s="769"/>
      <c r="CPI105" s="769"/>
      <c r="CPJ105" s="769"/>
      <c r="CPK105" s="769"/>
      <c r="CPL105" s="769"/>
      <c r="CPM105" s="769"/>
      <c r="CPN105" s="769"/>
      <c r="CPO105" s="769"/>
      <c r="CPP105" s="769"/>
      <c r="CPQ105" s="769"/>
      <c r="CPR105" s="769"/>
      <c r="CPS105" s="769"/>
      <c r="CPT105" s="769"/>
      <c r="CPU105" s="769"/>
      <c r="CPV105" s="769"/>
      <c r="CPW105" s="769"/>
      <c r="CPX105" s="769"/>
      <c r="CPY105" s="769"/>
      <c r="CPZ105" s="769"/>
      <c r="CQA105" s="769"/>
      <c r="CQB105" s="769"/>
      <c r="CQC105" s="769"/>
      <c r="CQD105" s="769"/>
      <c r="CQE105" s="769"/>
      <c r="CQF105" s="769"/>
      <c r="CQG105" s="769"/>
      <c r="CQH105" s="769"/>
      <c r="CQI105" s="769"/>
      <c r="CQJ105" s="769"/>
      <c r="CQK105" s="769"/>
      <c r="CQL105" s="769"/>
      <c r="CQM105" s="769"/>
      <c r="CQN105" s="769"/>
      <c r="CQO105" s="769"/>
      <c r="CQP105" s="769"/>
      <c r="CQQ105" s="769"/>
      <c r="CQR105" s="769"/>
      <c r="CQS105" s="769"/>
      <c r="CQT105" s="769"/>
      <c r="CQU105" s="769"/>
      <c r="CQV105" s="769"/>
      <c r="CQW105" s="769"/>
      <c r="CQX105" s="769"/>
      <c r="CQY105" s="769"/>
      <c r="CQZ105" s="769"/>
      <c r="CRA105" s="769"/>
      <c r="CRB105" s="769"/>
      <c r="CRC105" s="769"/>
      <c r="CRD105" s="769"/>
      <c r="CRE105" s="769"/>
      <c r="CRF105" s="769"/>
      <c r="CRG105" s="769"/>
      <c r="CRH105" s="769"/>
      <c r="CRI105" s="769"/>
      <c r="CRJ105" s="769"/>
      <c r="CRK105" s="769"/>
      <c r="CRL105" s="769"/>
      <c r="CRM105" s="769"/>
      <c r="CRN105" s="769"/>
      <c r="CRO105" s="769"/>
      <c r="CRP105" s="769"/>
      <c r="CRQ105" s="769"/>
      <c r="CRR105" s="769"/>
      <c r="CRS105" s="769"/>
      <c r="CRT105" s="769"/>
      <c r="CRU105" s="769"/>
      <c r="CRV105" s="769"/>
      <c r="CRW105" s="769"/>
      <c r="CRX105" s="769"/>
      <c r="CRY105" s="769"/>
      <c r="CRZ105" s="769"/>
      <c r="CSA105" s="769"/>
      <c r="CSB105" s="769"/>
      <c r="CSC105" s="769"/>
      <c r="CSD105" s="769"/>
      <c r="CSE105" s="769"/>
      <c r="CSF105" s="769"/>
      <c r="CSG105" s="769"/>
      <c r="CSH105" s="769"/>
      <c r="CSI105" s="769"/>
      <c r="CSJ105" s="769"/>
      <c r="CSK105" s="769"/>
      <c r="CSL105" s="769"/>
      <c r="CSM105" s="769"/>
      <c r="CSN105" s="769"/>
      <c r="CSO105" s="769"/>
      <c r="CSP105" s="769"/>
      <c r="CSQ105" s="769"/>
      <c r="CSR105" s="769"/>
      <c r="CSS105" s="769"/>
      <c r="CST105" s="769"/>
      <c r="CSU105" s="769"/>
      <c r="CSV105" s="769"/>
      <c r="CSW105" s="769"/>
      <c r="CSX105" s="769"/>
      <c r="CSY105" s="769"/>
      <c r="CSZ105" s="769"/>
      <c r="CTA105" s="769"/>
      <c r="CTB105" s="769"/>
      <c r="CTC105" s="769"/>
      <c r="CTD105" s="769"/>
      <c r="CTE105" s="769"/>
      <c r="CTF105" s="769"/>
      <c r="CTG105" s="769"/>
      <c r="CTH105" s="769"/>
      <c r="CTI105" s="769"/>
      <c r="CTJ105" s="769"/>
      <c r="CTK105" s="769"/>
      <c r="CTL105" s="769"/>
      <c r="CTM105" s="769"/>
      <c r="CTN105" s="769"/>
      <c r="CTO105" s="769"/>
      <c r="CTP105" s="769"/>
      <c r="CTQ105" s="769"/>
      <c r="CTR105" s="769"/>
      <c r="CTS105" s="769"/>
      <c r="CTT105" s="769"/>
      <c r="CTU105" s="769"/>
      <c r="CTV105" s="769"/>
      <c r="CTW105" s="769"/>
      <c r="CTX105" s="769"/>
      <c r="CTY105" s="769"/>
      <c r="CTZ105" s="769"/>
      <c r="CUA105" s="769"/>
      <c r="CUB105" s="769"/>
      <c r="CUC105" s="769"/>
      <c r="CUD105" s="769"/>
      <c r="CUE105" s="769"/>
      <c r="CUF105" s="769"/>
      <c r="CUG105" s="769"/>
      <c r="CUH105" s="769"/>
      <c r="CUI105" s="769"/>
      <c r="CUJ105" s="769"/>
      <c r="CUK105" s="769"/>
      <c r="CUL105" s="769"/>
      <c r="CUM105" s="769"/>
      <c r="CUN105" s="769"/>
      <c r="CUO105" s="769"/>
      <c r="CUP105" s="769"/>
      <c r="CUQ105" s="769"/>
      <c r="CUR105" s="769"/>
      <c r="CUS105" s="769"/>
      <c r="CUT105" s="769"/>
      <c r="CUU105" s="769"/>
      <c r="CUV105" s="769"/>
      <c r="CUW105" s="769"/>
      <c r="CUX105" s="769"/>
      <c r="CUY105" s="769"/>
      <c r="CUZ105" s="769"/>
      <c r="CVA105" s="769"/>
      <c r="CVB105" s="769"/>
      <c r="CVC105" s="769"/>
      <c r="CVD105" s="769"/>
      <c r="CVE105" s="769"/>
      <c r="CVF105" s="769"/>
      <c r="CVG105" s="769"/>
      <c r="CVH105" s="769"/>
      <c r="CVI105" s="769"/>
      <c r="CVJ105" s="769"/>
      <c r="CVK105" s="769"/>
      <c r="CVL105" s="769"/>
      <c r="CVM105" s="769"/>
      <c r="CVN105" s="769"/>
      <c r="CVO105" s="769"/>
      <c r="CVP105" s="769"/>
      <c r="CVQ105" s="769"/>
      <c r="CVR105" s="769"/>
      <c r="CVS105" s="769"/>
      <c r="CVT105" s="769"/>
      <c r="CVU105" s="769"/>
      <c r="CVV105" s="769"/>
      <c r="CVW105" s="769"/>
      <c r="CVX105" s="769"/>
      <c r="CVY105" s="769"/>
      <c r="CVZ105" s="769"/>
      <c r="CWA105" s="769"/>
      <c r="CWB105" s="769"/>
      <c r="CWC105" s="769"/>
      <c r="CWD105" s="769"/>
      <c r="CWE105" s="769"/>
      <c r="CWF105" s="769"/>
      <c r="CWG105" s="769"/>
      <c r="CWH105" s="769"/>
      <c r="CWI105" s="769"/>
      <c r="CWJ105" s="769"/>
      <c r="CWK105" s="769"/>
      <c r="CWL105" s="769"/>
      <c r="CWM105" s="769"/>
      <c r="CWN105" s="769"/>
      <c r="CWO105" s="769"/>
      <c r="CWP105" s="769"/>
      <c r="CWQ105" s="769"/>
      <c r="CWR105" s="769"/>
      <c r="CWS105" s="769"/>
      <c r="CWT105" s="769"/>
      <c r="CWU105" s="769"/>
      <c r="CWV105" s="769"/>
      <c r="CWW105" s="769"/>
      <c r="CWX105" s="769"/>
      <c r="CWY105" s="769"/>
      <c r="CWZ105" s="769"/>
      <c r="CXA105" s="769"/>
      <c r="CXB105" s="769"/>
      <c r="CXC105" s="769"/>
      <c r="CXD105" s="769"/>
      <c r="CXE105" s="769"/>
      <c r="CXF105" s="769"/>
      <c r="CXG105" s="769"/>
      <c r="CXH105" s="769"/>
      <c r="CXI105" s="769"/>
      <c r="CXJ105" s="769"/>
      <c r="CXK105" s="769"/>
      <c r="CXL105" s="769"/>
      <c r="CXM105" s="769"/>
      <c r="CXN105" s="769"/>
      <c r="CXO105" s="769"/>
      <c r="CXP105" s="769"/>
      <c r="CXQ105" s="769"/>
      <c r="CXR105" s="769"/>
      <c r="CXS105" s="769"/>
      <c r="CXT105" s="769"/>
      <c r="CXU105" s="769"/>
      <c r="CXV105" s="769"/>
      <c r="CXW105" s="769"/>
      <c r="CXX105" s="769"/>
      <c r="CXY105" s="769"/>
      <c r="CXZ105" s="769"/>
      <c r="CYA105" s="769"/>
      <c r="CYB105" s="769"/>
      <c r="CYC105" s="769"/>
      <c r="CYD105" s="769"/>
      <c r="CYE105" s="769"/>
      <c r="CYF105" s="769"/>
      <c r="CYG105" s="769"/>
      <c r="CYH105" s="769"/>
      <c r="CYI105" s="769"/>
      <c r="CYJ105" s="769"/>
      <c r="CYK105" s="769"/>
      <c r="CYL105" s="769"/>
      <c r="CYM105" s="769"/>
      <c r="CYN105" s="769"/>
      <c r="CYO105" s="769"/>
      <c r="CYP105" s="769"/>
      <c r="CYQ105" s="769"/>
      <c r="CYR105" s="769"/>
      <c r="CYS105" s="769"/>
      <c r="CYT105" s="769"/>
      <c r="CYU105" s="769"/>
      <c r="CYV105" s="769"/>
      <c r="CYW105" s="769"/>
      <c r="CYX105" s="769"/>
      <c r="CYY105" s="769"/>
      <c r="CYZ105" s="769"/>
      <c r="CZA105" s="769"/>
      <c r="CZB105" s="769"/>
      <c r="CZC105" s="769"/>
      <c r="CZD105" s="769"/>
      <c r="CZE105" s="769"/>
      <c r="CZF105" s="769"/>
      <c r="CZG105" s="769"/>
      <c r="CZH105" s="769"/>
      <c r="CZI105" s="769"/>
      <c r="CZJ105" s="769"/>
      <c r="CZK105" s="769"/>
      <c r="CZL105" s="769"/>
      <c r="CZM105" s="769"/>
      <c r="CZN105" s="769"/>
      <c r="CZO105" s="769"/>
      <c r="CZP105" s="769"/>
      <c r="CZQ105" s="769"/>
      <c r="CZR105" s="769"/>
      <c r="CZS105" s="769"/>
      <c r="CZT105" s="769"/>
      <c r="CZU105" s="769"/>
      <c r="CZV105" s="769"/>
      <c r="CZW105" s="769"/>
      <c r="CZX105" s="769"/>
      <c r="CZY105" s="769"/>
      <c r="CZZ105" s="769"/>
      <c r="DAA105" s="769"/>
      <c r="DAB105" s="769"/>
      <c r="DAC105" s="769"/>
      <c r="DAD105" s="769"/>
      <c r="DAE105" s="769"/>
      <c r="DAF105" s="769"/>
      <c r="DAG105" s="769"/>
      <c r="DAH105" s="769"/>
      <c r="DAI105" s="769"/>
      <c r="DAJ105" s="769"/>
      <c r="DAK105" s="769"/>
      <c r="DAL105" s="769"/>
      <c r="DAM105" s="769"/>
      <c r="DAN105" s="769"/>
      <c r="DAO105" s="769"/>
      <c r="DAP105" s="769"/>
      <c r="DAQ105" s="769"/>
      <c r="DAR105" s="769"/>
      <c r="DAS105" s="769"/>
      <c r="DAT105" s="769"/>
      <c r="DAU105" s="769"/>
      <c r="DAV105" s="769"/>
      <c r="DAW105" s="769"/>
      <c r="DAX105" s="769"/>
      <c r="DAY105" s="769"/>
      <c r="DAZ105" s="769"/>
      <c r="DBA105" s="769"/>
      <c r="DBB105" s="769"/>
      <c r="DBC105" s="769"/>
      <c r="DBD105" s="769"/>
      <c r="DBE105" s="769"/>
      <c r="DBF105" s="769"/>
      <c r="DBG105" s="769"/>
      <c r="DBH105" s="769"/>
      <c r="DBI105" s="769"/>
      <c r="DBJ105" s="769"/>
      <c r="DBK105" s="769"/>
      <c r="DBL105" s="769"/>
      <c r="DBM105" s="769"/>
      <c r="DBN105" s="769"/>
      <c r="DBO105" s="769"/>
      <c r="DBP105" s="769"/>
      <c r="DBQ105" s="769"/>
      <c r="DBR105" s="769"/>
      <c r="DBS105" s="769"/>
      <c r="DBT105" s="769"/>
      <c r="DBU105" s="769"/>
      <c r="DBV105" s="769"/>
      <c r="DBW105" s="769"/>
      <c r="DBX105" s="769"/>
      <c r="DBY105" s="769"/>
      <c r="DBZ105" s="769"/>
      <c r="DCA105" s="769"/>
      <c r="DCB105" s="769"/>
      <c r="DCC105" s="769"/>
      <c r="DCD105" s="769"/>
      <c r="DCE105" s="769"/>
      <c r="DCF105" s="769"/>
      <c r="DCG105" s="769"/>
      <c r="DCH105" s="769"/>
      <c r="DCI105" s="769"/>
      <c r="DCJ105" s="769"/>
      <c r="DCK105" s="769"/>
      <c r="DCL105" s="769"/>
      <c r="DCM105" s="769"/>
      <c r="DCN105" s="769"/>
      <c r="DCO105" s="769"/>
      <c r="DCP105" s="769"/>
      <c r="DCQ105" s="769"/>
      <c r="DCR105" s="769"/>
      <c r="DCS105" s="769"/>
      <c r="DCT105" s="769"/>
      <c r="DCU105" s="769"/>
      <c r="DCV105" s="769"/>
      <c r="DCW105" s="769"/>
      <c r="DCX105" s="769"/>
      <c r="DCY105" s="769"/>
      <c r="DCZ105" s="769"/>
      <c r="DDA105" s="769"/>
      <c r="DDB105" s="769"/>
      <c r="DDC105" s="769"/>
      <c r="DDD105" s="769"/>
      <c r="DDE105" s="769"/>
      <c r="DDF105" s="769"/>
      <c r="DDG105" s="769"/>
      <c r="DDH105" s="769"/>
      <c r="DDI105" s="769"/>
      <c r="DDJ105" s="769"/>
      <c r="DDK105" s="769"/>
      <c r="DDL105" s="769"/>
      <c r="DDM105" s="769"/>
      <c r="DDN105" s="769"/>
      <c r="DDO105" s="769"/>
      <c r="DDP105" s="769"/>
      <c r="DDQ105" s="769"/>
      <c r="DDR105" s="769"/>
      <c r="DDS105" s="769"/>
      <c r="DDT105" s="769"/>
      <c r="DDU105" s="769"/>
      <c r="DDV105" s="769"/>
      <c r="DDW105" s="769"/>
      <c r="DDX105" s="769"/>
      <c r="DDY105" s="769"/>
      <c r="DDZ105" s="769"/>
      <c r="DEA105" s="769"/>
      <c r="DEB105" s="769"/>
      <c r="DEC105" s="769"/>
      <c r="DED105" s="769"/>
      <c r="DEE105" s="769"/>
      <c r="DEF105" s="769"/>
      <c r="DEG105" s="769"/>
      <c r="DEH105" s="769"/>
      <c r="DEI105" s="769"/>
      <c r="DEJ105" s="769"/>
      <c r="DEK105" s="769"/>
      <c r="DEL105" s="769"/>
      <c r="DEM105" s="769"/>
      <c r="DEN105" s="769"/>
      <c r="DEO105" s="769"/>
      <c r="DEP105" s="769"/>
      <c r="DEQ105" s="769"/>
      <c r="DER105" s="769"/>
      <c r="DES105" s="769"/>
      <c r="DET105" s="769"/>
      <c r="DEU105" s="769"/>
      <c r="DEV105" s="769"/>
      <c r="DEW105" s="769"/>
      <c r="DEX105" s="769"/>
      <c r="DEY105" s="769"/>
      <c r="DEZ105" s="769"/>
      <c r="DFA105" s="769"/>
      <c r="DFB105" s="769"/>
      <c r="DFC105" s="769"/>
      <c r="DFD105" s="769"/>
      <c r="DFE105" s="769"/>
      <c r="DFF105" s="769"/>
      <c r="DFG105" s="769"/>
      <c r="DFH105" s="769"/>
      <c r="DFI105" s="769"/>
      <c r="DFJ105" s="769"/>
      <c r="DFK105" s="769"/>
      <c r="DFL105" s="769"/>
      <c r="DFM105" s="769"/>
      <c r="DFN105" s="769"/>
      <c r="DFO105" s="769"/>
      <c r="DFP105" s="769"/>
      <c r="DFQ105" s="769"/>
      <c r="DFR105" s="769"/>
      <c r="DFS105" s="769"/>
      <c r="DFT105" s="769"/>
      <c r="DFU105" s="769"/>
      <c r="DFV105" s="769"/>
      <c r="DFW105" s="769"/>
      <c r="DFX105" s="769"/>
      <c r="DFY105" s="769"/>
      <c r="DFZ105" s="769"/>
      <c r="DGA105" s="769"/>
      <c r="DGB105" s="769"/>
      <c r="DGC105" s="769"/>
      <c r="DGD105" s="769"/>
      <c r="DGE105" s="769"/>
      <c r="DGF105" s="769"/>
      <c r="DGG105" s="769"/>
      <c r="DGH105" s="769"/>
      <c r="DGI105" s="769"/>
      <c r="DGJ105" s="769"/>
      <c r="DGK105" s="769"/>
      <c r="DGL105" s="769"/>
      <c r="DGM105" s="769"/>
      <c r="DGN105" s="769"/>
      <c r="DGO105" s="769"/>
      <c r="DGP105" s="769"/>
      <c r="DGQ105" s="769"/>
      <c r="DGR105" s="769"/>
      <c r="DGS105" s="769"/>
      <c r="DGT105" s="769"/>
      <c r="DGU105" s="769"/>
      <c r="DGV105" s="769"/>
      <c r="DGW105" s="769"/>
      <c r="DGX105" s="769"/>
      <c r="DGY105" s="769"/>
      <c r="DGZ105" s="769"/>
      <c r="DHA105" s="769"/>
      <c r="DHB105" s="769"/>
      <c r="DHC105" s="769"/>
      <c r="DHD105" s="769"/>
      <c r="DHE105" s="769"/>
      <c r="DHF105" s="769"/>
      <c r="DHG105" s="769"/>
      <c r="DHH105" s="769"/>
      <c r="DHI105" s="769"/>
      <c r="DHJ105" s="769"/>
      <c r="DHK105" s="769"/>
      <c r="DHL105" s="769"/>
      <c r="DHM105" s="769"/>
      <c r="DHN105" s="769"/>
      <c r="DHO105" s="769"/>
      <c r="DHP105" s="769"/>
      <c r="DHQ105" s="769"/>
      <c r="DHR105" s="769"/>
      <c r="DHS105" s="769"/>
      <c r="DHT105" s="769"/>
      <c r="DHU105" s="769"/>
      <c r="DHV105" s="769"/>
      <c r="DHW105" s="769"/>
      <c r="DHX105" s="769"/>
      <c r="DHY105" s="769"/>
      <c r="DHZ105" s="769"/>
      <c r="DIA105" s="769"/>
      <c r="DIB105" s="769"/>
      <c r="DIC105" s="769"/>
      <c r="DID105" s="769"/>
      <c r="DIE105" s="769"/>
      <c r="DIF105" s="769"/>
      <c r="DIG105" s="769"/>
      <c r="DIH105" s="769"/>
      <c r="DII105" s="769"/>
      <c r="DIJ105" s="769"/>
      <c r="DIK105" s="769"/>
      <c r="DIL105" s="769"/>
      <c r="DIM105" s="769"/>
      <c r="DIN105" s="769"/>
      <c r="DIO105" s="769"/>
      <c r="DIP105" s="769"/>
      <c r="DIQ105" s="769"/>
      <c r="DIR105" s="769"/>
      <c r="DIS105" s="769"/>
      <c r="DIT105" s="769"/>
      <c r="DIU105" s="769"/>
      <c r="DIV105" s="769"/>
      <c r="DIW105" s="769"/>
      <c r="DIX105" s="769"/>
      <c r="DIY105" s="769"/>
      <c r="DIZ105" s="769"/>
      <c r="DJA105" s="769"/>
      <c r="DJB105" s="769"/>
      <c r="DJC105" s="769"/>
      <c r="DJD105" s="769"/>
      <c r="DJE105" s="769"/>
      <c r="DJF105" s="769"/>
      <c r="DJG105" s="769"/>
      <c r="DJH105" s="769"/>
      <c r="DJI105" s="769"/>
      <c r="DJJ105" s="769"/>
      <c r="DJK105" s="769"/>
      <c r="DJL105" s="769"/>
      <c r="DJM105" s="769"/>
      <c r="DJN105" s="769"/>
      <c r="DJO105" s="769"/>
      <c r="DJP105" s="769"/>
      <c r="DJQ105" s="769"/>
      <c r="DJR105" s="769"/>
      <c r="DJS105" s="769"/>
      <c r="DJT105" s="769"/>
      <c r="DJU105" s="769"/>
      <c r="DJV105" s="769"/>
      <c r="DJW105" s="769"/>
      <c r="DJX105" s="769"/>
      <c r="DJY105" s="769"/>
      <c r="DJZ105" s="769"/>
      <c r="DKA105" s="769"/>
      <c r="DKB105" s="769"/>
      <c r="DKC105" s="769"/>
      <c r="DKD105" s="769"/>
      <c r="DKE105" s="769"/>
      <c r="DKF105" s="769"/>
      <c r="DKG105" s="769"/>
      <c r="DKH105" s="769"/>
      <c r="DKI105" s="769"/>
      <c r="DKJ105" s="769"/>
      <c r="DKK105" s="769"/>
      <c r="DKL105" s="769"/>
      <c r="DKM105" s="769"/>
      <c r="DKN105" s="769"/>
      <c r="DKO105" s="769"/>
      <c r="DKP105" s="769"/>
      <c r="DKQ105" s="769"/>
      <c r="DKR105" s="769"/>
      <c r="DKS105" s="769"/>
      <c r="DKT105" s="769"/>
      <c r="DKU105" s="769"/>
      <c r="DKV105" s="769"/>
      <c r="DKW105" s="769"/>
      <c r="DKX105" s="769"/>
      <c r="DKY105" s="769"/>
      <c r="DKZ105" s="769"/>
      <c r="DLA105" s="769"/>
      <c r="DLB105" s="769"/>
      <c r="DLC105" s="769"/>
      <c r="DLD105" s="769"/>
      <c r="DLE105" s="769"/>
      <c r="DLF105" s="769"/>
      <c r="DLG105" s="769"/>
      <c r="DLH105" s="769"/>
      <c r="DLI105" s="769"/>
      <c r="DLJ105" s="769"/>
      <c r="DLK105" s="769"/>
      <c r="DLL105" s="769"/>
      <c r="DLM105" s="769"/>
      <c r="DLN105" s="769"/>
      <c r="DLO105" s="769"/>
      <c r="DLP105" s="769"/>
      <c r="DLQ105" s="769"/>
      <c r="DLR105" s="769"/>
      <c r="DLS105" s="769"/>
      <c r="DLT105" s="769"/>
      <c r="DLU105" s="769"/>
      <c r="DLV105" s="769"/>
      <c r="DLW105" s="769"/>
      <c r="DLX105" s="769"/>
      <c r="DLY105" s="769"/>
      <c r="DLZ105" s="769"/>
      <c r="DMA105" s="769"/>
      <c r="DMB105" s="769"/>
      <c r="DMC105" s="769"/>
      <c r="DMD105" s="769"/>
      <c r="DME105" s="769"/>
      <c r="DMF105" s="769"/>
      <c r="DMG105" s="769"/>
      <c r="DMH105" s="769"/>
      <c r="DMI105" s="769"/>
      <c r="DMJ105" s="769"/>
      <c r="DMK105" s="769"/>
      <c r="DML105" s="769"/>
      <c r="DMM105" s="769"/>
      <c r="DMN105" s="769"/>
      <c r="DMO105" s="769"/>
      <c r="DMP105" s="769"/>
      <c r="DMQ105" s="769"/>
      <c r="DMR105" s="769"/>
      <c r="DMS105" s="769"/>
      <c r="DMT105" s="769"/>
      <c r="DMU105" s="769"/>
      <c r="DMV105" s="769"/>
      <c r="DMW105" s="769"/>
      <c r="DMX105" s="769"/>
      <c r="DMY105" s="769"/>
      <c r="DMZ105" s="769"/>
      <c r="DNA105" s="769"/>
      <c r="DNB105" s="769"/>
      <c r="DNC105" s="769"/>
      <c r="DND105" s="769"/>
      <c r="DNE105" s="769"/>
      <c r="DNF105" s="769"/>
      <c r="DNG105" s="769"/>
      <c r="DNH105" s="769"/>
      <c r="DNI105" s="769"/>
      <c r="DNJ105" s="769"/>
      <c r="DNK105" s="769"/>
      <c r="DNL105" s="769"/>
      <c r="DNM105" s="769"/>
      <c r="DNN105" s="769"/>
      <c r="DNO105" s="769"/>
      <c r="DNP105" s="769"/>
      <c r="DNQ105" s="769"/>
      <c r="DNR105" s="769"/>
      <c r="DNS105" s="769"/>
      <c r="DNT105" s="769"/>
      <c r="DNU105" s="769"/>
      <c r="DNV105" s="769"/>
      <c r="DNW105" s="769"/>
      <c r="DNX105" s="769"/>
      <c r="DNY105" s="769"/>
      <c r="DNZ105" s="769"/>
      <c r="DOA105" s="769"/>
      <c r="DOB105" s="769"/>
      <c r="DOC105" s="769"/>
      <c r="DOD105" s="769"/>
      <c r="DOE105" s="769"/>
      <c r="DOF105" s="769"/>
      <c r="DOG105" s="769"/>
      <c r="DOH105" s="769"/>
      <c r="DOI105" s="769"/>
      <c r="DOJ105" s="769"/>
      <c r="DOK105" s="769"/>
      <c r="DOL105" s="769"/>
      <c r="DOM105" s="769"/>
      <c r="DON105" s="769"/>
      <c r="DOO105" s="769"/>
      <c r="DOP105" s="769"/>
      <c r="DOQ105" s="769"/>
      <c r="DOR105" s="769"/>
      <c r="DOS105" s="769"/>
      <c r="DOT105" s="769"/>
      <c r="DOU105" s="769"/>
      <c r="DOV105" s="769"/>
      <c r="DOW105" s="769"/>
      <c r="DOX105" s="769"/>
      <c r="DOY105" s="769"/>
      <c r="DOZ105" s="769"/>
      <c r="DPA105" s="769"/>
      <c r="DPB105" s="769"/>
      <c r="DPC105" s="769"/>
      <c r="DPD105" s="769"/>
      <c r="DPE105" s="769"/>
      <c r="DPF105" s="769"/>
      <c r="DPG105" s="769"/>
      <c r="DPH105" s="769"/>
      <c r="DPI105" s="769"/>
      <c r="DPJ105" s="769"/>
      <c r="DPK105" s="769"/>
      <c r="DPL105" s="769"/>
      <c r="DPM105" s="769"/>
      <c r="DPN105" s="769"/>
      <c r="DPO105" s="769"/>
      <c r="DPP105" s="769"/>
      <c r="DPQ105" s="769"/>
      <c r="DPR105" s="769"/>
      <c r="DPS105" s="769"/>
      <c r="DPT105" s="769"/>
      <c r="DPU105" s="769"/>
      <c r="DPV105" s="769"/>
      <c r="DPW105" s="769"/>
      <c r="DPX105" s="769"/>
      <c r="DPY105" s="769"/>
      <c r="DPZ105" s="769"/>
      <c r="DQA105" s="769"/>
      <c r="DQB105" s="769"/>
      <c r="DQC105" s="769"/>
      <c r="DQD105" s="769"/>
      <c r="DQE105" s="769"/>
      <c r="DQF105" s="769"/>
      <c r="DQG105" s="769"/>
      <c r="DQH105" s="769"/>
      <c r="DQI105" s="769"/>
      <c r="DQJ105" s="769"/>
      <c r="DQK105" s="769"/>
      <c r="DQL105" s="769"/>
      <c r="DQM105" s="769"/>
      <c r="DQN105" s="769"/>
      <c r="DQO105" s="769"/>
      <c r="DQP105" s="769"/>
      <c r="DQQ105" s="769"/>
      <c r="DQR105" s="769"/>
      <c r="DQS105" s="769"/>
      <c r="DQT105" s="769"/>
      <c r="DQU105" s="769"/>
      <c r="DQV105" s="769"/>
      <c r="DQW105" s="769"/>
      <c r="DQX105" s="769"/>
      <c r="DQY105" s="769"/>
      <c r="DQZ105" s="769"/>
      <c r="DRA105" s="769"/>
      <c r="DRB105" s="769"/>
      <c r="DRC105" s="769"/>
      <c r="DRD105" s="769"/>
      <c r="DRE105" s="769"/>
      <c r="DRF105" s="769"/>
      <c r="DRG105" s="769"/>
      <c r="DRH105" s="769"/>
      <c r="DRI105" s="769"/>
      <c r="DRJ105" s="769"/>
      <c r="DRK105" s="769"/>
      <c r="DRL105" s="769"/>
      <c r="DRM105" s="769"/>
      <c r="DRN105" s="769"/>
      <c r="DRO105" s="769"/>
      <c r="DRP105" s="769"/>
      <c r="DRQ105" s="769"/>
      <c r="DRR105" s="769"/>
      <c r="DRS105" s="769"/>
      <c r="DRT105" s="769"/>
      <c r="DRU105" s="769"/>
      <c r="DRV105" s="769"/>
      <c r="DRW105" s="769"/>
      <c r="DRX105" s="769"/>
      <c r="DRY105" s="769"/>
      <c r="DRZ105" s="769"/>
      <c r="DSA105" s="769"/>
      <c r="DSB105" s="769"/>
      <c r="DSC105" s="769"/>
      <c r="DSD105" s="769"/>
      <c r="DSE105" s="769"/>
      <c r="DSF105" s="769"/>
      <c r="DSG105" s="769"/>
      <c r="DSH105" s="769"/>
      <c r="DSI105" s="769"/>
      <c r="DSJ105" s="769"/>
      <c r="DSK105" s="769"/>
      <c r="DSL105" s="769"/>
      <c r="DSM105" s="769"/>
      <c r="DSN105" s="769"/>
      <c r="DSO105" s="769"/>
      <c r="DSP105" s="769"/>
      <c r="DSQ105" s="769"/>
      <c r="DSR105" s="769"/>
      <c r="DSS105" s="769"/>
      <c r="DST105" s="769"/>
      <c r="DSU105" s="769"/>
      <c r="DSV105" s="769"/>
      <c r="DSW105" s="769"/>
      <c r="DSX105" s="769"/>
      <c r="DSY105" s="769"/>
      <c r="DSZ105" s="769"/>
      <c r="DTA105" s="769"/>
      <c r="DTB105" s="769"/>
      <c r="DTC105" s="769"/>
      <c r="DTD105" s="769"/>
      <c r="DTE105" s="769"/>
      <c r="DTF105" s="769"/>
      <c r="DTG105" s="769"/>
      <c r="DTH105" s="769"/>
      <c r="DTI105" s="769"/>
      <c r="DTJ105" s="769"/>
      <c r="DTK105" s="769"/>
      <c r="DTL105" s="769"/>
      <c r="DTM105" s="769"/>
      <c r="DTN105" s="769"/>
      <c r="DTO105" s="769"/>
      <c r="DTP105" s="769"/>
      <c r="DTQ105" s="769"/>
      <c r="DTR105" s="769"/>
      <c r="DTS105" s="769"/>
      <c r="DTT105" s="769"/>
      <c r="DTU105" s="769"/>
      <c r="DTV105" s="769"/>
      <c r="DTW105" s="769"/>
      <c r="DTX105" s="769"/>
      <c r="DTY105" s="769"/>
      <c r="DTZ105" s="769"/>
      <c r="DUA105" s="769"/>
      <c r="DUB105" s="769"/>
      <c r="DUC105" s="769"/>
      <c r="DUD105" s="769"/>
      <c r="DUE105" s="769"/>
      <c r="DUF105" s="769"/>
      <c r="DUG105" s="769"/>
      <c r="DUH105" s="769"/>
      <c r="DUI105" s="769"/>
      <c r="DUJ105" s="769"/>
      <c r="DUK105" s="769"/>
      <c r="DUL105" s="769"/>
      <c r="DUM105" s="769"/>
      <c r="DUN105" s="769"/>
      <c r="DUO105" s="769"/>
      <c r="DUP105" s="769"/>
      <c r="DUQ105" s="769"/>
      <c r="DUR105" s="769"/>
      <c r="DUS105" s="769"/>
      <c r="DUT105" s="769"/>
      <c r="DUU105" s="769"/>
      <c r="DUV105" s="769"/>
      <c r="DUW105" s="769"/>
      <c r="DUX105" s="769"/>
      <c r="DUY105" s="769"/>
      <c r="DUZ105" s="769"/>
      <c r="DVA105" s="769"/>
      <c r="DVB105" s="769"/>
      <c r="DVC105" s="769"/>
      <c r="DVD105" s="769"/>
      <c r="DVE105" s="769"/>
      <c r="DVF105" s="769"/>
      <c r="DVG105" s="769"/>
      <c r="DVH105" s="769"/>
      <c r="DVI105" s="769"/>
      <c r="DVJ105" s="769"/>
      <c r="DVK105" s="769"/>
      <c r="DVL105" s="769"/>
      <c r="DVM105" s="769"/>
      <c r="DVN105" s="769"/>
      <c r="DVO105" s="769"/>
      <c r="DVP105" s="769"/>
      <c r="DVQ105" s="769"/>
      <c r="DVR105" s="769"/>
      <c r="DVS105" s="769"/>
      <c r="DVT105" s="769"/>
      <c r="DVU105" s="769"/>
      <c r="DVV105" s="769"/>
      <c r="DVW105" s="769"/>
      <c r="DVX105" s="769"/>
      <c r="DVY105" s="769"/>
      <c r="DVZ105" s="769"/>
      <c r="DWA105" s="769"/>
      <c r="DWB105" s="769"/>
      <c r="DWC105" s="769"/>
      <c r="DWD105" s="769"/>
      <c r="DWE105" s="769"/>
      <c r="DWF105" s="769"/>
      <c r="DWG105" s="769"/>
      <c r="DWH105" s="769"/>
      <c r="DWI105" s="769"/>
      <c r="DWJ105" s="769"/>
      <c r="DWK105" s="769"/>
      <c r="DWL105" s="769"/>
      <c r="DWM105" s="769"/>
      <c r="DWN105" s="769"/>
      <c r="DWO105" s="769"/>
      <c r="DWP105" s="769"/>
      <c r="DWQ105" s="769"/>
      <c r="DWR105" s="769"/>
      <c r="DWS105" s="769"/>
      <c r="DWT105" s="769"/>
      <c r="DWU105" s="769"/>
      <c r="DWV105" s="769"/>
      <c r="DWW105" s="769"/>
      <c r="DWX105" s="769"/>
      <c r="DWY105" s="769"/>
      <c r="DWZ105" s="769"/>
      <c r="DXA105" s="769"/>
      <c r="DXB105" s="769"/>
      <c r="DXC105" s="769"/>
      <c r="DXD105" s="769"/>
      <c r="DXE105" s="769"/>
      <c r="DXF105" s="769"/>
      <c r="DXG105" s="769"/>
      <c r="DXH105" s="769"/>
      <c r="DXI105" s="769"/>
      <c r="DXJ105" s="769"/>
      <c r="DXK105" s="769"/>
      <c r="DXL105" s="769"/>
      <c r="DXM105" s="769"/>
      <c r="DXN105" s="769"/>
      <c r="DXO105" s="769"/>
      <c r="DXP105" s="769"/>
      <c r="DXQ105" s="769"/>
      <c r="DXR105" s="769"/>
      <c r="DXS105" s="769"/>
      <c r="DXT105" s="769"/>
      <c r="DXU105" s="769"/>
      <c r="DXV105" s="769"/>
      <c r="DXW105" s="769"/>
      <c r="DXX105" s="769"/>
      <c r="DXY105" s="769"/>
      <c r="DXZ105" s="769"/>
      <c r="DYA105" s="769"/>
      <c r="DYB105" s="769"/>
      <c r="DYC105" s="769"/>
      <c r="DYD105" s="769"/>
      <c r="DYE105" s="769"/>
      <c r="DYF105" s="769"/>
      <c r="DYG105" s="769"/>
      <c r="DYH105" s="769"/>
      <c r="DYI105" s="769"/>
      <c r="DYJ105" s="769"/>
      <c r="DYK105" s="769"/>
      <c r="DYL105" s="769"/>
      <c r="DYM105" s="769"/>
      <c r="DYN105" s="769"/>
      <c r="DYO105" s="769"/>
      <c r="DYP105" s="769"/>
      <c r="DYQ105" s="769"/>
      <c r="DYR105" s="769"/>
      <c r="DYS105" s="769"/>
      <c r="DYT105" s="769"/>
      <c r="DYU105" s="769"/>
      <c r="DYV105" s="769"/>
      <c r="DYW105" s="769"/>
      <c r="DYX105" s="769"/>
      <c r="DYY105" s="769"/>
      <c r="DYZ105" s="769"/>
      <c r="DZA105" s="769"/>
      <c r="DZB105" s="769"/>
      <c r="DZC105" s="769"/>
      <c r="DZD105" s="769"/>
      <c r="DZE105" s="769"/>
      <c r="DZF105" s="769"/>
      <c r="DZG105" s="769"/>
      <c r="DZH105" s="769"/>
      <c r="DZI105" s="769"/>
      <c r="DZJ105" s="769"/>
      <c r="DZK105" s="769"/>
      <c r="DZL105" s="769"/>
      <c r="DZM105" s="769"/>
      <c r="DZN105" s="769"/>
      <c r="DZO105" s="769"/>
      <c r="DZP105" s="769"/>
      <c r="DZQ105" s="769"/>
      <c r="DZR105" s="769"/>
      <c r="DZS105" s="769"/>
      <c r="DZT105" s="769"/>
      <c r="DZU105" s="769"/>
      <c r="DZV105" s="769"/>
      <c r="DZW105" s="769"/>
      <c r="DZX105" s="769"/>
      <c r="DZY105" s="769"/>
      <c r="DZZ105" s="769"/>
      <c r="EAA105" s="769"/>
      <c r="EAB105" s="769"/>
      <c r="EAC105" s="769"/>
      <c r="EAD105" s="769"/>
      <c r="EAE105" s="769"/>
      <c r="EAF105" s="769"/>
      <c r="EAG105" s="769"/>
      <c r="EAH105" s="769"/>
      <c r="EAI105" s="769"/>
      <c r="EAJ105" s="769"/>
      <c r="EAK105" s="769"/>
      <c r="EAL105" s="769"/>
      <c r="EAM105" s="769"/>
      <c r="EAN105" s="769"/>
      <c r="EAO105" s="769"/>
      <c r="EAP105" s="769"/>
      <c r="EAQ105" s="769"/>
      <c r="EAR105" s="769"/>
      <c r="EAS105" s="769"/>
      <c r="EAT105" s="769"/>
      <c r="EAU105" s="769"/>
      <c r="EAV105" s="769"/>
      <c r="EAW105" s="769"/>
      <c r="EAX105" s="769"/>
      <c r="EAY105" s="769"/>
      <c r="EAZ105" s="769"/>
      <c r="EBA105" s="769"/>
      <c r="EBB105" s="769"/>
      <c r="EBC105" s="769"/>
      <c r="EBD105" s="769"/>
      <c r="EBE105" s="769"/>
      <c r="EBF105" s="769"/>
      <c r="EBG105" s="769"/>
      <c r="EBH105" s="769"/>
      <c r="EBI105" s="769"/>
      <c r="EBJ105" s="769"/>
      <c r="EBK105" s="769"/>
      <c r="EBL105" s="769"/>
      <c r="EBM105" s="769"/>
      <c r="EBN105" s="769"/>
      <c r="EBO105" s="769"/>
      <c r="EBP105" s="769"/>
      <c r="EBQ105" s="769"/>
      <c r="EBR105" s="769"/>
      <c r="EBS105" s="769"/>
      <c r="EBT105" s="769"/>
      <c r="EBU105" s="769"/>
      <c r="EBV105" s="769"/>
      <c r="EBW105" s="769"/>
      <c r="EBX105" s="769"/>
      <c r="EBY105" s="769"/>
      <c r="EBZ105" s="769"/>
      <c r="ECA105" s="769"/>
      <c r="ECB105" s="769"/>
      <c r="ECC105" s="769"/>
      <c r="ECD105" s="769"/>
      <c r="ECE105" s="769"/>
      <c r="ECF105" s="769"/>
      <c r="ECG105" s="769"/>
      <c r="ECH105" s="769"/>
      <c r="ECI105" s="769"/>
      <c r="ECJ105" s="769"/>
      <c r="ECK105" s="769"/>
      <c r="ECL105" s="769"/>
      <c r="ECM105" s="769"/>
      <c r="ECN105" s="769"/>
      <c r="ECO105" s="769"/>
      <c r="ECP105" s="769"/>
      <c r="ECQ105" s="769"/>
      <c r="ECR105" s="769"/>
      <c r="ECS105" s="769"/>
      <c r="ECT105" s="769"/>
      <c r="ECU105" s="769"/>
      <c r="ECV105" s="769"/>
      <c r="ECW105" s="769"/>
      <c r="ECX105" s="769"/>
      <c r="ECY105" s="769"/>
      <c r="ECZ105" s="769"/>
      <c r="EDA105" s="769"/>
      <c r="EDB105" s="769"/>
      <c r="EDC105" s="769"/>
      <c r="EDD105" s="769"/>
      <c r="EDE105" s="769"/>
      <c r="EDF105" s="769"/>
      <c r="EDG105" s="769"/>
      <c r="EDH105" s="769"/>
      <c r="EDI105" s="769"/>
      <c r="EDJ105" s="769"/>
      <c r="EDK105" s="769"/>
      <c r="EDL105" s="769"/>
      <c r="EDM105" s="769"/>
      <c r="EDN105" s="769"/>
      <c r="EDO105" s="769"/>
      <c r="EDP105" s="769"/>
      <c r="EDQ105" s="769"/>
      <c r="EDR105" s="769"/>
      <c r="EDS105" s="769"/>
      <c r="EDT105" s="769"/>
      <c r="EDU105" s="769"/>
      <c r="EDV105" s="769"/>
      <c r="EDW105" s="769"/>
      <c r="EDX105" s="769"/>
      <c r="EDY105" s="769"/>
      <c r="EDZ105" s="769"/>
      <c r="EEA105" s="769"/>
      <c r="EEB105" s="769"/>
      <c r="EEC105" s="769"/>
      <c r="EED105" s="769"/>
      <c r="EEE105" s="769"/>
      <c r="EEF105" s="769"/>
      <c r="EEG105" s="769"/>
      <c r="EEH105" s="769"/>
      <c r="EEI105" s="769"/>
      <c r="EEJ105" s="769"/>
      <c r="EEK105" s="769"/>
      <c r="EEL105" s="769"/>
      <c r="EEM105" s="769"/>
      <c r="EEN105" s="769"/>
      <c r="EEO105" s="769"/>
      <c r="EEP105" s="769"/>
      <c r="EEQ105" s="769"/>
      <c r="EER105" s="769"/>
      <c r="EES105" s="769"/>
      <c r="EET105" s="769"/>
      <c r="EEU105" s="769"/>
      <c r="EEV105" s="769"/>
      <c r="EEW105" s="769"/>
      <c r="EEX105" s="769"/>
      <c r="EEY105" s="769"/>
      <c r="EEZ105" s="769"/>
      <c r="EFA105" s="769"/>
      <c r="EFB105" s="769"/>
      <c r="EFC105" s="769"/>
      <c r="EFD105" s="769"/>
      <c r="EFE105" s="769"/>
      <c r="EFF105" s="769"/>
      <c r="EFG105" s="769"/>
      <c r="EFH105" s="769"/>
      <c r="EFI105" s="769"/>
      <c r="EFJ105" s="769"/>
      <c r="EFK105" s="769"/>
      <c r="EFL105" s="769"/>
      <c r="EFM105" s="769"/>
      <c r="EFN105" s="769"/>
      <c r="EFO105" s="769"/>
      <c r="EFP105" s="769"/>
      <c r="EFQ105" s="769"/>
      <c r="EFR105" s="769"/>
      <c r="EFS105" s="769"/>
      <c r="EFT105" s="769"/>
      <c r="EFU105" s="769"/>
      <c r="EFV105" s="769"/>
      <c r="EFW105" s="769"/>
      <c r="EFX105" s="769"/>
      <c r="EFY105" s="769"/>
      <c r="EFZ105" s="769"/>
      <c r="EGA105" s="769"/>
      <c r="EGB105" s="769"/>
      <c r="EGC105" s="769"/>
      <c r="EGD105" s="769"/>
      <c r="EGE105" s="769"/>
      <c r="EGF105" s="769"/>
      <c r="EGG105" s="769"/>
      <c r="EGH105" s="769"/>
      <c r="EGI105" s="769"/>
      <c r="EGJ105" s="769"/>
      <c r="EGK105" s="769"/>
      <c r="EGL105" s="769"/>
      <c r="EGM105" s="769"/>
      <c r="EGN105" s="769"/>
      <c r="EGO105" s="769"/>
      <c r="EGP105" s="769"/>
      <c r="EGQ105" s="769"/>
      <c r="EGR105" s="769"/>
      <c r="EGS105" s="769"/>
      <c r="EGT105" s="769"/>
      <c r="EGU105" s="769"/>
      <c r="EGV105" s="769"/>
      <c r="EGW105" s="769"/>
      <c r="EGX105" s="769"/>
      <c r="EGY105" s="769"/>
      <c r="EGZ105" s="769"/>
      <c r="EHA105" s="769"/>
      <c r="EHB105" s="769"/>
      <c r="EHC105" s="769"/>
      <c r="EHD105" s="769"/>
      <c r="EHE105" s="769"/>
      <c r="EHF105" s="769"/>
      <c r="EHG105" s="769"/>
      <c r="EHH105" s="769"/>
      <c r="EHI105" s="769"/>
      <c r="EHJ105" s="769"/>
      <c r="EHK105" s="769"/>
      <c r="EHL105" s="769"/>
      <c r="EHM105" s="769"/>
      <c r="EHN105" s="769"/>
      <c r="EHO105" s="769"/>
      <c r="EHP105" s="769"/>
      <c r="EHQ105" s="769"/>
      <c r="EHR105" s="769"/>
      <c r="EHS105" s="769"/>
      <c r="EHT105" s="769"/>
      <c r="EHU105" s="769"/>
      <c r="EHV105" s="769"/>
      <c r="EHW105" s="769"/>
      <c r="EHX105" s="769"/>
      <c r="EHY105" s="769"/>
      <c r="EHZ105" s="769"/>
      <c r="EIA105" s="769"/>
      <c r="EIB105" s="769"/>
      <c r="EIC105" s="769"/>
      <c r="EID105" s="769"/>
      <c r="EIE105" s="769"/>
      <c r="EIF105" s="769"/>
      <c r="EIG105" s="769"/>
      <c r="EIH105" s="769"/>
      <c r="EII105" s="769"/>
      <c r="EIJ105" s="769"/>
      <c r="EIK105" s="769"/>
      <c r="EIL105" s="769"/>
      <c r="EIM105" s="769"/>
      <c r="EIN105" s="769"/>
      <c r="EIO105" s="769"/>
      <c r="EIP105" s="769"/>
      <c r="EIQ105" s="769"/>
      <c r="EIR105" s="769"/>
      <c r="EIS105" s="769"/>
      <c r="EIT105" s="769"/>
      <c r="EIU105" s="769"/>
      <c r="EIV105" s="769"/>
      <c r="EIW105" s="769"/>
      <c r="EIX105" s="769"/>
      <c r="EIY105" s="769"/>
      <c r="EIZ105" s="769"/>
      <c r="EJA105" s="769"/>
      <c r="EJB105" s="769"/>
      <c r="EJC105" s="769"/>
      <c r="EJD105" s="769"/>
      <c r="EJE105" s="769"/>
      <c r="EJF105" s="769"/>
      <c r="EJG105" s="769"/>
      <c r="EJH105" s="769"/>
      <c r="EJI105" s="769"/>
      <c r="EJJ105" s="769"/>
      <c r="EJK105" s="769"/>
      <c r="EJL105" s="769"/>
      <c r="EJM105" s="769"/>
      <c r="EJN105" s="769"/>
      <c r="EJO105" s="769"/>
      <c r="EJP105" s="769"/>
      <c r="EJQ105" s="769"/>
      <c r="EJR105" s="769"/>
      <c r="EJS105" s="769"/>
      <c r="EJT105" s="769"/>
      <c r="EJU105" s="769"/>
      <c r="EJV105" s="769"/>
      <c r="EJW105" s="769"/>
      <c r="EJX105" s="769"/>
      <c r="EJY105" s="769"/>
      <c r="EJZ105" s="769"/>
      <c r="EKA105" s="769"/>
      <c r="EKB105" s="769"/>
      <c r="EKC105" s="769"/>
      <c r="EKD105" s="769"/>
      <c r="EKE105" s="769"/>
      <c r="EKF105" s="769"/>
      <c r="EKG105" s="769"/>
      <c r="EKH105" s="769"/>
      <c r="EKI105" s="769"/>
      <c r="EKJ105" s="769"/>
      <c r="EKK105" s="769"/>
      <c r="EKL105" s="769"/>
      <c r="EKM105" s="769"/>
      <c r="EKN105" s="769"/>
      <c r="EKO105" s="769"/>
      <c r="EKP105" s="769"/>
      <c r="EKQ105" s="769"/>
      <c r="EKR105" s="769"/>
      <c r="EKS105" s="769"/>
      <c r="EKT105" s="769"/>
      <c r="EKU105" s="769"/>
      <c r="EKV105" s="769"/>
      <c r="EKW105" s="769"/>
      <c r="EKX105" s="769"/>
      <c r="EKY105" s="769"/>
      <c r="EKZ105" s="769"/>
      <c r="ELA105" s="769"/>
      <c r="ELB105" s="769"/>
      <c r="ELC105" s="769"/>
      <c r="ELD105" s="769"/>
      <c r="ELE105" s="769"/>
      <c r="ELF105" s="769"/>
      <c r="ELG105" s="769"/>
      <c r="ELH105" s="769"/>
      <c r="ELI105" s="769"/>
      <c r="ELJ105" s="769"/>
      <c r="ELK105" s="769"/>
      <c r="ELL105" s="769"/>
      <c r="ELM105" s="769"/>
      <c r="ELN105" s="769"/>
      <c r="ELO105" s="769"/>
      <c r="ELP105" s="769"/>
      <c r="ELQ105" s="769"/>
      <c r="ELR105" s="769"/>
      <c r="ELS105" s="769"/>
      <c r="ELT105" s="769"/>
      <c r="ELU105" s="769"/>
      <c r="ELV105" s="769"/>
      <c r="ELW105" s="769"/>
      <c r="ELX105" s="769"/>
      <c r="ELY105" s="769"/>
      <c r="ELZ105" s="769"/>
      <c r="EMA105" s="769"/>
      <c r="EMB105" s="769"/>
      <c r="EMC105" s="769"/>
      <c r="EMD105" s="769"/>
      <c r="EME105" s="769"/>
      <c r="EMF105" s="769"/>
      <c r="EMG105" s="769"/>
      <c r="EMH105" s="769"/>
      <c r="EMI105" s="769"/>
      <c r="EMJ105" s="769"/>
      <c r="EMK105" s="769"/>
      <c r="EML105" s="769"/>
      <c r="EMM105" s="769"/>
      <c r="EMN105" s="769"/>
      <c r="EMO105" s="769"/>
      <c r="EMP105" s="769"/>
      <c r="EMQ105" s="769"/>
      <c r="EMR105" s="769"/>
      <c r="EMS105" s="769"/>
      <c r="EMT105" s="769"/>
      <c r="EMU105" s="769"/>
      <c r="EMV105" s="769"/>
      <c r="EMW105" s="769"/>
      <c r="EMX105" s="769"/>
      <c r="EMY105" s="769"/>
      <c r="EMZ105" s="769"/>
      <c r="ENA105" s="769"/>
      <c r="ENB105" s="769"/>
      <c r="ENC105" s="769"/>
      <c r="END105" s="769"/>
      <c r="ENE105" s="769"/>
      <c r="ENF105" s="769"/>
      <c r="ENG105" s="769"/>
      <c r="ENH105" s="769"/>
      <c r="ENI105" s="769"/>
      <c r="ENJ105" s="769"/>
      <c r="ENK105" s="769"/>
      <c r="ENL105" s="769"/>
      <c r="ENM105" s="769"/>
      <c r="ENN105" s="769"/>
      <c r="ENO105" s="769"/>
      <c r="ENP105" s="769"/>
      <c r="ENQ105" s="769"/>
      <c r="ENR105" s="769"/>
      <c r="ENS105" s="769"/>
      <c r="ENT105" s="769"/>
      <c r="ENU105" s="769"/>
      <c r="ENV105" s="769"/>
      <c r="ENW105" s="769"/>
      <c r="ENX105" s="769"/>
      <c r="ENY105" s="769"/>
      <c r="ENZ105" s="769"/>
      <c r="EOA105" s="769"/>
      <c r="EOB105" s="769"/>
      <c r="EOC105" s="769"/>
      <c r="EOD105" s="769"/>
      <c r="EOE105" s="769"/>
      <c r="EOF105" s="769"/>
      <c r="EOG105" s="769"/>
      <c r="EOH105" s="769"/>
      <c r="EOI105" s="769"/>
      <c r="EOJ105" s="769"/>
      <c r="EOK105" s="769"/>
      <c r="EOL105" s="769"/>
      <c r="EOM105" s="769"/>
      <c r="EON105" s="769"/>
      <c r="EOO105" s="769"/>
      <c r="EOP105" s="769"/>
      <c r="EOQ105" s="769"/>
      <c r="EOR105" s="769"/>
      <c r="EOS105" s="769"/>
      <c r="EOT105" s="769"/>
      <c r="EOU105" s="769"/>
      <c r="EOV105" s="769"/>
      <c r="EOW105" s="769"/>
      <c r="EOX105" s="769"/>
      <c r="EOY105" s="769"/>
      <c r="EOZ105" s="769"/>
      <c r="EPA105" s="769"/>
      <c r="EPB105" s="769"/>
      <c r="EPC105" s="769"/>
      <c r="EPD105" s="769"/>
      <c r="EPE105" s="769"/>
      <c r="EPF105" s="769"/>
      <c r="EPG105" s="769"/>
      <c r="EPH105" s="769"/>
      <c r="EPI105" s="769"/>
      <c r="EPJ105" s="769"/>
      <c r="EPK105" s="769"/>
      <c r="EPL105" s="769"/>
      <c r="EPM105" s="769"/>
      <c r="EPN105" s="769"/>
      <c r="EPO105" s="769"/>
      <c r="EPP105" s="769"/>
      <c r="EPQ105" s="769"/>
      <c r="EPR105" s="769"/>
      <c r="EPS105" s="769"/>
      <c r="EPT105" s="769"/>
      <c r="EPU105" s="769"/>
      <c r="EPV105" s="769"/>
      <c r="EPW105" s="769"/>
      <c r="EPX105" s="769"/>
      <c r="EPY105" s="769"/>
      <c r="EPZ105" s="769"/>
      <c r="EQA105" s="769"/>
      <c r="EQB105" s="769"/>
      <c r="EQC105" s="769"/>
      <c r="EQD105" s="769"/>
      <c r="EQE105" s="769"/>
      <c r="EQF105" s="769"/>
      <c r="EQG105" s="769"/>
      <c r="EQH105" s="769"/>
      <c r="EQI105" s="769"/>
      <c r="EQJ105" s="769"/>
      <c r="EQK105" s="769"/>
      <c r="EQL105" s="769"/>
      <c r="EQM105" s="769"/>
      <c r="EQN105" s="769"/>
      <c r="EQO105" s="769"/>
      <c r="EQP105" s="769"/>
      <c r="EQQ105" s="769"/>
      <c r="EQR105" s="769"/>
      <c r="EQS105" s="769"/>
      <c r="EQT105" s="769"/>
      <c r="EQU105" s="769"/>
      <c r="EQV105" s="769"/>
      <c r="EQW105" s="769"/>
      <c r="EQX105" s="769"/>
      <c r="EQY105" s="769"/>
      <c r="EQZ105" s="769"/>
      <c r="ERA105" s="769"/>
      <c r="ERB105" s="769"/>
      <c r="ERC105" s="769"/>
      <c r="ERD105" s="769"/>
      <c r="ERE105" s="769"/>
      <c r="ERF105" s="769"/>
      <c r="ERG105" s="769"/>
      <c r="ERH105" s="769"/>
      <c r="ERI105" s="769"/>
      <c r="ERJ105" s="769"/>
      <c r="ERK105" s="769"/>
      <c r="ERL105" s="769"/>
      <c r="ERM105" s="769"/>
      <c r="ERN105" s="769"/>
      <c r="ERO105" s="769"/>
      <c r="ERP105" s="769"/>
      <c r="ERQ105" s="769"/>
      <c r="ERR105" s="769"/>
      <c r="ERS105" s="769"/>
      <c r="ERT105" s="769"/>
      <c r="ERU105" s="769"/>
      <c r="ERV105" s="769"/>
      <c r="ERW105" s="769"/>
      <c r="ERX105" s="769"/>
      <c r="ERY105" s="769"/>
      <c r="ERZ105" s="769"/>
      <c r="ESA105" s="769"/>
      <c r="ESB105" s="769"/>
      <c r="ESC105" s="769"/>
      <c r="ESD105" s="769"/>
      <c r="ESE105" s="769"/>
      <c r="ESF105" s="769"/>
      <c r="ESG105" s="769"/>
      <c r="ESH105" s="769"/>
      <c r="ESI105" s="769"/>
      <c r="ESJ105" s="769"/>
      <c r="ESK105" s="769"/>
      <c r="ESL105" s="769"/>
      <c r="ESM105" s="769"/>
      <c r="ESN105" s="769"/>
      <c r="ESO105" s="769"/>
      <c r="ESP105" s="769"/>
      <c r="ESQ105" s="769"/>
      <c r="ESR105" s="769"/>
      <c r="ESS105" s="769"/>
      <c r="EST105" s="769"/>
      <c r="ESU105" s="769"/>
      <c r="ESV105" s="769"/>
      <c r="ESW105" s="769"/>
      <c r="ESX105" s="769"/>
      <c r="ESY105" s="769"/>
      <c r="ESZ105" s="769"/>
      <c r="ETA105" s="769"/>
      <c r="ETB105" s="769"/>
      <c r="ETC105" s="769"/>
      <c r="ETD105" s="769"/>
      <c r="ETE105" s="769"/>
      <c r="ETF105" s="769"/>
      <c r="ETG105" s="769"/>
      <c r="ETH105" s="769"/>
      <c r="ETI105" s="769"/>
      <c r="ETJ105" s="769"/>
      <c r="ETK105" s="769"/>
      <c r="ETL105" s="769"/>
      <c r="ETM105" s="769"/>
      <c r="ETN105" s="769"/>
      <c r="ETO105" s="769"/>
      <c r="ETP105" s="769"/>
      <c r="ETQ105" s="769"/>
      <c r="ETR105" s="769"/>
      <c r="ETS105" s="769"/>
      <c r="ETT105" s="769"/>
      <c r="ETU105" s="769"/>
      <c r="ETV105" s="769"/>
      <c r="ETW105" s="769"/>
      <c r="ETX105" s="769"/>
      <c r="ETY105" s="769"/>
      <c r="ETZ105" s="769"/>
      <c r="EUA105" s="769"/>
      <c r="EUB105" s="769"/>
      <c r="EUC105" s="769"/>
      <c r="EUD105" s="769"/>
      <c r="EUE105" s="769"/>
      <c r="EUF105" s="769"/>
      <c r="EUG105" s="769"/>
      <c r="EUH105" s="769"/>
      <c r="EUI105" s="769"/>
      <c r="EUJ105" s="769"/>
      <c r="EUK105" s="769"/>
      <c r="EUL105" s="769"/>
      <c r="EUM105" s="769"/>
      <c r="EUN105" s="769"/>
      <c r="EUO105" s="769"/>
      <c r="EUP105" s="769"/>
      <c r="EUQ105" s="769"/>
      <c r="EUR105" s="769"/>
      <c r="EUS105" s="769"/>
      <c r="EUT105" s="769"/>
      <c r="EUU105" s="769"/>
      <c r="EUV105" s="769"/>
      <c r="EUW105" s="769"/>
      <c r="EUX105" s="769"/>
      <c r="EUY105" s="769"/>
      <c r="EUZ105" s="769"/>
      <c r="EVA105" s="769"/>
      <c r="EVB105" s="769"/>
      <c r="EVC105" s="769"/>
      <c r="EVD105" s="769"/>
      <c r="EVE105" s="769"/>
      <c r="EVF105" s="769"/>
      <c r="EVG105" s="769"/>
      <c r="EVH105" s="769"/>
      <c r="EVI105" s="769"/>
      <c r="EVJ105" s="769"/>
      <c r="EVK105" s="769"/>
      <c r="EVL105" s="769"/>
      <c r="EVM105" s="769"/>
      <c r="EVN105" s="769"/>
      <c r="EVO105" s="769"/>
      <c r="EVP105" s="769"/>
      <c r="EVQ105" s="769"/>
      <c r="EVR105" s="769"/>
      <c r="EVS105" s="769"/>
      <c r="EVT105" s="769"/>
      <c r="EVU105" s="769"/>
      <c r="EVV105" s="769"/>
      <c r="EVW105" s="769"/>
      <c r="EVX105" s="769"/>
      <c r="EVY105" s="769"/>
      <c r="EVZ105" s="769"/>
      <c r="EWA105" s="769"/>
      <c r="EWB105" s="769"/>
      <c r="EWC105" s="769"/>
      <c r="EWD105" s="769"/>
      <c r="EWE105" s="769"/>
      <c r="EWF105" s="769"/>
      <c r="EWG105" s="769"/>
      <c r="EWH105" s="769"/>
      <c r="EWI105" s="769"/>
      <c r="EWJ105" s="769"/>
      <c r="EWK105" s="769"/>
      <c r="EWL105" s="769"/>
      <c r="EWM105" s="769"/>
      <c r="EWN105" s="769"/>
      <c r="EWO105" s="769"/>
      <c r="EWP105" s="769"/>
      <c r="EWQ105" s="769"/>
      <c r="EWR105" s="769"/>
      <c r="EWS105" s="769"/>
      <c r="EWT105" s="769"/>
      <c r="EWU105" s="769"/>
      <c r="EWV105" s="769"/>
      <c r="EWW105" s="769"/>
      <c r="EWX105" s="769"/>
      <c r="EWY105" s="769"/>
      <c r="EWZ105" s="769"/>
      <c r="EXA105" s="769"/>
      <c r="EXB105" s="769"/>
      <c r="EXC105" s="769"/>
      <c r="EXD105" s="769"/>
      <c r="EXE105" s="769"/>
      <c r="EXF105" s="769"/>
      <c r="EXG105" s="769"/>
      <c r="EXH105" s="769"/>
      <c r="EXI105" s="769"/>
      <c r="EXJ105" s="769"/>
      <c r="EXK105" s="769"/>
      <c r="EXL105" s="769"/>
      <c r="EXM105" s="769"/>
      <c r="EXN105" s="769"/>
      <c r="EXO105" s="769"/>
      <c r="EXP105" s="769"/>
      <c r="EXQ105" s="769"/>
      <c r="EXR105" s="769"/>
      <c r="EXS105" s="769"/>
      <c r="EXT105" s="769"/>
      <c r="EXU105" s="769"/>
      <c r="EXV105" s="769"/>
      <c r="EXW105" s="769"/>
      <c r="EXX105" s="769"/>
      <c r="EXY105" s="769"/>
      <c r="EXZ105" s="769"/>
      <c r="EYA105" s="769"/>
      <c r="EYB105" s="769"/>
      <c r="EYC105" s="769"/>
      <c r="EYD105" s="769"/>
      <c r="EYE105" s="769"/>
      <c r="EYF105" s="769"/>
      <c r="EYG105" s="769"/>
      <c r="EYH105" s="769"/>
      <c r="EYI105" s="769"/>
      <c r="EYJ105" s="769"/>
      <c r="EYK105" s="769"/>
      <c r="EYL105" s="769"/>
      <c r="EYM105" s="769"/>
      <c r="EYN105" s="769"/>
      <c r="EYO105" s="769"/>
      <c r="EYP105" s="769"/>
      <c r="EYQ105" s="769"/>
      <c r="EYR105" s="769"/>
      <c r="EYS105" s="769"/>
      <c r="EYT105" s="769"/>
      <c r="EYU105" s="769"/>
      <c r="EYV105" s="769"/>
      <c r="EYW105" s="769"/>
      <c r="EYX105" s="769"/>
      <c r="EYY105" s="769"/>
      <c r="EYZ105" s="769"/>
      <c r="EZA105" s="769"/>
      <c r="EZB105" s="769"/>
      <c r="EZC105" s="769"/>
      <c r="EZD105" s="769"/>
      <c r="EZE105" s="769"/>
      <c r="EZF105" s="769"/>
      <c r="EZG105" s="769"/>
      <c r="EZH105" s="769"/>
      <c r="EZI105" s="769"/>
      <c r="EZJ105" s="769"/>
      <c r="EZK105" s="769"/>
      <c r="EZL105" s="769"/>
      <c r="EZM105" s="769"/>
      <c r="EZN105" s="769"/>
      <c r="EZO105" s="769"/>
      <c r="EZP105" s="769"/>
      <c r="EZQ105" s="769"/>
      <c r="EZR105" s="769"/>
      <c r="EZS105" s="769"/>
      <c r="EZT105" s="769"/>
      <c r="EZU105" s="769"/>
      <c r="EZV105" s="769"/>
      <c r="EZW105" s="769"/>
      <c r="EZX105" s="769"/>
      <c r="EZY105" s="769"/>
      <c r="EZZ105" s="769"/>
      <c r="FAA105" s="769"/>
      <c r="FAB105" s="769"/>
      <c r="FAC105" s="769"/>
      <c r="FAD105" s="769"/>
      <c r="FAE105" s="769"/>
      <c r="FAF105" s="769"/>
      <c r="FAG105" s="769"/>
      <c r="FAH105" s="769"/>
      <c r="FAI105" s="769"/>
      <c r="FAJ105" s="769"/>
      <c r="FAK105" s="769"/>
      <c r="FAL105" s="769"/>
      <c r="FAM105" s="769"/>
      <c r="FAN105" s="769"/>
      <c r="FAO105" s="769"/>
      <c r="FAP105" s="769"/>
      <c r="FAQ105" s="769"/>
      <c r="FAR105" s="769"/>
      <c r="FAS105" s="769"/>
      <c r="FAT105" s="769"/>
      <c r="FAU105" s="769"/>
      <c r="FAV105" s="769"/>
      <c r="FAW105" s="769"/>
      <c r="FAX105" s="769"/>
      <c r="FAY105" s="769"/>
      <c r="FAZ105" s="769"/>
      <c r="FBA105" s="769"/>
      <c r="FBB105" s="769"/>
      <c r="FBC105" s="769"/>
      <c r="FBD105" s="769"/>
      <c r="FBE105" s="769"/>
      <c r="FBF105" s="769"/>
      <c r="FBG105" s="769"/>
      <c r="FBH105" s="769"/>
      <c r="FBI105" s="769"/>
      <c r="FBJ105" s="769"/>
      <c r="FBK105" s="769"/>
      <c r="FBL105" s="769"/>
      <c r="FBM105" s="769"/>
      <c r="FBN105" s="769"/>
      <c r="FBO105" s="769"/>
      <c r="FBP105" s="769"/>
      <c r="FBQ105" s="769"/>
      <c r="FBR105" s="769"/>
      <c r="FBS105" s="769"/>
      <c r="FBT105" s="769"/>
      <c r="FBU105" s="769"/>
      <c r="FBV105" s="769"/>
      <c r="FBW105" s="769"/>
      <c r="FBX105" s="769"/>
      <c r="FBY105" s="769"/>
      <c r="FBZ105" s="769"/>
      <c r="FCA105" s="769"/>
      <c r="FCB105" s="769"/>
      <c r="FCC105" s="769"/>
      <c r="FCD105" s="769"/>
      <c r="FCE105" s="769"/>
      <c r="FCF105" s="769"/>
      <c r="FCG105" s="769"/>
      <c r="FCH105" s="769"/>
      <c r="FCI105" s="769"/>
      <c r="FCJ105" s="769"/>
      <c r="FCK105" s="769"/>
      <c r="FCL105" s="769"/>
      <c r="FCM105" s="769"/>
      <c r="FCN105" s="769"/>
      <c r="FCO105" s="769"/>
      <c r="FCP105" s="769"/>
      <c r="FCQ105" s="769"/>
      <c r="FCR105" s="769"/>
      <c r="FCS105" s="769"/>
      <c r="FCT105" s="769"/>
      <c r="FCU105" s="769"/>
      <c r="FCV105" s="769"/>
      <c r="FCW105" s="769"/>
      <c r="FCX105" s="769"/>
      <c r="FCY105" s="769"/>
      <c r="FCZ105" s="769"/>
      <c r="FDA105" s="769"/>
      <c r="FDB105" s="769"/>
      <c r="FDC105" s="769"/>
      <c r="FDD105" s="769"/>
      <c r="FDE105" s="769"/>
      <c r="FDF105" s="769"/>
      <c r="FDG105" s="769"/>
      <c r="FDH105" s="769"/>
      <c r="FDI105" s="769"/>
      <c r="FDJ105" s="769"/>
      <c r="FDK105" s="769"/>
      <c r="FDL105" s="769"/>
      <c r="FDM105" s="769"/>
      <c r="FDN105" s="769"/>
      <c r="FDO105" s="769"/>
      <c r="FDP105" s="769"/>
      <c r="FDQ105" s="769"/>
      <c r="FDR105" s="769"/>
      <c r="FDS105" s="769"/>
      <c r="FDT105" s="769"/>
      <c r="FDU105" s="769"/>
      <c r="FDV105" s="769"/>
      <c r="FDW105" s="769"/>
      <c r="FDX105" s="769"/>
      <c r="FDY105" s="769"/>
      <c r="FDZ105" s="769"/>
      <c r="FEA105" s="769"/>
      <c r="FEB105" s="769"/>
      <c r="FEC105" s="769"/>
      <c r="FED105" s="769"/>
      <c r="FEE105" s="769"/>
      <c r="FEF105" s="769"/>
      <c r="FEG105" s="769"/>
      <c r="FEH105" s="769"/>
      <c r="FEI105" s="769"/>
      <c r="FEJ105" s="769"/>
      <c r="FEK105" s="769"/>
      <c r="FEL105" s="769"/>
      <c r="FEM105" s="769"/>
      <c r="FEN105" s="769"/>
      <c r="FEO105" s="769"/>
      <c r="FEP105" s="769"/>
      <c r="FEQ105" s="769"/>
      <c r="FER105" s="769"/>
      <c r="FES105" s="769"/>
      <c r="FET105" s="769"/>
      <c r="FEU105" s="769"/>
      <c r="FEV105" s="769"/>
      <c r="FEW105" s="769"/>
      <c r="FEX105" s="769"/>
      <c r="FEY105" s="769"/>
      <c r="FEZ105" s="769"/>
      <c r="FFA105" s="769"/>
      <c r="FFB105" s="769"/>
      <c r="FFC105" s="769"/>
      <c r="FFD105" s="769"/>
      <c r="FFE105" s="769"/>
      <c r="FFF105" s="769"/>
      <c r="FFG105" s="769"/>
      <c r="FFH105" s="769"/>
      <c r="FFI105" s="769"/>
      <c r="FFJ105" s="769"/>
      <c r="FFK105" s="769"/>
      <c r="FFL105" s="769"/>
      <c r="FFM105" s="769"/>
      <c r="FFN105" s="769"/>
      <c r="FFO105" s="769"/>
      <c r="FFP105" s="769"/>
      <c r="FFQ105" s="769"/>
      <c r="FFR105" s="769"/>
      <c r="FFS105" s="769"/>
      <c r="FFT105" s="769"/>
      <c r="FFU105" s="769"/>
      <c r="FFV105" s="769"/>
      <c r="FFW105" s="769"/>
      <c r="FFX105" s="769"/>
      <c r="FFY105" s="769"/>
      <c r="FFZ105" s="769"/>
      <c r="FGA105" s="769"/>
      <c r="FGB105" s="769"/>
      <c r="FGC105" s="769"/>
      <c r="FGD105" s="769"/>
      <c r="FGE105" s="769"/>
      <c r="FGF105" s="769"/>
      <c r="FGG105" s="769"/>
      <c r="FGH105" s="769"/>
      <c r="FGI105" s="769"/>
      <c r="FGJ105" s="769"/>
      <c r="FGK105" s="769"/>
      <c r="FGL105" s="769"/>
      <c r="FGM105" s="769"/>
      <c r="FGN105" s="769"/>
      <c r="FGO105" s="769"/>
      <c r="FGP105" s="769"/>
      <c r="FGQ105" s="769"/>
      <c r="FGR105" s="769"/>
      <c r="FGS105" s="769"/>
      <c r="FGT105" s="769"/>
      <c r="FGU105" s="769"/>
      <c r="FGV105" s="769"/>
      <c r="FGW105" s="769"/>
      <c r="FGX105" s="769"/>
      <c r="FGY105" s="769"/>
      <c r="FGZ105" s="769"/>
      <c r="FHA105" s="769"/>
      <c r="FHB105" s="769"/>
      <c r="FHC105" s="769"/>
      <c r="FHD105" s="769"/>
      <c r="FHE105" s="769"/>
      <c r="FHF105" s="769"/>
      <c r="FHG105" s="769"/>
      <c r="FHH105" s="769"/>
      <c r="FHI105" s="769"/>
      <c r="FHJ105" s="769"/>
      <c r="FHK105" s="769"/>
      <c r="FHL105" s="769"/>
      <c r="FHM105" s="769"/>
      <c r="FHN105" s="769"/>
      <c r="FHO105" s="769"/>
      <c r="FHP105" s="769"/>
      <c r="FHQ105" s="769"/>
      <c r="FHR105" s="769"/>
      <c r="FHS105" s="769"/>
      <c r="FHT105" s="769"/>
      <c r="FHU105" s="769"/>
      <c r="FHV105" s="769"/>
      <c r="FHW105" s="769"/>
      <c r="FHX105" s="769"/>
      <c r="FHY105" s="769"/>
      <c r="FHZ105" s="769"/>
      <c r="FIA105" s="769"/>
      <c r="FIB105" s="769"/>
      <c r="FIC105" s="769"/>
      <c r="FID105" s="769"/>
      <c r="FIE105" s="769"/>
      <c r="FIF105" s="769"/>
      <c r="FIG105" s="769"/>
      <c r="FIH105" s="769"/>
      <c r="FII105" s="769"/>
      <c r="FIJ105" s="769"/>
      <c r="FIK105" s="769"/>
      <c r="FIL105" s="769"/>
      <c r="FIM105" s="769"/>
      <c r="FIN105" s="769"/>
      <c r="FIO105" s="769"/>
      <c r="FIP105" s="769"/>
      <c r="FIQ105" s="769"/>
      <c r="FIR105" s="769"/>
      <c r="FIS105" s="769"/>
      <c r="FIT105" s="769"/>
      <c r="FIU105" s="769"/>
      <c r="FIV105" s="769"/>
      <c r="FIW105" s="769"/>
      <c r="FIX105" s="769"/>
      <c r="FIY105" s="769"/>
      <c r="FIZ105" s="769"/>
      <c r="FJA105" s="769"/>
      <c r="FJB105" s="769"/>
      <c r="FJC105" s="769"/>
      <c r="FJD105" s="769"/>
      <c r="FJE105" s="769"/>
      <c r="FJF105" s="769"/>
      <c r="FJG105" s="769"/>
      <c r="FJH105" s="769"/>
      <c r="FJI105" s="769"/>
      <c r="FJJ105" s="769"/>
      <c r="FJK105" s="769"/>
      <c r="FJL105" s="769"/>
      <c r="FJM105" s="769"/>
      <c r="FJN105" s="769"/>
      <c r="FJO105" s="769"/>
      <c r="FJP105" s="769"/>
      <c r="FJQ105" s="769"/>
      <c r="FJR105" s="769"/>
      <c r="FJS105" s="769"/>
      <c r="FJT105" s="769"/>
      <c r="FJU105" s="769"/>
      <c r="FJV105" s="769"/>
      <c r="FJW105" s="769"/>
      <c r="FJX105" s="769"/>
      <c r="FJY105" s="769"/>
      <c r="FJZ105" s="769"/>
      <c r="FKA105" s="769"/>
      <c r="FKB105" s="769"/>
      <c r="FKC105" s="769"/>
      <c r="FKD105" s="769"/>
      <c r="FKE105" s="769"/>
      <c r="FKF105" s="769"/>
      <c r="FKG105" s="769"/>
      <c r="FKH105" s="769"/>
      <c r="FKI105" s="769"/>
      <c r="FKJ105" s="769"/>
      <c r="FKK105" s="769"/>
      <c r="FKL105" s="769"/>
      <c r="FKM105" s="769"/>
      <c r="FKN105" s="769"/>
      <c r="FKO105" s="769"/>
      <c r="FKP105" s="769"/>
      <c r="FKQ105" s="769"/>
      <c r="FKR105" s="769"/>
      <c r="FKS105" s="769"/>
      <c r="FKT105" s="769"/>
      <c r="FKU105" s="769"/>
      <c r="FKV105" s="769"/>
      <c r="FKW105" s="769"/>
      <c r="FKX105" s="769"/>
      <c r="FKY105" s="769"/>
      <c r="FKZ105" s="769"/>
      <c r="FLA105" s="769"/>
      <c r="FLB105" s="769"/>
      <c r="FLC105" s="769"/>
      <c r="FLD105" s="769"/>
      <c r="FLE105" s="769"/>
      <c r="FLF105" s="769"/>
      <c r="FLG105" s="769"/>
      <c r="FLH105" s="769"/>
      <c r="FLI105" s="769"/>
      <c r="FLJ105" s="769"/>
      <c r="FLK105" s="769"/>
      <c r="FLL105" s="769"/>
      <c r="FLM105" s="769"/>
      <c r="FLN105" s="769"/>
      <c r="FLO105" s="769"/>
      <c r="FLP105" s="769"/>
      <c r="FLQ105" s="769"/>
      <c r="FLR105" s="769"/>
      <c r="FLS105" s="769"/>
      <c r="FLT105" s="769"/>
      <c r="FLU105" s="769"/>
      <c r="FLV105" s="769"/>
      <c r="FLW105" s="769"/>
      <c r="FLX105" s="769"/>
      <c r="FLY105" s="769"/>
      <c r="FLZ105" s="769"/>
      <c r="FMA105" s="769"/>
      <c r="FMB105" s="769"/>
      <c r="FMC105" s="769"/>
      <c r="FMD105" s="769"/>
      <c r="FME105" s="769"/>
      <c r="FMF105" s="769"/>
      <c r="FMG105" s="769"/>
      <c r="FMH105" s="769"/>
      <c r="FMI105" s="769"/>
      <c r="FMJ105" s="769"/>
      <c r="FMK105" s="769"/>
      <c r="FML105" s="769"/>
      <c r="FMM105" s="769"/>
      <c r="FMN105" s="769"/>
      <c r="FMO105" s="769"/>
      <c r="FMP105" s="769"/>
      <c r="FMQ105" s="769"/>
      <c r="FMR105" s="769"/>
      <c r="FMS105" s="769"/>
      <c r="FMT105" s="769"/>
      <c r="FMU105" s="769"/>
      <c r="FMV105" s="769"/>
      <c r="FMW105" s="769"/>
      <c r="FMX105" s="769"/>
      <c r="FMY105" s="769"/>
      <c r="FMZ105" s="769"/>
      <c r="FNA105" s="769"/>
      <c r="FNB105" s="769"/>
      <c r="FNC105" s="769"/>
      <c r="FND105" s="769"/>
      <c r="FNE105" s="769"/>
      <c r="FNF105" s="769"/>
      <c r="FNG105" s="769"/>
      <c r="FNH105" s="769"/>
      <c r="FNI105" s="769"/>
      <c r="FNJ105" s="769"/>
      <c r="FNK105" s="769"/>
      <c r="FNL105" s="769"/>
      <c r="FNM105" s="769"/>
      <c r="FNN105" s="769"/>
      <c r="FNO105" s="769"/>
      <c r="FNP105" s="769"/>
      <c r="FNQ105" s="769"/>
      <c r="FNR105" s="769"/>
      <c r="FNS105" s="769"/>
      <c r="FNT105" s="769"/>
      <c r="FNU105" s="769"/>
      <c r="FNV105" s="769"/>
      <c r="FNW105" s="769"/>
      <c r="FNX105" s="769"/>
      <c r="FNY105" s="769"/>
      <c r="FNZ105" s="769"/>
      <c r="FOA105" s="769"/>
      <c r="FOB105" s="769"/>
      <c r="FOC105" s="769"/>
      <c r="FOD105" s="769"/>
      <c r="FOE105" s="769"/>
      <c r="FOF105" s="769"/>
      <c r="FOG105" s="769"/>
      <c r="FOH105" s="769"/>
      <c r="FOI105" s="769"/>
      <c r="FOJ105" s="769"/>
      <c r="FOK105" s="769"/>
      <c r="FOL105" s="769"/>
      <c r="FOM105" s="769"/>
      <c r="FON105" s="769"/>
      <c r="FOO105" s="769"/>
      <c r="FOP105" s="769"/>
      <c r="FOQ105" s="769"/>
      <c r="FOR105" s="769"/>
      <c r="FOS105" s="769"/>
      <c r="FOT105" s="769"/>
      <c r="FOU105" s="769"/>
      <c r="FOV105" s="769"/>
      <c r="FOW105" s="769"/>
      <c r="FOX105" s="769"/>
      <c r="FOY105" s="769"/>
      <c r="FOZ105" s="769"/>
      <c r="FPA105" s="769"/>
      <c r="FPB105" s="769"/>
      <c r="FPC105" s="769"/>
      <c r="FPD105" s="769"/>
      <c r="FPE105" s="769"/>
      <c r="FPF105" s="769"/>
      <c r="FPG105" s="769"/>
      <c r="FPH105" s="769"/>
      <c r="FPI105" s="769"/>
      <c r="FPJ105" s="769"/>
      <c r="FPK105" s="769"/>
      <c r="FPL105" s="769"/>
      <c r="FPM105" s="769"/>
      <c r="FPN105" s="769"/>
      <c r="FPO105" s="769"/>
      <c r="FPP105" s="769"/>
      <c r="FPQ105" s="769"/>
      <c r="FPR105" s="769"/>
      <c r="FPS105" s="769"/>
      <c r="FPT105" s="769"/>
      <c r="FPU105" s="769"/>
      <c r="FPV105" s="769"/>
      <c r="FPW105" s="769"/>
      <c r="FPX105" s="769"/>
      <c r="FPY105" s="769"/>
      <c r="FPZ105" s="769"/>
      <c r="FQA105" s="769"/>
      <c r="FQB105" s="769"/>
      <c r="FQC105" s="769"/>
      <c r="FQD105" s="769"/>
      <c r="FQE105" s="769"/>
      <c r="FQF105" s="769"/>
      <c r="FQG105" s="769"/>
      <c r="FQH105" s="769"/>
      <c r="FQI105" s="769"/>
      <c r="FQJ105" s="769"/>
      <c r="FQK105" s="769"/>
      <c r="FQL105" s="769"/>
      <c r="FQM105" s="769"/>
      <c r="FQN105" s="769"/>
      <c r="FQO105" s="769"/>
      <c r="FQP105" s="769"/>
      <c r="FQQ105" s="769"/>
      <c r="FQR105" s="769"/>
      <c r="FQS105" s="769"/>
      <c r="FQT105" s="769"/>
      <c r="FQU105" s="769"/>
      <c r="FQV105" s="769"/>
      <c r="FQW105" s="769"/>
      <c r="FQX105" s="769"/>
      <c r="FQY105" s="769"/>
      <c r="FQZ105" s="769"/>
      <c r="FRA105" s="769"/>
      <c r="FRB105" s="769"/>
      <c r="FRC105" s="769"/>
      <c r="FRD105" s="769"/>
      <c r="FRE105" s="769"/>
      <c r="FRF105" s="769"/>
      <c r="FRG105" s="769"/>
      <c r="FRH105" s="769"/>
      <c r="FRI105" s="769"/>
      <c r="FRJ105" s="769"/>
      <c r="FRK105" s="769"/>
      <c r="FRL105" s="769"/>
      <c r="FRM105" s="769"/>
      <c r="FRN105" s="769"/>
      <c r="FRO105" s="769"/>
      <c r="FRP105" s="769"/>
      <c r="FRQ105" s="769"/>
      <c r="FRR105" s="769"/>
      <c r="FRS105" s="769"/>
      <c r="FRT105" s="769"/>
      <c r="FRU105" s="769"/>
      <c r="FRV105" s="769"/>
      <c r="FRW105" s="769"/>
      <c r="FRX105" s="769"/>
      <c r="FRY105" s="769"/>
      <c r="FRZ105" s="769"/>
      <c r="FSA105" s="769"/>
      <c r="FSB105" s="769"/>
      <c r="FSC105" s="769"/>
      <c r="FSD105" s="769"/>
      <c r="FSE105" s="769"/>
      <c r="FSF105" s="769"/>
      <c r="FSG105" s="769"/>
      <c r="FSH105" s="769"/>
      <c r="FSI105" s="769"/>
      <c r="FSJ105" s="769"/>
      <c r="FSK105" s="769"/>
      <c r="FSL105" s="769"/>
      <c r="FSM105" s="769"/>
      <c r="FSN105" s="769"/>
      <c r="FSO105" s="769"/>
      <c r="FSP105" s="769"/>
      <c r="FSQ105" s="769"/>
      <c r="FSR105" s="769"/>
      <c r="FSS105" s="769"/>
      <c r="FST105" s="769"/>
      <c r="FSU105" s="769"/>
      <c r="FSV105" s="769"/>
      <c r="FSW105" s="769"/>
      <c r="FSX105" s="769"/>
      <c r="FSY105" s="769"/>
      <c r="FSZ105" s="769"/>
      <c r="FTA105" s="769"/>
      <c r="FTB105" s="769"/>
      <c r="FTC105" s="769"/>
      <c r="FTD105" s="769"/>
      <c r="FTE105" s="769"/>
      <c r="FTF105" s="769"/>
      <c r="FTG105" s="769"/>
      <c r="FTH105" s="769"/>
      <c r="FTI105" s="769"/>
      <c r="FTJ105" s="769"/>
      <c r="FTK105" s="769"/>
      <c r="FTL105" s="769"/>
      <c r="FTM105" s="769"/>
      <c r="FTN105" s="769"/>
      <c r="FTO105" s="769"/>
      <c r="FTP105" s="769"/>
      <c r="FTQ105" s="769"/>
      <c r="FTR105" s="769"/>
      <c r="FTS105" s="769"/>
      <c r="FTT105" s="769"/>
      <c r="FTU105" s="769"/>
      <c r="FTV105" s="769"/>
      <c r="FTW105" s="769"/>
      <c r="FTX105" s="769"/>
      <c r="FTY105" s="769"/>
      <c r="FTZ105" s="769"/>
      <c r="FUA105" s="769"/>
      <c r="FUB105" s="769"/>
      <c r="FUC105" s="769"/>
      <c r="FUD105" s="769"/>
      <c r="FUE105" s="769"/>
      <c r="FUF105" s="769"/>
      <c r="FUG105" s="769"/>
      <c r="FUH105" s="769"/>
      <c r="FUI105" s="769"/>
      <c r="FUJ105" s="769"/>
      <c r="FUK105" s="769"/>
      <c r="FUL105" s="769"/>
      <c r="FUM105" s="769"/>
      <c r="FUN105" s="769"/>
      <c r="FUO105" s="769"/>
      <c r="FUP105" s="769"/>
      <c r="FUQ105" s="769"/>
      <c r="FUR105" s="769"/>
      <c r="FUS105" s="769"/>
      <c r="FUT105" s="769"/>
      <c r="FUU105" s="769"/>
      <c r="FUV105" s="769"/>
      <c r="FUW105" s="769"/>
      <c r="FUX105" s="769"/>
      <c r="FUY105" s="769"/>
      <c r="FUZ105" s="769"/>
      <c r="FVA105" s="769"/>
      <c r="FVB105" s="769"/>
      <c r="FVC105" s="769"/>
      <c r="FVD105" s="769"/>
      <c r="FVE105" s="769"/>
      <c r="FVF105" s="769"/>
      <c r="FVG105" s="769"/>
      <c r="FVH105" s="769"/>
      <c r="FVI105" s="769"/>
      <c r="FVJ105" s="769"/>
      <c r="FVK105" s="769"/>
      <c r="FVL105" s="769"/>
      <c r="FVM105" s="769"/>
      <c r="FVN105" s="769"/>
      <c r="FVO105" s="769"/>
      <c r="FVP105" s="769"/>
      <c r="FVQ105" s="769"/>
      <c r="FVR105" s="769"/>
      <c r="FVS105" s="769"/>
      <c r="FVT105" s="769"/>
      <c r="FVU105" s="769"/>
      <c r="FVV105" s="769"/>
      <c r="FVW105" s="769"/>
      <c r="FVX105" s="769"/>
      <c r="FVY105" s="769"/>
      <c r="FVZ105" s="769"/>
      <c r="FWA105" s="769"/>
      <c r="FWB105" s="769"/>
      <c r="FWC105" s="769"/>
      <c r="FWD105" s="769"/>
      <c r="FWE105" s="769"/>
      <c r="FWF105" s="769"/>
      <c r="FWG105" s="769"/>
      <c r="FWH105" s="769"/>
      <c r="FWI105" s="769"/>
      <c r="FWJ105" s="769"/>
      <c r="FWK105" s="769"/>
      <c r="FWL105" s="769"/>
      <c r="FWM105" s="769"/>
      <c r="FWN105" s="769"/>
      <c r="FWO105" s="769"/>
      <c r="FWP105" s="769"/>
      <c r="FWQ105" s="769"/>
      <c r="FWR105" s="769"/>
      <c r="FWS105" s="769"/>
      <c r="FWT105" s="769"/>
      <c r="FWU105" s="769"/>
      <c r="FWV105" s="769"/>
      <c r="FWW105" s="769"/>
      <c r="FWX105" s="769"/>
      <c r="FWY105" s="769"/>
      <c r="FWZ105" s="769"/>
      <c r="FXA105" s="769"/>
      <c r="FXB105" s="769"/>
      <c r="FXC105" s="769"/>
      <c r="FXD105" s="769"/>
      <c r="FXE105" s="769"/>
      <c r="FXF105" s="769"/>
      <c r="FXG105" s="769"/>
      <c r="FXH105" s="769"/>
      <c r="FXI105" s="769"/>
      <c r="FXJ105" s="769"/>
      <c r="FXK105" s="769"/>
      <c r="FXL105" s="769"/>
      <c r="FXM105" s="769"/>
      <c r="FXN105" s="769"/>
      <c r="FXO105" s="769"/>
      <c r="FXP105" s="769"/>
      <c r="FXQ105" s="769"/>
      <c r="FXR105" s="769"/>
      <c r="FXS105" s="769"/>
      <c r="FXT105" s="769"/>
      <c r="FXU105" s="769"/>
      <c r="FXV105" s="769"/>
      <c r="FXW105" s="769"/>
      <c r="FXX105" s="769"/>
      <c r="FXY105" s="769"/>
      <c r="FXZ105" s="769"/>
      <c r="FYA105" s="769"/>
      <c r="FYB105" s="769"/>
      <c r="FYC105" s="769"/>
      <c r="FYD105" s="769"/>
      <c r="FYE105" s="769"/>
      <c r="FYF105" s="769"/>
      <c r="FYG105" s="769"/>
      <c r="FYH105" s="769"/>
      <c r="FYI105" s="769"/>
      <c r="FYJ105" s="769"/>
      <c r="FYK105" s="769"/>
      <c r="FYL105" s="769"/>
      <c r="FYM105" s="769"/>
      <c r="FYN105" s="769"/>
      <c r="FYO105" s="769"/>
      <c r="FYP105" s="769"/>
      <c r="FYQ105" s="769"/>
      <c r="FYR105" s="769"/>
      <c r="FYS105" s="769"/>
      <c r="FYT105" s="769"/>
      <c r="FYU105" s="769"/>
      <c r="FYV105" s="769"/>
      <c r="FYW105" s="769"/>
      <c r="FYX105" s="769"/>
      <c r="FYY105" s="769"/>
      <c r="FYZ105" s="769"/>
      <c r="FZA105" s="769"/>
      <c r="FZB105" s="769"/>
      <c r="FZC105" s="769"/>
      <c r="FZD105" s="769"/>
      <c r="FZE105" s="769"/>
      <c r="FZF105" s="769"/>
      <c r="FZG105" s="769"/>
      <c r="FZH105" s="769"/>
      <c r="FZI105" s="769"/>
      <c r="FZJ105" s="769"/>
      <c r="FZK105" s="769"/>
      <c r="FZL105" s="769"/>
      <c r="FZM105" s="769"/>
      <c r="FZN105" s="769"/>
      <c r="FZO105" s="769"/>
      <c r="FZP105" s="769"/>
      <c r="FZQ105" s="769"/>
      <c r="FZR105" s="769"/>
      <c r="FZS105" s="769"/>
      <c r="FZT105" s="769"/>
      <c r="FZU105" s="769"/>
      <c r="FZV105" s="769"/>
      <c r="FZW105" s="769"/>
      <c r="FZX105" s="769"/>
      <c r="FZY105" s="769"/>
      <c r="FZZ105" s="769"/>
      <c r="GAA105" s="769"/>
      <c r="GAB105" s="769"/>
      <c r="GAC105" s="769"/>
      <c r="GAD105" s="769"/>
      <c r="GAE105" s="769"/>
      <c r="GAF105" s="769"/>
      <c r="GAG105" s="769"/>
      <c r="GAH105" s="769"/>
      <c r="GAI105" s="769"/>
      <c r="GAJ105" s="769"/>
      <c r="GAK105" s="769"/>
      <c r="GAL105" s="769"/>
      <c r="GAM105" s="769"/>
      <c r="GAN105" s="769"/>
      <c r="GAO105" s="769"/>
      <c r="GAP105" s="769"/>
      <c r="GAQ105" s="769"/>
      <c r="GAR105" s="769"/>
      <c r="GAS105" s="769"/>
      <c r="GAT105" s="769"/>
      <c r="GAU105" s="769"/>
      <c r="GAV105" s="769"/>
      <c r="GAW105" s="769"/>
      <c r="GAX105" s="769"/>
      <c r="GAY105" s="769"/>
      <c r="GAZ105" s="769"/>
      <c r="GBA105" s="769"/>
      <c r="GBB105" s="769"/>
      <c r="GBC105" s="769"/>
      <c r="GBD105" s="769"/>
      <c r="GBE105" s="769"/>
      <c r="GBF105" s="769"/>
      <c r="GBG105" s="769"/>
      <c r="GBH105" s="769"/>
      <c r="GBI105" s="769"/>
      <c r="GBJ105" s="769"/>
      <c r="GBK105" s="769"/>
      <c r="GBL105" s="769"/>
      <c r="GBM105" s="769"/>
      <c r="GBN105" s="769"/>
      <c r="GBO105" s="769"/>
      <c r="GBP105" s="769"/>
      <c r="GBQ105" s="769"/>
      <c r="GBR105" s="769"/>
      <c r="GBS105" s="769"/>
      <c r="GBT105" s="769"/>
      <c r="GBU105" s="769"/>
      <c r="GBV105" s="769"/>
      <c r="GBW105" s="769"/>
      <c r="GBX105" s="769"/>
      <c r="GBY105" s="769"/>
      <c r="GBZ105" s="769"/>
      <c r="GCA105" s="769"/>
      <c r="GCB105" s="769"/>
      <c r="GCC105" s="769"/>
      <c r="GCD105" s="769"/>
      <c r="GCE105" s="769"/>
      <c r="GCF105" s="769"/>
      <c r="GCG105" s="769"/>
      <c r="GCH105" s="769"/>
      <c r="GCI105" s="769"/>
      <c r="GCJ105" s="769"/>
      <c r="GCK105" s="769"/>
      <c r="GCL105" s="769"/>
      <c r="GCM105" s="769"/>
      <c r="GCN105" s="769"/>
      <c r="GCO105" s="769"/>
      <c r="GCP105" s="769"/>
      <c r="GCQ105" s="769"/>
      <c r="GCR105" s="769"/>
      <c r="GCS105" s="769"/>
      <c r="GCT105" s="769"/>
      <c r="GCU105" s="769"/>
      <c r="GCV105" s="769"/>
      <c r="GCW105" s="769"/>
      <c r="GCX105" s="769"/>
      <c r="GCY105" s="769"/>
      <c r="GCZ105" s="769"/>
      <c r="GDA105" s="769"/>
      <c r="GDB105" s="769"/>
      <c r="GDC105" s="769"/>
      <c r="GDD105" s="769"/>
      <c r="GDE105" s="769"/>
      <c r="GDF105" s="769"/>
      <c r="GDG105" s="769"/>
      <c r="GDH105" s="769"/>
      <c r="GDI105" s="769"/>
      <c r="GDJ105" s="769"/>
      <c r="GDK105" s="769"/>
      <c r="GDL105" s="769"/>
      <c r="GDM105" s="769"/>
      <c r="GDN105" s="769"/>
      <c r="GDO105" s="769"/>
      <c r="GDP105" s="769"/>
      <c r="GDQ105" s="769"/>
      <c r="GDR105" s="769"/>
      <c r="GDS105" s="769"/>
      <c r="GDT105" s="769"/>
      <c r="GDU105" s="769"/>
      <c r="GDV105" s="769"/>
      <c r="GDW105" s="769"/>
      <c r="GDX105" s="769"/>
      <c r="GDY105" s="769"/>
      <c r="GDZ105" s="769"/>
      <c r="GEA105" s="769"/>
      <c r="GEB105" s="769"/>
      <c r="GEC105" s="769"/>
      <c r="GED105" s="769"/>
      <c r="GEE105" s="769"/>
      <c r="GEF105" s="769"/>
      <c r="GEG105" s="769"/>
      <c r="GEH105" s="769"/>
      <c r="GEI105" s="769"/>
      <c r="GEJ105" s="769"/>
      <c r="GEK105" s="769"/>
      <c r="GEL105" s="769"/>
      <c r="GEM105" s="769"/>
      <c r="GEN105" s="769"/>
      <c r="GEO105" s="769"/>
      <c r="GEP105" s="769"/>
      <c r="GEQ105" s="769"/>
      <c r="GER105" s="769"/>
      <c r="GES105" s="769"/>
      <c r="GET105" s="769"/>
      <c r="GEU105" s="769"/>
      <c r="GEV105" s="769"/>
      <c r="GEW105" s="769"/>
      <c r="GEX105" s="769"/>
      <c r="GEY105" s="769"/>
      <c r="GEZ105" s="769"/>
      <c r="GFA105" s="769"/>
      <c r="GFB105" s="769"/>
      <c r="GFC105" s="769"/>
      <c r="GFD105" s="769"/>
      <c r="GFE105" s="769"/>
      <c r="GFF105" s="769"/>
      <c r="GFG105" s="769"/>
      <c r="GFH105" s="769"/>
      <c r="GFI105" s="769"/>
      <c r="GFJ105" s="769"/>
      <c r="GFK105" s="769"/>
      <c r="GFL105" s="769"/>
      <c r="GFM105" s="769"/>
      <c r="GFN105" s="769"/>
      <c r="GFO105" s="769"/>
      <c r="GFP105" s="769"/>
      <c r="GFQ105" s="769"/>
      <c r="GFR105" s="769"/>
      <c r="GFS105" s="769"/>
      <c r="GFT105" s="769"/>
      <c r="GFU105" s="769"/>
      <c r="GFV105" s="769"/>
      <c r="GFW105" s="769"/>
      <c r="GFX105" s="769"/>
      <c r="GFY105" s="769"/>
      <c r="GFZ105" s="769"/>
      <c r="GGA105" s="769"/>
      <c r="GGB105" s="769"/>
      <c r="GGC105" s="769"/>
      <c r="GGD105" s="769"/>
      <c r="GGE105" s="769"/>
      <c r="GGF105" s="769"/>
      <c r="GGG105" s="769"/>
      <c r="GGH105" s="769"/>
      <c r="GGI105" s="769"/>
      <c r="GGJ105" s="769"/>
      <c r="GGK105" s="769"/>
      <c r="GGL105" s="769"/>
      <c r="GGM105" s="769"/>
      <c r="GGN105" s="769"/>
      <c r="GGO105" s="769"/>
      <c r="GGP105" s="769"/>
      <c r="GGQ105" s="769"/>
      <c r="GGR105" s="769"/>
      <c r="GGS105" s="769"/>
      <c r="GGT105" s="769"/>
      <c r="GGU105" s="769"/>
      <c r="GGV105" s="769"/>
      <c r="GGW105" s="769"/>
      <c r="GGX105" s="769"/>
      <c r="GGY105" s="769"/>
      <c r="GGZ105" s="769"/>
      <c r="GHA105" s="769"/>
      <c r="GHB105" s="769"/>
      <c r="GHC105" s="769"/>
      <c r="GHD105" s="769"/>
      <c r="GHE105" s="769"/>
      <c r="GHF105" s="769"/>
      <c r="GHG105" s="769"/>
      <c r="GHH105" s="769"/>
      <c r="GHI105" s="769"/>
      <c r="GHJ105" s="769"/>
      <c r="GHK105" s="769"/>
      <c r="GHL105" s="769"/>
      <c r="GHM105" s="769"/>
      <c r="GHN105" s="769"/>
      <c r="GHO105" s="769"/>
      <c r="GHP105" s="769"/>
      <c r="GHQ105" s="769"/>
      <c r="GHR105" s="769"/>
      <c r="GHS105" s="769"/>
      <c r="GHT105" s="769"/>
      <c r="GHU105" s="769"/>
      <c r="GHV105" s="769"/>
      <c r="GHW105" s="769"/>
      <c r="GHX105" s="769"/>
      <c r="GHY105" s="769"/>
      <c r="GHZ105" s="769"/>
      <c r="GIA105" s="769"/>
      <c r="GIB105" s="769"/>
      <c r="GIC105" s="769"/>
      <c r="GID105" s="769"/>
      <c r="GIE105" s="769"/>
      <c r="GIF105" s="769"/>
      <c r="GIG105" s="769"/>
      <c r="GIH105" s="769"/>
      <c r="GII105" s="769"/>
      <c r="GIJ105" s="769"/>
      <c r="GIK105" s="769"/>
      <c r="GIL105" s="769"/>
      <c r="GIM105" s="769"/>
      <c r="GIN105" s="769"/>
      <c r="GIO105" s="769"/>
      <c r="GIP105" s="769"/>
      <c r="GIQ105" s="769"/>
      <c r="GIR105" s="769"/>
      <c r="GIS105" s="769"/>
      <c r="GIT105" s="769"/>
      <c r="GIU105" s="769"/>
      <c r="GIV105" s="769"/>
      <c r="GIW105" s="769"/>
      <c r="GIX105" s="769"/>
      <c r="GIY105" s="769"/>
      <c r="GIZ105" s="769"/>
      <c r="GJA105" s="769"/>
      <c r="GJB105" s="769"/>
      <c r="GJC105" s="769"/>
      <c r="GJD105" s="769"/>
      <c r="GJE105" s="769"/>
      <c r="GJF105" s="769"/>
      <c r="GJG105" s="769"/>
      <c r="GJH105" s="769"/>
      <c r="GJI105" s="769"/>
      <c r="GJJ105" s="769"/>
      <c r="GJK105" s="769"/>
      <c r="GJL105" s="769"/>
      <c r="GJM105" s="769"/>
      <c r="GJN105" s="769"/>
      <c r="GJO105" s="769"/>
      <c r="GJP105" s="769"/>
      <c r="GJQ105" s="769"/>
      <c r="GJR105" s="769"/>
      <c r="GJS105" s="769"/>
      <c r="GJT105" s="769"/>
      <c r="GJU105" s="769"/>
      <c r="GJV105" s="769"/>
      <c r="GJW105" s="769"/>
      <c r="GJX105" s="769"/>
      <c r="GJY105" s="769"/>
      <c r="GJZ105" s="769"/>
      <c r="GKA105" s="769"/>
      <c r="GKB105" s="769"/>
      <c r="GKC105" s="769"/>
      <c r="GKD105" s="769"/>
      <c r="GKE105" s="769"/>
      <c r="GKF105" s="769"/>
      <c r="GKG105" s="769"/>
      <c r="GKH105" s="769"/>
      <c r="GKI105" s="769"/>
      <c r="GKJ105" s="769"/>
      <c r="GKK105" s="769"/>
      <c r="GKL105" s="769"/>
      <c r="GKM105" s="769"/>
      <c r="GKN105" s="769"/>
      <c r="GKO105" s="769"/>
      <c r="GKP105" s="769"/>
      <c r="GKQ105" s="769"/>
      <c r="GKR105" s="769"/>
      <c r="GKS105" s="769"/>
      <c r="GKT105" s="769"/>
      <c r="GKU105" s="769"/>
      <c r="GKV105" s="769"/>
      <c r="GKW105" s="769"/>
      <c r="GKX105" s="769"/>
      <c r="GKY105" s="769"/>
      <c r="GKZ105" s="769"/>
      <c r="GLA105" s="769"/>
      <c r="GLB105" s="769"/>
      <c r="GLC105" s="769"/>
      <c r="GLD105" s="769"/>
      <c r="GLE105" s="769"/>
      <c r="GLF105" s="769"/>
      <c r="GLG105" s="769"/>
      <c r="GLH105" s="769"/>
      <c r="GLI105" s="769"/>
      <c r="GLJ105" s="769"/>
      <c r="GLK105" s="769"/>
      <c r="GLL105" s="769"/>
      <c r="GLM105" s="769"/>
      <c r="GLN105" s="769"/>
      <c r="GLO105" s="769"/>
      <c r="GLP105" s="769"/>
      <c r="GLQ105" s="769"/>
      <c r="GLR105" s="769"/>
      <c r="GLS105" s="769"/>
      <c r="GLT105" s="769"/>
      <c r="GLU105" s="769"/>
      <c r="GLV105" s="769"/>
      <c r="GLW105" s="769"/>
      <c r="GLX105" s="769"/>
      <c r="GLY105" s="769"/>
      <c r="GLZ105" s="769"/>
      <c r="GMA105" s="769"/>
      <c r="GMB105" s="769"/>
      <c r="GMC105" s="769"/>
      <c r="GMD105" s="769"/>
      <c r="GME105" s="769"/>
      <c r="GMF105" s="769"/>
      <c r="GMG105" s="769"/>
      <c r="GMH105" s="769"/>
      <c r="GMI105" s="769"/>
      <c r="GMJ105" s="769"/>
      <c r="GMK105" s="769"/>
      <c r="GML105" s="769"/>
      <c r="GMM105" s="769"/>
      <c r="GMN105" s="769"/>
      <c r="GMO105" s="769"/>
      <c r="GMP105" s="769"/>
      <c r="GMQ105" s="769"/>
      <c r="GMR105" s="769"/>
      <c r="GMS105" s="769"/>
      <c r="GMT105" s="769"/>
      <c r="GMU105" s="769"/>
      <c r="GMV105" s="769"/>
      <c r="GMW105" s="769"/>
      <c r="GMX105" s="769"/>
      <c r="GMY105" s="769"/>
      <c r="GMZ105" s="769"/>
      <c r="GNA105" s="769"/>
      <c r="GNB105" s="769"/>
      <c r="GNC105" s="769"/>
      <c r="GND105" s="769"/>
      <c r="GNE105" s="769"/>
      <c r="GNF105" s="769"/>
      <c r="GNG105" s="769"/>
      <c r="GNH105" s="769"/>
      <c r="GNI105" s="769"/>
      <c r="GNJ105" s="769"/>
      <c r="GNK105" s="769"/>
      <c r="GNL105" s="769"/>
      <c r="GNM105" s="769"/>
      <c r="GNN105" s="769"/>
      <c r="GNO105" s="769"/>
      <c r="GNP105" s="769"/>
      <c r="GNQ105" s="769"/>
      <c r="GNR105" s="769"/>
      <c r="GNS105" s="769"/>
      <c r="GNT105" s="769"/>
      <c r="GNU105" s="769"/>
      <c r="GNV105" s="769"/>
      <c r="GNW105" s="769"/>
      <c r="GNX105" s="769"/>
      <c r="GNY105" s="769"/>
      <c r="GNZ105" s="769"/>
      <c r="GOA105" s="769"/>
      <c r="GOB105" s="769"/>
      <c r="GOC105" s="769"/>
      <c r="GOD105" s="769"/>
      <c r="GOE105" s="769"/>
      <c r="GOF105" s="769"/>
      <c r="GOG105" s="769"/>
      <c r="GOH105" s="769"/>
      <c r="GOI105" s="769"/>
      <c r="GOJ105" s="769"/>
      <c r="GOK105" s="769"/>
      <c r="GOL105" s="769"/>
      <c r="GOM105" s="769"/>
      <c r="GON105" s="769"/>
      <c r="GOO105" s="769"/>
      <c r="GOP105" s="769"/>
      <c r="GOQ105" s="769"/>
      <c r="GOR105" s="769"/>
      <c r="GOS105" s="769"/>
      <c r="GOT105" s="769"/>
      <c r="GOU105" s="769"/>
      <c r="GOV105" s="769"/>
      <c r="GOW105" s="769"/>
      <c r="GOX105" s="769"/>
      <c r="GOY105" s="769"/>
      <c r="GOZ105" s="769"/>
      <c r="GPA105" s="769"/>
      <c r="GPB105" s="769"/>
      <c r="GPC105" s="769"/>
      <c r="GPD105" s="769"/>
      <c r="GPE105" s="769"/>
      <c r="GPF105" s="769"/>
      <c r="GPG105" s="769"/>
      <c r="GPH105" s="769"/>
      <c r="GPI105" s="769"/>
      <c r="GPJ105" s="769"/>
      <c r="GPK105" s="769"/>
      <c r="GPL105" s="769"/>
      <c r="GPM105" s="769"/>
      <c r="GPN105" s="769"/>
      <c r="GPO105" s="769"/>
      <c r="GPP105" s="769"/>
      <c r="GPQ105" s="769"/>
      <c r="GPR105" s="769"/>
      <c r="GPS105" s="769"/>
      <c r="GPT105" s="769"/>
      <c r="GPU105" s="769"/>
      <c r="GPV105" s="769"/>
      <c r="GPW105" s="769"/>
      <c r="GPX105" s="769"/>
      <c r="GPY105" s="769"/>
      <c r="GPZ105" s="769"/>
      <c r="GQA105" s="769"/>
      <c r="GQB105" s="769"/>
      <c r="GQC105" s="769"/>
      <c r="GQD105" s="769"/>
      <c r="GQE105" s="769"/>
      <c r="GQF105" s="769"/>
      <c r="GQG105" s="769"/>
      <c r="GQH105" s="769"/>
      <c r="GQI105" s="769"/>
      <c r="GQJ105" s="769"/>
      <c r="GQK105" s="769"/>
      <c r="GQL105" s="769"/>
      <c r="GQM105" s="769"/>
      <c r="GQN105" s="769"/>
      <c r="GQO105" s="769"/>
      <c r="GQP105" s="769"/>
      <c r="GQQ105" s="769"/>
      <c r="GQR105" s="769"/>
      <c r="GQS105" s="769"/>
      <c r="GQT105" s="769"/>
      <c r="GQU105" s="769"/>
      <c r="GQV105" s="769"/>
      <c r="GQW105" s="769"/>
      <c r="GQX105" s="769"/>
      <c r="GQY105" s="769"/>
      <c r="GQZ105" s="769"/>
      <c r="GRA105" s="769"/>
      <c r="GRB105" s="769"/>
      <c r="GRC105" s="769"/>
      <c r="GRD105" s="769"/>
      <c r="GRE105" s="769"/>
      <c r="GRF105" s="769"/>
      <c r="GRG105" s="769"/>
      <c r="GRH105" s="769"/>
      <c r="GRI105" s="769"/>
      <c r="GRJ105" s="769"/>
      <c r="GRK105" s="769"/>
      <c r="GRL105" s="769"/>
      <c r="GRM105" s="769"/>
      <c r="GRN105" s="769"/>
      <c r="GRO105" s="769"/>
      <c r="GRP105" s="769"/>
      <c r="GRQ105" s="769"/>
      <c r="GRR105" s="769"/>
      <c r="GRS105" s="769"/>
      <c r="GRT105" s="769"/>
      <c r="GRU105" s="769"/>
      <c r="GRV105" s="769"/>
      <c r="GRW105" s="769"/>
      <c r="GRX105" s="769"/>
      <c r="GRY105" s="769"/>
      <c r="GRZ105" s="769"/>
      <c r="GSA105" s="769"/>
      <c r="GSB105" s="769"/>
      <c r="GSC105" s="769"/>
      <c r="GSD105" s="769"/>
      <c r="GSE105" s="769"/>
      <c r="GSF105" s="769"/>
      <c r="GSG105" s="769"/>
      <c r="GSH105" s="769"/>
      <c r="GSI105" s="769"/>
      <c r="GSJ105" s="769"/>
      <c r="GSK105" s="769"/>
      <c r="GSL105" s="769"/>
      <c r="GSM105" s="769"/>
      <c r="GSN105" s="769"/>
      <c r="GSO105" s="769"/>
      <c r="GSP105" s="769"/>
      <c r="GSQ105" s="769"/>
      <c r="GSR105" s="769"/>
      <c r="GSS105" s="769"/>
      <c r="GST105" s="769"/>
      <c r="GSU105" s="769"/>
      <c r="GSV105" s="769"/>
      <c r="GSW105" s="769"/>
      <c r="GSX105" s="769"/>
      <c r="GSY105" s="769"/>
      <c r="GSZ105" s="769"/>
      <c r="GTA105" s="769"/>
      <c r="GTB105" s="769"/>
      <c r="GTC105" s="769"/>
      <c r="GTD105" s="769"/>
      <c r="GTE105" s="769"/>
      <c r="GTF105" s="769"/>
      <c r="GTG105" s="769"/>
      <c r="GTH105" s="769"/>
      <c r="GTI105" s="769"/>
      <c r="GTJ105" s="769"/>
      <c r="GTK105" s="769"/>
      <c r="GTL105" s="769"/>
      <c r="GTM105" s="769"/>
      <c r="GTN105" s="769"/>
      <c r="GTO105" s="769"/>
      <c r="GTP105" s="769"/>
      <c r="GTQ105" s="769"/>
      <c r="GTR105" s="769"/>
      <c r="GTS105" s="769"/>
      <c r="GTT105" s="769"/>
      <c r="GTU105" s="769"/>
      <c r="GTV105" s="769"/>
      <c r="GTW105" s="769"/>
      <c r="GTX105" s="769"/>
      <c r="GTY105" s="769"/>
      <c r="GTZ105" s="769"/>
      <c r="GUA105" s="769"/>
      <c r="GUB105" s="769"/>
      <c r="GUC105" s="769"/>
      <c r="GUD105" s="769"/>
      <c r="GUE105" s="769"/>
      <c r="GUF105" s="769"/>
      <c r="GUG105" s="769"/>
      <c r="GUH105" s="769"/>
      <c r="GUI105" s="769"/>
      <c r="GUJ105" s="769"/>
      <c r="GUK105" s="769"/>
      <c r="GUL105" s="769"/>
      <c r="GUM105" s="769"/>
      <c r="GUN105" s="769"/>
      <c r="GUO105" s="769"/>
      <c r="GUP105" s="769"/>
      <c r="GUQ105" s="769"/>
      <c r="GUR105" s="769"/>
      <c r="GUS105" s="769"/>
      <c r="GUT105" s="769"/>
      <c r="GUU105" s="769"/>
      <c r="GUV105" s="769"/>
      <c r="GUW105" s="769"/>
      <c r="GUX105" s="769"/>
      <c r="GUY105" s="769"/>
      <c r="GUZ105" s="769"/>
      <c r="GVA105" s="769"/>
      <c r="GVB105" s="769"/>
      <c r="GVC105" s="769"/>
      <c r="GVD105" s="769"/>
      <c r="GVE105" s="769"/>
      <c r="GVF105" s="769"/>
      <c r="GVG105" s="769"/>
      <c r="GVH105" s="769"/>
      <c r="GVI105" s="769"/>
      <c r="GVJ105" s="769"/>
      <c r="GVK105" s="769"/>
      <c r="GVL105" s="769"/>
      <c r="GVM105" s="769"/>
      <c r="GVN105" s="769"/>
      <c r="GVO105" s="769"/>
      <c r="GVP105" s="769"/>
      <c r="GVQ105" s="769"/>
      <c r="GVR105" s="769"/>
      <c r="GVS105" s="769"/>
      <c r="GVT105" s="769"/>
      <c r="GVU105" s="769"/>
      <c r="GVV105" s="769"/>
      <c r="GVW105" s="769"/>
      <c r="GVX105" s="769"/>
      <c r="GVY105" s="769"/>
      <c r="GVZ105" s="769"/>
      <c r="GWA105" s="769"/>
      <c r="GWB105" s="769"/>
      <c r="GWC105" s="769"/>
      <c r="GWD105" s="769"/>
      <c r="GWE105" s="769"/>
      <c r="GWF105" s="769"/>
      <c r="GWG105" s="769"/>
      <c r="GWH105" s="769"/>
      <c r="GWI105" s="769"/>
      <c r="GWJ105" s="769"/>
      <c r="GWK105" s="769"/>
      <c r="GWL105" s="769"/>
      <c r="GWM105" s="769"/>
      <c r="GWN105" s="769"/>
      <c r="GWO105" s="769"/>
      <c r="GWP105" s="769"/>
      <c r="GWQ105" s="769"/>
      <c r="GWR105" s="769"/>
      <c r="GWS105" s="769"/>
      <c r="GWT105" s="769"/>
      <c r="GWU105" s="769"/>
      <c r="GWV105" s="769"/>
      <c r="GWW105" s="769"/>
      <c r="GWX105" s="769"/>
      <c r="GWY105" s="769"/>
      <c r="GWZ105" s="769"/>
      <c r="GXA105" s="769"/>
      <c r="GXB105" s="769"/>
      <c r="GXC105" s="769"/>
      <c r="GXD105" s="769"/>
      <c r="GXE105" s="769"/>
      <c r="GXF105" s="769"/>
      <c r="GXG105" s="769"/>
      <c r="GXH105" s="769"/>
      <c r="GXI105" s="769"/>
      <c r="GXJ105" s="769"/>
      <c r="GXK105" s="769"/>
      <c r="GXL105" s="769"/>
      <c r="GXM105" s="769"/>
      <c r="GXN105" s="769"/>
      <c r="GXO105" s="769"/>
      <c r="GXP105" s="769"/>
      <c r="GXQ105" s="769"/>
      <c r="GXR105" s="769"/>
      <c r="GXS105" s="769"/>
      <c r="GXT105" s="769"/>
      <c r="GXU105" s="769"/>
      <c r="GXV105" s="769"/>
      <c r="GXW105" s="769"/>
      <c r="GXX105" s="769"/>
      <c r="GXY105" s="769"/>
      <c r="GXZ105" s="769"/>
      <c r="GYA105" s="769"/>
      <c r="GYB105" s="769"/>
      <c r="GYC105" s="769"/>
      <c r="GYD105" s="769"/>
      <c r="GYE105" s="769"/>
      <c r="GYF105" s="769"/>
      <c r="GYG105" s="769"/>
      <c r="GYH105" s="769"/>
      <c r="GYI105" s="769"/>
      <c r="GYJ105" s="769"/>
      <c r="GYK105" s="769"/>
      <c r="GYL105" s="769"/>
      <c r="GYM105" s="769"/>
      <c r="GYN105" s="769"/>
      <c r="GYO105" s="769"/>
      <c r="GYP105" s="769"/>
      <c r="GYQ105" s="769"/>
      <c r="GYR105" s="769"/>
      <c r="GYS105" s="769"/>
      <c r="GYT105" s="769"/>
      <c r="GYU105" s="769"/>
      <c r="GYV105" s="769"/>
      <c r="GYW105" s="769"/>
      <c r="GYX105" s="769"/>
      <c r="GYY105" s="769"/>
      <c r="GYZ105" s="769"/>
      <c r="GZA105" s="769"/>
      <c r="GZB105" s="769"/>
      <c r="GZC105" s="769"/>
      <c r="GZD105" s="769"/>
      <c r="GZE105" s="769"/>
      <c r="GZF105" s="769"/>
      <c r="GZG105" s="769"/>
      <c r="GZH105" s="769"/>
      <c r="GZI105" s="769"/>
      <c r="GZJ105" s="769"/>
      <c r="GZK105" s="769"/>
      <c r="GZL105" s="769"/>
      <c r="GZM105" s="769"/>
      <c r="GZN105" s="769"/>
      <c r="GZO105" s="769"/>
      <c r="GZP105" s="769"/>
      <c r="GZQ105" s="769"/>
      <c r="GZR105" s="769"/>
      <c r="GZS105" s="769"/>
      <c r="GZT105" s="769"/>
      <c r="GZU105" s="769"/>
      <c r="GZV105" s="769"/>
      <c r="GZW105" s="769"/>
      <c r="GZX105" s="769"/>
      <c r="GZY105" s="769"/>
      <c r="GZZ105" s="769"/>
      <c r="HAA105" s="769"/>
      <c r="HAB105" s="769"/>
      <c r="HAC105" s="769"/>
      <c r="HAD105" s="769"/>
      <c r="HAE105" s="769"/>
      <c r="HAF105" s="769"/>
      <c r="HAG105" s="769"/>
      <c r="HAH105" s="769"/>
      <c r="HAI105" s="769"/>
      <c r="HAJ105" s="769"/>
      <c r="HAK105" s="769"/>
      <c r="HAL105" s="769"/>
      <c r="HAM105" s="769"/>
      <c r="HAN105" s="769"/>
      <c r="HAO105" s="769"/>
      <c r="HAP105" s="769"/>
      <c r="HAQ105" s="769"/>
      <c r="HAR105" s="769"/>
      <c r="HAS105" s="769"/>
      <c r="HAT105" s="769"/>
      <c r="HAU105" s="769"/>
      <c r="HAV105" s="769"/>
      <c r="HAW105" s="769"/>
      <c r="HAX105" s="769"/>
      <c r="HAY105" s="769"/>
      <c r="HAZ105" s="769"/>
      <c r="HBA105" s="769"/>
      <c r="HBB105" s="769"/>
      <c r="HBC105" s="769"/>
      <c r="HBD105" s="769"/>
      <c r="HBE105" s="769"/>
      <c r="HBF105" s="769"/>
      <c r="HBG105" s="769"/>
      <c r="HBH105" s="769"/>
      <c r="HBI105" s="769"/>
      <c r="HBJ105" s="769"/>
      <c r="HBK105" s="769"/>
      <c r="HBL105" s="769"/>
      <c r="HBM105" s="769"/>
      <c r="HBN105" s="769"/>
      <c r="HBO105" s="769"/>
      <c r="HBP105" s="769"/>
      <c r="HBQ105" s="769"/>
      <c r="HBR105" s="769"/>
      <c r="HBS105" s="769"/>
      <c r="HBT105" s="769"/>
      <c r="HBU105" s="769"/>
      <c r="HBV105" s="769"/>
      <c r="HBW105" s="769"/>
      <c r="HBX105" s="769"/>
      <c r="HBY105" s="769"/>
      <c r="HBZ105" s="769"/>
      <c r="HCA105" s="769"/>
      <c r="HCB105" s="769"/>
      <c r="HCC105" s="769"/>
      <c r="HCD105" s="769"/>
      <c r="HCE105" s="769"/>
      <c r="HCF105" s="769"/>
      <c r="HCG105" s="769"/>
      <c r="HCH105" s="769"/>
      <c r="HCI105" s="769"/>
      <c r="HCJ105" s="769"/>
      <c r="HCK105" s="769"/>
      <c r="HCL105" s="769"/>
      <c r="HCM105" s="769"/>
      <c r="HCN105" s="769"/>
      <c r="HCO105" s="769"/>
      <c r="HCP105" s="769"/>
      <c r="HCQ105" s="769"/>
      <c r="HCR105" s="769"/>
      <c r="HCS105" s="769"/>
      <c r="HCT105" s="769"/>
      <c r="HCU105" s="769"/>
      <c r="HCV105" s="769"/>
      <c r="HCW105" s="769"/>
      <c r="HCX105" s="769"/>
      <c r="HCY105" s="769"/>
      <c r="HCZ105" s="769"/>
      <c r="HDA105" s="769"/>
      <c r="HDB105" s="769"/>
      <c r="HDC105" s="769"/>
      <c r="HDD105" s="769"/>
      <c r="HDE105" s="769"/>
      <c r="HDF105" s="769"/>
      <c r="HDG105" s="769"/>
      <c r="HDH105" s="769"/>
      <c r="HDI105" s="769"/>
      <c r="HDJ105" s="769"/>
      <c r="HDK105" s="769"/>
      <c r="HDL105" s="769"/>
      <c r="HDM105" s="769"/>
      <c r="HDN105" s="769"/>
      <c r="HDO105" s="769"/>
      <c r="HDP105" s="769"/>
      <c r="HDQ105" s="769"/>
      <c r="HDR105" s="769"/>
      <c r="HDS105" s="769"/>
      <c r="HDT105" s="769"/>
      <c r="HDU105" s="769"/>
      <c r="HDV105" s="769"/>
      <c r="HDW105" s="769"/>
      <c r="HDX105" s="769"/>
      <c r="HDY105" s="769"/>
      <c r="HDZ105" s="769"/>
      <c r="HEA105" s="769"/>
      <c r="HEB105" s="769"/>
      <c r="HEC105" s="769"/>
      <c r="HED105" s="769"/>
      <c r="HEE105" s="769"/>
      <c r="HEF105" s="769"/>
      <c r="HEG105" s="769"/>
      <c r="HEH105" s="769"/>
      <c r="HEI105" s="769"/>
      <c r="HEJ105" s="769"/>
      <c r="HEK105" s="769"/>
      <c r="HEL105" s="769"/>
      <c r="HEM105" s="769"/>
      <c r="HEN105" s="769"/>
      <c r="HEO105" s="769"/>
      <c r="HEP105" s="769"/>
      <c r="HEQ105" s="769"/>
      <c r="HER105" s="769"/>
      <c r="HES105" s="769"/>
      <c r="HET105" s="769"/>
      <c r="HEU105" s="769"/>
      <c r="HEV105" s="769"/>
      <c r="HEW105" s="769"/>
      <c r="HEX105" s="769"/>
      <c r="HEY105" s="769"/>
      <c r="HEZ105" s="769"/>
      <c r="HFA105" s="769"/>
      <c r="HFB105" s="769"/>
      <c r="HFC105" s="769"/>
      <c r="HFD105" s="769"/>
      <c r="HFE105" s="769"/>
      <c r="HFF105" s="769"/>
      <c r="HFG105" s="769"/>
      <c r="HFH105" s="769"/>
      <c r="HFI105" s="769"/>
      <c r="HFJ105" s="769"/>
      <c r="HFK105" s="769"/>
      <c r="HFL105" s="769"/>
      <c r="HFM105" s="769"/>
      <c r="HFN105" s="769"/>
      <c r="HFO105" s="769"/>
      <c r="HFP105" s="769"/>
      <c r="HFQ105" s="769"/>
      <c r="HFR105" s="769"/>
      <c r="HFS105" s="769"/>
      <c r="HFT105" s="769"/>
      <c r="HFU105" s="769"/>
      <c r="HFV105" s="769"/>
      <c r="HFW105" s="769"/>
      <c r="HFX105" s="769"/>
      <c r="HFY105" s="769"/>
      <c r="HFZ105" s="769"/>
      <c r="HGA105" s="769"/>
      <c r="HGB105" s="769"/>
      <c r="HGC105" s="769"/>
      <c r="HGD105" s="769"/>
      <c r="HGE105" s="769"/>
      <c r="HGF105" s="769"/>
      <c r="HGG105" s="769"/>
      <c r="HGH105" s="769"/>
      <c r="HGI105" s="769"/>
      <c r="HGJ105" s="769"/>
      <c r="HGK105" s="769"/>
      <c r="HGL105" s="769"/>
      <c r="HGM105" s="769"/>
      <c r="HGN105" s="769"/>
      <c r="HGO105" s="769"/>
      <c r="HGP105" s="769"/>
      <c r="HGQ105" s="769"/>
      <c r="HGR105" s="769"/>
      <c r="HGS105" s="769"/>
      <c r="HGT105" s="769"/>
      <c r="HGU105" s="769"/>
      <c r="HGV105" s="769"/>
      <c r="HGW105" s="769"/>
      <c r="HGX105" s="769"/>
      <c r="HGY105" s="769"/>
      <c r="HGZ105" s="769"/>
      <c r="HHA105" s="769"/>
      <c r="HHB105" s="769"/>
      <c r="HHC105" s="769"/>
      <c r="HHD105" s="769"/>
      <c r="HHE105" s="769"/>
      <c r="HHF105" s="769"/>
      <c r="HHG105" s="769"/>
      <c r="HHH105" s="769"/>
      <c r="HHI105" s="769"/>
      <c r="HHJ105" s="769"/>
      <c r="HHK105" s="769"/>
      <c r="HHL105" s="769"/>
      <c r="HHM105" s="769"/>
      <c r="HHN105" s="769"/>
      <c r="HHO105" s="769"/>
      <c r="HHP105" s="769"/>
      <c r="HHQ105" s="769"/>
      <c r="HHR105" s="769"/>
      <c r="HHS105" s="769"/>
      <c r="HHT105" s="769"/>
      <c r="HHU105" s="769"/>
      <c r="HHV105" s="769"/>
      <c r="HHW105" s="769"/>
      <c r="HHX105" s="769"/>
      <c r="HHY105" s="769"/>
      <c r="HHZ105" s="769"/>
      <c r="HIA105" s="769"/>
      <c r="HIB105" s="769"/>
      <c r="HIC105" s="769"/>
      <c r="HID105" s="769"/>
      <c r="HIE105" s="769"/>
      <c r="HIF105" s="769"/>
      <c r="HIG105" s="769"/>
      <c r="HIH105" s="769"/>
      <c r="HII105" s="769"/>
      <c r="HIJ105" s="769"/>
      <c r="HIK105" s="769"/>
      <c r="HIL105" s="769"/>
      <c r="HIM105" s="769"/>
      <c r="HIN105" s="769"/>
      <c r="HIO105" s="769"/>
      <c r="HIP105" s="769"/>
      <c r="HIQ105" s="769"/>
      <c r="HIR105" s="769"/>
      <c r="HIS105" s="769"/>
      <c r="HIT105" s="769"/>
      <c r="HIU105" s="769"/>
      <c r="HIV105" s="769"/>
      <c r="HIW105" s="769"/>
      <c r="HIX105" s="769"/>
      <c r="HIY105" s="769"/>
      <c r="HIZ105" s="769"/>
      <c r="HJA105" s="769"/>
      <c r="HJB105" s="769"/>
      <c r="HJC105" s="769"/>
      <c r="HJD105" s="769"/>
      <c r="HJE105" s="769"/>
      <c r="HJF105" s="769"/>
      <c r="HJG105" s="769"/>
      <c r="HJH105" s="769"/>
      <c r="HJI105" s="769"/>
      <c r="HJJ105" s="769"/>
      <c r="HJK105" s="769"/>
      <c r="HJL105" s="769"/>
      <c r="HJM105" s="769"/>
      <c r="HJN105" s="769"/>
      <c r="HJO105" s="769"/>
      <c r="HJP105" s="769"/>
      <c r="HJQ105" s="769"/>
      <c r="HJR105" s="769"/>
      <c r="HJS105" s="769"/>
      <c r="HJT105" s="769"/>
      <c r="HJU105" s="769"/>
      <c r="HJV105" s="769"/>
      <c r="HJW105" s="769"/>
      <c r="HJX105" s="769"/>
      <c r="HJY105" s="769"/>
      <c r="HJZ105" s="769"/>
      <c r="HKA105" s="769"/>
      <c r="HKB105" s="769"/>
      <c r="HKC105" s="769"/>
      <c r="HKD105" s="769"/>
      <c r="HKE105" s="769"/>
      <c r="HKF105" s="769"/>
      <c r="HKG105" s="769"/>
      <c r="HKH105" s="769"/>
      <c r="HKI105" s="769"/>
      <c r="HKJ105" s="769"/>
      <c r="HKK105" s="769"/>
      <c r="HKL105" s="769"/>
      <c r="HKM105" s="769"/>
      <c r="HKN105" s="769"/>
      <c r="HKO105" s="769"/>
      <c r="HKP105" s="769"/>
      <c r="HKQ105" s="769"/>
      <c r="HKR105" s="769"/>
      <c r="HKS105" s="769"/>
      <c r="HKT105" s="769"/>
      <c r="HKU105" s="769"/>
      <c r="HKV105" s="769"/>
      <c r="HKW105" s="769"/>
      <c r="HKX105" s="769"/>
      <c r="HKY105" s="769"/>
      <c r="HKZ105" s="769"/>
      <c r="HLA105" s="769"/>
      <c r="HLB105" s="769"/>
      <c r="HLC105" s="769"/>
      <c r="HLD105" s="769"/>
      <c r="HLE105" s="769"/>
      <c r="HLF105" s="769"/>
      <c r="HLG105" s="769"/>
      <c r="HLH105" s="769"/>
      <c r="HLI105" s="769"/>
      <c r="HLJ105" s="769"/>
      <c r="HLK105" s="769"/>
      <c r="HLL105" s="769"/>
      <c r="HLM105" s="769"/>
      <c r="HLN105" s="769"/>
      <c r="HLO105" s="769"/>
      <c r="HLP105" s="769"/>
      <c r="HLQ105" s="769"/>
      <c r="HLR105" s="769"/>
      <c r="HLS105" s="769"/>
      <c r="HLT105" s="769"/>
      <c r="HLU105" s="769"/>
      <c r="HLV105" s="769"/>
      <c r="HLW105" s="769"/>
      <c r="HLX105" s="769"/>
      <c r="HLY105" s="769"/>
      <c r="HLZ105" s="769"/>
      <c r="HMA105" s="769"/>
      <c r="HMB105" s="769"/>
      <c r="HMC105" s="769"/>
      <c r="HMD105" s="769"/>
      <c r="HME105" s="769"/>
      <c r="HMF105" s="769"/>
      <c r="HMG105" s="769"/>
      <c r="HMH105" s="769"/>
      <c r="HMI105" s="769"/>
      <c r="HMJ105" s="769"/>
      <c r="HMK105" s="769"/>
      <c r="HML105" s="769"/>
      <c r="HMM105" s="769"/>
      <c r="HMN105" s="769"/>
      <c r="HMO105" s="769"/>
      <c r="HMP105" s="769"/>
      <c r="HMQ105" s="769"/>
      <c r="HMR105" s="769"/>
      <c r="HMS105" s="769"/>
      <c r="HMT105" s="769"/>
      <c r="HMU105" s="769"/>
      <c r="HMV105" s="769"/>
      <c r="HMW105" s="769"/>
      <c r="HMX105" s="769"/>
      <c r="HMY105" s="769"/>
      <c r="HMZ105" s="769"/>
      <c r="HNA105" s="769"/>
      <c r="HNB105" s="769"/>
      <c r="HNC105" s="769"/>
      <c r="HND105" s="769"/>
      <c r="HNE105" s="769"/>
      <c r="HNF105" s="769"/>
      <c r="HNG105" s="769"/>
      <c r="HNH105" s="769"/>
      <c r="HNI105" s="769"/>
      <c r="HNJ105" s="769"/>
      <c r="HNK105" s="769"/>
      <c r="HNL105" s="769"/>
      <c r="HNM105" s="769"/>
      <c r="HNN105" s="769"/>
      <c r="HNO105" s="769"/>
      <c r="HNP105" s="769"/>
      <c r="HNQ105" s="769"/>
      <c r="HNR105" s="769"/>
      <c r="HNS105" s="769"/>
      <c r="HNT105" s="769"/>
      <c r="HNU105" s="769"/>
      <c r="HNV105" s="769"/>
      <c r="HNW105" s="769"/>
      <c r="HNX105" s="769"/>
      <c r="HNY105" s="769"/>
      <c r="HNZ105" s="769"/>
      <c r="HOA105" s="769"/>
      <c r="HOB105" s="769"/>
      <c r="HOC105" s="769"/>
      <c r="HOD105" s="769"/>
      <c r="HOE105" s="769"/>
      <c r="HOF105" s="769"/>
      <c r="HOG105" s="769"/>
      <c r="HOH105" s="769"/>
      <c r="HOI105" s="769"/>
      <c r="HOJ105" s="769"/>
      <c r="HOK105" s="769"/>
      <c r="HOL105" s="769"/>
      <c r="HOM105" s="769"/>
      <c r="HON105" s="769"/>
      <c r="HOO105" s="769"/>
      <c r="HOP105" s="769"/>
      <c r="HOQ105" s="769"/>
      <c r="HOR105" s="769"/>
      <c r="HOS105" s="769"/>
      <c r="HOT105" s="769"/>
      <c r="HOU105" s="769"/>
      <c r="HOV105" s="769"/>
      <c r="HOW105" s="769"/>
      <c r="HOX105" s="769"/>
      <c r="HOY105" s="769"/>
      <c r="HOZ105" s="769"/>
      <c r="HPA105" s="769"/>
      <c r="HPB105" s="769"/>
      <c r="HPC105" s="769"/>
      <c r="HPD105" s="769"/>
      <c r="HPE105" s="769"/>
      <c r="HPF105" s="769"/>
      <c r="HPG105" s="769"/>
      <c r="HPH105" s="769"/>
      <c r="HPI105" s="769"/>
      <c r="HPJ105" s="769"/>
      <c r="HPK105" s="769"/>
      <c r="HPL105" s="769"/>
      <c r="HPM105" s="769"/>
      <c r="HPN105" s="769"/>
      <c r="HPO105" s="769"/>
      <c r="HPP105" s="769"/>
      <c r="HPQ105" s="769"/>
      <c r="HPR105" s="769"/>
      <c r="HPS105" s="769"/>
      <c r="HPT105" s="769"/>
      <c r="HPU105" s="769"/>
      <c r="HPV105" s="769"/>
      <c r="HPW105" s="769"/>
      <c r="HPX105" s="769"/>
      <c r="HPY105" s="769"/>
      <c r="HPZ105" s="769"/>
      <c r="HQA105" s="769"/>
      <c r="HQB105" s="769"/>
      <c r="HQC105" s="769"/>
      <c r="HQD105" s="769"/>
      <c r="HQE105" s="769"/>
      <c r="HQF105" s="769"/>
      <c r="HQG105" s="769"/>
      <c r="HQH105" s="769"/>
      <c r="HQI105" s="769"/>
      <c r="HQJ105" s="769"/>
      <c r="HQK105" s="769"/>
      <c r="HQL105" s="769"/>
      <c r="HQM105" s="769"/>
      <c r="HQN105" s="769"/>
      <c r="HQO105" s="769"/>
      <c r="HQP105" s="769"/>
      <c r="HQQ105" s="769"/>
      <c r="HQR105" s="769"/>
      <c r="HQS105" s="769"/>
      <c r="HQT105" s="769"/>
      <c r="HQU105" s="769"/>
      <c r="HQV105" s="769"/>
      <c r="HQW105" s="769"/>
      <c r="HQX105" s="769"/>
      <c r="HQY105" s="769"/>
      <c r="HQZ105" s="769"/>
      <c r="HRA105" s="769"/>
      <c r="HRB105" s="769"/>
      <c r="HRC105" s="769"/>
      <c r="HRD105" s="769"/>
      <c r="HRE105" s="769"/>
      <c r="HRF105" s="769"/>
      <c r="HRG105" s="769"/>
      <c r="HRH105" s="769"/>
      <c r="HRI105" s="769"/>
      <c r="HRJ105" s="769"/>
      <c r="HRK105" s="769"/>
      <c r="HRL105" s="769"/>
      <c r="HRM105" s="769"/>
      <c r="HRN105" s="769"/>
      <c r="HRO105" s="769"/>
      <c r="HRP105" s="769"/>
      <c r="HRQ105" s="769"/>
      <c r="HRR105" s="769"/>
      <c r="HRS105" s="769"/>
      <c r="HRT105" s="769"/>
      <c r="HRU105" s="769"/>
      <c r="HRV105" s="769"/>
      <c r="HRW105" s="769"/>
      <c r="HRX105" s="769"/>
      <c r="HRY105" s="769"/>
      <c r="HRZ105" s="769"/>
      <c r="HSA105" s="769"/>
      <c r="HSB105" s="769"/>
      <c r="HSC105" s="769"/>
      <c r="HSD105" s="769"/>
      <c r="HSE105" s="769"/>
      <c r="HSF105" s="769"/>
      <c r="HSG105" s="769"/>
      <c r="HSH105" s="769"/>
      <c r="HSI105" s="769"/>
      <c r="HSJ105" s="769"/>
      <c r="HSK105" s="769"/>
      <c r="HSL105" s="769"/>
      <c r="HSM105" s="769"/>
      <c r="HSN105" s="769"/>
      <c r="HSO105" s="769"/>
      <c r="HSP105" s="769"/>
      <c r="HSQ105" s="769"/>
      <c r="HSR105" s="769"/>
      <c r="HSS105" s="769"/>
      <c r="HST105" s="769"/>
      <c r="HSU105" s="769"/>
      <c r="HSV105" s="769"/>
      <c r="HSW105" s="769"/>
      <c r="HSX105" s="769"/>
      <c r="HSY105" s="769"/>
      <c r="HSZ105" s="769"/>
      <c r="HTA105" s="769"/>
      <c r="HTB105" s="769"/>
      <c r="HTC105" s="769"/>
      <c r="HTD105" s="769"/>
      <c r="HTE105" s="769"/>
      <c r="HTF105" s="769"/>
      <c r="HTG105" s="769"/>
      <c r="HTH105" s="769"/>
      <c r="HTI105" s="769"/>
      <c r="HTJ105" s="769"/>
      <c r="HTK105" s="769"/>
      <c r="HTL105" s="769"/>
      <c r="HTM105" s="769"/>
      <c r="HTN105" s="769"/>
      <c r="HTO105" s="769"/>
      <c r="HTP105" s="769"/>
      <c r="HTQ105" s="769"/>
      <c r="HTR105" s="769"/>
      <c r="HTS105" s="769"/>
      <c r="HTT105" s="769"/>
      <c r="HTU105" s="769"/>
      <c r="HTV105" s="769"/>
      <c r="HTW105" s="769"/>
      <c r="HTX105" s="769"/>
      <c r="HTY105" s="769"/>
      <c r="HTZ105" s="769"/>
      <c r="HUA105" s="769"/>
      <c r="HUB105" s="769"/>
      <c r="HUC105" s="769"/>
      <c r="HUD105" s="769"/>
      <c r="HUE105" s="769"/>
      <c r="HUF105" s="769"/>
      <c r="HUG105" s="769"/>
      <c r="HUH105" s="769"/>
      <c r="HUI105" s="769"/>
      <c r="HUJ105" s="769"/>
      <c r="HUK105" s="769"/>
      <c r="HUL105" s="769"/>
      <c r="HUM105" s="769"/>
      <c r="HUN105" s="769"/>
      <c r="HUO105" s="769"/>
      <c r="HUP105" s="769"/>
      <c r="HUQ105" s="769"/>
      <c r="HUR105" s="769"/>
      <c r="HUS105" s="769"/>
      <c r="HUT105" s="769"/>
      <c r="HUU105" s="769"/>
      <c r="HUV105" s="769"/>
      <c r="HUW105" s="769"/>
      <c r="HUX105" s="769"/>
      <c r="HUY105" s="769"/>
      <c r="HUZ105" s="769"/>
      <c r="HVA105" s="769"/>
      <c r="HVB105" s="769"/>
      <c r="HVC105" s="769"/>
      <c r="HVD105" s="769"/>
      <c r="HVE105" s="769"/>
      <c r="HVF105" s="769"/>
      <c r="HVG105" s="769"/>
      <c r="HVH105" s="769"/>
      <c r="HVI105" s="769"/>
      <c r="HVJ105" s="769"/>
      <c r="HVK105" s="769"/>
      <c r="HVL105" s="769"/>
      <c r="HVM105" s="769"/>
      <c r="HVN105" s="769"/>
      <c r="HVO105" s="769"/>
      <c r="HVP105" s="769"/>
      <c r="HVQ105" s="769"/>
      <c r="HVR105" s="769"/>
      <c r="HVS105" s="769"/>
      <c r="HVT105" s="769"/>
      <c r="HVU105" s="769"/>
      <c r="HVV105" s="769"/>
      <c r="HVW105" s="769"/>
      <c r="HVX105" s="769"/>
      <c r="HVY105" s="769"/>
      <c r="HVZ105" s="769"/>
      <c r="HWA105" s="769"/>
      <c r="HWB105" s="769"/>
      <c r="HWC105" s="769"/>
      <c r="HWD105" s="769"/>
      <c r="HWE105" s="769"/>
      <c r="HWF105" s="769"/>
      <c r="HWG105" s="769"/>
      <c r="HWH105" s="769"/>
      <c r="HWI105" s="769"/>
      <c r="HWJ105" s="769"/>
      <c r="HWK105" s="769"/>
      <c r="HWL105" s="769"/>
      <c r="HWM105" s="769"/>
      <c r="HWN105" s="769"/>
      <c r="HWO105" s="769"/>
      <c r="HWP105" s="769"/>
      <c r="HWQ105" s="769"/>
      <c r="HWR105" s="769"/>
      <c r="HWS105" s="769"/>
      <c r="HWT105" s="769"/>
      <c r="HWU105" s="769"/>
      <c r="HWV105" s="769"/>
      <c r="HWW105" s="769"/>
      <c r="HWX105" s="769"/>
      <c r="HWY105" s="769"/>
      <c r="HWZ105" s="769"/>
      <c r="HXA105" s="769"/>
      <c r="HXB105" s="769"/>
      <c r="HXC105" s="769"/>
      <c r="HXD105" s="769"/>
      <c r="HXE105" s="769"/>
      <c r="HXF105" s="769"/>
      <c r="HXG105" s="769"/>
      <c r="HXH105" s="769"/>
      <c r="HXI105" s="769"/>
      <c r="HXJ105" s="769"/>
      <c r="HXK105" s="769"/>
      <c r="HXL105" s="769"/>
      <c r="HXM105" s="769"/>
      <c r="HXN105" s="769"/>
      <c r="HXO105" s="769"/>
      <c r="HXP105" s="769"/>
      <c r="HXQ105" s="769"/>
      <c r="HXR105" s="769"/>
      <c r="HXS105" s="769"/>
      <c r="HXT105" s="769"/>
      <c r="HXU105" s="769"/>
      <c r="HXV105" s="769"/>
      <c r="HXW105" s="769"/>
      <c r="HXX105" s="769"/>
      <c r="HXY105" s="769"/>
      <c r="HXZ105" s="769"/>
      <c r="HYA105" s="769"/>
      <c r="HYB105" s="769"/>
      <c r="HYC105" s="769"/>
      <c r="HYD105" s="769"/>
      <c r="HYE105" s="769"/>
      <c r="HYF105" s="769"/>
      <c r="HYG105" s="769"/>
      <c r="HYH105" s="769"/>
      <c r="HYI105" s="769"/>
      <c r="HYJ105" s="769"/>
      <c r="HYK105" s="769"/>
      <c r="HYL105" s="769"/>
      <c r="HYM105" s="769"/>
      <c r="HYN105" s="769"/>
      <c r="HYO105" s="769"/>
      <c r="HYP105" s="769"/>
      <c r="HYQ105" s="769"/>
      <c r="HYR105" s="769"/>
      <c r="HYS105" s="769"/>
      <c r="HYT105" s="769"/>
      <c r="HYU105" s="769"/>
      <c r="HYV105" s="769"/>
      <c r="HYW105" s="769"/>
      <c r="HYX105" s="769"/>
      <c r="HYY105" s="769"/>
      <c r="HYZ105" s="769"/>
      <c r="HZA105" s="769"/>
      <c r="HZB105" s="769"/>
      <c r="HZC105" s="769"/>
      <c r="HZD105" s="769"/>
      <c r="HZE105" s="769"/>
      <c r="HZF105" s="769"/>
      <c r="HZG105" s="769"/>
      <c r="HZH105" s="769"/>
      <c r="HZI105" s="769"/>
      <c r="HZJ105" s="769"/>
      <c r="HZK105" s="769"/>
      <c r="HZL105" s="769"/>
      <c r="HZM105" s="769"/>
      <c r="HZN105" s="769"/>
      <c r="HZO105" s="769"/>
      <c r="HZP105" s="769"/>
      <c r="HZQ105" s="769"/>
      <c r="HZR105" s="769"/>
      <c r="HZS105" s="769"/>
      <c r="HZT105" s="769"/>
      <c r="HZU105" s="769"/>
      <c r="HZV105" s="769"/>
      <c r="HZW105" s="769"/>
      <c r="HZX105" s="769"/>
      <c r="HZY105" s="769"/>
      <c r="HZZ105" s="769"/>
      <c r="IAA105" s="769"/>
      <c r="IAB105" s="769"/>
      <c r="IAC105" s="769"/>
      <c r="IAD105" s="769"/>
      <c r="IAE105" s="769"/>
      <c r="IAF105" s="769"/>
      <c r="IAG105" s="769"/>
      <c r="IAH105" s="769"/>
      <c r="IAI105" s="769"/>
      <c r="IAJ105" s="769"/>
      <c r="IAK105" s="769"/>
      <c r="IAL105" s="769"/>
      <c r="IAM105" s="769"/>
      <c r="IAN105" s="769"/>
      <c r="IAO105" s="769"/>
      <c r="IAP105" s="769"/>
      <c r="IAQ105" s="769"/>
      <c r="IAR105" s="769"/>
      <c r="IAS105" s="769"/>
      <c r="IAT105" s="769"/>
      <c r="IAU105" s="769"/>
      <c r="IAV105" s="769"/>
      <c r="IAW105" s="769"/>
      <c r="IAX105" s="769"/>
      <c r="IAY105" s="769"/>
      <c r="IAZ105" s="769"/>
      <c r="IBA105" s="769"/>
      <c r="IBB105" s="769"/>
      <c r="IBC105" s="769"/>
      <c r="IBD105" s="769"/>
      <c r="IBE105" s="769"/>
      <c r="IBF105" s="769"/>
      <c r="IBG105" s="769"/>
      <c r="IBH105" s="769"/>
      <c r="IBI105" s="769"/>
      <c r="IBJ105" s="769"/>
      <c r="IBK105" s="769"/>
      <c r="IBL105" s="769"/>
      <c r="IBM105" s="769"/>
      <c r="IBN105" s="769"/>
      <c r="IBO105" s="769"/>
      <c r="IBP105" s="769"/>
      <c r="IBQ105" s="769"/>
      <c r="IBR105" s="769"/>
      <c r="IBS105" s="769"/>
      <c r="IBT105" s="769"/>
      <c r="IBU105" s="769"/>
      <c r="IBV105" s="769"/>
      <c r="IBW105" s="769"/>
      <c r="IBX105" s="769"/>
      <c r="IBY105" s="769"/>
      <c r="IBZ105" s="769"/>
      <c r="ICA105" s="769"/>
      <c r="ICB105" s="769"/>
      <c r="ICC105" s="769"/>
      <c r="ICD105" s="769"/>
      <c r="ICE105" s="769"/>
      <c r="ICF105" s="769"/>
      <c r="ICG105" s="769"/>
      <c r="ICH105" s="769"/>
      <c r="ICI105" s="769"/>
      <c r="ICJ105" s="769"/>
      <c r="ICK105" s="769"/>
      <c r="ICL105" s="769"/>
      <c r="ICM105" s="769"/>
      <c r="ICN105" s="769"/>
      <c r="ICO105" s="769"/>
      <c r="ICP105" s="769"/>
      <c r="ICQ105" s="769"/>
      <c r="ICR105" s="769"/>
      <c r="ICS105" s="769"/>
      <c r="ICT105" s="769"/>
      <c r="ICU105" s="769"/>
      <c r="ICV105" s="769"/>
      <c r="ICW105" s="769"/>
      <c r="ICX105" s="769"/>
      <c r="ICY105" s="769"/>
      <c r="ICZ105" s="769"/>
      <c r="IDA105" s="769"/>
      <c r="IDB105" s="769"/>
      <c r="IDC105" s="769"/>
      <c r="IDD105" s="769"/>
      <c r="IDE105" s="769"/>
      <c r="IDF105" s="769"/>
      <c r="IDG105" s="769"/>
      <c r="IDH105" s="769"/>
      <c r="IDI105" s="769"/>
      <c r="IDJ105" s="769"/>
      <c r="IDK105" s="769"/>
      <c r="IDL105" s="769"/>
      <c r="IDM105" s="769"/>
      <c r="IDN105" s="769"/>
      <c r="IDO105" s="769"/>
      <c r="IDP105" s="769"/>
      <c r="IDQ105" s="769"/>
      <c r="IDR105" s="769"/>
      <c r="IDS105" s="769"/>
      <c r="IDT105" s="769"/>
      <c r="IDU105" s="769"/>
      <c r="IDV105" s="769"/>
      <c r="IDW105" s="769"/>
      <c r="IDX105" s="769"/>
      <c r="IDY105" s="769"/>
      <c r="IDZ105" s="769"/>
      <c r="IEA105" s="769"/>
      <c r="IEB105" s="769"/>
      <c r="IEC105" s="769"/>
      <c r="IED105" s="769"/>
      <c r="IEE105" s="769"/>
      <c r="IEF105" s="769"/>
      <c r="IEG105" s="769"/>
      <c r="IEH105" s="769"/>
      <c r="IEI105" s="769"/>
      <c r="IEJ105" s="769"/>
      <c r="IEK105" s="769"/>
      <c r="IEL105" s="769"/>
      <c r="IEM105" s="769"/>
      <c r="IEN105" s="769"/>
      <c r="IEO105" s="769"/>
      <c r="IEP105" s="769"/>
      <c r="IEQ105" s="769"/>
      <c r="IER105" s="769"/>
      <c r="IES105" s="769"/>
      <c r="IET105" s="769"/>
      <c r="IEU105" s="769"/>
      <c r="IEV105" s="769"/>
      <c r="IEW105" s="769"/>
      <c r="IEX105" s="769"/>
      <c r="IEY105" s="769"/>
      <c r="IEZ105" s="769"/>
      <c r="IFA105" s="769"/>
      <c r="IFB105" s="769"/>
      <c r="IFC105" s="769"/>
      <c r="IFD105" s="769"/>
      <c r="IFE105" s="769"/>
      <c r="IFF105" s="769"/>
      <c r="IFG105" s="769"/>
      <c r="IFH105" s="769"/>
      <c r="IFI105" s="769"/>
      <c r="IFJ105" s="769"/>
      <c r="IFK105" s="769"/>
      <c r="IFL105" s="769"/>
      <c r="IFM105" s="769"/>
      <c r="IFN105" s="769"/>
      <c r="IFO105" s="769"/>
      <c r="IFP105" s="769"/>
      <c r="IFQ105" s="769"/>
      <c r="IFR105" s="769"/>
      <c r="IFS105" s="769"/>
      <c r="IFT105" s="769"/>
      <c r="IFU105" s="769"/>
      <c r="IFV105" s="769"/>
      <c r="IFW105" s="769"/>
      <c r="IFX105" s="769"/>
      <c r="IFY105" s="769"/>
      <c r="IFZ105" s="769"/>
      <c r="IGA105" s="769"/>
      <c r="IGB105" s="769"/>
      <c r="IGC105" s="769"/>
      <c r="IGD105" s="769"/>
      <c r="IGE105" s="769"/>
      <c r="IGF105" s="769"/>
      <c r="IGG105" s="769"/>
      <c r="IGH105" s="769"/>
      <c r="IGI105" s="769"/>
      <c r="IGJ105" s="769"/>
      <c r="IGK105" s="769"/>
      <c r="IGL105" s="769"/>
      <c r="IGM105" s="769"/>
      <c r="IGN105" s="769"/>
      <c r="IGO105" s="769"/>
      <c r="IGP105" s="769"/>
      <c r="IGQ105" s="769"/>
      <c r="IGR105" s="769"/>
      <c r="IGS105" s="769"/>
      <c r="IGT105" s="769"/>
      <c r="IGU105" s="769"/>
      <c r="IGV105" s="769"/>
      <c r="IGW105" s="769"/>
      <c r="IGX105" s="769"/>
      <c r="IGY105" s="769"/>
      <c r="IGZ105" s="769"/>
      <c r="IHA105" s="769"/>
      <c r="IHB105" s="769"/>
      <c r="IHC105" s="769"/>
      <c r="IHD105" s="769"/>
      <c r="IHE105" s="769"/>
      <c r="IHF105" s="769"/>
      <c r="IHG105" s="769"/>
      <c r="IHH105" s="769"/>
      <c r="IHI105" s="769"/>
      <c r="IHJ105" s="769"/>
      <c r="IHK105" s="769"/>
      <c r="IHL105" s="769"/>
      <c r="IHM105" s="769"/>
      <c r="IHN105" s="769"/>
      <c r="IHO105" s="769"/>
      <c r="IHP105" s="769"/>
      <c r="IHQ105" s="769"/>
      <c r="IHR105" s="769"/>
      <c r="IHS105" s="769"/>
      <c r="IHT105" s="769"/>
      <c r="IHU105" s="769"/>
      <c r="IHV105" s="769"/>
      <c r="IHW105" s="769"/>
      <c r="IHX105" s="769"/>
      <c r="IHY105" s="769"/>
      <c r="IHZ105" s="769"/>
      <c r="IIA105" s="769"/>
      <c r="IIB105" s="769"/>
      <c r="IIC105" s="769"/>
      <c r="IID105" s="769"/>
      <c r="IIE105" s="769"/>
      <c r="IIF105" s="769"/>
      <c r="IIG105" s="769"/>
      <c r="IIH105" s="769"/>
      <c r="III105" s="769"/>
      <c r="IIJ105" s="769"/>
      <c r="IIK105" s="769"/>
      <c r="IIL105" s="769"/>
      <c r="IIM105" s="769"/>
      <c r="IIN105" s="769"/>
      <c r="IIO105" s="769"/>
      <c r="IIP105" s="769"/>
      <c r="IIQ105" s="769"/>
      <c r="IIR105" s="769"/>
      <c r="IIS105" s="769"/>
      <c r="IIT105" s="769"/>
      <c r="IIU105" s="769"/>
      <c r="IIV105" s="769"/>
      <c r="IIW105" s="769"/>
      <c r="IIX105" s="769"/>
      <c r="IIY105" s="769"/>
      <c r="IIZ105" s="769"/>
      <c r="IJA105" s="769"/>
      <c r="IJB105" s="769"/>
      <c r="IJC105" s="769"/>
      <c r="IJD105" s="769"/>
      <c r="IJE105" s="769"/>
      <c r="IJF105" s="769"/>
      <c r="IJG105" s="769"/>
      <c r="IJH105" s="769"/>
      <c r="IJI105" s="769"/>
      <c r="IJJ105" s="769"/>
      <c r="IJK105" s="769"/>
      <c r="IJL105" s="769"/>
      <c r="IJM105" s="769"/>
      <c r="IJN105" s="769"/>
      <c r="IJO105" s="769"/>
      <c r="IJP105" s="769"/>
      <c r="IJQ105" s="769"/>
      <c r="IJR105" s="769"/>
      <c r="IJS105" s="769"/>
      <c r="IJT105" s="769"/>
      <c r="IJU105" s="769"/>
      <c r="IJV105" s="769"/>
      <c r="IJW105" s="769"/>
      <c r="IJX105" s="769"/>
      <c r="IJY105" s="769"/>
      <c r="IJZ105" s="769"/>
      <c r="IKA105" s="769"/>
      <c r="IKB105" s="769"/>
      <c r="IKC105" s="769"/>
      <c r="IKD105" s="769"/>
      <c r="IKE105" s="769"/>
      <c r="IKF105" s="769"/>
      <c r="IKG105" s="769"/>
      <c r="IKH105" s="769"/>
      <c r="IKI105" s="769"/>
      <c r="IKJ105" s="769"/>
      <c r="IKK105" s="769"/>
      <c r="IKL105" s="769"/>
      <c r="IKM105" s="769"/>
      <c r="IKN105" s="769"/>
      <c r="IKO105" s="769"/>
      <c r="IKP105" s="769"/>
      <c r="IKQ105" s="769"/>
      <c r="IKR105" s="769"/>
      <c r="IKS105" s="769"/>
      <c r="IKT105" s="769"/>
      <c r="IKU105" s="769"/>
      <c r="IKV105" s="769"/>
      <c r="IKW105" s="769"/>
      <c r="IKX105" s="769"/>
      <c r="IKY105" s="769"/>
      <c r="IKZ105" s="769"/>
      <c r="ILA105" s="769"/>
      <c r="ILB105" s="769"/>
      <c r="ILC105" s="769"/>
      <c r="ILD105" s="769"/>
      <c r="ILE105" s="769"/>
      <c r="ILF105" s="769"/>
      <c r="ILG105" s="769"/>
      <c r="ILH105" s="769"/>
      <c r="ILI105" s="769"/>
      <c r="ILJ105" s="769"/>
      <c r="ILK105" s="769"/>
      <c r="ILL105" s="769"/>
      <c r="ILM105" s="769"/>
      <c r="ILN105" s="769"/>
      <c r="ILO105" s="769"/>
      <c r="ILP105" s="769"/>
      <c r="ILQ105" s="769"/>
      <c r="ILR105" s="769"/>
      <c r="ILS105" s="769"/>
      <c r="ILT105" s="769"/>
      <c r="ILU105" s="769"/>
      <c r="ILV105" s="769"/>
      <c r="ILW105" s="769"/>
      <c r="ILX105" s="769"/>
      <c r="ILY105" s="769"/>
      <c r="ILZ105" s="769"/>
      <c r="IMA105" s="769"/>
      <c r="IMB105" s="769"/>
      <c r="IMC105" s="769"/>
      <c r="IMD105" s="769"/>
      <c r="IME105" s="769"/>
      <c r="IMF105" s="769"/>
      <c r="IMG105" s="769"/>
      <c r="IMH105" s="769"/>
      <c r="IMI105" s="769"/>
      <c r="IMJ105" s="769"/>
      <c r="IMK105" s="769"/>
      <c r="IML105" s="769"/>
      <c r="IMM105" s="769"/>
      <c r="IMN105" s="769"/>
      <c r="IMO105" s="769"/>
      <c r="IMP105" s="769"/>
      <c r="IMQ105" s="769"/>
      <c r="IMR105" s="769"/>
      <c r="IMS105" s="769"/>
      <c r="IMT105" s="769"/>
      <c r="IMU105" s="769"/>
      <c r="IMV105" s="769"/>
      <c r="IMW105" s="769"/>
      <c r="IMX105" s="769"/>
      <c r="IMY105" s="769"/>
      <c r="IMZ105" s="769"/>
      <c r="INA105" s="769"/>
      <c r="INB105" s="769"/>
      <c r="INC105" s="769"/>
      <c r="IND105" s="769"/>
      <c r="INE105" s="769"/>
      <c r="INF105" s="769"/>
      <c r="ING105" s="769"/>
      <c r="INH105" s="769"/>
      <c r="INI105" s="769"/>
      <c r="INJ105" s="769"/>
      <c r="INK105" s="769"/>
      <c r="INL105" s="769"/>
      <c r="INM105" s="769"/>
      <c r="INN105" s="769"/>
      <c r="INO105" s="769"/>
      <c r="INP105" s="769"/>
      <c r="INQ105" s="769"/>
      <c r="INR105" s="769"/>
      <c r="INS105" s="769"/>
      <c r="INT105" s="769"/>
      <c r="INU105" s="769"/>
      <c r="INV105" s="769"/>
      <c r="INW105" s="769"/>
      <c r="INX105" s="769"/>
      <c r="INY105" s="769"/>
      <c r="INZ105" s="769"/>
      <c r="IOA105" s="769"/>
      <c r="IOB105" s="769"/>
      <c r="IOC105" s="769"/>
      <c r="IOD105" s="769"/>
      <c r="IOE105" s="769"/>
      <c r="IOF105" s="769"/>
      <c r="IOG105" s="769"/>
      <c r="IOH105" s="769"/>
      <c r="IOI105" s="769"/>
      <c r="IOJ105" s="769"/>
      <c r="IOK105" s="769"/>
      <c r="IOL105" s="769"/>
      <c r="IOM105" s="769"/>
      <c r="ION105" s="769"/>
      <c r="IOO105" s="769"/>
      <c r="IOP105" s="769"/>
      <c r="IOQ105" s="769"/>
      <c r="IOR105" s="769"/>
      <c r="IOS105" s="769"/>
      <c r="IOT105" s="769"/>
      <c r="IOU105" s="769"/>
      <c r="IOV105" s="769"/>
      <c r="IOW105" s="769"/>
      <c r="IOX105" s="769"/>
      <c r="IOY105" s="769"/>
      <c r="IOZ105" s="769"/>
      <c r="IPA105" s="769"/>
      <c r="IPB105" s="769"/>
      <c r="IPC105" s="769"/>
      <c r="IPD105" s="769"/>
      <c r="IPE105" s="769"/>
      <c r="IPF105" s="769"/>
      <c r="IPG105" s="769"/>
      <c r="IPH105" s="769"/>
      <c r="IPI105" s="769"/>
      <c r="IPJ105" s="769"/>
      <c r="IPK105" s="769"/>
      <c r="IPL105" s="769"/>
      <c r="IPM105" s="769"/>
      <c r="IPN105" s="769"/>
      <c r="IPO105" s="769"/>
      <c r="IPP105" s="769"/>
      <c r="IPQ105" s="769"/>
      <c r="IPR105" s="769"/>
      <c r="IPS105" s="769"/>
      <c r="IPT105" s="769"/>
      <c r="IPU105" s="769"/>
      <c r="IPV105" s="769"/>
      <c r="IPW105" s="769"/>
      <c r="IPX105" s="769"/>
      <c r="IPY105" s="769"/>
      <c r="IPZ105" s="769"/>
      <c r="IQA105" s="769"/>
      <c r="IQB105" s="769"/>
      <c r="IQC105" s="769"/>
      <c r="IQD105" s="769"/>
      <c r="IQE105" s="769"/>
      <c r="IQF105" s="769"/>
      <c r="IQG105" s="769"/>
      <c r="IQH105" s="769"/>
      <c r="IQI105" s="769"/>
      <c r="IQJ105" s="769"/>
      <c r="IQK105" s="769"/>
      <c r="IQL105" s="769"/>
      <c r="IQM105" s="769"/>
      <c r="IQN105" s="769"/>
      <c r="IQO105" s="769"/>
      <c r="IQP105" s="769"/>
      <c r="IQQ105" s="769"/>
      <c r="IQR105" s="769"/>
      <c r="IQS105" s="769"/>
      <c r="IQT105" s="769"/>
      <c r="IQU105" s="769"/>
      <c r="IQV105" s="769"/>
      <c r="IQW105" s="769"/>
      <c r="IQX105" s="769"/>
      <c r="IQY105" s="769"/>
      <c r="IQZ105" s="769"/>
      <c r="IRA105" s="769"/>
      <c r="IRB105" s="769"/>
      <c r="IRC105" s="769"/>
      <c r="IRD105" s="769"/>
      <c r="IRE105" s="769"/>
      <c r="IRF105" s="769"/>
      <c r="IRG105" s="769"/>
      <c r="IRH105" s="769"/>
      <c r="IRI105" s="769"/>
      <c r="IRJ105" s="769"/>
      <c r="IRK105" s="769"/>
      <c r="IRL105" s="769"/>
      <c r="IRM105" s="769"/>
      <c r="IRN105" s="769"/>
      <c r="IRO105" s="769"/>
      <c r="IRP105" s="769"/>
      <c r="IRQ105" s="769"/>
      <c r="IRR105" s="769"/>
      <c r="IRS105" s="769"/>
      <c r="IRT105" s="769"/>
      <c r="IRU105" s="769"/>
      <c r="IRV105" s="769"/>
      <c r="IRW105" s="769"/>
      <c r="IRX105" s="769"/>
      <c r="IRY105" s="769"/>
      <c r="IRZ105" s="769"/>
      <c r="ISA105" s="769"/>
      <c r="ISB105" s="769"/>
      <c r="ISC105" s="769"/>
      <c r="ISD105" s="769"/>
      <c r="ISE105" s="769"/>
      <c r="ISF105" s="769"/>
      <c r="ISG105" s="769"/>
      <c r="ISH105" s="769"/>
      <c r="ISI105" s="769"/>
      <c r="ISJ105" s="769"/>
      <c r="ISK105" s="769"/>
      <c r="ISL105" s="769"/>
      <c r="ISM105" s="769"/>
      <c r="ISN105" s="769"/>
      <c r="ISO105" s="769"/>
      <c r="ISP105" s="769"/>
      <c r="ISQ105" s="769"/>
      <c r="ISR105" s="769"/>
      <c r="ISS105" s="769"/>
      <c r="IST105" s="769"/>
      <c r="ISU105" s="769"/>
      <c r="ISV105" s="769"/>
      <c r="ISW105" s="769"/>
      <c r="ISX105" s="769"/>
      <c r="ISY105" s="769"/>
      <c r="ISZ105" s="769"/>
      <c r="ITA105" s="769"/>
      <c r="ITB105" s="769"/>
      <c r="ITC105" s="769"/>
      <c r="ITD105" s="769"/>
      <c r="ITE105" s="769"/>
      <c r="ITF105" s="769"/>
      <c r="ITG105" s="769"/>
      <c r="ITH105" s="769"/>
      <c r="ITI105" s="769"/>
      <c r="ITJ105" s="769"/>
      <c r="ITK105" s="769"/>
      <c r="ITL105" s="769"/>
      <c r="ITM105" s="769"/>
      <c r="ITN105" s="769"/>
      <c r="ITO105" s="769"/>
      <c r="ITP105" s="769"/>
      <c r="ITQ105" s="769"/>
      <c r="ITR105" s="769"/>
      <c r="ITS105" s="769"/>
      <c r="ITT105" s="769"/>
      <c r="ITU105" s="769"/>
      <c r="ITV105" s="769"/>
      <c r="ITW105" s="769"/>
      <c r="ITX105" s="769"/>
      <c r="ITY105" s="769"/>
      <c r="ITZ105" s="769"/>
      <c r="IUA105" s="769"/>
      <c r="IUB105" s="769"/>
      <c r="IUC105" s="769"/>
      <c r="IUD105" s="769"/>
      <c r="IUE105" s="769"/>
      <c r="IUF105" s="769"/>
      <c r="IUG105" s="769"/>
      <c r="IUH105" s="769"/>
      <c r="IUI105" s="769"/>
      <c r="IUJ105" s="769"/>
      <c r="IUK105" s="769"/>
      <c r="IUL105" s="769"/>
      <c r="IUM105" s="769"/>
      <c r="IUN105" s="769"/>
      <c r="IUO105" s="769"/>
      <c r="IUP105" s="769"/>
      <c r="IUQ105" s="769"/>
      <c r="IUR105" s="769"/>
      <c r="IUS105" s="769"/>
      <c r="IUT105" s="769"/>
      <c r="IUU105" s="769"/>
      <c r="IUV105" s="769"/>
      <c r="IUW105" s="769"/>
      <c r="IUX105" s="769"/>
      <c r="IUY105" s="769"/>
      <c r="IUZ105" s="769"/>
      <c r="IVA105" s="769"/>
      <c r="IVB105" s="769"/>
      <c r="IVC105" s="769"/>
      <c r="IVD105" s="769"/>
      <c r="IVE105" s="769"/>
      <c r="IVF105" s="769"/>
      <c r="IVG105" s="769"/>
      <c r="IVH105" s="769"/>
      <c r="IVI105" s="769"/>
      <c r="IVJ105" s="769"/>
      <c r="IVK105" s="769"/>
      <c r="IVL105" s="769"/>
      <c r="IVM105" s="769"/>
      <c r="IVN105" s="769"/>
      <c r="IVO105" s="769"/>
      <c r="IVP105" s="769"/>
      <c r="IVQ105" s="769"/>
      <c r="IVR105" s="769"/>
      <c r="IVS105" s="769"/>
      <c r="IVT105" s="769"/>
      <c r="IVU105" s="769"/>
      <c r="IVV105" s="769"/>
      <c r="IVW105" s="769"/>
      <c r="IVX105" s="769"/>
      <c r="IVY105" s="769"/>
      <c r="IVZ105" s="769"/>
      <c r="IWA105" s="769"/>
      <c r="IWB105" s="769"/>
      <c r="IWC105" s="769"/>
      <c r="IWD105" s="769"/>
      <c r="IWE105" s="769"/>
      <c r="IWF105" s="769"/>
      <c r="IWG105" s="769"/>
      <c r="IWH105" s="769"/>
      <c r="IWI105" s="769"/>
      <c r="IWJ105" s="769"/>
      <c r="IWK105" s="769"/>
      <c r="IWL105" s="769"/>
      <c r="IWM105" s="769"/>
      <c r="IWN105" s="769"/>
      <c r="IWO105" s="769"/>
      <c r="IWP105" s="769"/>
      <c r="IWQ105" s="769"/>
      <c r="IWR105" s="769"/>
      <c r="IWS105" s="769"/>
      <c r="IWT105" s="769"/>
      <c r="IWU105" s="769"/>
      <c r="IWV105" s="769"/>
      <c r="IWW105" s="769"/>
      <c r="IWX105" s="769"/>
      <c r="IWY105" s="769"/>
      <c r="IWZ105" s="769"/>
      <c r="IXA105" s="769"/>
      <c r="IXB105" s="769"/>
      <c r="IXC105" s="769"/>
      <c r="IXD105" s="769"/>
      <c r="IXE105" s="769"/>
      <c r="IXF105" s="769"/>
      <c r="IXG105" s="769"/>
      <c r="IXH105" s="769"/>
      <c r="IXI105" s="769"/>
      <c r="IXJ105" s="769"/>
      <c r="IXK105" s="769"/>
      <c r="IXL105" s="769"/>
      <c r="IXM105" s="769"/>
      <c r="IXN105" s="769"/>
      <c r="IXO105" s="769"/>
      <c r="IXP105" s="769"/>
      <c r="IXQ105" s="769"/>
      <c r="IXR105" s="769"/>
      <c r="IXS105" s="769"/>
      <c r="IXT105" s="769"/>
      <c r="IXU105" s="769"/>
      <c r="IXV105" s="769"/>
      <c r="IXW105" s="769"/>
      <c r="IXX105" s="769"/>
      <c r="IXY105" s="769"/>
      <c r="IXZ105" s="769"/>
      <c r="IYA105" s="769"/>
      <c r="IYB105" s="769"/>
      <c r="IYC105" s="769"/>
      <c r="IYD105" s="769"/>
      <c r="IYE105" s="769"/>
      <c r="IYF105" s="769"/>
      <c r="IYG105" s="769"/>
      <c r="IYH105" s="769"/>
      <c r="IYI105" s="769"/>
      <c r="IYJ105" s="769"/>
      <c r="IYK105" s="769"/>
      <c r="IYL105" s="769"/>
      <c r="IYM105" s="769"/>
      <c r="IYN105" s="769"/>
      <c r="IYO105" s="769"/>
      <c r="IYP105" s="769"/>
      <c r="IYQ105" s="769"/>
      <c r="IYR105" s="769"/>
      <c r="IYS105" s="769"/>
      <c r="IYT105" s="769"/>
      <c r="IYU105" s="769"/>
      <c r="IYV105" s="769"/>
      <c r="IYW105" s="769"/>
      <c r="IYX105" s="769"/>
      <c r="IYY105" s="769"/>
      <c r="IYZ105" s="769"/>
      <c r="IZA105" s="769"/>
      <c r="IZB105" s="769"/>
      <c r="IZC105" s="769"/>
      <c r="IZD105" s="769"/>
      <c r="IZE105" s="769"/>
      <c r="IZF105" s="769"/>
      <c r="IZG105" s="769"/>
      <c r="IZH105" s="769"/>
      <c r="IZI105" s="769"/>
      <c r="IZJ105" s="769"/>
      <c r="IZK105" s="769"/>
      <c r="IZL105" s="769"/>
      <c r="IZM105" s="769"/>
      <c r="IZN105" s="769"/>
      <c r="IZO105" s="769"/>
      <c r="IZP105" s="769"/>
      <c r="IZQ105" s="769"/>
      <c r="IZR105" s="769"/>
      <c r="IZS105" s="769"/>
      <c r="IZT105" s="769"/>
      <c r="IZU105" s="769"/>
      <c r="IZV105" s="769"/>
      <c r="IZW105" s="769"/>
      <c r="IZX105" s="769"/>
      <c r="IZY105" s="769"/>
      <c r="IZZ105" s="769"/>
      <c r="JAA105" s="769"/>
      <c r="JAB105" s="769"/>
      <c r="JAC105" s="769"/>
      <c r="JAD105" s="769"/>
      <c r="JAE105" s="769"/>
      <c r="JAF105" s="769"/>
      <c r="JAG105" s="769"/>
      <c r="JAH105" s="769"/>
      <c r="JAI105" s="769"/>
      <c r="JAJ105" s="769"/>
      <c r="JAK105" s="769"/>
      <c r="JAL105" s="769"/>
      <c r="JAM105" s="769"/>
      <c r="JAN105" s="769"/>
      <c r="JAO105" s="769"/>
      <c r="JAP105" s="769"/>
      <c r="JAQ105" s="769"/>
      <c r="JAR105" s="769"/>
      <c r="JAS105" s="769"/>
      <c r="JAT105" s="769"/>
      <c r="JAU105" s="769"/>
      <c r="JAV105" s="769"/>
      <c r="JAW105" s="769"/>
      <c r="JAX105" s="769"/>
      <c r="JAY105" s="769"/>
      <c r="JAZ105" s="769"/>
      <c r="JBA105" s="769"/>
      <c r="JBB105" s="769"/>
      <c r="JBC105" s="769"/>
      <c r="JBD105" s="769"/>
      <c r="JBE105" s="769"/>
      <c r="JBF105" s="769"/>
      <c r="JBG105" s="769"/>
      <c r="JBH105" s="769"/>
      <c r="JBI105" s="769"/>
      <c r="JBJ105" s="769"/>
      <c r="JBK105" s="769"/>
      <c r="JBL105" s="769"/>
      <c r="JBM105" s="769"/>
      <c r="JBN105" s="769"/>
      <c r="JBO105" s="769"/>
      <c r="JBP105" s="769"/>
      <c r="JBQ105" s="769"/>
      <c r="JBR105" s="769"/>
      <c r="JBS105" s="769"/>
      <c r="JBT105" s="769"/>
      <c r="JBU105" s="769"/>
      <c r="JBV105" s="769"/>
      <c r="JBW105" s="769"/>
      <c r="JBX105" s="769"/>
      <c r="JBY105" s="769"/>
      <c r="JBZ105" s="769"/>
      <c r="JCA105" s="769"/>
      <c r="JCB105" s="769"/>
      <c r="JCC105" s="769"/>
      <c r="JCD105" s="769"/>
      <c r="JCE105" s="769"/>
      <c r="JCF105" s="769"/>
      <c r="JCG105" s="769"/>
      <c r="JCH105" s="769"/>
      <c r="JCI105" s="769"/>
      <c r="JCJ105" s="769"/>
      <c r="JCK105" s="769"/>
      <c r="JCL105" s="769"/>
      <c r="JCM105" s="769"/>
      <c r="JCN105" s="769"/>
      <c r="JCO105" s="769"/>
      <c r="JCP105" s="769"/>
      <c r="JCQ105" s="769"/>
      <c r="JCR105" s="769"/>
      <c r="JCS105" s="769"/>
      <c r="JCT105" s="769"/>
      <c r="JCU105" s="769"/>
      <c r="JCV105" s="769"/>
      <c r="JCW105" s="769"/>
      <c r="JCX105" s="769"/>
      <c r="JCY105" s="769"/>
      <c r="JCZ105" s="769"/>
      <c r="JDA105" s="769"/>
      <c r="JDB105" s="769"/>
      <c r="JDC105" s="769"/>
      <c r="JDD105" s="769"/>
      <c r="JDE105" s="769"/>
      <c r="JDF105" s="769"/>
      <c r="JDG105" s="769"/>
      <c r="JDH105" s="769"/>
      <c r="JDI105" s="769"/>
      <c r="JDJ105" s="769"/>
      <c r="JDK105" s="769"/>
      <c r="JDL105" s="769"/>
      <c r="JDM105" s="769"/>
      <c r="JDN105" s="769"/>
      <c r="JDO105" s="769"/>
      <c r="JDP105" s="769"/>
      <c r="JDQ105" s="769"/>
      <c r="JDR105" s="769"/>
      <c r="JDS105" s="769"/>
      <c r="JDT105" s="769"/>
      <c r="JDU105" s="769"/>
      <c r="JDV105" s="769"/>
      <c r="JDW105" s="769"/>
      <c r="JDX105" s="769"/>
      <c r="JDY105" s="769"/>
      <c r="JDZ105" s="769"/>
      <c r="JEA105" s="769"/>
      <c r="JEB105" s="769"/>
      <c r="JEC105" s="769"/>
      <c r="JED105" s="769"/>
      <c r="JEE105" s="769"/>
      <c r="JEF105" s="769"/>
      <c r="JEG105" s="769"/>
      <c r="JEH105" s="769"/>
      <c r="JEI105" s="769"/>
      <c r="JEJ105" s="769"/>
      <c r="JEK105" s="769"/>
      <c r="JEL105" s="769"/>
      <c r="JEM105" s="769"/>
      <c r="JEN105" s="769"/>
      <c r="JEO105" s="769"/>
      <c r="JEP105" s="769"/>
      <c r="JEQ105" s="769"/>
      <c r="JER105" s="769"/>
      <c r="JES105" s="769"/>
      <c r="JET105" s="769"/>
      <c r="JEU105" s="769"/>
      <c r="JEV105" s="769"/>
      <c r="JEW105" s="769"/>
      <c r="JEX105" s="769"/>
      <c r="JEY105" s="769"/>
      <c r="JEZ105" s="769"/>
      <c r="JFA105" s="769"/>
      <c r="JFB105" s="769"/>
      <c r="JFC105" s="769"/>
      <c r="JFD105" s="769"/>
      <c r="JFE105" s="769"/>
      <c r="JFF105" s="769"/>
      <c r="JFG105" s="769"/>
      <c r="JFH105" s="769"/>
      <c r="JFI105" s="769"/>
      <c r="JFJ105" s="769"/>
      <c r="JFK105" s="769"/>
      <c r="JFL105" s="769"/>
      <c r="JFM105" s="769"/>
      <c r="JFN105" s="769"/>
      <c r="JFO105" s="769"/>
      <c r="JFP105" s="769"/>
      <c r="JFQ105" s="769"/>
      <c r="JFR105" s="769"/>
      <c r="JFS105" s="769"/>
      <c r="JFT105" s="769"/>
      <c r="JFU105" s="769"/>
      <c r="JFV105" s="769"/>
      <c r="JFW105" s="769"/>
      <c r="JFX105" s="769"/>
      <c r="JFY105" s="769"/>
      <c r="JFZ105" s="769"/>
      <c r="JGA105" s="769"/>
      <c r="JGB105" s="769"/>
      <c r="JGC105" s="769"/>
      <c r="JGD105" s="769"/>
      <c r="JGE105" s="769"/>
      <c r="JGF105" s="769"/>
      <c r="JGG105" s="769"/>
      <c r="JGH105" s="769"/>
      <c r="JGI105" s="769"/>
      <c r="JGJ105" s="769"/>
      <c r="JGK105" s="769"/>
      <c r="JGL105" s="769"/>
      <c r="JGM105" s="769"/>
      <c r="JGN105" s="769"/>
      <c r="JGO105" s="769"/>
      <c r="JGP105" s="769"/>
      <c r="JGQ105" s="769"/>
      <c r="JGR105" s="769"/>
      <c r="JGS105" s="769"/>
      <c r="JGT105" s="769"/>
      <c r="JGU105" s="769"/>
      <c r="JGV105" s="769"/>
      <c r="JGW105" s="769"/>
      <c r="JGX105" s="769"/>
      <c r="JGY105" s="769"/>
      <c r="JGZ105" s="769"/>
      <c r="JHA105" s="769"/>
      <c r="JHB105" s="769"/>
      <c r="JHC105" s="769"/>
      <c r="JHD105" s="769"/>
      <c r="JHE105" s="769"/>
      <c r="JHF105" s="769"/>
      <c r="JHG105" s="769"/>
      <c r="JHH105" s="769"/>
      <c r="JHI105" s="769"/>
      <c r="JHJ105" s="769"/>
      <c r="JHK105" s="769"/>
      <c r="JHL105" s="769"/>
      <c r="JHM105" s="769"/>
      <c r="JHN105" s="769"/>
      <c r="JHO105" s="769"/>
      <c r="JHP105" s="769"/>
      <c r="JHQ105" s="769"/>
      <c r="JHR105" s="769"/>
      <c r="JHS105" s="769"/>
      <c r="JHT105" s="769"/>
      <c r="JHU105" s="769"/>
      <c r="JHV105" s="769"/>
      <c r="JHW105" s="769"/>
      <c r="JHX105" s="769"/>
      <c r="JHY105" s="769"/>
      <c r="JHZ105" s="769"/>
      <c r="JIA105" s="769"/>
      <c r="JIB105" s="769"/>
      <c r="JIC105" s="769"/>
      <c r="JID105" s="769"/>
      <c r="JIE105" s="769"/>
      <c r="JIF105" s="769"/>
      <c r="JIG105" s="769"/>
      <c r="JIH105" s="769"/>
      <c r="JII105" s="769"/>
      <c r="JIJ105" s="769"/>
      <c r="JIK105" s="769"/>
      <c r="JIL105" s="769"/>
      <c r="JIM105" s="769"/>
      <c r="JIN105" s="769"/>
      <c r="JIO105" s="769"/>
      <c r="JIP105" s="769"/>
      <c r="JIQ105" s="769"/>
      <c r="JIR105" s="769"/>
      <c r="JIS105" s="769"/>
      <c r="JIT105" s="769"/>
      <c r="JIU105" s="769"/>
      <c r="JIV105" s="769"/>
      <c r="JIW105" s="769"/>
      <c r="JIX105" s="769"/>
      <c r="JIY105" s="769"/>
      <c r="JIZ105" s="769"/>
      <c r="JJA105" s="769"/>
      <c r="JJB105" s="769"/>
      <c r="JJC105" s="769"/>
      <c r="JJD105" s="769"/>
      <c r="JJE105" s="769"/>
      <c r="JJF105" s="769"/>
      <c r="JJG105" s="769"/>
      <c r="JJH105" s="769"/>
      <c r="JJI105" s="769"/>
      <c r="JJJ105" s="769"/>
      <c r="JJK105" s="769"/>
      <c r="JJL105" s="769"/>
      <c r="JJM105" s="769"/>
      <c r="JJN105" s="769"/>
      <c r="JJO105" s="769"/>
      <c r="JJP105" s="769"/>
      <c r="JJQ105" s="769"/>
      <c r="JJR105" s="769"/>
      <c r="JJS105" s="769"/>
      <c r="JJT105" s="769"/>
      <c r="JJU105" s="769"/>
      <c r="JJV105" s="769"/>
      <c r="JJW105" s="769"/>
      <c r="JJX105" s="769"/>
      <c r="JJY105" s="769"/>
      <c r="JJZ105" s="769"/>
      <c r="JKA105" s="769"/>
      <c r="JKB105" s="769"/>
      <c r="JKC105" s="769"/>
      <c r="JKD105" s="769"/>
      <c r="JKE105" s="769"/>
      <c r="JKF105" s="769"/>
      <c r="JKG105" s="769"/>
      <c r="JKH105" s="769"/>
      <c r="JKI105" s="769"/>
      <c r="JKJ105" s="769"/>
      <c r="JKK105" s="769"/>
      <c r="JKL105" s="769"/>
      <c r="JKM105" s="769"/>
      <c r="JKN105" s="769"/>
      <c r="JKO105" s="769"/>
      <c r="JKP105" s="769"/>
      <c r="JKQ105" s="769"/>
      <c r="JKR105" s="769"/>
      <c r="JKS105" s="769"/>
      <c r="JKT105" s="769"/>
      <c r="JKU105" s="769"/>
      <c r="JKV105" s="769"/>
      <c r="JKW105" s="769"/>
      <c r="JKX105" s="769"/>
      <c r="JKY105" s="769"/>
      <c r="JKZ105" s="769"/>
      <c r="JLA105" s="769"/>
      <c r="JLB105" s="769"/>
      <c r="JLC105" s="769"/>
      <c r="JLD105" s="769"/>
      <c r="JLE105" s="769"/>
      <c r="JLF105" s="769"/>
      <c r="JLG105" s="769"/>
      <c r="JLH105" s="769"/>
      <c r="JLI105" s="769"/>
      <c r="JLJ105" s="769"/>
      <c r="JLK105" s="769"/>
      <c r="JLL105" s="769"/>
      <c r="JLM105" s="769"/>
      <c r="JLN105" s="769"/>
      <c r="JLO105" s="769"/>
      <c r="JLP105" s="769"/>
      <c r="JLQ105" s="769"/>
      <c r="JLR105" s="769"/>
      <c r="JLS105" s="769"/>
      <c r="JLT105" s="769"/>
      <c r="JLU105" s="769"/>
      <c r="JLV105" s="769"/>
      <c r="JLW105" s="769"/>
      <c r="JLX105" s="769"/>
      <c r="JLY105" s="769"/>
      <c r="JLZ105" s="769"/>
      <c r="JMA105" s="769"/>
      <c r="JMB105" s="769"/>
      <c r="JMC105" s="769"/>
      <c r="JMD105" s="769"/>
      <c r="JME105" s="769"/>
      <c r="JMF105" s="769"/>
      <c r="JMG105" s="769"/>
      <c r="JMH105" s="769"/>
      <c r="JMI105" s="769"/>
      <c r="JMJ105" s="769"/>
      <c r="JMK105" s="769"/>
      <c r="JML105" s="769"/>
      <c r="JMM105" s="769"/>
      <c r="JMN105" s="769"/>
      <c r="JMO105" s="769"/>
      <c r="JMP105" s="769"/>
      <c r="JMQ105" s="769"/>
      <c r="JMR105" s="769"/>
      <c r="JMS105" s="769"/>
      <c r="JMT105" s="769"/>
      <c r="JMU105" s="769"/>
      <c r="JMV105" s="769"/>
      <c r="JMW105" s="769"/>
      <c r="JMX105" s="769"/>
      <c r="JMY105" s="769"/>
      <c r="JMZ105" s="769"/>
      <c r="JNA105" s="769"/>
      <c r="JNB105" s="769"/>
      <c r="JNC105" s="769"/>
      <c r="JND105" s="769"/>
      <c r="JNE105" s="769"/>
      <c r="JNF105" s="769"/>
      <c r="JNG105" s="769"/>
      <c r="JNH105" s="769"/>
      <c r="JNI105" s="769"/>
      <c r="JNJ105" s="769"/>
      <c r="JNK105" s="769"/>
      <c r="JNL105" s="769"/>
      <c r="JNM105" s="769"/>
      <c r="JNN105" s="769"/>
      <c r="JNO105" s="769"/>
      <c r="JNP105" s="769"/>
      <c r="JNQ105" s="769"/>
      <c r="JNR105" s="769"/>
      <c r="JNS105" s="769"/>
      <c r="JNT105" s="769"/>
      <c r="JNU105" s="769"/>
      <c r="JNV105" s="769"/>
      <c r="JNW105" s="769"/>
      <c r="JNX105" s="769"/>
      <c r="JNY105" s="769"/>
      <c r="JNZ105" s="769"/>
      <c r="JOA105" s="769"/>
      <c r="JOB105" s="769"/>
      <c r="JOC105" s="769"/>
      <c r="JOD105" s="769"/>
      <c r="JOE105" s="769"/>
      <c r="JOF105" s="769"/>
      <c r="JOG105" s="769"/>
      <c r="JOH105" s="769"/>
      <c r="JOI105" s="769"/>
      <c r="JOJ105" s="769"/>
      <c r="JOK105" s="769"/>
      <c r="JOL105" s="769"/>
      <c r="JOM105" s="769"/>
      <c r="JON105" s="769"/>
      <c r="JOO105" s="769"/>
      <c r="JOP105" s="769"/>
      <c r="JOQ105" s="769"/>
      <c r="JOR105" s="769"/>
      <c r="JOS105" s="769"/>
      <c r="JOT105" s="769"/>
      <c r="JOU105" s="769"/>
      <c r="JOV105" s="769"/>
      <c r="JOW105" s="769"/>
      <c r="JOX105" s="769"/>
      <c r="JOY105" s="769"/>
      <c r="JOZ105" s="769"/>
      <c r="JPA105" s="769"/>
      <c r="JPB105" s="769"/>
      <c r="JPC105" s="769"/>
      <c r="JPD105" s="769"/>
      <c r="JPE105" s="769"/>
      <c r="JPF105" s="769"/>
      <c r="JPG105" s="769"/>
      <c r="JPH105" s="769"/>
      <c r="JPI105" s="769"/>
      <c r="JPJ105" s="769"/>
      <c r="JPK105" s="769"/>
      <c r="JPL105" s="769"/>
      <c r="JPM105" s="769"/>
      <c r="JPN105" s="769"/>
      <c r="JPO105" s="769"/>
      <c r="JPP105" s="769"/>
      <c r="JPQ105" s="769"/>
      <c r="JPR105" s="769"/>
      <c r="JPS105" s="769"/>
      <c r="JPT105" s="769"/>
      <c r="JPU105" s="769"/>
      <c r="JPV105" s="769"/>
      <c r="JPW105" s="769"/>
      <c r="JPX105" s="769"/>
      <c r="JPY105" s="769"/>
      <c r="JPZ105" s="769"/>
      <c r="JQA105" s="769"/>
      <c r="JQB105" s="769"/>
      <c r="JQC105" s="769"/>
      <c r="JQD105" s="769"/>
      <c r="JQE105" s="769"/>
      <c r="JQF105" s="769"/>
      <c r="JQG105" s="769"/>
      <c r="JQH105" s="769"/>
      <c r="JQI105" s="769"/>
      <c r="JQJ105" s="769"/>
      <c r="JQK105" s="769"/>
      <c r="JQL105" s="769"/>
      <c r="JQM105" s="769"/>
      <c r="JQN105" s="769"/>
      <c r="JQO105" s="769"/>
      <c r="JQP105" s="769"/>
      <c r="JQQ105" s="769"/>
      <c r="JQR105" s="769"/>
      <c r="JQS105" s="769"/>
      <c r="JQT105" s="769"/>
      <c r="JQU105" s="769"/>
      <c r="JQV105" s="769"/>
      <c r="JQW105" s="769"/>
      <c r="JQX105" s="769"/>
      <c r="JQY105" s="769"/>
      <c r="JQZ105" s="769"/>
      <c r="JRA105" s="769"/>
      <c r="JRB105" s="769"/>
      <c r="JRC105" s="769"/>
      <c r="JRD105" s="769"/>
      <c r="JRE105" s="769"/>
      <c r="JRF105" s="769"/>
      <c r="JRG105" s="769"/>
      <c r="JRH105" s="769"/>
      <c r="JRI105" s="769"/>
      <c r="JRJ105" s="769"/>
      <c r="JRK105" s="769"/>
      <c r="JRL105" s="769"/>
      <c r="JRM105" s="769"/>
      <c r="JRN105" s="769"/>
      <c r="JRO105" s="769"/>
      <c r="JRP105" s="769"/>
      <c r="JRQ105" s="769"/>
      <c r="JRR105" s="769"/>
      <c r="JRS105" s="769"/>
      <c r="JRT105" s="769"/>
      <c r="JRU105" s="769"/>
      <c r="JRV105" s="769"/>
      <c r="JRW105" s="769"/>
      <c r="JRX105" s="769"/>
      <c r="JRY105" s="769"/>
      <c r="JRZ105" s="769"/>
      <c r="JSA105" s="769"/>
      <c r="JSB105" s="769"/>
      <c r="JSC105" s="769"/>
      <c r="JSD105" s="769"/>
      <c r="JSE105" s="769"/>
      <c r="JSF105" s="769"/>
      <c r="JSG105" s="769"/>
      <c r="JSH105" s="769"/>
      <c r="JSI105" s="769"/>
      <c r="JSJ105" s="769"/>
      <c r="JSK105" s="769"/>
      <c r="JSL105" s="769"/>
      <c r="JSM105" s="769"/>
      <c r="JSN105" s="769"/>
      <c r="JSO105" s="769"/>
      <c r="JSP105" s="769"/>
      <c r="JSQ105" s="769"/>
      <c r="JSR105" s="769"/>
      <c r="JSS105" s="769"/>
      <c r="JST105" s="769"/>
      <c r="JSU105" s="769"/>
      <c r="JSV105" s="769"/>
      <c r="JSW105" s="769"/>
      <c r="JSX105" s="769"/>
      <c r="JSY105" s="769"/>
      <c r="JSZ105" s="769"/>
      <c r="JTA105" s="769"/>
      <c r="JTB105" s="769"/>
      <c r="JTC105" s="769"/>
      <c r="JTD105" s="769"/>
      <c r="JTE105" s="769"/>
      <c r="JTF105" s="769"/>
      <c r="JTG105" s="769"/>
      <c r="JTH105" s="769"/>
      <c r="JTI105" s="769"/>
      <c r="JTJ105" s="769"/>
      <c r="JTK105" s="769"/>
      <c r="JTL105" s="769"/>
      <c r="JTM105" s="769"/>
      <c r="JTN105" s="769"/>
      <c r="JTO105" s="769"/>
      <c r="JTP105" s="769"/>
      <c r="JTQ105" s="769"/>
      <c r="JTR105" s="769"/>
      <c r="JTS105" s="769"/>
      <c r="JTT105" s="769"/>
      <c r="JTU105" s="769"/>
      <c r="JTV105" s="769"/>
      <c r="JTW105" s="769"/>
      <c r="JTX105" s="769"/>
      <c r="JTY105" s="769"/>
      <c r="JTZ105" s="769"/>
      <c r="JUA105" s="769"/>
      <c r="JUB105" s="769"/>
      <c r="JUC105" s="769"/>
      <c r="JUD105" s="769"/>
      <c r="JUE105" s="769"/>
      <c r="JUF105" s="769"/>
      <c r="JUG105" s="769"/>
      <c r="JUH105" s="769"/>
      <c r="JUI105" s="769"/>
      <c r="JUJ105" s="769"/>
      <c r="JUK105" s="769"/>
      <c r="JUL105" s="769"/>
      <c r="JUM105" s="769"/>
      <c r="JUN105" s="769"/>
      <c r="JUO105" s="769"/>
      <c r="JUP105" s="769"/>
      <c r="JUQ105" s="769"/>
      <c r="JUR105" s="769"/>
      <c r="JUS105" s="769"/>
      <c r="JUT105" s="769"/>
      <c r="JUU105" s="769"/>
      <c r="JUV105" s="769"/>
      <c r="JUW105" s="769"/>
      <c r="JUX105" s="769"/>
      <c r="JUY105" s="769"/>
      <c r="JUZ105" s="769"/>
      <c r="JVA105" s="769"/>
      <c r="JVB105" s="769"/>
      <c r="JVC105" s="769"/>
      <c r="JVD105" s="769"/>
      <c r="JVE105" s="769"/>
      <c r="JVF105" s="769"/>
      <c r="JVG105" s="769"/>
      <c r="JVH105" s="769"/>
      <c r="JVI105" s="769"/>
      <c r="JVJ105" s="769"/>
      <c r="JVK105" s="769"/>
      <c r="JVL105" s="769"/>
      <c r="JVM105" s="769"/>
      <c r="JVN105" s="769"/>
      <c r="JVO105" s="769"/>
      <c r="JVP105" s="769"/>
      <c r="JVQ105" s="769"/>
      <c r="JVR105" s="769"/>
      <c r="JVS105" s="769"/>
      <c r="JVT105" s="769"/>
      <c r="JVU105" s="769"/>
      <c r="JVV105" s="769"/>
      <c r="JVW105" s="769"/>
      <c r="JVX105" s="769"/>
      <c r="JVY105" s="769"/>
      <c r="JVZ105" s="769"/>
      <c r="JWA105" s="769"/>
      <c r="JWB105" s="769"/>
      <c r="JWC105" s="769"/>
      <c r="JWD105" s="769"/>
      <c r="JWE105" s="769"/>
      <c r="JWF105" s="769"/>
      <c r="JWG105" s="769"/>
      <c r="JWH105" s="769"/>
      <c r="JWI105" s="769"/>
      <c r="JWJ105" s="769"/>
      <c r="JWK105" s="769"/>
      <c r="JWL105" s="769"/>
      <c r="JWM105" s="769"/>
      <c r="JWN105" s="769"/>
      <c r="JWO105" s="769"/>
      <c r="JWP105" s="769"/>
      <c r="JWQ105" s="769"/>
      <c r="JWR105" s="769"/>
      <c r="JWS105" s="769"/>
      <c r="JWT105" s="769"/>
      <c r="JWU105" s="769"/>
      <c r="JWV105" s="769"/>
      <c r="JWW105" s="769"/>
      <c r="JWX105" s="769"/>
      <c r="JWY105" s="769"/>
      <c r="JWZ105" s="769"/>
      <c r="JXA105" s="769"/>
      <c r="JXB105" s="769"/>
      <c r="JXC105" s="769"/>
      <c r="JXD105" s="769"/>
      <c r="JXE105" s="769"/>
      <c r="JXF105" s="769"/>
      <c r="JXG105" s="769"/>
      <c r="JXH105" s="769"/>
      <c r="JXI105" s="769"/>
      <c r="JXJ105" s="769"/>
      <c r="JXK105" s="769"/>
      <c r="JXL105" s="769"/>
      <c r="JXM105" s="769"/>
      <c r="JXN105" s="769"/>
      <c r="JXO105" s="769"/>
      <c r="JXP105" s="769"/>
      <c r="JXQ105" s="769"/>
      <c r="JXR105" s="769"/>
      <c r="JXS105" s="769"/>
      <c r="JXT105" s="769"/>
      <c r="JXU105" s="769"/>
      <c r="JXV105" s="769"/>
      <c r="JXW105" s="769"/>
      <c r="JXX105" s="769"/>
      <c r="JXY105" s="769"/>
      <c r="JXZ105" s="769"/>
      <c r="JYA105" s="769"/>
      <c r="JYB105" s="769"/>
      <c r="JYC105" s="769"/>
      <c r="JYD105" s="769"/>
      <c r="JYE105" s="769"/>
      <c r="JYF105" s="769"/>
      <c r="JYG105" s="769"/>
      <c r="JYH105" s="769"/>
      <c r="JYI105" s="769"/>
      <c r="JYJ105" s="769"/>
      <c r="JYK105" s="769"/>
      <c r="JYL105" s="769"/>
      <c r="JYM105" s="769"/>
      <c r="JYN105" s="769"/>
      <c r="JYO105" s="769"/>
      <c r="JYP105" s="769"/>
      <c r="JYQ105" s="769"/>
      <c r="JYR105" s="769"/>
      <c r="JYS105" s="769"/>
      <c r="JYT105" s="769"/>
      <c r="JYU105" s="769"/>
      <c r="JYV105" s="769"/>
      <c r="JYW105" s="769"/>
      <c r="JYX105" s="769"/>
      <c r="JYY105" s="769"/>
      <c r="JYZ105" s="769"/>
      <c r="JZA105" s="769"/>
      <c r="JZB105" s="769"/>
      <c r="JZC105" s="769"/>
      <c r="JZD105" s="769"/>
      <c r="JZE105" s="769"/>
      <c r="JZF105" s="769"/>
      <c r="JZG105" s="769"/>
      <c r="JZH105" s="769"/>
      <c r="JZI105" s="769"/>
      <c r="JZJ105" s="769"/>
      <c r="JZK105" s="769"/>
      <c r="JZL105" s="769"/>
      <c r="JZM105" s="769"/>
      <c r="JZN105" s="769"/>
      <c r="JZO105" s="769"/>
      <c r="JZP105" s="769"/>
      <c r="JZQ105" s="769"/>
      <c r="JZR105" s="769"/>
      <c r="JZS105" s="769"/>
      <c r="JZT105" s="769"/>
      <c r="JZU105" s="769"/>
      <c r="JZV105" s="769"/>
      <c r="JZW105" s="769"/>
      <c r="JZX105" s="769"/>
      <c r="JZY105" s="769"/>
      <c r="JZZ105" s="769"/>
      <c r="KAA105" s="769"/>
      <c r="KAB105" s="769"/>
      <c r="KAC105" s="769"/>
      <c r="KAD105" s="769"/>
      <c r="KAE105" s="769"/>
      <c r="KAF105" s="769"/>
      <c r="KAG105" s="769"/>
      <c r="KAH105" s="769"/>
      <c r="KAI105" s="769"/>
      <c r="KAJ105" s="769"/>
      <c r="KAK105" s="769"/>
      <c r="KAL105" s="769"/>
      <c r="KAM105" s="769"/>
      <c r="KAN105" s="769"/>
      <c r="KAO105" s="769"/>
      <c r="KAP105" s="769"/>
      <c r="KAQ105" s="769"/>
      <c r="KAR105" s="769"/>
      <c r="KAS105" s="769"/>
      <c r="KAT105" s="769"/>
      <c r="KAU105" s="769"/>
      <c r="KAV105" s="769"/>
      <c r="KAW105" s="769"/>
      <c r="KAX105" s="769"/>
      <c r="KAY105" s="769"/>
      <c r="KAZ105" s="769"/>
      <c r="KBA105" s="769"/>
      <c r="KBB105" s="769"/>
      <c r="KBC105" s="769"/>
      <c r="KBD105" s="769"/>
      <c r="KBE105" s="769"/>
      <c r="KBF105" s="769"/>
      <c r="KBG105" s="769"/>
      <c r="KBH105" s="769"/>
      <c r="KBI105" s="769"/>
      <c r="KBJ105" s="769"/>
      <c r="KBK105" s="769"/>
      <c r="KBL105" s="769"/>
      <c r="KBM105" s="769"/>
      <c r="KBN105" s="769"/>
      <c r="KBO105" s="769"/>
      <c r="KBP105" s="769"/>
      <c r="KBQ105" s="769"/>
      <c r="KBR105" s="769"/>
      <c r="KBS105" s="769"/>
      <c r="KBT105" s="769"/>
      <c r="KBU105" s="769"/>
      <c r="KBV105" s="769"/>
      <c r="KBW105" s="769"/>
      <c r="KBX105" s="769"/>
      <c r="KBY105" s="769"/>
      <c r="KBZ105" s="769"/>
      <c r="KCA105" s="769"/>
      <c r="KCB105" s="769"/>
      <c r="KCC105" s="769"/>
      <c r="KCD105" s="769"/>
      <c r="KCE105" s="769"/>
      <c r="KCF105" s="769"/>
      <c r="KCG105" s="769"/>
      <c r="KCH105" s="769"/>
      <c r="KCI105" s="769"/>
      <c r="KCJ105" s="769"/>
      <c r="KCK105" s="769"/>
      <c r="KCL105" s="769"/>
      <c r="KCM105" s="769"/>
      <c r="KCN105" s="769"/>
      <c r="KCO105" s="769"/>
      <c r="KCP105" s="769"/>
      <c r="KCQ105" s="769"/>
      <c r="KCR105" s="769"/>
      <c r="KCS105" s="769"/>
      <c r="KCT105" s="769"/>
      <c r="KCU105" s="769"/>
      <c r="KCV105" s="769"/>
      <c r="KCW105" s="769"/>
      <c r="KCX105" s="769"/>
      <c r="KCY105" s="769"/>
      <c r="KCZ105" s="769"/>
      <c r="KDA105" s="769"/>
      <c r="KDB105" s="769"/>
      <c r="KDC105" s="769"/>
      <c r="KDD105" s="769"/>
      <c r="KDE105" s="769"/>
      <c r="KDF105" s="769"/>
      <c r="KDG105" s="769"/>
      <c r="KDH105" s="769"/>
      <c r="KDI105" s="769"/>
      <c r="KDJ105" s="769"/>
      <c r="KDK105" s="769"/>
      <c r="KDL105" s="769"/>
      <c r="KDM105" s="769"/>
      <c r="KDN105" s="769"/>
      <c r="KDO105" s="769"/>
      <c r="KDP105" s="769"/>
      <c r="KDQ105" s="769"/>
      <c r="KDR105" s="769"/>
      <c r="KDS105" s="769"/>
      <c r="KDT105" s="769"/>
      <c r="KDU105" s="769"/>
      <c r="KDV105" s="769"/>
      <c r="KDW105" s="769"/>
      <c r="KDX105" s="769"/>
      <c r="KDY105" s="769"/>
      <c r="KDZ105" s="769"/>
      <c r="KEA105" s="769"/>
      <c r="KEB105" s="769"/>
      <c r="KEC105" s="769"/>
      <c r="KED105" s="769"/>
      <c r="KEE105" s="769"/>
      <c r="KEF105" s="769"/>
      <c r="KEG105" s="769"/>
      <c r="KEH105" s="769"/>
      <c r="KEI105" s="769"/>
      <c r="KEJ105" s="769"/>
      <c r="KEK105" s="769"/>
      <c r="KEL105" s="769"/>
      <c r="KEM105" s="769"/>
      <c r="KEN105" s="769"/>
      <c r="KEO105" s="769"/>
      <c r="KEP105" s="769"/>
      <c r="KEQ105" s="769"/>
      <c r="KER105" s="769"/>
      <c r="KES105" s="769"/>
      <c r="KET105" s="769"/>
      <c r="KEU105" s="769"/>
      <c r="KEV105" s="769"/>
      <c r="KEW105" s="769"/>
      <c r="KEX105" s="769"/>
      <c r="KEY105" s="769"/>
      <c r="KEZ105" s="769"/>
      <c r="KFA105" s="769"/>
      <c r="KFB105" s="769"/>
      <c r="KFC105" s="769"/>
      <c r="KFD105" s="769"/>
      <c r="KFE105" s="769"/>
      <c r="KFF105" s="769"/>
      <c r="KFG105" s="769"/>
      <c r="KFH105" s="769"/>
      <c r="KFI105" s="769"/>
      <c r="KFJ105" s="769"/>
      <c r="KFK105" s="769"/>
      <c r="KFL105" s="769"/>
      <c r="KFM105" s="769"/>
      <c r="KFN105" s="769"/>
      <c r="KFO105" s="769"/>
      <c r="KFP105" s="769"/>
      <c r="KFQ105" s="769"/>
      <c r="KFR105" s="769"/>
      <c r="KFS105" s="769"/>
      <c r="KFT105" s="769"/>
      <c r="KFU105" s="769"/>
      <c r="KFV105" s="769"/>
      <c r="KFW105" s="769"/>
      <c r="KFX105" s="769"/>
      <c r="KFY105" s="769"/>
      <c r="KFZ105" s="769"/>
      <c r="KGA105" s="769"/>
      <c r="KGB105" s="769"/>
      <c r="KGC105" s="769"/>
      <c r="KGD105" s="769"/>
      <c r="KGE105" s="769"/>
      <c r="KGF105" s="769"/>
      <c r="KGG105" s="769"/>
      <c r="KGH105" s="769"/>
      <c r="KGI105" s="769"/>
      <c r="KGJ105" s="769"/>
      <c r="KGK105" s="769"/>
      <c r="KGL105" s="769"/>
      <c r="KGM105" s="769"/>
      <c r="KGN105" s="769"/>
      <c r="KGO105" s="769"/>
      <c r="KGP105" s="769"/>
      <c r="KGQ105" s="769"/>
      <c r="KGR105" s="769"/>
      <c r="KGS105" s="769"/>
      <c r="KGT105" s="769"/>
      <c r="KGU105" s="769"/>
      <c r="KGV105" s="769"/>
      <c r="KGW105" s="769"/>
      <c r="KGX105" s="769"/>
      <c r="KGY105" s="769"/>
      <c r="KGZ105" s="769"/>
      <c r="KHA105" s="769"/>
      <c r="KHB105" s="769"/>
      <c r="KHC105" s="769"/>
      <c r="KHD105" s="769"/>
      <c r="KHE105" s="769"/>
      <c r="KHF105" s="769"/>
      <c r="KHG105" s="769"/>
      <c r="KHH105" s="769"/>
      <c r="KHI105" s="769"/>
      <c r="KHJ105" s="769"/>
      <c r="KHK105" s="769"/>
      <c r="KHL105" s="769"/>
      <c r="KHM105" s="769"/>
      <c r="KHN105" s="769"/>
      <c r="KHO105" s="769"/>
      <c r="KHP105" s="769"/>
      <c r="KHQ105" s="769"/>
      <c r="KHR105" s="769"/>
      <c r="KHS105" s="769"/>
      <c r="KHT105" s="769"/>
      <c r="KHU105" s="769"/>
      <c r="KHV105" s="769"/>
      <c r="KHW105" s="769"/>
      <c r="KHX105" s="769"/>
      <c r="KHY105" s="769"/>
      <c r="KHZ105" s="769"/>
      <c r="KIA105" s="769"/>
      <c r="KIB105" s="769"/>
      <c r="KIC105" s="769"/>
      <c r="KID105" s="769"/>
      <c r="KIE105" s="769"/>
      <c r="KIF105" s="769"/>
      <c r="KIG105" s="769"/>
      <c r="KIH105" s="769"/>
      <c r="KII105" s="769"/>
      <c r="KIJ105" s="769"/>
      <c r="KIK105" s="769"/>
      <c r="KIL105" s="769"/>
      <c r="KIM105" s="769"/>
      <c r="KIN105" s="769"/>
      <c r="KIO105" s="769"/>
      <c r="KIP105" s="769"/>
      <c r="KIQ105" s="769"/>
      <c r="KIR105" s="769"/>
      <c r="KIS105" s="769"/>
      <c r="KIT105" s="769"/>
      <c r="KIU105" s="769"/>
      <c r="KIV105" s="769"/>
      <c r="KIW105" s="769"/>
      <c r="KIX105" s="769"/>
      <c r="KIY105" s="769"/>
      <c r="KIZ105" s="769"/>
      <c r="KJA105" s="769"/>
      <c r="KJB105" s="769"/>
      <c r="KJC105" s="769"/>
      <c r="KJD105" s="769"/>
      <c r="KJE105" s="769"/>
      <c r="KJF105" s="769"/>
      <c r="KJG105" s="769"/>
      <c r="KJH105" s="769"/>
      <c r="KJI105" s="769"/>
      <c r="KJJ105" s="769"/>
      <c r="KJK105" s="769"/>
      <c r="KJL105" s="769"/>
      <c r="KJM105" s="769"/>
      <c r="KJN105" s="769"/>
      <c r="KJO105" s="769"/>
      <c r="KJP105" s="769"/>
      <c r="KJQ105" s="769"/>
      <c r="KJR105" s="769"/>
      <c r="KJS105" s="769"/>
      <c r="KJT105" s="769"/>
      <c r="KJU105" s="769"/>
      <c r="KJV105" s="769"/>
      <c r="KJW105" s="769"/>
      <c r="KJX105" s="769"/>
      <c r="KJY105" s="769"/>
      <c r="KJZ105" s="769"/>
      <c r="KKA105" s="769"/>
      <c r="KKB105" s="769"/>
      <c r="KKC105" s="769"/>
      <c r="KKD105" s="769"/>
      <c r="KKE105" s="769"/>
      <c r="KKF105" s="769"/>
      <c r="KKG105" s="769"/>
      <c r="KKH105" s="769"/>
      <c r="KKI105" s="769"/>
      <c r="KKJ105" s="769"/>
      <c r="KKK105" s="769"/>
      <c r="KKL105" s="769"/>
      <c r="KKM105" s="769"/>
      <c r="KKN105" s="769"/>
      <c r="KKO105" s="769"/>
      <c r="KKP105" s="769"/>
      <c r="KKQ105" s="769"/>
      <c r="KKR105" s="769"/>
      <c r="KKS105" s="769"/>
      <c r="KKT105" s="769"/>
      <c r="KKU105" s="769"/>
      <c r="KKV105" s="769"/>
      <c r="KKW105" s="769"/>
      <c r="KKX105" s="769"/>
      <c r="KKY105" s="769"/>
      <c r="KKZ105" s="769"/>
      <c r="KLA105" s="769"/>
      <c r="KLB105" s="769"/>
      <c r="KLC105" s="769"/>
      <c r="KLD105" s="769"/>
      <c r="KLE105" s="769"/>
      <c r="KLF105" s="769"/>
      <c r="KLG105" s="769"/>
      <c r="KLH105" s="769"/>
      <c r="KLI105" s="769"/>
      <c r="KLJ105" s="769"/>
      <c r="KLK105" s="769"/>
      <c r="KLL105" s="769"/>
      <c r="KLM105" s="769"/>
      <c r="KLN105" s="769"/>
      <c r="KLO105" s="769"/>
      <c r="KLP105" s="769"/>
      <c r="KLQ105" s="769"/>
      <c r="KLR105" s="769"/>
      <c r="KLS105" s="769"/>
      <c r="KLT105" s="769"/>
      <c r="KLU105" s="769"/>
      <c r="KLV105" s="769"/>
      <c r="KLW105" s="769"/>
      <c r="KLX105" s="769"/>
      <c r="KLY105" s="769"/>
      <c r="KLZ105" s="769"/>
      <c r="KMA105" s="769"/>
      <c r="KMB105" s="769"/>
      <c r="KMC105" s="769"/>
      <c r="KMD105" s="769"/>
      <c r="KME105" s="769"/>
      <c r="KMF105" s="769"/>
      <c r="KMG105" s="769"/>
      <c r="KMH105" s="769"/>
      <c r="KMI105" s="769"/>
      <c r="KMJ105" s="769"/>
      <c r="KMK105" s="769"/>
      <c r="KML105" s="769"/>
      <c r="KMM105" s="769"/>
      <c r="KMN105" s="769"/>
      <c r="KMO105" s="769"/>
      <c r="KMP105" s="769"/>
      <c r="KMQ105" s="769"/>
      <c r="KMR105" s="769"/>
      <c r="KMS105" s="769"/>
      <c r="KMT105" s="769"/>
      <c r="KMU105" s="769"/>
      <c r="KMV105" s="769"/>
      <c r="KMW105" s="769"/>
      <c r="KMX105" s="769"/>
      <c r="KMY105" s="769"/>
      <c r="KMZ105" s="769"/>
      <c r="KNA105" s="769"/>
      <c r="KNB105" s="769"/>
      <c r="KNC105" s="769"/>
      <c r="KND105" s="769"/>
      <c r="KNE105" s="769"/>
      <c r="KNF105" s="769"/>
      <c r="KNG105" s="769"/>
      <c r="KNH105" s="769"/>
      <c r="KNI105" s="769"/>
      <c r="KNJ105" s="769"/>
      <c r="KNK105" s="769"/>
      <c r="KNL105" s="769"/>
      <c r="KNM105" s="769"/>
      <c r="KNN105" s="769"/>
      <c r="KNO105" s="769"/>
      <c r="KNP105" s="769"/>
      <c r="KNQ105" s="769"/>
      <c r="KNR105" s="769"/>
      <c r="KNS105" s="769"/>
      <c r="KNT105" s="769"/>
      <c r="KNU105" s="769"/>
      <c r="KNV105" s="769"/>
      <c r="KNW105" s="769"/>
      <c r="KNX105" s="769"/>
      <c r="KNY105" s="769"/>
      <c r="KNZ105" s="769"/>
      <c r="KOA105" s="769"/>
      <c r="KOB105" s="769"/>
      <c r="KOC105" s="769"/>
      <c r="KOD105" s="769"/>
      <c r="KOE105" s="769"/>
      <c r="KOF105" s="769"/>
      <c r="KOG105" s="769"/>
      <c r="KOH105" s="769"/>
      <c r="KOI105" s="769"/>
      <c r="KOJ105" s="769"/>
      <c r="KOK105" s="769"/>
      <c r="KOL105" s="769"/>
      <c r="KOM105" s="769"/>
      <c r="KON105" s="769"/>
      <c r="KOO105" s="769"/>
      <c r="KOP105" s="769"/>
      <c r="KOQ105" s="769"/>
      <c r="KOR105" s="769"/>
      <c r="KOS105" s="769"/>
      <c r="KOT105" s="769"/>
      <c r="KOU105" s="769"/>
      <c r="KOV105" s="769"/>
      <c r="KOW105" s="769"/>
      <c r="KOX105" s="769"/>
      <c r="KOY105" s="769"/>
      <c r="KOZ105" s="769"/>
      <c r="KPA105" s="769"/>
      <c r="KPB105" s="769"/>
      <c r="KPC105" s="769"/>
      <c r="KPD105" s="769"/>
      <c r="KPE105" s="769"/>
      <c r="KPF105" s="769"/>
      <c r="KPG105" s="769"/>
      <c r="KPH105" s="769"/>
      <c r="KPI105" s="769"/>
      <c r="KPJ105" s="769"/>
      <c r="KPK105" s="769"/>
      <c r="KPL105" s="769"/>
      <c r="KPM105" s="769"/>
      <c r="KPN105" s="769"/>
      <c r="KPO105" s="769"/>
      <c r="KPP105" s="769"/>
      <c r="KPQ105" s="769"/>
      <c r="KPR105" s="769"/>
      <c r="KPS105" s="769"/>
      <c r="KPT105" s="769"/>
      <c r="KPU105" s="769"/>
      <c r="KPV105" s="769"/>
      <c r="KPW105" s="769"/>
      <c r="KPX105" s="769"/>
      <c r="KPY105" s="769"/>
      <c r="KPZ105" s="769"/>
      <c r="KQA105" s="769"/>
      <c r="KQB105" s="769"/>
      <c r="KQC105" s="769"/>
      <c r="KQD105" s="769"/>
      <c r="KQE105" s="769"/>
      <c r="KQF105" s="769"/>
      <c r="KQG105" s="769"/>
      <c r="KQH105" s="769"/>
      <c r="KQI105" s="769"/>
      <c r="KQJ105" s="769"/>
      <c r="KQK105" s="769"/>
      <c r="KQL105" s="769"/>
      <c r="KQM105" s="769"/>
      <c r="KQN105" s="769"/>
      <c r="KQO105" s="769"/>
      <c r="KQP105" s="769"/>
      <c r="KQQ105" s="769"/>
      <c r="KQR105" s="769"/>
      <c r="KQS105" s="769"/>
      <c r="KQT105" s="769"/>
      <c r="KQU105" s="769"/>
      <c r="KQV105" s="769"/>
      <c r="KQW105" s="769"/>
      <c r="KQX105" s="769"/>
      <c r="KQY105" s="769"/>
      <c r="KQZ105" s="769"/>
      <c r="KRA105" s="769"/>
      <c r="KRB105" s="769"/>
      <c r="KRC105" s="769"/>
      <c r="KRD105" s="769"/>
      <c r="KRE105" s="769"/>
      <c r="KRF105" s="769"/>
      <c r="KRG105" s="769"/>
      <c r="KRH105" s="769"/>
      <c r="KRI105" s="769"/>
      <c r="KRJ105" s="769"/>
      <c r="KRK105" s="769"/>
      <c r="KRL105" s="769"/>
      <c r="KRM105" s="769"/>
      <c r="KRN105" s="769"/>
      <c r="KRO105" s="769"/>
      <c r="KRP105" s="769"/>
      <c r="KRQ105" s="769"/>
      <c r="KRR105" s="769"/>
      <c r="KRS105" s="769"/>
      <c r="KRT105" s="769"/>
      <c r="KRU105" s="769"/>
      <c r="KRV105" s="769"/>
      <c r="KRW105" s="769"/>
      <c r="KRX105" s="769"/>
      <c r="KRY105" s="769"/>
      <c r="KRZ105" s="769"/>
      <c r="KSA105" s="769"/>
      <c r="KSB105" s="769"/>
      <c r="KSC105" s="769"/>
      <c r="KSD105" s="769"/>
      <c r="KSE105" s="769"/>
      <c r="KSF105" s="769"/>
      <c r="KSG105" s="769"/>
      <c r="KSH105" s="769"/>
      <c r="KSI105" s="769"/>
      <c r="KSJ105" s="769"/>
      <c r="KSK105" s="769"/>
      <c r="KSL105" s="769"/>
      <c r="KSM105" s="769"/>
      <c r="KSN105" s="769"/>
      <c r="KSO105" s="769"/>
      <c r="KSP105" s="769"/>
      <c r="KSQ105" s="769"/>
      <c r="KSR105" s="769"/>
      <c r="KSS105" s="769"/>
      <c r="KST105" s="769"/>
      <c r="KSU105" s="769"/>
      <c r="KSV105" s="769"/>
      <c r="KSW105" s="769"/>
      <c r="KSX105" s="769"/>
      <c r="KSY105" s="769"/>
      <c r="KSZ105" s="769"/>
      <c r="KTA105" s="769"/>
      <c r="KTB105" s="769"/>
      <c r="KTC105" s="769"/>
      <c r="KTD105" s="769"/>
      <c r="KTE105" s="769"/>
      <c r="KTF105" s="769"/>
      <c r="KTG105" s="769"/>
      <c r="KTH105" s="769"/>
      <c r="KTI105" s="769"/>
      <c r="KTJ105" s="769"/>
      <c r="KTK105" s="769"/>
      <c r="KTL105" s="769"/>
      <c r="KTM105" s="769"/>
      <c r="KTN105" s="769"/>
      <c r="KTO105" s="769"/>
      <c r="KTP105" s="769"/>
      <c r="KTQ105" s="769"/>
      <c r="KTR105" s="769"/>
      <c r="KTS105" s="769"/>
      <c r="KTT105" s="769"/>
      <c r="KTU105" s="769"/>
      <c r="KTV105" s="769"/>
      <c r="KTW105" s="769"/>
      <c r="KTX105" s="769"/>
      <c r="KTY105" s="769"/>
      <c r="KTZ105" s="769"/>
      <c r="KUA105" s="769"/>
      <c r="KUB105" s="769"/>
      <c r="KUC105" s="769"/>
      <c r="KUD105" s="769"/>
      <c r="KUE105" s="769"/>
      <c r="KUF105" s="769"/>
      <c r="KUG105" s="769"/>
      <c r="KUH105" s="769"/>
      <c r="KUI105" s="769"/>
      <c r="KUJ105" s="769"/>
      <c r="KUK105" s="769"/>
      <c r="KUL105" s="769"/>
      <c r="KUM105" s="769"/>
      <c r="KUN105" s="769"/>
      <c r="KUO105" s="769"/>
      <c r="KUP105" s="769"/>
      <c r="KUQ105" s="769"/>
      <c r="KUR105" s="769"/>
      <c r="KUS105" s="769"/>
      <c r="KUT105" s="769"/>
      <c r="KUU105" s="769"/>
      <c r="KUV105" s="769"/>
      <c r="KUW105" s="769"/>
      <c r="KUX105" s="769"/>
      <c r="KUY105" s="769"/>
      <c r="KUZ105" s="769"/>
      <c r="KVA105" s="769"/>
      <c r="KVB105" s="769"/>
      <c r="KVC105" s="769"/>
      <c r="KVD105" s="769"/>
      <c r="KVE105" s="769"/>
      <c r="KVF105" s="769"/>
      <c r="KVG105" s="769"/>
      <c r="KVH105" s="769"/>
      <c r="KVI105" s="769"/>
      <c r="KVJ105" s="769"/>
      <c r="KVK105" s="769"/>
      <c r="KVL105" s="769"/>
      <c r="KVM105" s="769"/>
      <c r="KVN105" s="769"/>
      <c r="KVO105" s="769"/>
      <c r="KVP105" s="769"/>
      <c r="KVQ105" s="769"/>
      <c r="KVR105" s="769"/>
      <c r="KVS105" s="769"/>
      <c r="KVT105" s="769"/>
      <c r="KVU105" s="769"/>
      <c r="KVV105" s="769"/>
      <c r="KVW105" s="769"/>
      <c r="KVX105" s="769"/>
      <c r="KVY105" s="769"/>
      <c r="KVZ105" s="769"/>
      <c r="KWA105" s="769"/>
      <c r="KWB105" s="769"/>
      <c r="KWC105" s="769"/>
      <c r="KWD105" s="769"/>
      <c r="KWE105" s="769"/>
      <c r="KWF105" s="769"/>
      <c r="KWG105" s="769"/>
      <c r="KWH105" s="769"/>
      <c r="KWI105" s="769"/>
      <c r="KWJ105" s="769"/>
      <c r="KWK105" s="769"/>
      <c r="KWL105" s="769"/>
      <c r="KWM105" s="769"/>
      <c r="KWN105" s="769"/>
      <c r="KWO105" s="769"/>
      <c r="KWP105" s="769"/>
      <c r="KWQ105" s="769"/>
      <c r="KWR105" s="769"/>
      <c r="KWS105" s="769"/>
      <c r="KWT105" s="769"/>
      <c r="KWU105" s="769"/>
      <c r="KWV105" s="769"/>
      <c r="KWW105" s="769"/>
      <c r="KWX105" s="769"/>
      <c r="KWY105" s="769"/>
      <c r="KWZ105" s="769"/>
      <c r="KXA105" s="769"/>
      <c r="KXB105" s="769"/>
      <c r="KXC105" s="769"/>
      <c r="KXD105" s="769"/>
      <c r="KXE105" s="769"/>
      <c r="KXF105" s="769"/>
      <c r="KXG105" s="769"/>
      <c r="KXH105" s="769"/>
      <c r="KXI105" s="769"/>
      <c r="KXJ105" s="769"/>
      <c r="KXK105" s="769"/>
      <c r="KXL105" s="769"/>
      <c r="KXM105" s="769"/>
      <c r="KXN105" s="769"/>
      <c r="KXO105" s="769"/>
      <c r="KXP105" s="769"/>
      <c r="KXQ105" s="769"/>
      <c r="KXR105" s="769"/>
      <c r="KXS105" s="769"/>
      <c r="KXT105" s="769"/>
      <c r="KXU105" s="769"/>
      <c r="KXV105" s="769"/>
      <c r="KXW105" s="769"/>
      <c r="KXX105" s="769"/>
      <c r="KXY105" s="769"/>
      <c r="KXZ105" s="769"/>
      <c r="KYA105" s="769"/>
      <c r="KYB105" s="769"/>
      <c r="KYC105" s="769"/>
      <c r="KYD105" s="769"/>
      <c r="KYE105" s="769"/>
      <c r="KYF105" s="769"/>
      <c r="KYG105" s="769"/>
      <c r="KYH105" s="769"/>
      <c r="KYI105" s="769"/>
      <c r="KYJ105" s="769"/>
      <c r="KYK105" s="769"/>
      <c r="KYL105" s="769"/>
      <c r="KYM105" s="769"/>
      <c r="KYN105" s="769"/>
      <c r="KYO105" s="769"/>
      <c r="KYP105" s="769"/>
      <c r="KYQ105" s="769"/>
      <c r="KYR105" s="769"/>
      <c r="KYS105" s="769"/>
      <c r="KYT105" s="769"/>
      <c r="KYU105" s="769"/>
      <c r="KYV105" s="769"/>
      <c r="KYW105" s="769"/>
      <c r="KYX105" s="769"/>
      <c r="KYY105" s="769"/>
      <c r="KYZ105" s="769"/>
      <c r="KZA105" s="769"/>
      <c r="KZB105" s="769"/>
      <c r="KZC105" s="769"/>
      <c r="KZD105" s="769"/>
      <c r="KZE105" s="769"/>
      <c r="KZF105" s="769"/>
      <c r="KZG105" s="769"/>
      <c r="KZH105" s="769"/>
      <c r="KZI105" s="769"/>
      <c r="KZJ105" s="769"/>
      <c r="KZK105" s="769"/>
      <c r="KZL105" s="769"/>
      <c r="KZM105" s="769"/>
      <c r="KZN105" s="769"/>
      <c r="KZO105" s="769"/>
      <c r="KZP105" s="769"/>
      <c r="KZQ105" s="769"/>
      <c r="KZR105" s="769"/>
      <c r="KZS105" s="769"/>
      <c r="KZT105" s="769"/>
      <c r="KZU105" s="769"/>
      <c r="KZV105" s="769"/>
      <c r="KZW105" s="769"/>
      <c r="KZX105" s="769"/>
      <c r="KZY105" s="769"/>
      <c r="KZZ105" s="769"/>
      <c r="LAA105" s="769"/>
      <c r="LAB105" s="769"/>
      <c r="LAC105" s="769"/>
      <c r="LAD105" s="769"/>
      <c r="LAE105" s="769"/>
      <c r="LAF105" s="769"/>
      <c r="LAG105" s="769"/>
      <c r="LAH105" s="769"/>
      <c r="LAI105" s="769"/>
      <c r="LAJ105" s="769"/>
      <c r="LAK105" s="769"/>
      <c r="LAL105" s="769"/>
      <c r="LAM105" s="769"/>
      <c r="LAN105" s="769"/>
      <c r="LAO105" s="769"/>
      <c r="LAP105" s="769"/>
      <c r="LAQ105" s="769"/>
      <c r="LAR105" s="769"/>
      <c r="LAS105" s="769"/>
      <c r="LAT105" s="769"/>
      <c r="LAU105" s="769"/>
      <c r="LAV105" s="769"/>
      <c r="LAW105" s="769"/>
      <c r="LAX105" s="769"/>
      <c r="LAY105" s="769"/>
      <c r="LAZ105" s="769"/>
      <c r="LBA105" s="769"/>
      <c r="LBB105" s="769"/>
      <c r="LBC105" s="769"/>
      <c r="LBD105" s="769"/>
      <c r="LBE105" s="769"/>
      <c r="LBF105" s="769"/>
      <c r="LBG105" s="769"/>
      <c r="LBH105" s="769"/>
      <c r="LBI105" s="769"/>
      <c r="LBJ105" s="769"/>
      <c r="LBK105" s="769"/>
      <c r="LBL105" s="769"/>
      <c r="LBM105" s="769"/>
      <c r="LBN105" s="769"/>
      <c r="LBO105" s="769"/>
      <c r="LBP105" s="769"/>
      <c r="LBQ105" s="769"/>
      <c r="LBR105" s="769"/>
      <c r="LBS105" s="769"/>
      <c r="LBT105" s="769"/>
      <c r="LBU105" s="769"/>
      <c r="LBV105" s="769"/>
      <c r="LBW105" s="769"/>
      <c r="LBX105" s="769"/>
      <c r="LBY105" s="769"/>
      <c r="LBZ105" s="769"/>
      <c r="LCA105" s="769"/>
      <c r="LCB105" s="769"/>
      <c r="LCC105" s="769"/>
      <c r="LCD105" s="769"/>
      <c r="LCE105" s="769"/>
      <c r="LCF105" s="769"/>
      <c r="LCG105" s="769"/>
      <c r="LCH105" s="769"/>
      <c r="LCI105" s="769"/>
      <c r="LCJ105" s="769"/>
      <c r="LCK105" s="769"/>
      <c r="LCL105" s="769"/>
      <c r="LCM105" s="769"/>
      <c r="LCN105" s="769"/>
      <c r="LCO105" s="769"/>
      <c r="LCP105" s="769"/>
      <c r="LCQ105" s="769"/>
      <c r="LCR105" s="769"/>
      <c r="LCS105" s="769"/>
      <c r="LCT105" s="769"/>
      <c r="LCU105" s="769"/>
      <c r="LCV105" s="769"/>
      <c r="LCW105" s="769"/>
      <c r="LCX105" s="769"/>
      <c r="LCY105" s="769"/>
      <c r="LCZ105" s="769"/>
      <c r="LDA105" s="769"/>
      <c r="LDB105" s="769"/>
      <c r="LDC105" s="769"/>
      <c r="LDD105" s="769"/>
      <c r="LDE105" s="769"/>
      <c r="LDF105" s="769"/>
      <c r="LDG105" s="769"/>
      <c r="LDH105" s="769"/>
      <c r="LDI105" s="769"/>
      <c r="LDJ105" s="769"/>
      <c r="LDK105" s="769"/>
      <c r="LDL105" s="769"/>
      <c r="LDM105" s="769"/>
      <c r="LDN105" s="769"/>
      <c r="LDO105" s="769"/>
      <c r="LDP105" s="769"/>
      <c r="LDQ105" s="769"/>
      <c r="LDR105" s="769"/>
      <c r="LDS105" s="769"/>
      <c r="LDT105" s="769"/>
      <c r="LDU105" s="769"/>
      <c r="LDV105" s="769"/>
      <c r="LDW105" s="769"/>
      <c r="LDX105" s="769"/>
      <c r="LDY105" s="769"/>
      <c r="LDZ105" s="769"/>
      <c r="LEA105" s="769"/>
      <c r="LEB105" s="769"/>
      <c r="LEC105" s="769"/>
      <c r="LED105" s="769"/>
      <c r="LEE105" s="769"/>
      <c r="LEF105" s="769"/>
      <c r="LEG105" s="769"/>
      <c r="LEH105" s="769"/>
      <c r="LEI105" s="769"/>
      <c r="LEJ105" s="769"/>
      <c r="LEK105" s="769"/>
      <c r="LEL105" s="769"/>
      <c r="LEM105" s="769"/>
      <c r="LEN105" s="769"/>
      <c r="LEO105" s="769"/>
      <c r="LEP105" s="769"/>
      <c r="LEQ105" s="769"/>
      <c r="LER105" s="769"/>
      <c r="LES105" s="769"/>
      <c r="LET105" s="769"/>
      <c r="LEU105" s="769"/>
      <c r="LEV105" s="769"/>
      <c r="LEW105" s="769"/>
      <c r="LEX105" s="769"/>
      <c r="LEY105" s="769"/>
      <c r="LEZ105" s="769"/>
      <c r="LFA105" s="769"/>
      <c r="LFB105" s="769"/>
      <c r="LFC105" s="769"/>
      <c r="LFD105" s="769"/>
      <c r="LFE105" s="769"/>
      <c r="LFF105" s="769"/>
      <c r="LFG105" s="769"/>
      <c r="LFH105" s="769"/>
      <c r="LFI105" s="769"/>
      <c r="LFJ105" s="769"/>
      <c r="LFK105" s="769"/>
      <c r="LFL105" s="769"/>
      <c r="LFM105" s="769"/>
      <c r="LFN105" s="769"/>
      <c r="LFO105" s="769"/>
      <c r="LFP105" s="769"/>
      <c r="LFQ105" s="769"/>
      <c r="LFR105" s="769"/>
      <c r="LFS105" s="769"/>
      <c r="LFT105" s="769"/>
      <c r="LFU105" s="769"/>
      <c r="LFV105" s="769"/>
      <c r="LFW105" s="769"/>
      <c r="LFX105" s="769"/>
      <c r="LFY105" s="769"/>
      <c r="LFZ105" s="769"/>
      <c r="LGA105" s="769"/>
      <c r="LGB105" s="769"/>
      <c r="LGC105" s="769"/>
      <c r="LGD105" s="769"/>
      <c r="LGE105" s="769"/>
      <c r="LGF105" s="769"/>
      <c r="LGG105" s="769"/>
      <c r="LGH105" s="769"/>
      <c r="LGI105" s="769"/>
      <c r="LGJ105" s="769"/>
      <c r="LGK105" s="769"/>
      <c r="LGL105" s="769"/>
      <c r="LGM105" s="769"/>
      <c r="LGN105" s="769"/>
      <c r="LGO105" s="769"/>
      <c r="LGP105" s="769"/>
      <c r="LGQ105" s="769"/>
      <c r="LGR105" s="769"/>
      <c r="LGS105" s="769"/>
      <c r="LGT105" s="769"/>
      <c r="LGU105" s="769"/>
      <c r="LGV105" s="769"/>
      <c r="LGW105" s="769"/>
      <c r="LGX105" s="769"/>
      <c r="LGY105" s="769"/>
      <c r="LGZ105" s="769"/>
      <c r="LHA105" s="769"/>
      <c r="LHB105" s="769"/>
      <c r="LHC105" s="769"/>
      <c r="LHD105" s="769"/>
      <c r="LHE105" s="769"/>
      <c r="LHF105" s="769"/>
      <c r="LHG105" s="769"/>
      <c r="LHH105" s="769"/>
      <c r="LHI105" s="769"/>
      <c r="LHJ105" s="769"/>
      <c r="LHK105" s="769"/>
      <c r="LHL105" s="769"/>
      <c r="LHM105" s="769"/>
      <c r="LHN105" s="769"/>
      <c r="LHO105" s="769"/>
      <c r="LHP105" s="769"/>
      <c r="LHQ105" s="769"/>
      <c r="LHR105" s="769"/>
      <c r="LHS105" s="769"/>
      <c r="LHT105" s="769"/>
      <c r="LHU105" s="769"/>
      <c r="LHV105" s="769"/>
      <c r="LHW105" s="769"/>
      <c r="LHX105" s="769"/>
      <c r="LHY105" s="769"/>
      <c r="LHZ105" s="769"/>
      <c r="LIA105" s="769"/>
      <c r="LIB105" s="769"/>
      <c r="LIC105" s="769"/>
      <c r="LID105" s="769"/>
      <c r="LIE105" s="769"/>
      <c r="LIF105" s="769"/>
      <c r="LIG105" s="769"/>
      <c r="LIH105" s="769"/>
      <c r="LII105" s="769"/>
      <c r="LIJ105" s="769"/>
      <c r="LIK105" s="769"/>
      <c r="LIL105" s="769"/>
      <c r="LIM105" s="769"/>
      <c r="LIN105" s="769"/>
      <c r="LIO105" s="769"/>
      <c r="LIP105" s="769"/>
      <c r="LIQ105" s="769"/>
      <c r="LIR105" s="769"/>
      <c r="LIS105" s="769"/>
      <c r="LIT105" s="769"/>
      <c r="LIU105" s="769"/>
      <c r="LIV105" s="769"/>
      <c r="LIW105" s="769"/>
      <c r="LIX105" s="769"/>
      <c r="LIY105" s="769"/>
      <c r="LIZ105" s="769"/>
      <c r="LJA105" s="769"/>
      <c r="LJB105" s="769"/>
      <c r="LJC105" s="769"/>
      <c r="LJD105" s="769"/>
      <c r="LJE105" s="769"/>
      <c r="LJF105" s="769"/>
      <c r="LJG105" s="769"/>
      <c r="LJH105" s="769"/>
      <c r="LJI105" s="769"/>
      <c r="LJJ105" s="769"/>
      <c r="LJK105" s="769"/>
      <c r="LJL105" s="769"/>
      <c r="LJM105" s="769"/>
      <c r="LJN105" s="769"/>
      <c r="LJO105" s="769"/>
      <c r="LJP105" s="769"/>
      <c r="LJQ105" s="769"/>
      <c r="LJR105" s="769"/>
      <c r="LJS105" s="769"/>
      <c r="LJT105" s="769"/>
      <c r="LJU105" s="769"/>
      <c r="LJV105" s="769"/>
      <c r="LJW105" s="769"/>
      <c r="LJX105" s="769"/>
      <c r="LJY105" s="769"/>
      <c r="LJZ105" s="769"/>
      <c r="LKA105" s="769"/>
      <c r="LKB105" s="769"/>
      <c r="LKC105" s="769"/>
      <c r="LKD105" s="769"/>
      <c r="LKE105" s="769"/>
      <c r="LKF105" s="769"/>
      <c r="LKG105" s="769"/>
      <c r="LKH105" s="769"/>
      <c r="LKI105" s="769"/>
      <c r="LKJ105" s="769"/>
      <c r="LKK105" s="769"/>
      <c r="LKL105" s="769"/>
      <c r="LKM105" s="769"/>
      <c r="LKN105" s="769"/>
      <c r="LKO105" s="769"/>
      <c r="LKP105" s="769"/>
      <c r="LKQ105" s="769"/>
      <c r="LKR105" s="769"/>
      <c r="LKS105" s="769"/>
      <c r="LKT105" s="769"/>
      <c r="LKU105" s="769"/>
      <c r="LKV105" s="769"/>
      <c r="LKW105" s="769"/>
      <c r="LKX105" s="769"/>
      <c r="LKY105" s="769"/>
      <c r="LKZ105" s="769"/>
      <c r="LLA105" s="769"/>
      <c r="LLB105" s="769"/>
      <c r="LLC105" s="769"/>
      <c r="LLD105" s="769"/>
      <c r="LLE105" s="769"/>
      <c r="LLF105" s="769"/>
      <c r="LLG105" s="769"/>
      <c r="LLH105" s="769"/>
      <c r="LLI105" s="769"/>
      <c r="LLJ105" s="769"/>
      <c r="LLK105" s="769"/>
      <c r="LLL105" s="769"/>
      <c r="LLM105" s="769"/>
      <c r="LLN105" s="769"/>
      <c r="LLO105" s="769"/>
      <c r="LLP105" s="769"/>
      <c r="LLQ105" s="769"/>
      <c r="LLR105" s="769"/>
      <c r="LLS105" s="769"/>
      <c r="LLT105" s="769"/>
      <c r="LLU105" s="769"/>
      <c r="LLV105" s="769"/>
      <c r="LLW105" s="769"/>
      <c r="LLX105" s="769"/>
      <c r="LLY105" s="769"/>
      <c r="LLZ105" s="769"/>
      <c r="LMA105" s="769"/>
      <c r="LMB105" s="769"/>
      <c r="LMC105" s="769"/>
      <c r="LMD105" s="769"/>
      <c r="LME105" s="769"/>
      <c r="LMF105" s="769"/>
      <c r="LMG105" s="769"/>
      <c r="LMH105" s="769"/>
      <c r="LMI105" s="769"/>
      <c r="LMJ105" s="769"/>
      <c r="LMK105" s="769"/>
      <c r="LML105" s="769"/>
      <c r="LMM105" s="769"/>
      <c r="LMN105" s="769"/>
      <c r="LMO105" s="769"/>
      <c r="LMP105" s="769"/>
      <c r="LMQ105" s="769"/>
      <c r="LMR105" s="769"/>
      <c r="LMS105" s="769"/>
      <c r="LMT105" s="769"/>
      <c r="LMU105" s="769"/>
      <c r="LMV105" s="769"/>
      <c r="LMW105" s="769"/>
      <c r="LMX105" s="769"/>
      <c r="LMY105" s="769"/>
      <c r="LMZ105" s="769"/>
      <c r="LNA105" s="769"/>
      <c r="LNB105" s="769"/>
      <c r="LNC105" s="769"/>
      <c r="LND105" s="769"/>
      <c r="LNE105" s="769"/>
      <c r="LNF105" s="769"/>
      <c r="LNG105" s="769"/>
      <c r="LNH105" s="769"/>
      <c r="LNI105" s="769"/>
      <c r="LNJ105" s="769"/>
      <c r="LNK105" s="769"/>
      <c r="LNL105" s="769"/>
      <c r="LNM105" s="769"/>
      <c r="LNN105" s="769"/>
      <c r="LNO105" s="769"/>
      <c r="LNP105" s="769"/>
      <c r="LNQ105" s="769"/>
      <c r="LNR105" s="769"/>
      <c r="LNS105" s="769"/>
      <c r="LNT105" s="769"/>
      <c r="LNU105" s="769"/>
      <c r="LNV105" s="769"/>
      <c r="LNW105" s="769"/>
      <c r="LNX105" s="769"/>
      <c r="LNY105" s="769"/>
      <c r="LNZ105" s="769"/>
      <c r="LOA105" s="769"/>
      <c r="LOB105" s="769"/>
      <c r="LOC105" s="769"/>
      <c r="LOD105" s="769"/>
      <c r="LOE105" s="769"/>
      <c r="LOF105" s="769"/>
      <c r="LOG105" s="769"/>
      <c r="LOH105" s="769"/>
      <c r="LOI105" s="769"/>
      <c r="LOJ105" s="769"/>
      <c r="LOK105" s="769"/>
      <c r="LOL105" s="769"/>
      <c r="LOM105" s="769"/>
      <c r="LON105" s="769"/>
      <c r="LOO105" s="769"/>
      <c r="LOP105" s="769"/>
      <c r="LOQ105" s="769"/>
      <c r="LOR105" s="769"/>
      <c r="LOS105" s="769"/>
      <c r="LOT105" s="769"/>
      <c r="LOU105" s="769"/>
      <c r="LOV105" s="769"/>
      <c r="LOW105" s="769"/>
      <c r="LOX105" s="769"/>
      <c r="LOY105" s="769"/>
      <c r="LOZ105" s="769"/>
      <c r="LPA105" s="769"/>
      <c r="LPB105" s="769"/>
      <c r="LPC105" s="769"/>
      <c r="LPD105" s="769"/>
      <c r="LPE105" s="769"/>
      <c r="LPF105" s="769"/>
      <c r="LPG105" s="769"/>
      <c r="LPH105" s="769"/>
      <c r="LPI105" s="769"/>
      <c r="LPJ105" s="769"/>
      <c r="LPK105" s="769"/>
      <c r="LPL105" s="769"/>
      <c r="LPM105" s="769"/>
      <c r="LPN105" s="769"/>
      <c r="LPO105" s="769"/>
      <c r="LPP105" s="769"/>
      <c r="LPQ105" s="769"/>
      <c r="LPR105" s="769"/>
      <c r="LPS105" s="769"/>
      <c r="LPT105" s="769"/>
      <c r="LPU105" s="769"/>
      <c r="LPV105" s="769"/>
      <c r="LPW105" s="769"/>
      <c r="LPX105" s="769"/>
      <c r="LPY105" s="769"/>
      <c r="LPZ105" s="769"/>
      <c r="LQA105" s="769"/>
      <c r="LQB105" s="769"/>
      <c r="LQC105" s="769"/>
      <c r="LQD105" s="769"/>
      <c r="LQE105" s="769"/>
      <c r="LQF105" s="769"/>
      <c r="LQG105" s="769"/>
      <c r="LQH105" s="769"/>
      <c r="LQI105" s="769"/>
      <c r="LQJ105" s="769"/>
      <c r="LQK105" s="769"/>
      <c r="LQL105" s="769"/>
      <c r="LQM105" s="769"/>
      <c r="LQN105" s="769"/>
      <c r="LQO105" s="769"/>
      <c r="LQP105" s="769"/>
      <c r="LQQ105" s="769"/>
      <c r="LQR105" s="769"/>
      <c r="LQS105" s="769"/>
      <c r="LQT105" s="769"/>
      <c r="LQU105" s="769"/>
      <c r="LQV105" s="769"/>
      <c r="LQW105" s="769"/>
      <c r="LQX105" s="769"/>
      <c r="LQY105" s="769"/>
      <c r="LQZ105" s="769"/>
      <c r="LRA105" s="769"/>
      <c r="LRB105" s="769"/>
      <c r="LRC105" s="769"/>
      <c r="LRD105" s="769"/>
      <c r="LRE105" s="769"/>
      <c r="LRF105" s="769"/>
      <c r="LRG105" s="769"/>
      <c r="LRH105" s="769"/>
      <c r="LRI105" s="769"/>
      <c r="LRJ105" s="769"/>
      <c r="LRK105" s="769"/>
      <c r="LRL105" s="769"/>
      <c r="LRM105" s="769"/>
      <c r="LRN105" s="769"/>
      <c r="LRO105" s="769"/>
      <c r="LRP105" s="769"/>
      <c r="LRQ105" s="769"/>
      <c r="LRR105" s="769"/>
      <c r="LRS105" s="769"/>
      <c r="LRT105" s="769"/>
      <c r="LRU105" s="769"/>
      <c r="LRV105" s="769"/>
      <c r="LRW105" s="769"/>
      <c r="LRX105" s="769"/>
      <c r="LRY105" s="769"/>
      <c r="LRZ105" s="769"/>
      <c r="LSA105" s="769"/>
      <c r="LSB105" s="769"/>
      <c r="LSC105" s="769"/>
      <c r="LSD105" s="769"/>
      <c r="LSE105" s="769"/>
      <c r="LSF105" s="769"/>
      <c r="LSG105" s="769"/>
      <c r="LSH105" s="769"/>
      <c r="LSI105" s="769"/>
      <c r="LSJ105" s="769"/>
      <c r="LSK105" s="769"/>
      <c r="LSL105" s="769"/>
      <c r="LSM105" s="769"/>
      <c r="LSN105" s="769"/>
      <c r="LSO105" s="769"/>
      <c r="LSP105" s="769"/>
      <c r="LSQ105" s="769"/>
      <c r="LSR105" s="769"/>
      <c r="LSS105" s="769"/>
      <c r="LST105" s="769"/>
      <c r="LSU105" s="769"/>
      <c r="LSV105" s="769"/>
      <c r="LSW105" s="769"/>
      <c r="LSX105" s="769"/>
      <c r="LSY105" s="769"/>
      <c r="LSZ105" s="769"/>
      <c r="LTA105" s="769"/>
      <c r="LTB105" s="769"/>
      <c r="LTC105" s="769"/>
      <c r="LTD105" s="769"/>
      <c r="LTE105" s="769"/>
      <c r="LTF105" s="769"/>
      <c r="LTG105" s="769"/>
      <c r="LTH105" s="769"/>
      <c r="LTI105" s="769"/>
      <c r="LTJ105" s="769"/>
      <c r="LTK105" s="769"/>
      <c r="LTL105" s="769"/>
      <c r="LTM105" s="769"/>
      <c r="LTN105" s="769"/>
      <c r="LTO105" s="769"/>
      <c r="LTP105" s="769"/>
      <c r="LTQ105" s="769"/>
      <c r="LTR105" s="769"/>
      <c r="LTS105" s="769"/>
      <c r="LTT105" s="769"/>
      <c r="LTU105" s="769"/>
      <c r="LTV105" s="769"/>
      <c r="LTW105" s="769"/>
      <c r="LTX105" s="769"/>
      <c r="LTY105" s="769"/>
      <c r="LTZ105" s="769"/>
      <c r="LUA105" s="769"/>
      <c r="LUB105" s="769"/>
      <c r="LUC105" s="769"/>
      <c r="LUD105" s="769"/>
      <c r="LUE105" s="769"/>
      <c r="LUF105" s="769"/>
      <c r="LUG105" s="769"/>
      <c r="LUH105" s="769"/>
      <c r="LUI105" s="769"/>
      <c r="LUJ105" s="769"/>
      <c r="LUK105" s="769"/>
      <c r="LUL105" s="769"/>
      <c r="LUM105" s="769"/>
      <c r="LUN105" s="769"/>
      <c r="LUO105" s="769"/>
      <c r="LUP105" s="769"/>
      <c r="LUQ105" s="769"/>
      <c r="LUR105" s="769"/>
      <c r="LUS105" s="769"/>
      <c r="LUT105" s="769"/>
      <c r="LUU105" s="769"/>
      <c r="LUV105" s="769"/>
      <c r="LUW105" s="769"/>
      <c r="LUX105" s="769"/>
      <c r="LUY105" s="769"/>
      <c r="LUZ105" s="769"/>
      <c r="LVA105" s="769"/>
      <c r="LVB105" s="769"/>
      <c r="LVC105" s="769"/>
      <c r="LVD105" s="769"/>
      <c r="LVE105" s="769"/>
      <c r="LVF105" s="769"/>
      <c r="LVG105" s="769"/>
      <c r="LVH105" s="769"/>
      <c r="LVI105" s="769"/>
      <c r="LVJ105" s="769"/>
      <c r="LVK105" s="769"/>
      <c r="LVL105" s="769"/>
      <c r="LVM105" s="769"/>
      <c r="LVN105" s="769"/>
      <c r="LVO105" s="769"/>
      <c r="LVP105" s="769"/>
      <c r="LVQ105" s="769"/>
      <c r="LVR105" s="769"/>
      <c r="LVS105" s="769"/>
      <c r="LVT105" s="769"/>
      <c r="LVU105" s="769"/>
      <c r="LVV105" s="769"/>
      <c r="LVW105" s="769"/>
      <c r="LVX105" s="769"/>
      <c r="LVY105" s="769"/>
      <c r="LVZ105" s="769"/>
      <c r="LWA105" s="769"/>
      <c r="LWB105" s="769"/>
      <c r="LWC105" s="769"/>
      <c r="LWD105" s="769"/>
      <c r="LWE105" s="769"/>
      <c r="LWF105" s="769"/>
      <c r="LWG105" s="769"/>
      <c r="LWH105" s="769"/>
      <c r="LWI105" s="769"/>
      <c r="LWJ105" s="769"/>
      <c r="LWK105" s="769"/>
      <c r="LWL105" s="769"/>
      <c r="LWM105" s="769"/>
      <c r="LWN105" s="769"/>
      <c r="LWO105" s="769"/>
      <c r="LWP105" s="769"/>
      <c r="LWQ105" s="769"/>
      <c r="LWR105" s="769"/>
      <c r="LWS105" s="769"/>
      <c r="LWT105" s="769"/>
      <c r="LWU105" s="769"/>
      <c r="LWV105" s="769"/>
      <c r="LWW105" s="769"/>
      <c r="LWX105" s="769"/>
      <c r="LWY105" s="769"/>
      <c r="LWZ105" s="769"/>
      <c r="LXA105" s="769"/>
      <c r="LXB105" s="769"/>
      <c r="LXC105" s="769"/>
      <c r="LXD105" s="769"/>
      <c r="LXE105" s="769"/>
      <c r="LXF105" s="769"/>
      <c r="LXG105" s="769"/>
      <c r="LXH105" s="769"/>
      <c r="LXI105" s="769"/>
      <c r="LXJ105" s="769"/>
      <c r="LXK105" s="769"/>
      <c r="LXL105" s="769"/>
      <c r="LXM105" s="769"/>
      <c r="LXN105" s="769"/>
      <c r="LXO105" s="769"/>
      <c r="LXP105" s="769"/>
      <c r="LXQ105" s="769"/>
      <c r="LXR105" s="769"/>
      <c r="LXS105" s="769"/>
      <c r="LXT105" s="769"/>
      <c r="LXU105" s="769"/>
      <c r="LXV105" s="769"/>
      <c r="LXW105" s="769"/>
      <c r="LXX105" s="769"/>
      <c r="LXY105" s="769"/>
      <c r="LXZ105" s="769"/>
      <c r="LYA105" s="769"/>
      <c r="LYB105" s="769"/>
      <c r="LYC105" s="769"/>
      <c r="LYD105" s="769"/>
      <c r="LYE105" s="769"/>
      <c r="LYF105" s="769"/>
      <c r="LYG105" s="769"/>
      <c r="LYH105" s="769"/>
      <c r="LYI105" s="769"/>
      <c r="LYJ105" s="769"/>
      <c r="LYK105" s="769"/>
      <c r="LYL105" s="769"/>
      <c r="LYM105" s="769"/>
      <c r="LYN105" s="769"/>
      <c r="LYO105" s="769"/>
      <c r="LYP105" s="769"/>
      <c r="LYQ105" s="769"/>
      <c r="LYR105" s="769"/>
      <c r="LYS105" s="769"/>
      <c r="LYT105" s="769"/>
      <c r="LYU105" s="769"/>
      <c r="LYV105" s="769"/>
      <c r="LYW105" s="769"/>
      <c r="LYX105" s="769"/>
      <c r="LYY105" s="769"/>
      <c r="LYZ105" s="769"/>
      <c r="LZA105" s="769"/>
      <c r="LZB105" s="769"/>
      <c r="LZC105" s="769"/>
      <c r="LZD105" s="769"/>
      <c r="LZE105" s="769"/>
      <c r="LZF105" s="769"/>
      <c r="LZG105" s="769"/>
      <c r="LZH105" s="769"/>
      <c r="LZI105" s="769"/>
      <c r="LZJ105" s="769"/>
      <c r="LZK105" s="769"/>
      <c r="LZL105" s="769"/>
      <c r="LZM105" s="769"/>
      <c r="LZN105" s="769"/>
      <c r="LZO105" s="769"/>
      <c r="LZP105" s="769"/>
      <c r="LZQ105" s="769"/>
      <c r="LZR105" s="769"/>
      <c r="LZS105" s="769"/>
      <c r="LZT105" s="769"/>
      <c r="LZU105" s="769"/>
      <c r="LZV105" s="769"/>
      <c r="LZW105" s="769"/>
      <c r="LZX105" s="769"/>
      <c r="LZY105" s="769"/>
      <c r="LZZ105" s="769"/>
      <c r="MAA105" s="769"/>
      <c r="MAB105" s="769"/>
      <c r="MAC105" s="769"/>
      <c r="MAD105" s="769"/>
      <c r="MAE105" s="769"/>
      <c r="MAF105" s="769"/>
      <c r="MAG105" s="769"/>
      <c r="MAH105" s="769"/>
      <c r="MAI105" s="769"/>
      <c r="MAJ105" s="769"/>
      <c r="MAK105" s="769"/>
      <c r="MAL105" s="769"/>
      <c r="MAM105" s="769"/>
      <c r="MAN105" s="769"/>
      <c r="MAO105" s="769"/>
      <c r="MAP105" s="769"/>
      <c r="MAQ105" s="769"/>
      <c r="MAR105" s="769"/>
      <c r="MAS105" s="769"/>
      <c r="MAT105" s="769"/>
      <c r="MAU105" s="769"/>
      <c r="MAV105" s="769"/>
      <c r="MAW105" s="769"/>
      <c r="MAX105" s="769"/>
      <c r="MAY105" s="769"/>
      <c r="MAZ105" s="769"/>
      <c r="MBA105" s="769"/>
      <c r="MBB105" s="769"/>
      <c r="MBC105" s="769"/>
      <c r="MBD105" s="769"/>
      <c r="MBE105" s="769"/>
      <c r="MBF105" s="769"/>
      <c r="MBG105" s="769"/>
      <c r="MBH105" s="769"/>
      <c r="MBI105" s="769"/>
      <c r="MBJ105" s="769"/>
      <c r="MBK105" s="769"/>
      <c r="MBL105" s="769"/>
      <c r="MBM105" s="769"/>
      <c r="MBN105" s="769"/>
      <c r="MBO105" s="769"/>
      <c r="MBP105" s="769"/>
      <c r="MBQ105" s="769"/>
      <c r="MBR105" s="769"/>
      <c r="MBS105" s="769"/>
      <c r="MBT105" s="769"/>
      <c r="MBU105" s="769"/>
      <c r="MBV105" s="769"/>
      <c r="MBW105" s="769"/>
      <c r="MBX105" s="769"/>
      <c r="MBY105" s="769"/>
      <c r="MBZ105" s="769"/>
      <c r="MCA105" s="769"/>
      <c r="MCB105" s="769"/>
      <c r="MCC105" s="769"/>
      <c r="MCD105" s="769"/>
      <c r="MCE105" s="769"/>
      <c r="MCF105" s="769"/>
      <c r="MCG105" s="769"/>
      <c r="MCH105" s="769"/>
      <c r="MCI105" s="769"/>
      <c r="MCJ105" s="769"/>
      <c r="MCK105" s="769"/>
      <c r="MCL105" s="769"/>
      <c r="MCM105" s="769"/>
      <c r="MCN105" s="769"/>
      <c r="MCO105" s="769"/>
      <c r="MCP105" s="769"/>
      <c r="MCQ105" s="769"/>
      <c r="MCR105" s="769"/>
      <c r="MCS105" s="769"/>
      <c r="MCT105" s="769"/>
      <c r="MCU105" s="769"/>
      <c r="MCV105" s="769"/>
      <c r="MCW105" s="769"/>
      <c r="MCX105" s="769"/>
      <c r="MCY105" s="769"/>
      <c r="MCZ105" s="769"/>
      <c r="MDA105" s="769"/>
      <c r="MDB105" s="769"/>
      <c r="MDC105" s="769"/>
      <c r="MDD105" s="769"/>
      <c r="MDE105" s="769"/>
      <c r="MDF105" s="769"/>
      <c r="MDG105" s="769"/>
      <c r="MDH105" s="769"/>
      <c r="MDI105" s="769"/>
      <c r="MDJ105" s="769"/>
      <c r="MDK105" s="769"/>
      <c r="MDL105" s="769"/>
      <c r="MDM105" s="769"/>
      <c r="MDN105" s="769"/>
      <c r="MDO105" s="769"/>
      <c r="MDP105" s="769"/>
      <c r="MDQ105" s="769"/>
      <c r="MDR105" s="769"/>
      <c r="MDS105" s="769"/>
      <c r="MDT105" s="769"/>
      <c r="MDU105" s="769"/>
      <c r="MDV105" s="769"/>
      <c r="MDW105" s="769"/>
      <c r="MDX105" s="769"/>
      <c r="MDY105" s="769"/>
      <c r="MDZ105" s="769"/>
      <c r="MEA105" s="769"/>
      <c r="MEB105" s="769"/>
      <c r="MEC105" s="769"/>
      <c r="MED105" s="769"/>
      <c r="MEE105" s="769"/>
      <c r="MEF105" s="769"/>
      <c r="MEG105" s="769"/>
      <c r="MEH105" s="769"/>
      <c r="MEI105" s="769"/>
      <c r="MEJ105" s="769"/>
      <c r="MEK105" s="769"/>
      <c r="MEL105" s="769"/>
      <c r="MEM105" s="769"/>
      <c r="MEN105" s="769"/>
      <c r="MEO105" s="769"/>
      <c r="MEP105" s="769"/>
      <c r="MEQ105" s="769"/>
      <c r="MER105" s="769"/>
      <c r="MES105" s="769"/>
      <c r="MET105" s="769"/>
      <c r="MEU105" s="769"/>
      <c r="MEV105" s="769"/>
      <c r="MEW105" s="769"/>
      <c r="MEX105" s="769"/>
      <c r="MEY105" s="769"/>
      <c r="MEZ105" s="769"/>
      <c r="MFA105" s="769"/>
      <c r="MFB105" s="769"/>
      <c r="MFC105" s="769"/>
      <c r="MFD105" s="769"/>
      <c r="MFE105" s="769"/>
      <c r="MFF105" s="769"/>
      <c r="MFG105" s="769"/>
      <c r="MFH105" s="769"/>
      <c r="MFI105" s="769"/>
      <c r="MFJ105" s="769"/>
      <c r="MFK105" s="769"/>
      <c r="MFL105" s="769"/>
      <c r="MFM105" s="769"/>
      <c r="MFN105" s="769"/>
      <c r="MFO105" s="769"/>
      <c r="MFP105" s="769"/>
      <c r="MFQ105" s="769"/>
      <c r="MFR105" s="769"/>
      <c r="MFS105" s="769"/>
      <c r="MFT105" s="769"/>
      <c r="MFU105" s="769"/>
      <c r="MFV105" s="769"/>
      <c r="MFW105" s="769"/>
      <c r="MFX105" s="769"/>
      <c r="MFY105" s="769"/>
      <c r="MFZ105" s="769"/>
      <c r="MGA105" s="769"/>
      <c r="MGB105" s="769"/>
      <c r="MGC105" s="769"/>
      <c r="MGD105" s="769"/>
      <c r="MGE105" s="769"/>
      <c r="MGF105" s="769"/>
      <c r="MGG105" s="769"/>
      <c r="MGH105" s="769"/>
      <c r="MGI105" s="769"/>
      <c r="MGJ105" s="769"/>
      <c r="MGK105" s="769"/>
      <c r="MGL105" s="769"/>
      <c r="MGM105" s="769"/>
      <c r="MGN105" s="769"/>
      <c r="MGO105" s="769"/>
      <c r="MGP105" s="769"/>
      <c r="MGQ105" s="769"/>
      <c r="MGR105" s="769"/>
      <c r="MGS105" s="769"/>
      <c r="MGT105" s="769"/>
      <c r="MGU105" s="769"/>
      <c r="MGV105" s="769"/>
      <c r="MGW105" s="769"/>
      <c r="MGX105" s="769"/>
      <c r="MGY105" s="769"/>
      <c r="MGZ105" s="769"/>
      <c r="MHA105" s="769"/>
      <c r="MHB105" s="769"/>
      <c r="MHC105" s="769"/>
      <c r="MHD105" s="769"/>
      <c r="MHE105" s="769"/>
      <c r="MHF105" s="769"/>
      <c r="MHG105" s="769"/>
      <c r="MHH105" s="769"/>
      <c r="MHI105" s="769"/>
      <c r="MHJ105" s="769"/>
      <c r="MHK105" s="769"/>
      <c r="MHL105" s="769"/>
      <c r="MHM105" s="769"/>
      <c r="MHN105" s="769"/>
      <c r="MHO105" s="769"/>
      <c r="MHP105" s="769"/>
      <c r="MHQ105" s="769"/>
      <c r="MHR105" s="769"/>
      <c r="MHS105" s="769"/>
      <c r="MHT105" s="769"/>
      <c r="MHU105" s="769"/>
      <c r="MHV105" s="769"/>
      <c r="MHW105" s="769"/>
      <c r="MHX105" s="769"/>
      <c r="MHY105" s="769"/>
      <c r="MHZ105" s="769"/>
      <c r="MIA105" s="769"/>
      <c r="MIB105" s="769"/>
      <c r="MIC105" s="769"/>
      <c r="MID105" s="769"/>
      <c r="MIE105" s="769"/>
      <c r="MIF105" s="769"/>
      <c r="MIG105" s="769"/>
      <c r="MIH105" s="769"/>
      <c r="MII105" s="769"/>
      <c r="MIJ105" s="769"/>
      <c r="MIK105" s="769"/>
      <c r="MIL105" s="769"/>
      <c r="MIM105" s="769"/>
      <c r="MIN105" s="769"/>
      <c r="MIO105" s="769"/>
      <c r="MIP105" s="769"/>
      <c r="MIQ105" s="769"/>
      <c r="MIR105" s="769"/>
      <c r="MIS105" s="769"/>
      <c r="MIT105" s="769"/>
      <c r="MIU105" s="769"/>
      <c r="MIV105" s="769"/>
      <c r="MIW105" s="769"/>
      <c r="MIX105" s="769"/>
      <c r="MIY105" s="769"/>
      <c r="MIZ105" s="769"/>
      <c r="MJA105" s="769"/>
      <c r="MJB105" s="769"/>
      <c r="MJC105" s="769"/>
      <c r="MJD105" s="769"/>
      <c r="MJE105" s="769"/>
      <c r="MJF105" s="769"/>
      <c r="MJG105" s="769"/>
      <c r="MJH105" s="769"/>
      <c r="MJI105" s="769"/>
      <c r="MJJ105" s="769"/>
      <c r="MJK105" s="769"/>
      <c r="MJL105" s="769"/>
      <c r="MJM105" s="769"/>
      <c r="MJN105" s="769"/>
      <c r="MJO105" s="769"/>
      <c r="MJP105" s="769"/>
      <c r="MJQ105" s="769"/>
      <c r="MJR105" s="769"/>
      <c r="MJS105" s="769"/>
      <c r="MJT105" s="769"/>
      <c r="MJU105" s="769"/>
      <c r="MJV105" s="769"/>
      <c r="MJW105" s="769"/>
      <c r="MJX105" s="769"/>
      <c r="MJY105" s="769"/>
      <c r="MJZ105" s="769"/>
      <c r="MKA105" s="769"/>
      <c r="MKB105" s="769"/>
      <c r="MKC105" s="769"/>
      <c r="MKD105" s="769"/>
      <c r="MKE105" s="769"/>
      <c r="MKF105" s="769"/>
      <c r="MKG105" s="769"/>
      <c r="MKH105" s="769"/>
      <c r="MKI105" s="769"/>
      <c r="MKJ105" s="769"/>
      <c r="MKK105" s="769"/>
      <c r="MKL105" s="769"/>
      <c r="MKM105" s="769"/>
      <c r="MKN105" s="769"/>
      <c r="MKO105" s="769"/>
      <c r="MKP105" s="769"/>
      <c r="MKQ105" s="769"/>
      <c r="MKR105" s="769"/>
      <c r="MKS105" s="769"/>
      <c r="MKT105" s="769"/>
      <c r="MKU105" s="769"/>
      <c r="MKV105" s="769"/>
      <c r="MKW105" s="769"/>
      <c r="MKX105" s="769"/>
      <c r="MKY105" s="769"/>
      <c r="MKZ105" s="769"/>
      <c r="MLA105" s="769"/>
      <c r="MLB105" s="769"/>
      <c r="MLC105" s="769"/>
      <c r="MLD105" s="769"/>
      <c r="MLE105" s="769"/>
      <c r="MLF105" s="769"/>
      <c r="MLG105" s="769"/>
      <c r="MLH105" s="769"/>
      <c r="MLI105" s="769"/>
      <c r="MLJ105" s="769"/>
      <c r="MLK105" s="769"/>
      <c r="MLL105" s="769"/>
      <c r="MLM105" s="769"/>
      <c r="MLN105" s="769"/>
      <c r="MLO105" s="769"/>
      <c r="MLP105" s="769"/>
      <c r="MLQ105" s="769"/>
      <c r="MLR105" s="769"/>
      <c r="MLS105" s="769"/>
      <c r="MLT105" s="769"/>
      <c r="MLU105" s="769"/>
      <c r="MLV105" s="769"/>
      <c r="MLW105" s="769"/>
      <c r="MLX105" s="769"/>
      <c r="MLY105" s="769"/>
      <c r="MLZ105" s="769"/>
      <c r="MMA105" s="769"/>
      <c r="MMB105" s="769"/>
      <c r="MMC105" s="769"/>
      <c r="MMD105" s="769"/>
      <c r="MME105" s="769"/>
      <c r="MMF105" s="769"/>
      <c r="MMG105" s="769"/>
      <c r="MMH105" s="769"/>
      <c r="MMI105" s="769"/>
      <c r="MMJ105" s="769"/>
      <c r="MMK105" s="769"/>
      <c r="MML105" s="769"/>
      <c r="MMM105" s="769"/>
      <c r="MMN105" s="769"/>
      <c r="MMO105" s="769"/>
      <c r="MMP105" s="769"/>
      <c r="MMQ105" s="769"/>
      <c r="MMR105" s="769"/>
      <c r="MMS105" s="769"/>
      <c r="MMT105" s="769"/>
      <c r="MMU105" s="769"/>
      <c r="MMV105" s="769"/>
      <c r="MMW105" s="769"/>
      <c r="MMX105" s="769"/>
      <c r="MMY105" s="769"/>
      <c r="MMZ105" s="769"/>
      <c r="MNA105" s="769"/>
      <c r="MNB105" s="769"/>
      <c r="MNC105" s="769"/>
      <c r="MND105" s="769"/>
      <c r="MNE105" s="769"/>
      <c r="MNF105" s="769"/>
      <c r="MNG105" s="769"/>
      <c r="MNH105" s="769"/>
      <c r="MNI105" s="769"/>
      <c r="MNJ105" s="769"/>
      <c r="MNK105" s="769"/>
      <c r="MNL105" s="769"/>
      <c r="MNM105" s="769"/>
      <c r="MNN105" s="769"/>
      <c r="MNO105" s="769"/>
      <c r="MNP105" s="769"/>
      <c r="MNQ105" s="769"/>
      <c r="MNR105" s="769"/>
      <c r="MNS105" s="769"/>
      <c r="MNT105" s="769"/>
      <c r="MNU105" s="769"/>
      <c r="MNV105" s="769"/>
      <c r="MNW105" s="769"/>
      <c r="MNX105" s="769"/>
      <c r="MNY105" s="769"/>
      <c r="MNZ105" s="769"/>
      <c r="MOA105" s="769"/>
      <c r="MOB105" s="769"/>
      <c r="MOC105" s="769"/>
      <c r="MOD105" s="769"/>
      <c r="MOE105" s="769"/>
      <c r="MOF105" s="769"/>
      <c r="MOG105" s="769"/>
      <c r="MOH105" s="769"/>
      <c r="MOI105" s="769"/>
      <c r="MOJ105" s="769"/>
      <c r="MOK105" s="769"/>
      <c r="MOL105" s="769"/>
      <c r="MOM105" s="769"/>
      <c r="MON105" s="769"/>
      <c r="MOO105" s="769"/>
      <c r="MOP105" s="769"/>
      <c r="MOQ105" s="769"/>
      <c r="MOR105" s="769"/>
      <c r="MOS105" s="769"/>
      <c r="MOT105" s="769"/>
      <c r="MOU105" s="769"/>
      <c r="MOV105" s="769"/>
      <c r="MOW105" s="769"/>
      <c r="MOX105" s="769"/>
      <c r="MOY105" s="769"/>
      <c r="MOZ105" s="769"/>
      <c r="MPA105" s="769"/>
      <c r="MPB105" s="769"/>
      <c r="MPC105" s="769"/>
      <c r="MPD105" s="769"/>
      <c r="MPE105" s="769"/>
      <c r="MPF105" s="769"/>
      <c r="MPG105" s="769"/>
      <c r="MPH105" s="769"/>
      <c r="MPI105" s="769"/>
      <c r="MPJ105" s="769"/>
      <c r="MPK105" s="769"/>
      <c r="MPL105" s="769"/>
      <c r="MPM105" s="769"/>
      <c r="MPN105" s="769"/>
      <c r="MPO105" s="769"/>
      <c r="MPP105" s="769"/>
      <c r="MPQ105" s="769"/>
      <c r="MPR105" s="769"/>
      <c r="MPS105" s="769"/>
      <c r="MPT105" s="769"/>
      <c r="MPU105" s="769"/>
      <c r="MPV105" s="769"/>
      <c r="MPW105" s="769"/>
      <c r="MPX105" s="769"/>
      <c r="MPY105" s="769"/>
      <c r="MPZ105" s="769"/>
      <c r="MQA105" s="769"/>
      <c r="MQB105" s="769"/>
      <c r="MQC105" s="769"/>
      <c r="MQD105" s="769"/>
      <c r="MQE105" s="769"/>
      <c r="MQF105" s="769"/>
      <c r="MQG105" s="769"/>
      <c r="MQH105" s="769"/>
      <c r="MQI105" s="769"/>
      <c r="MQJ105" s="769"/>
      <c r="MQK105" s="769"/>
      <c r="MQL105" s="769"/>
      <c r="MQM105" s="769"/>
      <c r="MQN105" s="769"/>
      <c r="MQO105" s="769"/>
      <c r="MQP105" s="769"/>
      <c r="MQQ105" s="769"/>
      <c r="MQR105" s="769"/>
      <c r="MQS105" s="769"/>
      <c r="MQT105" s="769"/>
      <c r="MQU105" s="769"/>
      <c r="MQV105" s="769"/>
      <c r="MQW105" s="769"/>
      <c r="MQX105" s="769"/>
      <c r="MQY105" s="769"/>
      <c r="MQZ105" s="769"/>
      <c r="MRA105" s="769"/>
      <c r="MRB105" s="769"/>
      <c r="MRC105" s="769"/>
      <c r="MRD105" s="769"/>
      <c r="MRE105" s="769"/>
      <c r="MRF105" s="769"/>
      <c r="MRG105" s="769"/>
      <c r="MRH105" s="769"/>
      <c r="MRI105" s="769"/>
      <c r="MRJ105" s="769"/>
      <c r="MRK105" s="769"/>
      <c r="MRL105" s="769"/>
      <c r="MRM105" s="769"/>
      <c r="MRN105" s="769"/>
      <c r="MRO105" s="769"/>
      <c r="MRP105" s="769"/>
      <c r="MRQ105" s="769"/>
      <c r="MRR105" s="769"/>
      <c r="MRS105" s="769"/>
      <c r="MRT105" s="769"/>
      <c r="MRU105" s="769"/>
      <c r="MRV105" s="769"/>
      <c r="MRW105" s="769"/>
      <c r="MRX105" s="769"/>
      <c r="MRY105" s="769"/>
      <c r="MRZ105" s="769"/>
      <c r="MSA105" s="769"/>
      <c r="MSB105" s="769"/>
      <c r="MSC105" s="769"/>
      <c r="MSD105" s="769"/>
      <c r="MSE105" s="769"/>
      <c r="MSF105" s="769"/>
      <c r="MSG105" s="769"/>
      <c r="MSH105" s="769"/>
      <c r="MSI105" s="769"/>
      <c r="MSJ105" s="769"/>
      <c r="MSK105" s="769"/>
      <c r="MSL105" s="769"/>
      <c r="MSM105" s="769"/>
      <c r="MSN105" s="769"/>
      <c r="MSO105" s="769"/>
      <c r="MSP105" s="769"/>
      <c r="MSQ105" s="769"/>
      <c r="MSR105" s="769"/>
      <c r="MSS105" s="769"/>
      <c r="MST105" s="769"/>
      <c r="MSU105" s="769"/>
      <c r="MSV105" s="769"/>
      <c r="MSW105" s="769"/>
      <c r="MSX105" s="769"/>
      <c r="MSY105" s="769"/>
      <c r="MSZ105" s="769"/>
      <c r="MTA105" s="769"/>
      <c r="MTB105" s="769"/>
      <c r="MTC105" s="769"/>
      <c r="MTD105" s="769"/>
      <c r="MTE105" s="769"/>
      <c r="MTF105" s="769"/>
      <c r="MTG105" s="769"/>
      <c r="MTH105" s="769"/>
      <c r="MTI105" s="769"/>
      <c r="MTJ105" s="769"/>
      <c r="MTK105" s="769"/>
      <c r="MTL105" s="769"/>
      <c r="MTM105" s="769"/>
      <c r="MTN105" s="769"/>
      <c r="MTO105" s="769"/>
      <c r="MTP105" s="769"/>
      <c r="MTQ105" s="769"/>
      <c r="MTR105" s="769"/>
      <c r="MTS105" s="769"/>
      <c r="MTT105" s="769"/>
      <c r="MTU105" s="769"/>
      <c r="MTV105" s="769"/>
      <c r="MTW105" s="769"/>
      <c r="MTX105" s="769"/>
      <c r="MTY105" s="769"/>
      <c r="MTZ105" s="769"/>
      <c r="MUA105" s="769"/>
      <c r="MUB105" s="769"/>
      <c r="MUC105" s="769"/>
      <c r="MUD105" s="769"/>
      <c r="MUE105" s="769"/>
      <c r="MUF105" s="769"/>
      <c r="MUG105" s="769"/>
      <c r="MUH105" s="769"/>
      <c r="MUI105" s="769"/>
      <c r="MUJ105" s="769"/>
      <c r="MUK105" s="769"/>
      <c r="MUL105" s="769"/>
      <c r="MUM105" s="769"/>
      <c r="MUN105" s="769"/>
      <c r="MUO105" s="769"/>
      <c r="MUP105" s="769"/>
      <c r="MUQ105" s="769"/>
      <c r="MUR105" s="769"/>
      <c r="MUS105" s="769"/>
      <c r="MUT105" s="769"/>
      <c r="MUU105" s="769"/>
      <c r="MUV105" s="769"/>
      <c r="MUW105" s="769"/>
      <c r="MUX105" s="769"/>
      <c r="MUY105" s="769"/>
      <c r="MUZ105" s="769"/>
      <c r="MVA105" s="769"/>
      <c r="MVB105" s="769"/>
      <c r="MVC105" s="769"/>
      <c r="MVD105" s="769"/>
      <c r="MVE105" s="769"/>
      <c r="MVF105" s="769"/>
      <c r="MVG105" s="769"/>
      <c r="MVH105" s="769"/>
      <c r="MVI105" s="769"/>
      <c r="MVJ105" s="769"/>
      <c r="MVK105" s="769"/>
      <c r="MVL105" s="769"/>
      <c r="MVM105" s="769"/>
      <c r="MVN105" s="769"/>
      <c r="MVO105" s="769"/>
      <c r="MVP105" s="769"/>
      <c r="MVQ105" s="769"/>
      <c r="MVR105" s="769"/>
      <c r="MVS105" s="769"/>
      <c r="MVT105" s="769"/>
      <c r="MVU105" s="769"/>
      <c r="MVV105" s="769"/>
      <c r="MVW105" s="769"/>
      <c r="MVX105" s="769"/>
      <c r="MVY105" s="769"/>
      <c r="MVZ105" s="769"/>
      <c r="MWA105" s="769"/>
      <c r="MWB105" s="769"/>
      <c r="MWC105" s="769"/>
      <c r="MWD105" s="769"/>
      <c r="MWE105" s="769"/>
      <c r="MWF105" s="769"/>
      <c r="MWG105" s="769"/>
      <c r="MWH105" s="769"/>
      <c r="MWI105" s="769"/>
      <c r="MWJ105" s="769"/>
      <c r="MWK105" s="769"/>
      <c r="MWL105" s="769"/>
      <c r="MWM105" s="769"/>
      <c r="MWN105" s="769"/>
      <c r="MWO105" s="769"/>
      <c r="MWP105" s="769"/>
      <c r="MWQ105" s="769"/>
      <c r="MWR105" s="769"/>
      <c r="MWS105" s="769"/>
      <c r="MWT105" s="769"/>
      <c r="MWU105" s="769"/>
      <c r="MWV105" s="769"/>
      <c r="MWW105" s="769"/>
      <c r="MWX105" s="769"/>
      <c r="MWY105" s="769"/>
      <c r="MWZ105" s="769"/>
      <c r="MXA105" s="769"/>
      <c r="MXB105" s="769"/>
      <c r="MXC105" s="769"/>
      <c r="MXD105" s="769"/>
      <c r="MXE105" s="769"/>
      <c r="MXF105" s="769"/>
      <c r="MXG105" s="769"/>
      <c r="MXH105" s="769"/>
      <c r="MXI105" s="769"/>
      <c r="MXJ105" s="769"/>
      <c r="MXK105" s="769"/>
      <c r="MXL105" s="769"/>
      <c r="MXM105" s="769"/>
      <c r="MXN105" s="769"/>
      <c r="MXO105" s="769"/>
      <c r="MXP105" s="769"/>
      <c r="MXQ105" s="769"/>
      <c r="MXR105" s="769"/>
      <c r="MXS105" s="769"/>
      <c r="MXT105" s="769"/>
      <c r="MXU105" s="769"/>
      <c r="MXV105" s="769"/>
      <c r="MXW105" s="769"/>
      <c r="MXX105" s="769"/>
      <c r="MXY105" s="769"/>
      <c r="MXZ105" s="769"/>
      <c r="MYA105" s="769"/>
      <c r="MYB105" s="769"/>
      <c r="MYC105" s="769"/>
      <c r="MYD105" s="769"/>
      <c r="MYE105" s="769"/>
      <c r="MYF105" s="769"/>
      <c r="MYG105" s="769"/>
      <c r="MYH105" s="769"/>
      <c r="MYI105" s="769"/>
      <c r="MYJ105" s="769"/>
      <c r="MYK105" s="769"/>
      <c r="MYL105" s="769"/>
      <c r="MYM105" s="769"/>
      <c r="MYN105" s="769"/>
      <c r="MYO105" s="769"/>
      <c r="MYP105" s="769"/>
      <c r="MYQ105" s="769"/>
      <c r="MYR105" s="769"/>
      <c r="MYS105" s="769"/>
      <c r="MYT105" s="769"/>
      <c r="MYU105" s="769"/>
      <c r="MYV105" s="769"/>
      <c r="MYW105" s="769"/>
      <c r="MYX105" s="769"/>
      <c r="MYY105" s="769"/>
      <c r="MYZ105" s="769"/>
      <c r="MZA105" s="769"/>
      <c r="MZB105" s="769"/>
      <c r="MZC105" s="769"/>
      <c r="MZD105" s="769"/>
      <c r="MZE105" s="769"/>
      <c r="MZF105" s="769"/>
      <c r="MZG105" s="769"/>
      <c r="MZH105" s="769"/>
      <c r="MZI105" s="769"/>
      <c r="MZJ105" s="769"/>
      <c r="MZK105" s="769"/>
      <c r="MZL105" s="769"/>
      <c r="MZM105" s="769"/>
      <c r="MZN105" s="769"/>
      <c r="MZO105" s="769"/>
      <c r="MZP105" s="769"/>
      <c r="MZQ105" s="769"/>
      <c r="MZR105" s="769"/>
      <c r="MZS105" s="769"/>
      <c r="MZT105" s="769"/>
      <c r="MZU105" s="769"/>
      <c r="MZV105" s="769"/>
      <c r="MZW105" s="769"/>
      <c r="MZX105" s="769"/>
      <c r="MZY105" s="769"/>
      <c r="MZZ105" s="769"/>
      <c r="NAA105" s="769"/>
      <c r="NAB105" s="769"/>
      <c r="NAC105" s="769"/>
      <c r="NAD105" s="769"/>
      <c r="NAE105" s="769"/>
      <c r="NAF105" s="769"/>
      <c r="NAG105" s="769"/>
      <c r="NAH105" s="769"/>
      <c r="NAI105" s="769"/>
      <c r="NAJ105" s="769"/>
      <c r="NAK105" s="769"/>
      <c r="NAL105" s="769"/>
      <c r="NAM105" s="769"/>
      <c r="NAN105" s="769"/>
      <c r="NAO105" s="769"/>
      <c r="NAP105" s="769"/>
      <c r="NAQ105" s="769"/>
      <c r="NAR105" s="769"/>
      <c r="NAS105" s="769"/>
      <c r="NAT105" s="769"/>
      <c r="NAU105" s="769"/>
      <c r="NAV105" s="769"/>
      <c r="NAW105" s="769"/>
      <c r="NAX105" s="769"/>
      <c r="NAY105" s="769"/>
      <c r="NAZ105" s="769"/>
      <c r="NBA105" s="769"/>
      <c r="NBB105" s="769"/>
      <c r="NBC105" s="769"/>
      <c r="NBD105" s="769"/>
      <c r="NBE105" s="769"/>
      <c r="NBF105" s="769"/>
      <c r="NBG105" s="769"/>
      <c r="NBH105" s="769"/>
      <c r="NBI105" s="769"/>
      <c r="NBJ105" s="769"/>
      <c r="NBK105" s="769"/>
      <c r="NBL105" s="769"/>
      <c r="NBM105" s="769"/>
      <c r="NBN105" s="769"/>
      <c r="NBO105" s="769"/>
      <c r="NBP105" s="769"/>
      <c r="NBQ105" s="769"/>
      <c r="NBR105" s="769"/>
      <c r="NBS105" s="769"/>
      <c r="NBT105" s="769"/>
      <c r="NBU105" s="769"/>
      <c r="NBV105" s="769"/>
      <c r="NBW105" s="769"/>
      <c r="NBX105" s="769"/>
      <c r="NBY105" s="769"/>
      <c r="NBZ105" s="769"/>
      <c r="NCA105" s="769"/>
      <c r="NCB105" s="769"/>
      <c r="NCC105" s="769"/>
      <c r="NCD105" s="769"/>
      <c r="NCE105" s="769"/>
      <c r="NCF105" s="769"/>
      <c r="NCG105" s="769"/>
      <c r="NCH105" s="769"/>
      <c r="NCI105" s="769"/>
      <c r="NCJ105" s="769"/>
      <c r="NCK105" s="769"/>
      <c r="NCL105" s="769"/>
      <c r="NCM105" s="769"/>
      <c r="NCN105" s="769"/>
      <c r="NCO105" s="769"/>
      <c r="NCP105" s="769"/>
      <c r="NCQ105" s="769"/>
      <c r="NCR105" s="769"/>
      <c r="NCS105" s="769"/>
      <c r="NCT105" s="769"/>
      <c r="NCU105" s="769"/>
      <c r="NCV105" s="769"/>
      <c r="NCW105" s="769"/>
      <c r="NCX105" s="769"/>
      <c r="NCY105" s="769"/>
      <c r="NCZ105" s="769"/>
      <c r="NDA105" s="769"/>
      <c r="NDB105" s="769"/>
      <c r="NDC105" s="769"/>
      <c r="NDD105" s="769"/>
      <c r="NDE105" s="769"/>
      <c r="NDF105" s="769"/>
      <c r="NDG105" s="769"/>
      <c r="NDH105" s="769"/>
      <c r="NDI105" s="769"/>
      <c r="NDJ105" s="769"/>
      <c r="NDK105" s="769"/>
      <c r="NDL105" s="769"/>
      <c r="NDM105" s="769"/>
      <c r="NDN105" s="769"/>
      <c r="NDO105" s="769"/>
      <c r="NDP105" s="769"/>
      <c r="NDQ105" s="769"/>
      <c r="NDR105" s="769"/>
      <c r="NDS105" s="769"/>
      <c r="NDT105" s="769"/>
      <c r="NDU105" s="769"/>
      <c r="NDV105" s="769"/>
      <c r="NDW105" s="769"/>
      <c r="NDX105" s="769"/>
      <c r="NDY105" s="769"/>
      <c r="NDZ105" s="769"/>
      <c r="NEA105" s="769"/>
      <c r="NEB105" s="769"/>
      <c r="NEC105" s="769"/>
      <c r="NED105" s="769"/>
      <c r="NEE105" s="769"/>
      <c r="NEF105" s="769"/>
      <c r="NEG105" s="769"/>
      <c r="NEH105" s="769"/>
      <c r="NEI105" s="769"/>
      <c r="NEJ105" s="769"/>
      <c r="NEK105" s="769"/>
      <c r="NEL105" s="769"/>
      <c r="NEM105" s="769"/>
      <c r="NEN105" s="769"/>
      <c r="NEO105" s="769"/>
      <c r="NEP105" s="769"/>
      <c r="NEQ105" s="769"/>
      <c r="NER105" s="769"/>
      <c r="NES105" s="769"/>
      <c r="NET105" s="769"/>
      <c r="NEU105" s="769"/>
      <c r="NEV105" s="769"/>
      <c r="NEW105" s="769"/>
      <c r="NEX105" s="769"/>
      <c r="NEY105" s="769"/>
      <c r="NEZ105" s="769"/>
      <c r="NFA105" s="769"/>
      <c r="NFB105" s="769"/>
      <c r="NFC105" s="769"/>
      <c r="NFD105" s="769"/>
      <c r="NFE105" s="769"/>
      <c r="NFF105" s="769"/>
      <c r="NFG105" s="769"/>
      <c r="NFH105" s="769"/>
      <c r="NFI105" s="769"/>
      <c r="NFJ105" s="769"/>
      <c r="NFK105" s="769"/>
      <c r="NFL105" s="769"/>
      <c r="NFM105" s="769"/>
      <c r="NFN105" s="769"/>
      <c r="NFO105" s="769"/>
      <c r="NFP105" s="769"/>
      <c r="NFQ105" s="769"/>
      <c r="NFR105" s="769"/>
      <c r="NFS105" s="769"/>
      <c r="NFT105" s="769"/>
      <c r="NFU105" s="769"/>
      <c r="NFV105" s="769"/>
      <c r="NFW105" s="769"/>
      <c r="NFX105" s="769"/>
      <c r="NFY105" s="769"/>
      <c r="NFZ105" s="769"/>
      <c r="NGA105" s="769"/>
      <c r="NGB105" s="769"/>
      <c r="NGC105" s="769"/>
      <c r="NGD105" s="769"/>
      <c r="NGE105" s="769"/>
      <c r="NGF105" s="769"/>
      <c r="NGG105" s="769"/>
      <c r="NGH105" s="769"/>
      <c r="NGI105" s="769"/>
      <c r="NGJ105" s="769"/>
      <c r="NGK105" s="769"/>
      <c r="NGL105" s="769"/>
      <c r="NGM105" s="769"/>
      <c r="NGN105" s="769"/>
      <c r="NGO105" s="769"/>
      <c r="NGP105" s="769"/>
      <c r="NGQ105" s="769"/>
      <c r="NGR105" s="769"/>
      <c r="NGS105" s="769"/>
      <c r="NGT105" s="769"/>
      <c r="NGU105" s="769"/>
      <c r="NGV105" s="769"/>
      <c r="NGW105" s="769"/>
      <c r="NGX105" s="769"/>
      <c r="NGY105" s="769"/>
      <c r="NGZ105" s="769"/>
      <c r="NHA105" s="769"/>
      <c r="NHB105" s="769"/>
      <c r="NHC105" s="769"/>
      <c r="NHD105" s="769"/>
      <c r="NHE105" s="769"/>
      <c r="NHF105" s="769"/>
      <c r="NHG105" s="769"/>
      <c r="NHH105" s="769"/>
      <c r="NHI105" s="769"/>
      <c r="NHJ105" s="769"/>
      <c r="NHK105" s="769"/>
      <c r="NHL105" s="769"/>
      <c r="NHM105" s="769"/>
      <c r="NHN105" s="769"/>
      <c r="NHO105" s="769"/>
      <c r="NHP105" s="769"/>
      <c r="NHQ105" s="769"/>
      <c r="NHR105" s="769"/>
      <c r="NHS105" s="769"/>
      <c r="NHT105" s="769"/>
      <c r="NHU105" s="769"/>
      <c r="NHV105" s="769"/>
      <c r="NHW105" s="769"/>
      <c r="NHX105" s="769"/>
      <c r="NHY105" s="769"/>
      <c r="NHZ105" s="769"/>
      <c r="NIA105" s="769"/>
      <c r="NIB105" s="769"/>
      <c r="NIC105" s="769"/>
      <c r="NID105" s="769"/>
      <c r="NIE105" s="769"/>
      <c r="NIF105" s="769"/>
      <c r="NIG105" s="769"/>
      <c r="NIH105" s="769"/>
      <c r="NII105" s="769"/>
      <c r="NIJ105" s="769"/>
      <c r="NIK105" s="769"/>
      <c r="NIL105" s="769"/>
      <c r="NIM105" s="769"/>
      <c r="NIN105" s="769"/>
      <c r="NIO105" s="769"/>
      <c r="NIP105" s="769"/>
      <c r="NIQ105" s="769"/>
      <c r="NIR105" s="769"/>
      <c r="NIS105" s="769"/>
      <c r="NIT105" s="769"/>
      <c r="NIU105" s="769"/>
      <c r="NIV105" s="769"/>
      <c r="NIW105" s="769"/>
      <c r="NIX105" s="769"/>
      <c r="NIY105" s="769"/>
      <c r="NIZ105" s="769"/>
      <c r="NJA105" s="769"/>
      <c r="NJB105" s="769"/>
      <c r="NJC105" s="769"/>
      <c r="NJD105" s="769"/>
      <c r="NJE105" s="769"/>
      <c r="NJF105" s="769"/>
      <c r="NJG105" s="769"/>
      <c r="NJH105" s="769"/>
      <c r="NJI105" s="769"/>
      <c r="NJJ105" s="769"/>
      <c r="NJK105" s="769"/>
      <c r="NJL105" s="769"/>
      <c r="NJM105" s="769"/>
      <c r="NJN105" s="769"/>
      <c r="NJO105" s="769"/>
      <c r="NJP105" s="769"/>
      <c r="NJQ105" s="769"/>
      <c r="NJR105" s="769"/>
      <c r="NJS105" s="769"/>
      <c r="NJT105" s="769"/>
      <c r="NJU105" s="769"/>
      <c r="NJV105" s="769"/>
      <c r="NJW105" s="769"/>
      <c r="NJX105" s="769"/>
      <c r="NJY105" s="769"/>
      <c r="NJZ105" s="769"/>
      <c r="NKA105" s="769"/>
      <c r="NKB105" s="769"/>
      <c r="NKC105" s="769"/>
      <c r="NKD105" s="769"/>
      <c r="NKE105" s="769"/>
      <c r="NKF105" s="769"/>
      <c r="NKG105" s="769"/>
      <c r="NKH105" s="769"/>
      <c r="NKI105" s="769"/>
      <c r="NKJ105" s="769"/>
      <c r="NKK105" s="769"/>
      <c r="NKL105" s="769"/>
      <c r="NKM105" s="769"/>
      <c r="NKN105" s="769"/>
      <c r="NKO105" s="769"/>
      <c r="NKP105" s="769"/>
      <c r="NKQ105" s="769"/>
      <c r="NKR105" s="769"/>
      <c r="NKS105" s="769"/>
      <c r="NKT105" s="769"/>
      <c r="NKU105" s="769"/>
      <c r="NKV105" s="769"/>
      <c r="NKW105" s="769"/>
      <c r="NKX105" s="769"/>
      <c r="NKY105" s="769"/>
      <c r="NKZ105" s="769"/>
      <c r="NLA105" s="769"/>
      <c r="NLB105" s="769"/>
      <c r="NLC105" s="769"/>
      <c r="NLD105" s="769"/>
      <c r="NLE105" s="769"/>
      <c r="NLF105" s="769"/>
      <c r="NLG105" s="769"/>
      <c r="NLH105" s="769"/>
      <c r="NLI105" s="769"/>
      <c r="NLJ105" s="769"/>
      <c r="NLK105" s="769"/>
      <c r="NLL105" s="769"/>
      <c r="NLM105" s="769"/>
      <c r="NLN105" s="769"/>
      <c r="NLO105" s="769"/>
      <c r="NLP105" s="769"/>
      <c r="NLQ105" s="769"/>
      <c r="NLR105" s="769"/>
      <c r="NLS105" s="769"/>
      <c r="NLT105" s="769"/>
      <c r="NLU105" s="769"/>
      <c r="NLV105" s="769"/>
      <c r="NLW105" s="769"/>
      <c r="NLX105" s="769"/>
      <c r="NLY105" s="769"/>
      <c r="NLZ105" s="769"/>
      <c r="NMA105" s="769"/>
      <c r="NMB105" s="769"/>
      <c r="NMC105" s="769"/>
      <c r="NMD105" s="769"/>
      <c r="NME105" s="769"/>
      <c r="NMF105" s="769"/>
      <c r="NMG105" s="769"/>
      <c r="NMH105" s="769"/>
      <c r="NMI105" s="769"/>
      <c r="NMJ105" s="769"/>
      <c r="NMK105" s="769"/>
      <c r="NML105" s="769"/>
      <c r="NMM105" s="769"/>
      <c r="NMN105" s="769"/>
      <c r="NMO105" s="769"/>
      <c r="NMP105" s="769"/>
      <c r="NMQ105" s="769"/>
      <c r="NMR105" s="769"/>
      <c r="NMS105" s="769"/>
      <c r="NMT105" s="769"/>
      <c r="NMU105" s="769"/>
      <c r="NMV105" s="769"/>
      <c r="NMW105" s="769"/>
      <c r="NMX105" s="769"/>
      <c r="NMY105" s="769"/>
      <c r="NMZ105" s="769"/>
      <c r="NNA105" s="769"/>
      <c r="NNB105" s="769"/>
      <c r="NNC105" s="769"/>
      <c r="NND105" s="769"/>
      <c r="NNE105" s="769"/>
      <c r="NNF105" s="769"/>
      <c r="NNG105" s="769"/>
      <c r="NNH105" s="769"/>
      <c r="NNI105" s="769"/>
      <c r="NNJ105" s="769"/>
      <c r="NNK105" s="769"/>
      <c r="NNL105" s="769"/>
      <c r="NNM105" s="769"/>
      <c r="NNN105" s="769"/>
      <c r="NNO105" s="769"/>
      <c r="NNP105" s="769"/>
      <c r="NNQ105" s="769"/>
      <c r="NNR105" s="769"/>
      <c r="NNS105" s="769"/>
      <c r="NNT105" s="769"/>
      <c r="NNU105" s="769"/>
      <c r="NNV105" s="769"/>
      <c r="NNW105" s="769"/>
      <c r="NNX105" s="769"/>
      <c r="NNY105" s="769"/>
      <c r="NNZ105" s="769"/>
      <c r="NOA105" s="769"/>
      <c r="NOB105" s="769"/>
      <c r="NOC105" s="769"/>
      <c r="NOD105" s="769"/>
      <c r="NOE105" s="769"/>
      <c r="NOF105" s="769"/>
      <c r="NOG105" s="769"/>
      <c r="NOH105" s="769"/>
      <c r="NOI105" s="769"/>
      <c r="NOJ105" s="769"/>
      <c r="NOK105" s="769"/>
      <c r="NOL105" s="769"/>
      <c r="NOM105" s="769"/>
      <c r="NON105" s="769"/>
      <c r="NOO105" s="769"/>
      <c r="NOP105" s="769"/>
      <c r="NOQ105" s="769"/>
      <c r="NOR105" s="769"/>
      <c r="NOS105" s="769"/>
      <c r="NOT105" s="769"/>
      <c r="NOU105" s="769"/>
      <c r="NOV105" s="769"/>
      <c r="NOW105" s="769"/>
      <c r="NOX105" s="769"/>
      <c r="NOY105" s="769"/>
      <c r="NOZ105" s="769"/>
      <c r="NPA105" s="769"/>
      <c r="NPB105" s="769"/>
      <c r="NPC105" s="769"/>
      <c r="NPD105" s="769"/>
      <c r="NPE105" s="769"/>
      <c r="NPF105" s="769"/>
      <c r="NPG105" s="769"/>
      <c r="NPH105" s="769"/>
      <c r="NPI105" s="769"/>
      <c r="NPJ105" s="769"/>
      <c r="NPK105" s="769"/>
      <c r="NPL105" s="769"/>
      <c r="NPM105" s="769"/>
      <c r="NPN105" s="769"/>
      <c r="NPO105" s="769"/>
      <c r="NPP105" s="769"/>
      <c r="NPQ105" s="769"/>
      <c r="NPR105" s="769"/>
      <c r="NPS105" s="769"/>
      <c r="NPT105" s="769"/>
      <c r="NPU105" s="769"/>
      <c r="NPV105" s="769"/>
      <c r="NPW105" s="769"/>
      <c r="NPX105" s="769"/>
      <c r="NPY105" s="769"/>
      <c r="NPZ105" s="769"/>
      <c r="NQA105" s="769"/>
      <c r="NQB105" s="769"/>
      <c r="NQC105" s="769"/>
      <c r="NQD105" s="769"/>
      <c r="NQE105" s="769"/>
      <c r="NQF105" s="769"/>
      <c r="NQG105" s="769"/>
      <c r="NQH105" s="769"/>
      <c r="NQI105" s="769"/>
      <c r="NQJ105" s="769"/>
      <c r="NQK105" s="769"/>
      <c r="NQL105" s="769"/>
      <c r="NQM105" s="769"/>
      <c r="NQN105" s="769"/>
      <c r="NQO105" s="769"/>
      <c r="NQP105" s="769"/>
      <c r="NQQ105" s="769"/>
      <c r="NQR105" s="769"/>
      <c r="NQS105" s="769"/>
      <c r="NQT105" s="769"/>
      <c r="NQU105" s="769"/>
      <c r="NQV105" s="769"/>
      <c r="NQW105" s="769"/>
      <c r="NQX105" s="769"/>
      <c r="NQY105" s="769"/>
      <c r="NQZ105" s="769"/>
      <c r="NRA105" s="769"/>
      <c r="NRB105" s="769"/>
      <c r="NRC105" s="769"/>
      <c r="NRD105" s="769"/>
      <c r="NRE105" s="769"/>
      <c r="NRF105" s="769"/>
      <c r="NRG105" s="769"/>
      <c r="NRH105" s="769"/>
      <c r="NRI105" s="769"/>
      <c r="NRJ105" s="769"/>
      <c r="NRK105" s="769"/>
      <c r="NRL105" s="769"/>
      <c r="NRM105" s="769"/>
      <c r="NRN105" s="769"/>
      <c r="NRO105" s="769"/>
      <c r="NRP105" s="769"/>
      <c r="NRQ105" s="769"/>
      <c r="NRR105" s="769"/>
      <c r="NRS105" s="769"/>
      <c r="NRT105" s="769"/>
      <c r="NRU105" s="769"/>
      <c r="NRV105" s="769"/>
      <c r="NRW105" s="769"/>
      <c r="NRX105" s="769"/>
      <c r="NRY105" s="769"/>
      <c r="NRZ105" s="769"/>
      <c r="NSA105" s="769"/>
      <c r="NSB105" s="769"/>
      <c r="NSC105" s="769"/>
      <c r="NSD105" s="769"/>
      <c r="NSE105" s="769"/>
      <c r="NSF105" s="769"/>
      <c r="NSG105" s="769"/>
      <c r="NSH105" s="769"/>
      <c r="NSI105" s="769"/>
      <c r="NSJ105" s="769"/>
      <c r="NSK105" s="769"/>
      <c r="NSL105" s="769"/>
      <c r="NSM105" s="769"/>
      <c r="NSN105" s="769"/>
      <c r="NSO105" s="769"/>
      <c r="NSP105" s="769"/>
      <c r="NSQ105" s="769"/>
      <c r="NSR105" s="769"/>
      <c r="NSS105" s="769"/>
      <c r="NST105" s="769"/>
      <c r="NSU105" s="769"/>
      <c r="NSV105" s="769"/>
      <c r="NSW105" s="769"/>
      <c r="NSX105" s="769"/>
      <c r="NSY105" s="769"/>
      <c r="NSZ105" s="769"/>
      <c r="NTA105" s="769"/>
      <c r="NTB105" s="769"/>
      <c r="NTC105" s="769"/>
      <c r="NTD105" s="769"/>
      <c r="NTE105" s="769"/>
      <c r="NTF105" s="769"/>
      <c r="NTG105" s="769"/>
      <c r="NTH105" s="769"/>
      <c r="NTI105" s="769"/>
      <c r="NTJ105" s="769"/>
      <c r="NTK105" s="769"/>
      <c r="NTL105" s="769"/>
      <c r="NTM105" s="769"/>
      <c r="NTN105" s="769"/>
      <c r="NTO105" s="769"/>
      <c r="NTP105" s="769"/>
      <c r="NTQ105" s="769"/>
      <c r="NTR105" s="769"/>
      <c r="NTS105" s="769"/>
      <c r="NTT105" s="769"/>
      <c r="NTU105" s="769"/>
      <c r="NTV105" s="769"/>
      <c r="NTW105" s="769"/>
      <c r="NTX105" s="769"/>
      <c r="NTY105" s="769"/>
      <c r="NTZ105" s="769"/>
      <c r="NUA105" s="769"/>
      <c r="NUB105" s="769"/>
      <c r="NUC105" s="769"/>
      <c r="NUD105" s="769"/>
      <c r="NUE105" s="769"/>
      <c r="NUF105" s="769"/>
      <c r="NUG105" s="769"/>
      <c r="NUH105" s="769"/>
      <c r="NUI105" s="769"/>
      <c r="NUJ105" s="769"/>
      <c r="NUK105" s="769"/>
      <c r="NUL105" s="769"/>
      <c r="NUM105" s="769"/>
      <c r="NUN105" s="769"/>
      <c r="NUO105" s="769"/>
      <c r="NUP105" s="769"/>
      <c r="NUQ105" s="769"/>
      <c r="NUR105" s="769"/>
      <c r="NUS105" s="769"/>
      <c r="NUT105" s="769"/>
      <c r="NUU105" s="769"/>
      <c r="NUV105" s="769"/>
      <c r="NUW105" s="769"/>
      <c r="NUX105" s="769"/>
      <c r="NUY105" s="769"/>
      <c r="NUZ105" s="769"/>
      <c r="NVA105" s="769"/>
      <c r="NVB105" s="769"/>
      <c r="NVC105" s="769"/>
      <c r="NVD105" s="769"/>
      <c r="NVE105" s="769"/>
      <c r="NVF105" s="769"/>
      <c r="NVG105" s="769"/>
      <c r="NVH105" s="769"/>
      <c r="NVI105" s="769"/>
      <c r="NVJ105" s="769"/>
      <c r="NVK105" s="769"/>
      <c r="NVL105" s="769"/>
      <c r="NVM105" s="769"/>
      <c r="NVN105" s="769"/>
      <c r="NVO105" s="769"/>
      <c r="NVP105" s="769"/>
      <c r="NVQ105" s="769"/>
      <c r="NVR105" s="769"/>
      <c r="NVS105" s="769"/>
      <c r="NVT105" s="769"/>
      <c r="NVU105" s="769"/>
      <c r="NVV105" s="769"/>
      <c r="NVW105" s="769"/>
      <c r="NVX105" s="769"/>
      <c r="NVY105" s="769"/>
      <c r="NVZ105" s="769"/>
      <c r="NWA105" s="769"/>
      <c r="NWB105" s="769"/>
      <c r="NWC105" s="769"/>
      <c r="NWD105" s="769"/>
      <c r="NWE105" s="769"/>
      <c r="NWF105" s="769"/>
      <c r="NWG105" s="769"/>
      <c r="NWH105" s="769"/>
      <c r="NWI105" s="769"/>
      <c r="NWJ105" s="769"/>
      <c r="NWK105" s="769"/>
      <c r="NWL105" s="769"/>
      <c r="NWM105" s="769"/>
      <c r="NWN105" s="769"/>
      <c r="NWO105" s="769"/>
      <c r="NWP105" s="769"/>
      <c r="NWQ105" s="769"/>
      <c r="NWR105" s="769"/>
      <c r="NWS105" s="769"/>
      <c r="NWT105" s="769"/>
      <c r="NWU105" s="769"/>
      <c r="NWV105" s="769"/>
      <c r="NWW105" s="769"/>
      <c r="NWX105" s="769"/>
      <c r="NWY105" s="769"/>
      <c r="NWZ105" s="769"/>
      <c r="NXA105" s="769"/>
      <c r="NXB105" s="769"/>
      <c r="NXC105" s="769"/>
      <c r="NXD105" s="769"/>
      <c r="NXE105" s="769"/>
      <c r="NXF105" s="769"/>
      <c r="NXG105" s="769"/>
      <c r="NXH105" s="769"/>
      <c r="NXI105" s="769"/>
      <c r="NXJ105" s="769"/>
      <c r="NXK105" s="769"/>
      <c r="NXL105" s="769"/>
      <c r="NXM105" s="769"/>
      <c r="NXN105" s="769"/>
      <c r="NXO105" s="769"/>
      <c r="NXP105" s="769"/>
      <c r="NXQ105" s="769"/>
      <c r="NXR105" s="769"/>
      <c r="NXS105" s="769"/>
      <c r="NXT105" s="769"/>
      <c r="NXU105" s="769"/>
      <c r="NXV105" s="769"/>
      <c r="NXW105" s="769"/>
      <c r="NXX105" s="769"/>
      <c r="NXY105" s="769"/>
      <c r="NXZ105" s="769"/>
      <c r="NYA105" s="769"/>
      <c r="NYB105" s="769"/>
      <c r="NYC105" s="769"/>
      <c r="NYD105" s="769"/>
      <c r="NYE105" s="769"/>
      <c r="NYF105" s="769"/>
      <c r="NYG105" s="769"/>
      <c r="NYH105" s="769"/>
      <c r="NYI105" s="769"/>
      <c r="NYJ105" s="769"/>
      <c r="NYK105" s="769"/>
      <c r="NYL105" s="769"/>
      <c r="NYM105" s="769"/>
      <c r="NYN105" s="769"/>
      <c r="NYO105" s="769"/>
      <c r="NYP105" s="769"/>
      <c r="NYQ105" s="769"/>
      <c r="NYR105" s="769"/>
      <c r="NYS105" s="769"/>
      <c r="NYT105" s="769"/>
      <c r="NYU105" s="769"/>
      <c r="NYV105" s="769"/>
      <c r="NYW105" s="769"/>
      <c r="NYX105" s="769"/>
      <c r="NYY105" s="769"/>
      <c r="NYZ105" s="769"/>
      <c r="NZA105" s="769"/>
      <c r="NZB105" s="769"/>
      <c r="NZC105" s="769"/>
      <c r="NZD105" s="769"/>
      <c r="NZE105" s="769"/>
      <c r="NZF105" s="769"/>
      <c r="NZG105" s="769"/>
      <c r="NZH105" s="769"/>
      <c r="NZI105" s="769"/>
      <c r="NZJ105" s="769"/>
      <c r="NZK105" s="769"/>
      <c r="NZL105" s="769"/>
      <c r="NZM105" s="769"/>
      <c r="NZN105" s="769"/>
      <c r="NZO105" s="769"/>
      <c r="NZP105" s="769"/>
      <c r="NZQ105" s="769"/>
      <c r="NZR105" s="769"/>
      <c r="NZS105" s="769"/>
      <c r="NZT105" s="769"/>
      <c r="NZU105" s="769"/>
      <c r="NZV105" s="769"/>
      <c r="NZW105" s="769"/>
      <c r="NZX105" s="769"/>
      <c r="NZY105" s="769"/>
      <c r="NZZ105" s="769"/>
      <c r="OAA105" s="769"/>
      <c r="OAB105" s="769"/>
      <c r="OAC105" s="769"/>
      <c r="OAD105" s="769"/>
      <c r="OAE105" s="769"/>
      <c r="OAF105" s="769"/>
      <c r="OAG105" s="769"/>
      <c r="OAH105" s="769"/>
      <c r="OAI105" s="769"/>
      <c r="OAJ105" s="769"/>
      <c r="OAK105" s="769"/>
      <c r="OAL105" s="769"/>
      <c r="OAM105" s="769"/>
      <c r="OAN105" s="769"/>
      <c r="OAO105" s="769"/>
      <c r="OAP105" s="769"/>
      <c r="OAQ105" s="769"/>
      <c r="OAR105" s="769"/>
      <c r="OAS105" s="769"/>
      <c r="OAT105" s="769"/>
      <c r="OAU105" s="769"/>
      <c r="OAV105" s="769"/>
      <c r="OAW105" s="769"/>
      <c r="OAX105" s="769"/>
      <c r="OAY105" s="769"/>
      <c r="OAZ105" s="769"/>
      <c r="OBA105" s="769"/>
      <c r="OBB105" s="769"/>
      <c r="OBC105" s="769"/>
      <c r="OBD105" s="769"/>
      <c r="OBE105" s="769"/>
      <c r="OBF105" s="769"/>
      <c r="OBG105" s="769"/>
      <c r="OBH105" s="769"/>
      <c r="OBI105" s="769"/>
      <c r="OBJ105" s="769"/>
      <c r="OBK105" s="769"/>
      <c r="OBL105" s="769"/>
      <c r="OBM105" s="769"/>
      <c r="OBN105" s="769"/>
      <c r="OBO105" s="769"/>
      <c r="OBP105" s="769"/>
      <c r="OBQ105" s="769"/>
      <c r="OBR105" s="769"/>
      <c r="OBS105" s="769"/>
      <c r="OBT105" s="769"/>
      <c r="OBU105" s="769"/>
      <c r="OBV105" s="769"/>
      <c r="OBW105" s="769"/>
      <c r="OBX105" s="769"/>
      <c r="OBY105" s="769"/>
      <c r="OBZ105" s="769"/>
      <c r="OCA105" s="769"/>
      <c r="OCB105" s="769"/>
      <c r="OCC105" s="769"/>
      <c r="OCD105" s="769"/>
      <c r="OCE105" s="769"/>
      <c r="OCF105" s="769"/>
      <c r="OCG105" s="769"/>
      <c r="OCH105" s="769"/>
      <c r="OCI105" s="769"/>
      <c r="OCJ105" s="769"/>
      <c r="OCK105" s="769"/>
      <c r="OCL105" s="769"/>
      <c r="OCM105" s="769"/>
      <c r="OCN105" s="769"/>
      <c r="OCO105" s="769"/>
      <c r="OCP105" s="769"/>
      <c r="OCQ105" s="769"/>
      <c r="OCR105" s="769"/>
      <c r="OCS105" s="769"/>
      <c r="OCT105" s="769"/>
      <c r="OCU105" s="769"/>
      <c r="OCV105" s="769"/>
      <c r="OCW105" s="769"/>
      <c r="OCX105" s="769"/>
      <c r="OCY105" s="769"/>
      <c r="OCZ105" s="769"/>
      <c r="ODA105" s="769"/>
      <c r="ODB105" s="769"/>
      <c r="ODC105" s="769"/>
      <c r="ODD105" s="769"/>
      <c r="ODE105" s="769"/>
      <c r="ODF105" s="769"/>
      <c r="ODG105" s="769"/>
      <c r="ODH105" s="769"/>
      <c r="ODI105" s="769"/>
      <c r="ODJ105" s="769"/>
      <c r="ODK105" s="769"/>
      <c r="ODL105" s="769"/>
      <c r="ODM105" s="769"/>
      <c r="ODN105" s="769"/>
      <c r="ODO105" s="769"/>
      <c r="ODP105" s="769"/>
      <c r="ODQ105" s="769"/>
      <c r="ODR105" s="769"/>
      <c r="ODS105" s="769"/>
      <c r="ODT105" s="769"/>
      <c r="ODU105" s="769"/>
      <c r="ODV105" s="769"/>
      <c r="ODW105" s="769"/>
      <c r="ODX105" s="769"/>
      <c r="ODY105" s="769"/>
      <c r="ODZ105" s="769"/>
      <c r="OEA105" s="769"/>
      <c r="OEB105" s="769"/>
      <c r="OEC105" s="769"/>
      <c r="OED105" s="769"/>
      <c r="OEE105" s="769"/>
      <c r="OEF105" s="769"/>
      <c r="OEG105" s="769"/>
      <c r="OEH105" s="769"/>
      <c r="OEI105" s="769"/>
      <c r="OEJ105" s="769"/>
      <c r="OEK105" s="769"/>
      <c r="OEL105" s="769"/>
      <c r="OEM105" s="769"/>
      <c r="OEN105" s="769"/>
      <c r="OEO105" s="769"/>
      <c r="OEP105" s="769"/>
      <c r="OEQ105" s="769"/>
      <c r="OER105" s="769"/>
      <c r="OES105" s="769"/>
      <c r="OET105" s="769"/>
      <c r="OEU105" s="769"/>
      <c r="OEV105" s="769"/>
      <c r="OEW105" s="769"/>
      <c r="OEX105" s="769"/>
      <c r="OEY105" s="769"/>
      <c r="OEZ105" s="769"/>
      <c r="OFA105" s="769"/>
      <c r="OFB105" s="769"/>
      <c r="OFC105" s="769"/>
      <c r="OFD105" s="769"/>
      <c r="OFE105" s="769"/>
      <c r="OFF105" s="769"/>
      <c r="OFG105" s="769"/>
      <c r="OFH105" s="769"/>
      <c r="OFI105" s="769"/>
      <c r="OFJ105" s="769"/>
      <c r="OFK105" s="769"/>
      <c r="OFL105" s="769"/>
      <c r="OFM105" s="769"/>
      <c r="OFN105" s="769"/>
      <c r="OFO105" s="769"/>
      <c r="OFP105" s="769"/>
      <c r="OFQ105" s="769"/>
      <c r="OFR105" s="769"/>
      <c r="OFS105" s="769"/>
      <c r="OFT105" s="769"/>
      <c r="OFU105" s="769"/>
      <c r="OFV105" s="769"/>
      <c r="OFW105" s="769"/>
      <c r="OFX105" s="769"/>
      <c r="OFY105" s="769"/>
      <c r="OFZ105" s="769"/>
      <c r="OGA105" s="769"/>
      <c r="OGB105" s="769"/>
      <c r="OGC105" s="769"/>
      <c r="OGD105" s="769"/>
      <c r="OGE105" s="769"/>
      <c r="OGF105" s="769"/>
      <c r="OGG105" s="769"/>
      <c r="OGH105" s="769"/>
      <c r="OGI105" s="769"/>
      <c r="OGJ105" s="769"/>
      <c r="OGK105" s="769"/>
      <c r="OGL105" s="769"/>
      <c r="OGM105" s="769"/>
      <c r="OGN105" s="769"/>
      <c r="OGO105" s="769"/>
      <c r="OGP105" s="769"/>
      <c r="OGQ105" s="769"/>
      <c r="OGR105" s="769"/>
      <c r="OGS105" s="769"/>
      <c r="OGT105" s="769"/>
      <c r="OGU105" s="769"/>
      <c r="OGV105" s="769"/>
      <c r="OGW105" s="769"/>
      <c r="OGX105" s="769"/>
      <c r="OGY105" s="769"/>
      <c r="OGZ105" s="769"/>
      <c r="OHA105" s="769"/>
      <c r="OHB105" s="769"/>
      <c r="OHC105" s="769"/>
      <c r="OHD105" s="769"/>
      <c r="OHE105" s="769"/>
      <c r="OHF105" s="769"/>
      <c r="OHG105" s="769"/>
      <c r="OHH105" s="769"/>
      <c r="OHI105" s="769"/>
      <c r="OHJ105" s="769"/>
      <c r="OHK105" s="769"/>
      <c r="OHL105" s="769"/>
      <c r="OHM105" s="769"/>
      <c r="OHN105" s="769"/>
      <c r="OHO105" s="769"/>
      <c r="OHP105" s="769"/>
      <c r="OHQ105" s="769"/>
      <c r="OHR105" s="769"/>
      <c r="OHS105" s="769"/>
      <c r="OHT105" s="769"/>
      <c r="OHU105" s="769"/>
      <c r="OHV105" s="769"/>
      <c r="OHW105" s="769"/>
      <c r="OHX105" s="769"/>
      <c r="OHY105" s="769"/>
      <c r="OHZ105" s="769"/>
      <c r="OIA105" s="769"/>
      <c r="OIB105" s="769"/>
      <c r="OIC105" s="769"/>
      <c r="OID105" s="769"/>
      <c r="OIE105" s="769"/>
      <c r="OIF105" s="769"/>
      <c r="OIG105" s="769"/>
      <c r="OIH105" s="769"/>
      <c r="OII105" s="769"/>
      <c r="OIJ105" s="769"/>
      <c r="OIK105" s="769"/>
      <c r="OIL105" s="769"/>
      <c r="OIM105" s="769"/>
      <c r="OIN105" s="769"/>
      <c r="OIO105" s="769"/>
      <c r="OIP105" s="769"/>
      <c r="OIQ105" s="769"/>
      <c r="OIR105" s="769"/>
      <c r="OIS105" s="769"/>
      <c r="OIT105" s="769"/>
      <c r="OIU105" s="769"/>
      <c r="OIV105" s="769"/>
      <c r="OIW105" s="769"/>
      <c r="OIX105" s="769"/>
      <c r="OIY105" s="769"/>
      <c r="OIZ105" s="769"/>
      <c r="OJA105" s="769"/>
      <c r="OJB105" s="769"/>
      <c r="OJC105" s="769"/>
      <c r="OJD105" s="769"/>
      <c r="OJE105" s="769"/>
      <c r="OJF105" s="769"/>
      <c r="OJG105" s="769"/>
      <c r="OJH105" s="769"/>
      <c r="OJI105" s="769"/>
      <c r="OJJ105" s="769"/>
      <c r="OJK105" s="769"/>
      <c r="OJL105" s="769"/>
      <c r="OJM105" s="769"/>
      <c r="OJN105" s="769"/>
      <c r="OJO105" s="769"/>
      <c r="OJP105" s="769"/>
      <c r="OJQ105" s="769"/>
      <c r="OJR105" s="769"/>
      <c r="OJS105" s="769"/>
      <c r="OJT105" s="769"/>
      <c r="OJU105" s="769"/>
      <c r="OJV105" s="769"/>
      <c r="OJW105" s="769"/>
      <c r="OJX105" s="769"/>
      <c r="OJY105" s="769"/>
      <c r="OJZ105" s="769"/>
      <c r="OKA105" s="769"/>
      <c r="OKB105" s="769"/>
      <c r="OKC105" s="769"/>
      <c r="OKD105" s="769"/>
      <c r="OKE105" s="769"/>
      <c r="OKF105" s="769"/>
      <c r="OKG105" s="769"/>
      <c r="OKH105" s="769"/>
      <c r="OKI105" s="769"/>
      <c r="OKJ105" s="769"/>
      <c r="OKK105" s="769"/>
      <c r="OKL105" s="769"/>
      <c r="OKM105" s="769"/>
      <c r="OKN105" s="769"/>
      <c r="OKO105" s="769"/>
      <c r="OKP105" s="769"/>
      <c r="OKQ105" s="769"/>
      <c r="OKR105" s="769"/>
      <c r="OKS105" s="769"/>
      <c r="OKT105" s="769"/>
      <c r="OKU105" s="769"/>
      <c r="OKV105" s="769"/>
      <c r="OKW105" s="769"/>
      <c r="OKX105" s="769"/>
      <c r="OKY105" s="769"/>
      <c r="OKZ105" s="769"/>
      <c r="OLA105" s="769"/>
      <c r="OLB105" s="769"/>
      <c r="OLC105" s="769"/>
      <c r="OLD105" s="769"/>
      <c r="OLE105" s="769"/>
      <c r="OLF105" s="769"/>
      <c r="OLG105" s="769"/>
      <c r="OLH105" s="769"/>
      <c r="OLI105" s="769"/>
      <c r="OLJ105" s="769"/>
      <c r="OLK105" s="769"/>
      <c r="OLL105" s="769"/>
      <c r="OLM105" s="769"/>
      <c r="OLN105" s="769"/>
      <c r="OLO105" s="769"/>
      <c r="OLP105" s="769"/>
      <c r="OLQ105" s="769"/>
      <c r="OLR105" s="769"/>
      <c r="OLS105" s="769"/>
      <c r="OLT105" s="769"/>
      <c r="OLU105" s="769"/>
      <c r="OLV105" s="769"/>
      <c r="OLW105" s="769"/>
      <c r="OLX105" s="769"/>
      <c r="OLY105" s="769"/>
      <c r="OLZ105" s="769"/>
      <c r="OMA105" s="769"/>
      <c r="OMB105" s="769"/>
      <c r="OMC105" s="769"/>
      <c r="OMD105" s="769"/>
      <c r="OME105" s="769"/>
      <c r="OMF105" s="769"/>
      <c r="OMG105" s="769"/>
      <c r="OMH105" s="769"/>
      <c r="OMI105" s="769"/>
      <c r="OMJ105" s="769"/>
      <c r="OMK105" s="769"/>
      <c r="OML105" s="769"/>
      <c r="OMM105" s="769"/>
      <c r="OMN105" s="769"/>
      <c r="OMO105" s="769"/>
      <c r="OMP105" s="769"/>
      <c r="OMQ105" s="769"/>
      <c r="OMR105" s="769"/>
      <c r="OMS105" s="769"/>
      <c r="OMT105" s="769"/>
      <c r="OMU105" s="769"/>
      <c r="OMV105" s="769"/>
      <c r="OMW105" s="769"/>
      <c r="OMX105" s="769"/>
      <c r="OMY105" s="769"/>
      <c r="OMZ105" s="769"/>
      <c r="ONA105" s="769"/>
      <c r="ONB105" s="769"/>
      <c r="ONC105" s="769"/>
      <c r="OND105" s="769"/>
      <c r="ONE105" s="769"/>
      <c r="ONF105" s="769"/>
      <c r="ONG105" s="769"/>
      <c r="ONH105" s="769"/>
      <c r="ONI105" s="769"/>
      <c r="ONJ105" s="769"/>
      <c r="ONK105" s="769"/>
      <c r="ONL105" s="769"/>
      <c r="ONM105" s="769"/>
      <c r="ONN105" s="769"/>
      <c r="ONO105" s="769"/>
      <c r="ONP105" s="769"/>
      <c r="ONQ105" s="769"/>
      <c r="ONR105" s="769"/>
      <c r="ONS105" s="769"/>
      <c r="ONT105" s="769"/>
      <c r="ONU105" s="769"/>
      <c r="ONV105" s="769"/>
      <c r="ONW105" s="769"/>
      <c r="ONX105" s="769"/>
      <c r="ONY105" s="769"/>
      <c r="ONZ105" s="769"/>
      <c r="OOA105" s="769"/>
      <c r="OOB105" s="769"/>
      <c r="OOC105" s="769"/>
      <c r="OOD105" s="769"/>
      <c r="OOE105" s="769"/>
      <c r="OOF105" s="769"/>
      <c r="OOG105" s="769"/>
      <c r="OOH105" s="769"/>
      <c r="OOI105" s="769"/>
      <c r="OOJ105" s="769"/>
      <c r="OOK105" s="769"/>
      <c r="OOL105" s="769"/>
      <c r="OOM105" s="769"/>
      <c r="OON105" s="769"/>
      <c r="OOO105" s="769"/>
      <c r="OOP105" s="769"/>
      <c r="OOQ105" s="769"/>
      <c r="OOR105" s="769"/>
      <c r="OOS105" s="769"/>
      <c r="OOT105" s="769"/>
      <c r="OOU105" s="769"/>
      <c r="OOV105" s="769"/>
      <c r="OOW105" s="769"/>
      <c r="OOX105" s="769"/>
      <c r="OOY105" s="769"/>
      <c r="OOZ105" s="769"/>
      <c r="OPA105" s="769"/>
      <c r="OPB105" s="769"/>
      <c r="OPC105" s="769"/>
      <c r="OPD105" s="769"/>
      <c r="OPE105" s="769"/>
      <c r="OPF105" s="769"/>
      <c r="OPG105" s="769"/>
      <c r="OPH105" s="769"/>
      <c r="OPI105" s="769"/>
      <c r="OPJ105" s="769"/>
      <c r="OPK105" s="769"/>
      <c r="OPL105" s="769"/>
      <c r="OPM105" s="769"/>
      <c r="OPN105" s="769"/>
      <c r="OPO105" s="769"/>
      <c r="OPP105" s="769"/>
      <c r="OPQ105" s="769"/>
      <c r="OPR105" s="769"/>
      <c r="OPS105" s="769"/>
      <c r="OPT105" s="769"/>
      <c r="OPU105" s="769"/>
      <c r="OPV105" s="769"/>
      <c r="OPW105" s="769"/>
      <c r="OPX105" s="769"/>
      <c r="OPY105" s="769"/>
      <c r="OPZ105" s="769"/>
      <c r="OQA105" s="769"/>
      <c r="OQB105" s="769"/>
      <c r="OQC105" s="769"/>
      <c r="OQD105" s="769"/>
      <c r="OQE105" s="769"/>
      <c r="OQF105" s="769"/>
      <c r="OQG105" s="769"/>
      <c r="OQH105" s="769"/>
      <c r="OQI105" s="769"/>
      <c r="OQJ105" s="769"/>
      <c r="OQK105" s="769"/>
      <c r="OQL105" s="769"/>
      <c r="OQM105" s="769"/>
      <c r="OQN105" s="769"/>
      <c r="OQO105" s="769"/>
      <c r="OQP105" s="769"/>
      <c r="OQQ105" s="769"/>
      <c r="OQR105" s="769"/>
      <c r="OQS105" s="769"/>
      <c r="OQT105" s="769"/>
      <c r="OQU105" s="769"/>
      <c r="OQV105" s="769"/>
      <c r="OQW105" s="769"/>
      <c r="OQX105" s="769"/>
      <c r="OQY105" s="769"/>
      <c r="OQZ105" s="769"/>
      <c r="ORA105" s="769"/>
      <c r="ORB105" s="769"/>
      <c r="ORC105" s="769"/>
      <c r="ORD105" s="769"/>
      <c r="ORE105" s="769"/>
      <c r="ORF105" s="769"/>
      <c r="ORG105" s="769"/>
      <c r="ORH105" s="769"/>
      <c r="ORI105" s="769"/>
      <c r="ORJ105" s="769"/>
      <c r="ORK105" s="769"/>
      <c r="ORL105" s="769"/>
      <c r="ORM105" s="769"/>
      <c r="ORN105" s="769"/>
      <c r="ORO105" s="769"/>
      <c r="ORP105" s="769"/>
      <c r="ORQ105" s="769"/>
      <c r="ORR105" s="769"/>
      <c r="ORS105" s="769"/>
      <c r="ORT105" s="769"/>
      <c r="ORU105" s="769"/>
      <c r="ORV105" s="769"/>
      <c r="ORW105" s="769"/>
      <c r="ORX105" s="769"/>
      <c r="ORY105" s="769"/>
      <c r="ORZ105" s="769"/>
      <c r="OSA105" s="769"/>
      <c r="OSB105" s="769"/>
      <c r="OSC105" s="769"/>
      <c r="OSD105" s="769"/>
      <c r="OSE105" s="769"/>
      <c r="OSF105" s="769"/>
      <c r="OSG105" s="769"/>
      <c r="OSH105" s="769"/>
      <c r="OSI105" s="769"/>
      <c r="OSJ105" s="769"/>
      <c r="OSK105" s="769"/>
      <c r="OSL105" s="769"/>
      <c r="OSM105" s="769"/>
      <c r="OSN105" s="769"/>
      <c r="OSO105" s="769"/>
      <c r="OSP105" s="769"/>
      <c r="OSQ105" s="769"/>
      <c r="OSR105" s="769"/>
      <c r="OSS105" s="769"/>
      <c r="OST105" s="769"/>
      <c r="OSU105" s="769"/>
      <c r="OSV105" s="769"/>
      <c r="OSW105" s="769"/>
      <c r="OSX105" s="769"/>
      <c r="OSY105" s="769"/>
      <c r="OSZ105" s="769"/>
      <c r="OTA105" s="769"/>
      <c r="OTB105" s="769"/>
      <c r="OTC105" s="769"/>
      <c r="OTD105" s="769"/>
      <c r="OTE105" s="769"/>
      <c r="OTF105" s="769"/>
      <c r="OTG105" s="769"/>
      <c r="OTH105" s="769"/>
      <c r="OTI105" s="769"/>
      <c r="OTJ105" s="769"/>
      <c r="OTK105" s="769"/>
      <c r="OTL105" s="769"/>
      <c r="OTM105" s="769"/>
      <c r="OTN105" s="769"/>
      <c r="OTO105" s="769"/>
      <c r="OTP105" s="769"/>
      <c r="OTQ105" s="769"/>
      <c r="OTR105" s="769"/>
      <c r="OTS105" s="769"/>
      <c r="OTT105" s="769"/>
      <c r="OTU105" s="769"/>
      <c r="OTV105" s="769"/>
      <c r="OTW105" s="769"/>
      <c r="OTX105" s="769"/>
      <c r="OTY105" s="769"/>
      <c r="OTZ105" s="769"/>
      <c r="OUA105" s="769"/>
      <c r="OUB105" s="769"/>
      <c r="OUC105" s="769"/>
      <c r="OUD105" s="769"/>
      <c r="OUE105" s="769"/>
      <c r="OUF105" s="769"/>
      <c r="OUG105" s="769"/>
      <c r="OUH105" s="769"/>
      <c r="OUI105" s="769"/>
      <c r="OUJ105" s="769"/>
      <c r="OUK105" s="769"/>
      <c r="OUL105" s="769"/>
      <c r="OUM105" s="769"/>
      <c r="OUN105" s="769"/>
      <c r="OUO105" s="769"/>
      <c r="OUP105" s="769"/>
      <c r="OUQ105" s="769"/>
      <c r="OUR105" s="769"/>
      <c r="OUS105" s="769"/>
      <c r="OUT105" s="769"/>
      <c r="OUU105" s="769"/>
      <c r="OUV105" s="769"/>
      <c r="OUW105" s="769"/>
      <c r="OUX105" s="769"/>
      <c r="OUY105" s="769"/>
      <c r="OUZ105" s="769"/>
      <c r="OVA105" s="769"/>
      <c r="OVB105" s="769"/>
      <c r="OVC105" s="769"/>
      <c r="OVD105" s="769"/>
      <c r="OVE105" s="769"/>
      <c r="OVF105" s="769"/>
      <c r="OVG105" s="769"/>
      <c r="OVH105" s="769"/>
      <c r="OVI105" s="769"/>
      <c r="OVJ105" s="769"/>
      <c r="OVK105" s="769"/>
      <c r="OVL105" s="769"/>
      <c r="OVM105" s="769"/>
      <c r="OVN105" s="769"/>
      <c r="OVO105" s="769"/>
      <c r="OVP105" s="769"/>
      <c r="OVQ105" s="769"/>
      <c r="OVR105" s="769"/>
      <c r="OVS105" s="769"/>
      <c r="OVT105" s="769"/>
      <c r="OVU105" s="769"/>
      <c r="OVV105" s="769"/>
      <c r="OVW105" s="769"/>
      <c r="OVX105" s="769"/>
      <c r="OVY105" s="769"/>
      <c r="OVZ105" s="769"/>
      <c r="OWA105" s="769"/>
      <c r="OWB105" s="769"/>
      <c r="OWC105" s="769"/>
      <c r="OWD105" s="769"/>
      <c r="OWE105" s="769"/>
      <c r="OWF105" s="769"/>
      <c r="OWG105" s="769"/>
      <c r="OWH105" s="769"/>
      <c r="OWI105" s="769"/>
      <c r="OWJ105" s="769"/>
      <c r="OWK105" s="769"/>
      <c r="OWL105" s="769"/>
      <c r="OWM105" s="769"/>
      <c r="OWN105" s="769"/>
      <c r="OWO105" s="769"/>
      <c r="OWP105" s="769"/>
      <c r="OWQ105" s="769"/>
      <c r="OWR105" s="769"/>
      <c r="OWS105" s="769"/>
      <c r="OWT105" s="769"/>
      <c r="OWU105" s="769"/>
      <c r="OWV105" s="769"/>
      <c r="OWW105" s="769"/>
      <c r="OWX105" s="769"/>
      <c r="OWY105" s="769"/>
      <c r="OWZ105" s="769"/>
      <c r="OXA105" s="769"/>
      <c r="OXB105" s="769"/>
      <c r="OXC105" s="769"/>
      <c r="OXD105" s="769"/>
      <c r="OXE105" s="769"/>
      <c r="OXF105" s="769"/>
      <c r="OXG105" s="769"/>
      <c r="OXH105" s="769"/>
      <c r="OXI105" s="769"/>
      <c r="OXJ105" s="769"/>
      <c r="OXK105" s="769"/>
      <c r="OXL105" s="769"/>
      <c r="OXM105" s="769"/>
      <c r="OXN105" s="769"/>
      <c r="OXO105" s="769"/>
      <c r="OXP105" s="769"/>
      <c r="OXQ105" s="769"/>
      <c r="OXR105" s="769"/>
      <c r="OXS105" s="769"/>
      <c r="OXT105" s="769"/>
      <c r="OXU105" s="769"/>
      <c r="OXV105" s="769"/>
      <c r="OXW105" s="769"/>
      <c r="OXX105" s="769"/>
      <c r="OXY105" s="769"/>
      <c r="OXZ105" s="769"/>
      <c r="OYA105" s="769"/>
      <c r="OYB105" s="769"/>
      <c r="OYC105" s="769"/>
      <c r="OYD105" s="769"/>
      <c r="OYE105" s="769"/>
      <c r="OYF105" s="769"/>
      <c r="OYG105" s="769"/>
      <c r="OYH105" s="769"/>
      <c r="OYI105" s="769"/>
      <c r="OYJ105" s="769"/>
      <c r="OYK105" s="769"/>
      <c r="OYL105" s="769"/>
      <c r="OYM105" s="769"/>
      <c r="OYN105" s="769"/>
      <c r="OYO105" s="769"/>
      <c r="OYP105" s="769"/>
      <c r="OYQ105" s="769"/>
      <c r="OYR105" s="769"/>
      <c r="OYS105" s="769"/>
      <c r="OYT105" s="769"/>
      <c r="OYU105" s="769"/>
      <c r="OYV105" s="769"/>
      <c r="OYW105" s="769"/>
      <c r="OYX105" s="769"/>
      <c r="OYY105" s="769"/>
      <c r="OYZ105" s="769"/>
      <c r="OZA105" s="769"/>
      <c r="OZB105" s="769"/>
      <c r="OZC105" s="769"/>
      <c r="OZD105" s="769"/>
      <c r="OZE105" s="769"/>
      <c r="OZF105" s="769"/>
      <c r="OZG105" s="769"/>
      <c r="OZH105" s="769"/>
      <c r="OZI105" s="769"/>
      <c r="OZJ105" s="769"/>
      <c r="OZK105" s="769"/>
      <c r="OZL105" s="769"/>
      <c r="OZM105" s="769"/>
      <c r="OZN105" s="769"/>
      <c r="OZO105" s="769"/>
      <c r="OZP105" s="769"/>
      <c r="OZQ105" s="769"/>
      <c r="OZR105" s="769"/>
      <c r="OZS105" s="769"/>
      <c r="OZT105" s="769"/>
      <c r="OZU105" s="769"/>
      <c r="OZV105" s="769"/>
      <c r="OZW105" s="769"/>
      <c r="OZX105" s="769"/>
      <c r="OZY105" s="769"/>
      <c r="OZZ105" s="769"/>
      <c r="PAA105" s="769"/>
      <c r="PAB105" s="769"/>
      <c r="PAC105" s="769"/>
      <c r="PAD105" s="769"/>
      <c r="PAE105" s="769"/>
      <c r="PAF105" s="769"/>
      <c r="PAG105" s="769"/>
      <c r="PAH105" s="769"/>
      <c r="PAI105" s="769"/>
      <c r="PAJ105" s="769"/>
      <c r="PAK105" s="769"/>
      <c r="PAL105" s="769"/>
      <c r="PAM105" s="769"/>
      <c r="PAN105" s="769"/>
      <c r="PAO105" s="769"/>
      <c r="PAP105" s="769"/>
      <c r="PAQ105" s="769"/>
      <c r="PAR105" s="769"/>
      <c r="PAS105" s="769"/>
      <c r="PAT105" s="769"/>
      <c r="PAU105" s="769"/>
      <c r="PAV105" s="769"/>
      <c r="PAW105" s="769"/>
      <c r="PAX105" s="769"/>
      <c r="PAY105" s="769"/>
      <c r="PAZ105" s="769"/>
      <c r="PBA105" s="769"/>
      <c r="PBB105" s="769"/>
      <c r="PBC105" s="769"/>
      <c r="PBD105" s="769"/>
      <c r="PBE105" s="769"/>
      <c r="PBF105" s="769"/>
      <c r="PBG105" s="769"/>
      <c r="PBH105" s="769"/>
      <c r="PBI105" s="769"/>
      <c r="PBJ105" s="769"/>
      <c r="PBK105" s="769"/>
      <c r="PBL105" s="769"/>
      <c r="PBM105" s="769"/>
      <c r="PBN105" s="769"/>
      <c r="PBO105" s="769"/>
      <c r="PBP105" s="769"/>
      <c r="PBQ105" s="769"/>
      <c r="PBR105" s="769"/>
      <c r="PBS105" s="769"/>
      <c r="PBT105" s="769"/>
      <c r="PBU105" s="769"/>
      <c r="PBV105" s="769"/>
      <c r="PBW105" s="769"/>
      <c r="PBX105" s="769"/>
      <c r="PBY105" s="769"/>
      <c r="PBZ105" s="769"/>
      <c r="PCA105" s="769"/>
      <c r="PCB105" s="769"/>
      <c r="PCC105" s="769"/>
      <c r="PCD105" s="769"/>
      <c r="PCE105" s="769"/>
      <c r="PCF105" s="769"/>
      <c r="PCG105" s="769"/>
      <c r="PCH105" s="769"/>
      <c r="PCI105" s="769"/>
      <c r="PCJ105" s="769"/>
      <c r="PCK105" s="769"/>
      <c r="PCL105" s="769"/>
      <c r="PCM105" s="769"/>
      <c r="PCN105" s="769"/>
      <c r="PCO105" s="769"/>
      <c r="PCP105" s="769"/>
      <c r="PCQ105" s="769"/>
      <c r="PCR105" s="769"/>
      <c r="PCS105" s="769"/>
      <c r="PCT105" s="769"/>
      <c r="PCU105" s="769"/>
      <c r="PCV105" s="769"/>
      <c r="PCW105" s="769"/>
      <c r="PCX105" s="769"/>
      <c r="PCY105" s="769"/>
      <c r="PCZ105" s="769"/>
      <c r="PDA105" s="769"/>
      <c r="PDB105" s="769"/>
      <c r="PDC105" s="769"/>
      <c r="PDD105" s="769"/>
      <c r="PDE105" s="769"/>
      <c r="PDF105" s="769"/>
      <c r="PDG105" s="769"/>
      <c r="PDH105" s="769"/>
      <c r="PDI105" s="769"/>
      <c r="PDJ105" s="769"/>
      <c r="PDK105" s="769"/>
      <c r="PDL105" s="769"/>
      <c r="PDM105" s="769"/>
      <c r="PDN105" s="769"/>
      <c r="PDO105" s="769"/>
      <c r="PDP105" s="769"/>
      <c r="PDQ105" s="769"/>
      <c r="PDR105" s="769"/>
      <c r="PDS105" s="769"/>
      <c r="PDT105" s="769"/>
      <c r="PDU105" s="769"/>
      <c r="PDV105" s="769"/>
      <c r="PDW105" s="769"/>
      <c r="PDX105" s="769"/>
      <c r="PDY105" s="769"/>
      <c r="PDZ105" s="769"/>
      <c r="PEA105" s="769"/>
      <c r="PEB105" s="769"/>
      <c r="PEC105" s="769"/>
      <c r="PED105" s="769"/>
      <c r="PEE105" s="769"/>
      <c r="PEF105" s="769"/>
      <c r="PEG105" s="769"/>
      <c r="PEH105" s="769"/>
      <c r="PEI105" s="769"/>
      <c r="PEJ105" s="769"/>
      <c r="PEK105" s="769"/>
      <c r="PEL105" s="769"/>
      <c r="PEM105" s="769"/>
      <c r="PEN105" s="769"/>
      <c r="PEO105" s="769"/>
      <c r="PEP105" s="769"/>
      <c r="PEQ105" s="769"/>
      <c r="PER105" s="769"/>
      <c r="PES105" s="769"/>
      <c r="PET105" s="769"/>
      <c r="PEU105" s="769"/>
      <c r="PEV105" s="769"/>
      <c r="PEW105" s="769"/>
      <c r="PEX105" s="769"/>
      <c r="PEY105" s="769"/>
      <c r="PEZ105" s="769"/>
      <c r="PFA105" s="769"/>
      <c r="PFB105" s="769"/>
      <c r="PFC105" s="769"/>
      <c r="PFD105" s="769"/>
      <c r="PFE105" s="769"/>
      <c r="PFF105" s="769"/>
      <c r="PFG105" s="769"/>
      <c r="PFH105" s="769"/>
      <c r="PFI105" s="769"/>
      <c r="PFJ105" s="769"/>
      <c r="PFK105" s="769"/>
      <c r="PFL105" s="769"/>
      <c r="PFM105" s="769"/>
      <c r="PFN105" s="769"/>
      <c r="PFO105" s="769"/>
      <c r="PFP105" s="769"/>
      <c r="PFQ105" s="769"/>
      <c r="PFR105" s="769"/>
      <c r="PFS105" s="769"/>
      <c r="PFT105" s="769"/>
      <c r="PFU105" s="769"/>
      <c r="PFV105" s="769"/>
      <c r="PFW105" s="769"/>
      <c r="PFX105" s="769"/>
      <c r="PFY105" s="769"/>
      <c r="PFZ105" s="769"/>
      <c r="PGA105" s="769"/>
      <c r="PGB105" s="769"/>
      <c r="PGC105" s="769"/>
      <c r="PGD105" s="769"/>
      <c r="PGE105" s="769"/>
      <c r="PGF105" s="769"/>
      <c r="PGG105" s="769"/>
      <c r="PGH105" s="769"/>
      <c r="PGI105" s="769"/>
      <c r="PGJ105" s="769"/>
      <c r="PGK105" s="769"/>
      <c r="PGL105" s="769"/>
      <c r="PGM105" s="769"/>
      <c r="PGN105" s="769"/>
      <c r="PGO105" s="769"/>
      <c r="PGP105" s="769"/>
      <c r="PGQ105" s="769"/>
      <c r="PGR105" s="769"/>
      <c r="PGS105" s="769"/>
      <c r="PGT105" s="769"/>
      <c r="PGU105" s="769"/>
      <c r="PGV105" s="769"/>
      <c r="PGW105" s="769"/>
      <c r="PGX105" s="769"/>
      <c r="PGY105" s="769"/>
      <c r="PGZ105" s="769"/>
      <c r="PHA105" s="769"/>
      <c r="PHB105" s="769"/>
      <c r="PHC105" s="769"/>
      <c r="PHD105" s="769"/>
      <c r="PHE105" s="769"/>
      <c r="PHF105" s="769"/>
      <c r="PHG105" s="769"/>
      <c r="PHH105" s="769"/>
      <c r="PHI105" s="769"/>
      <c r="PHJ105" s="769"/>
      <c r="PHK105" s="769"/>
      <c r="PHL105" s="769"/>
      <c r="PHM105" s="769"/>
      <c r="PHN105" s="769"/>
      <c r="PHO105" s="769"/>
      <c r="PHP105" s="769"/>
      <c r="PHQ105" s="769"/>
      <c r="PHR105" s="769"/>
      <c r="PHS105" s="769"/>
      <c r="PHT105" s="769"/>
      <c r="PHU105" s="769"/>
      <c r="PHV105" s="769"/>
      <c r="PHW105" s="769"/>
      <c r="PHX105" s="769"/>
      <c r="PHY105" s="769"/>
      <c r="PHZ105" s="769"/>
      <c r="PIA105" s="769"/>
      <c r="PIB105" s="769"/>
      <c r="PIC105" s="769"/>
      <c r="PID105" s="769"/>
      <c r="PIE105" s="769"/>
      <c r="PIF105" s="769"/>
      <c r="PIG105" s="769"/>
      <c r="PIH105" s="769"/>
      <c r="PII105" s="769"/>
      <c r="PIJ105" s="769"/>
      <c r="PIK105" s="769"/>
      <c r="PIL105" s="769"/>
      <c r="PIM105" s="769"/>
      <c r="PIN105" s="769"/>
      <c r="PIO105" s="769"/>
      <c r="PIP105" s="769"/>
      <c r="PIQ105" s="769"/>
      <c r="PIR105" s="769"/>
      <c r="PIS105" s="769"/>
      <c r="PIT105" s="769"/>
      <c r="PIU105" s="769"/>
      <c r="PIV105" s="769"/>
      <c r="PIW105" s="769"/>
      <c r="PIX105" s="769"/>
      <c r="PIY105" s="769"/>
      <c r="PIZ105" s="769"/>
      <c r="PJA105" s="769"/>
      <c r="PJB105" s="769"/>
      <c r="PJC105" s="769"/>
      <c r="PJD105" s="769"/>
      <c r="PJE105" s="769"/>
      <c r="PJF105" s="769"/>
      <c r="PJG105" s="769"/>
      <c r="PJH105" s="769"/>
      <c r="PJI105" s="769"/>
      <c r="PJJ105" s="769"/>
      <c r="PJK105" s="769"/>
      <c r="PJL105" s="769"/>
      <c r="PJM105" s="769"/>
      <c r="PJN105" s="769"/>
      <c r="PJO105" s="769"/>
      <c r="PJP105" s="769"/>
      <c r="PJQ105" s="769"/>
      <c r="PJR105" s="769"/>
      <c r="PJS105" s="769"/>
      <c r="PJT105" s="769"/>
      <c r="PJU105" s="769"/>
      <c r="PJV105" s="769"/>
      <c r="PJW105" s="769"/>
      <c r="PJX105" s="769"/>
      <c r="PJY105" s="769"/>
      <c r="PJZ105" s="769"/>
      <c r="PKA105" s="769"/>
      <c r="PKB105" s="769"/>
      <c r="PKC105" s="769"/>
      <c r="PKD105" s="769"/>
      <c r="PKE105" s="769"/>
      <c r="PKF105" s="769"/>
      <c r="PKG105" s="769"/>
      <c r="PKH105" s="769"/>
      <c r="PKI105" s="769"/>
      <c r="PKJ105" s="769"/>
      <c r="PKK105" s="769"/>
      <c r="PKL105" s="769"/>
      <c r="PKM105" s="769"/>
      <c r="PKN105" s="769"/>
      <c r="PKO105" s="769"/>
      <c r="PKP105" s="769"/>
      <c r="PKQ105" s="769"/>
      <c r="PKR105" s="769"/>
      <c r="PKS105" s="769"/>
      <c r="PKT105" s="769"/>
      <c r="PKU105" s="769"/>
      <c r="PKV105" s="769"/>
      <c r="PKW105" s="769"/>
      <c r="PKX105" s="769"/>
      <c r="PKY105" s="769"/>
      <c r="PKZ105" s="769"/>
      <c r="PLA105" s="769"/>
      <c r="PLB105" s="769"/>
      <c r="PLC105" s="769"/>
      <c r="PLD105" s="769"/>
      <c r="PLE105" s="769"/>
      <c r="PLF105" s="769"/>
      <c r="PLG105" s="769"/>
      <c r="PLH105" s="769"/>
      <c r="PLI105" s="769"/>
      <c r="PLJ105" s="769"/>
      <c r="PLK105" s="769"/>
      <c r="PLL105" s="769"/>
      <c r="PLM105" s="769"/>
      <c r="PLN105" s="769"/>
      <c r="PLO105" s="769"/>
      <c r="PLP105" s="769"/>
      <c r="PLQ105" s="769"/>
      <c r="PLR105" s="769"/>
      <c r="PLS105" s="769"/>
      <c r="PLT105" s="769"/>
      <c r="PLU105" s="769"/>
      <c r="PLV105" s="769"/>
      <c r="PLW105" s="769"/>
      <c r="PLX105" s="769"/>
      <c r="PLY105" s="769"/>
      <c r="PLZ105" s="769"/>
      <c r="PMA105" s="769"/>
      <c r="PMB105" s="769"/>
      <c r="PMC105" s="769"/>
      <c r="PMD105" s="769"/>
      <c r="PME105" s="769"/>
      <c r="PMF105" s="769"/>
      <c r="PMG105" s="769"/>
      <c r="PMH105" s="769"/>
      <c r="PMI105" s="769"/>
      <c r="PMJ105" s="769"/>
      <c r="PMK105" s="769"/>
      <c r="PML105" s="769"/>
      <c r="PMM105" s="769"/>
      <c r="PMN105" s="769"/>
      <c r="PMO105" s="769"/>
      <c r="PMP105" s="769"/>
      <c r="PMQ105" s="769"/>
      <c r="PMR105" s="769"/>
      <c r="PMS105" s="769"/>
      <c r="PMT105" s="769"/>
      <c r="PMU105" s="769"/>
      <c r="PMV105" s="769"/>
      <c r="PMW105" s="769"/>
      <c r="PMX105" s="769"/>
      <c r="PMY105" s="769"/>
      <c r="PMZ105" s="769"/>
      <c r="PNA105" s="769"/>
      <c r="PNB105" s="769"/>
      <c r="PNC105" s="769"/>
      <c r="PND105" s="769"/>
      <c r="PNE105" s="769"/>
      <c r="PNF105" s="769"/>
      <c r="PNG105" s="769"/>
      <c r="PNH105" s="769"/>
      <c r="PNI105" s="769"/>
      <c r="PNJ105" s="769"/>
      <c r="PNK105" s="769"/>
      <c r="PNL105" s="769"/>
      <c r="PNM105" s="769"/>
      <c r="PNN105" s="769"/>
      <c r="PNO105" s="769"/>
      <c r="PNP105" s="769"/>
      <c r="PNQ105" s="769"/>
      <c r="PNR105" s="769"/>
      <c r="PNS105" s="769"/>
      <c r="PNT105" s="769"/>
      <c r="PNU105" s="769"/>
      <c r="PNV105" s="769"/>
      <c r="PNW105" s="769"/>
      <c r="PNX105" s="769"/>
      <c r="PNY105" s="769"/>
      <c r="PNZ105" s="769"/>
      <c r="POA105" s="769"/>
      <c r="POB105" s="769"/>
      <c r="POC105" s="769"/>
      <c r="POD105" s="769"/>
      <c r="POE105" s="769"/>
      <c r="POF105" s="769"/>
      <c r="POG105" s="769"/>
      <c r="POH105" s="769"/>
      <c r="POI105" s="769"/>
      <c r="POJ105" s="769"/>
      <c r="POK105" s="769"/>
      <c r="POL105" s="769"/>
      <c r="POM105" s="769"/>
      <c r="PON105" s="769"/>
      <c r="POO105" s="769"/>
      <c r="POP105" s="769"/>
      <c r="POQ105" s="769"/>
      <c r="POR105" s="769"/>
      <c r="POS105" s="769"/>
      <c r="POT105" s="769"/>
      <c r="POU105" s="769"/>
      <c r="POV105" s="769"/>
      <c r="POW105" s="769"/>
      <c r="POX105" s="769"/>
      <c r="POY105" s="769"/>
      <c r="POZ105" s="769"/>
      <c r="PPA105" s="769"/>
      <c r="PPB105" s="769"/>
      <c r="PPC105" s="769"/>
      <c r="PPD105" s="769"/>
      <c r="PPE105" s="769"/>
      <c r="PPF105" s="769"/>
      <c r="PPG105" s="769"/>
      <c r="PPH105" s="769"/>
      <c r="PPI105" s="769"/>
      <c r="PPJ105" s="769"/>
      <c r="PPK105" s="769"/>
      <c r="PPL105" s="769"/>
      <c r="PPM105" s="769"/>
      <c r="PPN105" s="769"/>
      <c r="PPO105" s="769"/>
      <c r="PPP105" s="769"/>
      <c r="PPQ105" s="769"/>
      <c r="PPR105" s="769"/>
      <c r="PPS105" s="769"/>
      <c r="PPT105" s="769"/>
      <c r="PPU105" s="769"/>
      <c r="PPV105" s="769"/>
      <c r="PPW105" s="769"/>
      <c r="PPX105" s="769"/>
      <c r="PPY105" s="769"/>
      <c r="PPZ105" s="769"/>
      <c r="PQA105" s="769"/>
      <c r="PQB105" s="769"/>
      <c r="PQC105" s="769"/>
      <c r="PQD105" s="769"/>
      <c r="PQE105" s="769"/>
      <c r="PQF105" s="769"/>
      <c r="PQG105" s="769"/>
      <c r="PQH105" s="769"/>
      <c r="PQI105" s="769"/>
      <c r="PQJ105" s="769"/>
      <c r="PQK105" s="769"/>
      <c r="PQL105" s="769"/>
      <c r="PQM105" s="769"/>
      <c r="PQN105" s="769"/>
      <c r="PQO105" s="769"/>
      <c r="PQP105" s="769"/>
      <c r="PQQ105" s="769"/>
      <c r="PQR105" s="769"/>
      <c r="PQS105" s="769"/>
      <c r="PQT105" s="769"/>
      <c r="PQU105" s="769"/>
      <c r="PQV105" s="769"/>
      <c r="PQW105" s="769"/>
      <c r="PQX105" s="769"/>
      <c r="PQY105" s="769"/>
      <c r="PQZ105" s="769"/>
      <c r="PRA105" s="769"/>
      <c r="PRB105" s="769"/>
      <c r="PRC105" s="769"/>
      <c r="PRD105" s="769"/>
      <c r="PRE105" s="769"/>
      <c r="PRF105" s="769"/>
      <c r="PRG105" s="769"/>
      <c r="PRH105" s="769"/>
      <c r="PRI105" s="769"/>
      <c r="PRJ105" s="769"/>
      <c r="PRK105" s="769"/>
      <c r="PRL105" s="769"/>
      <c r="PRM105" s="769"/>
      <c r="PRN105" s="769"/>
      <c r="PRO105" s="769"/>
      <c r="PRP105" s="769"/>
      <c r="PRQ105" s="769"/>
      <c r="PRR105" s="769"/>
      <c r="PRS105" s="769"/>
      <c r="PRT105" s="769"/>
      <c r="PRU105" s="769"/>
      <c r="PRV105" s="769"/>
      <c r="PRW105" s="769"/>
      <c r="PRX105" s="769"/>
      <c r="PRY105" s="769"/>
      <c r="PRZ105" s="769"/>
      <c r="PSA105" s="769"/>
      <c r="PSB105" s="769"/>
      <c r="PSC105" s="769"/>
      <c r="PSD105" s="769"/>
      <c r="PSE105" s="769"/>
      <c r="PSF105" s="769"/>
      <c r="PSG105" s="769"/>
      <c r="PSH105" s="769"/>
      <c r="PSI105" s="769"/>
      <c r="PSJ105" s="769"/>
      <c r="PSK105" s="769"/>
      <c r="PSL105" s="769"/>
      <c r="PSM105" s="769"/>
      <c r="PSN105" s="769"/>
      <c r="PSO105" s="769"/>
      <c r="PSP105" s="769"/>
      <c r="PSQ105" s="769"/>
      <c r="PSR105" s="769"/>
      <c r="PSS105" s="769"/>
      <c r="PST105" s="769"/>
      <c r="PSU105" s="769"/>
      <c r="PSV105" s="769"/>
      <c r="PSW105" s="769"/>
      <c r="PSX105" s="769"/>
      <c r="PSY105" s="769"/>
      <c r="PSZ105" s="769"/>
      <c r="PTA105" s="769"/>
      <c r="PTB105" s="769"/>
      <c r="PTC105" s="769"/>
      <c r="PTD105" s="769"/>
      <c r="PTE105" s="769"/>
      <c r="PTF105" s="769"/>
      <c r="PTG105" s="769"/>
      <c r="PTH105" s="769"/>
      <c r="PTI105" s="769"/>
      <c r="PTJ105" s="769"/>
      <c r="PTK105" s="769"/>
      <c r="PTL105" s="769"/>
      <c r="PTM105" s="769"/>
      <c r="PTN105" s="769"/>
      <c r="PTO105" s="769"/>
      <c r="PTP105" s="769"/>
      <c r="PTQ105" s="769"/>
      <c r="PTR105" s="769"/>
      <c r="PTS105" s="769"/>
      <c r="PTT105" s="769"/>
      <c r="PTU105" s="769"/>
      <c r="PTV105" s="769"/>
      <c r="PTW105" s="769"/>
      <c r="PTX105" s="769"/>
      <c r="PTY105" s="769"/>
      <c r="PTZ105" s="769"/>
      <c r="PUA105" s="769"/>
      <c r="PUB105" s="769"/>
      <c r="PUC105" s="769"/>
      <c r="PUD105" s="769"/>
      <c r="PUE105" s="769"/>
      <c r="PUF105" s="769"/>
      <c r="PUG105" s="769"/>
      <c r="PUH105" s="769"/>
      <c r="PUI105" s="769"/>
      <c r="PUJ105" s="769"/>
      <c r="PUK105" s="769"/>
      <c r="PUL105" s="769"/>
      <c r="PUM105" s="769"/>
      <c r="PUN105" s="769"/>
      <c r="PUO105" s="769"/>
      <c r="PUP105" s="769"/>
      <c r="PUQ105" s="769"/>
      <c r="PUR105" s="769"/>
      <c r="PUS105" s="769"/>
      <c r="PUT105" s="769"/>
      <c r="PUU105" s="769"/>
      <c r="PUV105" s="769"/>
      <c r="PUW105" s="769"/>
      <c r="PUX105" s="769"/>
      <c r="PUY105" s="769"/>
      <c r="PUZ105" s="769"/>
      <c r="PVA105" s="769"/>
      <c r="PVB105" s="769"/>
      <c r="PVC105" s="769"/>
      <c r="PVD105" s="769"/>
      <c r="PVE105" s="769"/>
      <c r="PVF105" s="769"/>
      <c r="PVG105" s="769"/>
      <c r="PVH105" s="769"/>
      <c r="PVI105" s="769"/>
      <c r="PVJ105" s="769"/>
      <c r="PVK105" s="769"/>
      <c r="PVL105" s="769"/>
      <c r="PVM105" s="769"/>
      <c r="PVN105" s="769"/>
      <c r="PVO105" s="769"/>
      <c r="PVP105" s="769"/>
      <c r="PVQ105" s="769"/>
      <c r="PVR105" s="769"/>
      <c r="PVS105" s="769"/>
      <c r="PVT105" s="769"/>
      <c r="PVU105" s="769"/>
      <c r="PVV105" s="769"/>
      <c r="PVW105" s="769"/>
      <c r="PVX105" s="769"/>
      <c r="PVY105" s="769"/>
      <c r="PVZ105" s="769"/>
      <c r="PWA105" s="769"/>
      <c r="PWB105" s="769"/>
      <c r="PWC105" s="769"/>
      <c r="PWD105" s="769"/>
      <c r="PWE105" s="769"/>
      <c r="PWF105" s="769"/>
      <c r="PWG105" s="769"/>
      <c r="PWH105" s="769"/>
      <c r="PWI105" s="769"/>
      <c r="PWJ105" s="769"/>
      <c r="PWK105" s="769"/>
      <c r="PWL105" s="769"/>
      <c r="PWM105" s="769"/>
      <c r="PWN105" s="769"/>
      <c r="PWO105" s="769"/>
      <c r="PWP105" s="769"/>
      <c r="PWQ105" s="769"/>
      <c r="PWR105" s="769"/>
      <c r="PWS105" s="769"/>
      <c r="PWT105" s="769"/>
      <c r="PWU105" s="769"/>
      <c r="PWV105" s="769"/>
      <c r="PWW105" s="769"/>
      <c r="PWX105" s="769"/>
      <c r="PWY105" s="769"/>
      <c r="PWZ105" s="769"/>
      <c r="PXA105" s="769"/>
      <c r="PXB105" s="769"/>
      <c r="PXC105" s="769"/>
      <c r="PXD105" s="769"/>
      <c r="PXE105" s="769"/>
      <c r="PXF105" s="769"/>
      <c r="PXG105" s="769"/>
      <c r="PXH105" s="769"/>
      <c r="PXI105" s="769"/>
      <c r="PXJ105" s="769"/>
      <c r="PXK105" s="769"/>
      <c r="PXL105" s="769"/>
      <c r="PXM105" s="769"/>
      <c r="PXN105" s="769"/>
      <c r="PXO105" s="769"/>
      <c r="PXP105" s="769"/>
      <c r="PXQ105" s="769"/>
      <c r="PXR105" s="769"/>
      <c r="PXS105" s="769"/>
      <c r="PXT105" s="769"/>
      <c r="PXU105" s="769"/>
      <c r="PXV105" s="769"/>
      <c r="PXW105" s="769"/>
      <c r="PXX105" s="769"/>
      <c r="PXY105" s="769"/>
      <c r="PXZ105" s="769"/>
      <c r="PYA105" s="769"/>
      <c r="PYB105" s="769"/>
      <c r="PYC105" s="769"/>
      <c r="PYD105" s="769"/>
      <c r="PYE105" s="769"/>
      <c r="PYF105" s="769"/>
      <c r="PYG105" s="769"/>
      <c r="PYH105" s="769"/>
      <c r="PYI105" s="769"/>
      <c r="PYJ105" s="769"/>
      <c r="PYK105" s="769"/>
      <c r="PYL105" s="769"/>
      <c r="PYM105" s="769"/>
      <c r="PYN105" s="769"/>
      <c r="PYO105" s="769"/>
      <c r="PYP105" s="769"/>
      <c r="PYQ105" s="769"/>
      <c r="PYR105" s="769"/>
      <c r="PYS105" s="769"/>
      <c r="PYT105" s="769"/>
      <c r="PYU105" s="769"/>
      <c r="PYV105" s="769"/>
      <c r="PYW105" s="769"/>
      <c r="PYX105" s="769"/>
      <c r="PYY105" s="769"/>
      <c r="PYZ105" s="769"/>
      <c r="PZA105" s="769"/>
      <c r="PZB105" s="769"/>
      <c r="PZC105" s="769"/>
      <c r="PZD105" s="769"/>
      <c r="PZE105" s="769"/>
      <c r="PZF105" s="769"/>
      <c r="PZG105" s="769"/>
      <c r="PZH105" s="769"/>
      <c r="PZI105" s="769"/>
      <c r="PZJ105" s="769"/>
      <c r="PZK105" s="769"/>
      <c r="PZL105" s="769"/>
      <c r="PZM105" s="769"/>
      <c r="PZN105" s="769"/>
      <c r="PZO105" s="769"/>
      <c r="PZP105" s="769"/>
      <c r="PZQ105" s="769"/>
      <c r="PZR105" s="769"/>
      <c r="PZS105" s="769"/>
      <c r="PZT105" s="769"/>
      <c r="PZU105" s="769"/>
      <c r="PZV105" s="769"/>
      <c r="PZW105" s="769"/>
      <c r="PZX105" s="769"/>
      <c r="PZY105" s="769"/>
      <c r="PZZ105" s="769"/>
      <c r="QAA105" s="769"/>
      <c r="QAB105" s="769"/>
      <c r="QAC105" s="769"/>
      <c r="QAD105" s="769"/>
      <c r="QAE105" s="769"/>
      <c r="QAF105" s="769"/>
      <c r="QAG105" s="769"/>
      <c r="QAH105" s="769"/>
      <c r="QAI105" s="769"/>
      <c r="QAJ105" s="769"/>
      <c r="QAK105" s="769"/>
      <c r="QAL105" s="769"/>
      <c r="QAM105" s="769"/>
      <c r="QAN105" s="769"/>
      <c r="QAO105" s="769"/>
      <c r="QAP105" s="769"/>
      <c r="QAQ105" s="769"/>
      <c r="QAR105" s="769"/>
      <c r="QAS105" s="769"/>
      <c r="QAT105" s="769"/>
      <c r="QAU105" s="769"/>
      <c r="QAV105" s="769"/>
      <c r="QAW105" s="769"/>
      <c r="QAX105" s="769"/>
      <c r="QAY105" s="769"/>
      <c r="QAZ105" s="769"/>
      <c r="QBA105" s="769"/>
      <c r="QBB105" s="769"/>
      <c r="QBC105" s="769"/>
      <c r="QBD105" s="769"/>
      <c r="QBE105" s="769"/>
      <c r="QBF105" s="769"/>
      <c r="QBG105" s="769"/>
      <c r="QBH105" s="769"/>
      <c r="QBI105" s="769"/>
      <c r="QBJ105" s="769"/>
      <c r="QBK105" s="769"/>
      <c r="QBL105" s="769"/>
      <c r="QBM105" s="769"/>
      <c r="QBN105" s="769"/>
      <c r="QBO105" s="769"/>
      <c r="QBP105" s="769"/>
      <c r="QBQ105" s="769"/>
      <c r="QBR105" s="769"/>
      <c r="QBS105" s="769"/>
      <c r="QBT105" s="769"/>
      <c r="QBU105" s="769"/>
      <c r="QBV105" s="769"/>
      <c r="QBW105" s="769"/>
      <c r="QBX105" s="769"/>
      <c r="QBY105" s="769"/>
      <c r="QBZ105" s="769"/>
      <c r="QCA105" s="769"/>
      <c r="QCB105" s="769"/>
      <c r="QCC105" s="769"/>
      <c r="QCD105" s="769"/>
      <c r="QCE105" s="769"/>
      <c r="QCF105" s="769"/>
      <c r="QCG105" s="769"/>
      <c r="QCH105" s="769"/>
      <c r="QCI105" s="769"/>
      <c r="QCJ105" s="769"/>
      <c r="QCK105" s="769"/>
      <c r="QCL105" s="769"/>
      <c r="QCM105" s="769"/>
      <c r="QCN105" s="769"/>
      <c r="QCO105" s="769"/>
      <c r="QCP105" s="769"/>
      <c r="QCQ105" s="769"/>
      <c r="QCR105" s="769"/>
      <c r="QCS105" s="769"/>
      <c r="QCT105" s="769"/>
      <c r="QCU105" s="769"/>
      <c r="QCV105" s="769"/>
      <c r="QCW105" s="769"/>
      <c r="QCX105" s="769"/>
      <c r="QCY105" s="769"/>
      <c r="QCZ105" s="769"/>
      <c r="QDA105" s="769"/>
      <c r="QDB105" s="769"/>
      <c r="QDC105" s="769"/>
      <c r="QDD105" s="769"/>
      <c r="QDE105" s="769"/>
      <c r="QDF105" s="769"/>
      <c r="QDG105" s="769"/>
      <c r="QDH105" s="769"/>
      <c r="QDI105" s="769"/>
      <c r="QDJ105" s="769"/>
      <c r="QDK105" s="769"/>
      <c r="QDL105" s="769"/>
      <c r="QDM105" s="769"/>
      <c r="QDN105" s="769"/>
      <c r="QDO105" s="769"/>
      <c r="QDP105" s="769"/>
      <c r="QDQ105" s="769"/>
      <c r="QDR105" s="769"/>
      <c r="QDS105" s="769"/>
      <c r="QDT105" s="769"/>
      <c r="QDU105" s="769"/>
      <c r="QDV105" s="769"/>
      <c r="QDW105" s="769"/>
      <c r="QDX105" s="769"/>
      <c r="QDY105" s="769"/>
      <c r="QDZ105" s="769"/>
      <c r="QEA105" s="769"/>
      <c r="QEB105" s="769"/>
      <c r="QEC105" s="769"/>
      <c r="QED105" s="769"/>
      <c r="QEE105" s="769"/>
      <c r="QEF105" s="769"/>
      <c r="QEG105" s="769"/>
      <c r="QEH105" s="769"/>
      <c r="QEI105" s="769"/>
      <c r="QEJ105" s="769"/>
      <c r="QEK105" s="769"/>
      <c r="QEL105" s="769"/>
      <c r="QEM105" s="769"/>
      <c r="QEN105" s="769"/>
      <c r="QEO105" s="769"/>
      <c r="QEP105" s="769"/>
      <c r="QEQ105" s="769"/>
      <c r="QER105" s="769"/>
      <c r="QES105" s="769"/>
      <c r="QET105" s="769"/>
      <c r="QEU105" s="769"/>
      <c r="QEV105" s="769"/>
      <c r="QEW105" s="769"/>
      <c r="QEX105" s="769"/>
      <c r="QEY105" s="769"/>
      <c r="QEZ105" s="769"/>
      <c r="QFA105" s="769"/>
      <c r="QFB105" s="769"/>
      <c r="QFC105" s="769"/>
      <c r="QFD105" s="769"/>
      <c r="QFE105" s="769"/>
      <c r="QFF105" s="769"/>
      <c r="QFG105" s="769"/>
      <c r="QFH105" s="769"/>
      <c r="QFI105" s="769"/>
      <c r="QFJ105" s="769"/>
      <c r="QFK105" s="769"/>
      <c r="QFL105" s="769"/>
      <c r="QFM105" s="769"/>
      <c r="QFN105" s="769"/>
      <c r="QFO105" s="769"/>
      <c r="QFP105" s="769"/>
      <c r="QFQ105" s="769"/>
      <c r="QFR105" s="769"/>
      <c r="QFS105" s="769"/>
      <c r="QFT105" s="769"/>
      <c r="QFU105" s="769"/>
      <c r="QFV105" s="769"/>
      <c r="QFW105" s="769"/>
      <c r="QFX105" s="769"/>
      <c r="QFY105" s="769"/>
      <c r="QFZ105" s="769"/>
      <c r="QGA105" s="769"/>
      <c r="QGB105" s="769"/>
      <c r="QGC105" s="769"/>
      <c r="QGD105" s="769"/>
      <c r="QGE105" s="769"/>
      <c r="QGF105" s="769"/>
      <c r="QGG105" s="769"/>
      <c r="QGH105" s="769"/>
      <c r="QGI105" s="769"/>
      <c r="QGJ105" s="769"/>
      <c r="QGK105" s="769"/>
      <c r="QGL105" s="769"/>
      <c r="QGM105" s="769"/>
      <c r="QGN105" s="769"/>
      <c r="QGO105" s="769"/>
      <c r="QGP105" s="769"/>
      <c r="QGQ105" s="769"/>
      <c r="QGR105" s="769"/>
      <c r="QGS105" s="769"/>
      <c r="QGT105" s="769"/>
      <c r="QGU105" s="769"/>
      <c r="QGV105" s="769"/>
      <c r="QGW105" s="769"/>
      <c r="QGX105" s="769"/>
      <c r="QGY105" s="769"/>
      <c r="QGZ105" s="769"/>
      <c r="QHA105" s="769"/>
      <c r="QHB105" s="769"/>
      <c r="QHC105" s="769"/>
      <c r="QHD105" s="769"/>
      <c r="QHE105" s="769"/>
      <c r="QHF105" s="769"/>
      <c r="QHG105" s="769"/>
      <c r="QHH105" s="769"/>
      <c r="QHI105" s="769"/>
      <c r="QHJ105" s="769"/>
      <c r="QHK105" s="769"/>
      <c r="QHL105" s="769"/>
      <c r="QHM105" s="769"/>
      <c r="QHN105" s="769"/>
      <c r="QHO105" s="769"/>
      <c r="QHP105" s="769"/>
      <c r="QHQ105" s="769"/>
      <c r="QHR105" s="769"/>
      <c r="QHS105" s="769"/>
      <c r="QHT105" s="769"/>
      <c r="QHU105" s="769"/>
      <c r="QHV105" s="769"/>
      <c r="QHW105" s="769"/>
      <c r="QHX105" s="769"/>
      <c r="QHY105" s="769"/>
      <c r="QHZ105" s="769"/>
      <c r="QIA105" s="769"/>
      <c r="QIB105" s="769"/>
      <c r="QIC105" s="769"/>
      <c r="QID105" s="769"/>
      <c r="QIE105" s="769"/>
      <c r="QIF105" s="769"/>
      <c r="QIG105" s="769"/>
      <c r="QIH105" s="769"/>
      <c r="QII105" s="769"/>
      <c r="QIJ105" s="769"/>
      <c r="QIK105" s="769"/>
      <c r="QIL105" s="769"/>
      <c r="QIM105" s="769"/>
      <c r="QIN105" s="769"/>
      <c r="QIO105" s="769"/>
      <c r="QIP105" s="769"/>
      <c r="QIQ105" s="769"/>
      <c r="QIR105" s="769"/>
      <c r="QIS105" s="769"/>
      <c r="QIT105" s="769"/>
      <c r="QIU105" s="769"/>
      <c r="QIV105" s="769"/>
      <c r="QIW105" s="769"/>
      <c r="QIX105" s="769"/>
      <c r="QIY105" s="769"/>
      <c r="QIZ105" s="769"/>
      <c r="QJA105" s="769"/>
      <c r="QJB105" s="769"/>
      <c r="QJC105" s="769"/>
      <c r="QJD105" s="769"/>
      <c r="QJE105" s="769"/>
      <c r="QJF105" s="769"/>
      <c r="QJG105" s="769"/>
      <c r="QJH105" s="769"/>
      <c r="QJI105" s="769"/>
      <c r="QJJ105" s="769"/>
      <c r="QJK105" s="769"/>
      <c r="QJL105" s="769"/>
      <c r="QJM105" s="769"/>
      <c r="QJN105" s="769"/>
      <c r="QJO105" s="769"/>
      <c r="QJP105" s="769"/>
      <c r="QJQ105" s="769"/>
      <c r="QJR105" s="769"/>
      <c r="QJS105" s="769"/>
      <c r="QJT105" s="769"/>
      <c r="QJU105" s="769"/>
      <c r="QJV105" s="769"/>
      <c r="QJW105" s="769"/>
      <c r="QJX105" s="769"/>
      <c r="QJY105" s="769"/>
      <c r="QJZ105" s="769"/>
      <c r="QKA105" s="769"/>
      <c r="QKB105" s="769"/>
      <c r="QKC105" s="769"/>
      <c r="QKD105" s="769"/>
      <c r="QKE105" s="769"/>
      <c r="QKF105" s="769"/>
      <c r="QKG105" s="769"/>
      <c r="QKH105" s="769"/>
      <c r="QKI105" s="769"/>
      <c r="QKJ105" s="769"/>
      <c r="QKK105" s="769"/>
      <c r="QKL105" s="769"/>
      <c r="QKM105" s="769"/>
      <c r="QKN105" s="769"/>
      <c r="QKO105" s="769"/>
      <c r="QKP105" s="769"/>
      <c r="QKQ105" s="769"/>
      <c r="QKR105" s="769"/>
      <c r="QKS105" s="769"/>
      <c r="QKT105" s="769"/>
      <c r="QKU105" s="769"/>
      <c r="QKV105" s="769"/>
      <c r="QKW105" s="769"/>
      <c r="QKX105" s="769"/>
      <c r="QKY105" s="769"/>
      <c r="QKZ105" s="769"/>
      <c r="QLA105" s="769"/>
      <c r="QLB105" s="769"/>
      <c r="QLC105" s="769"/>
      <c r="QLD105" s="769"/>
      <c r="QLE105" s="769"/>
      <c r="QLF105" s="769"/>
      <c r="QLG105" s="769"/>
      <c r="QLH105" s="769"/>
      <c r="QLI105" s="769"/>
      <c r="QLJ105" s="769"/>
      <c r="QLK105" s="769"/>
      <c r="QLL105" s="769"/>
      <c r="QLM105" s="769"/>
      <c r="QLN105" s="769"/>
      <c r="QLO105" s="769"/>
      <c r="QLP105" s="769"/>
      <c r="QLQ105" s="769"/>
      <c r="QLR105" s="769"/>
      <c r="QLS105" s="769"/>
      <c r="QLT105" s="769"/>
      <c r="QLU105" s="769"/>
      <c r="QLV105" s="769"/>
      <c r="QLW105" s="769"/>
      <c r="QLX105" s="769"/>
      <c r="QLY105" s="769"/>
      <c r="QLZ105" s="769"/>
      <c r="QMA105" s="769"/>
      <c r="QMB105" s="769"/>
      <c r="QMC105" s="769"/>
      <c r="QMD105" s="769"/>
      <c r="QME105" s="769"/>
      <c r="QMF105" s="769"/>
      <c r="QMG105" s="769"/>
      <c r="QMH105" s="769"/>
      <c r="QMI105" s="769"/>
      <c r="QMJ105" s="769"/>
      <c r="QMK105" s="769"/>
      <c r="QML105" s="769"/>
      <c r="QMM105" s="769"/>
      <c r="QMN105" s="769"/>
      <c r="QMO105" s="769"/>
      <c r="QMP105" s="769"/>
      <c r="QMQ105" s="769"/>
      <c r="QMR105" s="769"/>
      <c r="QMS105" s="769"/>
      <c r="QMT105" s="769"/>
      <c r="QMU105" s="769"/>
      <c r="QMV105" s="769"/>
      <c r="QMW105" s="769"/>
      <c r="QMX105" s="769"/>
      <c r="QMY105" s="769"/>
      <c r="QMZ105" s="769"/>
      <c r="QNA105" s="769"/>
      <c r="QNB105" s="769"/>
      <c r="QNC105" s="769"/>
      <c r="QND105" s="769"/>
      <c r="QNE105" s="769"/>
      <c r="QNF105" s="769"/>
      <c r="QNG105" s="769"/>
      <c r="QNH105" s="769"/>
      <c r="QNI105" s="769"/>
      <c r="QNJ105" s="769"/>
      <c r="QNK105" s="769"/>
      <c r="QNL105" s="769"/>
      <c r="QNM105" s="769"/>
      <c r="QNN105" s="769"/>
      <c r="QNO105" s="769"/>
      <c r="QNP105" s="769"/>
      <c r="QNQ105" s="769"/>
      <c r="QNR105" s="769"/>
      <c r="QNS105" s="769"/>
      <c r="QNT105" s="769"/>
      <c r="QNU105" s="769"/>
      <c r="QNV105" s="769"/>
      <c r="QNW105" s="769"/>
      <c r="QNX105" s="769"/>
      <c r="QNY105" s="769"/>
      <c r="QNZ105" s="769"/>
      <c r="QOA105" s="769"/>
      <c r="QOB105" s="769"/>
      <c r="QOC105" s="769"/>
      <c r="QOD105" s="769"/>
      <c r="QOE105" s="769"/>
      <c r="QOF105" s="769"/>
      <c r="QOG105" s="769"/>
      <c r="QOH105" s="769"/>
      <c r="QOI105" s="769"/>
      <c r="QOJ105" s="769"/>
      <c r="QOK105" s="769"/>
      <c r="QOL105" s="769"/>
      <c r="QOM105" s="769"/>
      <c r="QON105" s="769"/>
      <c r="QOO105" s="769"/>
      <c r="QOP105" s="769"/>
      <c r="QOQ105" s="769"/>
      <c r="QOR105" s="769"/>
      <c r="QOS105" s="769"/>
      <c r="QOT105" s="769"/>
      <c r="QOU105" s="769"/>
      <c r="QOV105" s="769"/>
      <c r="QOW105" s="769"/>
      <c r="QOX105" s="769"/>
      <c r="QOY105" s="769"/>
      <c r="QOZ105" s="769"/>
      <c r="QPA105" s="769"/>
      <c r="QPB105" s="769"/>
      <c r="QPC105" s="769"/>
      <c r="QPD105" s="769"/>
      <c r="QPE105" s="769"/>
      <c r="QPF105" s="769"/>
      <c r="QPG105" s="769"/>
      <c r="QPH105" s="769"/>
      <c r="QPI105" s="769"/>
      <c r="QPJ105" s="769"/>
      <c r="QPK105" s="769"/>
      <c r="QPL105" s="769"/>
      <c r="QPM105" s="769"/>
      <c r="QPN105" s="769"/>
      <c r="QPO105" s="769"/>
      <c r="QPP105" s="769"/>
      <c r="QPQ105" s="769"/>
      <c r="QPR105" s="769"/>
      <c r="QPS105" s="769"/>
      <c r="QPT105" s="769"/>
      <c r="QPU105" s="769"/>
      <c r="QPV105" s="769"/>
      <c r="QPW105" s="769"/>
      <c r="QPX105" s="769"/>
      <c r="QPY105" s="769"/>
      <c r="QPZ105" s="769"/>
      <c r="QQA105" s="769"/>
      <c r="QQB105" s="769"/>
      <c r="QQC105" s="769"/>
      <c r="QQD105" s="769"/>
      <c r="QQE105" s="769"/>
      <c r="QQF105" s="769"/>
      <c r="QQG105" s="769"/>
      <c r="QQH105" s="769"/>
      <c r="QQI105" s="769"/>
      <c r="QQJ105" s="769"/>
      <c r="QQK105" s="769"/>
      <c r="QQL105" s="769"/>
      <c r="QQM105" s="769"/>
      <c r="QQN105" s="769"/>
      <c r="QQO105" s="769"/>
      <c r="QQP105" s="769"/>
      <c r="QQQ105" s="769"/>
      <c r="QQR105" s="769"/>
      <c r="QQS105" s="769"/>
      <c r="QQT105" s="769"/>
      <c r="QQU105" s="769"/>
      <c r="QQV105" s="769"/>
      <c r="QQW105" s="769"/>
      <c r="QQX105" s="769"/>
      <c r="QQY105" s="769"/>
      <c r="QQZ105" s="769"/>
      <c r="QRA105" s="769"/>
      <c r="QRB105" s="769"/>
      <c r="QRC105" s="769"/>
      <c r="QRD105" s="769"/>
      <c r="QRE105" s="769"/>
      <c r="QRF105" s="769"/>
      <c r="QRG105" s="769"/>
      <c r="QRH105" s="769"/>
      <c r="QRI105" s="769"/>
      <c r="QRJ105" s="769"/>
      <c r="QRK105" s="769"/>
      <c r="QRL105" s="769"/>
      <c r="QRM105" s="769"/>
      <c r="QRN105" s="769"/>
      <c r="QRO105" s="769"/>
      <c r="QRP105" s="769"/>
      <c r="QRQ105" s="769"/>
      <c r="QRR105" s="769"/>
      <c r="QRS105" s="769"/>
      <c r="QRT105" s="769"/>
      <c r="QRU105" s="769"/>
      <c r="QRV105" s="769"/>
      <c r="QRW105" s="769"/>
      <c r="QRX105" s="769"/>
      <c r="QRY105" s="769"/>
      <c r="QRZ105" s="769"/>
      <c r="QSA105" s="769"/>
      <c r="QSB105" s="769"/>
      <c r="QSC105" s="769"/>
      <c r="QSD105" s="769"/>
      <c r="QSE105" s="769"/>
      <c r="QSF105" s="769"/>
      <c r="QSG105" s="769"/>
      <c r="QSH105" s="769"/>
      <c r="QSI105" s="769"/>
      <c r="QSJ105" s="769"/>
      <c r="QSK105" s="769"/>
      <c r="QSL105" s="769"/>
      <c r="QSM105" s="769"/>
      <c r="QSN105" s="769"/>
      <c r="QSO105" s="769"/>
      <c r="QSP105" s="769"/>
      <c r="QSQ105" s="769"/>
      <c r="QSR105" s="769"/>
      <c r="QSS105" s="769"/>
      <c r="QST105" s="769"/>
      <c r="QSU105" s="769"/>
      <c r="QSV105" s="769"/>
      <c r="QSW105" s="769"/>
      <c r="QSX105" s="769"/>
      <c r="QSY105" s="769"/>
      <c r="QSZ105" s="769"/>
      <c r="QTA105" s="769"/>
      <c r="QTB105" s="769"/>
      <c r="QTC105" s="769"/>
      <c r="QTD105" s="769"/>
      <c r="QTE105" s="769"/>
      <c r="QTF105" s="769"/>
      <c r="QTG105" s="769"/>
      <c r="QTH105" s="769"/>
      <c r="QTI105" s="769"/>
      <c r="QTJ105" s="769"/>
      <c r="QTK105" s="769"/>
      <c r="QTL105" s="769"/>
      <c r="QTM105" s="769"/>
      <c r="QTN105" s="769"/>
      <c r="QTO105" s="769"/>
      <c r="QTP105" s="769"/>
      <c r="QTQ105" s="769"/>
      <c r="QTR105" s="769"/>
      <c r="QTS105" s="769"/>
      <c r="QTT105" s="769"/>
      <c r="QTU105" s="769"/>
      <c r="QTV105" s="769"/>
      <c r="QTW105" s="769"/>
      <c r="QTX105" s="769"/>
      <c r="QTY105" s="769"/>
      <c r="QTZ105" s="769"/>
      <c r="QUA105" s="769"/>
      <c r="QUB105" s="769"/>
      <c r="QUC105" s="769"/>
      <c r="QUD105" s="769"/>
      <c r="QUE105" s="769"/>
      <c r="QUF105" s="769"/>
      <c r="QUG105" s="769"/>
      <c r="QUH105" s="769"/>
      <c r="QUI105" s="769"/>
      <c r="QUJ105" s="769"/>
      <c r="QUK105" s="769"/>
      <c r="QUL105" s="769"/>
      <c r="QUM105" s="769"/>
      <c r="QUN105" s="769"/>
      <c r="QUO105" s="769"/>
      <c r="QUP105" s="769"/>
      <c r="QUQ105" s="769"/>
      <c r="QUR105" s="769"/>
      <c r="QUS105" s="769"/>
      <c r="QUT105" s="769"/>
      <c r="QUU105" s="769"/>
      <c r="QUV105" s="769"/>
      <c r="QUW105" s="769"/>
      <c r="QUX105" s="769"/>
      <c r="QUY105" s="769"/>
      <c r="QUZ105" s="769"/>
      <c r="QVA105" s="769"/>
      <c r="QVB105" s="769"/>
      <c r="QVC105" s="769"/>
      <c r="QVD105" s="769"/>
      <c r="QVE105" s="769"/>
      <c r="QVF105" s="769"/>
      <c r="QVG105" s="769"/>
      <c r="QVH105" s="769"/>
      <c r="QVI105" s="769"/>
      <c r="QVJ105" s="769"/>
      <c r="QVK105" s="769"/>
      <c r="QVL105" s="769"/>
      <c r="QVM105" s="769"/>
      <c r="QVN105" s="769"/>
      <c r="QVO105" s="769"/>
      <c r="QVP105" s="769"/>
      <c r="QVQ105" s="769"/>
      <c r="QVR105" s="769"/>
      <c r="QVS105" s="769"/>
      <c r="QVT105" s="769"/>
      <c r="QVU105" s="769"/>
      <c r="QVV105" s="769"/>
      <c r="QVW105" s="769"/>
      <c r="QVX105" s="769"/>
      <c r="QVY105" s="769"/>
      <c r="QVZ105" s="769"/>
      <c r="QWA105" s="769"/>
      <c r="QWB105" s="769"/>
      <c r="QWC105" s="769"/>
      <c r="QWD105" s="769"/>
      <c r="QWE105" s="769"/>
      <c r="QWF105" s="769"/>
      <c r="QWG105" s="769"/>
      <c r="QWH105" s="769"/>
      <c r="QWI105" s="769"/>
      <c r="QWJ105" s="769"/>
      <c r="QWK105" s="769"/>
      <c r="QWL105" s="769"/>
      <c r="QWM105" s="769"/>
      <c r="QWN105" s="769"/>
      <c r="QWO105" s="769"/>
      <c r="QWP105" s="769"/>
      <c r="QWQ105" s="769"/>
      <c r="QWR105" s="769"/>
      <c r="QWS105" s="769"/>
      <c r="QWT105" s="769"/>
      <c r="QWU105" s="769"/>
      <c r="QWV105" s="769"/>
      <c r="QWW105" s="769"/>
      <c r="QWX105" s="769"/>
      <c r="QWY105" s="769"/>
      <c r="QWZ105" s="769"/>
      <c r="QXA105" s="769"/>
      <c r="QXB105" s="769"/>
      <c r="QXC105" s="769"/>
      <c r="QXD105" s="769"/>
      <c r="QXE105" s="769"/>
      <c r="QXF105" s="769"/>
      <c r="QXG105" s="769"/>
      <c r="QXH105" s="769"/>
      <c r="QXI105" s="769"/>
      <c r="QXJ105" s="769"/>
      <c r="QXK105" s="769"/>
      <c r="QXL105" s="769"/>
      <c r="QXM105" s="769"/>
      <c r="QXN105" s="769"/>
      <c r="QXO105" s="769"/>
      <c r="QXP105" s="769"/>
      <c r="QXQ105" s="769"/>
      <c r="QXR105" s="769"/>
      <c r="QXS105" s="769"/>
      <c r="QXT105" s="769"/>
      <c r="QXU105" s="769"/>
      <c r="QXV105" s="769"/>
      <c r="QXW105" s="769"/>
      <c r="QXX105" s="769"/>
      <c r="QXY105" s="769"/>
      <c r="QXZ105" s="769"/>
      <c r="QYA105" s="769"/>
      <c r="QYB105" s="769"/>
      <c r="QYC105" s="769"/>
      <c r="QYD105" s="769"/>
      <c r="QYE105" s="769"/>
      <c r="QYF105" s="769"/>
      <c r="QYG105" s="769"/>
      <c r="QYH105" s="769"/>
      <c r="QYI105" s="769"/>
      <c r="QYJ105" s="769"/>
      <c r="QYK105" s="769"/>
      <c r="QYL105" s="769"/>
      <c r="QYM105" s="769"/>
      <c r="QYN105" s="769"/>
      <c r="QYO105" s="769"/>
      <c r="QYP105" s="769"/>
      <c r="QYQ105" s="769"/>
      <c r="QYR105" s="769"/>
      <c r="QYS105" s="769"/>
      <c r="QYT105" s="769"/>
      <c r="QYU105" s="769"/>
      <c r="QYV105" s="769"/>
      <c r="QYW105" s="769"/>
      <c r="QYX105" s="769"/>
      <c r="QYY105" s="769"/>
      <c r="QYZ105" s="769"/>
      <c r="QZA105" s="769"/>
      <c r="QZB105" s="769"/>
      <c r="QZC105" s="769"/>
      <c r="QZD105" s="769"/>
      <c r="QZE105" s="769"/>
      <c r="QZF105" s="769"/>
      <c r="QZG105" s="769"/>
      <c r="QZH105" s="769"/>
      <c r="QZI105" s="769"/>
      <c r="QZJ105" s="769"/>
      <c r="QZK105" s="769"/>
      <c r="QZL105" s="769"/>
      <c r="QZM105" s="769"/>
      <c r="QZN105" s="769"/>
      <c r="QZO105" s="769"/>
      <c r="QZP105" s="769"/>
      <c r="QZQ105" s="769"/>
      <c r="QZR105" s="769"/>
      <c r="QZS105" s="769"/>
      <c r="QZT105" s="769"/>
      <c r="QZU105" s="769"/>
      <c r="QZV105" s="769"/>
      <c r="QZW105" s="769"/>
      <c r="QZX105" s="769"/>
      <c r="QZY105" s="769"/>
      <c r="QZZ105" s="769"/>
      <c r="RAA105" s="769"/>
      <c r="RAB105" s="769"/>
      <c r="RAC105" s="769"/>
      <c r="RAD105" s="769"/>
      <c r="RAE105" s="769"/>
      <c r="RAF105" s="769"/>
      <c r="RAG105" s="769"/>
      <c r="RAH105" s="769"/>
      <c r="RAI105" s="769"/>
      <c r="RAJ105" s="769"/>
      <c r="RAK105" s="769"/>
      <c r="RAL105" s="769"/>
      <c r="RAM105" s="769"/>
      <c r="RAN105" s="769"/>
      <c r="RAO105" s="769"/>
      <c r="RAP105" s="769"/>
      <c r="RAQ105" s="769"/>
      <c r="RAR105" s="769"/>
      <c r="RAS105" s="769"/>
      <c r="RAT105" s="769"/>
      <c r="RAU105" s="769"/>
      <c r="RAV105" s="769"/>
      <c r="RAW105" s="769"/>
      <c r="RAX105" s="769"/>
      <c r="RAY105" s="769"/>
      <c r="RAZ105" s="769"/>
      <c r="RBA105" s="769"/>
      <c r="RBB105" s="769"/>
      <c r="RBC105" s="769"/>
      <c r="RBD105" s="769"/>
      <c r="RBE105" s="769"/>
      <c r="RBF105" s="769"/>
      <c r="RBG105" s="769"/>
      <c r="RBH105" s="769"/>
      <c r="RBI105" s="769"/>
      <c r="RBJ105" s="769"/>
      <c r="RBK105" s="769"/>
      <c r="RBL105" s="769"/>
      <c r="RBM105" s="769"/>
      <c r="RBN105" s="769"/>
      <c r="RBO105" s="769"/>
      <c r="RBP105" s="769"/>
      <c r="RBQ105" s="769"/>
      <c r="RBR105" s="769"/>
      <c r="RBS105" s="769"/>
      <c r="RBT105" s="769"/>
      <c r="RBU105" s="769"/>
      <c r="RBV105" s="769"/>
      <c r="RBW105" s="769"/>
      <c r="RBX105" s="769"/>
      <c r="RBY105" s="769"/>
      <c r="RBZ105" s="769"/>
      <c r="RCA105" s="769"/>
      <c r="RCB105" s="769"/>
      <c r="RCC105" s="769"/>
      <c r="RCD105" s="769"/>
      <c r="RCE105" s="769"/>
      <c r="RCF105" s="769"/>
      <c r="RCG105" s="769"/>
      <c r="RCH105" s="769"/>
      <c r="RCI105" s="769"/>
      <c r="RCJ105" s="769"/>
      <c r="RCK105" s="769"/>
      <c r="RCL105" s="769"/>
      <c r="RCM105" s="769"/>
      <c r="RCN105" s="769"/>
      <c r="RCO105" s="769"/>
      <c r="RCP105" s="769"/>
      <c r="RCQ105" s="769"/>
      <c r="RCR105" s="769"/>
      <c r="RCS105" s="769"/>
      <c r="RCT105" s="769"/>
      <c r="RCU105" s="769"/>
      <c r="RCV105" s="769"/>
      <c r="RCW105" s="769"/>
      <c r="RCX105" s="769"/>
      <c r="RCY105" s="769"/>
      <c r="RCZ105" s="769"/>
      <c r="RDA105" s="769"/>
      <c r="RDB105" s="769"/>
      <c r="RDC105" s="769"/>
      <c r="RDD105" s="769"/>
      <c r="RDE105" s="769"/>
      <c r="RDF105" s="769"/>
      <c r="RDG105" s="769"/>
      <c r="RDH105" s="769"/>
      <c r="RDI105" s="769"/>
      <c r="RDJ105" s="769"/>
      <c r="RDK105" s="769"/>
      <c r="RDL105" s="769"/>
      <c r="RDM105" s="769"/>
      <c r="RDN105" s="769"/>
      <c r="RDO105" s="769"/>
      <c r="RDP105" s="769"/>
      <c r="RDQ105" s="769"/>
      <c r="RDR105" s="769"/>
      <c r="RDS105" s="769"/>
      <c r="RDT105" s="769"/>
      <c r="RDU105" s="769"/>
      <c r="RDV105" s="769"/>
      <c r="RDW105" s="769"/>
      <c r="RDX105" s="769"/>
      <c r="RDY105" s="769"/>
      <c r="RDZ105" s="769"/>
      <c r="REA105" s="769"/>
      <c r="REB105" s="769"/>
      <c r="REC105" s="769"/>
      <c r="RED105" s="769"/>
      <c r="REE105" s="769"/>
      <c r="REF105" s="769"/>
      <c r="REG105" s="769"/>
      <c r="REH105" s="769"/>
      <c r="REI105" s="769"/>
      <c r="REJ105" s="769"/>
      <c r="REK105" s="769"/>
      <c r="REL105" s="769"/>
      <c r="REM105" s="769"/>
      <c r="REN105" s="769"/>
      <c r="REO105" s="769"/>
      <c r="REP105" s="769"/>
      <c r="REQ105" s="769"/>
      <c r="RER105" s="769"/>
      <c r="RES105" s="769"/>
      <c r="RET105" s="769"/>
      <c r="REU105" s="769"/>
      <c r="REV105" s="769"/>
      <c r="REW105" s="769"/>
      <c r="REX105" s="769"/>
      <c r="REY105" s="769"/>
      <c r="REZ105" s="769"/>
      <c r="RFA105" s="769"/>
      <c r="RFB105" s="769"/>
      <c r="RFC105" s="769"/>
      <c r="RFD105" s="769"/>
      <c r="RFE105" s="769"/>
      <c r="RFF105" s="769"/>
      <c r="RFG105" s="769"/>
      <c r="RFH105" s="769"/>
      <c r="RFI105" s="769"/>
      <c r="RFJ105" s="769"/>
      <c r="RFK105" s="769"/>
      <c r="RFL105" s="769"/>
      <c r="RFM105" s="769"/>
      <c r="RFN105" s="769"/>
      <c r="RFO105" s="769"/>
      <c r="RFP105" s="769"/>
      <c r="RFQ105" s="769"/>
      <c r="RFR105" s="769"/>
      <c r="RFS105" s="769"/>
      <c r="RFT105" s="769"/>
      <c r="RFU105" s="769"/>
      <c r="RFV105" s="769"/>
      <c r="RFW105" s="769"/>
      <c r="RFX105" s="769"/>
      <c r="RFY105" s="769"/>
      <c r="RFZ105" s="769"/>
      <c r="RGA105" s="769"/>
      <c r="RGB105" s="769"/>
      <c r="RGC105" s="769"/>
      <c r="RGD105" s="769"/>
      <c r="RGE105" s="769"/>
      <c r="RGF105" s="769"/>
      <c r="RGG105" s="769"/>
      <c r="RGH105" s="769"/>
      <c r="RGI105" s="769"/>
      <c r="RGJ105" s="769"/>
      <c r="RGK105" s="769"/>
      <c r="RGL105" s="769"/>
      <c r="RGM105" s="769"/>
      <c r="RGN105" s="769"/>
      <c r="RGO105" s="769"/>
      <c r="RGP105" s="769"/>
      <c r="RGQ105" s="769"/>
      <c r="RGR105" s="769"/>
      <c r="RGS105" s="769"/>
      <c r="RGT105" s="769"/>
      <c r="RGU105" s="769"/>
      <c r="RGV105" s="769"/>
      <c r="RGW105" s="769"/>
      <c r="RGX105" s="769"/>
      <c r="RGY105" s="769"/>
      <c r="RGZ105" s="769"/>
      <c r="RHA105" s="769"/>
      <c r="RHB105" s="769"/>
      <c r="RHC105" s="769"/>
      <c r="RHD105" s="769"/>
      <c r="RHE105" s="769"/>
      <c r="RHF105" s="769"/>
      <c r="RHG105" s="769"/>
      <c r="RHH105" s="769"/>
      <c r="RHI105" s="769"/>
      <c r="RHJ105" s="769"/>
      <c r="RHK105" s="769"/>
      <c r="RHL105" s="769"/>
      <c r="RHM105" s="769"/>
      <c r="RHN105" s="769"/>
      <c r="RHO105" s="769"/>
      <c r="RHP105" s="769"/>
      <c r="RHQ105" s="769"/>
      <c r="RHR105" s="769"/>
      <c r="RHS105" s="769"/>
      <c r="RHT105" s="769"/>
      <c r="RHU105" s="769"/>
      <c r="RHV105" s="769"/>
      <c r="RHW105" s="769"/>
      <c r="RHX105" s="769"/>
      <c r="RHY105" s="769"/>
      <c r="RHZ105" s="769"/>
      <c r="RIA105" s="769"/>
      <c r="RIB105" s="769"/>
      <c r="RIC105" s="769"/>
      <c r="RID105" s="769"/>
      <c r="RIE105" s="769"/>
      <c r="RIF105" s="769"/>
      <c r="RIG105" s="769"/>
      <c r="RIH105" s="769"/>
      <c r="RII105" s="769"/>
      <c r="RIJ105" s="769"/>
      <c r="RIK105" s="769"/>
      <c r="RIL105" s="769"/>
      <c r="RIM105" s="769"/>
      <c r="RIN105" s="769"/>
      <c r="RIO105" s="769"/>
      <c r="RIP105" s="769"/>
      <c r="RIQ105" s="769"/>
      <c r="RIR105" s="769"/>
      <c r="RIS105" s="769"/>
      <c r="RIT105" s="769"/>
      <c r="RIU105" s="769"/>
      <c r="RIV105" s="769"/>
      <c r="RIW105" s="769"/>
      <c r="RIX105" s="769"/>
      <c r="RIY105" s="769"/>
      <c r="RIZ105" s="769"/>
      <c r="RJA105" s="769"/>
      <c r="RJB105" s="769"/>
      <c r="RJC105" s="769"/>
      <c r="RJD105" s="769"/>
      <c r="RJE105" s="769"/>
      <c r="RJF105" s="769"/>
      <c r="RJG105" s="769"/>
      <c r="RJH105" s="769"/>
      <c r="RJI105" s="769"/>
      <c r="RJJ105" s="769"/>
      <c r="RJK105" s="769"/>
      <c r="RJL105" s="769"/>
      <c r="RJM105" s="769"/>
      <c r="RJN105" s="769"/>
      <c r="RJO105" s="769"/>
      <c r="RJP105" s="769"/>
      <c r="RJQ105" s="769"/>
      <c r="RJR105" s="769"/>
      <c r="RJS105" s="769"/>
      <c r="RJT105" s="769"/>
      <c r="RJU105" s="769"/>
      <c r="RJV105" s="769"/>
      <c r="RJW105" s="769"/>
      <c r="RJX105" s="769"/>
      <c r="RJY105" s="769"/>
      <c r="RJZ105" s="769"/>
      <c r="RKA105" s="769"/>
      <c r="RKB105" s="769"/>
      <c r="RKC105" s="769"/>
      <c r="RKD105" s="769"/>
      <c r="RKE105" s="769"/>
      <c r="RKF105" s="769"/>
      <c r="RKG105" s="769"/>
      <c r="RKH105" s="769"/>
      <c r="RKI105" s="769"/>
      <c r="RKJ105" s="769"/>
      <c r="RKK105" s="769"/>
      <c r="RKL105" s="769"/>
      <c r="RKM105" s="769"/>
      <c r="RKN105" s="769"/>
      <c r="RKO105" s="769"/>
      <c r="RKP105" s="769"/>
      <c r="RKQ105" s="769"/>
      <c r="RKR105" s="769"/>
      <c r="RKS105" s="769"/>
      <c r="RKT105" s="769"/>
      <c r="RKU105" s="769"/>
      <c r="RKV105" s="769"/>
      <c r="RKW105" s="769"/>
      <c r="RKX105" s="769"/>
      <c r="RKY105" s="769"/>
      <c r="RKZ105" s="769"/>
      <c r="RLA105" s="769"/>
      <c r="RLB105" s="769"/>
      <c r="RLC105" s="769"/>
      <c r="RLD105" s="769"/>
      <c r="RLE105" s="769"/>
      <c r="RLF105" s="769"/>
      <c r="RLG105" s="769"/>
      <c r="RLH105" s="769"/>
      <c r="RLI105" s="769"/>
      <c r="RLJ105" s="769"/>
      <c r="RLK105" s="769"/>
      <c r="RLL105" s="769"/>
      <c r="RLM105" s="769"/>
      <c r="RLN105" s="769"/>
      <c r="RLO105" s="769"/>
      <c r="RLP105" s="769"/>
      <c r="RLQ105" s="769"/>
      <c r="RLR105" s="769"/>
      <c r="RLS105" s="769"/>
      <c r="RLT105" s="769"/>
      <c r="RLU105" s="769"/>
      <c r="RLV105" s="769"/>
      <c r="RLW105" s="769"/>
      <c r="RLX105" s="769"/>
      <c r="RLY105" s="769"/>
      <c r="RLZ105" s="769"/>
      <c r="RMA105" s="769"/>
      <c r="RMB105" s="769"/>
      <c r="RMC105" s="769"/>
      <c r="RMD105" s="769"/>
      <c r="RME105" s="769"/>
      <c r="RMF105" s="769"/>
      <c r="RMG105" s="769"/>
      <c r="RMH105" s="769"/>
      <c r="RMI105" s="769"/>
      <c r="RMJ105" s="769"/>
      <c r="RMK105" s="769"/>
      <c r="RML105" s="769"/>
      <c r="RMM105" s="769"/>
      <c r="RMN105" s="769"/>
      <c r="RMO105" s="769"/>
      <c r="RMP105" s="769"/>
      <c r="RMQ105" s="769"/>
      <c r="RMR105" s="769"/>
      <c r="RMS105" s="769"/>
      <c r="RMT105" s="769"/>
      <c r="RMU105" s="769"/>
      <c r="RMV105" s="769"/>
      <c r="RMW105" s="769"/>
      <c r="RMX105" s="769"/>
      <c r="RMY105" s="769"/>
      <c r="RMZ105" s="769"/>
      <c r="RNA105" s="769"/>
      <c r="RNB105" s="769"/>
      <c r="RNC105" s="769"/>
      <c r="RND105" s="769"/>
      <c r="RNE105" s="769"/>
      <c r="RNF105" s="769"/>
      <c r="RNG105" s="769"/>
      <c r="RNH105" s="769"/>
      <c r="RNI105" s="769"/>
      <c r="RNJ105" s="769"/>
      <c r="RNK105" s="769"/>
      <c r="RNL105" s="769"/>
      <c r="RNM105" s="769"/>
      <c r="RNN105" s="769"/>
      <c r="RNO105" s="769"/>
      <c r="RNP105" s="769"/>
      <c r="RNQ105" s="769"/>
      <c r="RNR105" s="769"/>
      <c r="RNS105" s="769"/>
      <c r="RNT105" s="769"/>
      <c r="RNU105" s="769"/>
      <c r="RNV105" s="769"/>
      <c r="RNW105" s="769"/>
      <c r="RNX105" s="769"/>
      <c r="RNY105" s="769"/>
      <c r="RNZ105" s="769"/>
      <c r="ROA105" s="769"/>
      <c r="ROB105" s="769"/>
      <c r="ROC105" s="769"/>
      <c r="ROD105" s="769"/>
      <c r="ROE105" s="769"/>
      <c r="ROF105" s="769"/>
      <c r="ROG105" s="769"/>
      <c r="ROH105" s="769"/>
      <c r="ROI105" s="769"/>
      <c r="ROJ105" s="769"/>
      <c r="ROK105" s="769"/>
      <c r="ROL105" s="769"/>
      <c r="ROM105" s="769"/>
      <c r="RON105" s="769"/>
      <c r="ROO105" s="769"/>
      <c r="ROP105" s="769"/>
      <c r="ROQ105" s="769"/>
      <c r="ROR105" s="769"/>
      <c r="ROS105" s="769"/>
      <c r="ROT105" s="769"/>
      <c r="ROU105" s="769"/>
      <c r="ROV105" s="769"/>
      <c r="ROW105" s="769"/>
      <c r="ROX105" s="769"/>
      <c r="ROY105" s="769"/>
      <c r="ROZ105" s="769"/>
      <c r="RPA105" s="769"/>
      <c r="RPB105" s="769"/>
      <c r="RPC105" s="769"/>
      <c r="RPD105" s="769"/>
      <c r="RPE105" s="769"/>
      <c r="RPF105" s="769"/>
      <c r="RPG105" s="769"/>
      <c r="RPH105" s="769"/>
      <c r="RPI105" s="769"/>
      <c r="RPJ105" s="769"/>
      <c r="RPK105" s="769"/>
      <c r="RPL105" s="769"/>
      <c r="RPM105" s="769"/>
      <c r="RPN105" s="769"/>
      <c r="RPO105" s="769"/>
      <c r="RPP105" s="769"/>
      <c r="RPQ105" s="769"/>
      <c r="RPR105" s="769"/>
      <c r="RPS105" s="769"/>
      <c r="RPT105" s="769"/>
      <c r="RPU105" s="769"/>
      <c r="RPV105" s="769"/>
      <c r="RPW105" s="769"/>
      <c r="RPX105" s="769"/>
      <c r="RPY105" s="769"/>
      <c r="RPZ105" s="769"/>
      <c r="RQA105" s="769"/>
      <c r="RQB105" s="769"/>
      <c r="RQC105" s="769"/>
      <c r="RQD105" s="769"/>
      <c r="RQE105" s="769"/>
      <c r="RQF105" s="769"/>
      <c r="RQG105" s="769"/>
      <c r="RQH105" s="769"/>
      <c r="RQI105" s="769"/>
      <c r="RQJ105" s="769"/>
      <c r="RQK105" s="769"/>
      <c r="RQL105" s="769"/>
      <c r="RQM105" s="769"/>
      <c r="RQN105" s="769"/>
      <c r="RQO105" s="769"/>
      <c r="RQP105" s="769"/>
      <c r="RQQ105" s="769"/>
      <c r="RQR105" s="769"/>
      <c r="RQS105" s="769"/>
      <c r="RQT105" s="769"/>
      <c r="RQU105" s="769"/>
      <c r="RQV105" s="769"/>
      <c r="RQW105" s="769"/>
      <c r="RQX105" s="769"/>
      <c r="RQY105" s="769"/>
      <c r="RQZ105" s="769"/>
      <c r="RRA105" s="769"/>
      <c r="RRB105" s="769"/>
      <c r="RRC105" s="769"/>
      <c r="RRD105" s="769"/>
      <c r="RRE105" s="769"/>
      <c r="RRF105" s="769"/>
      <c r="RRG105" s="769"/>
      <c r="RRH105" s="769"/>
      <c r="RRI105" s="769"/>
      <c r="RRJ105" s="769"/>
      <c r="RRK105" s="769"/>
      <c r="RRL105" s="769"/>
      <c r="RRM105" s="769"/>
      <c r="RRN105" s="769"/>
      <c r="RRO105" s="769"/>
      <c r="RRP105" s="769"/>
      <c r="RRQ105" s="769"/>
      <c r="RRR105" s="769"/>
      <c r="RRS105" s="769"/>
      <c r="RRT105" s="769"/>
      <c r="RRU105" s="769"/>
      <c r="RRV105" s="769"/>
      <c r="RRW105" s="769"/>
      <c r="RRX105" s="769"/>
      <c r="RRY105" s="769"/>
      <c r="RRZ105" s="769"/>
      <c r="RSA105" s="769"/>
      <c r="RSB105" s="769"/>
      <c r="RSC105" s="769"/>
      <c r="RSD105" s="769"/>
      <c r="RSE105" s="769"/>
      <c r="RSF105" s="769"/>
      <c r="RSG105" s="769"/>
      <c r="RSH105" s="769"/>
      <c r="RSI105" s="769"/>
      <c r="RSJ105" s="769"/>
      <c r="RSK105" s="769"/>
      <c r="RSL105" s="769"/>
      <c r="RSM105" s="769"/>
      <c r="RSN105" s="769"/>
      <c r="RSO105" s="769"/>
      <c r="RSP105" s="769"/>
      <c r="RSQ105" s="769"/>
      <c r="RSR105" s="769"/>
      <c r="RSS105" s="769"/>
      <c r="RST105" s="769"/>
      <c r="RSU105" s="769"/>
      <c r="RSV105" s="769"/>
      <c r="RSW105" s="769"/>
      <c r="RSX105" s="769"/>
      <c r="RSY105" s="769"/>
      <c r="RSZ105" s="769"/>
      <c r="RTA105" s="769"/>
      <c r="RTB105" s="769"/>
      <c r="RTC105" s="769"/>
      <c r="RTD105" s="769"/>
      <c r="RTE105" s="769"/>
      <c r="RTF105" s="769"/>
      <c r="RTG105" s="769"/>
      <c r="RTH105" s="769"/>
      <c r="RTI105" s="769"/>
      <c r="RTJ105" s="769"/>
      <c r="RTK105" s="769"/>
      <c r="RTL105" s="769"/>
      <c r="RTM105" s="769"/>
      <c r="RTN105" s="769"/>
      <c r="RTO105" s="769"/>
      <c r="RTP105" s="769"/>
      <c r="RTQ105" s="769"/>
      <c r="RTR105" s="769"/>
      <c r="RTS105" s="769"/>
      <c r="RTT105" s="769"/>
      <c r="RTU105" s="769"/>
      <c r="RTV105" s="769"/>
      <c r="RTW105" s="769"/>
      <c r="RTX105" s="769"/>
      <c r="RTY105" s="769"/>
      <c r="RTZ105" s="769"/>
      <c r="RUA105" s="769"/>
      <c r="RUB105" s="769"/>
      <c r="RUC105" s="769"/>
      <c r="RUD105" s="769"/>
      <c r="RUE105" s="769"/>
      <c r="RUF105" s="769"/>
      <c r="RUG105" s="769"/>
      <c r="RUH105" s="769"/>
      <c r="RUI105" s="769"/>
      <c r="RUJ105" s="769"/>
      <c r="RUK105" s="769"/>
      <c r="RUL105" s="769"/>
      <c r="RUM105" s="769"/>
      <c r="RUN105" s="769"/>
      <c r="RUO105" s="769"/>
      <c r="RUP105" s="769"/>
      <c r="RUQ105" s="769"/>
      <c r="RUR105" s="769"/>
      <c r="RUS105" s="769"/>
      <c r="RUT105" s="769"/>
      <c r="RUU105" s="769"/>
      <c r="RUV105" s="769"/>
      <c r="RUW105" s="769"/>
      <c r="RUX105" s="769"/>
      <c r="RUY105" s="769"/>
      <c r="RUZ105" s="769"/>
      <c r="RVA105" s="769"/>
      <c r="RVB105" s="769"/>
      <c r="RVC105" s="769"/>
      <c r="RVD105" s="769"/>
      <c r="RVE105" s="769"/>
      <c r="RVF105" s="769"/>
      <c r="RVG105" s="769"/>
      <c r="RVH105" s="769"/>
      <c r="RVI105" s="769"/>
      <c r="RVJ105" s="769"/>
      <c r="RVK105" s="769"/>
      <c r="RVL105" s="769"/>
      <c r="RVM105" s="769"/>
      <c r="RVN105" s="769"/>
      <c r="RVO105" s="769"/>
      <c r="RVP105" s="769"/>
      <c r="RVQ105" s="769"/>
      <c r="RVR105" s="769"/>
      <c r="RVS105" s="769"/>
      <c r="RVT105" s="769"/>
      <c r="RVU105" s="769"/>
      <c r="RVV105" s="769"/>
      <c r="RVW105" s="769"/>
      <c r="RVX105" s="769"/>
      <c r="RVY105" s="769"/>
      <c r="RVZ105" s="769"/>
      <c r="RWA105" s="769"/>
      <c r="RWB105" s="769"/>
      <c r="RWC105" s="769"/>
      <c r="RWD105" s="769"/>
      <c r="RWE105" s="769"/>
      <c r="RWF105" s="769"/>
      <c r="RWG105" s="769"/>
      <c r="RWH105" s="769"/>
      <c r="RWI105" s="769"/>
      <c r="RWJ105" s="769"/>
      <c r="RWK105" s="769"/>
      <c r="RWL105" s="769"/>
      <c r="RWM105" s="769"/>
      <c r="RWN105" s="769"/>
      <c r="RWO105" s="769"/>
      <c r="RWP105" s="769"/>
      <c r="RWQ105" s="769"/>
      <c r="RWR105" s="769"/>
      <c r="RWS105" s="769"/>
      <c r="RWT105" s="769"/>
      <c r="RWU105" s="769"/>
      <c r="RWV105" s="769"/>
      <c r="RWW105" s="769"/>
      <c r="RWX105" s="769"/>
      <c r="RWY105" s="769"/>
      <c r="RWZ105" s="769"/>
      <c r="RXA105" s="769"/>
      <c r="RXB105" s="769"/>
      <c r="RXC105" s="769"/>
      <c r="RXD105" s="769"/>
      <c r="RXE105" s="769"/>
      <c r="RXF105" s="769"/>
      <c r="RXG105" s="769"/>
      <c r="RXH105" s="769"/>
      <c r="RXI105" s="769"/>
      <c r="RXJ105" s="769"/>
      <c r="RXK105" s="769"/>
      <c r="RXL105" s="769"/>
      <c r="RXM105" s="769"/>
      <c r="RXN105" s="769"/>
      <c r="RXO105" s="769"/>
      <c r="RXP105" s="769"/>
      <c r="RXQ105" s="769"/>
      <c r="RXR105" s="769"/>
      <c r="RXS105" s="769"/>
      <c r="RXT105" s="769"/>
      <c r="RXU105" s="769"/>
      <c r="RXV105" s="769"/>
      <c r="RXW105" s="769"/>
      <c r="RXX105" s="769"/>
      <c r="RXY105" s="769"/>
      <c r="RXZ105" s="769"/>
      <c r="RYA105" s="769"/>
      <c r="RYB105" s="769"/>
      <c r="RYC105" s="769"/>
      <c r="RYD105" s="769"/>
      <c r="RYE105" s="769"/>
      <c r="RYF105" s="769"/>
      <c r="RYG105" s="769"/>
      <c r="RYH105" s="769"/>
      <c r="RYI105" s="769"/>
      <c r="RYJ105" s="769"/>
      <c r="RYK105" s="769"/>
      <c r="RYL105" s="769"/>
      <c r="RYM105" s="769"/>
      <c r="RYN105" s="769"/>
      <c r="RYO105" s="769"/>
      <c r="RYP105" s="769"/>
      <c r="RYQ105" s="769"/>
      <c r="RYR105" s="769"/>
      <c r="RYS105" s="769"/>
      <c r="RYT105" s="769"/>
      <c r="RYU105" s="769"/>
      <c r="RYV105" s="769"/>
      <c r="RYW105" s="769"/>
      <c r="RYX105" s="769"/>
      <c r="RYY105" s="769"/>
      <c r="RYZ105" s="769"/>
      <c r="RZA105" s="769"/>
      <c r="RZB105" s="769"/>
      <c r="RZC105" s="769"/>
      <c r="RZD105" s="769"/>
      <c r="RZE105" s="769"/>
      <c r="RZF105" s="769"/>
      <c r="RZG105" s="769"/>
      <c r="RZH105" s="769"/>
      <c r="RZI105" s="769"/>
      <c r="RZJ105" s="769"/>
      <c r="RZK105" s="769"/>
      <c r="RZL105" s="769"/>
      <c r="RZM105" s="769"/>
      <c r="RZN105" s="769"/>
      <c r="RZO105" s="769"/>
      <c r="RZP105" s="769"/>
      <c r="RZQ105" s="769"/>
      <c r="RZR105" s="769"/>
      <c r="RZS105" s="769"/>
      <c r="RZT105" s="769"/>
      <c r="RZU105" s="769"/>
      <c r="RZV105" s="769"/>
      <c r="RZW105" s="769"/>
      <c r="RZX105" s="769"/>
      <c r="RZY105" s="769"/>
      <c r="RZZ105" s="769"/>
      <c r="SAA105" s="769"/>
      <c r="SAB105" s="769"/>
      <c r="SAC105" s="769"/>
      <c r="SAD105" s="769"/>
      <c r="SAE105" s="769"/>
      <c r="SAF105" s="769"/>
      <c r="SAG105" s="769"/>
      <c r="SAH105" s="769"/>
      <c r="SAI105" s="769"/>
      <c r="SAJ105" s="769"/>
      <c r="SAK105" s="769"/>
      <c r="SAL105" s="769"/>
      <c r="SAM105" s="769"/>
      <c r="SAN105" s="769"/>
      <c r="SAO105" s="769"/>
      <c r="SAP105" s="769"/>
      <c r="SAQ105" s="769"/>
      <c r="SAR105" s="769"/>
      <c r="SAS105" s="769"/>
      <c r="SAT105" s="769"/>
      <c r="SAU105" s="769"/>
      <c r="SAV105" s="769"/>
      <c r="SAW105" s="769"/>
      <c r="SAX105" s="769"/>
      <c r="SAY105" s="769"/>
      <c r="SAZ105" s="769"/>
      <c r="SBA105" s="769"/>
      <c r="SBB105" s="769"/>
      <c r="SBC105" s="769"/>
      <c r="SBD105" s="769"/>
      <c r="SBE105" s="769"/>
      <c r="SBF105" s="769"/>
      <c r="SBG105" s="769"/>
      <c r="SBH105" s="769"/>
      <c r="SBI105" s="769"/>
      <c r="SBJ105" s="769"/>
      <c r="SBK105" s="769"/>
      <c r="SBL105" s="769"/>
      <c r="SBM105" s="769"/>
      <c r="SBN105" s="769"/>
      <c r="SBO105" s="769"/>
      <c r="SBP105" s="769"/>
      <c r="SBQ105" s="769"/>
      <c r="SBR105" s="769"/>
      <c r="SBS105" s="769"/>
      <c r="SBT105" s="769"/>
      <c r="SBU105" s="769"/>
      <c r="SBV105" s="769"/>
      <c r="SBW105" s="769"/>
      <c r="SBX105" s="769"/>
      <c r="SBY105" s="769"/>
      <c r="SBZ105" s="769"/>
      <c r="SCA105" s="769"/>
      <c r="SCB105" s="769"/>
      <c r="SCC105" s="769"/>
      <c r="SCD105" s="769"/>
      <c r="SCE105" s="769"/>
      <c r="SCF105" s="769"/>
      <c r="SCG105" s="769"/>
      <c r="SCH105" s="769"/>
      <c r="SCI105" s="769"/>
      <c r="SCJ105" s="769"/>
      <c r="SCK105" s="769"/>
      <c r="SCL105" s="769"/>
      <c r="SCM105" s="769"/>
      <c r="SCN105" s="769"/>
      <c r="SCO105" s="769"/>
      <c r="SCP105" s="769"/>
      <c r="SCQ105" s="769"/>
      <c r="SCR105" s="769"/>
      <c r="SCS105" s="769"/>
      <c r="SCT105" s="769"/>
      <c r="SCU105" s="769"/>
      <c r="SCV105" s="769"/>
      <c r="SCW105" s="769"/>
      <c r="SCX105" s="769"/>
      <c r="SCY105" s="769"/>
      <c r="SCZ105" s="769"/>
      <c r="SDA105" s="769"/>
      <c r="SDB105" s="769"/>
      <c r="SDC105" s="769"/>
      <c r="SDD105" s="769"/>
      <c r="SDE105" s="769"/>
      <c r="SDF105" s="769"/>
      <c r="SDG105" s="769"/>
      <c r="SDH105" s="769"/>
      <c r="SDI105" s="769"/>
      <c r="SDJ105" s="769"/>
      <c r="SDK105" s="769"/>
      <c r="SDL105" s="769"/>
      <c r="SDM105" s="769"/>
      <c r="SDN105" s="769"/>
      <c r="SDO105" s="769"/>
      <c r="SDP105" s="769"/>
      <c r="SDQ105" s="769"/>
      <c r="SDR105" s="769"/>
      <c r="SDS105" s="769"/>
      <c r="SDT105" s="769"/>
      <c r="SDU105" s="769"/>
      <c r="SDV105" s="769"/>
      <c r="SDW105" s="769"/>
      <c r="SDX105" s="769"/>
      <c r="SDY105" s="769"/>
      <c r="SDZ105" s="769"/>
      <c r="SEA105" s="769"/>
      <c r="SEB105" s="769"/>
      <c r="SEC105" s="769"/>
      <c r="SED105" s="769"/>
      <c r="SEE105" s="769"/>
      <c r="SEF105" s="769"/>
      <c r="SEG105" s="769"/>
      <c r="SEH105" s="769"/>
      <c r="SEI105" s="769"/>
      <c r="SEJ105" s="769"/>
      <c r="SEK105" s="769"/>
      <c r="SEL105" s="769"/>
      <c r="SEM105" s="769"/>
      <c r="SEN105" s="769"/>
      <c r="SEO105" s="769"/>
      <c r="SEP105" s="769"/>
      <c r="SEQ105" s="769"/>
      <c r="SER105" s="769"/>
      <c r="SES105" s="769"/>
      <c r="SET105" s="769"/>
      <c r="SEU105" s="769"/>
      <c r="SEV105" s="769"/>
      <c r="SEW105" s="769"/>
      <c r="SEX105" s="769"/>
      <c r="SEY105" s="769"/>
      <c r="SEZ105" s="769"/>
      <c r="SFA105" s="769"/>
      <c r="SFB105" s="769"/>
      <c r="SFC105" s="769"/>
      <c r="SFD105" s="769"/>
      <c r="SFE105" s="769"/>
      <c r="SFF105" s="769"/>
      <c r="SFG105" s="769"/>
      <c r="SFH105" s="769"/>
      <c r="SFI105" s="769"/>
      <c r="SFJ105" s="769"/>
      <c r="SFK105" s="769"/>
      <c r="SFL105" s="769"/>
      <c r="SFM105" s="769"/>
      <c r="SFN105" s="769"/>
      <c r="SFO105" s="769"/>
      <c r="SFP105" s="769"/>
      <c r="SFQ105" s="769"/>
      <c r="SFR105" s="769"/>
      <c r="SFS105" s="769"/>
      <c r="SFT105" s="769"/>
      <c r="SFU105" s="769"/>
      <c r="SFV105" s="769"/>
      <c r="SFW105" s="769"/>
      <c r="SFX105" s="769"/>
      <c r="SFY105" s="769"/>
      <c r="SFZ105" s="769"/>
      <c r="SGA105" s="769"/>
      <c r="SGB105" s="769"/>
      <c r="SGC105" s="769"/>
      <c r="SGD105" s="769"/>
      <c r="SGE105" s="769"/>
      <c r="SGF105" s="769"/>
      <c r="SGG105" s="769"/>
      <c r="SGH105" s="769"/>
      <c r="SGI105" s="769"/>
      <c r="SGJ105" s="769"/>
      <c r="SGK105" s="769"/>
      <c r="SGL105" s="769"/>
      <c r="SGM105" s="769"/>
      <c r="SGN105" s="769"/>
      <c r="SGO105" s="769"/>
      <c r="SGP105" s="769"/>
      <c r="SGQ105" s="769"/>
      <c r="SGR105" s="769"/>
      <c r="SGS105" s="769"/>
      <c r="SGT105" s="769"/>
      <c r="SGU105" s="769"/>
      <c r="SGV105" s="769"/>
      <c r="SGW105" s="769"/>
      <c r="SGX105" s="769"/>
      <c r="SGY105" s="769"/>
      <c r="SGZ105" s="769"/>
      <c r="SHA105" s="769"/>
      <c r="SHB105" s="769"/>
      <c r="SHC105" s="769"/>
      <c r="SHD105" s="769"/>
      <c r="SHE105" s="769"/>
      <c r="SHF105" s="769"/>
      <c r="SHG105" s="769"/>
      <c r="SHH105" s="769"/>
      <c r="SHI105" s="769"/>
      <c r="SHJ105" s="769"/>
      <c r="SHK105" s="769"/>
      <c r="SHL105" s="769"/>
      <c r="SHM105" s="769"/>
      <c r="SHN105" s="769"/>
      <c r="SHO105" s="769"/>
      <c r="SHP105" s="769"/>
      <c r="SHQ105" s="769"/>
      <c r="SHR105" s="769"/>
      <c r="SHS105" s="769"/>
      <c r="SHT105" s="769"/>
      <c r="SHU105" s="769"/>
      <c r="SHV105" s="769"/>
      <c r="SHW105" s="769"/>
      <c r="SHX105" s="769"/>
      <c r="SHY105" s="769"/>
      <c r="SHZ105" s="769"/>
      <c r="SIA105" s="769"/>
      <c r="SIB105" s="769"/>
      <c r="SIC105" s="769"/>
      <c r="SID105" s="769"/>
      <c r="SIE105" s="769"/>
      <c r="SIF105" s="769"/>
      <c r="SIG105" s="769"/>
      <c r="SIH105" s="769"/>
      <c r="SII105" s="769"/>
      <c r="SIJ105" s="769"/>
      <c r="SIK105" s="769"/>
      <c r="SIL105" s="769"/>
      <c r="SIM105" s="769"/>
      <c r="SIN105" s="769"/>
      <c r="SIO105" s="769"/>
      <c r="SIP105" s="769"/>
      <c r="SIQ105" s="769"/>
      <c r="SIR105" s="769"/>
      <c r="SIS105" s="769"/>
      <c r="SIT105" s="769"/>
      <c r="SIU105" s="769"/>
      <c r="SIV105" s="769"/>
      <c r="SIW105" s="769"/>
      <c r="SIX105" s="769"/>
      <c r="SIY105" s="769"/>
      <c r="SIZ105" s="769"/>
      <c r="SJA105" s="769"/>
      <c r="SJB105" s="769"/>
      <c r="SJC105" s="769"/>
      <c r="SJD105" s="769"/>
      <c r="SJE105" s="769"/>
      <c r="SJF105" s="769"/>
      <c r="SJG105" s="769"/>
      <c r="SJH105" s="769"/>
      <c r="SJI105" s="769"/>
      <c r="SJJ105" s="769"/>
      <c r="SJK105" s="769"/>
      <c r="SJL105" s="769"/>
      <c r="SJM105" s="769"/>
      <c r="SJN105" s="769"/>
      <c r="SJO105" s="769"/>
      <c r="SJP105" s="769"/>
      <c r="SJQ105" s="769"/>
      <c r="SJR105" s="769"/>
      <c r="SJS105" s="769"/>
      <c r="SJT105" s="769"/>
      <c r="SJU105" s="769"/>
      <c r="SJV105" s="769"/>
      <c r="SJW105" s="769"/>
      <c r="SJX105" s="769"/>
      <c r="SJY105" s="769"/>
      <c r="SJZ105" s="769"/>
      <c r="SKA105" s="769"/>
      <c r="SKB105" s="769"/>
      <c r="SKC105" s="769"/>
      <c r="SKD105" s="769"/>
      <c r="SKE105" s="769"/>
      <c r="SKF105" s="769"/>
      <c r="SKG105" s="769"/>
      <c r="SKH105" s="769"/>
      <c r="SKI105" s="769"/>
      <c r="SKJ105" s="769"/>
      <c r="SKK105" s="769"/>
      <c r="SKL105" s="769"/>
      <c r="SKM105" s="769"/>
      <c r="SKN105" s="769"/>
      <c r="SKO105" s="769"/>
      <c r="SKP105" s="769"/>
      <c r="SKQ105" s="769"/>
      <c r="SKR105" s="769"/>
      <c r="SKS105" s="769"/>
      <c r="SKT105" s="769"/>
      <c r="SKU105" s="769"/>
      <c r="SKV105" s="769"/>
      <c r="SKW105" s="769"/>
      <c r="SKX105" s="769"/>
      <c r="SKY105" s="769"/>
      <c r="SKZ105" s="769"/>
      <c r="SLA105" s="769"/>
      <c r="SLB105" s="769"/>
      <c r="SLC105" s="769"/>
      <c r="SLD105" s="769"/>
      <c r="SLE105" s="769"/>
      <c r="SLF105" s="769"/>
      <c r="SLG105" s="769"/>
      <c r="SLH105" s="769"/>
      <c r="SLI105" s="769"/>
      <c r="SLJ105" s="769"/>
      <c r="SLK105" s="769"/>
      <c r="SLL105" s="769"/>
      <c r="SLM105" s="769"/>
      <c r="SLN105" s="769"/>
      <c r="SLO105" s="769"/>
      <c r="SLP105" s="769"/>
      <c r="SLQ105" s="769"/>
      <c r="SLR105" s="769"/>
      <c r="SLS105" s="769"/>
      <c r="SLT105" s="769"/>
      <c r="SLU105" s="769"/>
      <c r="SLV105" s="769"/>
      <c r="SLW105" s="769"/>
      <c r="SLX105" s="769"/>
      <c r="SLY105" s="769"/>
      <c r="SLZ105" s="769"/>
      <c r="SMA105" s="769"/>
      <c r="SMB105" s="769"/>
      <c r="SMC105" s="769"/>
      <c r="SMD105" s="769"/>
      <c r="SME105" s="769"/>
      <c r="SMF105" s="769"/>
      <c r="SMG105" s="769"/>
      <c r="SMH105" s="769"/>
      <c r="SMI105" s="769"/>
      <c r="SMJ105" s="769"/>
      <c r="SMK105" s="769"/>
      <c r="SML105" s="769"/>
      <c r="SMM105" s="769"/>
      <c r="SMN105" s="769"/>
      <c r="SMO105" s="769"/>
      <c r="SMP105" s="769"/>
      <c r="SMQ105" s="769"/>
      <c r="SMR105" s="769"/>
      <c r="SMS105" s="769"/>
      <c r="SMT105" s="769"/>
      <c r="SMU105" s="769"/>
      <c r="SMV105" s="769"/>
      <c r="SMW105" s="769"/>
      <c r="SMX105" s="769"/>
      <c r="SMY105" s="769"/>
      <c r="SMZ105" s="769"/>
      <c r="SNA105" s="769"/>
      <c r="SNB105" s="769"/>
      <c r="SNC105" s="769"/>
      <c r="SND105" s="769"/>
      <c r="SNE105" s="769"/>
      <c r="SNF105" s="769"/>
      <c r="SNG105" s="769"/>
      <c r="SNH105" s="769"/>
      <c r="SNI105" s="769"/>
      <c r="SNJ105" s="769"/>
      <c r="SNK105" s="769"/>
      <c r="SNL105" s="769"/>
      <c r="SNM105" s="769"/>
      <c r="SNN105" s="769"/>
      <c r="SNO105" s="769"/>
      <c r="SNP105" s="769"/>
      <c r="SNQ105" s="769"/>
      <c r="SNR105" s="769"/>
      <c r="SNS105" s="769"/>
      <c r="SNT105" s="769"/>
      <c r="SNU105" s="769"/>
      <c r="SNV105" s="769"/>
      <c r="SNW105" s="769"/>
      <c r="SNX105" s="769"/>
      <c r="SNY105" s="769"/>
      <c r="SNZ105" s="769"/>
      <c r="SOA105" s="769"/>
      <c r="SOB105" s="769"/>
      <c r="SOC105" s="769"/>
      <c r="SOD105" s="769"/>
      <c r="SOE105" s="769"/>
      <c r="SOF105" s="769"/>
      <c r="SOG105" s="769"/>
      <c r="SOH105" s="769"/>
      <c r="SOI105" s="769"/>
      <c r="SOJ105" s="769"/>
      <c r="SOK105" s="769"/>
      <c r="SOL105" s="769"/>
      <c r="SOM105" s="769"/>
      <c r="SON105" s="769"/>
      <c r="SOO105" s="769"/>
      <c r="SOP105" s="769"/>
      <c r="SOQ105" s="769"/>
      <c r="SOR105" s="769"/>
      <c r="SOS105" s="769"/>
      <c r="SOT105" s="769"/>
      <c r="SOU105" s="769"/>
      <c r="SOV105" s="769"/>
      <c r="SOW105" s="769"/>
      <c r="SOX105" s="769"/>
      <c r="SOY105" s="769"/>
      <c r="SOZ105" s="769"/>
      <c r="SPA105" s="769"/>
      <c r="SPB105" s="769"/>
      <c r="SPC105" s="769"/>
      <c r="SPD105" s="769"/>
      <c r="SPE105" s="769"/>
      <c r="SPF105" s="769"/>
      <c r="SPG105" s="769"/>
      <c r="SPH105" s="769"/>
      <c r="SPI105" s="769"/>
      <c r="SPJ105" s="769"/>
      <c r="SPK105" s="769"/>
      <c r="SPL105" s="769"/>
      <c r="SPM105" s="769"/>
      <c r="SPN105" s="769"/>
      <c r="SPO105" s="769"/>
      <c r="SPP105" s="769"/>
      <c r="SPQ105" s="769"/>
      <c r="SPR105" s="769"/>
      <c r="SPS105" s="769"/>
      <c r="SPT105" s="769"/>
      <c r="SPU105" s="769"/>
      <c r="SPV105" s="769"/>
      <c r="SPW105" s="769"/>
      <c r="SPX105" s="769"/>
      <c r="SPY105" s="769"/>
      <c r="SPZ105" s="769"/>
      <c r="SQA105" s="769"/>
      <c r="SQB105" s="769"/>
      <c r="SQC105" s="769"/>
      <c r="SQD105" s="769"/>
      <c r="SQE105" s="769"/>
      <c r="SQF105" s="769"/>
      <c r="SQG105" s="769"/>
      <c r="SQH105" s="769"/>
      <c r="SQI105" s="769"/>
      <c r="SQJ105" s="769"/>
      <c r="SQK105" s="769"/>
      <c r="SQL105" s="769"/>
      <c r="SQM105" s="769"/>
      <c r="SQN105" s="769"/>
      <c r="SQO105" s="769"/>
      <c r="SQP105" s="769"/>
      <c r="SQQ105" s="769"/>
      <c r="SQR105" s="769"/>
      <c r="SQS105" s="769"/>
      <c r="SQT105" s="769"/>
      <c r="SQU105" s="769"/>
      <c r="SQV105" s="769"/>
      <c r="SQW105" s="769"/>
      <c r="SQX105" s="769"/>
      <c r="SQY105" s="769"/>
      <c r="SQZ105" s="769"/>
      <c r="SRA105" s="769"/>
      <c r="SRB105" s="769"/>
      <c r="SRC105" s="769"/>
      <c r="SRD105" s="769"/>
      <c r="SRE105" s="769"/>
      <c r="SRF105" s="769"/>
      <c r="SRG105" s="769"/>
      <c r="SRH105" s="769"/>
      <c r="SRI105" s="769"/>
      <c r="SRJ105" s="769"/>
      <c r="SRK105" s="769"/>
      <c r="SRL105" s="769"/>
      <c r="SRM105" s="769"/>
      <c r="SRN105" s="769"/>
      <c r="SRO105" s="769"/>
      <c r="SRP105" s="769"/>
      <c r="SRQ105" s="769"/>
      <c r="SRR105" s="769"/>
      <c r="SRS105" s="769"/>
      <c r="SRT105" s="769"/>
      <c r="SRU105" s="769"/>
      <c r="SRV105" s="769"/>
      <c r="SRW105" s="769"/>
      <c r="SRX105" s="769"/>
      <c r="SRY105" s="769"/>
      <c r="SRZ105" s="769"/>
      <c r="SSA105" s="769"/>
      <c r="SSB105" s="769"/>
      <c r="SSC105" s="769"/>
      <c r="SSD105" s="769"/>
      <c r="SSE105" s="769"/>
      <c r="SSF105" s="769"/>
      <c r="SSG105" s="769"/>
      <c r="SSH105" s="769"/>
      <c r="SSI105" s="769"/>
      <c r="SSJ105" s="769"/>
      <c r="SSK105" s="769"/>
      <c r="SSL105" s="769"/>
      <c r="SSM105" s="769"/>
      <c r="SSN105" s="769"/>
      <c r="SSO105" s="769"/>
      <c r="SSP105" s="769"/>
      <c r="SSQ105" s="769"/>
      <c r="SSR105" s="769"/>
      <c r="SSS105" s="769"/>
      <c r="SST105" s="769"/>
      <c r="SSU105" s="769"/>
      <c r="SSV105" s="769"/>
      <c r="SSW105" s="769"/>
      <c r="SSX105" s="769"/>
      <c r="SSY105" s="769"/>
      <c r="SSZ105" s="769"/>
      <c r="STA105" s="769"/>
      <c r="STB105" s="769"/>
      <c r="STC105" s="769"/>
      <c r="STD105" s="769"/>
      <c r="STE105" s="769"/>
      <c r="STF105" s="769"/>
      <c r="STG105" s="769"/>
      <c r="STH105" s="769"/>
      <c r="STI105" s="769"/>
      <c r="STJ105" s="769"/>
      <c r="STK105" s="769"/>
      <c r="STL105" s="769"/>
      <c r="STM105" s="769"/>
      <c r="STN105" s="769"/>
      <c r="STO105" s="769"/>
      <c r="STP105" s="769"/>
      <c r="STQ105" s="769"/>
      <c r="STR105" s="769"/>
      <c r="STS105" s="769"/>
      <c r="STT105" s="769"/>
      <c r="STU105" s="769"/>
      <c r="STV105" s="769"/>
      <c r="STW105" s="769"/>
      <c r="STX105" s="769"/>
      <c r="STY105" s="769"/>
      <c r="STZ105" s="769"/>
      <c r="SUA105" s="769"/>
      <c r="SUB105" s="769"/>
      <c r="SUC105" s="769"/>
      <c r="SUD105" s="769"/>
      <c r="SUE105" s="769"/>
      <c r="SUF105" s="769"/>
      <c r="SUG105" s="769"/>
      <c r="SUH105" s="769"/>
      <c r="SUI105" s="769"/>
      <c r="SUJ105" s="769"/>
      <c r="SUK105" s="769"/>
      <c r="SUL105" s="769"/>
      <c r="SUM105" s="769"/>
      <c r="SUN105" s="769"/>
      <c r="SUO105" s="769"/>
      <c r="SUP105" s="769"/>
      <c r="SUQ105" s="769"/>
      <c r="SUR105" s="769"/>
      <c r="SUS105" s="769"/>
      <c r="SUT105" s="769"/>
      <c r="SUU105" s="769"/>
      <c r="SUV105" s="769"/>
      <c r="SUW105" s="769"/>
      <c r="SUX105" s="769"/>
      <c r="SUY105" s="769"/>
      <c r="SUZ105" s="769"/>
      <c r="SVA105" s="769"/>
      <c r="SVB105" s="769"/>
      <c r="SVC105" s="769"/>
      <c r="SVD105" s="769"/>
      <c r="SVE105" s="769"/>
      <c r="SVF105" s="769"/>
      <c r="SVG105" s="769"/>
      <c r="SVH105" s="769"/>
      <c r="SVI105" s="769"/>
      <c r="SVJ105" s="769"/>
      <c r="SVK105" s="769"/>
      <c r="SVL105" s="769"/>
      <c r="SVM105" s="769"/>
      <c r="SVN105" s="769"/>
      <c r="SVO105" s="769"/>
      <c r="SVP105" s="769"/>
      <c r="SVQ105" s="769"/>
      <c r="SVR105" s="769"/>
      <c r="SVS105" s="769"/>
      <c r="SVT105" s="769"/>
      <c r="SVU105" s="769"/>
      <c r="SVV105" s="769"/>
      <c r="SVW105" s="769"/>
      <c r="SVX105" s="769"/>
      <c r="SVY105" s="769"/>
      <c r="SVZ105" s="769"/>
      <c r="SWA105" s="769"/>
      <c r="SWB105" s="769"/>
      <c r="SWC105" s="769"/>
      <c r="SWD105" s="769"/>
      <c r="SWE105" s="769"/>
      <c r="SWF105" s="769"/>
      <c r="SWG105" s="769"/>
      <c r="SWH105" s="769"/>
      <c r="SWI105" s="769"/>
      <c r="SWJ105" s="769"/>
      <c r="SWK105" s="769"/>
      <c r="SWL105" s="769"/>
      <c r="SWM105" s="769"/>
      <c r="SWN105" s="769"/>
      <c r="SWO105" s="769"/>
      <c r="SWP105" s="769"/>
      <c r="SWQ105" s="769"/>
      <c r="SWR105" s="769"/>
      <c r="SWS105" s="769"/>
      <c r="SWT105" s="769"/>
      <c r="SWU105" s="769"/>
      <c r="SWV105" s="769"/>
      <c r="SWW105" s="769"/>
      <c r="SWX105" s="769"/>
      <c r="SWY105" s="769"/>
      <c r="SWZ105" s="769"/>
      <c r="SXA105" s="769"/>
      <c r="SXB105" s="769"/>
      <c r="SXC105" s="769"/>
      <c r="SXD105" s="769"/>
      <c r="SXE105" s="769"/>
      <c r="SXF105" s="769"/>
      <c r="SXG105" s="769"/>
      <c r="SXH105" s="769"/>
      <c r="SXI105" s="769"/>
      <c r="SXJ105" s="769"/>
      <c r="SXK105" s="769"/>
      <c r="SXL105" s="769"/>
      <c r="SXM105" s="769"/>
      <c r="SXN105" s="769"/>
      <c r="SXO105" s="769"/>
      <c r="SXP105" s="769"/>
      <c r="SXQ105" s="769"/>
      <c r="SXR105" s="769"/>
      <c r="SXS105" s="769"/>
      <c r="SXT105" s="769"/>
      <c r="SXU105" s="769"/>
      <c r="SXV105" s="769"/>
      <c r="SXW105" s="769"/>
      <c r="SXX105" s="769"/>
      <c r="SXY105" s="769"/>
      <c r="SXZ105" s="769"/>
      <c r="SYA105" s="769"/>
      <c r="SYB105" s="769"/>
      <c r="SYC105" s="769"/>
      <c r="SYD105" s="769"/>
      <c r="SYE105" s="769"/>
      <c r="SYF105" s="769"/>
      <c r="SYG105" s="769"/>
      <c r="SYH105" s="769"/>
      <c r="SYI105" s="769"/>
      <c r="SYJ105" s="769"/>
      <c r="SYK105" s="769"/>
      <c r="SYL105" s="769"/>
      <c r="SYM105" s="769"/>
      <c r="SYN105" s="769"/>
      <c r="SYO105" s="769"/>
      <c r="SYP105" s="769"/>
      <c r="SYQ105" s="769"/>
      <c r="SYR105" s="769"/>
      <c r="SYS105" s="769"/>
      <c r="SYT105" s="769"/>
      <c r="SYU105" s="769"/>
      <c r="SYV105" s="769"/>
      <c r="SYW105" s="769"/>
      <c r="SYX105" s="769"/>
      <c r="SYY105" s="769"/>
      <c r="SYZ105" s="769"/>
      <c r="SZA105" s="769"/>
      <c r="SZB105" s="769"/>
      <c r="SZC105" s="769"/>
      <c r="SZD105" s="769"/>
      <c r="SZE105" s="769"/>
      <c r="SZF105" s="769"/>
      <c r="SZG105" s="769"/>
      <c r="SZH105" s="769"/>
      <c r="SZI105" s="769"/>
      <c r="SZJ105" s="769"/>
      <c r="SZK105" s="769"/>
      <c r="SZL105" s="769"/>
      <c r="SZM105" s="769"/>
      <c r="SZN105" s="769"/>
      <c r="SZO105" s="769"/>
      <c r="SZP105" s="769"/>
      <c r="SZQ105" s="769"/>
      <c r="SZR105" s="769"/>
      <c r="SZS105" s="769"/>
      <c r="SZT105" s="769"/>
      <c r="SZU105" s="769"/>
      <c r="SZV105" s="769"/>
      <c r="SZW105" s="769"/>
      <c r="SZX105" s="769"/>
      <c r="SZY105" s="769"/>
      <c r="SZZ105" s="769"/>
      <c r="TAA105" s="769"/>
      <c r="TAB105" s="769"/>
      <c r="TAC105" s="769"/>
      <c r="TAD105" s="769"/>
      <c r="TAE105" s="769"/>
      <c r="TAF105" s="769"/>
      <c r="TAG105" s="769"/>
      <c r="TAH105" s="769"/>
      <c r="TAI105" s="769"/>
      <c r="TAJ105" s="769"/>
      <c r="TAK105" s="769"/>
      <c r="TAL105" s="769"/>
      <c r="TAM105" s="769"/>
      <c r="TAN105" s="769"/>
      <c r="TAO105" s="769"/>
      <c r="TAP105" s="769"/>
      <c r="TAQ105" s="769"/>
      <c r="TAR105" s="769"/>
      <c r="TAS105" s="769"/>
      <c r="TAT105" s="769"/>
      <c r="TAU105" s="769"/>
      <c r="TAV105" s="769"/>
      <c r="TAW105" s="769"/>
      <c r="TAX105" s="769"/>
      <c r="TAY105" s="769"/>
      <c r="TAZ105" s="769"/>
      <c r="TBA105" s="769"/>
      <c r="TBB105" s="769"/>
      <c r="TBC105" s="769"/>
      <c r="TBD105" s="769"/>
      <c r="TBE105" s="769"/>
      <c r="TBF105" s="769"/>
      <c r="TBG105" s="769"/>
      <c r="TBH105" s="769"/>
      <c r="TBI105" s="769"/>
      <c r="TBJ105" s="769"/>
      <c r="TBK105" s="769"/>
      <c r="TBL105" s="769"/>
      <c r="TBM105" s="769"/>
      <c r="TBN105" s="769"/>
      <c r="TBO105" s="769"/>
      <c r="TBP105" s="769"/>
      <c r="TBQ105" s="769"/>
      <c r="TBR105" s="769"/>
      <c r="TBS105" s="769"/>
      <c r="TBT105" s="769"/>
      <c r="TBU105" s="769"/>
      <c r="TBV105" s="769"/>
      <c r="TBW105" s="769"/>
      <c r="TBX105" s="769"/>
      <c r="TBY105" s="769"/>
      <c r="TBZ105" s="769"/>
      <c r="TCA105" s="769"/>
      <c r="TCB105" s="769"/>
      <c r="TCC105" s="769"/>
      <c r="TCD105" s="769"/>
      <c r="TCE105" s="769"/>
      <c r="TCF105" s="769"/>
      <c r="TCG105" s="769"/>
      <c r="TCH105" s="769"/>
      <c r="TCI105" s="769"/>
      <c r="TCJ105" s="769"/>
      <c r="TCK105" s="769"/>
      <c r="TCL105" s="769"/>
      <c r="TCM105" s="769"/>
      <c r="TCN105" s="769"/>
      <c r="TCO105" s="769"/>
      <c r="TCP105" s="769"/>
      <c r="TCQ105" s="769"/>
      <c r="TCR105" s="769"/>
      <c r="TCS105" s="769"/>
      <c r="TCT105" s="769"/>
      <c r="TCU105" s="769"/>
      <c r="TCV105" s="769"/>
      <c r="TCW105" s="769"/>
      <c r="TCX105" s="769"/>
      <c r="TCY105" s="769"/>
      <c r="TCZ105" s="769"/>
      <c r="TDA105" s="769"/>
      <c r="TDB105" s="769"/>
      <c r="TDC105" s="769"/>
      <c r="TDD105" s="769"/>
      <c r="TDE105" s="769"/>
      <c r="TDF105" s="769"/>
      <c r="TDG105" s="769"/>
      <c r="TDH105" s="769"/>
      <c r="TDI105" s="769"/>
      <c r="TDJ105" s="769"/>
      <c r="TDK105" s="769"/>
      <c r="TDL105" s="769"/>
      <c r="TDM105" s="769"/>
      <c r="TDN105" s="769"/>
      <c r="TDO105" s="769"/>
      <c r="TDP105" s="769"/>
      <c r="TDQ105" s="769"/>
      <c r="TDR105" s="769"/>
      <c r="TDS105" s="769"/>
      <c r="TDT105" s="769"/>
      <c r="TDU105" s="769"/>
      <c r="TDV105" s="769"/>
      <c r="TDW105" s="769"/>
      <c r="TDX105" s="769"/>
      <c r="TDY105" s="769"/>
      <c r="TDZ105" s="769"/>
      <c r="TEA105" s="769"/>
      <c r="TEB105" s="769"/>
      <c r="TEC105" s="769"/>
      <c r="TED105" s="769"/>
      <c r="TEE105" s="769"/>
      <c r="TEF105" s="769"/>
      <c r="TEG105" s="769"/>
      <c r="TEH105" s="769"/>
      <c r="TEI105" s="769"/>
      <c r="TEJ105" s="769"/>
      <c r="TEK105" s="769"/>
      <c r="TEL105" s="769"/>
      <c r="TEM105" s="769"/>
      <c r="TEN105" s="769"/>
      <c r="TEO105" s="769"/>
      <c r="TEP105" s="769"/>
      <c r="TEQ105" s="769"/>
      <c r="TER105" s="769"/>
      <c r="TES105" s="769"/>
      <c r="TET105" s="769"/>
      <c r="TEU105" s="769"/>
      <c r="TEV105" s="769"/>
      <c r="TEW105" s="769"/>
      <c r="TEX105" s="769"/>
      <c r="TEY105" s="769"/>
      <c r="TEZ105" s="769"/>
      <c r="TFA105" s="769"/>
      <c r="TFB105" s="769"/>
      <c r="TFC105" s="769"/>
      <c r="TFD105" s="769"/>
      <c r="TFE105" s="769"/>
      <c r="TFF105" s="769"/>
      <c r="TFG105" s="769"/>
      <c r="TFH105" s="769"/>
      <c r="TFI105" s="769"/>
      <c r="TFJ105" s="769"/>
      <c r="TFK105" s="769"/>
      <c r="TFL105" s="769"/>
      <c r="TFM105" s="769"/>
      <c r="TFN105" s="769"/>
      <c r="TFO105" s="769"/>
      <c r="TFP105" s="769"/>
      <c r="TFQ105" s="769"/>
      <c r="TFR105" s="769"/>
      <c r="TFS105" s="769"/>
      <c r="TFT105" s="769"/>
      <c r="TFU105" s="769"/>
      <c r="TFV105" s="769"/>
      <c r="TFW105" s="769"/>
      <c r="TFX105" s="769"/>
      <c r="TFY105" s="769"/>
      <c r="TFZ105" s="769"/>
      <c r="TGA105" s="769"/>
      <c r="TGB105" s="769"/>
      <c r="TGC105" s="769"/>
      <c r="TGD105" s="769"/>
      <c r="TGE105" s="769"/>
      <c r="TGF105" s="769"/>
      <c r="TGG105" s="769"/>
      <c r="TGH105" s="769"/>
      <c r="TGI105" s="769"/>
      <c r="TGJ105" s="769"/>
      <c r="TGK105" s="769"/>
      <c r="TGL105" s="769"/>
      <c r="TGM105" s="769"/>
      <c r="TGN105" s="769"/>
      <c r="TGO105" s="769"/>
      <c r="TGP105" s="769"/>
      <c r="TGQ105" s="769"/>
      <c r="TGR105" s="769"/>
      <c r="TGS105" s="769"/>
      <c r="TGT105" s="769"/>
      <c r="TGU105" s="769"/>
      <c r="TGV105" s="769"/>
      <c r="TGW105" s="769"/>
      <c r="TGX105" s="769"/>
      <c r="TGY105" s="769"/>
      <c r="TGZ105" s="769"/>
      <c r="THA105" s="769"/>
      <c r="THB105" s="769"/>
      <c r="THC105" s="769"/>
      <c r="THD105" s="769"/>
      <c r="THE105" s="769"/>
      <c r="THF105" s="769"/>
      <c r="THG105" s="769"/>
      <c r="THH105" s="769"/>
      <c r="THI105" s="769"/>
      <c r="THJ105" s="769"/>
      <c r="THK105" s="769"/>
      <c r="THL105" s="769"/>
      <c r="THM105" s="769"/>
      <c r="THN105" s="769"/>
      <c r="THO105" s="769"/>
      <c r="THP105" s="769"/>
      <c r="THQ105" s="769"/>
      <c r="THR105" s="769"/>
      <c r="THS105" s="769"/>
      <c r="THT105" s="769"/>
      <c r="THU105" s="769"/>
      <c r="THV105" s="769"/>
      <c r="THW105" s="769"/>
      <c r="THX105" s="769"/>
      <c r="THY105" s="769"/>
      <c r="THZ105" s="769"/>
      <c r="TIA105" s="769"/>
      <c r="TIB105" s="769"/>
      <c r="TIC105" s="769"/>
      <c r="TID105" s="769"/>
      <c r="TIE105" s="769"/>
      <c r="TIF105" s="769"/>
      <c r="TIG105" s="769"/>
      <c r="TIH105" s="769"/>
      <c r="TII105" s="769"/>
      <c r="TIJ105" s="769"/>
      <c r="TIK105" s="769"/>
      <c r="TIL105" s="769"/>
      <c r="TIM105" s="769"/>
      <c r="TIN105" s="769"/>
      <c r="TIO105" s="769"/>
      <c r="TIP105" s="769"/>
      <c r="TIQ105" s="769"/>
      <c r="TIR105" s="769"/>
      <c r="TIS105" s="769"/>
      <c r="TIT105" s="769"/>
      <c r="TIU105" s="769"/>
      <c r="TIV105" s="769"/>
      <c r="TIW105" s="769"/>
      <c r="TIX105" s="769"/>
      <c r="TIY105" s="769"/>
      <c r="TIZ105" s="769"/>
      <c r="TJA105" s="769"/>
      <c r="TJB105" s="769"/>
      <c r="TJC105" s="769"/>
      <c r="TJD105" s="769"/>
      <c r="TJE105" s="769"/>
      <c r="TJF105" s="769"/>
      <c r="TJG105" s="769"/>
      <c r="TJH105" s="769"/>
      <c r="TJI105" s="769"/>
      <c r="TJJ105" s="769"/>
      <c r="TJK105" s="769"/>
      <c r="TJL105" s="769"/>
      <c r="TJM105" s="769"/>
      <c r="TJN105" s="769"/>
      <c r="TJO105" s="769"/>
      <c r="TJP105" s="769"/>
      <c r="TJQ105" s="769"/>
      <c r="TJR105" s="769"/>
      <c r="TJS105" s="769"/>
      <c r="TJT105" s="769"/>
      <c r="TJU105" s="769"/>
      <c r="TJV105" s="769"/>
      <c r="TJW105" s="769"/>
      <c r="TJX105" s="769"/>
      <c r="TJY105" s="769"/>
      <c r="TJZ105" s="769"/>
      <c r="TKA105" s="769"/>
      <c r="TKB105" s="769"/>
      <c r="TKC105" s="769"/>
      <c r="TKD105" s="769"/>
      <c r="TKE105" s="769"/>
      <c r="TKF105" s="769"/>
      <c r="TKG105" s="769"/>
      <c r="TKH105" s="769"/>
      <c r="TKI105" s="769"/>
      <c r="TKJ105" s="769"/>
      <c r="TKK105" s="769"/>
      <c r="TKL105" s="769"/>
      <c r="TKM105" s="769"/>
      <c r="TKN105" s="769"/>
      <c r="TKO105" s="769"/>
      <c r="TKP105" s="769"/>
      <c r="TKQ105" s="769"/>
      <c r="TKR105" s="769"/>
      <c r="TKS105" s="769"/>
      <c r="TKT105" s="769"/>
      <c r="TKU105" s="769"/>
      <c r="TKV105" s="769"/>
      <c r="TKW105" s="769"/>
      <c r="TKX105" s="769"/>
      <c r="TKY105" s="769"/>
      <c r="TKZ105" s="769"/>
      <c r="TLA105" s="769"/>
      <c r="TLB105" s="769"/>
      <c r="TLC105" s="769"/>
      <c r="TLD105" s="769"/>
      <c r="TLE105" s="769"/>
      <c r="TLF105" s="769"/>
      <c r="TLG105" s="769"/>
      <c r="TLH105" s="769"/>
      <c r="TLI105" s="769"/>
      <c r="TLJ105" s="769"/>
      <c r="TLK105" s="769"/>
      <c r="TLL105" s="769"/>
      <c r="TLM105" s="769"/>
      <c r="TLN105" s="769"/>
      <c r="TLO105" s="769"/>
      <c r="TLP105" s="769"/>
      <c r="TLQ105" s="769"/>
      <c r="TLR105" s="769"/>
      <c r="TLS105" s="769"/>
      <c r="TLT105" s="769"/>
      <c r="TLU105" s="769"/>
      <c r="TLV105" s="769"/>
      <c r="TLW105" s="769"/>
      <c r="TLX105" s="769"/>
      <c r="TLY105" s="769"/>
      <c r="TLZ105" s="769"/>
      <c r="TMA105" s="769"/>
      <c r="TMB105" s="769"/>
      <c r="TMC105" s="769"/>
      <c r="TMD105" s="769"/>
      <c r="TME105" s="769"/>
      <c r="TMF105" s="769"/>
      <c r="TMG105" s="769"/>
      <c r="TMH105" s="769"/>
      <c r="TMI105" s="769"/>
      <c r="TMJ105" s="769"/>
      <c r="TMK105" s="769"/>
      <c r="TML105" s="769"/>
      <c r="TMM105" s="769"/>
      <c r="TMN105" s="769"/>
      <c r="TMO105" s="769"/>
      <c r="TMP105" s="769"/>
      <c r="TMQ105" s="769"/>
      <c r="TMR105" s="769"/>
      <c r="TMS105" s="769"/>
      <c r="TMT105" s="769"/>
      <c r="TMU105" s="769"/>
      <c r="TMV105" s="769"/>
      <c r="TMW105" s="769"/>
      <c r="TMX105" s="769"/>
      <c r="TMY105" s="769"/>
      <c r="TMZ105" s="769"/>
      <c r="TNA105" s="769"/>
      <c r="TNB105" s="769"/>
      <c r="TNC105" s="769"/>
      <c r="TND105" s="769"/>
      <c r="TNE105" s="769"/>
      <c r="TNF105" s="769"/>
      <c r="TNG105" s="769"/>
      <c r="TNH105" s="769"/>
      <c r="TNI105" s="769"/>
      <c r="TNJ105" s="769"/>
      <c r="TNK105" s="769"/>
      <c r="TNL105" s="769"/>
      <c r="TNM105" s="769"/>
      <c r="TNN105" s="769"/>
      <c r="TNO105" s="769"/>
      <c r="TNP105" s="769"/>
      <c r="TNQ105" s="769"/>
      <c r="TNR105" s="769"/>
      <c r="TNS105" s="769"/>
      <c r="TNT105" s="769"/>
      <c r="TNU105" s="769"/>
      <c r="TNV105" s="769"/>
      <c r="TNW105" s="769"/>
      <c r="TNX105" s="769"/>
      <c r="TNY105" s="769"/>
      <c r="TNZ105" s="769"/>
      <c r="TOA105" s="769"/>
      <c r="TOB105" s="769"/>
      <c r="TOC105" s="769"/>
      <c r="TOD105" s="769"/>
      <c r="TOE105" s="769"/>
      <c r="TOF105" s="769"/>
      <c r="TOG105" s="769"/>
      <c r="TOH105" s="769"/>
      <c r="TOI105" s="769"/>
      <c r="TOJ105" s="769"/>
      <c r="TOK105" s="769"/>
      <c r="TOL105" s="769"/>
      <c r="TOM105" s="769"/>
      <c r="TON105" s="769"/>
      <c r="TOO105" s="769"/>
      <c r="TOP105" s="769"/>
      <c r="TOQ105" s="769"/>
      <c r="TOR105" s="769"/>
      <c r="TOS105" s="769"/>
      <c r="TOT105" s="769"/>
      <c r="TOU105" s="769"/>
      <c r="TOV105" s="769"/>
      <c r="TOW105" s="769"/>
      <c r="TOX105" s="769"/>
      <c r="TOY105" s="769"/>
      <c r="TOZ105" s="769"/>
      <c r="TPA105" s="769"/>
      <c r="TPB105" s="769"/>
      <c r="TPC105" s="769"/>
      <c r="TPD105" s="769"/>
      <c r="TPE105" s="769"/>
      <c r="TPF105" s="769"/>
      <c r="TPG105" s="769"/>
      <c r="TPH105" s="769"/>
      <c r="TPI105" s="769"/>
      <c r="TPJ105" s="769"/>
      <c r="TPK105" s="769"/>
      <c r="TPL105" s="769"/>
      <c r="TPM105" s="769"/>
      <c r="TPN105" s="769"/>
      <c r="TPO105" s="769"/>
      <c r="TPP105" s="769"/>
      <c r="TPQ105" s="769"/>
      <c r="TPR105" s="769"/>
      <c r="TPS105" s="769"/>
      <c r="TPT105" s="769"/>
      <c r="TPU105" s="769"/>
      <c r="TPV105" s="769"/>
      <c r="TPW105" s="769"/>
      <c r="TPX105" s="769"/>
      <c r="TPY105" s="769"/>
      <c r="TPZ105" s="769"/>
      <c r="TQA105" s="769"/>
      <c r="TQB105" s="769"/>
      <c r="TQC105" s="769"/>
      <c r="TQD105" s="769"/>
      <c r="TQE105" s="769"/>
      <c r="TQF105" s="769"/>
      <c r="TQG105" s="769"/>
      <c r="TQH105" s="769"/>
      <c r="TQI105" s="769"/>
      <c r="TQJ105" s="769"/>
      <c r="TQK105" s="769"/>
      <c r="TQL105" s="769"/>
      <c r="TQM105" s="769"/>
      <c r="TQN105" s="769"/>
      <c r="TQO105" s="769"/>
      <c r="TQP105" s="769"/>
      <c r="TQQ105" s="769"/>
      <c r="TQR105" s="769"/>
      <c r="TQS105" s="769"/>
      <c r="TQT105" s="769"/>
      <c r="TQU105" s="769"/>
      <c r="TQV105" s="769"/>
      <c r="TQW105" s="769"/>
      <c r="TQX105" s="769"/>
      <c r="TQY105" s="769"/>
      <c r="TQZ105" s="769"/>
      <c r="TRA105" s="769"/>
      <c r="TRB105" s="769"/>
      <c r="TRC105" s="769"/>
      <c r="TRD105" s="769"/>
      <c r="TRE105" s="769"/>
      <c r="TRF105" s="769"/>
      <c r="TRG105" s="769"/>
      <c r="TRH105" s="769"/>
      <c r="TRI105" s="769"/>
      <c r="TRJ105" s="769"/>
      <c r="TRK105" s="769"/>
      <c r="TRL105" s="769"/>
      <c r="TRM105" s="769"/>
      <c r="TRN105" s="769"/>
      <c r="TRO105" s="769"/>
      <c r="TRP105" s="769"/>
      <c r="TRQ105" s="769"/>
      <c r="TRR105" s="769"/>
      <c r="TRS105" s="769"/>
      <c r="TRT105" s="769"/>
      <c r="TRU105" s="769"/>
      <c r="TRV105" s="769"/>
      <c r="TRW105" s="769"/>
      <c r="TRX105" s="769"/>
      <c r="TRY105" s="769"/>
      <c r="TRZ105" s="769"/>
      <c r="TSA105" s="769"/>
      <c r="TSB105" s="769"/>
      <c r="TSC105" s="769"/>
      <c r="TSD105" s="769"/>
      <c r="TSE105" s="769"/>
      <c r="TSF105" s="769"/>
      <c r="TSG105" s="769"/>
      <c r="TSH105" s="769"/>
      <c r="TSI105" s="769"/>
      <c r="TSJ105" s="769"/>
      <c r="TSK105" s="769"/>
      <c r="TSL105" s="769"/>
      <c r="TSM105" s="769"/>
      <c r="TSN105" s="769"/>
      <c r="TSO105" s="769"/>
      <c r="TSP105" s="769"/>
      <c r="TSQ105" s="769"/>
      <c r="TSR105" s="769"/>
      <c r="TSS105" s="769"/>
      <c r="TST105" s="769"/>
      <c r="TSU105" s="769"/>
      <c r="TSV105" s="769"/>
      <c r="TSW105" s="769"/>
      <c r="TSX105" s="769"/>
      <c r="TSY105" s="769"/>
      <c r="TSZ105" s="769"/>
      <c r="TTA105" s="769"/>
      <c r="TTB105" s="769"/>
      <c r="TTC105" s="769"/>
      <c r="TTD105" s="769"/>
      <c r="TTE105" s="769"/>
      <c r="TTF105" s="769"/>
      <c r="TTG105" s="769"/>
      <c r="TTH105" s="769"/>
      <c r="TTI105" s="769"/>
      <c r="TTJ105" s="769"/>
      <c r="TTK105" s="769"/>
      <c r="TTL105" s="769"/>
      <c r="TTM105" s="769"/>
      <c r="TTN105" s="769"/>
      <c r="TTO105" s="769"/>
      <c r="TTP105" s="769"/>
      <c r="TTQ105" s="769"/>
      <c r="TTR105" s="769"/>
      <c r="TTS105" s="769"/>
      <c r="TTT105" s="769"/>
      <c r="TTU105" s="769"/>
      <c r="TTV105" s="769"/>
      <c r="TTW105" s="769"/>
      <c r="TTX105" s="769"/>
      <c r="TTY105" s="769"/>
      <c r="TTZ105" s="769"/>
      <c r="TUA105" s="769"/>
      <c r="TUB105" s="769"/>
      <c r="TUC105" s="769"/>
      <c r="TUD105" s="769"/>
      <c r="TUE105" s="769"/>
      <c r="TUF105" s="769"/>
      <c r="TUG105" s="769"/>
      <c r="TUH105" s="769"/>
      <c r="TUI105" s="769"/>
      <c r="TUJ105" s="769"/>
      <c r="TUK105" s="769"/>
      <c r="TUL105" s="769"/>
      <c r="TUM105" s="769"/>
      <c r="TUN105" s="769"/>
      <c r="TUO105" s="769"/>
      <c r="TUP105" s="769"/>
      <c r="TUQ105" s="769"/>
      <c r="TUR105" s="769"/>
      <c r="TUS105" s="769"/>
      <c r="TUT105" s="769"/>
      <c r="TUU105" s="769"/>
      <c r="TUV105" s="769"/>
      <c r="TUW105" s="769"/>
      <c r="TUX105" s="769"/>
      <c r="TUY105" s="769"/>
      <c r="TUZ105" s="769"/>
      <c r="TVA105" s="769"/>
      <c r="TVB105" s="769"/>
      <c r="TVC105" s="769"/>
      <c r="TVD105" s="769"/>
      <c r="TVE105" s="769"/>
      <c r="TVF105" s="769"/>
      <c r="TVG105" s="769"/>
      <c r="TVH105" s="769"/>
      <c r="TVI105" s="769"/>
      <c r="TVJ105" s="769"/>
      <c r="TVK105" s="769"/>
      <c r="TVL105" s="769"/>
      <c r="TVM105" s="769"/>
      <c r="TVN105" s="769"/>
      <c r="TVO105" s="769"/>
      <c r="TVP105" s="769"/>
      <c r="TVQ105" s="769"/>
      <c r="TVR105" s="769"/>
      <c r="TVS105" s="769"/>
      <c r="TVT105" s="769"/>
      <c r="TVU105" s="769"/>
      <c r="TVV105" s="769"/>
      <c r="TVW105" s="769"/>
      <c r="TVX105" s="769"/>
      <c r="TVY105" s="769"/>
      <c r="TVZ105" s="769"/>
      <c r="TWA105" s="769"/>
      <c r="TWB105" s="769"/>
      <c r="TWC105" s="769"/>
      <c r="TWD105" s="769"/>
      <c r="TWE105" s="769"/>
      <c r="TWF105" s="769"/>
      <c r="TWG105" s="769"/>
      <c r="TWH105" s="769"/>
      <c r="TWI105" s="769"/>
      <c r="TWJ105" s="769"/>
      <c r="TWK105" s="769"/>
      <c r="TWL105" s="769"/>
      <c r="TWM105" s="769"/>
      <c r="TWN105" s="769"/>
      <c r="TWO105" s="769"/>
      <c r="TWP105" s="769"/>
      <c r="TWQ105" s="769"/>
      <c r="TWR105" s="769"/>
      <c r="TWS105" s="769"/>
      <c r="TWT105" s="769"/>
      <c r="TWU105" s="769"/>
      <c r="TWV105" s="769"/>
      <c r="TWW105" s="769"/>
      <c r="TWX105" s="769"/>
      <c r="TWY105" s="769"/>
      <c r="TWZ105" s="769"/>
      <c r="TXA105" s="769"/>
      <c r="TXB105" s="769"/>
      <c r="TXC105" s="769"/>
      <c r="TXD105" s="769"/>
      <c r="TXE105" s="769"/>
      <c r="TXF105" s="769"/>
      <c r="TXG105" s="769"/>
      <c r="TXH105" s="769"/>
      <c r="TXI105" s="769"/>
      <c r="TXJ105" s="769"/>
      <c r="TXK105" s="769"/>
      <c r="TXL105" s="769"/>
      <c r="TXM105" s="769"/>
      <c r="TXN105" s="769"/>
      <c r="TXO105" s="769"/>
      <c r="TXP105" s="769"/>
      <c r="TXQ105" s="769"/>
      <c r="TXR105" s="769"/>
      <c r="TXS105" s="769"/>
      <c r="TXT105" s="769"/>
      <c r="TXU105" s="769"/>
      <c r="TXV105" s="769"/>
      <c r="TXW105" s="769"/>
      <c r="TXX105" s="769"/>
      <c r="TXY105" s="769"/>
      <c r="TXZ105" s="769"/>
      <c r="TYA105" s="769"/>
      <c r="TYB105" s="769"/>
      <c r="TYC105" s="769"/>
      <c r="TYD105" s="769"/>
      <c r="TYE105" s="769"/>
      <c r="TYF105" s="769"/>
      <c r="TYG105" s="769"/>
      <c r="TYH105" s="769"/>
      <c r="TYI105" s="769"/>
      <c r="TYJ105" s="769"/>
      <c r="TYK105" s="769"/>
      <c r="TYL105" s="769"/>
      <c r="TYM105" s="769"/>
      <c r="TYN105" s="769"/>
      <c r="TYO105" s="769"/>
      <c r="TYP105" s="769"/>
      <c r="TYQ105" s="769"/>
      <c r="TYR105" s="769"/>
      <c r="TYS105" s="769"/>
      <c r="TYT105" s="769"/>
      <c r="TYU105" s="769"/>
      <c r="TYV105" s="769"/>
      <c r="TYW105" s="769"/>
      <c r="TYX105" s="769"/>
      <c r="TYY105" s="769"/>
      <c r="TYZ105" s="769"/>
      <c r="TZA105" s="769"/>
      <c r="TZB105" s="769"/>
      <c r="TZC105" s="769"/>
      <c r="TZD105" s="769"/>
      <c r="TZE105" s="769"/>
      <c r="TZF105" s="769"/>
      <c r="TZG105" s="769"/>
      <c r="TZH105" s="769"/>
      <c r="TZI105" s="769"/>
      <c r="TZJ105" s="769"/>
      <c r="TZK105" s="769"/>
      <c r="TZL105" s="769"/>
      <c r="TZM105" s="769"/>
      <c r="TZN105" s="769"/>
      <c r="TZO105" s="769"/>
      <c r="TZP105" s="769"/>
      <c r="TZQ105" s="769"/>
      <c r="TZR105" s="769"/>
      <c r="TZS105" s="769"/>
      <c r="TZT105" s="769"/>
      <c r="TZU105" s="769"/>
      <c r="TZV105" s="769"/>
      <c r="TZW105" s="769"/>
      <c r="TZX105" s="769"/>
      <c r="TZY105" s="769"/>
      <c r="TZZ105" s="769"/>
      <c r="UAA105" s="769"/>
      <c r="UAB105" s="769"/>
      <c r="UAC105" s="769"/>
      <c r="UAD105" s="769"/>
      <c r="UAE105" s="769"/>
      <c r="UAF105" s="769"/>
      <c r="UAG105" s="769"/>
      <c r="UAH105" s="769"/>
      <c r="UAI105" s="769"/>
      <c r="UAJ105" s="769"/>
      <c r="UAK105" s="769"/>
      <c r="UAL105" s="769"/>
      <c r="UAM105" s="769"/>
      <c r="UAN105" s="769"/>
      <c r="UAO105" s="769"/>
      <c r="UAP105" s="769"/>
      <c r="UAQ105" s="769"/>
      <c r="UAR105" s="769"/>
      <c r="UAS105" s="769"/>
      <c r="UAT105" s="769"/>
      <c r="UAU105" s="769"/>
      <c r="UAV105" s="769"/>
      <c r="UAW105" s="769"/>
      <c r="UAX105" s="769"/>
      <c r="UAY105" s="769"/>
      <c r="UAZ105" s="769"/>
      <c r="UBA105" s="769"/>
      <c r="UBB105" s="769"/>
      <c r="UBC105" s="769"/>
      <c r="UBD105" s="769"/>
      <c r="UBE105" s="769"/>
      <c r="UBF105" s="769"/>
      <c r="UBG105" s="769"/>
      <c r="UBH105" s="769"/>
      <c r="UBI105" s="769"/>
      <c r="UBJ105" s="769"/>
      <c r="UBK105" s="769"/>
      <c r="UBL105" s="769"/>
      <c r="UBM105" s="769"/>
      <c r="UBN105" s="769"/>
      <c r="UBO105" s="769"/>
      <c r="UBP105" s="769"/>
      <c r="UBQ105" s="769"/>
      <c r="UBR105" s="769"/>
      <c r="UBS105" s="769"/>
      <c r="UBT105" s="769"/>
      <c r="UBU105" s="769"/>
      <c r="UBV105" s="769"/>
      <c r="UBW105" s="769"/>
      <c r="UBX105" s="769"/>
      <c r="UBY105" s="769"/>
      <c r="UBZ105" s="769"/>
      <c r="UCA105" s="769"/>
      <c r="UCB105" s="769"/>
      <c r="UCC105" s="769"/>
      <c r="UCD105" s="769"/>
      <c r="UCE105" s="769"/>
      <c r="UCF105" s="769"/>
      <c r="UCG105" s="769"/>
      <c r="UCH105" s="769"/>
      <c r="UCI105" s="769"/>
      <c r="UCJ105" s="769"/>
      <c r="UCK105" s="769"/>
      <c r="UCL105" s="769"/>
      <c r="UCM105" s="769"/>
      <c r="UCN105" s="769"/>
      <c r="UCO105" s="769"/>
      <c r="UCP105" s="769"/>
      <c r="UCQ105" s="769"/>
      <c r="UCR105" s="769"/>
      <c r="UCS105" s="769"/>
      <c r="UCT105" s="769"/>
      <c r="UCU105" s="769"/>
      <c r="UCV105" s="769"/>
      <c r="UCW105" s="769"/>
      <c r="UCX105" s="769"/>
      <c r="UCY105" s="769"/>
      <c r="UCZ105" s="769"/>
      <c r="UDA105" s="769"/>
      <c r="UDB105" s="769"/>
      <c r="UDC105" s="769"/>
      <c r="UDD105" s="769"/>
      <c r="UDE105" s="769"/>
      <c r="UDF105" s="769"/>
      <c r="UDG105" s="769"/>
      <c r="UDH105" s="769"/>
      <c r="UDI105" s="769"/>
      <c r="UDJ105" s="769"/>
      <c r="UDK105" s="769"/>
      <c r="UDL105" s="769"/>
      <c r="UDM105" s="769"/>
      <c r="UDN105" s="769"/>
      <c r="UDO105" s="769"/>
      <c r="UDP105" s="769"/>
      <c r="UDQ105" s="769"/>
      <c r="UDR105" s="769"/>
      <c r="UDS105" s="769"/>
      <c r="UDT105" s="769"/>
      <c r="UDU105" s="769"/>
      <c r="UDV105" s="769"/>
      <c r="UDW105" s="769"/>
      <c r="UDX105" s="769"/>
      <c r="UDY105" s="769"/>
      <c r="UDZ105" s="769"/>
      <c r="UEA105" s="769"/>
      <c r="UEB105" s="769"/>
      <c r="UEC105" s="769"/>
      <c r="UED105" s="769"/>
      <c r="UEE105" s="769"/>
      <c r="UEF105" s="769"/>
      <c r="UEG105" s="769"/>
      <c r="UEH105" s="769"/>
      <c r="UEI105" s="769"/>
      <c r="UEJ105" s="769"/>
      <c r="UEK105" s="769"/>
      <c r="UEL105" s="769"/>
      <c r="UEM105" s="769"/>
      <c r="UEN105" s="769"/>
      <c r="UEO105" s="769"/>
      <c r="UEP105" s="769"/>
      <c r="UEQ105" s="769"/>
      <c r="UER105" s="769"/>
      <c r="UES105" s="769"/>
      <c r="UET105" s="769"/>
      <c r="UEU105" s="769"/>
      <c r="UEV105" s="769"/>
      <c r="UEW105" s="769"/>
      <c r="UEX105" s="769"/>
      <c r="UEY105" s="769"/>
      <c r="UEZ105" s="769"/>
      <c r="UFA105" s="769"/>
      <c r="UFB105" s="769"/>
      <c r="UFC105" s="769"/>
      <c r="UFD105" s="769"/>
      <c r="UFE105" s="769"/>
      <c r="UFF105" s="769"/>
      <c r="UFG105" s="769"/>
      <c r="UFH105" s="769"/>
      <c r="UFI105" s="769"/>
      <c r="UFJ105" s="769"/>
      <c r="UFK105" s="769"/>
      <c r="UFL105" s="769"/>
      <c r="UFM105" s="769"/>
      <c r="UFN105" s="769"/>
      <c r="UFO105" s="769"/>
      <c r="UFP105" s="769"/>
      <c r="UFQ105" s="769"/>
      <c r="UFR105" s="769"/>
      <c r="UFS105" s="769"/>
      <c r="UFT105" s="769"/>
      <c r="UFU105" s="769"/>
      <c r="UFV105" s="769"/>
      <c r="UFW105" s="769"/>
      <c r="UFX105" s="769"/>
      <c r="UFY105" s="769"/>
      <c r="UFZ105" s="769"/>
      <c r="UGA105" s="769"/>
      <c r="UGB105" s="769"/>
      <c r="UGC105" s="769"/>
      <c r="UGD105" s="769"/>
      <c r="UGE105" s="769"/>
      <c r="UGF105" s="769"/>
      <c r="UGG105" s="769"/>
      <c r="UGH105" s="769"/>
      <c r="UGI105" s="769"/>
      <c r="UGJ105" s="769"/>
      <c r="UGK105" s="769"/>
      <c r="UGL105" s="769"/>
      <c r="UGM105" s="769"/>
      <c r="UGN105" s="769"/>
      <c r="UGO105" s="769"/>
      <c r="UGP105" s="769"/>
      <c r="UGQ105" s="769"/>
      <c r="UGR105" s="769"/>
      <c r="UGS105" s="769"/>
      <c r="UGT105" s="769"/>
      <c r="UGU105" s="769"/>
      <c r="UGV105" s="769"/>
      <c r="UGW105" s="769"/>
      <c r="UGX105" s="769"/>
      <c r="UGY105" s="769"/>
      <c r="UGZ105" s="769"/>
      <c r="UHA105" s="769"/>
      <c r="UHB105" s="769"/>
      <c r="UHC105" s="769"/>
      <c r="UHD105" s="769"/>
      <c r="UHE105" s="769"/>
      <c r="UHF105" s="769"/>
      <c r="UHG105" s="769"/>
      <c r="UHH105" s="769"/>
      <c r="UHI105" s="769"/>
      <c r="UHJ105" s="769"/>
      <c r="UHK105" s="769"/>
      <c r="UHL105" s="769"/>
      <c r="UHM105" s="769"/>
      <c r="UHN105" s="769"/>
      <c r="UHO105" s="769"/>
      <c r="UHP105" s="769"/>
      <c r="UHQ105" s="769"/>
      <c r="UHR105" s="769"/>
      <c r="UHS105" s="769"/>
      <c r="UHT105" s="769"/>
      <c r="UHU105" s="769"/>
      <c r="UHV105" s="769"/>
      <c r="UHW105" s="769"/>
      <c r="UHX105" s="769"/>
      <c r="UHY105" s="769"/>
      <c r="UHZ105" s="769"/>
      <c r="UIA105" s="769"/>
      <c r="UIB105" s="769"/>
      <c r="UIC105" s="769"/>
      <c r="UID105" s="769"/>
      <c r="UIE105" s="769"/>
      <c r="UIF105" s="769"/>
      <c r="UIG105" s="769"/>
      <c r="UIH105" s="769"/>
      <c r="UII105" s="769"/>
      <c r="UIJ105" s="769"/>
      <c r="UIK105" s="769"/>
      <c r="UIL105" s="769"/>
      <c r="UIM105" s="769"/>
      <c r="UIN105" s="769"/>
      <c r="UIO105" s="769"/>
      <c r="UIP105" s="769"/>
      <c r="UIQ105" s="769"/>
      <c r="UIR105" s="769"/>
      <c r="UIS105" s="769"/>
      <c r="UIT105" s="769"/>
      <c r="UIU105" s="769"/>
      <c r="UIV105" s="769"/>
      <c r="UIW105" s="769"/>
      <c r="UIX105" s="769"/>
      <c r="UIY105" s="769"/>
      <c r="UIZ105" s="769"/>
      <c r="UJA105" s="769"/>
      <c r="UJB105" s="769"/>
      <c r="UJC105" s="769"/>
      <c r="UJD105" s="769"/>
      <c r="UJE105" s="769"/>
      <c r="UJF105" s="769"/>
      <c r="UJG105" s="769"/>
      <c r="UJH105" s="769"/>
      <c r="UJI105" s="769"/>
      <c r="UJJ105" s="769"/>
      <c r="UJK105" s="769"/>
      <c r="UJL105" s="769"/>
      <c r="UJM105" s="769"/>
      <c r="UJN105" s="769"/>
      <c r="UJO105" s="769"/>
      <c r="UJP105" s="769"/>
      <c r="UJQ105" s="769"/>
      <c r="UJR105" s="769"/>
      <c r="UJS105" s="769"/>
      <c r="UJT105" s="769"/>
      <c r="UJU105" s="769"/>
      <c r="UJV105" s="769"/>
      <c r="UJW105" s="769"/>
      <c r="UJX105" s="769"/>
      <c r="UJY105" s="769"/>
      <c r="UJZ105" s="769"/>
      <c r="UKA105" s="769"/>
      <c r="UKB105" s="769"/>
      <c r="UKC105" s="769"/>
      <c r="UKD105" s="769"/>
      <c r="UKE105" s="769"/>
      <c r="UKF105" s="769"/>
      <c r="UKG105" s="769"/>
      <c r="UKH105" s="769"/>
      <c r="UKI105" s="769"/>
      <c r="UKJ105" s="769"/>
      <c r="UKK105" s="769"/>
      <c r="UKL105" s="769"/>
      <c r="UKM105" s="769"/>
      <c r="UKN105" s="769"/>
      <c r="UKO105" s="769"/>
      <c r="UKP105" s="769"/>
      <c r="UKQ105" s="769"/>
      <c r="UKR105" s="769"/>
      <c r="UKS105" s="769"/>
      <c r="UKT105" s="769"/>
      <c r="UKU105" s="769"/>
      <c r="UKV105" s="769"/>
      <c r="UKW105" s="769"/>
      <c r="UKX105" s="769"/>
      <c r="UKY105" s="769"/>
      <c r="UKZ105" s="769"/>
      <c r="ULA105" s="769"/>
      <c r="ULB105" s="769"/>
      <c r="ULC105" s="769"/>
      <c r="ULD105" s="769"/>
      <c r="ULE105" s="769"/>
      <c r="ULF105" s="769"/>
      <c r="ULG105" s="769"/>
      <c r="ULH105" s="769"/>
      <c r="ULI105" s="769"/>
      <c r="ULJ105" s="769"/>
      <c r="ULK105" s="769"/>
      <c r="ULL105" s="769"/>
      <c r="ULM105" s="769"/>
      <c r="ULN105" s="769"/>
      <c r="ULO105" s="769"/>
      <c r="ULP105" s="769"/>
      <c r="ULQ105" s="769"/>
      <c r="ULR105" s="769"/>
      <c r="ULS105" s="769"/>
      <c r="ULT105" s="769"/>
      <c r="ULU105" s="769"/>
      <c r="ULV105" s="769"/>
      <c r="ULW105" s="769"/>
      <c r="ULX105" s="769"/>
      <c r="ULY105" s="769"/>
      <c r="ULZ105" s="769"/>
      <c r="UMA105" s="769"/>
      <c r="UMB105" s="769"/>
      <c r="UMC105" s="769"/>
      <c r="UMD105" s="769"/>
      <c r="UME105" s="769"/>
      <c r="UMF105" s="769"/>
      <c r="UMG105" s="769"/>
      <c r="UMH105" s="769"/>
      <c r="UMI105" s="769"/>
      <c r="UMJ105" s="769"/>
      <c r="UMK105" s="769"/>
      <c r="UML105" s="769"/>
      <c r="UMM105" s="769"/>
      <c r="UMN105" s="769"/>
      <c r="UMO105" s="769"/>
      <c r="UMP105" s="769"/>
      <c r="UMQ105" s="769"/>
      <c r="UMR105" s="769"/>
      <c r="UMS105" s="769"/>
      <c r="UMT105" s="769"/>
      <c r="UMU105" s="769"/>
      <c r="UMV105" s="769"/>
      <c r="UMW105" s="769"/>
      <c r="UMX105" s="769"/>
      <c r="UMY105" s="769"/>
      <c r="UMZ105" s="769"/>
      <c r="UNA105" s="769"/>
      <c r="UNB105" s="769"/>
      <c r="UNC105" s="769"/>
      <c r="UND105" s="769"/>
      <c r="UNE105" s="769"/>
      <c r="UNF105" s="769"/>
      <c r="UNG105" s="769"/>
      <c r="UNH105" s="769"/>
      <c r="UNI105" s="769"/>
      <c r="UNJ105" s="769"/>
      <c r="UNK105" s="769"/>
      <c r="UNL105" s="769"/>
      <c r="UNM105" s="769"/>
      <c r="UNN105" s="769"/>
      <c r="UNO105" s="769"/>
      <c r="UNP105" s="769"/>
      <c r="UNQ105" s="769"/>
      <c r="UNR105" s="769"/>
      <c r="UNS105" s="769"/>
      <c r="UNT105" s="769"/>
      <c r="UNU105" s="769"/>
      <c r="UNV105" s="769"/>
      <c r="UNW105" s="769"/>
      <c r="UNX105" s="769"/>
      <c r="UNY105" s="769"/>
      <c r="UNZ105" s="769"/>
      <c r="UOA105" s="769"/>
      <c r="UOB105" s="769"/>
      <c r="UOC105" s="769"/>
      <c r="UOD105" s="769"/>
      <c r="UOE105" s="769"/>
      <c r="UOF105" s="769"/>
      <c r="UOG105" s="769"/>
      <c r="UOH105" s="769"/>
      <c r="UOI105" s="769"/>
      <c r="UOJ105" s="769"/>
      <c r="UOK105" s="769"/>
      <c r="UOL105" s="769"/>
      <c r="UOM105" s="769"/>
      <c r="UON105" s="769"/>
      <c r="UOO105" s="769"/>
      <c r="UOP105" s="769"/>
      <c r="UOQ105" s="769"/>
      <c r="UOR105" s="769"/>
      <c r="UOS105" s="769"/>
      <c r="UOT105" s="769"/>
      <c r="UOU105" s="769"/>
      <c r="UOV105" s="769"/>
      <c r="UOW105" s="769"/>
      <c r="UOX105" s="769"/>
      <c r="UOY105" s="769"/>
      <c r="UOZ105" s="769"/>
      <c r="UPA105" s="769"/>
      <c r="UPB105" s="769"/>
      <c r="UPC105" s="769"/>
      <c r="UPD105" s="769"/>
      <c r="UPE105" s="769"/>
      <c r="UPF105" s="769"/>
      <c r="UPG105" s="769"/>
      <c r="UPH105" s="769"/>
      <c r="UPI105" s="769"/>
      <c r="UPJ105" s="769"/>
      <c r="UPK105" s="769"/>
      <c r="UPL105" s="769"/>
      <c r="UPM105" s="769"/>
      <c r="UPN105" s="769"/>
      <c r="UPO105" s="769"/>
      <c r="UPP105" s="769"/>
      <c r="UPQ105" s="769"/>
      <c r="UPR105" s="769"/>
      <c r="UPS105" s="769"/>
      <c r="UPT105" s="769"/>
      <c r="UPU105" s="769"/>
      <c r="UPV105" s="769"/>
      <c r="UPW105" s="769"/>
      <c r="UPX105" s="769"/>
      <c r="UPY105" s="769"/>
      <c r="UPZ105" s="769"/>
      <c r="UQA105" s="769"/>
      <c r="UQB105" s="769"/>
      <c r="UQC105" s="769"/>
      <c r="UQD105" s="769"/>
      <c r="UQE105" s="769"/>
      <c r="UQF105" s="769"/>
      <c r="UQG105" s="769"/>
      <c r="UQH105" s="769"/>
      <c r="UQI105" s="769"/>
      <c r="UQJ105" s="769"/>
      <c r="UQK105" s="769"/>
      <c r="UQL105" s="769"/>
      <c r="UQM105" s="769"/>
      <c r="UQN105" s="769"/>
      <c r="UQO105" s="769"/>
      <c r="UQP105" s="769"/>
      <c r="UQQ105" s="769"/>
      <c r="UQR105" s="769"/>
      <c r="UQS105" s="769"/>
      <c r="UQT105" s="769"/>
      <c r="UQU105" s="769"/>
      <c r="UQV105" s="769"/>
      <c r="UQW105" s="769"/>
      <c r="UQX105" s="769"/>
      <c r="UQY105" s="769"/>
      <c r="UQZ105" s="769"/>
      <c r="URA105" s="769"/>
      <c r="URB105" s="769"/>
      <c r="URC105" s="769"/>
      <c r="URD105" s="769"/>
      <c r="URE105" s="769"/>
      <c r="URF105" s="769"/>
      <c r="URG105" s="769"/>
      <c r="URH105" s="769"/>
      <c r="URI105" s="769"/>
      <c r="URJ105" s="769"/>
      <c r="URK105" s="769"/>
      <c r="URL105" s="769"/>
      <c r="URM105" s="769"/>
      <c r="URN105" s="769"/>
      <c r="URO105" s="769"/>
      <c r="URP105" s="769"/>
      <c r="URQ105" s="769"/>
      <c r="URR105" s="769"/>
      <c r="URS105" s="769"/>
      <c r="URT105" s="769"/>
      <c r="URU105" s="769"/>
      <c r="URV105" s="769"/>
      <c r="URW105" s="769"/>
      <c r="URX105" s="769"/>
      <c r="URY105" s="769"/>
      <c r="URZ105" s="769"/>
      <c r="USA105" s="769"/>
      <c r="USB105" s="769"/>
      <c r="USC105" s="769"/>
      <c r="USD105" s="769"/>
      <c r="USE105" s="769"/>
      <c r="USF105" s="769"/>
      <c r="USG105" s="769"/>
      <c r="USH105" s="769"/>
      <c r="USI105" s="769"/>
      <c r="USJ105" s="769"/>
      <c r="USK105" s="769"/>
      <c r="USL105" s="769"/>
      <c r="USM105" s="769"/>
      <c r="USN105" s="769"/>
      <c r="USO105" s="769"/>
      <c r="USP105" s="769"/>
      <c r="USQ105" s="769"/>
      <c r="USR105" s="769"/>
      <c r="USS105" s="769"/>
      <c r="UST105" s="769"/>
      <c r="USU105" s="769"/>
      <c r="USV105" s="769"/>
      <c r="USW105" s="769"/>
      <c r="USX105" s="769"/>
      <c r="USY105" s="769"/>
      <c r="USZ105" s="769"/>
      <c r="UTA105" s="769"/>
      <c r="UTB105" s="769"/>
      <c r="UTC105" s="769"/>
      <c r="UTD105" s="769"/>
      <c r="UTE105" s="769"/>
      <c r="UTF105" s="769"/>
      <c r="UTG105" s="769"/>
      <c r="UTH105" s="769"/>
      <c r="UTI105" s="769"/>
      <c r="UTJ105" s="769"/>
      <c r="UTK105" s="769"/>
      <c r="UTL105" s="769"/>
      <c r="UTM105" s="769"/>
      <c r="UTN105" s="769"/>
      <c r="UTO105" s="769"/>
      <c r="UTP105" s="769"/>
      <c r="UTQ105" s="769"/>
      <c r="UTR105" s="769"/>
      <c r="UTS105" s="769"/>
      <c r="UTT105" s="769"/>
      <c r="UTU105" s="769"/>
      <c r="UTV105" s="769"/>
      <c r="UTW105" s="769"/>
      <c r="UTX105" s="769"/>
      <c r="UTY105" s="769"/>
      <c r="UTZ105" s="769"/>
      <c r="UUA105" s="769"/>
      <c r="UUB105" s="769"/>
      <c r="UUC105" s="769"/>
      <c r="UUD105" s="769"/>
      <c r="UUE105" s="769"/>
      <c r="UUF105" s="769"/>
      <c r="UUG105" s="769"/>
      <c r="UUH105" s="769"/>
      <c r="UUI105" s="769"/>
      <c r="UUJ105" s="769"/>
      <c r="UUK105" s="769"/>
      <c r="UUL105" s="769"/>
      <c r="UUM105" s="769"/>
      <c r="UUN105" s="769"/>
      <c r="UUO105" s="769"/>
      <c r="UUP105" s="769"/>
      <c r="UUQ105" s="769"/>
      <c r="UUR105" s="769"/>
      <c r="UUS105" s="769"/>
      <c r="UUT105" s="769"/>
      <c r="UUU105" s="769"/>
      <c r="UUV105" s="769"/>
      <c r="UUW105" s="769"/>
      <c r="UUX105" s="769"/>
      <c r="UUY105" s="769"/>
      <c r="UUZ105" s="769"/>
      <c r="UVA105" s="769"/>
      <c r="UVB105" s="769"/>
      <c r="UVC105" s="769"/>
      <c r="UVD105" s="769"/>
      <c r="UVE105" s="769"/>
      <c r="UVF105" s="769"/>
      <c r="UVG105" s="769"/>
      <c r="UVH105" s="769"/>
      <c r="UVI105" s="769"/>
      <c r="UVJ105" s="769"/>
      <c r="UVK105" s="769"/>
      <c r="UVL105" s="769"/>
      <c r="UVM105" s="769"/>
      <c r="UVN105" s="769"/>
      <c r="UVO105" s="769"/>
      <c r="UVP105" s="769"/>
      <c r="UVQ105" s="769"/>
      <c r="UVR105" s="769"/>
      <c r="UVS105" s="769"/>
      <c r="UVT105" s="769"/>
      <c r="UVU105" s="769"/>
      <c r="UVV105" s="769"/>
      <c r="UVW105" s="769"/>
      <c r="UVX105" s="769"/>
      <c r="UVY105" s="769"/>
      <c r="UVZ105" s="769"/>
      <c r="UWA105" s="769"/>
      <c r="UWB105" s="769"/>
      <c r="UWC105" s="769"/>
      <c r="UWD105" s="769"/>
      <c r="UWE105" s="769"/>
      <c r="UWF105" s="769"/>
      <c r="UWG105" s="769"/>
      <c r="UWH105" s="769"/>
      <c r="UWI105" s="769"/>
      <c r="UWJ105" s="769"/>
      <c r="UWK105" s="769"/>
      <c r="UWL105" s="769"/>
      <c r="UWM105" s="769"/>
      <c r="UWN105" s="769"/>
      <c r="UWO105" s="769"/>
      <c r="UWP105" s="769"/>
      <c r="UWQ105" s="769"/>
      <c r="UWR105" s="769"/>
      <c r="UWS105" s="769"/>
      <c r="UWT105" s="769"/>
      <c r="UWU105" s="769"/>
      <c r="UWV105" s="769"/>
      <c r="UWW105" s="769"/>
      <c r="UWX105" s="769"/>
      <c r="UWY105" s="769"/>
      <c r="UWZ105" s="769"/>
      <c r="UXA105" s="769"/>
      <c r="UXB105" s="769"/>
      <c r="UXC105" s="769"/>
      <c r="UXD105" s="769"/>
      <c r="UXE105" s="769"/>
      <c r="UXF105" s="769"/>
      <c r="UXG105" s="769"/>
      <c r="UXH105" s="769"/>
      <c r="UXI105" s="769"/>
      <c r="UXJ105" s="769"/>
      <c r="UXK105" s="769"/>
      <c r="UXL105" s="769"/>
      <c r="UXM105" s="769"/>
      <c r="UXN105" s="769"/>
      <c r="UXO105" s="769"/>
      <c r="UXP105" s="769"/>
      <c r="UXQ105" s="769"/>
      <c r="UXR105" s="769"/>
      <c r="UXS105" s="769"/>
      <c r="UXT105" s="769"/>
      <c r="UXU105" s="769"/>
      <c r="UXV105" s="769"/>
      <c r="UXW105" s="769"/>
      <c r="UXX105" s="769"/>
      <c r="UXY105" s="769"/>
      <c r="UXZ105" s="769"/>
      <c r="UYA105" s="769"/>
      <c r="UYB105" s="769"/>
      <c r="UYC105" s="769"/>
      <c r="UYD105" s="769"/>
      <c r="UYE105" s="769"/>
      <c r="UYF105" s="769"/>
      <c r="UYG105" s="769"/>
      <c r="UYH105" s="769"/>
      <c r="UYI105" s="769"/>
      <c r="UYJ105" s="769"/>
      <c r="UYK105" s="769"/>
      <c r="UYL105" s="769"/>
      <c r="UYM105" s="769"/>
      <c r="UYN105" s="769"/>
      <c r="UYO105" s="769"/>
      <c r="UYP105" s="769"/>
      <c r="UYQ105" s="769"/>
      <c r="UYR105" s="769"/>
      <c r="UYS105" s="769"/>
      <c r="UYT105" s="769"/>
      <c r="UYU105" s="769"/>
      <c r="UYV105" s="769"/>
      <c r="UYW105" s="769"/>
      <c r="UYX105" s="769"/>
      <c r="UYY105" s="769"/>
      <c r="UYZ105" s="769"/>
      <c r="UZA105" s="769"/>
      <c r="UZB105" s="769"/>
      <c r="UZC105" s="769"/>
      <c r="UZD105" s="769"/>
      <c r="UZE105" s="769"/>
      <c r="UZF105" s="769"/>
      <c r="UZG105" s="769"/>
      <c r="UZH105" s="769"/>
      <c r="UZI105" s="769"/>
      <c r="UZJ105" s="769"/>
      <c r="UZK105" s="769"/>
      <c r="UZL105" s="769"/>
      <c r="UZM105" s="769"/>
      <c r="UZN105" s="769"/>
      <c r="UZO105" s="769"/>
      <c r="UZP105" s="769"/>
      <c r="UZQ105" s="769"/>
      <c r="UZR105" s="769"/>
      <c r="UZS105" s="769"/>
      <c r="UZT105" s="769"/>
      <c r="UZU105" s="769"/>
      <c r="UZV105" s="769"/>
      <c r="UZW105" s="769"/>
      <c r="UZX105" s="769"/>
      <c r="UZY105" s="769"/>
      <c r="UZZ105" s="769"/>
      <c r="VAA105" s="769"/>
      <c r="VAB105" s="769"/>
      <c r="VAC105" s="769"/>
      <c r="VAD105" s="769"/>
      <c r="VAE105" s="769"/>
      <c r="VAF105" s="769"/>
      <c r="VAG105" s="769"/>
      <c r="VAH105" s="769"/>
      <c r="VAI105" s="769"/>
      <c r="VAJ105" s="769"/>
      <c r="VAK105" s="769"/>
      <c r="VAL105" s="769"/>
      <c r="VAM105" s="769"/>
      <c r="VAN105" s="769"/>
      <c r="VAO105" s="769"/>
      <c r="VAP105" s="769"/>
      <c r="VAQ105" s="769"/>
      <c r="VAR105" s="769"/>
      <c r="VAS105" s="769"/>
      <c r="VAT105" s="769"/>
      <c r="VAU105" s="769"/>
      <c r="VAV105" s="769"/>
      <c r="VAW105" s="769"/>
      <c r="VAX105" s="769"/>
      <c r="VAY105" s="769"/>
      <c r="VAZ105" s="769"/>
      <c r="VBA105" s="769"/>
      <c r="VBB105" s="769"/>
      <c r="VBC105" s="769"/>
      <c r="VBD105" s="769"/>
      <c r="VBE105" s="769"/>
      <c r="VBF105" s="769"/>
      <c r="VBG105" s="769"/>
      <c r="VBH105" s="769"/>
      <c r="VBI105" s="769"/>
      <c r="VBJ105" s="769"/>
      <c r="VBK105" s="769"/>
      <c r="VBL105" s="769"/>
      <c r="VBM105" s="769"/>
      <c r="VBN105" s="769"/>
      <c r="VBO105" s="769"/>
      <c r="VBP105" s="769"/>
      <c r="VBQ105" s="769"/>
      <c r="VBR105" s="769"/>
      <c r="VBS105" s="769"/>
      <c r="VBT105" s="769"/>
      <c r="VBU105" s="769"/>
      <c r="VBV105" s="769"/>
      <c r="VBW105" s="769"/>
      <c r="VBX105" s="769"/>
      <c r="VBY105" s="769"/>
      <c r="VBZ105" s="769"/>
      <c r="VCA105" s="769"/>
      <c r="VCB105" s="769"/>
      <c r="VCC105" s="769"/>
      <c r="VCD105" s="769"/>
      <c r="VCE105" s="769"/>
      <c r="VCF105" s="769"/>
      <c r="VCG105" s="769"/>
      <c r="VCH105" s="769"/>
      <c r="VCI105" s="769"/>
      <c r="VCJ105" s="769"/>
      <c r="VCK105" s="769"/>
      <c r="VCL105" s="769"/>
      <c r="VCM105" s="769"/>
      <c r="VCN105" s="769"/>
      <c r="VCO105" s="769"/>
      <c r="VCP105" s="769"/>
      <c r="VCQ105" s="769"/>
      <c r="VCR105" s="769"/>
      <c r="VCS105" s="769"/>
      <c r="VCT105" s="769"/>
      <c r="VCU105" s="769"/>
      <c r="VCV105" s="769"/>
      <c r="VCW105" s="769"/>
      <c r="VCX105" s="769"/>
      <c r="VCY105" s="769"/>
      <c r="VCZ105" s="769"/>
      <c r="VDA105" s="769"/>
      <c r="VDB105" s="769"/>
      <c r="VDC105" s="769"/>
      <c r="VDD105" s="769"/>
      <c r="VDE105" s="769"/>
      <c r="VDF105" s="769"/>
      <c r="VDG105" s="769"/>
      <c r="VDH105" s="769"/>
      <c r="VDI105" s="769"/>
      <c r="VDJ105" s="769"/>
      <c r="VDK105" s="769"/>
      <c r="VDL105" s="769"/>
      <c r="VDM105" s="769"/>
      <c r="VDN105" s="769"/>
      <c r="VDO105" s="769"/>
      <c r="VDP105" s="769"/>
      <c r="VDQ105" s="769"/>
      <c r="VDR105" s="769"/>
      <c r="VDS105" s="769"/>
      <c r="VDT105" s="769"/>
      <c r="VDU105" s="769"/>
      <c r="VDV105" s="769"/>
      <c r="VDW105" s="769"/>
      <c r="VDX105" s="769"/>
      <c r="VDY105" s="769"/>
      <c r="VDZ105" s="769"/>
      <c r="VEA105" s="769"/>
      <c r="VEB105" s="769"/>
      <c r="VEC105" s="769"/>
      <c r="VED105" s="769"/>
      <c r="VEE105" s="769"/>
      <c r="VEF105" s="769"/>
      <c r="VEG105" s="769"/>
      <c r="VEH105" s="769"/>
      <c r="VEI105" s="769"/>
      <c r="VEJ105" s="769"/>
      <c r="VEK105" s="769"/>
      <c r="VEL105" s="769"/>
      <c r="VEM105" s="769"/>
      <c r="VEN105" s="769"/>
      <c r="VEO105" s="769"/>
      <c r="VEP105" s="769"/>
      <c r="VEQ105" s="769"/>
      <c r="VER105" s="769"/>
      <c r="VES105" s="769"/>
      <c r="VET105" s="769"/>
      <c r="VEU105" s="769"/>
      <c r="VEV105" s="769"/>
      <c r="VEW105" s="769"/>
      <c r="VEX105" s="769"/>
      <c r="VEY105" s="769"/>
      <c r="VEZ105" s="769"/>
      <c r="VFA105" s="769"/>
      <c r="VFB105" s="769"/>
      <c r="VFC105" s="769"/>
      <c r="VFD105" s="769"/>
      <c r="VFE105" s="769"/>
      <c r="VFF105" s="769"/>
      <c r="VFG105" s="769"/>
      <c r="VFH105" s="769"/>
      <c r="VFI105" s="769"/>
      <c r="VFJ105" s="769"/>
      <c r="VFK105" s="769"/>
      <c r="VFL105" s="769"/>
      <c r="VFM105" s="769"/>
      <c r="VFN105" s="769"/>
      <c r="VFO105" s="769"/>
      <c r="VFP105" s="769"/>
      <c r="VFQ105" s="769"/>
      <c r="VFR105" s="769"/>
      <c r="VFS105" s="769"/>
      <c r="VFT105" s="769"/>
      <c r="VFU105" s="769"/>
      <c r="VFV105" s="769"/>
      <c r="VFW105" s="769"/>
      <c r="VFX105" s="769"/>
      <c r="VFY105" s="769"/>
      <c r="VFZ105" s="769"/>
      <c r="VGA105" s="769"/>
      <c r="VGB105" s="769"/>
      <c r="VGC105" s="769"/>
      <c r="VGD105" s="769"/>
      <c r="VGE105" s="769"/>
      <c r="VGF105" s="769"/>
      <c r="VGG105" s="769"/>
      <c r="VGH105" s="769"/>
      <c r="VGI105" s="769"/>
      <c r="VGJ105" s="769"/>
      <c r="VGK105" s="769"/>
      <c r="VGL105" s="769"/>
      <c r="VGM105" s="769"/>
      <c r="VGN105" s="769"/>
      <c r="VGO105" s="769"/>
      <c r="VGP105" s="769"/>
      <c r="VGQ105" s="769"/>
      <c r="VGR105" s="769"/>
      <c r="VGS105" s="769"/>
      <c r="VGT105" s="769"/>
      <c r="VGU105" s="769"/>
      <c r="VGV105" s="769"/>
      <c r="VGW105" s="769"/>
      <c r="VGX105" s="769"/>
      <c r="VGY105" s="769"/>
      <c r="VGZ105" s="769"/>
      <c r="VHA105" s="769"/>
      <c r="VHB105" s="769"/>
      <c r="VHC105" s="769"/>
      <c r="VHD105" s="769"/>
      <c r="VHE105" s="769"/>
      <c r="VHF105" s="769"/>
      <c r="VHG105" s="769"/>
      <c r="VHH105" s="769"/>
      <c r="VHI105" s="769"/>
      <c r="VHJ105" s="769"/>
      <c r="VHK105" s="769"/>
      <c r="VHL105" s="769"/>
      <c r="VHM105" s="769"/>
      <c r="VHN105" s="769"/>
      <c r="VHO105" s="769"/>
      <c r="VHP105" s="769"/>
      <c r="VHQ105" s="769"/>
      <c r="VHR105" s="769"/>
      <c r="VHS105" s="769"/>
      <c r="VHT105" s="769"/>
      <c r="VHU105" s="769"/>
      <c r="VHV105" s="769"/>
      <c r="VHW105" s="769"/>
      <c r="VHX105" s="769"/>
      <c r="VHY105" s="769"/>
      <c r="VHZ105" s="769"/>
      <c r="VIA105" s="769"/>
      <c r="VIB105" s="769"/>
      <c r="VIC105" s="769"/>
      <c r="VID105" s="769"/>
      <c r="VIE105" s="769"/>
      <c r="VIF105" s="769"/>
      <c r="VIG105" s="769"/>
      <c r="VIH105" s="769"/>
      <c r="VII105" s="769"/>
      <c r="VIJ105" s="769"/>
      <c r="VIK105" s="769"/>
      <c r="VIL105" s="769"/>
      <c r="VIM105" s="769"/>
      <c r="VIN105" s="769"/>
      <c r="VIO105" s="769"/>
      <c r="VIP105" s="769"/>
      <c r="VIQ105" s="769"/>
      <c r="VIR105" s="769"/>
      <c r="VIS105" s="769"/>
      <c r="VIT105" s="769"/>
      <c r="VIU105" s="769"/>
      <c r="VIV105" s="769"/>
      <c r="VIW105" s="769"/>
      <c r="VIX105" s="769"/>
      <c r="VIY105" s="769"/>
      <c r="VIZ105" s="769"/>
      <c r="VJA105" s="769"/>
      <c r="VJB105" s="769"/>
      <c r="VJC105" s="769"/>
      <c r="VJD105" s="769"/>
      <c r="VJE105" s="769"/>
      <c r="VJF105" s="769"/>
      <c r="VJG105" s="769"/>
      <c r="VJH105" s="769"/>
      <c r="VJI105" s="769"/>
      <c r="VJJ105" s="769"/>
      <c r="VJK105" s="769"/>
      <c r="VJL105" s="769"/>
      <c r="VJM105" s="769"/>
      <c r="VJN105" s="769"/>
      <c r="VJO105" s="769"/>
      <c r="VJP105" s="769"/>
      <c r="VJQ105" s="769"/>
      <c r="VJR105" s="769"/>
      <c r="VJS105" s="769"/>
      <c r="VJT105" s="769"/>
      <c r="VJU105" s="769"/>
      <c r="VJV105" s="769"/>
      <c r="VJW105" s="769"/>
      <c r="VJX105" s="769"/>
      <c r="VJY105" s="769"/>
      <c r="VJZ105" s="769"/>
      <c r="VKA105" s="769"/>
      <c r="VKB105" s="769"/>
      <c r="VKC105" s="769"/>
      <c r="VKD105" s="769"/>
      <c r="VKE105" s="769"/>
      <c r="VKF105" s="769"/>
      <c r="VKG105" s="769"/>
      <c r="VKH105" s="769"/>
      <c r="VKI105" s="769"/>
      <c r="VKJ105" s="769"/>
      <c r="VKK105" s="769"/>
      <c r="VKL105" s="769"/>
      <c r="VKM105" s="769"/>
      <c r="VKN105" s="769"/>
      <c r="VKO105" s="769"/>
      <c r="VKP105" s="769"/>
      <c r="VKQ105" s="769"/>
      <c r="VKR105" s="769"/>
      <c r="VKS105" s="769"/>
      <c r="VKT105" s="769"/>
      <c r="VKU105" s="769"/>
      <c r="VKV105" s="769"/>
      <c r="VKW105" s="769"/>
      <c r="VKX105" s="769"/>
      <c r="VKY105" s="769"/>
      <c r="VKZ105" s="769"/>
      <c r="VLA105" s="769"/>
      <c r="VLB105" s="769"/>
      <c r="VLC105" s="769"/>
      <c r="VLD105" s="769"/>
      <c r="VLE105" s="769"/>
      <c r="VLF105" s="769"/>
      <c r="VLG105" s="769"/>
      <c r="VLH105" s="769"/>
      <c r="VLI105" s="769"/>
      <c r="VLJ105" s="769"/>
      <c r="VLK105" s="769"/>
      <c r="VLL105" s="769"/>
      <c r="VLM105" s="769"/>
      <c r="VLN105" s="769"/>
      <c r="VLO105" s="769"/>
      <c r="VLP105" s="769"/>
      <c r="VLQ105" s="769"/>
      <c r="VLR105" s="769"/>
      <c r="VLS105" s="769"/>
      <c r="VLT105" s="769"/>
      <c r="VLU105" s="769"/>
      <c r="VLV105" s="769"/>
      <c r="VLW105" s="769"/>
      <c r="VLX105" s="769"/>
      <c r="VLY105" s="769"/>
      <c r="VLZ105" s="769"/>
      <c r="VMA105" s="769"/>
      <c r="VMB105" s="769"/>
      <c r="VMC105" s="769"/>
      <c r="VMD105" s="769"/>
      <c r="VME105" s="769"/>
      <c r="VMF105" s="769"/>
      <c r="VMG105" s="769"/>
      <c r="VMH105" s="769"/>
      <c r="VMI105" s="769"/>
      <c r="VMJ105" s="769"/>
      <c r="VMK105" s="769"/>
      <c r="VML105" s="769"/>
      <c r="VMM105" s="769"/>
      <c r="VMN105" s="769"/>
      <c r="VMO105" s="769"/>
      <c r="VMP105" s="769"/>
      <c r="VMQ105" s="769"/>
      <c r="VMR105" s="769"/>
      <c r="VMS105" s="769"/>
      <c r="VMT105" s="769"/>
      <c r="VMU105" s="769"/>
      <c r="VMV105" s="769"/>
      <c r="VMW105" s="769"/>
      <c r="VMX105" s="769"/>
      <c r="VMY105" s="769"/>
      <c r="VMZ105" s="769"/>
      <c r="VNA105" s="769"/>
      <c r="VNB105" s="769"/>
      <c r="VNC105" s="769"/>
      <c r="VND105" s="769"/>
      <c r="VNE105" s="769"/>
      <c r="VNF105" s="769"/>
      <c r="VNG105" s="769"/>
      <c r="VNH105" s="769"/>
      <c r="VNI105" s="769"/>
      <c r="VNJ105" s="769"/>
      <c r="VNK105" s="769"/>
      <c r="VNL105" s="769"/>
      <c r="VNM105" s="769"/>
      <c r="VNN105" s="769"/>
      <c r="VNO105" s="769"/>
      <c r="VNP105" s="769"/>
      <c r="VNQ105" s="769"/>
      <c r="VNR105" s="769"/>
      <c r="VNS105" s="769"/>
      <c r="VNT105" s="769"/>
      <c r="VNU105" s="769"/>
      <c r="VNV105" s="769"/>
      <c r="VNW105" s="769"/>
      <c r="VNX105" s="769"/>
      <c r="VNY105" s="769"/>
      <c r="VNZ105" s="769"/>
      <c r="VOA105" s="769"/>
      <c r="VOB105" s="769"/>
      <c r="VOC105" s="769"/>
      <c r="VOD105" s="769"/>
      <c r="VOE105" s="769"/>
      <c r="VOF105" s="769"/>
      <c r="VOG105" s="769"/>
      <c r="VOH105" s="769"/>
      <c r="VOI105" s="769"/>
      <c r="VOJ105" s="769"/>
      <c r="VOK105" s="769"/>
      <c r="VOL105" s="769"/>
      <c r="VOM105" s="769"/>
      <c r="VON105" s="769"/>
      <c r="VOO105" s="769"/>
      <c r="VOP105" s="769"/>
      <c r="VOQ105" s="769"/>
      <c r="VOR105" s="769"/>
      <c r="VOS105" s="769"/>
      <c r="VOT105" s="769"/>
      <c r="VOU105" s="769"/>
      <c r="VOV105" s="769"/>
      <c r="VOW105" s="769"/>
      <c r="VOX105" s="769"/>
      <c r="VOY105" s="769"/>
      <c r="VOZ105" s="769"/>
      <c r="VPA105" s="769"/>
      <c r="VPB105" s="769"/>
      <c r="VPC105" s="769"/>
      <c r="VPD105" s="769"/>
      <c r="VPE105" s="769"/>
      <c r="VPF105" s="769"/>
      <c r="VPG105" s="769"/>
      <c r="VPH105" s="769"/>
      <c r="VPI105" s="769"/>
      <c r="VPJ105" s="769"/>
      <c r="VPK105" s="769"/>
      <c r="VPL105" s="769"/>
      <c r="VPM105" s="769"/>
      <c r="VPN105" s="769"/>
      <c r="VPO105" s="769"/>
      <c r="VPP105" s="769"/>
      <c r="VPQ105" s="769"/>
      <c r="VPR105" s="769"/>
      <c r="VPS105" s="769"/>
      <c r="VPT105" s="769"/>
      <c r="VPU105" s="769"/>
      <c r="VPV105" s="769"/>
      <c r="VPW105" s="769"/>
      <c r="VPX105" s="769"/>
      <c r="VPY105" s="769"/>
      <c r="VPZ105" s="769"/>
      <c r="VQA105" s="769"/>
      <c r="VQB105" s="769"/>
      <c r="VQC105" s="769"/>
      <c r="VQD105" s="769"/>
      <c r="VQE105" s="769"/>
      <c r="VQF105" s="769"/>
      <c r="VQG105" s="769"/>
      <c r="VQH105" s="769"/>
      <c r="VQI105" s="769"/>
      <c r="VQJ105" s="769"/>
      <c r="VQK105" s="769"/>
      <c r="VQL105" s="769"/>
      <c r="VQM105" s="769"/>
      <c r="VQN105" s="769"/>
      <c r="VQO105" s="769"/>
      <c r="VQP105" s="769"/>
      <c r="VQQ105" s="769"/>
      <c r="VQR105" s="769"/>
      <c r="VQS105" s="769"/>
      <c r="VQT105" s="769"/>
      <c r="VQU105" s="769"/>
      <c r="VQV105" s="769"/>
      <c r="VQW105" s="769"/>
      <c r="VQX105" s="769"/>
      <c r="VQY105" s="769"/>
      <c r="VQZ105" s="769"/>
      <c r="VRA105" s="769"/>
      <c r="VRB105" s="769"/>
      <c r="VRC105" s="769"/>
      <c r="VRD105" s="769"/>
      <c r="VRE105" s="769"/>
      <c r="VRF105" s="769"/>
      <c r="VRG105" s="769"/>
      <c r="VRH105" s="769"/>
      <c r="VRI105" s="769"/>
      <c r="VRJ105" s="769"/>
      <c r="VRK105" s="769"/>
      <c r="VRL105" s="769"/>
      <c r="VRM105" s="769"/>
      <c r="VRN105" s="769"/>
      <c r="VRO105" s="769"/>
      <c r="VRP105" s="769"/>
      <c r="VRQ105" s="769"/>
      <c r="VRR105" s="769"/>
      <c r="VRS105" s="769"/>
      <c r="VRT105" s="769"/>
      <c r="VRU105" s="769"/>
      <c r="VRV105" s="769"/>
      <c r="VRW105" s="769"/>
      <c r="VRX105" s="769"/>
      <c r="VRY105" s="769"/>
      <c r="VRZ105" s="769"/>
      <c r="VSA105" s="769"/>
      <c r="VSB105" s="769"/>
      <c r="VSC105" s="769"/>
      <c r="VSD105" s="769"/>
      <c r="VSE105" s="769"/>
      <c r="VSF105" s="769"/>
      <c r="VSG105" s="769"/>
      <c r="VSH105" s="769"/>
      <c r="VSI105" s="769"/>
      <c r="VSJ105" s="769"/>
      <c r="VSK105" s="769"/>
      <c r="VSL105" s="769"/>
      <c r="VSM105" s="769"/>
      <c r="VSN105" s="769"/>
      <c r="VSO105" s="769"/>
      <c r="VSP105" s="769"/>
      <c r="VSQ105" s="769"/>
      <c r="VSR105" s="769"/>
      <c r="VSS105" s="769"/>
      <c r="VST105" s="769"/>
      <c r="VSU105" s="769"/>
      <c r="VSV105" s="769"/>
      <c r="VSW105" s="769"/>
      <c r="VSX105" s="769"/>
      <c r="VSY105" s="769"/>
      <c r="VSZ105" s="769"/>
      <c r="VTA105" s="769"/>
      <c r="VTB105" s="769"/>
      <c r="VTC105" s="769"/>
      <c r="VTD105" s="769"/>
      <c r="VTE105" s="769"/>
      <c r="VTF105" s="769"/>
      <c r="VTG105" s="769"/>
      <c r="VTH105" s="769"/>
      <c r="VTI105" s="769"/>
      <c r="VTJ105" s="769"/>
      <c r="VTK105" s="769"/>
      <c r="VTL105" s="769"/>
      <c r="VTM105" s="769"/>
      <c r="VTN105" s="769"/>
      <c r="VTO105" s="769"/>
      <c r="VTP105" s="769"/>
      <c r="VTQ105" s="769"/>
      <c r="VTR105" s="769"/>
      <c r="VTS105" s="769"/>
      <c r="VTT105" s="769"/>
      <c r="VTU105" s="769"/>
      <c r="VTV105" s="769"/>
      <c r="VTW105" s="769"/>
      <c r="VTX105" s="769"/>
      <c r="VTY105" s="769"/>
      <c r="VTZ105" s="769"/>
      <c r="VUA105" s="769"/>
      <c r="VUB105" s="769"/>
      <c r="VUC105" s="769"/>
      <c r="VUD105" s="769"/>
      <c r="VUE105" s="769"/>
      <c r="VUF105" s="769"/>
      <c r="VUG105" s="769"/>
      <c r="VUH105" s="769"/>
      <c r="VUI105" s="769"/>
      <c r="VUJ105" s="769"/>
      <c r="VUK105" s="769"/>
      <c r="VUL105" s="769"/>
      <c r="VUM105" s="769"/>
      <c r="VUN105" s="769"/>
      <c r="VUO105" s="769"/>
      <c r="VUP105" s="769"/>
      <c r="VUQ105" s="769"/>
      <c r="VUR105" s="769"/>
      <c r="VUS105" s="769"/>
      <c r="VUT105" s="769"/>
      <c r="VUU105" s="769"/>
      <c r="VUV105" s="769"/>
      <c r="VUW105" s="769"/>
      <c r="VUX105" s="769"/>
      <c r="VUY105" s="769"/>
      <c r="VUZ105" s="769"/>
      <c r="VVA105" s="769"/>
      <c r="VVB105" s="769"/>
      <c r="VVC105" s="769"/>
      <c r="VVD105" s="769"/>
      <c r="VVE105" s="769"/>
      <c r="VVF105" s="769"/>
      <c r="VVG105" s="769"/>
      <c r="VVH105" s="769"/>
      <c r="VVI105" s="769"/>
      <c r="VVJ105" s="769"/>
      <c r="VVK105" s="769"/>
      <c r="VVL105" s="769"/>
      <c r="VVM105" s="769"/>
      <c r="VVN105" s="769"/>
      <c r="VVO105" s="769"/>
      <c r="VVP105" s="769"/>
      <c r="VVQ105" s="769"/>
      <c r="VVR105" s="769"/>
      <c r="VVS105" s="769"/>
      <c r="VVT105" s="769"/>
      <c r="VVU105" s="769"/>
      <c r="VVV105" s="769"/>
      <c r="VVW105" s="769"/>
      <c r="VVX105" s="769"/>
      <c r="VVY105" s="769"/>
      <c r="VVZ105" s="769"/>
      <c r="VWA105" s="769"/>
      <c r="VWB105" s="769"/>
      <c r="VWC105" s="769"/>
      <c r="VWD105" s="769"/>
      <c r="VWE105" s="769"/>
      <c r="VWF105" s="769"/>
      <c r="VWG105" s="769"/>
      <c r="VWH105" s="769"/>
      <c r="VWI105" s="769"/>
      <c r="VWJ105" s="769"/>
      <c r="VWK105" s="769"/>
      <c r="VWL105" s="769"/>
      <c r="VWM105" s="769"/>
      <c r="VWN105" s="769"/>
      <c r="VWO105" s="769"/>
      <c r="VWP105" s="769"/>
      <c r="VWQ105" s="769"/>
      <c r="VWR105" s="769"/>
      <c r="VWS105" s="769"/>
      <c r="VWT105" s="769"/>
      <c r="VWU105" s="769"/>
      <c r="VWV105" s="769"/>
      <c r="VWW105" s="769"/>
      <c r="VWX105" s="769"/>
      <c r="VWY105" s="769"/>
      <c r="VWZ105" s="769"/>
      <c r="VXA105" s="769"/>
      <c r="VXB105" s="769"/>
      <c r="VXC105" s="769"/>
      <c r="VXD105" s="769"/>
      <c r="VXE105" s="769"/>
      <c r="VXF105" s="769"/>
      <c r="VXG105" s="769"/>
      <c r="VXH105" s="769"/>
      <c r="VXI105" s="769"/>
      <c r="VXJ105" s="769"/>
      <c r="VXK105" s="769"/>
      <c r="VXL105" s="769"/>
      <c r="VXM105" s="769"/>
      <c r="VXN105" s="769"/>
      <c r="VXO105" s="769"/>
      <c r="VXP105" s="769"/>
      <c r="VXQ105" s="769"/>
      <c r="VXR105" s="769"/>
      <c r="VXS105" s="769"/>
      <c r="VXT105" s="769"/>
      <c r="VXU105" s="769"/>
      <c r="VXV105" s="769"/>
      <c r="VXW105" s="769"/>
      <c r="VXX105" s="769"/>
      <c r="VXY105" s="769"/>
      <c r="VXZ105" s="769"/>
      <c r="VYA105" s="769"/>
      <c r="VYB105" s="769"/>
      <c r="VYC105" s="769"/>
      <c r="VYD105" s="769"/>
      <c r="VYE105" s="769"/>
      <c r="VYF105" s="769"/>
      <c r="VYG105" s="769"/>
      <c r="VYH105" s="769"/>
      <c r="VYI105" s="769"/>
      <c r="VYJ105" s="769"/>
      <c r="VYK105" s="769"/>
      <c r="VYL105" s="769"/>
      <c r="VYM105" s="769"/>
      <c r="VYN105" s="769"/>
      <c r="VYO105" s="769"/>
      <c r="VYP105" s="769"/>
      <c r="VYQ105" s="769"/>
      <c r="VYR105" s="769"/>
      <c r="VYS105" s="769"/>
      <c r="VYT105" s="769"/>
      <c r="VYU105" s="769"/>
      <c r="VYV105" s="769"/>
      <c r="VYW105" s="769"/>
      <c r="VYX105" s="769"/>
      <c r="VYY105" s="769"/>
      <c r="VYZ105" s="769"/>
      <c r="VZA105" s="769"/>
      <c r="VZB105" s="769"/>
      <c r="VZC105" s="769"/>
      <c r="VZD105" s="769"/>
      <c r="VZE105" s="769"/>
      <c r="VZF105" s="769"/>
      <c r="VZG105" s="769"/>
      <c r="VZH105" s="769"/>
      <c r="VZI105" s="769"/>
      <c r="VZJ105" s="769"/>
      <c r="VZK105" s="769"/>
      <c r="VZL105" s="769"/>
      <c r="VZM105" s="769"/>
      <c r="VZN105" s="769"/>
      <c r="VZO105" s="769"/>
      <c r="VZP105" s="769"/>
      <c r="VZQ105" s="769"/>
      <c r="VZR105" s="769"/>
      <c r="VZS105" s="769"/>
      <c r="VZT105" s="769"/>
      <c r="VZU105" s="769"/>
      <c r="VZV105" s="769"/>
      <c r="VZW105" s="769"/>
      <c r="VZX105" s="769"/>
      <c r="VZY105" s="769"/>
      <c r="VZZ105" s="769"/>
      <c r="WAA105" s="769"/>
      <c r="WAB105" s="769"/>
      <c r="WAC105" s="769"/>
      <c r="WAD105" s="769"/>
      <c r="WAE105" s="769"/>
      <c r="WAF105" s="769"/>
      <c r="WAG105" s="769"/>
      <c r="WAH105" s="769"/>
      <c r="WAI105" s="769"/>
      <c r="WAJ105" s="769"/>
      <c r="WAK105" s="769"/>
      <c r="WAL105" s="769"/>
      <c r="WAM105" s="769"/>
      <c r="WAN105" s="769"/>
      <c r="WAO105" s="769"/>
      <c r="WAP105" s="769"/>
      <c r="WAQ105" s="769"/>
      <c r="WAR105" s="769"/>
      <c r="WAS105" s="769"/>
      <c r="WAT105" s="769"/>
      <c r="WAU105" s="769"/>
      <c r="WAV105" s="769"/>
      <c r="WAW105" s="769"/>
      <c r="WAX105" s="769"/>
      <c r="WAY105" s="769"/>
      <c r="WAZ105" s="769"/>
      <c r="WBA105" s="769"/>
      <c r="WBB105" s="769"/>
      <c r="WBC105" s="769"/>
      <c r="WBD105" s="769"/>
      <c r="WBE105" s="769"/>
      <c r="WBF105" s="769"/>
      <c r="WBG105" s="769"/>
      <c r="WBH105" s="769"/>
      <c r="WBI105" s="769"/>
      <c r="WBJ105" s="769"/>
      <c r="WBK105" s="769"/>
      <c r="WBL105" s="769"/>
      <c r="WBM105" s="769"/>
      <c r="WBN105" s="769"/>
      <c r="WBO105" s="769"/>
      <c r="WBP105" s="769"/>
      <c r="WBQ105" s="769"/>
      <c r="WBR105" s="769"/>
      <c r="WBS105" s="769"/>
      <c r="WBT105" s="769"/>
      <c r="WBU105" s="769"/>
      <c r="WBV105" s="769"/>
      <c r="WBW105" s="769"/>
      <c r="WBX105" s="769"/>
      <c r="WBY105" s="769"/>
      <c r="WBZ105" s="769"/>
      <c r="WCA105" s="769"/>
      <c r="WCB105" s="769"/>
      <c r="WCC105" s="769"/>
      <c r="WCD105" s="769"/>
      <c r="WCE105" s="769"/>
      <c r="WCF105" s="769"/>
      <c r="WCG105" s="769"/>
      <c r="WCH105" s="769"/>
      <c r="WCI105" s="769"/>
      <c r="WCJ105" s="769"/>
      <c r="WCK105" s="769"/>
      <c r="WCL105" s="769"/>
      <c r="WCM105" s="769"/>
      <c r="WCN105" s="769"/>
      <c r="WCO105" s="769"/>
      <c r="WCP105" s="769"/>
      <c r="WCQ105" s="769"/>
      <c r="WCR105" s="769"/>
      <c r="WCS105" s="769"/>
      <c r="WCT105" s="769"/>
      <c r="WCU105" s="769"/>
      <c r="WCV105" s="769"/>
      <c r="WCW105" s="769"/>
      <c r="WCX105" s="769"/>
      <c r="WCY105" s="769"/>
      <c r="WCZ105" s="769"/>
      <c r="WDA105" s="769"/>
      <c r="WDB105" s="769"/>
      <c r="WDC105" s="769"/>
      <c r="WDD105" s="769"/>
      <c r="WDE105" s="769"/>
      <c r="WDF105" s="769"/>
      <c r="WDG105" s="769"/>
      <c r="WDH105" s="769"/>
      <c r="WDI105" s="769"/>
      <c r="WDJ105" s="769"/>
      <c r="WDK105" s="769"/>
      <c r="WDL105" s="769"/>
      <c r="WDM105" s="769"/>
      <c r="WDN105" s="769"/>
      <c r="WDO105" s="769"/>
      <c r="WDP105" s="769"/>
      <c r="WDQ105" s="769"/>
      <c r="WDR105" s="769"/>
      <c r="WDS105" s="769"/>
      <c r="WDT105" s="769"/>
      <c r="WDU105" s="769"/>
      <c r="WDV105" s="769"/>
      <c r="WDW105" s="769"/>
      <c r="WDX105" s="769"/>
      <c r="WDY105" s="769"/>
      <c r="WDZ105" s="769"/>
      <c r="WEA105" s="769"/>
      <c r="WEB105" s="769"/>
      <c r="WEC105" s="769"/>
      <c r="WED105" s="769"/>
      <c r="WEE105" s="769"/>
      <c r="WEF105" s="769"/>
      <c r="WEG105" s="769"/>
      <c r="WEH105" s="769"/>
      <c r="WEI105" s="769"/>
      <c r="WEJ105" s="769"/>
      <c r="WEK105" s="769"/>
      <c r="WEL105" s="769"/>
      <c r="WEM105" s="769"/>
      <c r="WEN105" s="769"/>
      <c r="WEO105" s="769"/>
      <c r="WEP105" s="769"/>
      <c r="WEQ105" s="769"/>
      <c r="WER105" s="769"/>
      <c r="WES105" s="769"/>
      <c r="WET105" s="769"/>
      <c r="WEU105" s="769"/>
      <c r="WEV105" s="769"/>
      <c r="WEW105" s="769"/>
      <c r="WEX105" s="769"/>
      <c r="WEY105" s="769"/>
      <c r="WEZ105" s="769"/>
      <c r="WFA105" s="769"/>
      <c r="WFB105" s="769"/>
      <c r="WFC105" s="769"/>
      <c r="WFD105" s="769"/>
      <c r="WFE105" s="769"/>
      <c r="WFF105" s="769"/>
      <c r="WFG105" s="769"/>
      <c r="WFH105" s="769"/>
      <c r="WFI105" s="769"/>
      <c r="WFJ105" s="769"/>
      <c r="WFK105" s="769"/>
      <c r="WFL105" s="769"/>
      <c r="WFM105" s="769"/>
      <c r="WFN105" s="769"/>
      <c r="WFO105" s="769"/>
      <c r="WFP105" s="769"/>
      <c r="WFQ105" s="769"/>
      <c r="WFR105" s="769"/>
      <c r="WFS105" s="769"/>
      <c r="WFT105" s="769"/>
      <c r="WFU105" s="769"/>
      <c r="WFV105" s="769"/>
      <c r="WFW105" s="769"/>
      <c r="WFX105" s="769"/>
      <c r="WFY105" s="769"/>
      <c r="WFZ105" s="769"/>
      <c r="WGA105" s="769"/>
      <c r="WGB105" s="769"/>
      <c r="WGC105" s="769"/>
      <c r="WGD105" s="769"/>
      <c r="WGE105" s="769"/>
      <c r="WGF105" s="769"/>
      <c r="WGG105" s="769"/>
      <c r="WGH105" s="769"/>
      <c r="WGI105" s="769"/>
      <c r="WGJ105" s="769"/>
      <c r="WGK105" s="769"/>
      <c r="WGL105" s="769"/>
      <c r="WGM105" s="769"/>
      <c r="WGN105" s="769"/>
      <c r="WGO105" s="769"/>
      <c r="WGP105" s="769"/>
      <c r="WGQ105" s="769"/>
      <c r="WGR105" s="769"/>
      <c r="WGS105" s="769"/>
      <c r="WGT105" s="769"/>
      <c r="WGU105" s="769"/>
      <c r="WGV105" s="769"/>
      <c r="WGW105" s="769"/>
      <c r="WGX105" s="769"/>
      <c r="WGY105" s="769"/>
      <c r="WGZ105" s="769"/>
      <c r="WHA105" s="769"/>
      <c r="WHB105" s="769"/>
      <c r="WHC105" s="769"/>
      <c r="WHD105" s="769"/>
      <c r="WHE105" s="769"/>
      <c r="WHF105" s="769"/>
      <c r="WHG105" s="769"/>
      <c r="WHH105" s="769"/>
      <c r="WHI105" s="769"/>
      <c r="WHJ105" s="769"/>
      <c r="WHK105" s="769"/>
      <c r="WHL105" s="769"/>
      <c r="WHM105" s="769"/>
      <c r="WHN105" s="769"/>
      <c r="WHO105" s="769"/>
      <c r="WHP105" s="769"/>
      <c r="WHQ105" s="769"/>
      <c r="WHR105" s="769"/>
      <c r="WHS105" s="769"/>
      <c r="WHT105" s="769"/>
      <c r="WHU105" s="769"/>
      <c r="WHV105" s="769"/>
      <c r="WHW105" s="769"/>
      <c r="WHX105" s="769"/>
      <c r="WHY105" s="769"/>
      <c r="WHZ105" s="769"/>
      <c r="WIA105" s="769"/>
      <c r="WIB105" s="769"/>
      <c r="WIC105" s="769"/>
      <c r="WID105" s="769"/>
      <c r="WIE105" s="769"/>
      <c r="WIF105" s="769"/>
      <c r="WIG105" s="769"/>
      <c r="WIH105" s="769"/>
      <c r="WII105" s="769"/>
      <c r="WIJ105" s="769"/>
      <c r="WIK105" s="769"/>
      <c r="WIL105" s="769"/>
      <c r="WIM105" s="769"/>
      <c r="WIN105" s="769"/>
      <c r="WIO105" s="769"/>
      <c r="WIP105" s="769"/>
      <c r="WIQ105" s="769"/>
      <c r="WIR105" s="769"/>
      <c r="WIS105" s="769"/>
      <c r="WIT105" s="769"/>
      <c r="WIU105" s="769"/>
      <c r="WIV105" s="769"/>
      <c r="WIW105" s="769"/>
      <c r="WIX105" s="769"/>
      <c r="WIY105" s="769"/>
      <c r="WIZ105" s="769"/>
      <c r="WJA105" s="769"/>
      <c r="WJB105" s="769"/>
      <c r="WJC105" s="769"/>
      <c r="WJD105" s="769"/>
      <c r="WJE105" s="769"/>
      <c r="WJF105" s="769"/>
      <c r="WJG105" s="769"/>
      <c r="WJH105" s="769"/>
      <c r="WJI105" s="769"/>
      <c r="WJJ105" s="769"/>
      <c r="WJK105" s="769"/>
      <c r="WJL105" s="769"/>
      <c r="WJM105" s="769"/>
      <c r="WJN105" s="769"/>
      <c r="WJO105" s="769"/>
      <c r="WJP105" s="769"/>
      <c r="WJQ105" s="769"/>
      <c r="WJR105" s="769"/>
      <c r="WJS105" s="769"/>
      <c r="WJT105" s="769"/>
      <c r="WJU105" s="769"/>
      <c r="WJV105" s="769"/>
      <c r="WJW105" s="769"/>
      <c r="WJX105" s="769"/>
      <c r="WJY105" s="769"/>
      <c r="WJZ105" s="769"/>
      <c r="WKA105" s="769"/>
      <c r="WKB105" s="769"/>
      <c r="WKC105" s="769"/>
      <c r="WKD105" s="769"/>
      <c r="WKE105" s="769"/>
      <c r="WKF105" s="769"/>
      <c r="WKG105" s="769"/>
      <c r="WKH105" s="769"/>
      <c r="WKI105" s="769"/>
      <c r="WKJ105" s="769"/>
      <c r="WKK105" s="769"/>
      <c r="WKL105" s="769"/>
      <c r="WKM105" s="769"/>
      <c r="WKN105" s="769"/>
      <c r="WKO105" s="769"/>
      <c r="WKP105" s="769"/>
      <c r="WKQ105" s="769"/>
      <c r="WKR105" s="769"/>
      <c r="WKS105" s="769"/>
      <c r="WKT105" s="769"/>
      <c r="WKU105" s="769"/>
      <c r="WKV105" s="769"/>
      <c r="WKW105" s="769"/>
      <c r="WKX105" s="769"/>
      <c r="WKY105" s="769"/>
      <c r="WKZ105" s="769"/>
      <c r="WLA105" s="769"/>
      <c r="WLB105" s="769"/>
      <c r="WLC105" s="769"/>
      <c r="WLD105" s="769"/>
      <c r="WLE105" s="769"/>
      <c r="WLF105" s="769"/>
      <c r="WLG105" s="769"/>
      <c r="WLH105" s="769"/>
      <c r="WLI105" s="769"/>
      <c r="WLJ105" s="769"/>
      <c r="WLK105" s="769"/>
      <c r="WLL105" s="769"/>
      <c r="WLM105" s="769"/>
      <c r="WLN105" s="769"/>
      <c r="WLO105" s="769"/>
      <c r="WLP105" s="769"/>
      <c r="WLQ105" s="769"/>
      <c r="WLR105" s="769"/>
      <c r="WLS105" s="769"/>
      <c r="WLT105" s="769"/>
      <c r="WLU105" s="769"/>
      <c r="WLV105" s="769"/>
      <c r="WLW105" s="769"/>
      <c r="WLX105" s="769"/>
      <c r="WLY105" s="769"/>
      <c r="WLZ105" s="769"/>
      <c r="WMA105" s="769"/>
      <c r="WMB105" s="769"/>
      <c r="WMC105" s="769"/>
      <c r="WMD105" s="769"/>
      <c r="WME105" s="769"/>
      <c r="WMF105" s="769"/>
      <c r="WMG105" s="769"/>
      <c r="WMH105" s="769"/>
      <c r="WMI105" s="769"/>
      <c r="WMJ105" s="769"/>
      <c r="WMK105" s="769"/>
      <c r="WML105" s="769"/>
      <c r="WMM105" s="769"/>
      <c r="WMN105" s="769"/>
      <c r="WMO105" s="769"/>
      <c r="WMP105" s="769"/>
      <c r="WMQ105" s="769"/>
      <c r="WMR105" s="769"/>
      <c r="WMS105" s="769"/>
      <c r="WMT105" s="769"/>
      <c r="WMU105" s="769"/>
      <c r="WMV105" s="769"/>
      <c r="WMW105" s="769"/>
      <c r="WMX105" s="769"/>
      <c r="WMY105" s="769"/>
      <c r="WMZ105" s="769"/>
      <c r="WNA105" s="769"/>
      <c r="WNB105" s="769"/>
      <c r="WNC105" s="769"/>
      <c r="WND105" s="769"/>
      <c r="WNE105" s="769"/>
      <c r="WNF105" s="769"/>
      <c r="WNG105" s="769"/>
      <c r="WNH105" s="769"/>
      <c r="WNI105" s="769"/>
      <c r="WNJ105" s="769"/>
      <c r="WNK105" s="769"/>
      <c r="WNL105" s="769"/>
      <c r="WNM105" s="769"/>
      <c r="WNN105" s="769"/>
      <c r="WNO105" s="769"/>
      <c r="WNP105" s="769"/>
      <c r="WNQ105" s="769"/>
      <c r="WNR105" s="769"/>
      <c r="WNS105" s="769"/>
      <c r="WNT105" s="769"/>
      <c r="WNU105" s="769"/>
      <c r="WNV105" s="769"/>
      <c r="WNW105" s="769"/>
      <c r="WNX105" s="769"/>
      <c r="WNY105" s="769"/>
      <c r="WNZ105" s="769"/>
      <c r="WOA105" s="769"/>
      <c r="WOB105" s="769"/>
      <c r="WOC105" s="769"/>
      <c r="WOD105" s="769"/>
      <c r="WOE105" s="769"/>
      <c r="WOF105" s="769"/>
      <c r="WOG105" s="769"/>
      <c r="WOH105" s="769"/>
      <c r="WOI105" s="769"/>
      <c r="WOJ105" s="769"/>
      <c r="WOK105" s="769"/>
      <c r="WOL105" s="769"/>
      <c r="WOM105" s="769"/>
      <c r="WON105" s="769"/>
      <c r="WOO105" s="769"/>
      <c r="WOP105" s="769"/>
      <c r="WOQ105" s="769"/>
      <c r="WOR105" s="769"/>
      <c r="WOS105" s="769"/>
      <c r="WOT105" s="769"/>
      <c r="WOU105" s="769"/>
      <c r="WOV105" s="769"/>
      <c r="WOW105" s="769"/>
      <c r="WOX105" s="769"/>
      <c r="WOY105" s="769"/>
      <c r="WOZ105" s="769"/>
      <c r="WPA105" s="769"/>
      <c r="WPB105" s="769"/>
      <c r="WPC105" s="769"/>
      <c r="WPD105" s="769"/>
      <c r="WPE105" s="769"/>
      <c r="WPF105" s="769"/>
      <c r="WPG105" s="769"/>
      <c r="WPH105" s="769"/>
      <c r="WPI105" s="769"/>
      <c r="WPJ105" s="769"/>
      <c r="WPK105" s="769"/>
      <c r="WPL105" s="769"/>
      <c r="WPM105" s="769"/>
      <c r="WPN105" s="769"/>
      <c r="WPO105" s="769"/>
      <c r="WPP105" s="769"/>
      <c r="WPQ105" s="769"/>
      <c r="WPR105" s="769"/>
      <c r="WPS105" s="769"/>
      <c r="WPT105" s="769"/>
      <c r="WPU105" s="769"/>
      <c r="WPV105" s="769"/>
      <c r="WPW105" s="769"/>
      <c r="WPX105" s="769"/>
      <c r="WPY105" s="769"/>
      <c r="WPZ105" s="769"/>
      <c r="WQA105" s="769"/>
      <c r="WQB105" s="769"/>
      <c r="WQC105" s="769"/>
      <c r="WQD105" s="769"/>
      <c r="WQE105" s="769"/>
      <c r="WQF105" s="769"/>
      <c r="WQG105" s="769"/>
      <c r="WQH105" s="769"/>
      <c r="WQI105" s="769"/>
      <c r="WQJ105" s="769"/>
      <c r="WQK105" s="769"/>
      <c r="WQL105" s="769"/>
      <c r="WQM105" s="769"/>
      <c r="WQN105" s="769"/>
      <c r="WQO105" s="769"/>
      <c r="WQP105" s="769"/>
      <c r="WQQ105" s="769"/>
      <c r="WQR105" s="769"/>
      <c r="WQS105" s="769"/>
      <c r="WQT105" s="769"/>
      <c r="WQU105" s="769"/>
      <c r="WQV105" s="769"/>
      <c r="WQW105" s="769"/>
      <c r="WQX105" s="769"/>
      <c r="WQY105" s="769"/>
      <c r="WQZ105" s="769"/>
      <c r="WRA105" s="769"/>
      <c r="WRB105" s="769"/>
      <c r="WRC105" s="769"/>
      <c r="WRD105" s="769"/>
      <c r="WRE105" s="769"/>
      <c r="WRF105" s="769"/>
      <c r="WRG105" s="769"/>
      <c r="WRH105" s="769"/>
      <c r="WRI105" s="769"/>
      <c r="WRJ105" s="769"/>
      <c r="WRK105" s="769"/>
      <c r="WRL105" s="769"/>
      <c r="WRM105" s="769"/>
      <c r="WRN105" s="769"/>
      <c r="WRO105" s="769"/>
      <c r="WRP105" s="769"/>
      <c r="WRQ105" s="769"/>
      <c r="WRR105" s="769"/>
      <c r="WRS105" s="769"/>
      <c r="WRT105" s="769"/>
      <c r="WRU105" s="769"/>
      <c r="WRV105" s="769"/>
      <c r="WRW105" s="769"/>
      <c r="WRX105" s="769"/>
      <c r="WRY105" s="769"/>
      <c r="WRZ105" s="769"/>
      <c r="WSA105" s="769"/>
      <c r="WSB105" s="769"/>
      <c r="WSC105" s="769"/>
      <c r="WSD105" s="769"/>
      <c r="WSE105" s="769"/>
      <c r="WSF105" s="769"/>
      <c r="WSG105" s="769"/>
      <c r="WSH105" s="769"/>
      <c r="WSI105" s="769"/>
      <c r="WSJ105" s="769"/>
      <c r="WSK105" s="769"/>
      <c r="WSL105" s="769"/>
      <c r="WSM105" s="769"/>
      <c r="WSN105" s="769"/>
      <c r="WSO105" s="769"/>
      <c r="WSP105" s="769"/>
      <c r="WSQ105" s="769"/>
      <c r="WSR105" s="769"/>
      <c r="WSS105" s="769"/>
      <c r="WST105" s="769"/>
      <c r="WSU105" s="769"/>
      <c r="WSV105" s="769"/>
      <c r="WSW105" s="769"/>
      <c r="WSX105" s="769"/>
      <c r="WSY105" s="769"/>
      <c r="WSZ105" s="769"/>
      <c r="WTA105" s="769"/>
      <c r="WTB105" s="769"/>
      <c r="WTC105" s="769"/>
      <c r="WTD105" s="769"/>
      <c r="WTE105" s="769"/>
      <c r="WTF105" s="769"/>
      <c r="WTG105" s="769"/>
      <c r="WTH105" s="769"/>
      <c r="WTI105" s="769"/>
      <c r="WTJ105" s="769"/>
      <c r="WTK105" s="769"/>
      <c r="WTL105" s="769"/>
      <c r="WTM105" s="769"/>
      <c r="WTN105" s="769"/>
      <c r="WTO105" s="769"/>
      <c r="WTP105" s="769"/>
      <c r="WTQ105" s="769"/>
      <c r="WTR105" s="769"/>
      <c r="WTS105" s="769"/>
      <c r="WTT105" s="769"/>
      <c r="WTU105" s="769"/>
      <c r="WTV105" s="769"/>
      <c r="WTW105" s="769"/>
      <c r="WTX105" s="769"/>
      <c r="WTY105" s="769"/>
      <c r="WTZ105" s="769"/>
      <c r="WUA105" s="769"/>
      <c r="WUB105" s="769"/>
      <c r="WUC105" s="769"/>
      <c r="WUD105" s="769"/>
      <c r="WUE105" s="769"/>
      <c r="WUF105" s="769"/>
      <c r="WUG105" s="769"/>
      <c r="WUH105" s="769"/>
      <c r="WUI105" s="769"/>
      <c r="WUJ105" s="769"/>
      <c r="WUK105" s="769"/>
      <c r="WUL105" s="769"/>
      <c r="WUM105" s="769"/>
      <c r="WUN105" s="769"/>
      <c r="WUO105" s="769"/>
      <c r="WUP105" s="769"/>
      <c r="WUQ105" s="769"/>
      <c r="WUR105" s="769"/>
      <c r="WUS105" s="769"/>
      <c r="WUT105" s="769"/>
      <c r="WUU105" s="769"/>
      <c r="WUV105" s="769"/>
      <c r="WUW105" s="769"/>
      <c r="WUX105" s="769"/>
      <c r="WUY105" s="769"/>
      <c r="WUZ105" s="769"/>
      <c r="WVA105" s="769"/>
      <c r="WVB105" s="769"/>
      <c r="WVC105" s="769"/>
      <c r="WVD105" s="769"/>
      <c r="WVE105" s="769"/>
      <c r="WVF105" s="769"/>
      <c r="WVG105" s="769"/>
      <c r="WVH105" s="769"/>
      <c r="WVI105" s="769"/>
      <c r="WVJ105" s="769"/>
      <c r="WVK105" s="769"/>
      <c r="WVL105" s="769"/>
      <c r="WVM105" s="769"/>
      <c r="WVN105" s="769"/>
      <c r="WVO105" s="769"/>
      <c r="WVP105" s="769"/>
      <c r="WVQ105" s="769"/>
      <c r="WVR105" s="769"/>
      <c r="WVS105" s="769"/>
      <c r="WVT105" s="769"/>
      <c r="WVU105" s="769"/>
      <c r="WVV105" s="769"/>
      <c r="WVW105" s="769"/>
      <c r="WVX105" s="769"/>
      <c r="WVY105" s="769"/>
      <c r="WVZ105" s="769"/>
      <c r="WWA105" s="769"/>
      <c r="WWB105" s="769"/>
      <c r="WWC105" s="769"/>
      <c r="WWD105" s="769"/>
      <c r="WWE105" s="769"/>
      <c r="WWF105" s="769"/>
      <c r="WWG105" s="769"/>
      <c r="WWH105" s="769"/>
      <c r="WWI105" s="769"/>
      <c r="WWJ105" s="769"/>
      <c r="WWK105" s="769"/>
      <c r="WWL105" s="769"/>
      <c r="WWM105" s="769"/>
      <c r="WWN105" s="769"/>
      <c r="WWO105" s="769"/>
      <c r="WWP105" s="769"/>
      <c r="WWQ105" s="769"/>
      <c r="WWR105" s="769"/>
      <c r="WWS105" s="769"/>
      <c r="WWT105" s="769"/>
      <c r="WWU105" s="769"/>
      <c r="WWV105" s="769"/>
      <c r="WWW105" s="769"/>
      <c r="WWX105" s="769"/>
      <c r="WWY105" s="769"/>
      <c r="WWZ105" s="769"/>
      <c r="WXA105" s="769"/>
      <c r="WXB105" s="769"/>
      <c r="WXC105" s="769"/>
      <c r="WXD105" s="769"/>
      <c r="WXE105" s="769"/>
      <c r="WXF105" s="769"/>
      <c r="WXG105" s="769"/>
      <c r="WXH105" s="769"/>
      <c r="WXI105" s="769"/>
      <c r="WXJ105" s="769"/>
      <c r="WXK105" s="769"/>
      <c r="WXL105" s="769"/>
      <c r="WXM105" s="769"/>
      <c r="WXN105" s="769"/>
      <c r="WXO105" s="769"/>
      <c r="WXP105" s="769"/>
      <c r="WXQ105" s="769"/>
      <c r="WXR105" s="769"/>
      <c r="WXS105" s="769"/>
      <c r="WXT105" s="769"/>
      <c r="WXU105" s="769"/>
      <c r="WXV105" s="769"/>
      <c r="WXW105" s="769"/>
      <c r="WXX105" s="769"/>
      <c r="WXY105" s="769"/>
      <c r="WXZ105" s="769"/>
      <c r="WYA105" s="769"/>
      <c r="WYB105" s="769"/>
      <c r="WYC105" s="769"/>
      <c r="WYD105" s="769"/>
      <c r="WYE105" s="769"/>
      <c r="WYF105" s="769"/>
      <c r="WYG105" s="769"/>
      <c r="WYH105" s="769"/>
      <c r="WYI105" s="769"/>
      <c r="WYJ105" s="769"/>
      <c r="WYK105" s="769"/>
      <c r="WYL105" s="769"/>
      <c r="WYM105" s="769"/>
      <c r="WYN105" s="769"/>
      <c r="WYO105" s="769"/>
      <c r="WYP105" s="769"/>
      <c r="WYQ105" s="769"/>
      <c r="WYR105" s="769"/>
      <c r="WYS105" s="769"/>
      <c r="WYT105" s="769"/>
      <c r="WYU105" s="769"/>
      <c r="WYV105" s="769"/>
      <c r="WYW105" s="769"/>
      <c r="WYX105" s="769"/>
      <c r="WYY105" s="769"/>
      <c r="WYZ105" s="769"/>
      <c r="WZA105" s="769"/>
      <c r="WZB105" s="769"/>
      <c r="WZC105" s="769"/>
      <c r="WZD105" s="769"/>
      <c r="WZE105" s="769"/>
      <c r="WZF105" s="769"/>
      <c r="WZG105" s="769"/>
      <c r="WZH105" s="769"/>
      <c r="WZI105" s="769"/>
      <c r="WZJ105" s="769"/>
      <c r="WZK105" s="769"/>
      <c r="WZL105" s="769"/>
      <c r="WZM105" s="769"/>
      <c r="WZN105" s="769"/>
      <c r="WZO105" s="769"/>
      <c r="WZP105" s="769"/>
      <c r="WZQ105" s="769"/>
      <c r="WZR105" s="769"/>
      <c r="WZS105" s="769"/>
      <c r="WZT105" s="769"/>
      <c r="WZU105" s="769"/>
      <c r="WZV105" s="769"/>
      <c r="WZW105" s="769"/>
      <c r="WZX105" s="769"/>
      <c r="WZY105" s="769"/>
      <c r="WZZ105" s="769"/>
      <c r="XAA105" s="769"/>
      <c r="XAB105" s="769"/>
      <c r="XAC105" s="769"/>
      <c r="XAD105" s="769"/>
      <c r="XAE105" s="769"/>
      <c r="XAF105" s="769"/>
      <c r="XAG105" s="769"/>
      <c r="XAH105" s="769"/>
      <c r="XAI105" s="769"/>
      <c r="XAJ105" s="769"/>
      <c r="XAK105" s="769"/>
      <c r="XAL105" s="769"/>
      <c r="XAM105" s="769"/>
      <c r="XAN105" s="769"/>
      <c r="XAO105" s="769"/>
      <c r="XAP105" s="769"/>
      <c r="XAQ105" s="769"/>
      <c r="XAR105" s="769"/>
      <c r="XAS105" s="769"/>
      <c r="XAT105" s="769"/>
      <c r="XAU105" s="769"/>
      <c r="XAV105" s="769"/>
      <c r="XAW105" s="769"/>
      <c r="XAX105" s="769"/>
      <c r="XAY105" s="769"/>
      <c r="XAZ105" s="769"/>
      <c r="XBA105" s="769"/>
      <c r="XBB105" s="769"/>
      <c r="XBC105" s="769"/>
      <c r="XBD105" s="769"/>
      <c r="XBE105" s="769"/>
      <c r="XBF105" s="769"/>
      <c r="XBG105" s="769"/>
      <c r="XBH105" s="769"/>
      <c r="XBI105" s="769"/>
      <c r="XBJ105" s="769"/>
      <c r="XBK105" s="769"/>
      <c r="XBL105" s="769"/>
      <c r="XBM105" s="769"/>
      <c r="XBN105" s="769"/>
      <c r="XBO105" s="769"/>
      <c r="XBP105" s="769"/>
      <c r="XBQ105" s="769"/>
      <c r="XBR105" s="769"/>
      <c r="XBS105" s="769"/>
      <c r="XBT105" s="769"/>
      <c r="XBU105" s="769"/>
      <c r="XBV105" s="769"/>
      <c r="XBW105" s="769"/>
      <c r="XBX105" s="769"/>
      <c r="XBY105" s="769"/>
      <c r="XBZ105" s="769"/>
      <c r="XCA105" s="769"/>
      <c r="XCB105" s="769"/>
      <c r="XCC105" s="769"/>
      <c r="XCD105" s="769"/>
      <c r="XCE105" s="769"/>
      <c r="XCF105" s="769"/>
      <c r="XCG105" s="769"/>
      <c r="XCH105" s="769"/>
      <c r="XCI105" s="769"/>
      <c r="XCJ105" s="769"/>
      <c r="XCK105" s="769"/>
      <c r="XCL105" s="769"/>
      <c r="XCM105" s="769"/>
      <c r="XCN105" s="769"/>
      <c r="XCO105" s="769"/>
      <c r="XCP105" s="769"/>
      <c r="XCQ105" s="769"/>
      <c r="XCR105" s="769"/>
      <c r="XCS105" s="769"/>
      <c r="XCT105" s="769"/>
      <c r="XCU105" s="769"/>
      <c r="XCV105" s="769"/>
      <c r="XCW105" s="769"/>
      <c r="XCX105" s="769"/>
      <c r="XCY105" s="769"/>
      <c r="XCZ105" s="769"/>
      <c r="XDA105" s="769"/>
      <c r="XDB105" s="769"/>
      <c r="XDC105" s="769"/>
      <c r="XDD105" s="769"/>
      <c r="XDE105" s="769"/>
      <c r="XDF105" s="769"/>
      <c r="XDG105" s="769"/>
      <c r="XDH105" s="769"/>
      <c r="XDI105" s="769"/>
      <c r="XDJ105" s="769"/>
      <c r="XDK105" s="769"/>
      <c r="XDL105" s="769"/>
      <c r="XDM105" s="769"/>
      <c r="XDN105" s="769"/>
      <c r="XDO105" s="769"/>
      <c r="XDP105" s="769"/>
      <c r="XDQ105" s="769"/>
      <c r="XDR105" s="769"/>
      <c r="XDS105" s="769"/>
      <c r="XDT105" s="769"/>
      <c r="XDU105" s="769"/>
      <c r="XDV105" s="769"/>
      <c r="XDW105" s="769"/>
      <c r="XDX105" s="769"/>
      <c r="XDY105" s="769"/>
      <c r="XDZ105" s="769"/>
      <c r="XEA105" s="769"/>
      <c r="XEB105" s="769"/>
      <c r="XEC105" s="769"/>
      <c r="XED105" s="769"/>
      <c r="XEE105" s="769"/>
      <c r="XEF105" s="769"/>
      <c r="XEG105" s="769"/>
      <c r="XEH105" s="769"/>
      <c r="XEI105" s="769"/>
      <c r="XEJ105" s="769"/>
      <c r="XEK105" s="769"/>
      <c r="XEL105" s="769"/>
      <c r="XEM105" s="769"/>
      <c r="XEN105" s="769"/>
      <c r="XEO105" s="769"/>
      <c r="XEP105" s="769"/>
      <c r="XEQ105" s="769"/>
      <c r="XER105" s="769"/>
      <c r="XES105" s="769"/>
      <c r="XET105" s="769"/>
      <c r="XEU105" s="769"/>
      <c r="XEV105" s="769"/>
      <c r="XEW105" s="769"/>
      <c r="XEX105" s="769"/>
      <c r="XEY105" s="769"/>
      <c r="XEZ105" s="769"/>
      <c r="XFA105" s="769"/>
      <c r="XFB105" s="769"/>
    </row>
    <row r="106" spans="1:16382" hidden="1" x14ac:dyDescent="0.25">
      <c r="A106" s="769"/>
      <c r="B106" s="2186"/>
      <c r="C106" s="2225"/>
      <c r="D106" s="2236"/>
      <c r="E106" s="2236"/>
      <c r="F106" s="2236"/>
      <c r="G106" s="2236"/>
      <c r="H106" s="2236"/>
      <c r="I106" s="2236"/>
      <c r="J106" s="2236"/>
      <c r="K106" s="2236"/>
      <c r="L106" s="2237"/>
      <c r="M106" s="2237"/>
      <c r="N106" s="2237"/>
      <c r="O106" s="2237"/>
      <c r="P106" s="2238"/>
      <c r="Q106" s="2239"/>
      <c r="R106" s="769"/>
      <c r="S106" s="769"/>
      <c r="T106" s="769"/>
      <c r="U106" s="769"/>
      <c r="V106" s="769"/>
      <c r="W106" s="769"/>
      <c r="X106" s="769"/>
      <c r="Y106" s="769"/>
      <c r="Z106" s="769"/>
      <c r="AA106" s="769"/>
      <c r="AB106" s="769"/>
      <c r="AC106" s="769"/>
      <c r="AD106" s="769"/>
      <c r="AE106" s="769"/>
      <c r="AF106" s="769"/>
      <c r="AG106" s="769"/>
      <c r="AH106" s="769"/>
      <c r="AI106" s="769"/>
      <c r="AJ106" s="769"/>
      <c r="AK106" s="769"/>
      <c r="AL106" s="769"/>
      <c r="AM106" s="769"/>
      <c r="AN106" s="769"/>
      <c r="AO106" s="769"/>
      <c r="AP106" s="769"/>
      <c r="AQ106" s="769"/>
      <c r="AR106" s="769"/>
      <c r="AS106" s="769"/>
      <c r="AT106" s="769"/>
      <c r="AU106" s="769"/>
      <c r="AV106" s="769"/>
      <c r="AW106" s="769"/>
      <c r="AX106" s="769"/>
      <c r="AY106" s="769"/>
      <c r="AZ106" s="769"/>
      <c r="BA106" s="769"/>
      <c r="BB106" s="769"/>
      <c r="BC106" s="769"/>
      <c r="BD106" s="769"/>
      <c r="BE106" s="769"/>
      <c r="BF106" s="769"/>
      <c r="BG106" s="769"/>
      <c r="BH106" s="769"/>
      <c r="BI106" s="769"/>
      <c r="BJ106" s="769"/>
      <c r="BK106" s="769"/>
      <c r="BL106" s="769"/>
      <c r="BM106" s="769"/>
      <c r="BN106" s="769"/>
      <c r="BO106" s="769"/>
      <c r="BP106" s="769"/>
      <c r="BQ106" s="769"/>
      <c r="BR106" s="769"/>
      <c r="BS106" s="769"/>
      <c r="BT106" s="769"/>
      <c r="BU106" s="769"/>
      <c r="BV106" s="769"/>
      <c r="BW106" s="769"/>
      <c r="BX106" s="769"/>
      <c r="BY106" s="769"/>
      <c r="BZ106" s="769"/>
      <c r="CA106" s="769"/>
      <c r="CB106" s="769"/>
      <c r="CC106" s="769"/>
      <c r="CD106" s="769"/>
      <c r="CE106" s="769"/>
      <c r="CF106" s="769"/>
      <c r="CG106" s="769"/>
      <c r="CH106" s="769"/>
      <c r="CI106" s="769"/>
      <c r="CJ106" s="769"/>
      <c r="CK106" s="769"/>
      <c r="CL106" s="769"/>
      <c r="CM106" s="769"/>
      <c r="CN106" s="769"/>
      <c r="CO106" s="769"/>
      <c r="CP106" s="769"/>
      <c r="CQ106" s="769"/>
      <c r="CR106" s="769"/>
      <c r="CS106" s="769"/>
      <c r="CT106" s="769"/>
      <c r="CU106" s="769"/>
      <c r="CV106" s="769"/>
      <c r="CW106" s="769"/>
      <c r="CX106" s="769"/>
      <c r="CY106" s="769"/>
      <c r="CZ106" s="769"/>
      <c r="DA106" s="769"/>
      <c r="DB106" s="769"/>
      <c r="DC106" s="769"/>
      <c r="DD106" s="769"/>
      <c r="DE106" s="769"/>
      <c r="DF106" s="769"/>
      <c r="DG106" s="769"/>
      <c r="DH106" s="769"/>
      <c r="DI106" s="769"/>
      <c r="DJ106" s="769"/>
      <c r="DK106" s="769"/>
      <c r="DL106" s="769"/>
      <c r="DM106" s="769"/>
      <c r="DN106" s="769"/>
      <c r="DO106" s="769"/>
      <c r="DP106" s="769"/>
      <c r="DQ106" s="769"/>
      <c r="DR106" s="769"/>
      <c r="DS106" s="769"/>
      <c r="DT106" s="769"/>
      <c r="DU106" s="769"/>
      <c r="DV106" s="769"/>
      <c r="DW106" s="769"/>
      <c r="DX106" s="769"/>
      <c r="DY106" s="769"/>
      <c r="DZ106" s="769"/>
      <c r="EA106" s="769"/>
      <c r="EB106" s="769"/>
      <c r="EC106" s="769"/>
      <c r="ED106" s="769"/>
      <c r="EE106" s="769"/>
      <c r="EF106" s="769"/>
      <c r="EG106" s="769"/>
      <c r="EH106" s="769"/>
      <c r="EI106" s="769"/>
      <c r="EJ106" s="769"/>
      <c r="EK106" s="769"/>
      <c r="EL106" s="769"/>
      <c r="EM106" s="769"/>
      <c r="EN106" s="769"/>
      <c r="EO106" s="769"/>
      <c r="EP106" s="769"/>
      <c r="EQ106" s="769"/>
      <c r="ER106" s="769"/>
      <c r="ES106" s="769"/>
      <c r="ET106" s="769"/>
      <c r="EU106" s="769"/>
      <c r="EV106" s="769"/>
      <c r="EW106" s="769"/>
      <c r="EX106" s="769"/>
      <c r="EY106" s="769"/>
      <c r="EZ106" s="769"/>
      <c r="FA106" s="769"/>
      <c r="FB106" s="769"/>
      <c r="FC106" s="769"/>
      <c r="FD106" s="769"/>
      <c r="FE106" s="769"/>
      <c r="FF106" s="769"/>
      <c r="FG106" s="769"/>
      <c r="FH106" s="769"/>
      <c r="FI106" s="769"/>
      <c r="FJ106" s="769"/>
      <c r="FK106" s="769"/>
      <c r="FL106" s="769"/>
      <c r="FM106" s="769"/>
      <c r="FN106" s="769"/>
      <c r="FO106" s="769"/>
      <c r="FP106" s="769"/>
      <c r="FQ106" s="769"/>
      <c r="FR106" s="769"/>
      <c r="FS106" s="769"/>
      <c r="FT106" s="769"/>
      <c r="FU106" s="769"/>
      <c r="FV106" s="769"/>
      <c r="FW106" s="769"/>
      <c r="FX106" s="769"/>
      <c r="FY106" s="769"/>
      <c r="FZ106" s="769"/>
      <c r="GA106" s="769"/>
      <c r="GB106" s="769"/>
      <c r="GC106" s="769"/>
      <c r="GD106" s="769"/>
      <c r="GE106" s="769"/>
      <c r="GF106" s="769"/>
      <c r="GG106" s="769"/>
      <c r="GH106" s="769"/>
      <c r="GI106" s="769"/>
      <c r="GJ106" s="769"/>
      <c r="GK106" s="769"/>
      <c r="GL106" s="769"/>
      <c r="GM106" s="769"/>
      <c r="GN106" s="769"/>
      <c r="GO106" s="769"/>
      <c r="GP106" s="769"/>
      <c r="GQ106" s="769"/>
      <c r="GR106" s="769"/>
      <c r="GS106" s="769"/>
      <c r="GT106" s="769"/>
      <c r="GU106" s="769"/>
      <c r="GV106" s="769"/>
      <c r="GW106" s="769"/>
      <c r="GX106" s="769"/>
      <c r="GY106" s="769"/>
      <c r="GZ106" s="769"/>
      <c r="HA106" s="769"/>
      <c r="HB106" s="769"/>
      <c r="HC106" s="769"/>
      <c r="HD106" s="769"/>
      <c r="HE106" s="769"/>
      <c r="HF106" s="769"/>
      <c r="HG106" s="769"/>
      <c r="HH106" s="769"/>
      <c r="HI106" s="769"/>
      <c r="HJ106" s="769"/>
      <c r="HK106" s="769"/>
      <c r="HL106" s="769"/>
      <c r="HM106" s="769"/>
      <c r="HN106" s="769"/>
      <c r="HO106" s="769"/>
      <c r="HP106" s="769"/>
      <c r="HQ106" s="769"/>
      <c r="HR106" s="769"/>
      <c r="HS106" s="769"/>
      <c r="HT106" s="769"/>
      <c r="HU106" s="769"/>
      <c r="HV106" s="769"/>
      <c r="HW106" s="769"/>
      <c r="HX106" s="769"/>
      <c r="HY106" s="769"/>
      <c r="HZ106" s="769"/>
      <c r="IA106" s="769"/>
      <c r="IB106" s="769"/>
      <c r="IC106" s="769"/>
      <c r="ID106" s="769"/>
      <c r="IE106" s="769"/>
      <c r="IF106" s="769"/>
      <c r="IG106" s="769"/>
      <c r="IH106" s="769"/>
      <c r="II106" s="769"/>
      <c r="IJ106" s="769"/>
      <c r="IK106" s="769"/>
      <c r="IL106" s="769"/>
      <c r="IM106" s="769"/>
      <c r="IN106" s="769"/>
      <c r="IO106" s="769"/>
      <c r="IP106" s="769"/>
      <c r="IQ106" s="769"/>
      <c r="IR106" s="769"/>
      <c r="IS106" s="769"/>
      <c r="IT106" s="769"/>
      <c r="IU106" s="769"/>
      <c r="IV106" s="769"/>
      <c r="IW106" s="769"/>
      <c r="IX106" s="769"/>
      <c r="IY106" s="769"/>
      <c r="IZ106" s="769"/>
      <c r="JA106" s="769"/>
      <c r="JB106" s="769"/>
      <c r="JC106" s="769"/>
      <c r="JD106" s="769"/>
      <c r="JE106" s="769"/>
      <c r="JF106" s="769"/>
      <c r="JG106" s="769"/>
      <c r="JH106" s="769"/>
      <c r="JI106" s="769"/>
      <c r="JJ106" s="769"/>
      <c r="JK106" s="769"/>
      <c r="JL106" s="769"/>
      <c r="JM106" s="769"/>
      <c r="JN106" s="769"/>
      <c r="JO106" s="769"/>
      <c r="JP106" s="769"/>
      <c r="JQ106" s="769"/>
      <c r="JR106" s="769"/>
      <c r="JS106" s="769"/>
      <c r="JT106" s="769"/>
      <c r="JU106" s="769"/>
      <c r="JV106" s="769"/>
      <c r="JW106" s="769"/>
      <c r="JX106" s="769"/>
      <c r="JY106" s="769"/>
      <c r="JZ106" s="769"/>
      <c r="KA106" s="769"/>
      <c r="KB106" s="769"/>
      <c r="KC106" s="769"/>
      <c r="KD106" s="769"/>
      <c r="KE106" s="769"/>
      <c r="KF106" s="769"/>
      <c r="KG106" s="769"/>
      <c r="KH106" s="769"/>
      <c r="KI106" s="769"/>
      <c r="KJ106" s="769"/>
      <c r="KK106" s="769"/>
      <c r="KL106" s="769"/>
      <c r="KM106" s="769"/>
      <c r="KN106" s="769"/>
      <c r="KO106" s="769"/>
      <c r="KP106" s="769"/>
      <c r="KQ106" s="769"/>
      <c r="KR106" s="769"/>
      <c r="KS106" s="769"/>
      <c r="KT106" s="769"/>
      <c r="KU106" s="769"/>
      <c r="KV106" s="769"/>
      <c r="KW106" s="769"/>
      <c r="KX106" s="769"/>
      <c r="KY106" s="769"/>
      <c r="KZ106" s="769"/>
      <c r="LA106" s="769"/>
      <c r="LB106" s="769"/>
      <c r="LC106" s="769"/>
      <c r="LD106" s="769"/>
      <c r="LE106" s="769"/>
      <c r="LF106" s="769"/>
      <c r="LG106" s="769"/>
      <c r="LH106" s="769"/>
      <c r="LI106" s="769"/>
      <c r="LJ106" s="769"/>
      <c r="LK106" s="769"/>
      <c r="LL106" s="769"/>
      <c r="LM106" s="769"/>
      <c r="LN106" s="769"/>
      <c r="LO106" s="769"/>
      <c r="LP106" s="769"/>
      <c r="LQ106" s="769"/>
      <c r="LR106" s="769"/>
      <c r="LS106" s="769"/>
      <c r="LT106" s="769"/>
      <c r="LU106" s="769"/>
      <c r="LV106" s="769"/>
      <c r="LW106" s="769"/>
      <c r="LX106" s="769"/>
      <c r="LY106" s="769"/>
      <c r="LZ106" s="769"/>
      <c r="MA106" s="769"/>
      <c r="MB106" s="769"/>
      <c r="MC106" s="769"/>
      <c r="MD106" s="769"/>
      <c r="ME106" s="769"/>
      <c r="MF106" s="769"/>
      <c r="MG106" s="769"/>
      <c r="MH106" s="769"/>
      <c r="MI106" s="769"/>
      <c r="MJ106" s="769"/>
      <c r="MK106" s="769"/>
      <c r="ML106" s="769"/>
      <c r="MM106" s="769"/>
      <c r="MN106" s="769"/>
      <c r="MO106" s="769"/>
      <c r="MP106" s="769"/>
      <c r="MQ106" s="769"/>
      <c r="MR106" s="769"/>
      <c r="MS106" s="769"/>
      <c r="MT106" s="769"/>
      <c r="MU106" s="769"/>
      <c r="MV106" s="769"/>
      <c r="MW106" s="769"/>
      <c r="MX106" s="769"/>
      <c r="MY106" s="769"/>
      <c r="MZ106" s="769"/>
      <c r="NA106" s="769"/>
      <c r="NB106" s="769"/>
      <c r="NC106" s="769"/>
      <c r="ND106" s="769"/>
      <c r="NE106" s="769"/>
      <c r="NF106" s="769"/>
      <c r="NG106" s="769"/>
      <c r="NH106" s="769"/>
      <c r="NI106" s="769"/>
      <c r="NJ106" s="769"/>
      <c r="NK106" s="769"/>
      <c r="NL106" s="769"/>
      <c r="NM106" s="769"/>
      <c r="NN106" s="769"/>
      <c r="NO106" s="769"/>
      <c r="NP106" s="769"/>
      <c r="NQ106" s="769"/>
      <c r="NR106" s="769"/>
      <c r="NS106" s="769"/>
      <c r="NT106" s="769"/>
      <c r="NU106" s="769"/>
      <c r="NV106" s="769"/>
      <c r="NW106" s="769"/>
      <c r="NX106" s="769"/>
      <c r="NY106" s="769"/>
      <c r="NZ106" s="769"/>
      <c r="OA106" s="769"/>
      <c r="OB106" s="769"/>
      <c r="OC106" s="769"/>
      <c r="OD106" s="769"/>
      <c r="OE106" s="769"/>
      <c r="OF106" s="769"/>
      <c r="OG106" s="769"/>
      <c r="OH106" s="769"/>
      <c r="OI106" s="769"/>
      <c r="OJ106" s="769"/>
      <c r="OK106" s="769"/>
      <c r="OL106" s="769"/>
      <c r="OM106" s="769"/>
      <c r="ON106" s="769"/>
      <c r="OO106" s="769"/>
      <c r="OP106" s="769"/>
      <c r="OQ106" s="769"/>
      <c r="OR106" s="769"/>
      <c r="OS106" s="769"/>
      <c r="OT106" s="769"/>
      <c r="OU106" s="769"/>
      <c r="OV106" s="769"/>
      <c r="OW106" s="769"/>
      <c r="OX106" s="769"/>
      <c r="OY106" s="769"/>
      <c r="OZ106" s="769"/>
      <c r="PA106" s="769"/>
      <c r="PB106" s="769"/>
      <c r="PC106" s="769"/>
      <c r="PD106" s="769"/>
      <c r="PE106" s="769"/>
      <c r="PF106" s="769"/>
      <c r="PG106" s="769"/>
      <c r="PH106" s="769"/>
      <c r="PI106" s="769"/>
      <c r="PJ106" s="769"/>
      <c r="PK106" s="769"/>
      <c r="PL106" s="769"/>
      <c r="PM106" s="769"/>
      <c r="PN106" s="769"/>
      <c r="PO106" s="769"/>
      <c r="PP106" s="769"/>
      <c r="PQ106" s="769"/>
      <c r="PR106" s="769"/>
      <c r="PS106" s="769"/>
      <c r="PT106" s="769"/>
      <c r="PU106" s="769"/>
      <c r="PV106" s="769"/>
      <c r="PW106" s="769"/>
      <c r="PX106" s="769"/>
      <c r="PY106" s="769"/>
      <c r="PZ106" s="769"/>
      <c r="QA106" s="769"/>
      <c r="QB106" s="769"/>
      <c r="QC106" s="769"/>
      <c r="QD106" s="769"/>
      <c r="QE106" s="769"/>
      <c r="QF106" s="769"/>
      <c r="QG106" s="769"/>
      <c r="QH106" s="769"/>
      <c r="QI106" s="769"/>
      <c r="QJ106" s="769"/>
      <c r="QK106" s="769"/>
      <c r="QL106" s="769"/>
      <c r="QM106" s="769"/>
      <c r="QN106" s="769"/>
      <c r="QO106" s="769"/>
      <c r="QP106" s="769"/>
      <c r="QQ106" s="769"/>
      <c r="QR106" s="769"/>
      <c r="QS106" s="769"/>
      <c r="QT106" s="769"/>
      <c r="QU106" s="769"/>
      <c r="QV106" s="769"/>
      <c r="QW106" s="769"/>
      <c r="QX106" s="769"/>
      <c r="QY106" s="769"/>
      <c r="QZ106" s="769"/>
      <c r="RA106" s="769"/>
      <c r="RB106" s="769"/>
      <c r="RC106" s="769"/>
      <c r="RD106" s="769"/>
      <c r="RE106" s="769"/>
      <c r="RF106" s="769"/>
      <c r="RG106" s="769"/>
      <c r="RH106" s="769"/>
      <c r="RI106" s="769"/>
      <c r="RJ106" s="769"/>
      <c r="RK106" s="769"/>
      <c r="RL106" s="769"/>
      <c r="RM106" s="769"/>
      <c r="RN106" s="769"/>
      <c r="RO106" s="769"/>
      <c r="RP106" s="769"/>
      <c r="RQ106" s="769"/>
      <c r="RR106" s="769"/>
      <c r="RS106" s="769"/>
      <c r="RT106" s="769"/>
      <c r="RU106" s="769"/>
      <c r="RV106" s="769"/>
      <c r="RW106" s="769"/>
      <c r="RX106" s="769"/>
      <c r="RY106" s="769"/>
      <c r="RZ106" s="769"/>
      <c r="SA106" s="769"/>
      <c r="SB106" s="769"/>
      <c r="SC106" s="769"/>
      <c r="SD106" s="769"/>
      <c r="SE106" s="769"/>
      <c r="SF106" s="769"/>
      <c r="SG106" s="769"/>
      <c r="SH106" s="769"/>
      <c r="SI106" s="769"/>
      <c r="SJ106" s="769"/>
      <c r="SK106" s="769"/>
      <c r="SL106" s="769"/>
      <c r="SM106" s="769"/>
      <c r="SN106" s="769"/>
      <c r="SO106" s="769"/>
      <c r="SP106" s="769"/>
      <c r="SQ106" s="769"/>
      <c r="SR106" s="769"/>
      <c r="SS106" s="769"/>
      <c r="ST106" s="769"/>
      <c r="SU106" s="769"/>
      <c r="SV106" s="769"/>
      <c r="SW106" s="769"/>
      <c r="SX106" s="769"/>
      <c r="SY106" s="769"/>
      <c r="SZ106" s="769"/>
      <c r="TA106" s="769"/>
      <c r="TB106" s="769"/>
      <c r="TC106" s="769"/>
      <c r="TD106" s="769"/>
      <c r="TE106" s="769"/>
      <c r="TF106" s="769"/>
      <c r="TG106" s="769"/>
      <c r="TH106" s="769"/>
      <c r="TI106" s="769"/>
      <c r="TJ106" s="769"/>
      <c r="TK106" s="769"/>
      <c r="TL106" s="769"/>
      <c r="TM106" s="769"/>
      <c r="TN106" s="769"/>
      <c r="TO106" s="769"/>
      <c r="TP106" s="769"/>
      <c r="TQ106" s="769"/>
      <c r="TR106" s="769"/>
      <c r="TS106" s="769"/>
      <c r="TT106" s="769"/>
      <c r="TU106" s="769"/>
      <c r="TV106" s="769"/>
      <c r="TW106" s="769"/>
      <c r="TX106" s="769"/>
      <c r="TY106" s="769"/>
      <c r="TZ106" s="769"/>
      <c r="UA106" s="769"/>
      <c r="UB106" s="769"/>
      <c r="UC106" s="769"/>
      <c r="UD106" s="769"/>
      <c r="UE106" s="769"/>
      <c r="UF106" s="769"/>
      <c r="UG106" s="769"/>
      <c r="UH106" s="769"/>
      <c r="UI106" s="769"/>
      <c r="UJ106" s="769"/>
      <c r="UK106" s="769"/>
      <c r="UL106" s="769"/>
      <c r="UM106" s="769"/>
      <c r="UN106" s="769"/>
      <c r="UO106" s="769"/>
      <c r="UP106" s="769"/>
      <c r="UQ106" s="769"/>
      <c r="UR106" s="769"/>
      <c r="US106" s="769"/>
      <c r="UT106" s="769"/>
      <c r="UU106" s="769"/>
      <c r="UV106" s="769"/>
      <c r="UW106" s="769"/>
      <c r="UX106" s="769"/>
      <c r="UY106" s="769"/>
      <c r="UZ106" s="769"/>
      <c r="VA106" s="769"/>
      <c r="VB106" s="769"/>
      <c r="VC106" s="769"/>
      <c r="VD106" s="769"/>
      <c r="VE106" s="769"/>
      <c r="VF106" s="769"/>
      <c r="VG106" s="769"/>
      <c r="VH106" s="769"/>
      <c r="VI106" s="769"/>
      <c r="VJ106" s="769"/>
      <c r="VK106" s="769"/>
      <c r="VL106" s="769"/>
      <c r="VM106" s="769"/>
      <c r="VN106" s="769"/>
      <c r="VO106" s="769"/>
      <c r="VP106" s="769"/>
      <c r="VQ106" s="769"/>
      <c r="VR106" s="769"/>
      <c r="VS106" s="769"/>
      <c r="VT106" s="769"/>
      <c r="VU106" s="769"/>
      <c r="VV106" s="769"/>
      <c r="VW106" s="769"/>
      <c r="VX106" s="769"/>
      <c r="VY106" s="769"/>
      <c r="VZ106" s="769"/>
      <c r="WA106" s="769"/>
      <c r="WB106" s="769"/>
      <c r="WC106" s="769"/>
      <c r="WD106" s="769"/>
      <c r="WE106" s="769"/>
      <c r="WF106" s="769"/>
      <c r="WG106" s="769"/>
      <c r="WH106" s="769"/>
      <c r="WI106" s="769"/>
      <c r="WJ106" s="769"/>
      <c r="WK106" s="769"/>
      <c r="WL106" s="769"/>
      <c r="WM106" s="769"/>
      <c r="WN106" s="769"/>
      <c r="WO106" s="769"/>
      <c r="WP106" s="769"/>
      <c r="WQ106" s="769"/>
      <c r="WR106" s="769"/>
      <c r="WS106" s="769"/>
      <c r="WT106" s="769"/>
      <c r="WU106" s="769"/>
      <c r="WV106" s="769"/>
      <c r="WW106" s="769"/>
      <c r="WX106" s="769"/>
      <c r="WY106" s="769"/>
      <c r="WZ106" s="769"/>
      <c r="XA106" s="769"/>
      <c r="XB106" s="769"/>
      <c r="XC106" s="769"/>
      <c r="XD106" s="769"/>
      <c r="XE106" s="769"/>
      <c r="XF106" s="769"/>
      <c r="XG106" s="769"/>
      <c r="XH106" s="769"/>
      <c r="XI106" s="769"/>
      <c r="XJ106" s="769"/>
      <c r="XK106" s="769"/>
      <c r="XL106" s="769"/>
      <c r="XM106" s="769"/>
      <c r="XN106" s="769"/>
      <c r="XO106" s="769"/>
      <c r="XP106" s="769"/>
      <c r="XQ106" s="769"/>
      <c r="XR106" s="769"/>
      <c r="XS106" s="769"/>
      <c r="XT106" s="769"/>
      <c r="XU106" s="769"/>
      <c r="XV106" s="769"/>
      <c r="XW106" s="769"/>
      <c r="XX106" s="769"/>
      <c r="XY106" s="769"/>
      <c r="XZ106" s="769"/>
      <c r="YA106" s="769"/>
      <c r="YB106" s="769"/>
      <c r="YC106" s="769"/>
      <c r="YD106" s="769"/>
      <c r="YE106" s="769"/>
      <c r="YF106" s="769"/>
      <c r="YG106" s="769"/>
      <c r="YH106" s="769"/>
      <c r="YI106" s="769"/>
      <c r="YJ106" s="769"/>
      <c r="YK106" s="769"/>
      <c r="YL106" s="769"/>
      <c r="YM106" s="769"/>
      <c r="YN106" s="769"/>
      <c r="YO106" s="769"/>
      <c r="YP106" s="769"/>
      <c r="YQ106" s="769"/>
      <c r="YR106" s="769"/>
      <c r="YS106" s="769"/>
      <c r="YT106" s="769"/>
      <c r="YU106" s="769"/>
      <c r="YV106" s="769"/>
      <c r="YW106" s="769"/>
      <c r="YX106" s="769"/>
      <c r="YY106" s="769"/>
      <c r="YZ106" s="769"/>
      <c r="ZA106" s="769"/>
      <c r="ZB106" s="769"/>
      <c r="ZC106" s="769"/>
      <c r="ZD106" s="769"/>
      <c r="ZE106" s="769"/>
      <c r="ZF106" s="769"/>
      <c r="ZG106" s="769"/>
      <c r="ZH106" s="769"/>
      <c r="ZI106" s="769"/>
      <c r="ZJ106" s="769"/>
      <c r="ZK106" s="769"/>
      <c r="ZL106" s="769"/>
      <c r="ZM106" s="769"/>
      <c r="ZN106" s="769"/>
      <c r="ZO106" s="769"/>
      <c r="ZP106" s="769"/>
      <c r="ZQ106" s="769"/>
      <c r="ZR106" s="769"/>
      <c r="ZS106" s="769"/>
      <c r="ZT106" s="769"/>
      <c r="ZU106" s="769"/>
      <c r="ZV106" s="769"/>
      <c r="ZW106" s="769"/>
      <c r="ZX106" s="769"/>
      <c r="ZY106" s="769"/>
      <c r="ZZ106" s="769"/>
      <c r="AAA106" s="769"/>
      <c r="AAB106" s="769"/>
      <c r="AAC106" s="769"/>
      <c r="AAD106" s="769"/>
      <c r="AAE106" s="769"/>
      <c r="AAF106" s="769"/>
      <c r="AAG106" s="769"/>
      <c r="AAH106" s="769"/>
      <c r="AAI106" s="769"/>
      <c r="AAJ106" s="769"/>
      <c r="AAK106" s="769"/>
      <c r="AAL106" s="769"/>
      <c r="AAM106" s="769"/>
      <c r="AAN106" s="769"/>
      <c r="AAO106" s="769"/>
      <c r="AAP106" s="769"/>
      <c r="AAQ106" s="769"/>
      <c r="AAR106" s="769"/>
      <c r="AAS106" s="769"/>
      <c r="AAT106" s="769"/>
      <c r="AAU106" s="769"/>
      <c r="AAV106" s="769"/>
      <c r="AAW106" s="769"/>
      <c r="AAX106" s="769"/>
      <c r="AAY106" s="769"/>
      <c r="AAZ106" s="769"/>
      <c r="ABA106" s="769"/>
      <c r="ABB106" s="769"/>
      <c r="ABC106" s="769"/>
      <c r="ABD106" s="769"/>
      <c r="ABE106" s="769"/>
      <c r="ABF106" s="769"/>
      <c r="ABG106" s="769"/>
      <c r="ABH106" s="769"/>
      <c r="ABI106" s="769"/>
      <c r="ABJ106" s="769"/>
      <c r="ABK106" s="769"/>
      <c r="ABL106" s="769"/>
      <c r="ABM106" s="769"/>
      <c r="ABN106" s="769"/>
      <c r="ABO106" s="769"/>
      <c r="ABP106" s="769"/>
      <c r="ABQ106" s="769"/>
      <c r="ABR106" s="769"/>
      <c r="ABS106" s="769"/>
      <c r="ABT106" s="769"/>
      <c r="ABU106" s="769"/>
      <c r="ABV106" s="769"/>
      <c r="ABW106" s="769"/>
      <c r="ABX106" s="769"/>
      <c r="ABY106" s="769"/>
      <c r="ABZ106" s="769"/>
      <c r="ACA106" s="769"/>
      <c r="ACB106" s="769"/>
      <c r="ACC106" s="769"/>
      <c r="ACD106" s="769"/>
      <c r="ACE106" s="769"/>
      <c r="ACF106" s="769"/>
      <c r="ACG106" s="769"/>
      <c r="ACH106" s="769"/>
      <c r="ACI106" s="769"/>
      <c r="ACJ106" s="769"/>
      <c r="ACK106" s="769"/>
      <c r="ACL106" s="769"/>
      <c r="ACM106" s="769"/>
      <c r="ACN106" s="769"/>
      <c r="ACO106" s="769"/>
      <c r="ACP106" s="769"/>
      <c r="ACQ106" s="769"/>
      <c r="ACR106" s="769"/>
      <c r="ACS106" s="769"/>
      <c r="ACT106" s="769"/>
      <c r="ACU106" s="769"/>
      <c r="ACV106" s="769"/>
      <c r="ACW106" s="769"/>
      <c r="ACX106" s="769"/>
      <c r="ACY106" s="769"/>
      <c r="ACZ106" s="769"/>
      <c r="ADA106" s="769"/>
      <c r="ADB106" s="769"/>
      <c r="ADC106" s="769"/>
      <c r="ADD106" s="769"/>
      <c r="ADE106" s="769"/>
      <c r="ADF106" s="769"/>
      <c r="ADG106" s="769"/>
      <c r="ADH106" s="769"/>
      <c r="ADI106" s="769"/>
      <c r="ADJ106" s="769"/>
      <c r="ADK106" s="769"/>
      <c r="ADL106" s="769"/>
      <c r="ADM106" s="769"/>
      <c r="ADN106" s="769"/>
      <c r="ADO106" s="769"/>
      <c r="ADP106" s="769"/>
      <c r="ADQ106" s="769"/>
      <c r="ADR106" s="769"/>
      <c r="ADS106" s="769"/>
      <c r="ADT106" s="769"/>
      <c r="ADU106" s="769"/>
      <c r="ADV106" s="769"/>
      <c r="ADW106" s="769"/>
      <c r="ADX106" s="769"/>
      <c r="ADY106" s="769"/>
      <c r="ADZ106" s="769"/>
      <c r="AEA106" s="769"/>
      <c r="AEB106" s="769"/>
      <c r="AEC106" s="769"/>
      <c r="AED106" s="769"/>
      <c r="AEE106" s="769"/>
      <c r="AEF106" s="769"/>
      <c r="AEG106" s="769"/>
      <c r="AEH106" s="769"/>
      <c r="AEI106" s="769"/>
      <c r="AEJ106" s="769"/>
      <c r="AEK106" s="769"/>
      <c r="AEL106" s="769"/>
      <c r="AEM106" s="769"/>
      <c r="AEN106" s="769"/>
      <c r="AEO106" s="769"/>
      <c r="AEP106" s="769"/>
      <c r="AEQ106" s="769"/>
      <c r="AER106" s="769"/>
      <c r="AES106" s="769"/>
      <c r="AET106" s="769"/>
      <c r="AEU106" s="769"/>
      <c r="AEV106" s="769"/>
      <c r="AEW106" s="769"/>
      <c r="AEX106" s="769"/>
      <c r="AEY106" s="769"/>
      <c r="AEZ106" s="769"/>
      <c r="AFA106" s="769"/>
      <c r="AFB106" s="769"/>
      <c r="AFC106" s="769"/>
      <c r="AFD106" s="769"/>
      <c r="AFE106" s="769"/>
      <c r="AFF106" s="769"/>
      <c r="AFG106" s="769"/>
      <c r="AFH106" s="769"/>
      <c r="AFI106" s="769"/>
      <c r="AFJ106" s="769"/>
      <c r="AFK106" s="769"/>
      <c r="AFL106" s="769"/>
      <c r="AFM106" s="769"/>
      <c r="AFN106" s="769"/>
      <c r="AFO106" s="769"/>
      <c r="AFP106" s="769"/>
      <c r="AFQ106" s="769"/>
      <c r="AFR106" s="769"/>
      <c r="AFS106" s="769"/>
      <c r="AFT106" s="769"/>
      <c r="AFU106" s="769"/>
      <c r="AFV106" s="769"/>
      <c r="AFW106" s="769"/>
      <c r="AFX106" s="769"/>
      <c r="AFY106" s="769"/>
      <c r="AFZ106" s="769"/>
      <c r="AGA106" s="769"/>
      <c r="AGB106" s="769"/>
      <c r="AGC106" s="769"/>
      <c r="AGD106" s="769"/>
      <c r="AGE106" s="769"/>
      <c r="AGF106" s="769"/>
      <c r="AGG106" s="769"/>
      <c r="AGH106" s="769"/>
      <c r="AGI106" s="769"/>
      <c r="AGJ106" s="769"/>
      <c r="AGK106" s="769"/>
      <c r="AGL106" s="769"/>
      <c r="AGM106" s="769"/>
      <c r="AGN106" s="769"/>
      <c r="AGO106" s="769"/>
      <c r="AGP106" s="769"/>
      <c r="AGQ106" s="769"/>
      <c r="AGR106" s="769"/>
      <c r="AGS106" s="769"/>
      <c r="AGT106" s="769"/>
      <c r="AGU106" s="769"/>
      <c r="AGV106" s="769"/>
      <c r="AGW106" s="769"/>
      <c r="AGX106" s="769"/>
      <c r="AGY106" s="769"/>
      <c r="AGZ106" s="769"/>
      <c r="AHA106" s="769"/>
      <c r="AHB106" s="769"/>
      <c r="AHC106" s="769"/>
      <c r="AHD106" s="769"/>
      <c r="AHE106" s="769"/>
      <c r="AHF106" s="769"/>
      <c r="AHG106" s="769"/>
      <c r="AHH106" s="769"/>
      <c r="AHI106" s="769"/>
      <c r="AHJ106" s="769"/>
      <c r="AHK106" s="769"/>
      <c r="AHL106" s="769"/>
      <c r="AHM106" s="769"/>
      <c r="AHN106" s="769"/>
      <c r="AHO106" s="769"/>
      <c r="AHP106" s="769"/>
      <c r="AHQ106" s="769"/>
      <c r="AHR106" s="769"/>
      <c r="AHS106" s="769"/>
      <c r="AHT106" s="769"/>
      <c r="AHU106" s="769"/>
      <c r="AHV106" s="769"/>
      <c r="AHW106" s="769"/>
      <c r="AHX106" s="769"/>
      <c r="AHY106" s="769"/>
      <c r="AHZ106" s="769"/>
      <c r="AIA106" s="769"/>
      <c r="AIB106" s="769"/>
      <c r="AIC106" s="769"/>
      <c r="AID106" s="769"/>
      <c r="AIE106" s="769"/>
      <c r="AIF106" s="769"/>
      <c r="AIG106" s="769"/>
      <c r="AIH106" s="769"/>
      <c r="AII106" s="769"/>
      <c r="AIJ106" s="769"/>
      <c r="AIK106" s="769"/>
      <c r="AIL106" s="769"/>
      <c r="AIM106" s="769"/>
      <c r="AIN106" s="769"/>
      <c r="AIO106" s="769"/>
      <c r="AIP106" s="769"/>
      <c r="AIQ106" s="769"/>
      <c r="AIR106" s="769"/>
      <c r="AIS106" s="769"/>
      <c r="AIT106" s="769"/>
      <c r="AIU106" s="769"/>
      <c r="AIV106" s="769"/>
      <c r="AIW106" s="769"/>
      <c r="AIX106" s="769"/>
      <c r="AIY106" s="769"/>
      <c r="AIZ106" s="769"/>
      <c r="AJA106" s="769"/>
      <c r="AJB106" s="769"/>
      <c r="AJC106" s="769"/>
      <c r="AJD106" s="769"/>
      <c r="AJE106" s="769"/>
      <c r="AJF106" s="769"/>
      <c r="AJG106" s="769"/>
      <c r="AJH106" s="769"/>
      <c r="AJI106" s="769"/>
      <c r="AJJ106" s="769"/>
      <c r="AJK106" s="769"/>
      <c r="AJL106" s="769"/>
      <c r="AJM106" s="769"/>
      <c r="AJN106" s="769"/>
      <c r="AJO106" s="769"/>
      <c r="AJP106" s="769"/>
      <c r="AJQ106" s="769"/>
      <c r="AJR106" s="769"/>
      <c r="AJS106" s="769"/>
      <c r="AJT106" s="769"/>
      <c r="AJU106" s="769"/>
      <c r="AJV106" s="769"/>
      <c r="AJW106" s="769"/>
      <c r="AJX106" s="769"/>
      <c r="AJY106" s="769"/>
      <c r="AJZ106" s="769"/>
      <c r="AKA106" s="769"/>
      <c r="AKB106" s="769"/>
      <c r="AKC106" s="769"/>
      <c r="AKD106" s="769"/>
      <c r="AKE106" s="769"/>
      <c r="AKF106" s="769"/>
      <c r="AKG106" s="769"/>
      <c r="AKH106" s="769"/>
      <c r="AKI106" s="769"/>
      <c r="AKJ106" s="769"/>
      <c r="AKK106" s="769"/>
      <c r="AKL106" s="769"/>
      <c r="AKM106" s="769"/>
      <c r="AKN106" s="769"/>
      <c r="AKO106" s="769"/>
      <c r="AKP106" s="769"/>
      <c r="AKQ106" s="769"/>
      <c r="AKR106" s="769"/>
      <c r="AKS106" s="769"/>
      <c r="AKT106" s="769"/>
      <c r="AKU106" s="769"/>
      <c r="AKV106" s="769"/>
      <c r="AKW106" s="769"/>
      <c r="AKX106" s="769"/>
      <c r="AKY106" s="769"/>
      <c r="AKZ106" s="769"/>
      <c r="ALA106" s="769"/>
      <c r="ALB106" s="769"/>
      <c r="ALC106" s="769"/>
      <c r="ALD106" s="769"/>
      <c r="ALE106" s="769"/>
      <c r="ALF106" s="769"/>
      <c r="ALG106" s="769"/>
      <c r="ALH106" s="769"/>
      <c r="ALI106" s="769"/>
      <c r="ALJ106" s="769"/>
      <c r="ALK106" s="769"/>
      <c r="ALL106" s="769"/>
      <c r="ALM106" s="769"/>
      <c r="ALN106" s="769"/>
      <c r="ALO106" s="769"/>
      <c r="ALP106" s="769"/>
      <c r="ALQ106" s="769"/>
      <c r="ALR106" s="769"/>
      <c r="ALS106" s="769"/>
      <c r="ALT106" s="769"/>
      <c r="ALU106" s="769"/>
      <c r="ALV106" s="769"/>
      <c r="ALW106" s="769"/>
      <c r="ALX106" s="769"/>
      <c r="ALY106" s="769"/>
      <c r="ALZ106" s="769"/>
      <c r="AMA106" s="769"/>
      <c r="AMB106" s="769"/>
      <c r="AMC106" s="769"/>
      <c r="AMD106" s="769"/>
      <c r="AME106" s="769"/>
      <c r="AMF106" s="769"/>
      <c r="AMG106" s="769"/>
      <c r="AMH106" s="769"/>
      <c r="AMI106" s="769"/>
      <c r="AMJ106" s="769"/>
      <c r="AMK106" s="769"/>
      <c r="AML106" s="769"/>
      <c r="AMM106" s="769"/>
      <c r="AMN106" s="769"/>
      <c r="AMO106" s="769"/>
      <c r="AMP106" s="769"/>
      <c r="AMQ106" s="769"/>
      <c r="AMR106" s="769"/>
      <c r="AMS106" s="769"/>
      <c r="AMT106" s="769"/>
      <c r="AMU106" s="769"/>
      <c r="AMV106" s="769"/>
      <c r="AMW106" s="769"/>
      <c r="AMX106" s="769"/>
      <c r="AMY106" s="769"/>
      <c r="AMZ106" s="769"/>
      <c r="ANA106" s="769"/>
      <c r="ANB106" s="769"/>
      <c r="ANC106" s="769"/>
      <c r="AND106" s="769"/>
      <c r="ANE106" s="769"/>
      <c r="ANF106" s="769"/>
      <c r="ANG106" s="769"/>
      <c r="ANH106" s="769"/>
      <c r="ANI106" s="769"/>
      <c r="ANJ106" s="769"/>
      <c r="ANK106" s="769"/>
      <c r="ANL106" s="769"/>
      <c r="ANM106" s="769"/>
      <c r="ANN106" s="769"/>
      <c r="ANO106" s="769"/>
      <c r="ANP106" s="769"/>
      <c r="ANQ106" s="769"/>
      <c r="ANR106" s="769"/>
      <c r="ANS106" s="769"/>
      <c r="ANT106" s="769"/>
      <c r="ANU106" s="769"/>
      <c r="ANV106" s="769"/>
      <c r="ANW106" s="769"/>
      <c r="ANX106" s="769"/>
      <c r="ANY106" s="769"/>
      <c r="ANZ106" s="769"/>
      <c r="AOA106" s="769"/>
      <c r="AOB106" s="769"/>
      <c r="AOC106" s="769"/>
      <c r="AOD106" s="769"/>
      <c r="AOE106" s="769"/>
      <c r="AOF106" s="769"/>
      <c r="AOG106" s="769"/>
      <c r="AOH106" s="769"/>
      <c r="AOI106" s="769"/>
      <c r="AOJ106" s="769"/>
      <c r="AOK106" s="769"/>
      <c r="AOL106" s="769"/>
      <c r="AOM106" s="769"/>
      <c r="AON106" s="769"/>
      <c r="AOO106" s="769"/>
      <c r="AOP106" s="769"/>
      <c r="AOQ106" s="769"/>
      <c r="AOR106" s="769"/>
      <c r="AOS106" s="769"/>
      <c r="AOT106" s="769"/>
      <c r="AOU106" s="769"/>
      <c r="AOV106" s="769"/>
      <c r="AOW106" s="769"/>
      <c r="AOX106" s="769"/>
      <c r="AOY106" s="769"/>
      <c r="AOZ106" s="769"/>
      <c r="APA106" s="769"/>
      <c r="APB106" s="769"/>
      <c r="APC106" s="769"/>
      <c r="APD106" s="769"/>
      <c r="APE106" s="769"/>
      <c r="APF106" s="769"/>
      <c r="APG106" s="769"/>
      <c r="APH106" s="769"/>
      <c r="API106" s="769"/>
      <c r="APJ106" s="769"/>
      <c r="APK106" s="769"/>
      <c r="APL106" s="769"/>
      <c r="APM106" s="769"/>
      <c r="APN106" s="769"/>
      <c r="APO106" s="769"/>
      <c r="APP106" s="769"/>
      <c r="APQ106" s="769"/>
      <c r="APR106" s="769"/>
      <c r="APS106" s="769"/>
      <c r="APT106" s="769"/>
      <c r="APU106" s="769"/>
      <c r="APV106" s="769"/>
      <c r="APW106" s="769"/>
      <c r="APX106" s="769"/>
      <c r="APY106" s="769"/>
      <c r="APZ106" s="769"/>
      <c r="AQA106" s="769"/>
      <c r="AQB106" s="769"/>
      <c r="AQC106" s="769"/>
      <c r="AQD106" s="769"/>
      <c r="AQE106" s="769"/>
      <c r="AQF106" s="769"/>
      <c r="AQG106" s="769"/>
      <c r="AQH106" s="769"/>
      <c r="AQI106" s="769"/>
      <c r="AQJ106" s="769"/>
      <c r="AQK106" s="769"/>
      <c r="AQL106" s="769"/>
      <c r="AQM106" s="769"/>
      <c r="AQN106" s="769"/>
      <c r="AQO106" s="769"/>
      <c r="AQP106" s="769"/>
      <c r="AQQ106" s="769"/>
      <c r="AQR106" s="769"/>
      <c r="AQS106" s="769"/>
      <c r="AQT106" s="769"/>
      <c r="AQU106" s="769"/>
      <c r="AQV106" s="769"/>
      <c r="AQW106" s="769"/>
      <c r="AQX106" s="769"/>
      <c r="AQY106" s="769"/>
      <c r="AQZ106" s="769"/>
      <c r="ARA106" s="769"/>
      <c r="ARB106" s="769"/>
      <c r="ARC106" s="769"/>
      <c r="ARD106" s="769"/>
      <c r="ARE106" s="769"/>
      <c r="ARF106" s="769"/>
      <c r="ARG106" s="769"/>
      <c r="ARH106" s="769"/>
      <c r="ARI106" s="769"/>
      <c r="ARJ106" s="769"/>
      <c r="ARK106" s="769"/>
      <c r="ARL106" s="769"/>
      <c r="ARM106" s="769"/>
      <c r="ARN106" s="769"/>
      <c r="ARO106" s="769"/>
      <c r="ARP106" s="769"/>
      <c r="ARQ106" s="769"/>
      <c r="ARR106" s="769"/>
      <c r="ARS106" s="769"/>
      <c r="ART106" s="769"/>
      <c r="ARU106" s="769"/>
      <c r="ARV106" s="769"/>
      <c r="ARW106" s="769"/>
      <c r="ARX106" s="769"/>
      <c r="ARY106" s="769"/>
      <c r="ARZ106" s="769"/>
      <c r="ASA106" s="769"/>
      <c r="ASB106" s="769"/>
      <c r="ASC106" s="769"/>
      <c r="ASD106" s="769"/>
      <c r="ASE106" s="769"/>
      <c r="ASF106" s="769"/>
      <c r="ASG106" s="769"/>
      <c r="ASH106" s="769"/>
      <c r="ASI106" s="769"/>
      <c r="ASJ106" s="769"/>
      <c r="ASK106" s="769"/>
      <c r="ASL106" s="769"/>
      <c r="ASM106" s="769"/>
      <c r="ASN106" s="769"/>
      <c r="ASO106" s="769"/>
      <c r="ASP106" s="769"/>
      <c r="ASQ106" s="769"/>
      <c r="ASR106" s="769"/>
      <c r="ASS106" s="769"/>
      <c r="AST106" s="769"/>
      <c r="ASU106" s="769"/>
      <c r="ASV106" s="769"/>
      <c r="ASW106" s="769"/>
      <c r="ASX106" s="769"/>
      <c r="ASY106" s="769"/>
      <c r="ASZ106" s="769"/>
      <c r="ATA106" s="769"/>
      <c r="ATB106" s="769"/>
      <c r="ATC106" s="769"/>
      <c r="ATD106" s="769"/>
      <c r="ATE106" s="769"/>
      <c r="ATF106" s="769"/>
      <c r="ATG106" s="769"/>
      <c r="ATH106" s="769"/>
      <c r="ATI106" s="769"/>
      <c r="ATJ106" s="769"/>
      <c r="ATK106" s="769"/>
      <c r="ATL106" s="769"/>
      <c r="ATM106" s="769"/>
      <c r="ATN106" s="769"/>
      <c r="ATO106" s="769"/>
      <c r="ATP106" s="769"/>
      <c r="ATQ106" s="769"/>
      <c r="ATR106" s="769"/>
      <c r="ATS106" s="769"/>
      <c r="ATT106" s="769"/>
      <c r="ATU106" s="769"/>
      <c r="ATV106" s="769"/>
      <c r="ATW106" s="769"/>
      <c r="ATX106" s="769"/>
      <c r="ATY106" s="769"/>
      <c r="ATZ106" s="769"/>
      <c r="AUA106" s="769"/>
      <c r="AUB106" s="769"/>
      <c r="AUC106" s="769"/>
      <c r="AUD106" s="769"/>
      <c r="AUE106" s="769"/>
      <c r="AUF106" s="769"/>
      <c r="AUG106" s="769"/>
      <c r="AUH106" s="769"/>
      <c r="AUI106" s="769"/>
      <c r="AUJ106" s="769"/>
      <c r="AUK106" s="769"/>
      <c r="AUL106" s="769"/>
      <c r="AUM106" s="769"/>
      <c r="AUN106" s="769"/>
      <c r="AUO106" s="769"/>
      <c r="AUP106" s="769"/>
      <c r="AUQ106" s="769"/>
      <c r="AUR106" s="769"/>
      <c r="AUS106" s="769"/>
      <c r="AUT106" s="769"/>
      <c r="AUU106" s="769"/>
      <c r="AUV106" s="769"/>
      <c r="AUW106" s="769"/>
      <c r="AUX106" s="769"/>
      <c r="AUY106" s="769"/>
      <c r="AUZ106" s="769"/>
      <c r="AVA106" s="769"/>
      <c r="AVB106" s="769"/>
      <c r="AVC106" s="769"/>
      <c r="AVD106" s="769"/>
      <c r="AVE106" s="769"/>
      <c r="AVF106" s="769"/>
      <c r="AVG106" s="769"/>
      <c r="AVH106" s="769"/>
      <c r="AVI106" s="769"/>
      <c r="AVJ106" s="769"/>
      <c r="AVK106" s="769"/>
      <c r="AVL106" s="769"/>
      <c r="AVM106" s="769"/>
      <c r="AVN106" s="769"/>
      <c r="AVO106" s="769"/>
      <c r="AVP106" s="769"/>
      <c r="AVQ106" s="769"/>
      <c r="AVR106" s="769"/>
      <c r="AVS106" s="769"/>
      <c r="AVT106" s="769"/>
      <c r="AVU106" s="769"/>
      <c r="AVV106" s="769"/>
      <c r="AVW106" s="769"/>
      <c r="AVX106" s="769"/>
      <c r="AVY106" s="769"/>
      <c r="AVZ106" s="769"/>
      <c r="AWA106" s="769"/>
      <c r="AWB106" s="769"/>
      <c r="AWC106" s="769"/>
      <c r="AWD106" s="769"/>
      <c r="AWE106" s="769"/>
      <c r="AWF106" s="769"/>
      <c r="AWG106" s="769"/>
      <c r="AWH106" s="769"/>
      <c r="AWI106" s="769"/>
      <c r="AWJ106" s="769"/>
      <c r="AWK106" s="769"/>
      <c r="AWL106" s="769"/>
      <c r="AWM106" s="769"/>
      <c r="AWN106" s="769"/>
      <c r="AWO106" s="769"/>
      <c r="AWP106" s="769"/>
      <c r="AWQ106" s="769"/>
      <c r="AWR106" s="769"/>
      <c r="AWS106" s="769"/>
      <c r="AWT106" s="769"/>
      <c r="AWU106" s="769"/>
      <c r="AWV106" s="769"/>
      <c r="AWW106" s="769"/>
      <c r="AWX106" s="769"/>
      <c r="AWY106" s="769"/>
      <c r="AWZ106" s="769"/>
      <c r="AXA106" s="769"/>
      <c r="AXB106" s="769"/>
      <c r="AXC106" s="769"/>
      <c r="AXD106" s="769"/>
      <c r="AXE106" s="769"/>
      <c r="AXF106" s="769"/>
      <c r="AXG106" s="769"/>
      <c r="AXH106" s="769"/>
      <c r="AXI106" s="769"/>
      <c r="AXJ106" s="769"/>
      <c r="AXK106" s="769"/>
      <c r="AXL106" s="769"/>
      <c r="AXM106" s="769"/>
      <c r="AXN106" s="769"/>
      <c r="AXO106" s="769"/>
      <c r="AXP106" s="769"/>
      <c r="AXQ106" s="769"/>
      <c r="AXR106" s="769"/>
      <c r="AXS106" s="769"/>
      <c r="AXT106" s="769"/>
      <c r="AXU106" s="769"/>
      <c r="AXV106" s="769"/>
      <c r="AXW106" s="769"/>
      <c r="AXX106" s="769"/>
      <c r="AXY106" s="769"/>
      <c r="AXZ106" s="769"/>
      <c r="AYA106" s="769"/>
      <c r="AYB106" s="769"/>
      <c r="AYC106" s="769"/>
      <c r="AYD106" s="769"/>
      <c r="AYE106" s="769"/>
      <c r="AYF106" s="769"/>
      <c r="AYG106" s="769"/>
      <c r="AYH106" s="769"/>
      <c r="AYI106" s="769"/>
      <c r="AYJ106" s="769"/>
      <c r="AYK106" s="769"/>
      <c r="AYL106" s="769"/>
      <c r="AYM106" s="769"/>
      <c r="AYN106" s="769"/>
      <c r="AYO106" s="769"/>
      <c r="AYP106" s="769"/>
      <c r="AYQ106" s="769"/>
      <c r="AYR106" s="769"/>
      <c r="AYS106" s="769"/>
      <c r="AYT106" s="769"/>
      <c r="AYU106" s="769"/>
      <c r="AYV106" s="769"/>
      <c r="AYW106" s="769"/>
      <c r="AYX106" s="769"/>
      <c r="AYY106" s="769"/>
      <c r="AYZ106" s="769"/>
      <c r="AZA106" s="769"/>
      <c r="AZB106" s="769"/>
      <c r="AZC106" s="769"/>
      <c r="AZD106" s="769"/>
      <c r="AZE106" s="769"/>
      <c r="AZF106" s="769"/>
      <c r="AZG106" s="769"/>
      <c r="AZH106" s="769"/>
      <c r="AZI106" s="769"/>
      <c r="AZJ106" s="769"/>
      <c r="AZK106" s="769"/>
      <c r="AZL106" s="769"/>
      <c r="AZM106" s="769"/>
      <c r="AZN106" s="769"/>
      <c r="AZO106" s="769"/>
      <c r="AZP106" s="769"/>
      <c r="AZQ106" s="769"/>
      <c r="AZR106" s="769"/>
      <c r="AZS106" s="769"/>
      <c r="AZT106" s="769"/>
      <c r="AZU106" s="769"/>
      <c r="AZV106" s="769"/>
      <c r="AZW106" s="769"/>
      <c r="AZX106" s="769"/>
      <c r="AZY106" s="769"/>
      <c r="AZZ106" s="769"/>
      <c r="BAA106" s="769"/>
      <c r="BAB106" s="769"/>
      <c r="BAC106" s="769"/>
      <c r="BAD106" s="769"/>
      <c r="BAE106" s="769"/>
      <c r="BAF106" s="769"/>
      <c r="BAG106" s="769"/>
      <c r="BAH106" s="769"/>
      <c r="BAI106" s="769"/>
      <c r="BAJ106" s="769"/>
      <c r="BAK106" s="769"/>
      <c r="BAL106" s="769"/>
      <c r="BAM106" s="769"/>
      <c r="BAN106" s="769"/>
      <c r="BAO106" s="769"/>
      <c r="BAP106" s="769"/>
      <c r="BAQ106" s="769"/>
      <c r="BAR106" s="769"/>
      <c r="BAS106" s="769"/>
      <c r="BAT106" s="769"/>
      <c r="BAU106" s="769"/>
      <c r="BAV106" s="769"/>
      <c r="BAW106" s="769"/>
      <c r="BAX106" s="769"/>
      <c r="BAY106" s="769"/>
      <c r="BAZ106" s="769"/>
      <c r="BBA106" s="769"/>
      <c r="BBB106" s="769"/>
      <c r="BBC106" s="769"/>
      <c r="BBD106" s="769"/>
      <c r="BBE106" s="769"/>
      <c r="BBF106" s="769"/>
      <c r="BBG106" s="769"/>
      <c r="BBH106" s="769"/>
      <c r="BBI106" s="769"/>
      <c r="BBJ106" s="769"/>
      <c r="BBK106" s="769"/>
      <c r="BBL106" s="769"/>
      <c r="BBM106" s="769"/>
      <c r="BBN106" s="769"/>
      <c r="BBO106" s="769"/>
      <c r="BBP106" s="769"/>
      <c r="BBQ106" s="769"/>
      <c r="BBR106" s="769"/>
      <c r="BBS106" s="769"/>
      <c r="BBT106" s="769"/>
      <c r="BBU106" s="769"/>
      <c r="BBV106" s="769"/>
      <c r="BBW106" s="769"/>
      <c r="BBX106" s="769"/>
      <c r="BBY106" s="769"/>
      <c r="BBZ106" s="769"/>
      <c r="BCA106" s="769"/>
      <c r="BCB106" s="769"/>
      <c r="BCC106" s="769"/>
      <c r="BCD106" s="769"/>
      <c r="BCE106" s="769"/>
      <c r="BCF106" s="769"/>
      <c r="BCG106" s="769"/>
      <c r="BCH106" s="769"/>
      <c r="BCI106" s="769"/>
      <c r="BCJ106" s="769"/>
      <c r="BCK106" s="769"/>
      <c r="BCL106" s="769"/>
      <c r="BCM106" s="769"/>
      <c r="BCN106" s="769"/>
      <c r="BCO106" s="769"/>
      <c r="BCP106" s="769"/>
      <c r="BCQ106" s="769"/>
      <c r="BCR106" s="769"/>
      <c r="BCS106" s="769"/>
      <c r="BCT106" s="769"/>
      <c r="BCU106" s="769"/>
      <c r="BCV106" s="769"/>
      <c r="BCW106" s="769"/>
      <c r="BCX106" s="769"/>
      <c r="BCY106" s="769"/>
      <c r="BCZ106" s="769"/>
      <c r="BDA106" s="769"/>
      <c r="BDB106" s="769"/>
      <c r="BDC106" s="769"/>
      <c r="BDD106" s="769"/>
      <c r="BDE106" s="769"/>
      <c r="BDF106" s="769"/>
      <c r="BDG106" s="769"/>
      <c r="BDH106" s="769"/>
      <c r="BDI106" s="769"/>
      <c r="BDJ106" s="769"/>
      <c r="BDK106" s="769"/>
      <c r="BDL106" s="769"/>
      <c r="BDM106" s="769"/>
      <c r="BDN106" s="769"/>
      <c r="BDO106" s="769"/>
      <c r="BDP106" s="769"/>
      <c r="BDQ106" s="769"/>
      <c r="BDR106" s="769"/>
      <c r="BDS106" s="769"/>
      <c r="BDT106" s="769"/>
      <c r="BDU106" s="769"/>
      <c r="BDV106" s="769"/>
      <c r="BDW106" s="769"/>
      <c r="BDX106" s="769"/>
      <c r="BDY106" s="769"/>
      <c r="BDZ106" s="769"/>
      <c r="BEA106" s="769"/>
      <c r="BEB106" s="769"/>
      <c r="BEC106" s="769"/>
      <c r="BED106" s="769"/>
      <c r="BEE106" s="769"/>
      <c r="BEF106" s="769"/>
      <c r="BEG106" s="769"/>
      <c r="BEH106" s="769"/>
      <c r="BEI106" s="769"/>
      <c r="BEJ106" s="769"/>
      <c r="BEK106" s="769"/>
      <c r="BEL106" s="769"/>
      <c r="BEM106" s="769"/>
      <c r="BEN106" s="769"/>
      <c r="BEO106" s="769"/>
      <c r="BEP106" s="769"/>
      <c r="BEQ106" s="769"/>
      <c r="BER106" s="769"/>
      <c r="BES106" s="769"/>
      <c r="BET106" s="769"/>
      <c r="BEU106" s="769"/>
      <c r="BEV106" s="769"/>
      <c r="BEW106" s="769"/>
      <c r="BEX106" s="769"/>
      <c r="BEY106" s="769"/>
      <c r="BEZ106" s="769"/>
      <c r="BFA106" s="769"/>
      <c r="BFB106" s="769"/>
      <c r="BFC106" s="769"/>
      <c r="BFD106" s="769"/>
      <c r="BFE106" s="769"/>
      <c r="BFF106" s="769"/>
      <c r="BFG106" s="769"/>
      <c r="BFH106" s="769"/>
      <c r="BFI106" s="769"/>
      <c r="BFJ106" s="769"/>
      <c r="BFK106" s="769"/>
      <c r="BFL106" s="769"/>
      <c r="BFM106" s="769"/>
      <c r="BFN106" s="769"/>
      <c r="BFO106" s="769"/>
      <c r="BFP106" s="769"/>
      <c r="BFQ106" s="769"/>
      <c r="BFR106" s="769"/>
      <c r="BFS106" s="769"/>
      <c r="BFT106" s="769"/>
      <c r="BFU106" s="769"/>
      <c r="BFV106" s="769"/>
      <c r="BFW106" s="769"/>
      <c r="BFX106" s="769"/>
      <c r="BFY106" s="769"/>
      <c r="BFZ106" s="769"/>
      <c r="BGA106" s="769"/>
      <c r="BGB106" s="769"/>
      <c r="BGC106" s="769"/>
      <c r="BGD106" s="769"/>
      <c r="BGE106" s="769"/>
      <c r="BGF106" s="769"/>
      <c r="BGG106" s="769"/>
      <c r="BGH106" s="769"/>
      <c r="BGI106" s="769"/>
      <c r="BGJ106" s="769"/>
      <c r="BGK106" s="769"/>
      <c r="BGL106" s="769"/>
      <c r="BGM106" s="769"/>
      <c r="BGN106" s="769"/>
      <c r="BGO106" s="769"/>
      <c r="BGP106" s="769"/>
      <c r="BGQ106" s="769"/>
      <c r="BGR106" s="769"/>
      <c r="BGS106" s="769"/>
      <c r="BGT106" s="769"/>
      <c r="BGU106" s="769"/>
      <c r="BGV106" s="769"/>
      <c r="BGW106" s="769"/>
      <c r="BGX106" s="769"/>
      <c r="BGY106" s="769"/>
      <c r="BGZ106" s="769"/>
      <c r="BHA106" s="769"/>
      <c r="BHB106" s="769"/>
      <c r="BHC106" s="769"/>
      <c r="BHD106" s="769"/>
      <c r="BHE106" s="769"/>
      <c r="BHF106" s="769"/>
      <c r="BHG106" s="769"/>
      <c r="BHH106" s="769"/>
      <c r="BHI106" s="769"/>
      <c r="BHJ106" s="769"/>
      <c r="BHK106" s="769"/>
      <c r="BHL106" s="769"/>
      <c r="BHM106" s="769"/>
      <c r="BHN106" s="769"/>
      <c r="BHO106" s="769"/>
      <c r="BHP106" s="769"/>
      <c r="BHQ106" s="769"/>
      <c r="BHR106" s="769"/>
      <c r="BHS106" s="769"/>
      <c r="BHT106" s="769"/>
      <c r="BHU106" s="769"/>
      <c r="BHV106" s="769"/>
      <c r="BHW106" s="769"/>
      <c r="BHX106" s="769"/>
      <c r="BHY106" s="769"/>
      <c r="BHZ106" s="769"/>
      <c r="BIA106" s="769"/>
      <c r="BIB106" s="769"/>
      <c r="BIC106" s="769"/>
      <c r="BID106" s="769"/>
      <c r="BIE106" s="769"/>
      <c r="BIF106" s="769"/>
      <c r="BIG106" s="769"/>
      <c r="BIH106" s="769"/>
      <c r="BII106" s="769"/>
      <c r="BIJ106" s="769"/>
      <c r="BIK106" s="769"/>
      <c r="BIL106" s="769"/>
      <c r="BIM106" s="769"/>
      <c r="BIN106" s="769"/>
      <c r="BIO106" s="769"/>
      <c r="BIP106" s="769"/>
      <c r="BIQ106" s="769"/>
      <c r="BIR106" s="769"/>
      <c r="BIS106" s="769"/>
      <c r="BIT106" s="769"/>
      <c r="BIU106" s="769"/>
      <c r="BIV106" s="769"/>
      <c r="BIW106" s="769"/>
      <c r="BIX106" s="769"/>
      <c r="BIY106" s="769"/>
      <c r="BIZ106" s="769"/>
      <c r="BJA106" s="769"/>
      <c r="BJB106" s="769"/>
      <c r="BJC106" s="769"/>
      <c r="BJD106" s="769"/>
      <c r="BJE106" s="769"/>
      <c r="BJF106" s="769"/>
      <c r="BJG106" s="769"/>
      <c r="BJH106" s="769"/>
      <c r="BJI106" s="769"/>
      <c r="BJJ106" s="769"/>
      <c r="BJK106" s="769"/>
      <c r="BJL106" s="769"/>
      <c r="BJM106" s="769"/>
      <c r="BJN106" s="769"/>
      <c r="BJO106" s="769"/>
      <c r="BJP106" s="769"/>
      <c r="BJQ106" s="769"/>
      <c r="BJR106" s="769"/>
      <c r="BJS106" s="769"/>
      <c r="BJT106" s="769"/>
      <c r="BJU106" s="769"/>
      <c r="BJV106" s="769"/>
      <c r="BJW106" s="769"/>
      <c r="BJX106" s="769"/>
      <c r="BJY106" s="769"/>
      <c r="BJZ106" s="769"/>
      <c r="BKA106" s="769"/>
      <c r="BKB106" s="769"/>
      <c r="BKC106" s="769"/>
      <c r="BKD106" s="769"/>
      <c r="BKE106" s="769"/>
      <c r="BKF106" s="769"/>
      <c r="BKG106" s="769"/>
      <c r="BKH106" s="769"/>
      <c r="BKI106" s="769"/>
      <c r="BKJ106" s="769"/>
      <c r="BKK106" s="769"/>
      <c r="BKL106" s="769"/>
      <c r="BKM106" s="769"/>
      <c r="BKN106" s="769"/>
      <c r="BKO106" s="769"/>
      <c r="BKP106" s="769"/>
      <c r="BKQ106" s="769"/>
      <c r="BKR106" s="769"/>
      <c r="BKS106" s="769"/>
      <c r="BKT106" s="769"/>
      <c r="BKU106" s="769"/>
      <c r="BKV106" s="769"/>
      <c r="BKW106" s="769"/>
      <c r="BKX106" s="769"/>
      <c r="BKY106" s="769"/>
      <c r="BKZ106" s="769"/>
      <c r="BLA106" s="769"/>
      <c r="BLB106" s="769"/>
      <c r="BLC106" s="769"/>
      <c r="BLD106" s="769"/>
      <c r="BLE106" s="769"/>
      <c r="BLF106" s="769"/>
      <c r="BLG106" s="769"/>
      <c r="BLH106" s="769"/>
      <c r="BLI106" s="769"/>
      <c r="BLJ106" s="769"/>
      <c r="BLK106" s="769"/>
      <c r="BLL106" s="769"/>
      <c r="BLM106" s="769"/>
      <c r="BLN106" s="769"/>
      <c r="BLO106" s="769"/>
      <c r="BLP106" s="769"/>
      <c r="BLQ106" s="769"/>
      <c r="BLR106" s="769"/>
      <c r="BLS106" s="769"/>
      <c r="BLT106" s="769"/>
      <c r="BLU106" s="769"/>
      <c r="BLV106" s="769"/>
      <c r="BLW106" s="769"/>
      <c r="BLX106" s="769"/>
      <c r="BLY106" s="769"/>
      <c r="BLZ106" s="769"/>
      <c r="BMA106" s="769"/>
      <c r="BMB106" s="769"/>
      <c r="BMC106" s="769"/>
      <c r="BMD106" s="769"/>
      <c r="BME106" s="769"/>
      <c r="BMF106" s="769"/>
      <c r="BMG106" s="769"/>
      <c r="BMH106" s="769"/>
      <c r="BMI106" s="769"/>
      <c r="BMJ106" s="769"/>
      <c r="BMK106" s="769"/>
      <c r="BML106" s="769"/>
      <c r="BMM106" s="769"/>
      <c r="BMN106" s="769"/>
      <c r="BMO106" s="769"/>
      <c r="BMP106" s="769"/>
      <c r="BMQ106" s="769"/>
      <c r="BMR106" s="769"/>
      <c r="BMS106" s="769"/>
      <c r="BMT106" s="769"/>
      <c r="BMU106" s="769"/>
      <c r="BMV106" s="769"/>
      <c r="BMW106" s="769"/>
      <c r="BMX106" s="769"/>
      <c r="BMY106" s="769"/>
      <c r="BMZ106" s="769"/>
      <c r="BNA106" s="769"/>
      <c r="BNB106" s="769"/>
      <c r="BNC106" s="769"/>
      <c r="BND106" s="769"/>
      <c r="BNE106" s="769"/>
      <c r="BNF106" s="769"/>
      <c r="BNG106" s="769"/>
      <c r="BNH106" s="769"/>
      <c r="BNI106" s="769"/>
      <c r="BNJ106" s="769"/>
      <c r="BNK106" s="769"/>
      <c r="BNL106" s="769"/>
      <c r="BNM106" s="769"/>
      <c r="BNN106" s="769"/>
      <c r="BNO106" s="769"/>
      <c r="BNP106" s="769"/>
      <c r="BNQ106" s="769"/>
      <c r="BNR106" s="769"/>
      <c r="BNS106" s="769"/>
      <c r="BNT106" s="769"/>
      <c r="BNU106" s="769"/>
      <c r="BNV106" s="769"/>
      <c r="BNW106" s="769"/>
      <c r="BNX106" s="769"/>
      <c r="BNY106" s="769"/>
      <c r="BNZ106" s="769"/>
      <c r="BOA106" s="769"/>
      <c r="BOB106" s="769"/>
      <c r="BOC106" s="769"/>
      <c r="BOD106" s="769"/>
      <c r="BOE106" s="769"/>
      <c r="BOF106" s="769"/>
      <c r="BOG106" s="769"/>
      <c r="BOH106" s="769"/>
      <c r="BOI106" s="769"/>
      <c r="BOJ106" s="769"/>
      <c r="BOK106" s="769"/>
      <c r="BOL106" s="769"/>
      <c r="BOM106" s="769"/>
      <c r="BON106" s="769"/>
      <c r="BOO106" s="769"/>
      <c r="BOP106" s="769"/>
      <c r="BOQ106" s="769"/>
      <c r="BOR106" s="769"/>
      <c r="BOS106" s="769"/>
      <c r="BOT106" s="769"/>
      <c r="BOU106" s="769"/>
      <c r="BOV106" s="769"/>
      <c r="BOW106" s="769"/>
      <c r="BOX106" s="769"/>
      <c r="BOY106" s="769"/>
      <c r="BOZ106" s="769"/>
      <c r="BPA106" s="769"/>
      <c r="BPB106" s="769"/>
      <c r="BPC106" s="769"/>
      <c r="BPD106" s="769"/>
      <c r="BPE106" s="769"/>
      <c r="BPF106" s="769"/>
      <c r="BPG106" s="769"/>
      <c r="BPH106" s="769"/>
      <c r="BPI106" s="769"/>
      <c r="BPJ106" s="769"/>
      <c r="BPK106" s="769"/>
      <c r="BPL106" s="769"/>
      <c r="BPM106" s="769"/>
      <c r="BPN106" s="769"/>
      <c r="BPO106" s="769"/>
      <c r="BPP106" s="769"/>
      <c r="BPQ106" s="769"/>
      <c r="BPR106" s="769"/>
      <c r="BPS106" s="769"/>
      <c r="BPT106" s="769"/>
      <c r="BPU106" s="769"/>
      <c r="BPV106" s="769"/>
      <c r="BPW106" s="769"/>
      <c r="BPX106" s="769"/>
      <c r="BPY106" s="769"/>
      <c r="BPZ106" s="769"/>
      <c r="BQA106" s="769"/>
      <c r="BQB106" s="769"/>
      <c r="BQC106" s="769"/>
      <c r="BQD106" s="769"/>
      <c r="BQE106" s="769"/>
      <c r="BQF106" s="769"/>
      <c r="BQG106" s="769"/>
      <c r="BQH106" s="769"/>
      <c r="BQI106" s="769"/>
      <c r="BQJ106" s="769"/>
      <c r="BQK106" s="769"/>
      <c r="BQL106" s="769"/>
      <c r="BQM106" s="769"/>
      <c r="BQN106" s="769"/>
      <c r="BQO106" s="769"/>
      <c r="BQP106" s="769"/>
      <c r="BQQ106" s="769"/>
      <c r="BQR106" s="769"/>
      <c r="BQS106" s="769"/>
      <c r="BQT106" s="769"/>
      <c r="BQU106" s="769"/>
      <c r="BQV106" s="769"/>
      <c r="BQW106" s="769"/>
      <c r="BQX106" s="769"/>
      <c r="BQY106" s="769"/>
      <c r="BQZ106" s="769"/>
      <c r="BRA106" s="769"/>
      <c r="BRB106" s="769"/>
      <c r="BRC106" s="769"/>
      <c r="BRD106" s="769"/>
      <c r="BRE106" s="769"/>
      <c r="BRF106" s="769"/>
      <c r="BRG106" s="769"/>
      <c r="BRH106" s="769"/>
      <c r="BRI106" s="769"/>
      <c r="BRJ106" s="769"/>
      <c r="BRK106" s="769"/>
      <c r="BRL106" s="769"/>
      <c r="BRM106" s="769"/>
      <c r="BRN106" s="769"/>
      <c r="BRO106" s="769"/>
      <c r="BRP106" s="769"/>
      <c r="BRQ106" s="769"/>
      <c r="BRR106" s="769"/>
      <c r="BRS106" s="769"/>
      <c r="BRT106" s="769"/>
      <c r="BRU106" s="769"/>
      <c r="BRV106" s="769"/>
      <c r="BRW106" s="769"/>
      <c r="BRX106" s="769"/>
      <c r="BRY106" s="769"/>
      <c r="BRZ106" s="769"/>
      <c r="BSA106" s="769"/>
      <c r="BSB106" s="769"/>
      <c r="BSC106" s="769"/>
      <c r="BSD106" s="769"/>
      <c r="BSE106" s="769"/>
      <c r="BSF106" s="769"/>
      <c r="BSG106" s="769"/>
      <c r="BSH106" s="769"/>
      <c r="BSI106" s="769"/>
      <c r="BSJ106" s="769"/>
      <c r="BSK106" s="769"/>
      <c r="BSL106" s="769"/>
      <c r="BSM106" s="769"/>
      <c r="BSN106" s="769"/>
      <c r="BSO106" s="769"/>
      <c r="BSP106" s="769"/>
      <c r="BSQ106" s="769"/>
      <c r="BSR106" s="769"/>
      <c r="BSS106" s="769"/>
      <c r="BST106" s="769"/>
      <c r="BSU106" s="769"/>
      <c r="BSV106" s="769"/>
      <c r="BSW106" s="769"/>
      <c r="BSX106" s="769"/>
      <c r="BSY106" s="769"/>
      <c r="BSZ106" s="769"/>
      <c r="BTA106" s="769"/>
      <c r="BTB106" s="769"/>
      <c r="BTC106" s="769"/>
      <c r="BTD106" s="769"/>
      <c r="BTE106" s="769"/>
      <c r="BTF106" s="769"/>
      <c r="BTG106" s="769"/>
      <c r="BTH106" s="769"/>
      <c r="BTI106" s="769"/>
      <c r="BTJ106" s="769"/>
      <c r="BTK106" s="769"/>
      <c r="BTL106" s="769"/>
      <c r="BTM106" s="769"/>
      <c r="BTN106" s="769"/>
      <c r="BTO106" s="769"/>
      <c r="BTP106" s="769"/>
      <c r="BTQ106" s="769"/>
      <c r="BTR106" s="769"/>
      <c r="BTS106" s="769"/>
      <c r="BTT106" s="769"/>
      <c r="BTU106" s="769"/>
      <c r="BTV106" s="769"/>
      <c r="BTW106" s="769"/>
      <c r="BTX106" s="769"/>
      <c r="BTY106" s="769"/>
      <c r="BTZ106" s="769"/>
      <c r="BUA106" s="769"/>
      <c r="BUB106" s="769"/>
      <c r="BUC106" s="769"/>
      <c r="BUD106" s="769"/>
      <c r="BUE106" s="769"/>
      <c r="BUF106" s="769"/>
      <c r="BUG106" s="769"/>
      <c r="BUH106" s="769"/>
      <c r="BUI106" s="769"/>
      <c r="BUJ106" s="769"/>
      <c r="BUK106" s="769"/>
      <c r="BUL106" s="769"/>
      <c r="BUM106" s="769"/>
      <c r="BUN106" s="769"/>
      <c r="BUO106" s="769"/>
      <c r="BUP106" s="769"/>
      <c r="BUQ106" s="769"/>
      <c r="BUR106" s="769"/>
      <c r="BUS106" s="769"/>
      <c r="BUT106" s="769"/>
      <c r="BUU106" s="769"/>
      <c r="BUV106" s="769"/>
      <c r="BUW106" s="769"/>
      <c r="BUX106" s="769"/>
      <c r="BUY106" s="769"/>
      <c r="BUZ106" s="769"/>
      <c r="BVA106" s="769"/>
      <c r="BVB106" s="769"/>
      <c r="BVC106" s="769"/>
      <c r="BVD106" s="769"/>
      <c r="BVE106" s="769"/>
      <c r="BVF106" s="769"/>
      <c r="BVG106" s="769"/>
      <c r="BVH106" s="769"/>
      <c r="BVI106" s="769"/>
      <c r="BVJ106" s="769"/>
      <c r="BVK106" s="769"/>
      <c r="BVL106" s="769"/>
      <c r="BVM106" s="769"/>
      <c r="BVN106" s="769"/>
      <c r="BVO106" s="769"/>
      <c r="BVP106" s="769"/>
      <c r="BVQ106" s="769"/>
      <c r="BVR106" s="769"/>
      <c r="BVS106" s="769"/>
      <c r="BVT106" s="769"/>
      <c r="BVU106" s="769"/>
      <c r="BVV106" s="769"/>
      <c r="BVW106" s="769"/>
      <c r="BVX106" s="769"/>
      <c r="BVY106" s="769"/>
      <c r="BVZ106" s="769"/>
      <c r="BWA106" s="769"/>
      <c r="BWB106" s="769"/>
      <c r="BWC106" s="769"/>
      <c r="BWD106" s="769"/>
      <c r="BWE106" s="769"/>
      <c r="BWF106" s="769"/>
      <c r="BWG106" s="769"/>
      <c r="BWH106" s="769"/>
      <c r="BWI106" s="769"/>
      <c r="BWJ106" s="769"/>
      <c r="BWK106" s="769"/>
      <c r="BWL106" s="769"/>
      <c r="BWM106" s="769"/>
      <c r="BWN106" s="769"/>
      <c r="BWO106" s="769"/>
      <c r="BWP106" s="769"/>
      <c r="BWQ106" s="769"/>
      <c r="BWR106" s="769"/>
      <c r="BWS106" s="769"/>
      <c r="BWT106" s="769"/>
      <c r="BWU106" s="769"/>
      <c r="BWV106" s="769"/>
      <c r="BWW106" s="769"/>
      <c r="BWX106" s="769"/>
      <c r="BWY106" s="769"/>
      <c r="BWZ106" s="769"/>
      <c r="BXA106" s="769"/>
      <c r="BXB106" s="769"/>
      <c r="BXC106" s="769"/>
      <c r="BXD106" s="769"/>
      <c r="BXE106" s="769"/>
      <c r="BXF106" s="769"/>
      <c r="BXG106" s="769"/>
      <c r="BXH106" s="769"/>
      <c r="BXI106" s="769"/>
      <c r="BXJ106" s="769"/>
      <c r="BXK106" s="769"/>
      <c r="BXL106" s="769"/>
      <c r="BXM106" s="769"/>
      <c r="BXN106" s="769"/>
      <c r="BXO106" s="769"/>
      <c r="BXP106" s="769"/>
      <c r="BXQ106" s="769"/>
      <c r="BXR106" s="769"/>
      <c r="BXS106" s="769"/>
      <c r="BXT106" s="769"/>
      <c r="BXU106" s="769"/>
      <c r="BXV106" s="769"/>
      <c r="BXW106" s="769"/>
      <c r="BXX106" s="769"/>
      <c r="BXY106" s="769"/>
      <c r="BXZ106" s="769"/>
      <c r="BYA106" s="769"/>
      <c r="BYB106" s="769"/>
      <c r="BYC106" s="769"/>
      <c r="BYD106" s="769"/>
      <c r="BYE106" s="769"/>
      <c r="BYF106" s="769"/>
      <c r="BYG106" s="769"/>
      <c r="BYH106" s="769"/>
      <c r="BYI106" s="769"/>
      <c r="BYJ106" s="769"/>
      <c r="BYK106" s="769"/>
      <c r="BYL106" s="769"/>
      <c r="BYM106" s="769"/>
      <c r="BYN106" s="769"/>
      <c r="BYO106" s="769"/>
      <c r="BYP106" s="769"/>
      <c r="BYQ106" s="769"/>
      <c r="BYR106" s="769"/>
      <c r="BYS106" s="769"/>
      <c r="BYT106" s="769"/>
      <c r="BYU106" s="769"/>
      <c r="BYV106" s="769"/>
      <c r="BYW106" s="769"/>
      <c r="BYX106" s="769"/>
      <c r="BYY106" s="769"/>
      <c r="BYZ106" s="769"/>
      <c r="BZA106" s="769"/>
      <c r="BZB106" s="769"/>
      <c r="BZC106" s="769"/>
      <c r="BZD106" s="769"/>
      <c r="BZE106" s="769"/>
      <c r="BZF106" s="769"/>
      <c r="BZG106" s="769"/>
      <c r="BZH106" s="769"/>
      <c r="BZI106" s="769"/>
      <c r="BZJ106" s="769"/>
      <c r="BZK106" s="769"/>
      <c r="BZL106" s="769"/>
      <c r="BZM106" s="769"/>
      <c r="BZN106" s="769"/>
      <c r="BZO106" s="769"/>
      <c r="BZP106" s="769"/>
      <c r="BZQ106" s="769"/>
      <c r="BZR106" s="769"/>
      <c r="BZS106" s="769"/>
      <c r="BZT106" s="769"/>
      <c r="BZU106" s="769"/>
      <c r="BZV106" s="769"/>
      <c r="BZW106" s="769"/>
      <c r="BZX106" s="769"/>
      <c r="BZY106" s="769"/>
      <c r="BZZ106" s="769"/>
      <c r="CAA106" s="769"/>
      <c r="CAB106" s="769"/>
      <c r="CAC106" s="769"/>
      <c r="CAD106" s="769"/>
      <c r="CAE106" s="769"/>
      <c r="CAF106" s="769"/>
      <c r="CAG106" s="769"/>
      <c r="CAH106" s="769"/>
      <c r="CAI106" s="769"/>
      <c r="CAJ106" s="769"/>
      <c r="CAK106" s="769"/>
      <c r="CAL106" s="769"/>
      <c r="CAM106" s="769"/>
      <c r="CAN106" s="769"/>
      <c r="CAO106" s="769"/>
      <c r="CAP106" s="769"/>
      <c r="CAQ106" s="769"/>
      <c r="CAR106" s="769"/>
      <c r="CAS106" s="769"/>
      <c r="CAT106" s="769"/>
      <c r="CAU106" s="769"/>
      <c r="CAV106" s="769"/>
      <c r="CAW106" s="769"/>
      <c r="CAX106" s="769"/>
      <c r="CAY106" s="769"/>
      <c r="CAZ106" s="769"/>
      <c r="CBA106" s="769"/>
      <c r="CBB106" s="769"/>
      <c r="CBC106" s="769"/>
      <c r="CBD106" s="769"/>
      <c r="CBE106" s="769"/>
      <c r="CBF106" s="769"/>
      <c r="CBG106" s="769"/>
      <c r="CBH106" s="769"/>
      <c r="CBI106" s="769"/>
      <c r="CBJ106" s="769"/>
      <c r="CBK106" s="769"/>
      <c r="CBL106" s="769"/>
      <c r="CBM106" s="769"/>
      <c r="CBN106" s="769"/>
      <c r="CBO106" s="769"/>
      <c r="CBP106" s="769"/>
      <c r="CBQ106" s="769"/>
      <c r="CBR106" s="769"/>
      <c r="CBS106" s="769"/>
      <c r="CBT106" s="769"/>
      <c r="CBU106" s="769"/>
      <c r="CBV106" s="769"/>
      <c r="CBW106" s="769"/>
      <c r="CBX106" s="769"/>
      <c r="CBY106" s="769"/>
      <c r="CBZ106" s="769"/>
      <c r="CCA106" s="769"/>
      <c r="CCB106" s="769"/>
      <c r="CCC106" s="769"/>
      <c r="CCD106" s="769"/>
      <c r="CCE106" s="769"/>
      <c r="CCF106" s="769"/>
      <c r="CCG106" s="769"/>
      <c r="CCH106" s="769"/>
      <c r="CCI106" s="769"/>
      <c r="CCJ106" s="769"/>
      <c r="CCK106" s="769"/>
      <c r="CCL106" s="769"/>
      <c r="CCM106" s="769"/>
      <c r="CCN106" s="769"/>
      <c r="CCO106" s="769"/>
      <c r="CCP106" s="769"/>
      <c r="CCQ106" s="769"/>
      <c r="CCR106" s="769"/>
      <c r="CCS106" s="769"/>
      <c r="CCT106" s="769"/>
      <c r="CCU106" s="769"/>
      <c r="CCV106" s="769"/>
      <c r="CCW106" s="769"/>
      <c r="CCX106" s="769"/>
      <c r="CCY106" s="769"/>
      <c r="CCZ106" s="769"/>
      <c r="CDA106" s="769"/>
      <c r="CDB106" s="769"/>
      <c r="CDC106" s="769"/>
      <c r="CDD106" s="769"/>
      <c r="CDE106" s="769"/>
      <c r="CDF106" s="769"/>
      <c r="CDG106" s="769"/>
      <c r="CDH106" s="769"/>
      <c r="CDI106" s="769"/>
      <c r="CDJ106" s="769"/>
      <c r="CDK106" s="769"/>
      <c r="CDL106" s="769"/>
      <c r="CDM106" s="769"/>
      <c r="CDN106" s="769"/>
      <c r="CDO106" s="769"/>
      <c r="CDP106" s="769"/>
      <c r="CDQ106" s="769"/>
      <c r="CDR106" s="769"/>
      <c r="CDS106" s="769"/>
      <c r="CDT106" s="769"/>
      <c r="CDU106" s="769"/>
      <c r="CDV106" s="769"/>
      <c r="CDW106" s="769"/>
      <c r="CDX106" s="769"/>
      <c r="CDY106" s="769"/>
      <c r="CDZ106" s="769"/>
      <c r="CEA106" s="769"/>
      <c r="CEB106" s="769"/>
      <c r="CEC106" s="769"/>
      <c r="CED106" s="769"/>
      <c r="CEE106" s="769"/>
      <c r="CEF106" s="769"/>
      <c r="CEG106" s="769"/>
      <c r="CEH106" s="769"/>
      <c r="CEI106" s="769"/>
      <c r="CEJ106" s="769"/>
      <c r="CEK106" s="769"/>
      <c r="CEL106" s="769"/>
      <c r="CEM106" s="769"/>
      <c r="CEN106" s="769"/>
      <c r="CEO106" s="769"/>
      <c r="CEP106" s="769"/>
      <c r="CEQ106" s="769"/>
      <c r="CER106" s="769"/>
      <c r="CES106" s="769"/>
      <c r="CET106" s="769"/>
      <c r="CEU106" s="769"/>
      <c r="CEV106" s="769"/>
      <c r="CEW106" s="769"/>
      <c r="CEX106" s="769"/>
      <c r="CEY106" s="769"/>
      <c r="CEZ106" s="769"/>
      <c r="CFA106" s="769"/>
      <c r="CFB106" s="769"/>
      <c r="CFC106" s="769"/>
      <c r="CFD106" s="769"/>
      <c r="CFE106" s="769"/>
      <c r="CFF106" s="769"/>
      <c r="CFG106" s="769"/>
      <c r="CFH106" s="769"/>
      <c r="CFI106" s="769"/>
      <c r="CFJ106" s="769"/>
      <c r="CFK106" s="769"/>
      <c r="CFL106" s="769"/>
      <c r="CFM106" s="769"/>
      <c r="CFN106" s="769"/>
      <c r="CFO106" s="769"/>
      <c r="CFP106" s="769"/>
      <c r="CFQ106" s="769"/>
      <c r="CFR106" s="769"/>
      <c r="CFS106" s="769"/>
      <c r="CFT106" s="769"/>
      <c r="CFU106" s="769"/>
      <c r="CFV106" s="769"/>
      <c r="CFW106" s="769"/>
      <c r="CFX106" s="769"/>
      <c r="CFY106" s="769"/>
      <c r="CFZ106" s="769"/>
      <c r="CGA106" s="769"/>
      <c r="CGB106" s="769"/>
      <c r="CGC106" s="769"/>
      <c r="CGD106" s="769"/>
      <c r="CGE106" s="769"/>
      <c r="CGF106" s="769"/>
      <c r="CGG106" s="769"/>
      <c r="CGH106" s="769"/>
      <c r="CGI106" s="769"/>
      <c r="CGJ106" s="769"/>
      <c r="CGK106" s="769"/>
      <c r="CGL106" s="769"/>
      <c r="CGM106" s="769"/>
      <c r="CGN106" s="769"/>
      <c r="CGO106" s="769"/>
      <c r="CGP106" s="769"/>
      <c r="CGQ106" s="769"/>
      <c r="CGR106" s="769"/>
      <c r="CGS106" s="769"/>
      <c r="CGT106" s="769"/>
      <c r="CGU106" s="769"/>
      <c r="CGV106" s="769"/>
      <c r="CGW106" s="769"/>
      <c r="CGX106" s="769"/>
      <c r="CGY106" s="769"/>
      <c r="CGZ106" s="769"/>
      <c r="CHA106" s="769"/>
      <c r="CHB106" s="769"/>
      <c r="CHC106" s="769"/>
      <c r="CHD106" s="769"/>
      <c r="CHE106" s="769"/>
      <c r="CHF106" s="769"/>
      <c r="CHG106" s="769"/>
      <c r="CHH106" s="769"/>
      <c r="CHI106" s="769"/>
      <c r="CHJ106" s="769"/>
      <c r="CHK106" s="769"/>
      <c r="CHL106" s="769"/>
      <c r="CHM106" s="769"/>
      <c r="CHN106" s="769"/>
      <c r="CHO106" s="769"/>
      <c r="CHP106" s="769"/>
      <c r="CHQ106" s="769"/>
      <c r="CHR106" s="769"/>
      <c r="CHS106" s="769"/>
      <c r="CHT106" s="769"/>
      <c r="CHU106" s="769"/>
      <c r="CHV106" s="769"/>
      <c r="CHW106" s="769"/>
      <c r="CHX106" s="769"/>
      <c r="CHY106" s="769"/>
      <c r="CHZ106" s="769"/>
      <c r="CIA106" s="769"/>
      <c r="CIB106" s="769"/>
      <c r="CIC106" s="769"/>
      <c r="CID106" s="769"/>
      <c r="CIE106" s="769"/>
      <c r="CIF106" s="769"/>
      <c r="CIG106" s="769"/>
      <c r="CIH106" s="769"/>
      <c r="CII106" s="769"/>
      <c r="CIJ106" s="769"/>
      <c r="CIK106" s="769"/>
      <c r="CIL106" s="769"/>
      <c r="CIM106" s="769"/>
      <c r="CIN106" s="769"/>
      <c r="CIO106" s="769"/>
      <c r="CIP106" s="769"/>
      <c r="CIQ106" s="769"/>
      <c r="CIR106" s="769"/>
      <c r="CIS106" s="769"/>
      <c r="CIT106" s="769"/>
      <c r="CIU106" s="769"/>
      <c r="CIV106" s="769"/>
      <c r="CIW106" s="769"/>
      <c r="CIX106" s="769"/>
      <c r="CIY106" s="769"/>
      <c r="CIZ106" s="769"/>
      <c r="CJA106" s="769"/>
      <c r="CJB106" s="769"/>
      <c r="CJC106" s="769"/>
      <c r="CJD106" s="769"/>
      <c r="CJE106" s="769"/>
      <c r="CJF106" s="769"/>
      <c r="CJG106" s="769"/>
      <c r="CJH106" s="769"/>
      <c r="CJI106" s="769"/>
      <c r="CJJ106" s="769"/>
      <c r="CJK106" s="769"/>
      <c r="CJL106" s="769"/>
      <c r="CJM106" s="769"/>
      <c r="CJN106" s="769"/>
      <c r="CJO106" s="769"/>
      <c r="CJP106" s="769"/>
      <c r="CJQ106" s="769"/>
      <c r="CJR106" s="769"/>
      <c r="CJS106" s="769"/>
      <c r="CJT106" s="769"/>
      <c r="CJU106" s="769"/>
      <c r="CJV106" s="769"/>
      <c r="CJW106" s="769"/>
      <c r="CJX106" s="769"/>
      <c r="CJY106" s="769"/>
      <c r="CJZ106" s="769"/>
      <c r="CKA106" s="769"/>
      <c r="CKB106" s="769"/>
      <c r="CKC106" s="769"/>
      <c r="CKD106" s="769"/>
      <c r="CKE106" s="769"/>
      <c r="CKF106" s="769"/>
      <c r="CKG106" s="769"/>
      <c r="CKH106" s="769"/>
      <c r="CKI106" s="769"/>
      <c r="CKJ106" s="769"/>
      <c r="CKK106" s="769"/>
      <c r="CKL106" s="769"/>
      <c r="CKM106" s="769"/>
      <c r="CKN106" s="769"/>
      <c r="CKO106" s="769"/>
      <c r="CKP106" s="769"/>
      <c r="CKQ106" s="769"/>
      <c r="CKR106" s="769"/>
      <c r="CKS106" s="769"/>
      <c r="CKT106" s="769"/>
      <c r="CKU106" s="769"/>
      <c r="CKV106" s="769"/>
      <c r="CKW106" s="769"/>
      <c r="CKX106" s="769"/>
      <c r="CKY106" s="769"/>
      <c r="CKZ106" s="769"/>
      <c r="CLA106" s="769"/>
      <c r="CLB106" s="769"/>
      <c r="CLC106" s="769"/>
      <c r="CLD106" s="769"/>
      <c r="CLE106" s="769"/>
      <c r="CLF106" s="769"/>
      <c r="CLG106" s="769"/>
      <c r="CLH106" s="769"/>
      <c r="CLI106" s="769"/>
      <c r="CLJ106" s="769"/>
      <c r="CLK106" s="769"/>
      <c r="CLL106" s="769"/>
      <c r="CLM106" s="769"/>
      <c r="CLN106" s="769"/>
      <c r="CLO106" s="769"/>
      <c r="CLP106" s="769"/>
      <c r="CLQ106" s="769"/>
      <c r="CLR106" s="769"/>
      <c r="CLS106" s="769"/>
      <c r="CLT106" s="769"/>
      <c r="CLU106" s="769"/>
      <c r="CLV106" s="769"/>
      <c r="CLW106" s="769"/>
      <c r="CLX106" s="769"/>
      <c r="CLY106" s="769"/>
      <c r="CLZ106" s="769"/>
      <c r="CMA106" s="769"/>
      <c r="CMB106" s="769"/>
      <c r="CMC106" s="769"/>
      <c r="CMD106" s="769"/>
      <c r="CME106" s="769"/>
      <c r="CMF106" s="769"/>
      <c r="CMG106" s="769"/>
      <c r="CMH106" s="769"/>
      <c r="CMI106" s="769"/>
      <c r="CMJ106" s="769"/>
      <c r="CMK106" s="769"/>
      <c r="CML106" s="769"/>
      <c r="CMM106" s="769"/>
      <c r="CMN106" s="769"/>
      <c r="CMO106" s="769"/>
      <c r="CMP106" s="769"/>
      <c r="CMQ106" s="769"/>
      <c r="CMR106" s="769"/>
      <c r="CMS106" s="769"/>
      <c r="CMT106" s="769"/>
      <c r="CMU106" s="769"/>
      <c r="CMV106" s="769"/>
      <c r="CMW106" s="769"/>
      <c r="CMX106" s="769"/>
      <c r="CMY106" s="769"/>
      <c r="CMZ106" s="769"/>
      <c r="CNA106" s="769"/>
      <c r="CNB106" s="769"/>
      <c r="CNC106" s="769"/>
      <c r="CND106" s="769"/>
      <c r="CNE106" s="769"/>
      <c r="CNF106" s="769"/>
      <c r="CNG106" s="769"/>
      <c r="CNH106" s="769"/>
      <c r="CNI106" s="769"/>
      <c r="CNJ106" s="769"/>
      <c r="CNK106" s="769"/>
      <c r="CNL106" s="769"/>
      <c r="CNM106" s="769"/>
      <c r="CNN106" s="769"/>
      <c r="CNO106" s="769"/>
      <c r="CNP106" s="769"/>
      <c r="CNQ106" s="769"/>
      <c r="CNR106" s="769"/>
      <c r="CNS106" s="769"/>
      <c r="CNT106" s="769"/>
      <c r="CNU106" s="769"/>
      <c r="CNV106" s="769"/>
      <c r="CNW106" s="769"/>
      <c r="CNX106" s="769"/>
      <c r="CNY106" s="769"/>
      <c r="CNZ106" s="769"/>
      <c r="COA106" s="769"/>
      <c r="COB106" s="769"/>
      <c r="COC106" s="769"/>
      <c r="COD106" s="769"/>
      <c r="COE106" s="769"/>
      <c r="COF106" s="769"/>
      <c r="COG106" s="769"/>
      <c r="COH106" s="769"/>
      <c r="COI106" s="769"/>
      <c r="COJ106" s="769"/>
      <c r="COK106" s="769"/>
      <c r="COL106" s="769"/>
      <c r="COM106" s="769"/>
      <c r="CON106" s="769"/>
      <c r="COO106" s="769"/>
      <c r="COP106" s="769"/>
      <c r="COQ106" s="769"/>
      <c r="COR106" s="769"/>
      <c r="COS106" s="769"/>
      <c r="COT106" s="769"/>
      <c r="COU106" s="769"/>
      <c r="COV106" s="769"/>
      <c r="COW106" s="769"/>
      <c r="COX106" s="769"/>
      <c r="COY106" s="769"/>
      <c r="COZ106" s="769"/>
      <c r="CPA106" s="769"/>
      <c r="CPB106" s="769"/>
      <c r="CPC106" s="769"/>
      <c r="CPD106" s="769"/>
      <c r="CPE106" s="769"/>
      <c r="CPF106" s="769"/>
      <c r="CPG106" s="769"/>
      <c r="CPH106" s="769"/>
      <c r="CPI106" s="769"/>
      <c r="CPJ106" s="769"/>
      <c r="CPK106" s="769"/>
      <c r="CPL106" s="769"/>
      <c r="CPM106" s="769"/>
      <c r="CPN106" s="769"/>
      <c r="CPO106" s="769"/>
      <c r="CPP106" s="769"/>
      <c r="CPQ106" s="769"/>
      <c r="CPR106" s="769"/>
      <c r="CPS106" s="769"/>
      <c r="CPT106" s="769"/>
      <c r="CPU106" s="769"/>
      <c r="CPV106" s="769"/>
      <c r="CPW106" s="769"/>
      <c r="CPX106" s="769"/>
      <c r="CPY106" s="769"/>
      <c r="CPZ106" s="769"/>
      <c r="CQA106" s="769"/>
      <c r="CQB106" s="769"/>
      <c r="CQC106" s="769"/>
      <c r="CQD106" s="769"/>
      <c r="CQE106" s="769"/>
      <c r="CQF106" s="769"/>
      <c r="CQG106" s="769"/>
      <c r="CQH106" s="769"/>
      <c r="CQI106" s="769"/>
      <c r="CQJ106" s="769"/>
      <c r="CQK106" s="769"/>
      <c r="CQL106" s="769"/>
      <c r="CQM106" s="769"/>
      <c r="CQN106" s="769"/>
      <c r="CQO106" s="769"/>
      <c r="CQP106" s="769"/>
      <c r="CQQ106" s="769"/>
      <c r="CQR106" s="769"/>
      <c r="CQS106" s="769"/>
      <c r="CQT106" s="769"/>
      <c r="CQU106" s="769"/>
      <c r="CQV106" s="769"/>
      <c r="CQW106" s="769"/>
      <c r="CQX106" s="769"/>
      <c r="CQY106" s="769"/>
      <c r="CQZ106" s="769"/>
      <c r="CRA106" s="769"/>
      <c r="CRB106" s="769"/>
      <c r="CRC106" s="769"/>
      <c r="CRD106" s="769"/>
      <c r="CRE106" s="769"/>
      <c r="CRF106" s="769"/>
      <c r="CRG106" s="769"/>
      <c r="CRH106" s="769"/>
      <c r="CRI106" s="769"/>
      <c r="CRJ106" s="769"/>
      <c r="CRK106" s="769"/>
      <c r="CRL106" s="769"/>
      <c r="CRM106" s="769"/>
      <c r="CRN106" s="769"/>
      <c r="CRO106" s="769"/>
      <c r="CRP106" s="769"/>
      <c r="CRQ106" s="769"/>
      <c r="CRR106" s="769"/>
      <c r="CRS106" s="769"/>
      <c r="CRT106" s="769"/>
      <c r="CRU106" s="769"/>
      <c r="CRV106" s="769"/>
      <c r="CRW106" s="769"/>
      <c r="CRX106" s="769"/>
      <c r="CRY106" s="769"/>
      <c r="CRZ106" s="769"/>
      <c r="CSA106" s="769"/>
      <c r="CSB106" s="769"/>
      <c r="CSC106" s="769"/>
      <c r="CSD106" s="769"/>
      <c r="CSE106" s="769"/>
      <c r="CSF106" s="769"/>
      <c r="CSG106" s="769"/>
      <c r="CSH106" s="769"/>
      <c r="CSI106" s="769"/>
      <c r="CSJ106" s="769"/>
      <c r="CSK106" s="769"/>
      <c r="CSL106" s="769"/>
      <c r="CSM106" s="769"/>
      <c r="CSN106" s="769"/>
      <c r="CSO106" s="769"/>
      <c r="CSP106" s="769"/>
      <c r="CSQ106" s="769"/>
      <c r="CSR106" s="769"/>
      <c r="CSS106" s="769"/>
      <c r="CST106" s="769"/>
      <c r="CSU106" s="769"/>
      <c r="CSV106" s="769"/>
      <c r="CSW106" s="769"/>
      <c r="CSX106" s="769"/>
      <c r="CSY106" s="769"/>
      <c r="CSZ106" s="769"/>
      <c r="CTA106" s="769"/>
      <c r="CTB106" s="769"/>
      <c r="CTC106" s="769"/>
      <c r="CTD106" s="769"/>
      <c r="CTE106" s="769"/>
      <c r="CTF106" s="769"/>
      <c r="CTG106" s="769"/>
      <c r="CTH106" s="769"/>
      <c r="CTI106" s="769"/>
      <c r="CTJ106" s="769"/>
      <c r="CTK106" s="769"/>
      <c r="CTL106" s="769"/>
      <c r="CTM106" s="769"/>
      <c r="CTN106" s="769"/>
      <c r="CTO106" s="769"/>
      <c r="CTP106" s="769"/>
      <c r="CTQ106" s="769"/>
      <c r="CTR106" s="769"/>
      <c r="CTS106" s="769"/>
      <c r="CTT106" s="769"/>
      <c r="CTU106" s="769"/>
      <c r="CTV106" s="769"/>
      <c r="CTW106" s="769"/>
      <c r="CTX106" s="769"/>
      <c r="CTY106" s="769"/>
      <c r="CTZ106" s="769"/>
      <c r="CUA106" s="769"/>
      <c r="CUB106" s="769"/>
      <c r="CUC106" s="769"/>
      <c r="CUD106" s="769"/>
      <c r="CUE106" s="769"/>
      <c r="CUF106" s="769"/>
      <c r="CUG106" s="769"/>
      <c r="CUH106" s="769"/>
      <c r="CUI106" s="769"/>
      <c r="CUJ106" s="769"/>
      <c r="CUK106" s="769"/>
      <c r="CUL106" s="769"/>
      <c r="CUM106" s="769"/>
      <c r="CUN106" s="769"/>
      <c r="CUO106" s="769"/>
      <c r="CUP106" s="769"/>
      <c r="CUQ106" s="769"/>
      <c r="CUR106" s="769"/>
      <c r="CUS106" s="769"/>
      <c r="CUT106" s="769"/>
      <c r="CUU106" s="769"/>
      <c r="CUV106" s="769"/>
      <c r="CUW106" s="769"/>
      <c r="CUX106" s="769"/>
      <c r="CUY106" s="769"/>
      <c r="CUZ106" s="769"/>
      <c r="CVA106" s="769"/>
      <c r="CVB106" s="769"/>
      <c r="CVC106" s="769"/>
      <c r="CVD106" s="769"/>
      <c r="CVE106" s="769"/>
      <c r="CVF106" s="769"/>
      <c r="CVG106" s="769"/>
      <c r="CVH106" s="769"/>
      <c r="CVI106" s="769"/>
      <c r="CVJ106" s="769"/>
      <c r="CVK106" s="769"/>
      <c r="CVL106" s="769"/>
      <c r="CVM106" s="769"/>
      <c r="CVN106" s="769"/>
      <c r="CVO106" s="769"/>
      <c r="CVP106" s="769"/>
      <c r="CVQ106" s="769"/>
      <c r="CVR106" s="769"/>
      <c r="CVS106" s="769"/>
      <c r="CVT106" s="769"/>
      <c r="CVU106" s="769"/>
      <c r="CVV106" s="769"/>
      <c r="CVW106" s="769"/>
      <c r="CVX106" s="769"/>
      <c r="CVY106" s="769"/>
      <c r="CVZ106" s="769"/>
      <c r="CWA106" s="769"/>
      <c r="CWB106" s="769"/>
      <c r="CWC106" s="769"/>
      <c r="CWD106" s="769"/>
      <c r="CWE106" s="769"/>
      <c r="CWF106" s="769"/>
      <c r="CWG106" s="769"/>
      <c r="CWH106" s="769"/>
      <c r="CWI106" s="769"/>
      <c r="CWJ106" s="769"/>
      <c r="CWK106" s="769"/>
      <c r="CWL106" s="769"/>
      <c r="CWM106" s="769"/>
      <c r="CWN106" s="769"/>
      <c r="CWO106" s="769"/>
      <c r="CWP106" s="769"/>
      <c r="CWQ106" s="769"/>
      <c r="CWR106" s="769"/>
      <c r="CWS106" s="769"/>
      <c r="CWT106" s="769"/>
      <c r="CWU106" s="769"/>
      <c r="CWV106" s="769"/>
      <c r="CWW106" s="769"/>
      <c r="CWX106" s="769"/>
      <c r="CWY106" s="769"/>
      <c r="CWZ106" s="769"/>
      <c r="CXA106" s="769"/>
      <c r="CXB106" s="769"/>
      <c r="CXC106" s="769"/>
      <c r="CXD106" s="769"/>
      <c r="CXE106" s="769"/>
      <c r="CXF106" s="769"/>
      <c r="CXG106" s="769"/>
      <c r="CXH106" s="769"/>
      <c r="CXI106" s="769"/>
      <c r="CXJ106" s="769"/>
      <c r="CXK106" s="769"/>
      <c r="CXL106" s="769"/>
      <c r="CXM106" s="769"/>
      <c r="CXN106" s="769"/>
      <c r="CXO106" s="769"/>
      <c r="CXP106" s="769"/>
      <c r="CXQ106" s="769"/>
      <c r="CXR106" s="769"/>
      <c r="CXS106" s="769"/>
      <c r="CXT106" s="769"/>
      <c r="CXU106" s="769"/>
      <c r="CXV106" s="769"/>
      <c r="CXW106" s="769"/>
      <c r="CXX106" s="769"/>
      <c r="CXY106" s="769"/>
      <c r="CXZ106" s="769"/>
      <c r="CYA106" s="769"/>
      <c r="CYB106" s="769"/>
      <c r="CYC106" s="769"/>
      <c r="CYD106" s="769"/>
      <c r="CYE106" s="769"/>
      <c r="CYF106" s="769"/>
      <c r="CYG106" s="769"/>
      <c r="CYH106" s="769"/>
      <c r="CYI106" s="769"/>
      <c r="CYJ106" s="769"/>
      <c r="CYK106" s="769"/>
      <c r="CYL106" s="769"/>
      <c r="CYM106" s="769"/>
      <c r="CYN106" s="769"/>
      <c r="CYO106" s="769"/>
      <c r="CYP106" s="769"/>
      <c r="CYQ106" s="769"/>
      <c r="CYR106" s="769"/>
      <c r="CYS106" s="769"/>
      <c r="CYT106" s="769"/>
      <c r="CYU106" s="769"/>
      <c r="CYV106" s="769"/>
      <c r="CYW106" s="769"/>
      <c r="CYX106" s="769"/>
      <c r="CYY106" s="769"/>
      <c r="CYZ106" s="769"/>
      <c r="CZA106" s="769"/>
      <c r="CZB106" s="769"/>
      <c r="CZC106" s="769"/>
      <c r="CZD106" s="769"/>
      <c r="CZE106" s="769"/>
      <c r="CZF106" s="769"/>
      <c r="CZG106" s="769"/>
      <c r="CZH106" s="769"/>
      <c r="CZI106" s="769"/>
      <c r="CZJ106" s="769"/>
      <c r="CZK106" s="769"/>
      <c r="CZL106" s="769"/>
      <c r="CZM106" s="769"/>
      <c r="CZN106" s="769"/>
      <c r="CZO106" s="769"/>
      <c r="CZP106" s="769"/>
      <c r="CZQ106" s="769"/>
      <c r="CZR106" s="769"/>
      <c r="CZS106" s="769"/>
      <c r="CZT106" s="769"/>
      <c r="CZU106" s="769"/>
      <c r="CZV106" s="769"/>
      <c r="CZW106" s="769"/>
      <c r="CZX106" s="769"/>
      <c r="CZY106" s="769"/>
      <c r="CZZ106" s="769"/>
      <c r="DAA106" s="769"/>
      <c r="DAB106" s="769"/>
      <c r="DAC106" s="769"/>
      <c r="DAD106" s="769"/>
      <c r="DAE106" s="769"/>
      <c r="DAF106" s="769"/>
      <c r="DAG106" s="769"/>
      <c r="DAH106" s="769"/>
      <c r="DAI106" s="769"/>
      <c r="DAJ106" s="769"/>
      <c r="DAK106" s="769"/>
      <c r="DAL106" s="769"/>
      <c r="DAM106" s="769"/>
      <c r="DAN106" s="769"/>
      <c r="DAO106" s="769"/>
      <c r="DAP106" s="769"/>
      <c r="DAQ106" s="769"/>
      <c r="DAR106" s="769"/>
      <c r="DAS106" s="769"/>
      <c r="DAT106" s="769"/>
      <c r="DAU106" s="769"/>
      <c r="DAV106" s="769"/>
      <c r="DAW106" s="769"/>
      <c r="DAX106" s="769"/>
      <c r="DAY106" s="769"/>
      <c r="DAZ106" s="769"/>
      <c r="DBA106" s="769"/>
      <c r="DBB106" s="769"/>
      <c r="DBC106" s="769"/>
      <c r="DBD106" s="769"/>
      <c r="DBE106" s="769"/>
      <c r="DBF106" s="769"/>
      <c r="DBG106" s="769"/>
      <c r="DBH106" s="769"/>
      <c r="DBI106" s="769"/>
      <c r="DBJ106" s="769"/>
      <c r="DBK106" s="769"/>
      <c r="DBL106" s="769"/>
      <c r="DBM106" s="769"/>
      <c r="DBN106" s="769"/>
      <c r="DBO106" s="769"/>
      <c r="DBP106" s="769"/>
      <c r="DBQ106" s="769"/>
      <c r="DBR106" s="769"/>
      <c r="DBS106" s="769"/>
      <c r="DBT106" s="769"/>
      <c r="DBU106" s="769"/>
      <c r="DBV106" s="769"/>
      <c r="DBW106" s="769"/>
      <c r="DBX106" s="769"/>
      <c r="DBY106" s="769"/>
      <c r="DBZ106" s="769"/>
      <c r="DCA106" s="769"/>
      <c r="DCB106" s="769"/>
      <c r="DCC106" s="769"/>
      <c r="DCD106" s="769"/>
      <c r="DCE106" s="769"/>
      <c r="DCF106" s="769"/>
      <c r="DCG106" s="769"/>
      <c r="DCH106" s="769"/>
      <c r="DCI106" s="769"/>
      <c r="DCJ106" s="769"/>
      <c r="DCK106" s="769"/>
      <c r="DCL106" s="769"/>
      <c r="DCM106" s="769"/>
      <c r="DCN106" s="769"/>
      <c r="DCO106" s="769"/>
      <c r="DCP106" s="769"/>
      <c r="DCQ106" s="769"/>
      <c r="DCR106" s="769"/>
      <c r="DCS106" s="769"/>
      <c r="DCT106" s="769"/>
      <c r="DCU106" s="769"/>
      <c r="DCV106" s="769"/>
      <c r="DCW106" s="769"/>
      <c r="DCX106" s="769"/>
      <c r="DCY106" s="769"/>
      <c r="DCZ106" s="769"/>
      <c r="DDA106" s="769"/>
      <c r="DDB106" s="769"/>
      <c r="DDC106" s="769"/>
      <c r="DDD106" s="769"/>
      <c r="DDE106" s="769"/>
      <c r="DDF106" s="769"/>
      <c r="DDG106" s="769"/>
      <c r="DDH106" s="769"/>
      <c r="DDI106" s="769"/>
      <c r="DDJ106" s="769"/>
      <c r="DDK106" s="769"/>
      <c r="DDL106" s="769"/>
      <c r="DDM106" s="769"/>
      <c r="DDN106" s="769"/>
      <c r="DDO106" s="769"/>
      <c r="DDP106" s="769"/>
      <c r="DDQ106" s="769"/>
      <c r="DDR106" s="769"/>
      <c r="DDS106" s="769"/>
      <c r="DDT106" s="769"/>
      <c r="DDU106" s="769"/>
      <c r="DDV106" s="769"/>
      <c r="DDW106" s="769"/>
      <c r="DDX106" s="769"/>
      <c r="DDY106" s="769"/>
      <c r="DDZ106" s="769"/>
      <c r="DEA106" s="769"/>
      <c r="DEB106" s="769"/>
      <c r="DEC106" s="769"/>
      <c r="DED106" s="769"/>
      <c r="DEE106" s="769"/>
      <c r="DEF106" s="769"/>
      <c r="DEG106" s="769"/>
      <c r="DEH106" s="769"/>
      <c r="DEI106" s="769"/>
      <c r="DEJ106" s="769"/>
      <c r="DEK106" s="769"/>
      <c r="DEL106" s="769"/>
      <c r="DEM106" s="769"/>
      <c r="DEN106" s="769"/>
      <c r="DEO106" s="769"/>
      <c r="DEP106" s="769"/>
      <c r="DEQ106" s="769"/>
      <c r="DER106" s="769"/>
      <c r="DES106" s="769"/>
      <c r="DET106" s="769"/>
      <c r="DEU106" s="769"/>
      <c r="DEV106" s="769"/>
      <c r="DEW106" s="769"/>
      <c r="DEX106" s="769"/>
      <c r="DEY106" s="769"/>
      <c r="DEZ106" s="769"/>
      <c r="DFA106" s="769"/>
      <c r="DFB106" s="769"/>
      <c r="DFC106" s="769"/>
      <c r="DFD106" s="769"/>
      <c r="DFE106" s="769"/>
      <c r="DFF106" s="769"/>
      <c r="DFG106" s="769"/>
      <c r="DFH106" s="769"/>
      <c r="DFI106" s="769"/>
      <c r="DFJ106" s="769"/>
      <c r="DFK106" s="769"/>
      <c r="DFL106" s="769"/>
      <c r="DFM106" s="769"/>
      <c r="DFN106" s="769"/>
      <c r="DFO106" s="769"/>
      <c r="DFP106" s="769"/>
      <c r="DFQ106" s="769"/>
      <c r="DFR106" s="769"/>
      <c r="DFS106" s="769"/>
      <c r="DFT106" s="769"/>
      <c r="DFU106" s="769"/>
      <c r="DFV106" s="769"/>
      <c r="DFW106" s="769"/>
      <c r="DFX106" s="769"/>
      <c r="DFY106" s="769"/>
      <c r="DFZ106" s="769"/>
      <c r="DGA106" s="769"/>
      <c r="DGB106" s="769"/>
      <c r="DGC106" s="769"/>
      <c r="DGD106" s="769"/>
      <c r="DGE106" s="769"/>
      <c r="DGF106" s="769"/>
      <c r="DGG106" s="769"/>
      <c r="DGH106" s="769"/>
      <c r="DGI106" s="769"/>
      <c r="DGJ106" s="769"/>
      <c r="DGK106" s="769"/>
      <c r="DGL106" s="769"/>
      <c r="DGM106" s="769"/>
      <c r="DGN106" s="769"/>
      <c r="DGO106" s="769"/>
      <c r="DGP106" s="769"/>
      <c r="DGQ106" s="769"/>
      <c r="DGR106" s="769"/>
      <c r="DGS106" s="769"/>
      <c r="DGT106" s="769"/>
      <c r="DGU106" s="769"/>
      <c r="DGV106" s="769"/>
      <c r="DGW106" s="769"/>
      <c r="DGX106" s="769"/>
      <c r="DGY106" s="769"/>
      <c r="DGZ106" s="769"/>
      <c r="DHA106" s="769"/>
      <c r="DHB106" s="769"/>
      <c r="DHC106" s="769"/>
      <c r="DHD106" s="769"/>
      <c r="DHE106" s="769"/>
      <c r="DHF106" s="769"/>
      <c r="DHG106" s="769"/>
      <c r="DHH106" s="769"/>
      <c r="DHI106" s="769"/>
      <c r="DHJ106" s="769"/>
      <c r="DHK106" s="769"/>
      <c r="DHL106" s="769"/>
      <c r="DHM106" s="769"/>
      <c r="DHN106" s="769"/>
      <c r="DHO106" s="769"/>
      <c r="DHP106" s="769"/>
      <c r="DHQ106" s="769"/>
      <c r="DHR106" s="769"/>
      <c r="DHS106" s="769"/>
      <c r="DHT106" s="769"/>
      <c r="DHU106" s="769"/>
      <c r="DHV106" s="769"/>
      <c r="DHW106" s="769"/>
      <c r="DHX106" s="769"/>
      <c r="DHY106" s="769"/>
      <c r="DHZ106" s="769"/>
      <c r="DIA106" s="769"/>
      <c r="DIB106" s="769"/>
      <c r="DIC106" s="769"/>
      <c r="DID106" s="769"/>
      <c r="DIE106" s="769"/>
      <c r="DIF106" s="769"/>
      <c r="DIG106" s="769"/>
      <c r="DIH106" s="769"/>
      <c r="DII106" s="769"/>
      <c r="DIJ106" s="769"/>
      <c r="DIK106" s="769"/>
      <c r="DIL106" s="769"/>
      <c r="DIM106" s="769"/>
      <c r="DIN106" s="769"/>
      <c r="DIO106" s="769"/>
      <c r="DIP106" s="769"/>
      <c r="DIQ106" s="769"/>
      <c r="DIR106" s="769"/>
      <c r="DIS106" s="769"/>
      <c r="DIT106" s="769"/>
      <c r="DIU106" s="769"/>
      <c r="DIV106" s="769"/>
      <c r="DIW106" s="769"/>
      <c r="DIX106" s="769"/>
      <c r="DIY106" s="769"/>
      <c r="DIZ106" s="769"/>
      <c r="DJA106" s="769"/>
      <c r="DJB106" s="769"/>
      <c r="DJC106" s="769"/>
      <c r="DJD106" s="769"/>
      <c r="DJE106" s="769"/>
      <c r="DJF106" s="769"/>
      <c r="DJG106" s="769"/>
      <c r="DJH106" s="769"/>
      <c r="DJI106" s="769"/>
      <c r="DJJ106" s="769"/>
      <c r="DJK106" s="769"/>
      <c r="DJL106" s="769"/>
      <c r="DJM106" s="769"/>
      <c r="DJN106" s="769"/>
      <c r="DJO106" s="769"/>
      <c r="DJP106" s="769"/>
      <c r="DJQ106" s="769"/>
      <c r="DJR106" s="769"/>
      <c r="DJS106" s="769"/>
      <c r="DJT106" s="769"/>
      <c r="DJU106" s="769"/>
      <c r="DJV106" s="769"/>
      <c r="DJW106" s="769"/>
      <c r="DJX106" s="769"/>
      <c r="DJY106" s="769"/>
      <c r="DJZ106" s="769"/>
      <c r="DKA106" s="769"/>
      <c r="DKB106" s="769"/>
      <c r="DKC106" s="769"/>
      <c r="DKD106" s="769"/>
      <c r="DKE106" s="769"/>
      <c r="DKF106" s="769"/>
      <c r="DKG106" s="769"/>
      <c r="DKH106" s="769"/>
      <c r="DKI106" s="769"/>
      <c r="DKJ106" s="769"/>
      <c r="DKK106" s="769"/>
      <c r="DKL106" s="769"/>
      <c r="DKM106" s="769"/>
      <c r="DKN106" s="769"/>
      <c r="DKO106" s="769"/>
      <c r="DKP106" s="769"/>
      <c r="DKQ106" s="769"/>
      <c r="DKR106" s="769"/>
      <c r="DKS106" s="769"/>
      <c r="DKT106" s="769"/>
      <c r="DKU106" s="769"/>
      <c r="DKV106" s="769"/>
      <c r="DKW106" s="769"/>
      <c r="DKX106" s="769"/>
      <c r="DKY106" s="769"/>
      <c r="DKZ106" s="769"/>
      <c r="DLA106" s="769"/>
      <c r="DLB106" s="769"/>
      <c r="DLC106" s="769"/>
      <c r="DLD106" s="769"/>
      <c r="DLE106" s="769"/>
      <c r="DLF106" s="769"/>
      <c r="DLG106" s="769"/>
      <c r="DLH106" s="769"/>
      <c r="DLI106" s="769"/>
      <c r="DLJ106" s="769"/>
      <c r="DLK106" s="769"/>
      <c r="DLL106" s="769"/>
      <c r="DLM106" s="769"/>
      <c r="DLN106" s="769"/>
      <c r="DLO106" s="769"/>
      <c r="DLP106" s="769"/>
      <c r="DLQ106" s="769"/>
      <c r="DLR106" s="769"/>
      <c r="DLS106" s="769"/>
      <c r="DLT106" s="769"/>
      <c r="DLU106" s="769"/>
      <c r="DLV106" s="769"/>
      <c r="DLW106" s="769"/>
      <c r="DLX106" s="769"/>
      <c r="DLY106" s="769"/>
      <c r="DLZ106" s="769"/>
      <c r="DMA106" s="769"/>
      <c r="DMB106" s="769"/>
      <c r="DMC106" s="769"/>
      <c r="DMD106" s="769"/>
      <c r="DME106" s="769"/>
      <c r="DMF106" s="769"/>
      <c r="DMG106" s="769"/>
      <c r="DMH106" s="769"/>
      <c r="DMI106" s="769"/>
      <c r="DMJ106" s="769"/>
      <c r="DMK106" s="769"/>
      <c r="DML106" s="769"/>
      <c r="DMM106" s="769"/>
      <c r="DMN106" s="769"/>
      <c r="DMO106" s="769"/>
      <c r="DMP106" s="769"/>
      <c r="DMQ106" s="769"/>
      <c r="DMR106" s="769"/>
      <c r="DMS106" s="769"/>
      <c r="DMT106" s="769"/>
      <c r="DMU106" s="769"/>
      <c r="DMV106" s="769"/>
      <c r="DMW106" s="769"/>
      <c r="DMX106" s="769"/>
      <c r="DMY106" s="769"/>
      <c r="DMZ106" s="769"/>
      <c r="DNA106" s="769"/>
      <c r="DNB106" s="769"/>
      <c r="DNC106" s="769"/>
      <c r="DND106" s="769"/>
      <c r="DNE106" s="769"/>
      <c r="DNF106" s="769"/>
      <c r="DNG106" s="769"/>
      <c r="DNH106" s="769"/>
      <c r="DNI106" s="769"/>
      <c r="DNJ106" s="769"/>
      <c r="DNK106" s="769"/>
      <c r="DNL106" s="769"/>
      <c r="DNM106" s="769"/>
      <c r="DNN106" s="769"/>
      <c r="DNO106" s="769"/>
      <c r="DNP106" s="769"/>
      <c r="DNQ106" s="769"/>
      <c r="DNR106" s="769"/>
      <c r="DNS106" s="769"/>
      <c r="DNT106" s="769"/>
      <c r="DNU106" s="769"/>
      <c r="DNV106" s="769"/>
      <c r="DNW106" s="769"/>
      <c r="DNX106" s="769"/>
      <c r="DNY106" s="769"/>
      <c r="DNZ106" s="769"/>
      <c r="DOA106" s="769"/>
      <c r="DOB106" s="769"/>
      <c r="DOC106" s="769"/>
      <c r="DOD106" s="769"/>
      <c r="DOE106" s="769"/>
      <c r="DOF106" s="769"/>
      <c r="DOG106" s="769"/>
      <c r="DOH106" s="769"/>
      <c r="DOI106" s="769"/>
      <c r="DOJ106" s="769"/>
      <c r="DOK106" s="769"/>
      <c r="DOL106" s="769"/>
      <c r="DOM106" s="769"/>
      <c r="DON106" s="769"/>
      <c r="DOO106" s="769"/>
      <c r="DOP106" s="769"/>
      <c r="DOQ106" s="769"/>
      <c r="DOR106" s="769"/>
      <c r="DOS106" s="769"/>
      <c r="DOT106" s="769"/>
      <c r="DOU106" s="769"/>
      <c r="DOV106" s="769"/>
      <c r="DOW106" s="769"/>
      <c r="DOX106" s="769"/>
      <c r="DOY106" s="769"/>
      <c r="DOZ106" s="769"/>
      <c r="DPA106" s="769"/>
      <c r="DPB106" s="769"/>
      <c r="DPC106" s="769"/>
      <c r="DPD106" s="769"/>
      <c r="DPE106" s="769"/>
      <c r="DPF106" s="769"/>
      <c r="DPG106" s="769"/>
      <c r="DPH106" s="769"/>
      <c r="DPI106" s="769"/>
      <c r="DPJ106" s="769"/>
      <c r="DPK106" s="769"/>
      <c r="DPL106" s="769"/>
      <c r="DPM106" s="769"/>
      <c r="DPN106" s="769"/>
      <c r="DPO106" s="769"/>
      <c r="DPP106" s="769"/>
      <c r="DPQ106" s="769"/>
      <c r="DPR106" s="769"/>
      <c r="DPS106" s="769"/>
      <c r="DPT106" s="769"/>
      <c r="DPU106" s="769"/>
      <c r="DPV106" s="769"/>
      <c r="DPW106" s="769"/>
      <c r="DPX106" s="769"/>
      <c r="DPY106" s="769"/>
      <c r="DPZ106" s="769"/>
      <c r="DQA106" s="769"/>
      <c r="DQB106" s="769"/>
      <c r="DQC106" s="769"/>
      <c r="DQD106" s="769"/>
      <c r="DQE106" s="769"/>
      <c r="DQF106" s="769"/>
      <c r="DQG106" s="769"/>
      <c r="DQH106" s="769"/>
      <c r="DQI106" s="769"/>
      <c r="DQJ106" s="769"/>
      <c r="DQK106" s="769"/>
      <c r="DQL106" s="769"/>
      <c r="DQM106" s="769"/>
      <c r="DQN106" s="769"/>
      <c r="DQO106" s="769"/>
      <c r="DQP106" s="769"/>
      <c r="DQQ106" s="769"/>
      <c r="DQR106" s="769"/>
      <c r="DQS106" s="769"/>
      <c r="DQT106" s="769"/>
      <c r="DQU106" s="769"/>
      <c r="DQV106" s="769"/>
      <c r="DQW106" s="769"/>
      <c r="DQX106" s="769"/>
      <c r="DQY106" s="769"/>
      <c r="DQZ106" s="769"/>
      <c r="DRA106" s="769"/>
      <c r="DRB106" s="769"/>
      <c r="DRC106" s="769"/>
      <c r="DRD106" s="769"/>
      <c r="DRE106" s="769"/>
      <c r="DRF106" s="769"/>
      <c r="DRG106" s="769"/>
      <c r="DRH106" s="769"/>
      <c r="DRI106" s="769"/>
      <c r="DRJ106" s="769"/>
      <c r="DRK106" s="769"/>
      <c r="DRL106" s="769"/>
      <c r="DRM106" s="769"/>
      <c r="DRN106" s="769"/>
      <c r="DRO106" s="769"/>
      <c r="DRP106" s="769"/>
      <c r="DRQ106" s="769"/>
      <c r="DRR106" s="769"/>
      <c r="DRS106" s="769"/>
      <c r="DRT106" s="769"/>
      <c r="DRU106" s="769"/>
      <c r="DRV106" s="769"/>
      <c r="DRW106" s="769"/>
      <c r="DRX106" s="769"/>
      <c r="DRY106" s="769"/>
      <c r="DRZ106" s="769"/>
      <c r="DSA106" s="769"/>
      <c r="DSB106" s="769"/>
      <c r="DSC106" s="769"/>
      <c r="DSD106" s="769"/>
      <c r="DSE106" s="769"/>
      <c r="DSF106" s="769"/>
      <c r="DSG106" s="769"/>
      <c r="DSH106" s="769"/>
      <c r="DSI106" s="769"/>
      <c r="DSJ106" s="769"/>
      <c r="DSK106" s="769"/>
      <c r="DSL106" s="769"/>
      <c r="DSM106" s="769"/>
      <c r="DSN106" s="769"/>
      <c r="DSO106" s="769"/>
      <c r="DSP106" s="769"/>
      <c r="DSQ106" s="769"/>
      <c r="DSR106" s="769"/>
      <c r="DSS106" s="769"/>
      <c r="DST106" s="769"/>
      <c r="DSU106" s="769"/>
      <c r="DSV106" s="769"/>
      <c r="DSW106" s="769"/>
      <c r="DSX106" s="769"/>
      <c r="DSY106" s="769"/>
      <c r="DSZ106" s="769"/>
      <c r="DTA106" s="769"/>
      <c r="DTB106" s="769"/>
      <c r="DTC106" s="769"/>
      <c r="DTD106" s="769"/>
      <c r="DTE106" s="769"/>
      <c r="DTF106" s="769"/>
      <c r="DTG106" s="769"/>
      <c r="DTH106" s="769"/>
      <c r="DTI106" s="769"/>
      <c r="DTJ106" s="769"/>
      <c r="DTK106" s="769"/>
      <c r="DTL106" s="769"/>
      <c r="DTM106" s="769"/>
      <c r="DTN106" s="769"/>
      <c r="DTO106" s="769"/>
      <c r="DTP106" s="769"/>
      <c r="DTQ106" s="769"/>
      <c r="DTR106" s="769"/>
      <c r="DTS106" s="769"/>
      <c r="DTT106" s="769"/>
      <c r="DTU106" s="769"/>
      <c r="DTV106" s="769"/>
      <c r="DTW106" s="769"/>
      <c r="DTX106" s="769"/>
      <c r="DTY106" s="769"/>
      <c r="DTZ106" s="769"/>
      <c r="DUA106" s="769"/>
      <c r="DUB106" s="769"/>
      <c r="DUC106" s="769"/>
      <c r="DUD106" s="769"/>
      <c r="DUE106" s="769"/>
      <c r="DUF106" s="769"/>
      <c r="DUG106" s="769"/>
      <c r="DUH106" s="769"/>
      <c r="DUI106" s="769"/>
      <c r="DUJ106" s="769"/>
      <c r="DUK106" s="769"/>
      <c r="DUL106" s="769"/>
      <c r="DUM106" s="769"/>
      <c r="DUN106" s="769"/>
      <c r="DUO106" s="769"/>
      <c r="DUP106" s="769"/>
      <c r="DUQ106" s="769"/>
      <c r="DUR106" s="769"/>
      <c r="DUS106" s="769"/>
      <c r="DUT106" s="769"/>
      <c r="DUU106" s="769"/>
      <c r="DUV106" s="769"/>
      <c r="DUW106" s="769"/>
      <c r="DUX106" s="769"/>
      <c r="DUY106" s="769"/>
      <c r="DUZ106" s="769"/>
      <c r="DVA106" s="769"/>
      <c r="DVB106" s="769"/>
      <c r="DVC106" s="769"/>
      <c r="DVD106" s="769"/>
      <c r="DVE106" s="769"/>
      <c r="DVF106" s="769"/>
      <c r="DVG106" s="769"/>
      <c r="DVH106" s="769"/>
      <c r="DVI106" s="769"/>
      <c r="DVJ106" s="769"/>
      <c r="DVK106" s="769"/>
      <c r="DVL106" s="769"/>
      <c r="DVM106" s="769"/>
      <c r="DVN106" s="769"/>
      <c r="DVO106" s="769"/>
      <c r="DVP106" s="769"/>
      <c r="DVQ106" s="769"/>
      <c r="DVR106" s="769"/>
      <c r="DVS106" s="769"/>
      <c r="DVT106" s="769"/>
      <c r="DVU106" s="769"/>
      <c r="DVV106" s="769"/>
      <c r="DVW106" s="769"/>
      <c r="DVX106" s="769"/>
      <c r="DVY106" s="769"/>
      <c r="DVZ106" s="769"/>
      <c r="DWA106" s="769"/>
      <c r="DWB106" s="769"/>
      <c r="DWC106" s="769"/>
      <c r="DWD106" s="769"/>
      <c r="DWE106" s="769"/>
      <c r="DWF106" s="769"/>
      <c r="DWG106" s="769"/>
      <c r="DWH106" s="769"/>
      <c r="DWI106" s="769"/>
      <c r="DWJ106" s="769"/>
      <c r="DWK106" s="769"/>
      <c r="DWL106" s="769"/>
      <c r="DWM106" s="769"/>
      <c r="DWN106" s="769"/>
      <c r="DWO106" s="769"/>
      <c r="DWP106" s="769"/>
      <c r="DWQ106" s="769"/>
      <c r="DWR106" s="769"/>
      <c r="DWS106" s="769"/>
      <c r="DWT106" s="769"/>
      <c r="DWU106" s="769"/>
      <c r="DWV106" s="769"/>
      <c r="DWW106" s="769"/>
      <c r="DWX106" s="769"/>
      <c r="DWY106" s="769"/>
      <c r="DWZ106" s="769"/>
      <c r="DXA106" s="769"/>
      <c r="DXB106" s="769"/>
      <c r="DXC106" s="769"/>
      <c r="DXD106" s="769"/>
      <c r="DXE106" s="769"/>
      <c r="DXF106" s="769"/>
      <c r="DXG106" s="769"/>
      <c r="DXH106" s="769"/>
      <c r="DXI106" s="769"/>
      <c r="DXJ106" s="769"/>
      <c r="DXK106" s="769"/>
      <c r="DXL106" s="769"/>
      <c r="DXM106" s="769"/>
      <c r="DXN106" s="769"/>
      <c r="DXO106" s="769"/>
      <c r="DXP106" s="769"/>
      <c r="DXQ106" s="769"/>
      <c r="DXR106" s="769"/>
      <c r="DXS106" s="769"/>
      <c r="DXT106" s="769"/>
      <c r="DXU106" s="769"/>
      <c r="DXV106" s="769"/>
      <c r="DXW106" s="769"/>
      <c r="DXX106" s="769"/>
      <c r="DXY106" s="769"/>
      <c r="DXZ106" s="769"/>
      <c r="DYA106" s="769"/>
      <c r="DYB106" s="769"/>
      <c r="DYC106" s="769"/>
      <c r="DYD106" s="769"/>
      <c r="DYE106" s="769"/>
      <c r="DYF106" s="769"/>
      <c r="DYG106" s="769"/>
      <c r="DYH106" s="769"/>
      <c r="DYI106" s="769"/>
      <c r="DYJ106" s="769"/>
      <c r="DYK106" s="769"/>
      <c r="DYL106" s="769"/>
      <c r="DYM106" s="769"/>
      <c r="DYN106" s="769"/>
      <c r="DYO106" s="769"/>
      <c r="DYP106" s="769"/>
      <c r="DYQ106" s="769"/>
      <c r="DYR106" s="769"/>
      <c r="DYS106" s="769"/>
      <c r="DYT106" s="769"/>
      <c r="DYU106" s="769"/>
      <c r="DYV106" s="769"/>
      <c r="DYW106" s="769"/>
      <c r="DYX106" s="769"/>
      <c r="DYY106" s="769"/>
      <c r="DYZ106" s="769"/>
      <c r="DZA106" s="769"/>
      <c r="DZB106" s="769"/>
      <c r="DZC106" s="769"/>
      <c r="DZD106" s="769"/>
      <c r="DZE106" s="769"/>
      <c r="DZF106" s="769"/>
      <c r="DZG106" s="769"/>
      <c r="DZH106" s="769"/>
      <c r="DZI106" s="769"/>
      <c r="DZJ106" s="769"/>
      <c r="DZK106" s="769"/>
      <c r="DZL106" s="769"/>
      <c r="DZM106" s="769"/>
      <c r="DZN106" s="769"/>
      <c r="DZO106" s="769"/>
      <c r="DZP106" s="769"/>
      <c r="DZQ106" s="769"/>
      <c r="DZR106" s="769"/>
      <c r="DZS106" s="769"/>
      <c r="DZT106" s="769"/>
      <c r="DZU106" s="769"/>
      <c r="DZV106" s="769"/>
      <c r="DZW106" s="769"/>
      <c r="DZX106" s="769"/>
      <c r="DZY106" s="769"/>
      <c r="DZZ106" s="769"/>
      <c r="EAA106" s="769"/>
      <c r="EAB106" s="769"/>
      <c r="EAC106" s="769"/>
      <c r="EAD106" s="769"/>
      <c r="EAE106" s="769"/>
      <c r="EAF106" s="769"/>
      <c r="EAG106" s="769"/>
      <c r="EAH106" s="769"/>
      <c r="EAI106" s="769"/>
      <c r="EAJ106" s="769"/>
      <c r="EAK106" s="769"/>
      <c r="EAL106" s="769"/>
      <c r="EAM106" s="769"/>
      <c r="EAN106" s="769"/>
      <c r="EAO106" s="769"/>
      <c r="EAP106" s="769"/>
      <c r="EAQ106" s="769"/>
      <c r="EAR106" s="769"/>
      <c r="EAS106" s="769"/>
      <c r="EAT106" s="769"/>
      <c r="EAU106" s="769"/>
      <c r="EAV106" s="769"/>
      <c r="EAW106" s="769"/>
      <c r="EAX106" s="769"/>
      <c r="EAY106" s="769"/>
      <c r="EAZ106" s="769"/>
      <c r="EBA106" s="769"/>
      <c r="EBB106" s="769"/>
      <c r="EBC106" s="769"/>
      <c r="EBD106" s="769"/>
      <c r="EBE106" s="769"/>
      <c r="EBF106" s="769"/>
      <c r="EBG106" s="769"/>
      <c r="EBH106" s="769"/>
      <c r="EBI106" s="769"/>
      <c r="EBJ106" s="769"/>
      <c r="EBK106" s="769"/>
      <c r="EBL106" s="769"/>
      <c r="EBM106" s="769"/>
      <c r="EBN106" s="769"/>
      <c r="EBO106" s="769"/>
      <c r="EBP106" s="769"/>
      <c r="EBQ106" s="769"/>
      <c r="EBR106" s="769"/>
      <c r="EBS106" s="769"/>
      <c r="EBT106" s="769"/>
      <c r="EBU106" s="769"/>
      <c r="EBV106" s="769"/>
      <c r="EBW106" s="769"/>
      <c r="EBX106" s="769"/>
      <c r="EBY106" s="769"/>
      <c r="EBZ106" s="769"/>
      <c r="ECA106" s="769"/>
      <c r="ECB106" s="769"/>
      <c r="ECC106" s="769"/>
      <c r="ECD106" s="769"/>
      <c r="ECE106" s="769"/>
      <c r="ECF106" s="769"/>
      <c r="ECG106" s="769"/>
      <c r="ECH106" s="769"/>
      <c r="ECI106" s="769"/>
      <c r="ECJ106" s="769"/>
      <c r="ECK106" s="769"/>
      <c r="ECL106" s="769"/>
      <c r="ECM106" s="769"/>
      <c r="ECN106" s="769"/>
      <c r="ECO106" s="769"/>
      <c r="ECP106" s="769"/>
      <c r="ECQ106" s="769"/>
      <c r="ECR106" s="769"/>
      <c r="ECS106" s="769"/>
      <c r="ECT106" s="769"/>
      <c r="ECU106" s="769"/>
      <c r="ECV106" s="769"/>
      <c r="ECW106" s="769"/>
      <c r="ECX106" s="769"/>
      <c r="ECY106" s="769"/>
      <c r="ECZ106" s="769"/>
      <c r="EDA106" s="769"/>
      <c r="EDB106" s="769"/>
      <c r="EDC106" s="769"/>
      <c r="EDD106" s="769"/>
      <c r="EDE106" s="769"/>
      <c r="EDF106" s="769"/>
      <c r="EDG106" s="769"/>
      <c r="EDH106" s="769"/>
      <c r="EDI106" s="769"/>
      <c r="EDJ106" s="769"/>
      <c r="EDK106" s="769"/>
      <c r="EDL106" s="769"/>
      <c r="EDM106" s="769"/>
      <c r="EDN106" s="769"/>
      <c r="EDO106" s="769"/>
      <c r="EDP106" s="769"/>
      <c r="EDQ106" s="769"/>
      <c r="EDR106" s="769"/>
      <c r="EDS106" s="769"/>
      <c r="EDT106" s="769"/>
      <c r="EDU106" s="769"/>
      <c r="EDV106" s="769"/>
      <c r="EDW106" s="769"/>
      <c r="EDX106" s="769"/>
      <c r="EDY106" s="769"/>
      <c r="EDZ106" s="769"/>
      <c r="EEA106" s="769"/>
      <c r="EEB106" s="769"/>
      <c r="EEC106" s="769"/>
      <c r="EED106" s="769"/>
      <c r="EEE106" s="769"/>
      <c r="EEF106" s="769"/>
      <c r="EEG106" s="769"/>
      <c r="EEH106" s="769"/>
      <c r="EEI106" s="769"/>
      <c r="EEJ106" s="769"/>
      <c r="EEK106" s="769"/>
      <c r="EEL106" s="769"/>
      <c r="EEM106" s="769"/>
      <c r="EEN106" s="769"/>
      <c r="EEO106" s="769"/>
      <c r="EEP106" s="769"/>
      <c r="EEQ106" s="769"/>
      <c r="EER106" s="769"/>
      <c r="EES106" s="769"/>
      <c r="EET106" s="769"/>
      <c r="EEU106" s="769"/>
      <c r="EEV106" s="769"/>
      <c r="EEW106" s="769"/>
      <c r="EEX106" s="769"/>
      <c r="EEY106" s="769"/>
      <c r="EEZ106" s="769"/>
      <c r="EFA106" s="769"/>
      <c r="EFB106" s="769"/>
      <c r="EFC106" s="769"/>
      <c r="EFD106" s="769"/>
      <c r="EFE106" s="769"/>
      <c r="EFF106" s="769"/>
      <c r="EFG106" s="769"/>
      <c r="EFH106" s="769"/>
      <c r="EFI106" s="769"/>
      <c r="EFJ106" s="769"/>
      <c r="EFK106" s="769"/>
      <c r="EFL106" s="769"/>
      <c r="EFM106" s="769"/>
      <c r="EFN106" s="769"/>
      <c r="EFO106" s="769"/>
      <c r="EFP106" s="769"/>
      <c r="EFQ106" s="769"/>
      <c r="EFR106" s="769"/>
      <c r="EFS106" s="769"/>
      <c r="EFT106" s="769"/>
      <c r="EFU106" s="769"/>
      <c r="EFV106" s="769"/>
      <c r="EFW106" s="769"/>
      <c r="EFX106" s="769"/>
      <c r="EFY106" s="769"/>
      <c r="EFZ106" s="769"/>
      <c r="EGA106" s="769"/>
      <c r="EGB106" s="769"/>
      <c r="EGC106" s="769"/>
      <c r="EGD106" s="769"/>
      <c r="EGE106" s="769"/>
      <c r="EGF106" s="769"/>
      <c r="EGG106" s="769"/>
      <c r="EGH106" s="769"/>
      <c r="EGI106" s="769"/>
      <c r="EGJ106" s="769"/>
      <c r="EGK106" s="769"/>
      <c r="EGL106" s="769"/>
      <c r="EGM106" s="769"/>
      <c r="EGN106" s="769"/>
      <c r="EGO106" s="769"/>
      <c r="EGP106" s="769"/>
      <c r="EGQ106" s="769"/>
      <c r="EGR106" s="769"/>
      <c r="EGS106" s="769"/>
      <c r="EGT106" s="769"/>
      <c r="EGU106" s="769"/>
      <c r="EGV106" s="769"/>
      <c r="EGW106" s="769"/>
      <c r="EGX106" s="769"/>
      <c r="EGY106" s="769"/>
      <c r="EGZ106" s="769"/>
      <c r="EHA106" s="769"/>
      <c r="EHB106" s="769"/>
      <c r="EHC106" s="769"/>
      <c r="EHD106" s="769"/>
      <c r="EHE106" s="769"/>
      <c r="EHF106" s="769"/>
      <c r="EHG106" s="769"/>
      <c r="EHH106" s="769"/>
      <c r="EHI106" s="769"/>
      <c r="EHJ106" s="769"/>
      <c r="EHK106" s="769"/>
      <c r="EHL106" s="769"/>
      <c r="EHM106" s="769"/>
      <c r="EHN106" s="769"/>
      <c r="EHO106" s="769"/>
      <c r="EHP106" s="769"/>
      <c r="EHQ106" s="769"/>
      <c r="EHR106" s="769"/>
      <c r="EHS106" s="769"/>
      <c r="EHT106" s="769"/>
      <c r="EHU106" s="769"/>
      <c r="EHV106" s="769"/>
      <c r="EHW106" s="769"/>
      <c r="EHX106" s="769"/>
      <c r="EHY106" s="769"/>
      <c r="EHZ106" s="769"/>
      <c r="EIA106" s="769"/>
      <c r="EIB106" s="769"/>
      <c r="EIC106" s="769"/>
      <c r="EID106" s="769"/>
      <c r="EIE106" s="769"/>
      <c r="EIF106" s="769"/>
      <c r="EIG106" s="769"/>
      <c r="EIH106" s="769"/>
      <c r="EII106" s="769"/>
      <c r="EIJ106" s="769"/>
      <c r="EIK106" s="769"/>
      <c r="EIL106" s="769"/>
      <c r="EIM106" s="769"/>
      <c r="EIN106" s="769"/>
      <c r="EIO106" s="769"/>
      <c r="EIP106" s="769"/>
      <c r="EIQ106" s="769"/>
      <c r="EIR106" s="769"/>
      <c r="EIS106" s="769"/>
      <c r="EIT106" s="769"/>
      <c r="EIU106" s="769"/>
      <c r="EIV106" s="769"/>
      <c r="EIW106" s="769"/>
      <c r="EIX106" s="769"/>
      <c r="EIY106" s="769"/>
      <c r="EIZ106" s="769"/>
      <c r="EJA106" s="769"/>
      <c r="EJB106" s="769"/>
      <c r="EJC106" s="769"/>
      <c r="EJD106" s="769"/>
      <c r="EJE106" s="769"/>
      <c r="EJF106" s="769"/>
      <c r="EJG106" s="769"/>
      <c r="EJH106" s="769"/>
      <c r="EJI106" s="769"/>
      <c r="EJJ106" s="769"/>
      <c r="EJK106" s="769"/>
      <c r="EJL106" s="769"/>
      <c r="EJM106" s="769"/>
      <c r="EJN106" s="769"/>
      <c r="EJO106" s="769"/>
      <c r="EJP106" s="769"/>
      <c r="EJQ106" s="769"/>
      <c r="EJR106" s="769"/>
      <c r="EJS106" s="769"/>
      <c r="EJT106" s="769"/>
      <c r="EJU106" s="769"/>
      <c r="EJV106" s="769"/>
      <c r="EJW106" s="769"/>
      <c r="EJX106" s="769"/>
      <c r="EJY106" s="769"/>
      <c r="EJZ106" s="769"/>
      <c r="EKA106" s="769"/>
      <c r="EKB106" s="769"/>
      <c r="EKC106" s="769"/>
      <c r="EKD106" s="769"/>
      <c r="EKE106" s="769"/>
      <c r="EKF106" s="769"/>
      <c r="EKG106" s="769"/>
      <c r="EKH106" s="769"/>
      <c r="EKI106" s="769"/>
      <c r="EKJ106" s="769"/>
      <c r="EKK106" s="769"/>
      <c r="EKL106" s="769"/>
      <c r="EKM106" s="769"/>
      <c r="EKN106" s="769"/>
      <c r="EKO106" s="769"/>
      <c r="EKP106" s="769"/>
      <c r="EKQ106" s="769"/>
      <c r="EKR106" s="769"/>
      <c r="EKS106" s="769"/>
      <c r="EKT106" s="769"/>
      <c r="EKU106" s="769"/>
      <c r="EKV106" s="769"/>
      <c r="EKW106" s="769"/>
      <c r="EKX106" s="769"/>
      <c r="EKY106" s="769"/>
      <c r="EKZ106" s="769"/>
      <c r="ELA106" s="769"/>
      <c r="ELB106" s="769"/>
      <c r="ELC106" s="769"/>
      <c r="ELD106" s="769"/>
      <c r="ELE106" s="769"/>
      <c r="ELF106" s="769"/>
      <c r="ELG106" s="769"/>
      <c r="ELH106" s="769"/>
      <c r="ELI106" s="769"/>
      <c r="ELJ106" s="769"/>
      <c r="ELK106" s="769"/>
      <c r="ELL106" s="769"/>
      <c r="ELM106" s="769"/>
      <c r="ELN106" s="769"/>
      <c r="ELO106" s="769"/>
      <c r="ELP106" s="769"/>
      <c r="ELQ106" s="769"/>
      <c r="ELR106" s="769"/>
      <c r="ELS106" s="769"/>
      <c r="ELT106" s="769"/>
      <c r="ELU106" s="769"/>
      <c r="ELV106" s="769"/>
      <c r="ELW106" s="769"/>
      <c r="ELX106" s="769"/>
      <c r="ELY106" s="769"/>
      <c r="ELZ106" s="769"/>
      <c r="EMA106" s="769"/>
      <c r="EMB106" s="769"/>
      <c r="EMC106" s="769"/>
      <c r="EMD106" s="769"/>
      <c r="EME106" s="769"/>
      <c r="EMF106" s="769"/>
      <c r="EMG106" s="769"/>
      <c r="EMH106" s="769"/>
      <c r="EMI106" s="769"/>
      <c r="EMJ106" s="769"/>
      <c r="EMK106" s="769"/>
      <c r="EML106" s="769"/>
      <c r="EMM106" s="769"/>
      <c r="EMN106" s="769"/>
      <c r="EMO106" s="769"/>
      <c r="EMP106" s="769"/>
      <c r="EMQ106" s="769"/>
      <c r="EMR106" s="769"/>
      <c r="EMS106" s="769"/>
      <c r="EMT106" s="769"/>
      <c r="EMU106" s="769"/>
      <c r="EMV106" s="769"/>
      <c r="EMW106" s="769"/>
      <c r="EMX106" s="769"/>
      <c r="EMY106" s="769"/>
      <c r="EMZ106" s="769"/>
      <c r="ENA106" s="769"/>
      <c r="ENB106" s="769"/>
      <c r="ENC106" s="769"/>
      <c r="END106" s="769"/>
      <c r="ENE106" s="769"/>
      <c r="ENF106" s="769"/>
      <c r="ENG106" s="769"/>
      <c r="ENH106" s="769"/>
      <c r="ENI106" s="769"/>
      <c r="ENJ106" s="769"/>
      <c r="ENK106" s="769"/>
      <c r="ENL106" s="769"/>
      <c r="ENM106" s="769"/>
      <c r="ENN106" s="769"/>
      <c r="ENO106" s="769"/>
      <c r="ENP106" s="769"/>
      <c r="ENQ106" s="769"/>
      <c r="ENR106" s="769"/>
      <c r="ENS106" s="769"/>
      <c r="ENT106" s="769"/>
      <c r="ENU106" s="769"/>
      <c r="ENV106" s="769"/>
      <c r="ENW106" s="769"/>
      <c r="ENX106" s="769"/>
      <c r="ENY106" s="769"/>
      <c r="ENZ106" s="769"/>
      <c r="EOA106" s="769"/>
      <c r="EOB106" s="769"/>
      <c r="EOC106" s="769"/>
      <c r="EOD106" s="769"/>
      <c r="EOE106" s="769"/>
      <c r="EOF106" s="769"/>
      <c r="EOG106" s="769"/>
      <c r="EOH106" s="769"/>
      <c r="EOI106" s="769"/>
      <c r="EOJ106" s="769"/>
      <c r="EOK106" s="769"/>
      <c r="EOL106" s="769"/>
      <c r="EOM106" s="769"/>
      <c r="EON106" s="769"/>
      <c r="EOO106" s="769"/>
      <c r="EOP106" s="769"/>
      <c r="EOQ106" s="769"/>
      <c r="EOR106" s="769"/>
      <c r="EOS106" s="769"/>
      <c r="EOT106" s="769"/>
      <c r="EOU106" s="769"/>
      <c r="EOV106" s="769"/>
      <c r="EOW106" s="769"/>
      <c r="EOX106" s="769"/>
      <c r="EOY106" s="769"/>
      <c r="EOZ106" s="769"/>
      <c r="EPA106" s="769"/>
      <c r="EPB106" s="769"/>
      <c r="EPC106" s="769"/>
      <c r="EPD106" s="769"/>
      <c r="EPE106" s="769"/>
      <c r="EPF106" s="769"/>
      <c r="EPG106" s="769"/>
      <c r="EPH106" s="769"/>
      <c r="EPI106" s="769"/>
      <c r="EPJ106" s="769"/>
      <c r="EPK106" s="769"/>
      <c r="EPL106" s="769"/>
      <c r="EPM106" s="769"/>
      <c r="EPN106" s="769"/>
      <c r="EPO106" s="769"/>
      <c r="EPP106" s="769"/>
      <c r="EPQ106" s="769"/>
      <c r="EPR106" s="769"/>
      <c r="EPS106" s="769"/>
      <c r="EPT106" s="769"/>
      <c r="EPU106" s="769"/>
      <c r="EPV106" s="769"/>
      <c r="EPW106" s="769"/>
      <c r="EPX106" s="769"/>
      <c r="EPY106" s="769"/>
      <c r="EPZ106" s="769"/>
      <c r="EQA106" s="769"/>
      <c r="EQB106" s="769"/>
      <c r="EQC106" s="769"/>
      <c r="EQD106" s="769"/>
      <c r="EQE106" s="769"/>
      <c r="EQF106" s="769"/>
      <c r="EQG106" s="769"/>
      <c r="EQH106" s="769"/>
      <c r="EQI106" s="769"/>
      <c r="EQJ106" s="769"/>
      <c r="EQK106" s="769"/>
      <c r="EQL106" s="769"/>
      <c r="EQM106" s="769"/>
      <c r="EQN106" s="769"/>
      <c r="EQO106" s="769"/>
      <c r="EQP106" s="769"/>
      <c r="EQQ106" s="769"/>
      <c r="EQR106" s="769"/>
      <c r="EQS106" s="769"/>
      <c r="EQT106" s="769"/>
      <c r="EQU106" s="769"/>
      <c r="EQV106" s="769"/>
      <c r="EQW106" s="769"/>
      <c r="EQX106" s="769"/>
      <c r="EQY106" s="769"/>
      <c r="EQZ106" s="769"/>
      <c r="ERA106" s="769"/>
      <c r="ERB106" s="769"/>
      <c r="ERC106" s="769"/>
      <c r="ERD106" s="769"/>
      <c r="ERE106" s="769"/>
      <c r="ERF106" s="769"/>
      <c r="ERG106" s="769"/>
      <c r="ERH106" s="769"/>
      <c r="ERI106" s="769"/>
      <c r="ERJ106" s="769"/>
      <c r="ERK106" s="769"/>
      <c r="ERL106" s="769"/>
      <c r="ERM106" s="769"/>
      <c r="ERN106" s="769"/>
      <c r="ERO106" s="769"/>
      <c r="ERP106" s="769"/>
      <c r="ERQ106" s="769"/>
      <c r="ERR106" s="769"/>
      <c r="ERS106" s="769"/>
      <c r="ERT106" s="769"/>
      <c r="ERU106" s="769"/>
      <c r="ERV106" s="769"/>
      <c r="ERW106" s="769"/>
      <c r="ERX106" s="769"/>
      <c r="ERY106" s="769"/>
      <c r="ERZ106" s="769"/>
      <c r="ESA106" s="769"/>
      <c r="ESB106" s="769"/>
      <c r="ESC106" s="769"/>
      <c r="ESD106" s="769"/>
      <c r="ESE106" s="769"/>
      <c r="ESF106" s="769"/>
      <c r="ESG106" s="769"/>
      <c r="ESH106" s="769"/>
      <c r="ESI106" s="769"/>
      <c r="ESJ106" s="769"/>
      <c r="ESK106" s="769"/>
      <c r="ESL106" s="769"/>
      <c r="ESM106" s="769"/>
      <c r="ESN106" s="769"/>
      <c r="ESO106" s="769"/>
      <c r="ESP106" s="769"/>
      <c r="ESQ106" s="769"/>
      <c r="ESR106" s="769"/>
      <c r="ESS106" s="769"/>
      <c r="EST106" s="769"/>
      <c r="ESU106" s="769"/>
      <c r="ESV106" s="769"/>
      <c r="ESW106" s="769"/>
      <c r="ESX106" s="769"/>
      <c r="ESY106" s="769"/>
      <c r="ESZ106" s="769"/>
      <c r="ETA106" s="769"/>
      <c r="ETB106" s="769"/>
      <c r="ETC106" s="769"/>
      <c r="ETD106" s="769"/>
      <c r="ETE106" s="769"/>
      <c r="ETF106" s="769"/>
      <c r="ETG106" s="769"/>
      <c r="ETH106" s="769"/>
      <c r="ETI106" s="769"/>
      <c r="ETJ106" s="769"/>
      <c r="ETK106" s="769"/>
      <c r="ETL106" s="769"/>
      <c r="ETM106" s="769"/>
      <c r="ETN106" s="769"/>
      <c r="ETO106" s="769"/>
      <c r="ETP106" s="769"/>
      <c r="ETQ106" s="769"/>
      <c r="ETR106" s="769"/>
      <c r="ETS106" s="769"/>
      <c r="ETT106" s="769"/>
      <c r="ETU106" s="769"/>
      <c r="ETV106" s="769"/>
      <c r="ETW106" s="769"/>
      <c r="ETX106" s="769"/>
      <c r="ETY106" s="769"/>
      <c r="ETZ106" s="769"/>
      <c r="EUA106" s="769"/>
      <c r="EUB106" s="769"/>
      <c r="EUC106" s="769"/>
      <c r="EUD106" s="769"/>
      <c r="EUE106" s="769"/>
      <c r="EUF106" s="769"/>
      <c r="EUG106" s="769"/>
      <c r="EUH106" s="769"/>
      <c r="EUI106" s="769"/>
      <c r="EUJ106" s="769"/>
      <c r="EUK106" s="769"/>
      <c r="EUL106" s="769"/>
      <c r="EUM106" s="769"/>
      <c r="EUN106" s="769"/>
      <c r="EUO106" s="769"/>
      <c r="EUP106" s="769"/>
      <c r="EUQ106" s="769"/>
      <c r="EUR106" s="769"/>
      <c r="EUS106" s="769"/>
      <c r="EUT106" s="769"/>
      <c r="EUU106" s="769"/>
      <c r="EUV106" s="769"/>
      <c r="EUW106" s="769"/>
      <c r="EUX106" s="769"/>
      <c r="EUY106" s="769"/>
      <c r="EUZ106" s="769"/>
      <c r="EVA106" s="769"/>
      <c r="EVB106" s="769"/>
      <c r="EVC106" s="769"/>
      <c r="EVD106" s="769"/>
      <c r="EVE106" s="769"/>
      <c r="EVF106" s="769"/>
      <c r="EVG106" s="769"/>
      <c r="EVH106" s="769"/>
      <c r="EVI106" s="769"/>
      <c r="EVJ106" s="769"/>
      <c r="EVK106" s="769"/>
      <c r="EVL106" s="769"/>
      <c r="EVM106" s="769"/>
      <c r="EVN106" s="769"/>
      <c r="EVO106" s="769"/>
      <c r="EVP106" s="769"/>
      <c r="EVQ106" s="769"/>
      <c r="EVR106" s="769"/>
      <c r="EVS106" s="769"/>
      <c r="EVT106" s="769"/>
      <c r="EVU106" s="769"/>
      <c r="EVV106" s="769"/>
      <c r="EVW106" s="769"/>
      <c r="EVX106" s="769"/>
      <c r="EVY106" s="769"/>
      <c r="EVZ106" s="769"/>
      <c r="EWA106" s="769"/>
      <c r="EWB106" s="769"/>
      <c r="EWC106" s="769"/>
      <c r="EWD106" s="769"/>
      <c r="EWE106" s="769"/>
      <c r="EWF106" s="769"/>
      <c r="EWG106" s="769"/>
      <c r="EWH106" s="769"/>
      <c r="EWI106" s="769"/>
      <c r="EWJ106" s="769"/>
      <c r="EWK106" s="769"/>
      <c r="EWL106" s="769"/>
      <c r="EWM106" s="769"/>
      <c r="EWN106" s="769"/>
      <c r="EWO106" s="769"/>
      <c r="EWP106" s="769"/>
      <c r="EWQ106" s="769"/>
      <c r="EWR106" s="769"/>
      <c r="EWS106" s="769"/>
      <c r="EWT106" s="769"/>
      <c r="EWU106" s="769"/>
      <c r="EWV106" s="769"/>
      <c r="EWW106" s="769"/>
      <c r="EWX106" s="769"/>
      <c r="EWY106" s="769"/>
      <c r="EWZ106" s="769"/>
      <c r="EXA106" s="769"/>
      <c r="EXB106" s="769"/>
      <c r="EXC106" s="769"/>
      <c r="EXD106" s="769"/>
      <c r="EXE106" s="769"/>
      <c r="EXF106" s="769"/>
      <c r="EXG106" s="769"/>
      <c r="EXH106" s="769"/>
      <c r="EXI106" s="769"/>
      <c r="EXJ106" s="769"/>
      <c r="EXK106" s="769"/>
      <c r="EXL106" s="769"/>
      <c r="EXM106" s="769"/>
      <c r="EXN106" s="769"/>
      <c r="EXO106" s="769"/>
      <c r="EXP106" s="769"/>
      <c r="EXQ106" s="769"/>
      <c r="EXR106" s="769"/>
      <c r="EXS106" s="769"/>
      <c r="EXT106" s="769"/>
      <c r="EXU106" s="769"/>
      <c r="EXV106" s="769"/>
      <c r="EXW106" s="769"/>
      <c r="EXX106" s="769"/>
      <c r="EXY106" s="769"/>
      <c r="EXZ106" s="769"/>
      <c r="EYA106" s="769"/>
      <c r="EYB106" s="769"/>
      <c r="EYC106" s="769"/>
      <c r="EYD106" s="769"/>
      <c r="EYE106" s="769"/>
      <c r="EYF106" s="769"/>
      <c r="EYG106" s="769"/>
      <c r="EYH106" s="769"/>
      <c r="EYI106" s="769"/>
      <c r="EYJ106" s="769"/>
      <c r="EYK106" s="769"/>
      <c r="EYL106" s="769"/>
      <c r="EYM106" s="769"/>
      <c r="EYN106" s="769"/>
      <c r="EYO106" s="769"/>
      <c r="EYP106" s="769"/>
      <c r="EYQ106" s="769"/>
      <c r="EYR106" s="769"/>
      <c r="EYS106" s="769"/>
      <c r="EYT106" s="769"/>
      <c r="EYU106" s="769"/>
      <c r="EYV106" s="769"/>
      <c r="EYW106" s="769"/>
      <c r="EYX106" s="769"/>
      <c r="EYY106" s="769"/>
      <c r="EYZ106" s="769"/>
      <c r="EZA106" s="769"/>
      <c r="EZB106" s="769"/>
      <c r="EZC106" s="769"/>
      <c r="EZD106" s="769"/>
      <c r="EZE106" s="769"/>
      <c r="EZF106" s="769"/>
      <c r="EZG106" s="769"/>
      <c r="EZH106" s="769"/>
      <c r="EZI106" s="769"/>
      <c r="EZJ106" s="769"/>
      <c r="EZK106" s="769"/>
      <c r="EZL106" s="769"/>
      <c r="EZM106" s="769"/>
      <c r="EZN106" s="769"/>
      <c r="EZO106" s="769"/>
      <c r="EZP106" s="769"/>
      <c r="EZQ106" s="769"/>
      <c r="EZR106" s="769"/>
      <c r="EZS106" s="769"/>
      <c r="EZT106" s="769"/>
      <c r="EZU106" s="769"/>
      <c r="EZV106" s="769"/>
      <c r="EZW106" s="769"/>
      <c r="EZX106" s="769"/>
      <c r="EZY106" s="769"/>
      <c r="EZZ106" s="769"/>
      <c r="FAA106" s="769"/>
      <c r="FAB106" s="769"/>
      <c r="FAC106" s="769"/>
      <c r="FAD106" s="769"/>
      <c r="FAE106" s="769"/>
      <c r="FAF106" s="769"/>
      <c r="FAG106" s="769"/>
      <c r="FAH106" s="769"/>
      <c r="FAI106" s="769"/>
      <c r="FAJ106" s="769"/>
      <c r="FAK106" s="769"/>
      <c r="FAL106" s="769"/>
      <c r="FAM106" s="769"/>
      <c r="FAN106" s="769"/>
      <c r="FAO106" s="769"/>
      <c r="FAP106" s="769"/>
      <c r="FAQ106" s="769"/>
      <c r="FAR106" s="769"/>
      <c r="FAS106" s="769"/>
      <c r="FAT106" s="769"/>
      <c r="FAU106" s="769"/>
      <c r="FAV106" s="769"/>
      <c r="FAW106" s="769"/>
      <c r="FAX106" s="769"/>
      <c r="FAY106" s="769"/>
      <c r="FAZ106" s="769"/>
      <c r="FBA106" s="769"/>
      <c r="FBB106" s="769"/>
      <c r="FBC106" s="769"/>
      <c r="FBD106" s="769"/>
      <c r="FBE106" s="769"/>
      <c r="FBF106" s="769"/>
      <c r="FBG106" s="769"/>
      <c r="FBH106" s="769"/>
      <c r="FBI106" s="769"/>
      <c r="FBJ106" s="769"/>
      <c r="FBK106" s="769"/>
      <c r="FBL106" s="769"/>
      <c r="FBM106" s="769"/>
      <c r="FBN106" s="769"/>
      <c r="FBO106" s="769"/>
      <c r="FBP106" s="769"/>
      <c r="FBQ106" s="769"/>
      <c r="FBR106" s="769"/>
      <c r="FBS106" s="769"/>
      <c r="FBT106" s="769"/>
      <c r="FBU106" s="769"/>
      <c r="FBV106" s="769"/>
      <c r="FBW106" s="769"/>
      <c r="FBX106" s="769"/>
      <c r="FBY106" s="769"/>
      <c r="FBZ106" s="769"/>
      <c r="FCA106" s="769"/>
      <c r="FCB106" s="769"/>
      <c r="FCC106" s="769"/>
      <c r="FCD106" s="769"/>
      <c r="FCE106" s="769"/>
      <c r="FCF106" s="769"/>
      <c r="FCG106" s="769"/>
      <c r="FCH106" s="769"/>
      <c r="FCI106" s="769"/>
      <c r="FCJ106" s="769"/>
      <c r="FCK106" s="769"/>
      <c r="FCL106" s="769"/>
      <c r="FCM106" s="769"/>
      <c r="FCN106" s="769"/>
      <c r="FCO106" s="769"/>
      <c r="FCP106" s="769"/>
      <c r="FCQ106" s="769"/>
      <c r="FCR106" s="769"/>
      <c r="FCS106" s="769"/>
      <c r="FCT106" s="769"/>
      <c r="FCU106" s="769"/>
      <c r="FCV106" s="769"/>
      <c r="FCW106" s="769"/>
      <c r="FCX106" s="769"/>
      <c r="FCY106" s="769"/>
      <c r="FCZ106" s="769"/>
      <c r="FDA106" s="769"/>
      <c r="FDB106" s="769"/>
      <c r="FDC106" s="769"/>
      <c r="FDD106" s="769"/>
      <c r="FDE106" s="769"/>
      <c r="FDF106" s="769"/>
      <c r="FDG106" s="769"/>
      <c r="FDH106" s="769"/>
      <c r="FDI106" s="769"/>
      <c r="FDJ106" s="769"/>
      <c r="FDK106" s="769"/>
      <c r="FDL106" s="769"/>
      <c r="FDM106" s="769"/>
      <c r="FDN106" s="769"/>
      <c r="FDO106" s="769"/>
      <c r="FDP106" s="769"/>
      <c r="FDQ106" s="769"/>
      <c r="FDR106" s="769"/>
      <c r="FDS106" s="769"/>
      <c r="FDT106" s="769"/>
      <c r="FDU106" s="769"/>
      <c r="FDV106" s="769"/>
      <c r="FDW106" s="769"/>
      <c r="FDX106" s="769"/>
      <c r="FDY106" s="769"/>
      <c r="FDZ106" s="769"/>
      <c r="FEA106" s="769"/>
      <c r="FEB106" s="769"/>
      <c r="FEC106" s="769"/>
      <c r="FED106" s="769"/>
      <c r="FEE106" s="769"/>
      <c r="FEF106" s="769"/>
      <c r="FEG106" s="769"/>
      <c r="FEH106" s="769"/>
      <c r="FEI106" s="769"/>
      <c r="FEJ106" s="769"/>
      <c r="FEK106" s="769"/>
      <c r="FEL106" s="769"/>
      <c r="FEM106" s="769"/>
      <c r="FEN106" s="769"/>
      <c r="FEO106" s="769"/>
      <c r="FEP106" s="769"/>
      <c r="FEQ106" s="769"/>
      <c r="FER106" s="769"/>
      <c r="FES106" s="769"/>
      <c r="FET106" s="769"/>
      <c r="FEU106" s="769"/>
      <c r="FEV106" s="769"/>
      <c r="FEW106" s="769"/>
      <c r="FEX106" s="769"/>
      <c r="FEY106" s="769"/>
      <c r="FEZ106" s="769"/>
      <c r="FFA106" s="769"/>
      <c r="FFB106" s="769"/>
      <c r="FFC106" s="769"/>
      <c r="FFD106" s="769"/>
      <c r="FFE106" s="769"/>
      <c r="FFF106" s="769"/>
      <c r="FFG106" s="769"/>
      <c r="FFH106" s="769"/>
      <c r="FFI106" s="769"/>
      <c r="FFJ106" s="769"/>
      <c r="FFK106" s="769"/>
      <c r="FFL106" s="769"/>
      <c r="FFM106" s="769"/>
      <c r="FFN106" s="769"/>
      <c r="FFO106" s="769"/>
      <c r="FFP106" s="769"/>
      <c r="FFQ106" s="769"/>
      <c r="FFR106" s="769"/>
      <c r="FFS106" s="769"/>
      <c r="FFT106" s="769"/>
      <c r="FFU106" s="769"/>
      <c r="FFV106" s="769"/>
      <c r="FFW106" s="769"/>
      <c r="FFX106" s="769"/>
      <c r="FFY106" s="769"/>
      <c r="FFZ106" s="769"/>
      <c r="FGA106" s="769"/>
      <c r="FGB106" s="769"/>
      <c r="FGC106" s="769"/>
      <c r="FGD106" s="769"/>
      <c r="FGE106" s="769"/>
      <c r="FGF106" s="769"/>
      <c r="FGG106" s="769"/>
      <c r="FGH106" s="769"/>
      <c r="FGI106" s="769"/>
      <c r="FGJ106" s="769"/>
      <c r="FGK106" s="769"/>
      <c r="FGL106" s="769"/>
      <c r="FGM106" s="769"/>
      <c r="FGN106" s="769"/>
      <c r="FGO106" s="769"/>
      <c r="FGP106" s="769"/>
      <c r="FGQ106" s="769"/>
      <c r="FGR106" s="769"/>
      <c r="FGS106" s="769"/>
      <c r="FGT106" s="769"/>
      <c r="FGU106" s="769"/>
      <c r="FGV106" s="769"/>
      <c r="FGW106" s="769"/>
      <c r="FGX106" s="769"/>
      <c r="FGY106" s="769"/>
      <c r="FGZ106" s="769"/>
      <c r="FHA106" s="769"/>
      <c r="FHB106" s="769"/>
      <c r="FHC106" s="769"/>
      <c r="FHD106" s="769"/>
      <c r="FHE106" s="769"/>
      <c r="FHF106" s="769"/>
      <c r="FHG106" s="769"/>
      <c r="FHH106" s="769"/>
      <c r="FHI106" s="769"/>
      <c r="FHJ106" s="769"/>
      <c r="FHK106" s="769"/>
      <c r="FHL106" s="769"/>
      <c r="FHM106" s="769"/>
      <c r="FHN106" s="769"/>
      <c r="FHO106" s="769"/>
      <c r="FHP106" s="769"/>
      <c r="FHQ106" s="769"/>
      <c r="FHR106" s="769"/>
      <c r="FHS106" s="769"/>
      <c r="FHT106" s="769"/>
      <c r="FHU106" s="769"/>
      <c r="FHV106" s="769"/>
      <c r="FHW106" s="769"/>
      <c r="FHX106" s="769"/>
      <c r="FHY106" s="769"/>
      <c r="FHZ106" s="769"/>
      <c r="FIA106" s="769"/>
      <c r="FIB106" s="769"/>
      <c r="FIC106" s="769"/>
      <c r="FID106" s="769"/>
      <c r="FIE106" s="769"/>
      <c r="FIF106" s="769"/>
      <c r="FIG106" s="769"/>
      <c r="FIH106" s="769"/>
      <c r="FII106" s="769"/>
      <c r="FIJ106" s="769"/>
      <c r="FIK106" s="769"/>
      <c r="FIL106" s="769"/>
      <c r="FIM106" s="769"/>
      <c r="FIN106" s="769"/>
      <c r="FIO106" s="769"/>
      <c r="FIP106" s="769"/>
      <c r="FIQ106" s="769"/>
      <c r="FIR106" s="769"/>
      <c r="FIS106" s="769"/>
      <c r="FIT106" s="769"/>
      <c r="FIU106" s="769"/>
      <c r="FIV106" s="769"/>
      <c r="FIW106" s="769"/>
      <c r="FIX106" s="769"/>
      <c r="FIY106" s="769"/>
      <c r="FIZ106" s="769"/>
      <c r="FJA106" s="769"/>
      <c r="FJB106" s="769"/>
      <c r="FJC106" s="769"/>
      <c r="FJD106" s="769"/>
      <c r="FJE106" s="769"/>
      <c r="FJF106" s="769"/>
      <c r="FJG106" s="769"/>
      <c r="FJH106" s="769"/>
      <c r="FJI106" s="769"/>
      <c r="FJJ106" s="769"/>
      <c r="FJK106" s="769"/>
      <c r="FJL106" s="769"/>
      <c r="FJM106" s="769"/>
      <c r="FJN106" s="769"/>
      <c r="FJO106" s="769"/>
      <c r="FJP106" s="769"/>
      <c r="FJQ106" s="769"/>
      <c r="FJR106" s="769"/>
      <c r="FJS106" s="769"/>
      <c r="FJT106" s="769"/>
      <c r="FJU106" s="769"/>
      <c r="FJV106" s="769"/>
      <c r="FJW106" s="769"/>
      <c r="FJX106" s="769"/>
      <c r="FJY106" s="769"/>
      <c r="FJZ106" s="769"/>
      <c r="FKA106" s="769"/>
      <c r="FKB106" s="769"/>
      <c r="FKC106" s="769"/>
      <c r="FKD106" s="769"/>
      <c r="FKE106" s="769"/>
      <c r="FKF106" s="769"/>
      <c r="FKG106" s="769"/>
      <c r="FKH106" s="769"/>
      <c r="FKI106" s="769"/>
      <c r="FKJ106" s="769"/>
      <c r="FKK106" s="769"/>
      <c r="FKL106" s="769"/>
      <c r="FKM106" s="769"/>
      <c r="FKN106" s="769"/>
      <c r="FKO106" s="769"/>
      <c r="FKP106" s="769"/>
      <c r="FKQ106" s="769"/>
      <c r="FKR106" s="769"/>
      <c r="FKS106" s="769"/>
      <c r="FKT106" s="769"/>
      <c r="FKU106" s="769"/>
      <c r="FKV106" s="769"/>
      <c r="FKW106" s="769"/>
      <c r="FKX106" s="769"/>
      <c r="FKY106" s="769"/>
      <c r="FKZ106" s="769"/>
      <c r="FLA106" s="769"/>
      <c r="FLB106" s="769"/>
      <c r="FLC106" s="769"/>
      <c r="FLD106" s="769"/>
      <c r="FLE106" s="769"/>
      <c r="FLF106" s="769"/>
      <c r="FLG106" s="769"/>
      <c r="FLH106" s="769"/>
      <c r="FLI106" s="769"/>
      <c r="FLJ106" s="769"/>
      <c r="FLK106" s="769"/>
      <c r="FLL106" s="769"/>
      <c r="FLM106" s="769"/>
      <c r="FLN106" s="769"/>
      <c r="FLO106" s="769"/>
      <c r="FLP106" s="769"/>
      <c r="FLQ106" s="769"/>
      <c r="FLR106" s="769"/>
      <c r="FLS106" s="769"/>
      <c r="FLT106" s="769"/>
      <c r="FLU106" s="769"/>
      <c r="FLV106" s="769"/>
      <c r="FLW106" s="769"/>
      <c r="FLX106" s="769"/>
      <c r="FLY106" s="769"/>
      <c r="FLZ106" s="769"/>
      <c r="FMA106" s="769"/>
      <c r="FMB106" s="769"/>
      <c r="FMC106" s="769"/>
      <c r="FMD106" s="769"/>
      <c r="FME106" s="769"/>
      <c r="FMF106" s="769"/>
      <c r="FMG106" s="769"/>
      <c r="FMH106" s="769"/>
      <c r="FMI106" s="769"/>
      <c r="FMJ106" s="769"/>
      <c r="FMK106" s="769"/>
      <c r="FML106" s="769"/>
      <c r="FMM106" s="769"/>
      <c r="FMN106" s="769"/>
      <c r="FMO106" s="769"/>
      <c r="FMP106" s="769"/>
      <c r="FMQ106" s="769"/>
      <c r="FMR106" s="769"/>
      <c r="FMS106" s="769"/>
      <c r="FMT106" s="769"/>
      <c r="FMU106" s="769"/>
      <c r="FMV106" s="769"/>
      <c r="FMW106" s="769"/>
      <c r="FMX106" s="769"/>
      <c r="FMY106" s="769"/>
      <c r="FMZ106" s="769"/>
      <c r="FNA106" s="769"/>
      <c r="FNB106" s="769"/>
      <c r="FNC106" s="769"/>
      <c r="FND106" s="769"/>
      <c r="FNE106" s="769"/>
      <c r="FNF106" s="769"/>
      <c r="FNG106" s="769"/>
      <c r="FNH106" s="769"/>
      <c r="FNI106" s="769"/>
      <c r="FNJ106" s="769"/>
      <c r="FNK106" s="769"/>
      <c r="FNL106" s="769"/>
      <c r="FNM106" s="769"/>
      <c r="FNN106" s="769"/>
      <c r="FNO106" s="769"/>
      <c r="FNP106" s="769"/>
      <c r="FNQ106" s="769"/>
      <c r="FNR106" s="769"/>
      <c r="FNS106" s="769"/>
      <c r="FNT106" s="769"/>
      <c r="FNU106" s="769"/>
      <c r="FNV106" s="769"/>
      <c r="FNW106" s="769"/>
      <c r="FNX106" s="769"/>
      <c r="FNY106" s="769"/>
      <c r="FNZ106" s="769"/>
      <c r="FOA106" s="769"/>
      <c r="FOB106" s="769"/>
      <c r="FOC106" s="769"/>
      <c r="FOD106" s="769"/>
      <c r="FOE106" s="769"/>
      <c r="FOF106" s="769"/>
      <c r="FOG106" s="769"/>
      <c r="FOH106" s="769"/>
      <c r="FOI106" s="769"/>
      <c r="FOJ106" s="769"/>
      <c r="FOK106" s="769"/>
      <c r="FOL106" s="769"/>
      <c r="FOM106" s="769"/>
      <c r="FON106" s="769"/>
      <c r="FOO106" s="769"/>
      <c r="FOP106" s="769"/>
      <c r="FOQ106" s="769"/>
      <c r="FOR106" s="769"/>
      <c r="FOS106" s="769"/>
      <c r="FOT106" s="769"/>
      <c r="FOU106" s="769"/>
      <c r="FOV106" s="769"/>
      <c r="FOW106" s="769"/>
      <c r="FOX106" s="769"/>
      <c r="FOY106" s="769"/>
      <c r="FOZ106" s="769"/>
      <c r="FPA106" s="769"/>
      <c r="FPB106" s="769"/>
      <c r="FPC106" s="769"/>
      <c r="FPD106" s="769"/>
      <c r="FPE106" s="769"/>
      <c r="FPF106" s="769"/>
      <c r="FPG106" s="769"/>
      <c r="FPH106" s="769"/>
      <c r="FPI106" s="769"/>
      <c r="FPJ106" s="769"/>
      <c r="FPK106" s="769"/>
      <c r="FPL106" s="769"/>
      <c r="FPM106" s="769"/>
      <c r="FPN106" s="769"/>
      <c r="FPO106" s="769"/>
      <c r="FPP106" s="769"/>
      <c r="FPQ106" s="769"/>
      <c r="FPR106" s="769"/>
      <c r="FPS106" s="769"/>
      <c r="FPT106" s="769"/>
      <c r="FPU106" s="769"/>
      <c r="FPV106" s="769"/>
      <c r="FPW106" s="769"/>
      <c r="FPX106" s="769"/>
      <c r="FPY106" s="769"/>
      <c r="FPZ106" s="769"/>
      <c r="FQA106" s="769"/>
      <c r="FQB106" s="769"/>
      <c r="FQC106" s="769"/>
      <c r="FQD106" s="769"/>
      <c r="FQE106" s="769"/>
      <c r="FQF106" s="769"/>
      <c r="FQG106" s="769"/>
      <c r="FQH106" s="769"/>
      <c r="FQI106" s="769"/>
      <c r="FQJ106" s="769"/>
      <c r="FQK106" s="769"/>
      <c r="FQL106" s="769"/>
      <c r="FQM106" s="769"/>
      <c r="FQN106" s="769"/>
      <c r="FQO106" s="769"/>
      <c r="FQP106" s="769"/>
      <c r="FQQ106" s="769"/>
      <c r="FQR106" s="769"/>
      <c r="FQS106" s="769"/>
      <c r="FQT106" s="769"/>
      <c r="FQU106" s="769"/>
      <c r="FQV106" s="769"/>
      <c r="FQW106" s="769"/>
      <c r="FQX106" s="769"/>
      <c r="FQY106" s="769"/>
      <c r="FQZ106" s="769"/>
      <c r="FRA106" s="769"/>
      <c r="FRB106" s="769"/>
      <c r="FRC106" s="769"/>
      <c r="FRD106" s="769"/>
      <c r="FRE106" s="769"/>
      <c r="FRF106" s="769"/>
      <c r="FRG106" s="769"/>
      <c r="FRH106" s="769"/>
      <c r="FRI106" s="769"/>
      <c r="FRJ106" s="769"/>
      <c r="FRK106" s="769"/>
      <c r="FRL106" s="769"/>
      <c r="FRM106" s="769"/>
      <c r="FRN106" s="769"/>
      <c r="FRO106" s="769"/>
      <c r="FRP106" s="769"/>
      <c r="FRQ106" s="769"/>
      <c r="FRR106" s="769"/>
      <c r="FRS106" s="769"/>
      <c r="FRT106" s="769"/>
      <c r="FRU106" s="769"/>
      <c r="FRV106" s="769"/>
      <c r="FRW106" s="769"/>
      <c r="FRX106" s="769"/>
      <c r="FRY106" s="769"/>
      <c r="FRZ106" s="769"/>
      <c r="FSA106" s="769"/>
      <c r="FSB106" s="769"/>
      <c r="FSC106" s="769"/>
      <c r="FSD106" s="769"/>
      <c r="FSE106" s="769"/>
      <c r="FSF106" s="769"/>
      <c r="FSG106" s="769"/>
      <c r="FSH106" s="769"/>
      <c r="FSI106" s="769"/>
      <c r="FSJ106" s="769"/>
      <c r="FSK106" s="769"/>
      <c r="FSL106" s="769"/>
      <c r="FSM106" s="769"/>
      <c r="FSN106" s="769"/>
      <c r="FSO106" s="769"/>
      <c r="FSP106" s="769"/>
      <c r="FSQ106" s="769"/>
      <c r="FSR106" s="769"/>
      <c r="FSS106" s="769"/>
      <c r="FST106" s="769"/>
      <c r="FSU106" s="769"/>
      <c r="FSV106" s="769"/>
      <c r="FSW106" s="769"/>
      <c r="FSX106" s="769"/>
      <c r="FSY106" s="769"/>
      <c r="FSZ106" s="769"/>
      <c r="FTA106" s="769"/>
      <c r="FTB106" s="769"/>
      <c r="FTC106" s="769"/>
      <c r="FTD106" s="769"/>
      <c r="FTE106" s="769"/>
      <c r="FTF106" s="769"/>
      <c r="FTG106" s="769"/>
      <c r="FTH106" s="769"/>
      <c r="FTI106" s="769"/>
      <c r="FTJ106" s="769"/>
      <c r="FTK106" s="769"/>
      <c r="FTL106" s="769"/>
      <c r="FTM106" s="769"/>
      <c r="FTN106" s="769"/>
      <c r="FTO106" s="769"/>
      <c r="FTP106" s="769"/>
      <c r="FTQ106" s="769"/>
      <c r="FTR106" s="769"/>
      <c r="FTS106" s="769"/>
      <c r="FTT106" s="769"/>
      <c r="FTU106" s="769"/>
      <c r="FTV106" s="769"/>
      <c r="FTW106" s="769"/>
      <c r="FTX106" s="769"/>
      <c r="FTY106" s="769"/>
      <c r="FTZ106" s="769"/>
      <c r="FUA106" s="769"/>
      <c r="FUB106" s="769"/>
      <c r="FUC106" s="769"/>
      <c r="FUD106" s="769"/>
      <c r="FUE106" s="769"/>
      <c r="FUF106" s="769"/>
      <c r="FUG106" s="769"/>
      <c r="FUH106" s="769"/>
      <c r="FUI106" s="769"/>
      <c r="FUJ106" s="769"/>
      <c r="FUK106" s="769"/>
      <c r="FUL106" s="769"/>
      <c r="FUM106" s="769"/>
      <c r="FUN106" s="769"/>
      <c r="FUO106" s="769"/>
      <c r="FUP106" s="769"/>
      <c r="FUQ106" s="769"/>
      <c r="FUR106" s="769"/>
      <c r="FUS106" s="769"/>
      <c r="FUT106" s="769"/>
      <c r="FUU106" s="769"/>
      <c r="FUV106" s="769"/>
      <c r="FUW106" s="769"/>
      <c r="FUX106" s="769"/>
      <c r="FUY106" s="769"/>
      <c r="FUZ106" s="769"/>
      <c r="FVA106" s="769"/>
      <c r="FVB106" s="769"/>
      <c r="FVC106" s="769"/>
      <c r="FVD106" s="769"/>
      <c r="FVE106" s="769"/>
      <c r="FVF106" s="769"/>
      <c r="FVG106" s="769"/>
      <c r="FVH106" s="769"/>
      <c r="FVI106" s="769"/>
      <c r="FVJ106" s="769"/>
      <c r="FVK106" s="769"/>
      <c r="FVL106" s="769"/>
      <c r="FVM106" s="769"/>
      <c r="FVN106" s="769"/>
      <c r="FVO106" s="769"/>
      <c r="FVP106" s="769"/>
      <c r="FVQ106" s="769"/>
      <c r="FVR106" s="769"/>
      <c r="FVS106" s="769"/>
      <c r="FVT106" s="769"/>
      <c r="FVU106" s="769"/>
      <c r="FVV106" s="769"/>
      <c r="FVW106" s="769"/>
      <c r="FVX106" s="769"/>
      <c r="FVY106" s="769"/>
      <c r="FVZ106" s="769"/>
      <c r="FWA106" s="769"/>
      <c r="FWB106" s="769"/>
      <c r="FWC106" s="769"/>
      <c r="FWD106" s="769"/>
      <c r="FWE106" s="769"/>
      <c r="FWF106" s="769"/>
      <c r="FWG106" s="769"/>
      <c r="FWH106" s="769"/>
      <c r="FWI106" s="769"/>
      <c r="FWJ106" s="769"/>
      <c r="FWK106" s="769"/>
      <c r="FWL106" s="769"/>
      <c r="FWM106" s="769"/>
      <c r="FWN106" s="769"/>
      <c r="FWO106" s="769"/>
      <c r="FWP106" s="769"/>
      <c r="FWQ106" s="769"/>
      <c r="FWR106" s="769"/>
      <c r="FWS106" s="769"/>
      <c r="FWT106" s="769"/>
      <c r="FWU106" s="769"/>
      <c r="FWV106" s="769"/>
      <c r="FWW106" s="769"/>
      <c r="FWX106" s="769"/>
      <c r="FWY106" s="769"/>
      <c r="FWZ106" s="769"/>
      <c r="FXA106" s="769"/>
      <c r="FXB106" s="769"/>
      <c r="FXC106" s="769"/>
      <c r="FXD106" s="769"/>
      <c r="FXE106" s="769"/>
      <c r="FXF106" s="769"/>
      <c r="FXG106" s="769"/>
      <c r="FXH106" s="769"/>
      <c r="FXI106" s="769"/>
      <c r="FXJ106" s="769"/>
      <c r="FXK106" s="769"/>
      <c r="FXL106" s="769"/>
      <c r="FXM106" s="769"/>
      <c r="FXN106" s="769"/>
      <c r="FXO106" s="769"/>
      <c r="FXP106" s="769"/>
      <c r="FXQ106" s="769"/>
      <c r="FXR106" s="769"/>
      <c r="FXS106" s="769"/>
      <c r="FXT106" s="769"/>
      <c r="FXU106" s="769"/>
      <c r="FXV106" s="769"/>
      <c r="FXW106" s="769"/>
      <c r="FXX106" s="769"/>
      <c r="FXY106" s="769"/>
      <c r="FXZ106" s="769"/>
      <c r="FYA106" s="769"/>
      <c r="FYB106" s="769"/>
      <c r="FYC106" s="769"/>
      <c r="FYD106" s="769"/>
      <c r="FYE106" s="769"/>
      <c r="FYF106" s="769"/>
      <c r="FYG106" s="769"/>
      <c r="FYH106" s="769"/>
      <c r="FYI106" s="769"/>
      <c r="FYJ106" s="769"/>
      <c r="FYK106" s="769"/>
      <c r="FYL106" s="769"/>
      <c r="FYM106" s="769"/>
      <c r="FYN106" s="769"/>
      <c r="FYO106" s="769"/>
      <c r="FYP106" s="769"/>
      <c r="FYQ106" s="769"/>
      <c r="FYR106" s="769"/>
      <c r="FYS106" s="769"/>
      <c r="FYT106" s="769"/>
      <c r="FYU106" s="769"/>
      <c r="FYV106" s="769"/>
      <c r="FYW106" s="769"/>
      <c r="FYX106" s="769"/>
      <c r="FYY106" s="769"/>
      <c r="FYZ106" s="769"/>
      <c r="FZA106" s="769"/>
      <c r="FZB106" s="769"/>
      <c r="FZC106" s="769"/>
      <c r="FZD106" s="769"/>
      <c r="FZE106" s="769"/>
      <c r="FZF106" s="769"/>
      <c r="FZG106" s="769"/>
      <c r="FZH106" s="769"/>
      <c r="FZI106" s="769"/>
      <c r="FZJ106" s="769"/>
      <c r="FZK106" s="769"/>
      <c r="FZL106" s="769"/>
      <c r="FZM106" s="769"/>
      <c r="FZN106" s="769"/>
      <c r="FZO106" s="769"/>
      <c r="FZP106" s="769"/>
      <c r="FZQ106" s="769"/>
      <c r="FZR106" s="769"/>
      <c r="FZS106" s="769"/>
      <c r="FZT106" s="769"/>
      <c r="FZU106" s="769"/>
      <c r="FZV106" s="769"/>
      <c r="FZW106" s="769"/>
      <c r="FZX106" s="769"/>
      <c r="FZY106" s="769"/>
      <c r="FZZ106" s="769"/>
      <c r="GAA106" s="769"/>
      <c r="GAB106" s="769"/>
      <c r="GAC106" s="769"/>
      <c r="GAD106" s="769"/>
      <c r="GAE106" s="769"/>
      <c r="GAF106" s="769"/>
      <c r="GAG106" s="769"/>
      <c r="GAH106" s="769"/>
      <c r="GAI106" s="769"/>
      <c r="GAJ106" s="769"/>
      <c r="GAK106" s="769"/>
      <c r="GAL106" s="769"/>
      <c r="GAM106" s="769"/>
      <c r="GAN106" s="769"/>
      <c r="GAO106" s="769"/>
      <c r="GAP106" s="769"/>
      <c r="GAQ106" s="769"/>
      <c r="GAR106" s="769"/>
      <c r="GAS106" s="769"/>
      <c r="GAT106" s="769"/>
      <c r="GAU106" s="769"/>
      <c r="GAV106" s="769"/>
      <c r="GAW106" s="769"/>
      <c r="GAX106" s="769"/>
      <c r="GAY106" s="769"/>
      <c r="GAZ106" s="769"/>
      <c r="GBA106" s="769"/>
      <c r="GBB106" s="769"/>
      <c r="GBC106" s="769"/>
      <c r="GBD106" s="769"/>
      <c r="GBE106" s="769"/>
      <c r="GBF106" s="769"/>
      <c r="GBG106" s="769"/>
      <c r="GBH106" s="769"/>
      <c r="GBI106" s="769"/>
      <c r="GBJ106" s="769"/>
      <c r="GBK106" s="769"/>
      <c r="GBL106" s="769"/>
      <c r="GBM106" s="769"/>
      <c r="GBN106" s="769"/>
      <c r="GBO106" s="769"/>
      <c r="GBP106" s="769"/>
      <c r="GBQ106" s="769"/>
      <c r="GBR106" s="769"/>
      <c r="GBS106" s="769"/>
      <c r="GBT106" s="769"/>
      <c r="GBU106" s="769"/>
      <c r="GBV106" s="769"/>
      <c r="GBW106" s="769"/>
      <c r="GBX106" s="769"/>
      <c r="GBY106" s="769"/>
      <c r="GBZ106" s="769"/>
      <c r="GCA106" s="769"/>
      <c r="GCB106" s="769"/>
      <c r="GCC106" s="769"/>
      <c r="GCD106" s="769"/>
      <c r="GCE106" s="769"/>
      <c r="GCF106" s="769"/>
      <c r="GCG106" s="769"/>
      <c r="GCH106" s="769"/>
      <c r="GCI106" s="769"/>
      <c r="GCJ106" s="769"/>
      <c r="GCK106" s="769"/>
      <c r="GCL106" s="769"/>
      <c r="GCM106" s="769"/>
      <c r="GCN106" s="769"/>
      <c r="GCO106" s="769"/>
      <c r="GCP106" s="769"/>
      <c r="GCQ106" s="769"/>
      <c r="GCR106" s="769"/>
      <c r="GCS106" s="769"/>
      <c r="GCT106" s="769"/>
      <c r="GCU106" s="769"/>
      <c r="GCV106" s="769"/>
      <c r="GCW106" s="769"/>
      <c r="GCX106" s="769"/>
      <c r="GCY106" s="769"/>
      <c r="GCZ106" s="769"/>
      <c r="GDA106" s="769"/>
      <c r="GDB106" s="769"/>
      <c r="GDC106" s="769"/>
      <c r="GDD106" s="769"/>
      <c r="GDE106" s="769"/>
      <c r="GDF106" s="769"/>
      <c r="GDG106" s="769"/>
      <c r="GDH106" s="769"/>
      <c r="GDI106" s="769"/>
      <c r="GDJ106" s="769"/>
      <c r="GDK106" s="769"/>
      <c r="GDL106" s="769"/>
      <c r="GDM106" s="769"/>
      <c r="GDN106" s="769"/>
      <c r="GDO106" s="769"/>
      <c r="GDP106" s="769"/>
      <c r="GDQ106" s="769"/>
      <c r="GDR106" s="769"/>
      <c r="GDS106" s="769"/>
      <c r="GDT106" s="769"/>
      <c r="GDU106" s="769"/>
      <c r="GDV106" s="769"/>
      <c r="GDW106" s="769"/>
      <c r="GDX106" s="769"/>
      <c r="GDY106" s="769"/>
      <c r="GDZ106" s="769"/>
      <c r="GEA106" s="769"/>
      <c r="GEB106" s="769"/>
      <c r="GEC106" s="769"/>
      <c r="GED106" s="769"/>
      <c r="GEE106" s="769"/>
      <c r="GEF106" s="769"/>
      <c r="GEG106" s="769"/>
      <c r="GEH106" s="769"/>
      <c r="GEI106" s="769"/>
      <c r="GEJ106" s="769"/>
      <c r="GEK106" s="769"/>
      <c r="GEL106" s="769"/>
      <c r="GEM106" s="769"/>
      <c r="GEN106" s="769"/>
      <c r="GEO106" s="769"/>
      <c r="GEP106" s="769"/>
      <c r="GEQ106" s="769"/>
      <c r="GER106" s="769"/>
      <c r="GES106" s="769"/>
      <c r="GET106" s="769"/>
      <c r="GEU106" s="769"/>
      <c r="GEV106" s="769"/>
      <c r="GEW106" s="769"/>
      <c r="GEX106" s="769"/>
      <c r="GEY106" s="769"/>
      <c r="GEZ106" s="769"/>
      <c r="GFA106" s="769"/>
      <c r="GFB106" s="769"/>
      <c r="GFC106" s="769"/>
      <c r="GFD106" s="769"/>
      <c r="GFE106" s="769"/>
      <c r="GFF106" s="769"/>
      <c r="GFG106" s="769"/>
      <c r="GFH106" s="769"/>
      <c r="GFI106" s="769"/>
      <c r="GFJ106" s="769"/>
      <c r="GFK106" s="769"/>
      <c r="GFL106" s="769"/>
      <c r="GFM106" s="769"/>
      <c r="GFN106" s="769"/>
      <c r="GFO106" s="769"/>
      <c r="GFP106" s="769"/>
      <c r="GFQ106" s="769"/>
      <c r="GFR106" s="769"/>
      <c r="GFS106" s="769"/>
      <c r="GFT106" s="769"/>
      <c r="GFU106" s="769"/>
      <c r="GFV106" s="769"/>
      <c r="GFW106" s="769"/>
      <c r="GFX106" s="769"/>
      <c r="GFY106" s="769"/>
      <c r="GFZ106" s="769"/>
      <c r="GGA106" s="769"/>
      <c r="GGB106" s="769"/>
      <c r="GGC106" s="769"/>
      <c r="GGD106" s="769"/>
      <c r="GGE106" s="769"/>
      <c r="GGF106" s="769"/>
      <c r="GGG106" s="769"/>
      <c r="GGH106" s="769"/>
      <c r="GGI106" s="769"/>
      <c r="GGJ106" s="769"/>
      <c r="GGK106" s="769"/>
      <c r="GGL106" s="769"/>
      <c r="GGM106" s="769"/>
      <c r="GGN106" s="769"/>
      <c r="GGO106" s="769"/>
      <c r="GGP106" s="769"/>
      <c r="GGQ106" s="769"/>
      <c r="GGR106" s="769"/>
      <c r="GGS106" s="769"/>
      <c r="GGT106" s="769"/>
      <c r="GGU106" s="769"/>
      <c r="GGV106" s="769"/>
      <c r="GGW106" s="769"/>
      <c r="GGX106" s="769"/>
      <c r="GGY106" s="769"/>
      <c r="GGZ106" s="769"/>
      <c r="GHA106" s="769"/>
      <c r="GHB106" s="769"/>
      <c r="GHC106" s="769"/>
      <c r="GHD106" s="769"/>
      <c r="GHE106" s="769"/>
      <c r="GHF106" s="769"/>
      <c r="GHG106" s="769"/>
      <c r="GHH106" s="769"/>
      <c r="GHI106" s="769"/>
      <c r="GHJ106" s="769"/>
      <c r="GHK106" s="769"/>
      <c r="GHL106" s="769"/>
      <c r="GHM106" s="769"/>
      <c r="GHN106" s="769"/>
      <c r="GHO106" s="769"/>
      <c r="GHP106" s="769"/>
      <c r="GHQ106" s="769"/>
      <c r="GHR106" s="769"/>
      <c r="GHS106" s="769"/>
      <c r="GHT106" s="769"/>
      <c r="GHU106" s="769"/>
      <c r="GHV106" s="769"/>
      <c r="GHW106" s="769"/>
      <c r="GHX106" s="769"/>
      <c r="GHY106" s="769"/>
      <c r="GHZ106" s="769"/>
      <c r="GIA106" s="769"/>
      <c r="GIB106" s="769"/>
      <c r="GIC106" s="769"/>
      <c r="GID106" s="769"/>
      <c r="GIE106" s="769"/>
      <c r="GIF106" s="769"/>
      <c r="GIG106" s="769"/>
      <c r="GIH106" s="769"/>
      <c r="GII106" s="769"/>
      <c r="GIJ106" s="769"/>
      <c r="GIK106" s="769"/>
      <c r="GIL106" s="769"/>
      <c r="GIM106" s="769"/>
      <c r="GIN106" s="769"/>
      <c r="GIO106" s="769"/>
      <c r="GIP106" s="769"/>
      <c r="GIQ106" s="769"/>
      <c r="GIR106" s="769"/>
      <c r="GIS106" s="769"/>
      <c r="GIT106" s="769"/>
      <c r="GIU106" s="769"/>
      <c r="GIV106" s="769"/>
      <c r="GIW106" s="769"/>
      <c r="GIX106" s="769"/>
      <c r="GIY106" s="769"/>
      <c r="GIZ106" s="769"/>
      <c r="GJA106" s="769"/>
      <c r="GJB106" s="769"/>
      <c r="GJC106" s="769"/>
      <c r="GJD106" s="769"/>
      <c r="GJE106" s="769"/>
      <c r="GJF106" s="769"/>
      <c r="GJG106" s="769"/>
      <c r="GJH106" s="769"/>
      <c r="GJI106" s="769"/>
      <c r="GJJ106" s="769"/>
      <c r="GJK106" s="769"/>
      <c r="GJL106" s="769"/>
      <c r="GJM106" s="769"/>
      <c r="GJN106" s="769"/>
      <c r="GJO106" s="769"/>
      <c r="GJP106" s="769"/>
      <c r="GJQ106" s="769"/>
      <c r="GJR106" s="769"/>
      <c r="GJS106" s="769"/>
      <c r="GJT106" s="769"/>
      <c r="GJU106" s="769"/>
      <c r="GJV106" s="769"/>
      <c r="GJW106" s="769"/>
      <c r="GJX106" s="769"/>
      <c r="GJY106" s="769"/>
      <c r="GJZ106" s="769"/>
      <c r="GKA106" s="769"/>
      <c r="GKB106" s="769"/>
      <c r="GKC106" s="769"/>
      <c r="GKD106" s="769"/>
      <c r="GKE106" s="769"/>
      <c r="GKF106" s="769"/>
      <c r="GKG106" s="769"/>
      <c r="GKH106" s="769"/>
      <c r="GKI106" s="769"/>
      <c r="GKJ106" s="769"/>
      <c r="GKK106" s="769"/>
      <c r="GKL106" s="769"/>
      <c r="GKM106" s="769"/>
      <c r="GKN106" s="769"/>
      <c r="GKO106" s="769"/>
      <c r="GKP106" s="769"/>
      <c r="GKQ106" s="769"/>
      <c r="GKR106" s="769"/>
      <c r="GKS106" s="769"/>
      <c r="GKT106" s="769"/>
      <c r="GKU106" s="769"/>
      <c r="GKV106" s="769"/>
      <c r="GKW106" s="769"/>
      <c r="GKX106" s="769"/>
      <c r="GKY106" s="769"/>
      <c r="GKZ106" s="769"/>
      <c r="GLA106" s="769"/>
      <c r="GLB106" s="769"/>
      <c r="GLC106" s="769"/>
      <c r="GLD106" s="769"/>
      <c r="GLE106" s="769"/>
      <c r="GLF106" s="769"/>
      <c r="GLG106" s="769"/>
      <c r="GLH106" s="769"/>
      <c r="GLI106" s="769"/>
      <c r="GLJ106" s="769"/>
      <c r="GLK106" s="769"/>
      <c r="GLL106" s="769"/>
      <c r="GLM106" s="769"/>
      <c r="GLN106" s="769"/>
      <c r="GLO106" s="769"/>
      <c r="GLP106" s="769"/>
      <c r="GLQ106" s="769"/>
      <c r="GLR106" s="769"/>
      <c r="GLS106" s="769"/>
      <c r="GLT106" s="769"/>
      <c r="GLU106" s="769"/>
      <c r="GLV106" s="769"/>
      <c r="GLW106" s="769"/>
      <c r="GLX106" s="769"/>
      <c r="GLY106" s="769"/>
      <c r="GLZ106" s="769"/>
      <c r="GMA106" s="769"/>
      <c r="GMB106" s="769"/>
      <c r="GMC106" s="769"/>
      <c r="GMD106" s="769"/>
      <c r="GME106" s="769"/>
      <c r="GMF106" s="769"/>
      <c r="GMG106" s="769"/>
      <c r="GMH106" s="769"/>
      <c r="GMI106" s="769"/>
      <c r="GMJ106" s="769"/>
      <c r="GMK106" s="769"/>
      <c r="GML106" s="769"/>
      <c r="GMM106" s="769"/>
      <c r="GMN106" s="769"/>
      <c r="GMO106" s="769"/>
      <c r="GMP106" s="769"/>
      <c r="GMQ106" s="769"/>
      <c r="GMR106" s="769"/>
      <c r="GMS106" s="769"/>
      <c r="GMT106" s="769"/>
      <c r="GMU106" s="769"/>
      <c r="GMV106" s="769"/>
      <c r="GMW106" s="769"/>
      <c r="GMX106" s="769"/>
      <c r="GMY106" s="769"/>
      <c r="GMZ106" s="769"/>
      <c r="GNA106" s="769"/>
      <c r="GNB106" s="769"/>
      <c r="GNC106" s="769"/>
      <c r="GND106" s="769"/>
      <c r="GNE106" s="769"/>
      <c r="GNF106" s="769"/>
      <c r="GNG106" s="769"/>
      <c r="GNH106" s="769"/>
      <c r="GNI106" s="769"/>
      <c r="GNJ106" s="769"/>
      <c r="GNK106" s="769"/>
      <c r="GNL106" s="769"/>
      <c r="GNM106" s="769"/>
      <c r="GNN106" s="769"/>
      <c r="GNO106" s="769"/>
      <c r="GNP106" s="769"/>
      <c r="GNQ106" s="769"/>
      <c r="GNR106" s="769"/>
      <c r="GNS106" s="769"/>
      <c r="GNT106" s="769"/>
      <c r="GNU106" s="769"/>
      <c r="GNV106" s="769"/>
      <c r="GNW106" s="769"/>
      <c r="GNX106" s="769"/>
      <c r="GNY106" s="769"/>
      <c r="GNZ106" s="769"/>
      <c r="GOA106" s="769"/>
      <c r="GOB106" s="769"/>
      <c r="GOC106" s="769"/>
      <c r="GOD106" s="769"/>
      <c r="GOE106" s="769"/>
      <c r="GOF106" s="769"/>
      <c r="GOG106" s="769"/>
      <c r="GOH106" s="769"/>
      <c r="GOI106" s="769"/>
      <c r="GOJ106" s="769"/>
      <c r="GOK106" s="769"/>
      <c r="GOL106" s="769"/>
      <c r="GOM106" s="769"/>
      <c r="GON106" s="769"/>
      <c r="GOO106" s="769"/>
      <c r="GOP106" s="769"/>
      <c r="GOQ106" s="769"/>
      <c r="GOR106" s="769"/>
      <c r="GOS106" s="769"/>
      <c r="GOT106" s="769"/>
      <c r="GOU106" s="769"/>
      <c r="GOV106" s="769"/>
      <c r="GOW106" s="769"/>
      <c r="GOX106" s="769"/>
      <c r="GOY106" s="769"/>
      <c r="GOZ106" s="769"/>
      <c r="GPA106" s="769"/>
      <c r="GPB106" s="769"/>
      <c r="GPC106" s="769"/>
      <c r="GPD106" s="769"/>
      <c r="GPE106" s="769"/>
      <c r="GPF106" s="769"/>
      <c r="GPG106" s="769"/>
      <c r="GPH106" s="769"/>
      <c r="GPI106" s="769"/>
      <c r="GPJ106" s="769"/>
      <c r="GPK106" s="769"/>
      <c r="GPL106" s="769"/>
      <c r="GPM106" s="769"/>
      <c r="GPN106" s="769"/>
      <c r="GPO106" s="769"/>
      <c r="GPP106" s="769"/>
      <c r="GPQ106" s="769"/>
      <c r="GPR106" s="769"/>
      <c r="GPS106" s="769"/>
      <c r="GPT106" s="769"/>
      <c r="GPU106" s="769"/>
      <c r="GPV106" s="769"/>
      <c r="GPW106" s="769"/>
      <c r="GPX106" s="769"/>
      <c r="GPY106" s="769"/>
      <c r="GPZ106" s="769"/>
      <c r="GQA106" s="769"/>
      <c r="GQB106" s="769"/>
      <c r="GQC106" s="769"/>
      <c r="GQD106" s="769"/>
      <c r="GQE106" s="769"/>
      <c r="GQF106" s="769"/>
      <c r="GQG106" s="769"/>
      <c r="GQH106" s="769"/>
      <c r="GQI106" s="769"/>
      <c r="GQJ106" s="769"/>
      <c r="GQK106" s="769"/>
      <c r="GQL106" s="769"/>
      <c r="GQM106" s="769"/>
      <c r="GQN106" s="769"/>
      <c r="GQO106" s="769"/>
      <c r="GQP106" s="769"/>
      <c r="GQQ106" s="769"/>
      <c r="GQR106" s="769"/>
      <c r="GQS106" s="769"/>
      <c r="GQT106" s="769"/>
      <c r="GQU106" s="769"/>
      <c r="GQV106" s="769"/>
      <c r="GQW106" s="769"/>
      <c r="GQX106" s="769"/>
      <c r="GQY106" s="769"/>
      <c r="GQZ106" s="769"/>
      <c r="GRA106" s="769"/>
      <c r="GRB106" s="769"/>
      <c r="GRC106" s="769"/>
      <c r="GRD106" s="769"/>
      <c r="GRE106" s="769"/>
      <c r="GRF106" s="769"/>
      <c r="GRG106" s="769"/>
      <c r="GRH106" s="769"/>
      <c r="GRI106" s="769"/>
      <c r="GRJ106" s="769"/>
      <c r="GRK106" s="769"/>
      <c r="GRL106" s="769"/>
      <c r="GRM106" s="769"/>
      <c r="GRN106" s="769"/>
      <c r="GRO106" s="769"/>
      <c r="GRP106" s="769"/>
      <c r="GRQ106" s="769"/>
      <c r="GRR106" s="769"/>
      <c r="GRS106" s="769"/>
      <c r="GRT106" s="769"/>
      <c r="GRU106" s="769"/>
      <c r="GRV106" s="769"/>
      <c r="GRW106" s="769"/>
      <c r="GRX106" s="769"/>
      <c r="GRY106" s="769"/>
      <c r="GRZ106" s="769"/>
      <c r="GSA106" s="769"/>
      <c r="GSB106" s="769"/>
      <c r="GSC106" s="769"/>
      <c r="GSD106" s="769"/>
      <c r="GSE106" s="769"/>
      <c r="GSF106" s="769"/>
      <c r="GSG106" s="769"/>
      <c r="GSH106" s="769"/>
      <c r="GSI106" s="769"/>
      <c r="GSJ106" s="769"/>
      <c r="GSK106" s="769"/>
      <c r="GSL106" s="769"/>
      <c r="GSM106" s="769"/>
      <c r="GSN106" s="769"/>
      <c r="GSO106" s="769"/>
      <c r="GSP106" s="769"/>
      <c r="GSQ106" s="769"/>
      <c r="GSR106" s="769"/>
      <c r="GSS106" s="769"/>
      <c r="GST106" s="769"/>
      <c r="GSU106" s="769"/>
      <c r="GSV106" s="769"/>
      <c r="GSW106" s="769"/>
      <c r="GSX106" s="769"/>
      <c r="GSY106" s="769"/>
      <c r="GSZ106" s="769"/>
      <c r="GTA106" s="769"/>
      <c r="GTB106" s="769"/>
      <c r="GTC106" s="769"/>
      <c r="GTD106" s="769"/>
      <c r="GTE106" s="769"/>
      <c r="GTF106" s="769"/>
      <c r="GTG106" s="769"/>
      <c r="GTH106" s="769"/>
      <c r="GTI106" s="769"/>
      <c r="GTJ106" s="769"/>
      <c r="GTK106" s="769"/>
      <c r="GTL106" s="769"/>
      <c r="GTM106" s="769"/>
      <c r="GTN106" s="769"/>
      <c r="GTO106" s="769"/>
      <c r="GTP106" s="769"/>
      <c r="GTQ106" s="769"/>
      <c r="GTR106" s="769"/>
      <c r="GTS106" s="769"/>
      <c r="GTT106" s="769"/>
      <c r="GTU106" s="769"/>
      <c r="GTV106" s="769"/>
      <c r="GTW106" s="769"/>
      <c r="GTX106" s="769"/>
      <c r="GTY106" s="769"/>
      <c r="GTZ106" s="769"/>
      <c r="GUA106" s="769"/>
      <c r="GUB106" s="769"/>
      <c r="GUC106" s="769"/>
      <c r="GUD106" s="769"/>
      <c r="GUE106" s="769"/>
      <c r="GUF106" s="769"/>
      <c r="GUG106" s="769"/>
      <c r="GUH106" s="769"/>
      <c r="GUI106" s="769"/>
      <c r="GUJ106" s="769"/>
      <c r="GUK106" s="769"/>
      <c r="GUL106" s="769"/>
      <c r="GUM106" s="769"/>
      <c r="GUN106" s="769"/>
      <c r="GUO106" s="769"/>
      <c r="GUP106" s="769"/>
      <c r="GUQ106" s="769"/>
      <c r="GUR106" s="769"/>
      <c r="GUS106" s="769"/>
      <c r="GUT106" s="769"/>
      <c r="GUU106" s="769"/>
      <c r="GUV106" s="769"/>
      <c r="GUW106" s="769"/>
      <c r="GUX106" s="769"/>
      <c r="GUY106" s="769"/>
      <c r="GUZ106" s="769"/>
      <c r="GVA106" s="769"/>
      <c r="GVB106" s="769"/>
      <c r="GVC106" s="769"/>
      <c r="GVD106" s="769"/>
      <c r="GVE106" s="769"/>
      <c r="GVF106" s="769"/>
      <c r="GVG106" s="769"/>
      <c r="GVH106" s="769"/>
      <c r="GVI106" s="769"/>
      <c r="GVJ106" s="769"/>
      <c r="GVK106" s="769"/>
      <c r="GVL106" s="769"/>
      <c r="GVM106" s="769"/>
      <c r="GVN106" s="769"/>
      <c r="GVO106" s="769"/>
      <c r="GVP106" s="769"/>
      <c r="GVQ106" s="769"/>
      <c r="GVR106" s="769"/>
      <c r="GVS106" s="769"/>
      <c r="GVT106" s="769"/>
      <c r="GVU106" s="769"/>
      <c r="GVV106" s="769"/>
      <c r="GVW106" s="769"/>
      <c r="GVX106" s="769"/>
      <c r="GVY106" s="769"/>
      <c r="GVZ106" s="769"/>
      <c r="GWA106" s="769"/>
      <c r="GWB106" s="769"/>
      <c r="GWC106" s="769"/>
      <c r="GWD106" s="769"/>
      <c r="GWE106" s="769"/>
      <c r="GWF106" s="769"/>
      <c r="GWG106" s="769"/>
      <c r="GWH106" s="769"/>
      <c r="GWI106" s="769"/>
      <c r="GWJ106" s="769"/>
      <c r="GWK106" s="769"/>
      <c r="GWL106" s="769"/>
      <c r="GWM106" s="769"/>
      <c r="GWN106" s="769"/>
      <c r="GWO106" s="769"/>
      <c r="GWP106" s="769"/>
      <c r="GWQ106" s="769"/>
      <c r="GWR106" s="769"/>
      <c r="GWS106" s="769"/>
      <c r="GWT106" s="769"/>
      <c r="GWU106" s="769"/>
      <c r="GWV106" s="769"/>
      <c r="GWW106" s="769"/>
      <c r="GWX106" s="769"/>
      <c r="GWY106" s="769"/>
      <c r="GWZ106" s="769"/>
      <c r="GXA106" s="769"/>
      <c r="GXB106" s="769"/>
      <c r="GXC106" s="769"/>
      <c r="GXD106" s="769"/>
      <c r="GXE106" s="769"/>
      <c r="GXF106" s="769"/>
      <c r="GXG106" s="769"/>
      <c r="GXH106" s="769"/>
      <c r="GXI106" s="769"/>
      <c r="GXJ106" s="769"/>
      <c r="GXK106" s="769"/>
      <c r="GXL106" s="769"/>
      <c r="GXM106" s="769"/>
      <c r="GXN106" s="769"/>
      <c r="GXO106" s="769"/>
      <c r="GXP106" s="769"/>
      <c r="GXQ106" s="769"/>
      <c r="GXR106" s="769"/>
      <c r="GXS106" s="769"/>
      <c r="GXT106" s="769"/>
      <c r="GXU106" s="769"/>
      <c r="GXV106" s="769"/>
      <c r="GXW106" s="769"/>
      <c r="GXX106" s="769"/>
      <c r="GXY106" s="769"/>
      <c r="GXZ106" s="769"/>
      <c r="GYA106" s="769"/>
      <c r="GYB106" s="769"/>
      <c r="GYC106" s="769"/>
      <c r="GYD106" s="769"/>
      <c r="GYE106" s="769"/>
      <c r="GYF106" s="769"/>
      <c r="GYG106" s="769"/>
      <c r="GYH106" s="769"/>
      <c r="GYI106" s="769"/>
      <c r="GYJ106" s="769"/>
      <c r="GYK106" s="769"/>
      <c r="GYL106" s="769"/>
      <c r="GYM106" s="769"/>
      <c r="GYN106" s="769"/>
      <c r="GYO106" s="769"/>
      <c r="GYP106" s="769"/>
      <c r="GYQ106" s="769"/>
      <c r="GYR106" s="769"/>
      <c r="GYS106" s="769"/>
      <c r="GYT106" s="769"/>
      <c r="GYU106" s="769"/>
      <c r="GYV106" s="769"/>
      <c r="GYW106" s="769"/>
      <c r="GYX106" s="769"/>
      <c r="GYY106" s="769"/>
      <c r="GYZ106" s="769"/>
      <c r="GZA106" s="769"/>
      <c r="GZB106" s="769"/>
      <c r="GZC106" s="769"/>
      <c r="GZD106" s="769"/>
      <c r="GZE106" s="769"/>
      <c r="GZF106" s="769"/>
      <c r="GZG106" s="769"/>
      <c r="GZH106" s="769"/>
      <c r="GZI106" s="769"/>
      <c r="GZJ106" s="769"/>
      <c r="GZK106" s="769"/>
      <c r="GZL106" s="769"/>
      <c r="GZM106" s="769"/>
      <c r="GZN106" s="769"/>
      <c r="GZO106" s="769"/>
      <c r="GZP106" s="769"/>
      <c r="GZQ106" s="769"/>
      <c r="GZR106" s="769"/>
      <c r="GZS106" s="769"/>
      <c r="GZT106" s="769"/>
      <c r="GZU106" s="769"/>
      <c r="GZV106" s="769"/>
      <c r="GZW106" s="769"/>
      <c r="GZX106" s="769"/>
      <c r="GZY106" s="769"/>
      <c r="GZZ106" s="769"/>
      <c r="HAA106" s="769"/>
      <c r="HAB106" s="769"/>
      <c r="HAC106" s="769"/>
      <c r="HAD106" s="769"/>
      <c r="HAE106" s="769"/>
      <c r="HAF106" s="769"/>
      <c r="HAG106" s="769"/>
      <c r="HAH106" s="769"/>
      <c r="HAI106" s="769"/>
      <c r="HAJ106" s="769"/>
      <c r="HAK106" s="769"/>
      <c r="HAL106" s="769"/>
      <c r="HAM106" s="769"/>
      <c r="HAN106" s="769"/>
      <c r="HAO106" s="769"/>
      <c r="HAP106" s="769"/>
      <c r="HAQ106" s="769"/>
      <c r="HAR106" s="769"/>
      <c r="HAS106" s="769"/>
      <c r="HAT106" s="769"/>
      <c r="HAU106" s="769"/>
      <c r="HAV106" s="769"/>
      <c r="HAW106" s="769"/>
      <c r="HAX106" s="769"/>
      <c r="HAY106" s="769"/>
      <c r="HAZ106" s="769"/>
      <c r="HBA106" s="769"/>
      <c r="HBB106" s="769"/>
      <c r="HBC106" s="769"/>
      <c r="HBD106" s="769"/>
      <c r="HBE106" s="769"/>
      <c r="HBF106" s="769"/>
      <c r="HBG106" s="769"/>
      <c r="HBH106" s="769"/>
      <c r="HBI106" s="769"/>
      <c r="HBJ106" s="769"/>
      <c r="HBK106" s="769"/>
      <c r="HBL106" s="769"/>
      <c r="HBM106" s="769"/>
      <c r="HBN106" s="769"/>
      <c r="HBO106" s="769"/>
      <c r="HBP106" s="769"/>
      <c r="HBQ106" s="769"/>
      <c r="HBR106" s="769"/>
      <c r="HBS106" s="769"/>
      <c r="HBT106" s="769"/>
      <c r="HBU106" s="769"/>
      <c r="HBV106" s="769"/>
      <c r="HBW106" s="769"/>
      <c r="HBX106" s="769"/>
      <c r="HBY106" s="769"/>
      <c r="HBZ106" s="769"/>
      <c r="HCA106" s="769"/>
      <c r="HCB106" s="769"/>
      <c r="HCC106" s="769"/>
      <c r="HCD106" s="769"/>
      <c r="HCE106" s="769"/>
      <c r="HCF106" s="769"/>
      <c r="HCG106" s="769"/>
      <c r="HCH106" s="769"/>
      <c r="HCI106" s="769"/>
      <c r="HCJ106" s="769"/>
      <c r="HCK106" s="769"/>
      <c r="HCL106" s="769"/>
      <c r="HCM106" s="769"/>
      <c r="HCN106" s="769"/>
      <c r="HCO106" s="769"/>
      <c r="HCP106" s="769"/>
      <c r="HCQ106" s="769"/>
      <c r="HCR106" s="769"/>
      <c r="HCS106" s="769"/>
      <c r="HCT106" s="769"/>
      <c r="HCU106" s="769"/>
      <c r="HCV106" s="769"/>
      <c r="HCW106" s="769"/>
      <c r="HCX106" s="769"/>
      <c r="HCY106" s="769"/>
      <c r="HCZ106" s="769"/>
      <c r="HDA106" s="769"/>
      <c r="HDB106" s="769"/>
      <c r="HDC106" s="769"/>
      <c r="HDD106" s="769"/>
      <c r="HDE106" s="769"/>
      <c r="HDF106" s="769"/>
      <c r="HDG106" s="769"/>
      <c r="HDH106" s="769"/>
      <c r="HDI106" s="769"/>
      <c r="HDJ106" s="769"/>
      <c r="HDK106" s="769"/>
      <c r="HDL106" s="769"/>
      <c r="HDM106" s="769"/>
      <c r="HDN106" s="769"/>
      <c r="HDO106" s="769"/>
      <c r="HDP106" s="769"/>
      <c r="HDQ106" s="769"/>
      <c r="HDR106" s="769"/>
      <c r="HDS106" s="769"/>
      <c r="HDT106" s="769"/>
      <c r="HDU106" s="769"/>
      <c r="HDV106" s="769"/>
      <c r="HDW106" s="769"/>
      <c r="HDX106" s="769"/>
      <c r="HDY106" s="769"/>
      <c r="HDZ106" s="769"/>
      <c r="HEA106" s="769"/>
      <c r="HEB106" s="769"/>
      <c r="HEC106" s="769"/>
      <c r="HED106" s="769"/>
      <c r="HEE106" s="769"/>
      <c r="HEF106" s="769"/>
      <c r="HEG106" s="769"/>
      <c r="HEH106" s="769"/>
      <c r="HEI106" s="769"/>
      <c r="HEJ106" s="769"/>
      <c r="HEK106" s="769"/>
      <c r="HEL106" s="769"/>
      <c r="HEM106" s="769"/>
      <c r="HEN106" s="769"/>
      <c r="HEO106" s="769"/>
      <c r="HEP106" s="769"/>
      <c r="HEQ106" s="769"/>
      <c r="HER106" s="769"/>
      <c r="HES106" s="769"/>
      <c r="HET106" s="769"/>
      <c r="HEU106" s="769"/>
      <c r="HEV106" s="769"/>
      <c r="HEW106" s="769"/>
      <c r="HEX106" s="769"/>
      <c r="HEY106" s="769"/>
      <c r="HEZ106" s="769"/>
      <c r="HFA106" s="769"/>
      <c r="HFB106" s="769"/>
      <c r="HFC106" s="769"/>
      <c r="HFD106" s="769"/>
      <c r="HFE106" s="769"/>
      <c r="HFF106" s="769"/>
      <c r="HFG106" s="769"/>
      <c r="HFH106" s="769"/>
      <c r="HFI106" s="769"/>
      <c r="HFJ106" s="769"/>
      <c r="HFK106" s="769"/>
      <c r="HFL106" s="769"/>
      <c r="HFM106" s="769"/>
      <c r="HFN106" s="769"/>
      <c r="HFO106" s="769"/>
      <c r="HFP106" s="769"/>
      <c r="HFQ106" s="769"/>
      <c r="HFR106" s="769"/>
      <c r="HFS106" s="769"/>
      <c r="HFT106" s="769"/>
      <c r="HFU106" s="769"/>
      <c r="HFV106" s="769"/>
      <c r="HFW106" s="769"/>
      <c r="HFX106" s="769"/>
      <c r="HFY106" s="769"/>
      <c r="HFZ106" s="769"/>
      <c r="HGA106" s="769"/>
      <c r="HGB106" s="769"/>
      <c r="HGC106" s="769"/>
      <c r="HGD106" s="769"/>
      <c r="HGE106" s="769"/>
      <c r="HGF106" s="769"/>
      <c r="HGG106" s="769"/>
      <c r="HGH106" s="769"/>
      <c r="HGI106" s="769"/>
      <c r="HGJ106" s="769"/>
      <c r="HGK106" s="769"/>
      <c r="HGL106" s="769"/>
      <c r="HGM106" s="769"/>
      <c r="HGN106" s="769"/>
      <c r="HGO106" s="769"/>
      <c r="HGP106" s="769"/>
      <c r="HGQ106" s="769"/>
      <c r="HGR106" s="769"/>
      <c r="HGS106" s="769"/>
      <c r="HGT106" s="769"/>
      <c r="HGU106" s="769"/>
      <c r="HGV106" s="769"/>
      <c r="HGW106" s="769"/>
      <c r="HGX106" s="769"/>
      <c r="HGY106" s="769"/>
      <c r="HGZ106" s="769"/>
      <c r="HHA106" s="769"/>
      <c r="HHB106" s="769"/>
      <c r="HHC106" s="769"/>
      <c r="HHD106" s="769"/>
      <c r="HHE106" s="769"/>
      <c r="HHF106" s="769"/>
      <c r="HHG106" s="769"/>
      <c r="HHH106" s="769"/>
      <c r="HHI106" s="769"/>
      <c r="HHJ106" s="769"/>
      <c r="HHK106" s="769"/>
      <c r="HHL106" s="769"/>
      <c r="HHM106" s="769"/>
      <c r="HHN106" s="769"/>
      <c r="HHO106" s="769"/>
      <c r="HHP106" s="769"/>
      <c r="HHQ106" s="769"/>
      <c r="HHR106" s="769"/>
      <c r="HHS106" s="769"/>
      <c r="HHT106" s="769"/>
      <c r="HHU106" s="769"/>
      <c r="HHV106" s="769"/>
      <c r="HHW106" s="769"/>
      <c r="HHX106" s="769"/>
      <c r="HHY106" s="769"/>
      <c r="HHZ106" s="769"/>
      <c r="HIA106" s="769"/>
      <c r="HIB106" s="769"/>
      <c r="HIC106" s="769"/>
      <c r="HID106" s="769"/>
      <c r="HIE106" s="769"/>
      <c r="HIF106" s="769"/>
      <c r="HIG106" s="769"/>
      <c r="HIH106" s="769"/>
      <c r="HII106" s="769"/>
      <c r="HIJ106" s="769"/>
      <c r="HIK106" s="769"/>
      <c r="HIL106" s="769"/>
      <c r="HIM106" s="769"/>
      <c r="HIN106" s="769"/>
      <c r="HIO106" s="769"/>
      <c r="HIP106" s="769"/>
      <c r="HIQ106" s="769"/>
      <c r="HIR106" s="769"/>
      <c r="HIS106" s="769"/>
      <c r="HIT106" s="769"/>
      <c r="HIU106" s="769"/>
      <c r="HIV106" s="769"/>
      <c r="HIW106" s="769"/>
      <c r="HIX106" s="769"/>
      <c r="HIY106" s="769"/>
      <c r="HIZ106" s="769"/>
      <c r="HJA106" s="769"/>
      <c r="HJB106" s="769"/>
      <c r="HJC106" s="769"/>
      <c r="HJD106" s="769"/>
      <c r="HJE106" s="769"/>
      <c r="HJF106" s="769"/>
      <c r="HJG106" s="769"/>
      <c r="HJH106" s="769"/>
      <c r="HJI106" s="769"/>
      <c r="HJJ106" s="769"/>
      <c r="HJK106" s="769"/>
      <c r="HJL106" s="769"/>
      <c r="HJM106" s="769"/>
      <c r="HJN106" s="769"/>
      <c r="HJO106" s="769"/>
      <c r="HJP106" s="769"/>
      <c r="HJQ106" s="769"/>
      <c r="HJR106" s="769"/>
      <c r="HJS106" s="769"/>
      <c r="HJT106" s="769"/>
      <c r="HJU106" s="769"/>
      <c r="HJV106" s="769"/>
      <c r="HJW106" s="769"/>
      <c r="HJX106" s="769"/>
      <c r="HJY106" s="769"/>
      <c r="HJZ106" s="769"/>
      <c r="HKA106" s="769"/>
      <c r="HKB106" s="769"/>
      <c r="HKC106" s="769"/>
      <c r="HKD106" s="769"/>
      <c r="HKE106" s="769"/>
      <c r="HKF106" s="769"/>
      <c r="HKG106" s="769"/>
      <c r="HKH106" s="769"/>
      <c r="HKI106" s="769"/>
      <c r="HKJ106" s="769"/>
      <c r="HKK106" s="769"/>
      <c r="HKL106" s="769"/>
      <c r="HKM106" s="769"/>
      <c r="HKN106" s="769"/>
      <c r="HKO106" s="769"/>
      <c r="HKP106" s="769"/>
      <c r="HKQ106" s="769"/>
      <c r="HKR106" s="769"/>
      <c r="HKS106" s="769"/>
      <c r="HKT106" s="769"/>
      <c r="HKU106" s="769"/>
      <c r="HKV106" s="769"/>
      <c r="HKW106" s="769"/>
      <c r="HKX106" s="769"/>
      <c r="HKY106" s="769"/>
      <c r="HKZ106" s="769"/>
      <c r="HLA106" s="769"/>
      <c r="HLB106" s="769"/>
      <c r="HLC106" s="769"/>
      <c r="HLD106" s="769"/>
      <c r="HLE106" s="769"/>
      <c r="HLF106" s="769"/>
      <c r="HLG106" s="769"/>
      <c r="HLH106" s="769"/>
      <c r="HLI106" s="769"/>
      <c r="HLJ106" s="769"/>
      <c r="HLK106" s="769"/>
      <c r="HLL106" s="769"/>
      <c r="HLM106" s="769"/>
      <c r="HLN106" s="769"/>
      <c r="HLO106" s="769"/>
      <c r="HLP106" s="769"/>
      <c r="HLQ106" s="769"/>
      <c r="HLR106" s="769"/>
      <c r="HLS106" s="769"/>
      <c r="HLT106" s="769"/>
      <c r="HLU106" s="769"/>
      <c r="HLV106" s="769"/>
      <c r="HLW106" s="769"/>
      <c r="HLX106" s="769"/>
      <c r="HLY106" s="769"/>
      <c r="HLZ106" s="769"/>
      <c r="HMA106" s="769"/>
      <c r="HMB106" s="769"/>
      <c r="HMC106" s="769"/>
      <c r="HMD106" s="769"/>
      <c r="HME106" s="769"/>
      <c r="HMF106" s="769"/>
      <c r="HMG106" s="769"/>
      <c r="HMH106" s="769"/>
      <c r="HMI106" s="769"/>
      <c r="HMJ106" s="769"/>
      <c r="HMK106" s="769"/>
      <c r="HML106" s="769"/>
      <c r="HMM106" s="769"/>
      <c r="HMN106" s="769"/>
      <c r="HMO106" s="769"/>
      <c r="HMP106" s="769"/>
      <c r="HMQ106" s="769"/>
      <c r="HMR106" s="769"/>
      <c r="HMS106" s="769"/>
      <c r="HMT106" s="769"/>
      <c r="HMU106" s="769"/>
      <c r="HMV106" s="769"/>
      <c r="HMW106" s="769"/>
      <c r="HMX106" s="769"/>
      <c r="HMY106" s="769"/>
      <c r="HMZ106" s="769"/>
      <c r="HNA106" s="769"/>
      <c r="HNB106" s="769"/>
      <c r="HNC106" s="769"/>
      <c r="HND106" s="769"/>
      <c r="HNE106" s="769"/>
      <c r="HNF106" s="769"/>
      <c r="HNG106" s="769"/>
      <c r="HNH106" s="769"/>
      <c r="HNI106" s="769"/>
      <c r="HNJ106" s="769"/>
      <c r="HNK106" s="769"/>
      <c r="HNL106" s="769"/>
      <c r="HNM106" s="769"/>
      <c r="HNN106" s="769"/>
      <c r="HNO106" s="769"/>
      <c r="HNP106" s="769"/>
      <c r="HNQ106" s="769"/>
      <c r="HNR106" s="769"/>
      <c r="HNS106" s="769"/>
      <c r="HNT106" s="769"/>
      <c r="HNU106" s="769"/>
      <c r="HNV106" s="769"/>
      <c r="HNW106" s="769"/>
      <c r="HNX106" s="769"/>
      <c r="HNY106" s="769"/>
      <c r="HNZ106" s="769"/>
      <c r="HOA106" s="769"/>
      <c r="HOB106" s="769"/>
      <c r="HOC106" s="769"/>
      <c r="HOD106" s="769"/>
      <c r="HOE106" s="769"/>
      <c r="HOF106" s="769"/>
      <c r="HOG106" s="769"/>
      <c r="HOH106" s="769"/>
      <c r="HOI106" s="769"/>
      <c r="HOJ106" s="769"/>
      <c r="HOK106" s="769"/>
      <c r="HOL106" s="769"/>
      <c r="HOM106" s="769"/>
      <c r="HON106" s="769"/>
      <c r="HOO106" s="769"/>
      <c r="HOP106" s="769"/>
      <c r="HOQ106" s="769"/>
      <c r="HOR106" s="769"/>
      <c r="HOS106" s="769"/>
      <c r="HOT106" s="769"/>
      <c r="HOU106" s="769"/>
      <c r="HOV106" s="769"/>
      <c r="HOW106" s="769"/>
      <c r="HOX106" s="769"/>
      <c r="HOY106" s="769"/>
      <c r="HOZ106" s="769"/>
      <c r="HPA106" s="769"/>
      <c r="HPB106" s="769"/>
      <c r="HPC106" s="769"/>
      <c r="HPD106" s="769"/>
      <c r="HPE106" s="769"/>
      <c r="HPF106" s="769"/>
      <c r="HPG106" s="769"/>
      <c r="HPH106" s="769"/>
      <c r="HPI106" s="769"/>
      <c r="HPJ106" s="769"/>
      <c r="HPK106" s="769"/>
      <c r="HPL106" s="769"/>
      <c r="HPM106" s="769"/>
      <c r="HPN106" s="769"/>
      <c r="HPO106" s="769"/>
      <c r="HPP106" s="769"/>
      <c r="HPQ106" s="769"/>
      <c r="HPR106" s="769"/>
      <c r="HPS106" s="769"/>
      <c r="HPT106" s="769"/>
      <c r="HPU106" s="769"/>
      <c r="HPV106" s="769"/>
      <c r="HPW106" s="769"/>
      <c r="HPX106" s="769"/>
      <c r="HPY106" s="769"/>
      <c r="HPZ106" s="769"/>
      <c r="HQA106" s="769"/>
      <c r="HQB106" s="769"/>
      <c r="HQC106" s="769"/>
      <c r="HQD106" s="769"/>
      <c r="HQE106" s="769"/>
      <c r="HQF106" s="769"/>
      <c r="HQG106" s="769"/>
      <c r="HQH106" s="769"/>
      <c r="HQI106" s="769"/>
      <c r="HQJ106" s="769"/>
      <c r="HQK106" s="769"/>
      <c r="HQL106" s="769"/>
      <c r="HQM106" s="769"/>
      <c r="HQN106" s="769"/>
      <c r="HQO106" s="769"/>
      <c r="HQP106" s="769"/>
      <c r="HQQ106" s="769"/>
      <c r="HQR106" s="769"/>
      <c r="HQS106" s="769"/>
      <c r="HQT106" s="769"/>
      <c r="HQU106" s="769"/>
      <c r="HQV106" s="769"/>
      <c r="HQW106" s="769"/>
      <c r="HQX106" s="769"/>
      <c r="HQY106" s="769"/>
      <c r="HQZ106" s="769"/>
      <c r="HRA106" s="769"/>
      <c r="HRB106" s="769"/>
      <c r="HRC106" s="769"/>
      <c r="HRD106" s="769"/>
      <c r="HRE106" s="769"/>
      <c r="HRF106" s="769"/>
      <c r="HRG106" s="769"/>
      <c r="HRH106" s="769"/>
      <c r="HRI106" s="769"/>
      <c r="HRJ106" s="769"/>
      <c r="HRK106" s="769"/>
      <c r="HRL106" s="769"/>
      <c r="HRM106" s="769"/>
      <c r="HRN106" s="769"/>
      <c r="HRO106" s="769"/>
      <c r="HRP106" s="769"/>
      <c r="HRQ106" s="769"/>
      <c r="HRR106" s="769"/>
      <c r="HRS106" s="769"/>
      <c r="HRT106" s="769"/>
      <c r="HRU106" s="769"/>
      <c r="HRV106" s="769"/>
      <c r="HRW106" s="769"/>
      <c r="HRX106" s="769"/>
      <c r="HRY106" s="769"/>
      <c r="HRZ106" s="769"/>
      <c r="HSA106" s="769"/>
      <c r="HSB106" s="769"/>
      <c r="HSC106" s="769"/>
      <c r="HSD106" s="769"/>
      <c r="HSE106" s="769"/>
      <c r="HSF106" s="769"/>
      <c r="HSG106" s="769"/>
      <c r="HSH106" s="769"/>
      <c r="HSI106" s="769"/>
      <c r="HSJ106" s="769"/>
      <c r="HSK106" s="769"/>
      <c r="HSL106" s="769"/>
      <c r="HSM106" s="769"/>
      <c r="HSN106" s="769"/>
      <c r="HSO106" s="769"/>
      <c r="HSP106" s="769"/>
      <c r="HSQ106" s="769"/>
      <c r="HSR106" s="769"/>
      <c r="HSS106" s="769"/>
      <c r="HST106" s="769"/>
      <c r="HSU106" s="769"/>
      <c r="HSV106" s="769"/>
      <c r="HSW106" s="769"/>
      <c r="HSX106" s="769"/>
      <c r="HSY106" s="769"/>
      <c r="HSZ106" s="769"/>
      <c r="HTA106" s="769"/>
      <c r="HTB106" s="769"/>
      <c r="HTC106" s="769"/>
      <c r="HTD106" s="769"/>
      <c r="HTE106" s="769"/>
      <c r="HTF106" s="769"/>
      <c r="HTG106" s="769"/>
      <c r="HTH106" s="769"/>
      <c r="HTI106" s="769"/>
      <c r="HTJ106" s="769"/>
      <c r="HTK106" s="769"/>
      <c r="HTL106" s="769"/>
      <c r="HTM106" s="769"/>
      <c r="HTN106" s="769"/>
      <c r="HTO106" s="769"/>
      <c r="HTP106" s="769"/>
      <c r="HTQ106" s="769"/>
      <c r="HTR106" s="769"/>
      <c r="HTS106" s="769"/>
      <c r="HTT106" s="769"/>
      <c r="HTU106" s="769"/>
      <c r="HTV106" s="769"/>
      <c r="HTW106" s="769"/>
      <c r="HTX106" s="769"/>
      <c r="HTY106" s="769"/>
      <c r="HTZ106" s="769"/>
      <c r="HUA106" s="769"/>
      <c r="HUB106" s="769"/>
      <c r="HUC106" s="769"/>
      <c r="HUD106" s="769"/>
      <c r="HUE106" s="769"/>
      <c r="HUF106" s="769"/>
      <c r="HUG106" s="769"/>
      <c r="HUH106" s="769"/>
      <c r="HUI106" s="769"/>
      <c r="HUJ106" s="769"/>
      <c r="HUK106" s="769"/>
      <c r="HUL106" s="769"/>
      <c r="HUM106" s="769"/>
      <c r="HUN106" s="769"/>
      <c r="HUO106" s="769"/>
      <c r="HUP106" s="769"/>
      <c r="HUQ106" s="769"/>
      <c r="HUR106" s="769"/>
      <c r="HUS106" s="769"/>
      <c r="HUT106" s="769"/>
      <c r="HUU106" s="769"/>
      <c r="HUV106" s="769"/>
      <c r="HUW106" s="769"/>
      <c r="HUX106" s="769"/>
      <c r="HUY106" s="769"/>
      <c r="HUZ106" s="769"/>
      <c r="HVA106" s="769"/>
      <c r="HVB106" s="769"/>
      <c r="HVC106" s="769"/>
      <c r="HVD106" s="769"/>
      <c r="HVE106" s="769"/>
      <c r="HVF106" s="769"/>
      <c r="HVG106" s="769"/>
      <c r="HVH106" s="769"/>
      <c r="HVI106" s="769"/>
      <c r="HVJ106" s="769"/>
      <c r="HVK106" s="769"/>
      <c r="HVL106" s="769"/>
      <c r="HVM106" s="769"/>
      <c r="HVN106" s="769"/>
      <c r="HVO106" s="769"/>
      <c r="HVP106" s="769"/>
      <c r="HVQ106" s="769"/>
      <c r="HVR106" s="769"/>
      <c r="HVS106" s="769"/>
      <c r="HVT106" s="769"/>
      <c r="HVU106" s="769"/>
      <c r="HVV106" s="769"/>
      <c r="HVW106" s="769"/>
      <c r="HVX106" s="769"/>
      <c r="HVY106" s="769"/>
      <c r="HVZ106" s="769"/>
      <c r="HWA106" s="769"/>
      <c r="HWB106" s="769"/>
      <c r="HWC106" s="769"/>
      <c r="HWD106" s="769"/>
      <c r="HWE106" s="769"/>
      <c r="HWF106" s="769"/>
      <c r="HWG106" s="769"/>
      <c r="HWH106" s="769"/>
      <c r="HWI106" s="769"/>
      <c r="HWJ106" s="769"/>
      <c r="HWK106" s="769"/>
      <c r="HWL106" s="769"/>
      <c r="HWM106" s="769"/>
      <c r="HWN106" s="769"/>
      <c r="HWO106" s="769"/>
      <c r="HWP106" s="769"/>
      <c r="HWQ106" s="769"/>
      <c r="HWR106" s="769"/>
      <c r="HWS106" s="769"/>
      <c r="HWT106" s="769"/>
      <c r="HWU106" s="769"/>
      <c r="HWV106" s="769"/>
      <c r="HWW106" s="769"/>
      <c r="HWX106" s="769"/>
      <c r="HWY106" s="769"/>
      <c r="HWZ106" s="769"/>
      <c r="HXA106" s="769"/>
      <c r="HXB106" s="769"/>
      <c r="HXC106" s="769"/>
      <c r="HXD106" s="769"/>
      <c r="HXE106" s="769"/>
      <c r="HXF106" s="769"/>
      <c r="HXG106" s="769"/>
      <c r="HXH106" s="769"/>
      <c r="HXI106" s="769"/>
      <c r="HXJ106" s="769"/>
      <c r="HXK106" s="769"/>
      <c r="HXL106" s="769"/>
      <c r="HXM106" s="769"/>
      <c r="HXN106" s="769"/>
      <c r="HXO106" s="769"/>
      <c r="HXP106" s="769"/>
      <c r="HXQ106" s="769"/>
      <c r="HXR106" s="769"/>
      <c r="HXS106" s="769"/>
      <c r="HXT106" s="769"/>
      <c r="HXU106" s="769"/>
      <c r="HXV106" s="769"/>
      <c r="HXW106" s="769"/>
      <c r="HXX106" s="769"/>
      <c r="HXY106" s="769"/>
      <c r="HXZ106" s="769"/>
      <c r="HYA106" s="769"/>
      <c r="HYB106" s="769"/>
      <c r="HYC106" s="769"/>
      <c r="HYD106" s="769"/>
      <c r="HYE106" s="769"/>
      <c r="HYF106" s="769"/>
      <c r="HYG106" s="769"/>
      <c r="HYH106" s="769"/>
      <c r="HYI106" s="769"/>
      <c r="HYJ106" s="769"/>
      <c r="HYK106" s="769"/>
      <c r="HYL106" s="769"/>
      <c r="HYM106" s="769"/>
      <c r="HYN106" s="769"/>
      <c r="HYO106" s="769"/>
      <c r="HYP106" s="769"/>
      <c r="HYQ106" s="769"/>
      <c r="HYR106" s="769"/>
      <c r="HYS106" s="769"/>
      <c r="HYT106" s="769"/>
      <c r="HYU106" s="769"/>
      <c r="HYV106" s="769"/>
      <c r="HYW106" s="769"/>
      <c r="HYX106" s="769"/>
      <c r="HYY106" s="769"/>
      <c r="HYZ106" s="769"/>
      <c r="HZA106" s="769"/>
      <c r="HZB106" s="769"/>
      <c r="HZC106" s="769"/>
      <c r="HZD106" s="769"/>
      <c r="HZE106" s="769"/>
      <c r="HZF106" s="769"/>
      <c r="HZG106" s="769"/>
      <c r="HZH106" s="769"/>
      <c r="HZI106" s="769"/>
      <c r="HZJ106" s="769"/>
      <c r="HZK106" s="769"/>
      <c r="HZL106" s="769"/>
      <c r="HZM106" s="769"/>
      <c r="HZN106" s="769"/>
      <c r="HZO106" s="769"/>
      <c r="HZP106" s="769"/>
      <c r="HZQ106" s="769"/>
      <c r="HZR106" s="769"/>
      <c r="HZS106" s="769"/>
      <c r="HZT106" s="769"/>
      <c r="HZU106" s="769"/>
      <c r="HZV106" s="769"/>
      <c r="HZW106" s="769"/>
      <c r="HZX106" s="769"/>
      <c r="HZY106" s="769"/>
      <c r="HZZ106" s="769"/>
      <c r="IAA106" s="769"/>
      <c r="IAB106" s="769"/>
      <c r="IAC106" s="769"/>
      <c r="IAD106" s="769"/>
      <c r="IAE106" s="769"/>
      <c r="IAF106" s="769"/>
      <c r="IAG106" s="769"/>
      <c r="IAH106" s="769"/>
      <c r="IAI106" s="769"/>
      <c r="IAJ106" s="769"/>
      <c r="IAK106" s="769"/>
      <c r="IAL106" s="769"/>
      <c r="IAM106" s="769"/>
      <c r="IAN106" s="769"/>
      <c r="IAO106" s="769"/>
      <c r="IAP106" s="769"/>
      <c r="IAQ106" s="769"/>
      <c r="IAR106" s="769"/>
      <c r="IAS106" s="769"/>
      <c r="IAT106" s="769"/>
      <c r="IAU106" s="769"/>
      <c r="IAV106" s="769"/>
      <c r="IAW106" s="769"/>
      <c r="IAX106" s="769"/>
      <c r="IAY106" s="769"/>
      <c r="IAZ106" s="769"/>
      <c r="IBA106" s="769"/>
      <c r="IBB106" s="769"/>
      <c r="IBC106" s="769"/>
      <c r="IBD106" s="769"/>
      <c r="IBE106" s="769"/>
      <c r="IBF106" s="769"/>
      <c r="IBG106" s="769"/>
      <c r="IBH106" s="769"/>
      <c r="IBI106" s="769"/>
      <c r="IBJ106" s="769"/>
      <c r="IBK106" s="769"/>
      <c r="IBL106" s="769"/>
      <c r="IBM106" s="769"/>
      <c r="IBN106" s="769"/>
      <c r="IBO106" s="769"/>
      <c r="IBP106" s="769"/>
      <c r="IBQ106" s="769"/>
      <c r="IBR106" s="769"/>
      <c r="IBS106" s="769"/>
      <c r="IBT106" s="769"/>
      <c r="IBU106" s="769"/>
      <c r="IBV106" s="769"/>
      <c r="IBW106" s="769"/>
      <c r="IBX106" s="769"/>
      <c r="IBY106" s="769"/>
      <c r="IBZ106" s="769"/>
      <c r="ICA106" s="769"/>
      <c r="ICB106" s="769"/>
      <c r="ICC106" s="769"/>
      <c r="ICD106" s="769"/>
      <c r="ICE106" s="769"/>
      <c r="ICF106" s="769"/>
      <c r="ICG106" s="769"/>
      <c r="ICH106" s="769"/>
      <c r="ICI106" s="769"/>
      <c r="ICJ106" s="769"/>
      <c r="ICK106" s="769"/>
      <c r="ICL106" s="769"/>
      <c r="ICM106" s="769"/>
      <c r="ICN106" s="769"/>
      <c r="ICO106" s="769"/>
      <c r="ICP106" s="769"/>
      <c r="ICQ106" s="769"/>
      <c r="ICR106" s="769"/>
      <c r="ICS106" s="769"/>
      <c r="ICT106" s="769"/>
      <c r="ICU106" s="769"/>
      <c r="ICV106" s="769"/>
      <c r="ICW106" s="769"/>
      <c r="ICX106" s="769"/>
      <c r="ICY106" s="769"/>
      <c r="ICZ106" s="769"/>
      <c r="IDA106" s="769"/>
      <c r="IDB106" s="769"/>
      <c r="IDC106" s="769"/>
      <c r="IDD106" s="769"/>
      <c r="IDE106" s="769"/>
      <c r="IDF106" s="769"/>
      <c r="IDG106" s="769"/>
      <c r="IDH106" s="769"/>
      <c r="IDI106" s="769"/>
      <c r="IDJ106" s="769"/>
      <c r="IDK106" s="769"/>
      <c r="IDL106" s="769"/>
      <c r="IDM106" s="769"/>
      <c r="IDN106" s="769"/>
      <c r="IDO106" s="769"/>
      <c r="IDP106" s="769"/>
      <c r="IDQ106" s="769"/>
      <c r="IDR106" s="769"/>
      <c r="IDS106" s="769"/>
      <c r="IDT106" s="769"/>
      <c r="IDU106" s="769"/>
      <c r="IDV106" s="769"/>
      <c r="IDW106" s="769"/>
      <c r="IDX106" s="769"/>
      <c r="IDY106" s="769"/>
      <c r="IDZ106" s="769"/>
      <c r="IEA106" s="769"/>
      <c r="IEB106" s="769"/>
      <c r="IEC106" s="769"/>
      <c r="IED106" s="769"/>
      <c r="IEE106" s="769"/>
      <c r="IEF106" s="769"/>
      <c r="IEG106" s="769"/>
      <c r="IEH106" s="769"/>
      <c r="IEI106" s="769"/>
      <c r="IEJ106" s="769"/>
      <c r="IEK106" s="769"/>
      <c r="IEL106" s="769"/>
      <c r="IEM106" s="769"/>
      <c r="IEN106" s="769"/>
      <c r="IEO106" s="769"/>
      <c r="IEP106" s="769"/>
      <c r="IEQ106" s="769"/>
      <c r="IER106" s="769"/>
      <c r="IES106" s="769"/>
      <c r="IET106" s="769"/>
      <c r="IEU106" s="769"/>
      <c r="IEV106" s="769"/>
      <c r="IEW106" s="769"/>
      <c r="IEX106" s="769"/>
      <c r="IEY106" s="769"/>
      <c r="IEZ106" s="769"/>
      <c r="IFA106" s="769"/>
      <c r="IFB106" s="769"/>
      <c r="IFC106" s="769"/>
      <c r="IFD106" s="769"/>
      <c r="IFE106" s="769"/>
      <c r="IFF106" s="769"/>
      <c r="IFG106" s="769"/>
      <c r="IFH106" s="769"/>
      <c r="IFI106" s="769"/>
      <c r="IFJ106" s="769"/>
      <c r="IFK106" s="769"/>
      <c r="IFL106" s="769"/>
      <c r="IFM106" s="769"/>
      <c r="IFN106" s="769"/>
      <c r="IFO106" s="769"/>
      <c r="IFP106" s="769"/>
      <c r="IFQ106" s="769"/>
      <c r="IFR106" s="769"/>
      <c r="IFS106" s="769"/>
      <c r="IFT106" s="769"/>
      <c r="IFU106" s="769"/>
      <c r="IFV106" s="769"/>
      <c r="IFW106" s="769"/>
      <c r="IFX106" s="769"/>
      <c r="IFY106" s="769"/>
      <c r="IFZ106" s="769"/>
      <c r="IGA106" s="769"/>
      <c r="IGB106" s="769"/>
      <c r="IGC106" s="769"/>
      <c r="IGD106" s="769"/>
      <c r="IGE106" s="769"/>
      <c r="IGF106" s="769"/>
      <c r="IGG106" s="769"/>
      <c r="IGH106" s="769"/>
      <c r="IGI106" s="769"/>
      <c r="IGJ106" s="769"/>
      <c r="IGK106" s="769"/>
      <c r="IGL106" s="769"/>
      <c r="IGM106" s="769"/>
      <c r="IGN106" s="769"/>
      <c r="IGO106" s="769"/>
      <c r="IGP106" s="769"/>
      <c r="IGQ106" s="769"/>
      <c r="IGR106" s="769"/>
      <c r="IGS106" s="769"/>
      <c r="IGT106" s="769"/>
      <c r="IGU106" s="769"/>
      <c r="IGV106" s="769"/>
      <c r="IGW106" s="769"/>
      <c r="IGX106" s="769"/>
      <c r="IGY106" s="769"/>
      <c r="IGZ106" s="769"/>
      <c r="IHA106" s="769"/>
      <c r="IHB106" s="769"/>
      <c r="IHC106" s="769"/>
      <c r="IHD106" s="769"/>
      <c r="IHE106" s="769"/>
      <c r="IHF106" s="769"/>
      <c r="IHG106" s="769"/>
      <c r="IHH106" s="769"/>
      <c r="IHI106" s="769"/>
      <c r="IHJ106" s="769"/>
      <c r="IHK106" s="769"/>
      <c r="IHL106" s="769"/>
      <c r="IHM106" s="769"/>
      <c r="IHN106" s="769"/>
      <c r="IHO106" s="769"/>
      <c r="IHP106" s="769"/>
      <c r="IHQ106" s="769"/>
      <c r="IHR106" s="769"/>
      <c r="IHS106" s="769"/>
      <c r="IHT106" s="769"/>
      <c r="IHU106" s="769"/>
      <c r="IHV106" s="769"/>
      <c r="IHW106" s="769"/>
      <c r="IHX106" s="769"/>
      <c r="IHY106" s="769"/>
      <c r="IHZ106" s="769"/>
      <c r="IIA106" s="769"/>
      <c r="IIB106" s="769"/>
      <c r="IIC106" s="769"/>
      <c r="IID106" s="769"/>
      <c r="IIE106" s="769"/>
      <c r="IIF106" s="769"/>
      <c r="IIG106" s="769"/>
      <c r="IIH106" s="769"/>
      <c r="III106" s="769"/>
      <c r="IIJ106" s="769"/>
      <c r="IIK106" s="769"/>
      <c r="IIL106" s="769"/>
      <c r="IIM106" s="769"/>
      <c r="IIN106" s="769"/>
      <c r="IIO106" s="769"/>
      <c r="IIP106" s="769"/>
      <c r="IIQ106" s="769"/>
      <c r="IIR106" s="769"/>
      <c r="IIS106" s="769"/>
      <c r="IIT106" s="769"/>
      <c r="IIU106" s="769"/>
      <c r="IIV106" s="769"/>
      <c r="IIW106" s="769"/>
      <c r="IIX106" s="769"/>
      <c r="IIY106" s="769"/>
      <c r="IIZ106" s="769"/>
      <c r="IJA106" s="769"/>
      <c r="IJB106" s="769"/>
      <c r="IJC106" s="769"/>
      <c r="IJD106" s="769"/>
      <c r="IJE106" s="769"/>
      <c r="IJF106" s="769"/>
      <c r="IJG106" s="769"/>
      <c r="IJH106" s="769"/>
      <c r="IJI106" s="769"/>
      <c r="IJJ106" s="769"/>
      <c r="IJK106" s="769"/>
      <c r="IJL106" s="769"/>
      <c r="IJM106" s="769"/>
      <c r="IJN106" s="769"/>
      <c r="IJO106" s="769"/>
      <c r="IJP106" s="769"/>
      <c r="IJQ106" s="769"/>
      <c r="IJR106" s="769"/>
      <c r="IJS106" s="769"/>
      <c r="IJT106" s="769"/>
      <c r="IJU106" s="769"/>
      <c r="IJV106" s="769"/>
      <c r="IJW106" s="769"/>
      <c r="IJX106" s="769"/>
      <c r="IJY106" s="769"/>
      <c r="IJZ106" s="769"/>
      <c r="IKA106" s="769"/>
      <c r="IKB106" s="769"/>
      <c r="IKC106" s="769"/>
      <c r="IKD106" s="769"/>
      <c r="IKE106" s="769"/>
      <c r="IKF106" s="769"/>
      <c r="IKG106" s="769"/>
      <c r="IKH106" s="769"/>
      <c r="IKI106" s="769"/>
      <c r="IKJ106" s="769"/>
      <c r="IKK106" s="769"/>
      <c r="IKL106" s="769"/>
      <c r="IKM106" s="769"/>
      <c r="IKN106" s="769"/>
      <c r="IKO106" s="769"/>
      <c r="IKP106" s="769"/>
      <c r="IKQ106" s="769"/>
      <c r="IKR106" s="769"/>
      <c r="IKS106" s="769"/>
      <c r="IKT106" s="769"/>
      <c r="IKU106" s="769"/>
      <c r="IKV106" s="769"/>
      <c r="IKW106" s="769"/>
      <c r="IKX106" s="769"/>
      <c r="IKY106" s="769"/>
      <c r="IKZ106" s="769"/>
      <c r="ILA106" s="769"/>
      <c r="ILB106" s="769"/>
      <c r="ILC106" s="769"/>
      <c r="ILD106" s="769"/>
      <c r="ILE106" s="769"/>
      <c r="ILF106" s="769"/>
      <c r="ILG106" s="769"/>
      <c r="ILH106" s="769"/>
      <c r="ILI106" s="769"/>
      <c r="ILJ106" s="769"/>
      <c r="ILK106" s="769"/>
      <c r="ILL106" s="769"/>
      <c r="ILM106" s="769"/>
      <c r="ILN106" s="769"/>
      <c r="ILO106" s="769"/>
      <c r="ILP106" s="769"/>
      <c r="ILQ106" s="769"/>
      <c r="ILR106" s="769"/>
      <c r="ILS106" s="769"/>
      <c r="ILT106" s="769"/>
      <c r="ILU106" s="769"/>
      <c r="ILV106" s="769"/>
      <c r="ILW106" s="769"/>
      <c r="ILX106" s="769"/>
      <c r="ILY106" s="769"/>
      <c r="ILZ106" s="769"/>
      <c r="IMA106" s="769"/>
      <c r="IMB106" s="769"/>
      <c r="IMC106" s="769"/>
      <c r="IMD106" s="769"/>
      <c r="IME106" s="769"/>
      <c r="IMF106" s="769"/>
      <c r="IMG106" s="769"/>
      <c r="IMH106" s="769"/>
      <c r="IMI106" s="769"/>
      <c r="IMJ106" s="769"/>
      <c r="IMK106" s="769"/>
      <c r="IML106" s="769"/>
      <c r="IMM106" s="769"/>
      <c r="IMN106" s="769"/>
      <c r="IMO106" s="769"/>
      <c r="IMP106" s="769"/>
      <c r="IMQ106" s="769"/>
      <c r="IMR106" s="769"/>
      <c r="IMS106" s="769"/>
      <c r="IMT106" s="769"/>
      <c r="IMU106" s="769"/>
      <c r="IMV106" s="769"/>
      <c r="IMW106" s="769"/>
      <c r="IMX106" s="769"/>
      <c r="IMY106" s="769"/>
      <c r="IMZ106" s="769"/>
      <c r="INA106" s="769"/>
      <c r="INB106" s="769"/>
      <c r="INC106" s="769"/>
      <c r="IND106" s="769"/>
      <c r="INE106" s="769"/>
      <c r="INF106" s="769"/>
      <c r="ING106" s="769"/>
      <c r="INH106" s="769"/>
      <c r="INI106" s="769"/>
      <c r="INJ106" s="769"/>
      <c r="INK106" s="769"/>
      <c r="INL106" s="769"/>
      <c r="INM106" s="769"/>
      <c r="INN106" s="769"/>
      <c r="INO106" s="769"/>
      <c r="INP106" s="769"/>
      <c r="INQ106" s="769"/>
      <c r="INR106" s="769"/>
      <c r="INS106" s="769"/>
      <c r="INT106" s="769"/>
      <c r="INU106" s="769"/>
      <c r="INV106" s="769"/>
      <c r="INW106" s="769"/>
      <c r="INX106" s="769"/>
      <c r="INY106" s="769"/>
      <c r="INZ106" s="769"/>
      <c r="IOA106" s="769"/>
      <c r="IOB106" s="769"/>
      <c r="IOC106" s="769"/>
      <c r="IOD106" s="769"/>
      <c r="IOE106" s="769"/>
      <c r="IOF106" s="769"/>
      <c r="IOG106" s="769"/>
      <c r="IOH106" s="769"/>
      <c r="IOI106" s="769"/>
      <c r="IOJ106" s="769"/>
      <c r="IOK106" s="769"/>
      <c r="IOL106" s="769"/>
      <c r="IOM106" s="769"/>
      <c r="ION106" s="769"/>
      <c r="IOO106" s="769"/>
      <c r="IOP106" s="769"/>
      <c r="IOQ106" s="769"/>
      <c r="IOR106" s="769"/>
      <c r="IOS106" s="769"/>
      <c r="IOT106" s="769"/>
      <c r="IOU106" s="769"/>
      <c r="IOV106" s="769"/>
      <c r="IOW106" s="769"/>
      <c r="IOX106" s="769"/>
      <c r="IOY106" s="769"/>
      <c r="IOZ106" s="769"/>
      <c r="IPA106" s="769"/>
      <c r="IPB106" s="769"/>
      <c r="IPC106" s="769"/>
      <c r="IPD106" s="769"/>
      <c r="IPE106" s="769"/>
      <c r="IPF106" s="769"/>
      <c r="IPG106" s="769"/>
      <c r="IPH106" s="769"/>
      <c r="IPI106" s="769"/>
      <c r="IPJ106" s="769"/>
      <c r="IPK106" s="769"/>
      <c r="IPL106" s="769"/>
      <c r="IPM106" s="769"/>
      <c r="IPN106" s="769"/>
      <c r="IPO106" s="769"/>
      <c r="IPP106" s="769"/>
      <c r="IPQ106" s="769"/>
      <c r="IPR106" s="769"/>
      <c r="IPS106" s="769"/>
      <c r="IPT106" s="769"/>
      <c r="IPU106" s="769"/>
      <c r="IPV106" s="769"/>
      <c r="IPW106" s="769"/>
      <c r="IPX106" s="769"/>
      <c r="IPY106" s="769"/>
      <c r="IPZ106" s="769"/>
      <c r="IQA106" s="769"/>
      <c r="IQB106" s="769"/>
      <c r="IQC106" s="769"/>
      <c r="IQD106" s="769"/>
      <c r="IQE106" s="769"/>
      <c r="IQF106" s="769"/>
      <c r="IQG106" s="769"/>
      <c r="IQH106" s="769"/>
      <c r="IQI106" s="769"/>
      <c r="IQJ106" s="769"/>
      <c r="IQK106" s="769"/>
      <c r="IQL106" s="769"/>
      <c r="IQM106" s="769"/>
      <c r="IQN106" s="769"/>
      <c r="IQO106" s="769"/>
      <c r="IQP106" s="769"/>
      <c r="IQQ106" s="769"/>
      <c r="IQR106" s="769"/>
      <c r="IQS106" s="769"/>
      <c r="IQT106" s="769"/>
      <c r="IQU106" s="769"/>
      <c r="IQV106" s="769"/>
      <c r="IQW106" s="769"/>
      <c r="IQX106" s="769"/>
      <c r="IQY106" s="769"/>
      <c r="IQZ106" s="769"/>
      <c r="IRA106" s="769"/>
      <c r="IRB106" s="769"/>
      <c r="IRC106" s="769"/>
      <c r="IRD106" s="769"/>
      <c r="IRE106" s="769"/>
      <c r="IRF106" s="769"/>
      <c r="IRG106" s="769"/>
      <c r="IRH106" s="769"/>
      <c r="IRI106" s="769"/>
      <c r="IRJ106" s="769"/>
      <c r="IRK106" s="769"/>
      <c r="IRL106" s="769"/>
      <c r="IRM106" s="769"/>
      <c r="IRN106" s="769"/>
      <c r="IRO106" s="769"/>
      <c r="IRP106" s="769"/>
      <c r="IRQ106" s="769"/>
      <c r="IRR106" s="769"/>
      <c r="IRS106" s="769"/>
      <c r="IRT106" s="769"/>
      <c r="IRU106" s="769"/>
      <c r="IRV106" s="769"/>
      <c r="IRW106" s="769"/>
      <c r="IRX106" s="769"/>
      <c r="IRY106" s="769"/>
      <c r="IRZ106" s="769"/>
      <c r="ISA106" s="769"/>
      <c r="ISB106" s="769"/>
      <c r="ISC106" s="769"/>
      <c r="ISD106" s="769"/>
      <c r="ISE106" s="769"/>
      <c r="ISF106" s="769"/>
      <c r="ISG106" s="769"/>
      <c r="ISH106" s="769"/>
      <c r="ISI106" s="769"/>
      <c r="ISJ106" s="769"/>
      <c r="ISK106" s="769"/>
      <c r="ISL106" s="769"/>
      <c r="ISM106" s="769"/>
      <c r="ISN106" s="769"/>
      <c r="ISO106" s="769"/>
      <c r="ISP106" s="769"/>
      <c r="ISQ106" s="769"/>
      <c r="ISR106" s="769"/>
      <c r="ISS106" s="769"/>
      <c r="IST106" s="769"/>
      <c r="ISU106" s="769"/>
      <c r="ISV106" s="769"/>
      <c r="ISW106" s="769"/>
      <c r="ISX106" s="769"/>
      <c r="ISY106" s="769"/>
      <c r="ISZ106" s="769"/>
      <c r="ITA106" s="769"/>
      <c r="ITB106" s="769"/>
      <c r="ITC106" s="769"/>
      <c r="ITD106" s="769"/>
      <c r="ITE106" s="769"/>
      <c r="ITF106" s="769"/>
      <c r="ITG106" s="769"/>
      <c r="ITH106" s="769"/>
      <c r="ITI106" s="769"/>
      <c r="ITJ106" s="769"/>
      <c r="ITK106" s="769"/>
      <c r="ITL106" s="769"/>
      <c r="ITM106" s="769"/>
      <c r="ITN106" s="769"/>
      <c r="ITO106" s="769"/>
      <c r="ITP106" s="769"/>
      <c r="ITQ106" s="769"/>
      <c r="ITR106" s="769"/>
      <c r="ITS106" s="769"/>
      <c r="ITT106" s="769"/>
      <c r="ITU106" s="769"/>
      <c r="ITV106" s="769"/>
      <c r="ITW106" s="769"/>
      <c r="ITX106" s="769"/>
      <c r="ITY106" s="769"/>
      <c r="ITZ106" s="769"/>
      <c r="IUA106" s="769"/>
      <c r="IUB106" s="769"/>
      <c r="IUC106" s="769"/>
      <c r="IUD106" s="769"/>
      <c r="IUE106" s="769"/>
      <c r="IUF106" s="769"/>
      <c r="IUG106" s="769"/>
      <c r="IUH106" s="769"/>
      <c r="IUI106" s="769"/>
      <c r="IUJ106" s="769"/>
      <c r="IUK106" s="769"/>
      <c r="IUL106" s="769"/>
      <c r="IUM106" s="769"/>
      <c r="IUN106" s="769"/>
      <c r="IUO106" s="769"/>
      <c r="IUP106" s="769"/>
      <c r="IUQ106" s="769"/>
      <c r="IUR106" s="769"/>
      <c r="IUS106" s="769"/>
      <c r="IUT106" s="769"/>
      <c r="IUU106" s="769"/>
      <c r="IUV106" s="769"/>
      <c r="IUW106" s="769"/>
      <c r="IUX106" s="769"/>
      <c r="IUY106" s="769"/>
      <c r="IUZ106" s="769"/>
      <c r="IVA106" s="769"/>
      <c r="IVB106" s="769"/>
      <c r="IVC106" s="769"/>
      <c r="IVD106" s="769"/>
      <c r="IVE106" s="769"/>
      <c r="IVF106" s="769"/>
      <c r="IVG106" s="769"/>
      <c r="IVH106" s="769"/>
      <c r="IVI106" s="769"/>
      <c r="IVJ106" s="769"/>
      <c r="IVK106" s="769"/>
      <c r="IVL106" s="769"/>
      <c r="IVM106" s="769"/>
      <c r="IVN106" s="769"/>
      <c r="IVO106" s="769"/>
      <c r="IVP106" s="769"/>
      <c r="IVQ106" s="769"/>
      <c r="IVR106" s="769"/>
      <c r="IVS106" s="769"/>
      <c r="IVT106" s="769"/>
      <c r="IVU106" s="769"/>
      <c r="IVV106" s="769"/>
      <c r="IVW106" s="769"/>
      <c r="IVX106" s="769"/>
      <c r="IVY106" s="769"/>
      <c r="IVZ106" s="769"/>
      <c r="IWA106" s="769"/>
      <c r="IWB106" s="769"/>
      <c r="IWC106" s="769"/>
      <c r="IWD106" s="769"/>
      <c r="IWE106" s="769"/>
      <c r="IWF106" s="769"/>
      <c r="IWG106" s="769"/>
      <c r="IWH106" s="769"/>
      <c r="IWI106" s="769"/>
      <c r="IWJ106" s="769"/>
      <c r="IWK106" s="769"/>
      <c r="IWL106" s="769"/>
      <c r="IWM106" s="769"/>
      <c r="IWN106" s="769"/>
      <c r="IWO106" s="769"/>
      <c r="IWP106" s="769"/>
      <c r="IWQ106" s="769"/>
      <c r="IWR106" s="769"/>
      <c r="IWS106" s="769"/>
      <c r="IWT106" s="769"/>
      <c r="IWU106" s="769"/>
      <c r="IWV106" s="769"/>
      <c r="IWW106" s="769"/>
      <c r="IWX106" s="769"/>
      <c r="IWY106" s="769"/>
      <c r="IWZ106" s="769"/>
      <c r="IXA106" s="769"/>
      <c r="IXB106" s="769"/>
      <c r="IXC106" s="769"/>
      <c r="IXD106" s="769"/>
      <c r="IXE106" s="769"/>
      <c r="IXF106" s="769"/>
      <c r="IXG106" s="769"/>
      <c r="IXH106" s="769"/>
      <c r="IXI106" s="769"/>
      <c r="IXJ106" s="769"/>
      <c r="IXK106" s="769"/>
      <c r="IXL106" s="769"/>
      <c r="IXM106" s="769"/>
      <c r="IXN106" s="769"/>
      <c r="IXO106" s="769"/>
      <c r="IXP106" s="769"/>
      <c r="IXQ106" s="769"/>
      <c r="IXR106" s="769"/>
      <c r="IXS106" s="769"/>
      <c r="IXT106" s="769"/>
      <c r="IXU106" s="769"/>
      <c r="IXV106" s="769"/>
      <c r="IXW106" s="769"/>
      <c r="IXX106" s="769"/>
      <c r="IXY106" s="769"/>
      <c r="IXZ106" s="769"/>
      <c r="IYA106" s="769"/>
      <c r="IYB106" s="769"/>
      <c r="IYC106" s="769"/>
      <c r="IYD106" s="769"/>
      <c r="IYE106" s="769"/>
      <c r="IYF106" s="769"/>
      <c r="IYG106" s="769"/>
      <c r="IYH106" s="769"/>
      <c r="IYI106" s="769"/>
      <c r="IYJ106" s="769"/>
      <c r="IYK106" s="769"/>
      <c r="IYL106" s="769"/>
      <c r="IYM106" s="769"/>
      <c r="IYN106" s="769"/>
      <c r="IYO106" s="769"/>
      <c r="IYP106" s="769"/>
      <c r="IYQ106" s="769"/>
      <c r="IYR106" s="769"/>
      <c r="IYS106" s="769"/>
      <c r="IYT106" s="769"/>
      <c r="IYU106" s="769"/>
      <c r="IYV106" s="769"/>
      <c r="IYW106" s="769"/>
      <c r="IYX106" s="769"/>
      <c r="IYY106" s="769"/>
      <c r="IYZ106" s="769"/>
      <c r="IZA106" s="769"/>
      <c r="IZB106" s="769"/>
      <c r="IZC106" s="769"/>
      <c r="IZD106" s="769"/>
      <c r="IZE106" s="769"/>
      <c r="IZF106" s="769"/>
      <c r="IZG106" s="769"/>
      <c r="IZH106" s="769"/>
      <c r="IZI106" s="769"/>
      <c r="IZJ106" s="769"/>
      <c r="IZK106" s="769"/>
      <c r="IZL106" s="769"/>
      <c r="IZM106" s="769"/>
      <c r="IZN106" s="769"/>
      <c r="IZO106" s="769"/>
      <c r="IZP106" s="769"/>
      <c r="IZQ106" s="769"/>
      <c r="IZR106" s="769"/>
      <c r="IZS106" s="769"/>
      <c r="IZT106" s="769"/>
      <c r="IZU106" s="769"/>
      <c r="IZV106" s="769"/>
      <c r="IZW106" s="769"/>
      <c r="IZX106" s="769"/>
      <c r="IZY106" s="769"/>
      <c r="IZZ106" s="769"/>
      <c r="JAA106" s="769"/>
      <c r="JAB106" s="769"/>
      <c r="JAC106" s="769"/>
      <c r="JAD106" s="769"/>
      <c r="JAE106" s="769"/>
      <c r="JAF106" s="769"/>
      <c r="JAG106" s="769"/>
      <c r="JAH106" s="769"/>
      <c r="JAI106" s="769"/>
      <c r="JAJ106" s="769"/>
      <c r="JAK106" s="769"/>
      <c r="JAL106" s="769"/>
      <c r="JAM106" s="769"/>
      <c r="JAN106" s="769"/>
      <c r="JAO106" s="769"/>
      <c r="JAP106" s="769"/>
      <c r="JAQ106" s="769"/>
      <c r="JAR106" s="769"/>
      <c r="JAS106" s="769"/>
      <c r="JAT106" s="769"/>
      <c r="JAU106" s="769"/>
      <c r="JAV106" s="769"/>
      <c r="JAW106" s="769"/>
      <c r="JAX106" s="769"/>
      <c r="JAY106" s="769"/>
      <c r="JAZ106" s="769"/>
      <c r="JBA106" s="769"/>
      <c r="JBB106" s="769"/>
      <c r="JBC106" s="769"/>
      <c r="JBD106" s="769"/>
      <c r="JBE106" s="769"/>
      <c r="JBF106" s="769"/>
      <c r="JBG106" s="769"/>
      <c r="JBH106" s="769"/>
      <c r="JBI106" s="769"/>
      <c r="JBJ106" s="769"/>
      <c r="JBK106" s="769"/>
      <c r="JBL106" s="769"/>
      <c r="JBM106" s="769"/>
      <c r="JBN106" s="769"/>
      <c r="JBO106" s="769"/>
      <c r="JBP106" s="769"/>
      <c r="JBQ106" s="769"/>
      <c r="JBR106" s="769"/>
      <c r="JBS106" s="769"/>
      <c r="JBT106" s="769"/>
      <c r="JBU106" s="769"/>
      <c r="JBV106" s="769"/>
      <c r="JBW106" s="769"/>
      <c r="JBX106" s="769"/>
      <c r="JBY106" s="769"/>
      <c r="JBZ106" s="769"/>
      <c r="JCA106" s="769"/>
      <c r="JCB106" s="769"/>
      <c r="JCC106" s="769"/>
      <c r="JCD106" s="769"/>
      <c r="JCE106" s="769"/>
      <c r="JCF106" s="769"/>
      <c r="JCG106" s="769"/>
      <c r="JCH106" s="769"/>
      <c r="JCI106" s="769"/>
      <c r="JCJ106" s="769"/>
      <c r="JCK106" s="769"/>
      <c r="JCL106" s="769"/>
      <c r="JCM106" s="769"/>
      <c r="JCN106" s="769"/>
      <c r="JCO106" s="769"/>
      <c r="JCP106" s="769"/>
      <c r="JCQ106" s="769"/>
      <c r="JCR106" s="769"/>
      <c r="JCS106" s="769"/>
      <c r="JCT106" s="769"/>
      <c r="JCU106" s="769"/>
      <c r="JCV106" s="769"/>
      <c r="JCW106" s="769"/>
      <c r="JCX106" s="769"/>
      <c r="JCY106" s="769"/>
      <c r="JCZ106" s="769"/>
      <c r="JDA106" s="769"/>
      <c r="JDB106" s="769"/>
      <c r="JDC106" s="769"/>
      <c r="JDD106" s="769"/>
      <c r="JDE106" s="769"/>
      <c r="JDF106" s="769"/>
      <c r="JDG106" s="769"/>
      <c r="JDH106" s="769"/>
      <c r="JDI106" s="769"/>
      <c r="JDJ106" s="769"/>
      <c r="JDK106" s="769"/>
      <c r="JDL106" s="769"/>
      <c r="JDM106" s="769"/>
      <c r="JDN106" s="769"/>
      <c r="JDO106" s="769"/>
      <c r="JDP106" s="769"/>
      <c r="JDQ106" s="769"/>
      <c r="JDR106" s="769"/>
      <c r="JDS106" s="769"/>
      <c r="JDT106" s="769"/>
      <c r="JDU106" s="769"/>
      <c r="JDV106" s="769"/>
      <c r="JDW106" s="769"/>
      <c r="JDX106" s="769"/>
      <c r="JDY106" s="769"/>
      <c r="JDZ106" s="769"/>
      <c r="JEA106" s="769"/>
      <c r="JEB106" s="769"/>
      <c r="JEC106" s="769"/>
      <c r="JED106" s="769"/>
      <c r="JEE106" s="769"/>
      <c r="JEF106" s="769"/>
      <c r="JEG106" s="769"/>
      <c r="JEH106" s="769"/>
      <c r="JEI106" s="769"/>
      <c r="JEJ106" s="769"/>
      <c r="JEK106" s="769"/>
      <c r="JEL106" s="769"/>
      <c r="JEM106" s="769"/>
      <c r="JEN106" s="769"/>
      <c r="JEO106" s="769"/>
      <c r="JEP106" s="769"/>
      <c r="JEQ106" s="769"/>
      <c r="JER106" s="769"/>
      <c r="JES106" s="769"/>
      <c r="JET106" s="769"/>
      <c r="JEU106" s="769"/>
      <c r="JEV106" s="769"/>
      <c r="JEW106" s="769"/>
      <c r="JEX106" s="769"/>
      <c r="JEY106" s="769"/>
      <c r="JEZ106" s="769"/>
      <c r="JFA106" s="769"/>
      <c r="JFB106" s="769"/>
      <c r="JFC106" s="769"/>
      <c r="JFD106" s="769"/>
      <c r="JFE106" s="769"/>
      <c r="JFF106" s="769"/>
      <c r="JFG106" s="769"/>
      <c r="JFH106" s="769"/>
      <c r="JFI106" s="769"/>
      <c r="JFJ106" s="769"/>
      <c r="JFK106" s="769"/>
      <c r="JFL106" s="769"/>
      <c r="JFM106" s="769"/>
      <c r="JFN106" s="769"/>
      <c r="JFO106" s="769"/>
      <c r="JFP106" s="769"/>
      <c r="JFQ106" s="769"/>
      <c r="JFR106" s="769"/>
      <c r="JFS106" s="769"/>
      <c r="JFT106" s="769"/>
      <c r="JFU106" s="769"/>
      <c r="JFV106" s="769"/>
      <c r="JFW106" s="769"/>
      <c r="JFX106" s="769"/>
      <c r="JFY106" s="769"/>
      <c r="JFZ106" s="769"/>
      <c r="JGA106" s="769"/>
      <c r="JGB106" s="769"/>
      <c r="JGC106" s="769"/>
      <c r="JGD106" s="769"/>
      <c r="JGE106" s="769"/>
      <c r="JGF106" s="769"/>
      <c r="JGG106" s="769"/>
      <c r="JGH106" s="769"/>
      <c r="JGI106" s="769"/>
      <c r="JGJ106" s="769"/>
      <c r="JGK106" s="769"/>
      <c r="JGL106" s="769"/>
      <c r="JGM106" s="769"/>
      <c r="JGN106" s="769"/>
      <c r="JGO106" s="769"/>
      <c r="JGP106" s="769"/>
      <c r="JGQ106" s="769"/>
      <c r="JGR106" s="769"/>
      <c r="JGS106" s="769"/>
      <c r="JGT106" s="769"/>
      <c r="JGU106" s="769"/>
      <c r="JGV106" s="769"/>
      <c r="JGW106" s="769"/>
      <c r="JGX106" s="769"/>
      <c r="JGY106" s="769"/>
      <c r="JGZ106" s="769"/>
      <c r="JHA106" s="769"/>
      <c r="JHB106" s="769"/>
      <c r="JHC106" s="769"/>
      <c r="JHD106" s="769"/>
      <c r="JHE106" s="769"/>
      <c r="JHF106" s="769"/>
      <c r="JHG106" s="769"/>
      <c r="JHH106" s="769"/>
      <c r="JHI106" s="769"/>
      <c r="JHJ106" s="769"/>
      <c r="JHK106" s="769"/>
      <c r="JHL106" s="769"/>
      <c r="JHM106" s="769"/>
      <c r="JHN106" s="769"/>
      <c r="JHO106" s="769"/>
      <c r="JHP106" s="769"/>
      <c r="JHQ106" s="769"/>
      <c r="JHR106" s="769"/>
      <c r="JHS106" s="769"/>
      <c r="JHT106" s="769"/>
      <c r="JHU106" s="769"/>
      <c r="JHV106" s="769"/>
      <c r="JHW106" s="769"/>
      <c r="JHX106" s="769"/>
      <c r="JHY106" s="769"/>
      <c r="JHZ106" s="769"/>
      <c r="JIA106" s="769"/>
      <c r="JIB106" s="769"/>
      <c r="JIC106" s="769"/>
      <c r="JID106" s="769"/>
      <c r="JIE106" s="769"/>
      <c r="JIF106" s="769"/>
      <c r="JIG106" s="769"/>
      <c r="JIH106" s="769"/>
      <c r="JII106" s="769"/>
      <c r="JIJ106" s="769"/>
      <c r="JIK106" s="769"/>
      <c r="JIL106" s="769"/>
      <c r="JIM106" s="769"/>
      <c r="JIN106" s="769"/>
      <c r="JIO106" s="769"/>
      <c r="JIP106" s="769"/>
      <c r="JIQ106" s="769"/>
      <c r="JIR106" s="769"/>
      <c r="JIS106" s="769"/>
      <c r="JIT106" s="769"/>
      <c r="JIU106" s="769"/>
      <c r="JIV106" s="769"/>
      <c r="JIW106" s="769"/>
      <c r="JIX106" s="769"/>
      <c r="JIY106" s="769"/>
      <c r="JIZ106" s="769"/>
      <c r="JJA106" s="769"/>
      <c r="JJB106" s="769"/>
      <c r="JJC106" s="769"/>
      <c r="JJD106" s="769"/>
      <c r="JJE106" s="769"/>
      <c r="JJF106" s="769"/>
      <c r="JJG106" s="769"/>
      <c r="JJH106" s="769"/>
      <c r="JJI106" s="769"/>
      <c r="JJJ106" s="769"/>
      <c r="JJK106" s="769"/>
      <c r="JJL106" s="769"/>
      <c r="JJM106" s="769"/>
      <c r="JJN106" s="769"/>
      <c r="JJO106" s="769"/>
      <c r="JJP106" s="769"/>
      <c r="JJQ106" s="769"/>
      <c r="JJR106" s="769"/>
      <c r="JJS106" s="769"/>
      <c r="JJT106" s="769"/>
      <c r="JJU106" s="769"/>
      <c r="JJV106" s="769"/>
      <c r="JJW106" s="769"/>
      <c r="JJX106" s="769"/>
      <c r="JJY106" s="769"/>
      <c r="JJZ106" s="769"/>
      <c r="JKA106" s="769"/>
      <c r="JKB106" s="769"/>
      <c r="JKC106" s="769"/>
      <c r="JKD106" s="769"/>
      <c r="JKE106" s="769"/>
      <c r="JKF106" s="769"/>
      <c r="JKG106" s="769"/>
      <c r="JKH106" s="769"/>
      <c r="JKI106" s="769"/>
      <c r="JKJ106" s="769"/>
      <c r="JKK106" s="769"/>
      <c r="JKL106" s="769"/>
      <c r="JKM106" s="769"/>
      <c r="JKN106" s="769"/>
      <c r="JKO106" s="769"/>
      <c r="JKP106" s="769"/>
      <c r="JKQ106" s="769"/>
      <c r="JKR106" s="769"/>
      <c r="JKS106" s="769"/>
      <c r="JKT106" s="769"/>
      <c r="JKU106" s="769"/>
      <c r="JKV106" s="769"/>
      <c r="JKW106" s="769"/>
      <c r="JKX106" s="769"/>
      <c r="JKY106" s="769"/>
      <c r="JKZ106" s="769"/>
      <c r="JLA106" s="769"/>
      <c r="JLB106" s="769"/>
      <c r="JLC106" s="769"/>
      <c r="JLD106" s="769"/>
      <c r="JLE106" s="769"/>
      <c r="JLF106" s="769"/>
      <c r="JLG106" s="769"/>
      <c r="JLH106" s="769"/>
      <c r="JLI106" s="769"/>
      <c r="JLJ106" s="769"/>
      <c r="JLK106" s="769"/>
      <c r="JLL106" s="769"/>
      <c r="JLM106" s="769"/>
      <c r="JLN106" s="769"/>
      <c r="JLO106" s="769"/>
      <c r="JLP106" s="769"/>
      <c r="JLQ106" s="769"/>
      <c r="JLR106" s="769"/>
      <c r="JLS106" s="769"/>
      <c r="JLT106" s="769"/>
      <c r="JLU106" s="769"/>
      <c r="JLV106" s="769"/>
      <c r="JLW106" s="769"/>
      <c r="JLX106" s="769"/>
      <c r="JLY106" s="769"/>
      <c r="JLZ106" s="769"/>
      <c r="JMA106" s="769"/>
      <c r="JMB106" s="769"/>
      <c r="JMC106" s="769"/>
      <c r="JMD106" s="769"/>
      <c r="JME106" s="769"/>
      <c r="JMF106" s="769"/>
      <c r="JMG106" s="769"/>
      <c r="JMH106" s="769"/>
      <c r="JMI106" s="769"/>
      <c r="JMJ106" s="769"/>
      <c r="JMK106" s="769"/>
      <c r="JML106" s="769"/>
      <c r="JMM106" s="769"/>
      <c r="JMN106" s="769"/>
      <c r="JMO106" s="769"/>
      <c r="JMP106" s="769"/>
      <c r="JMQ106" s="769"/>
      <c r="JMR106" s="769"/>
      <c r="JMS106" s="769"/>
      <c r="JMT106" s="769"/>
      <c r="JMU106" s="769"/>
      <c r="JMV106" s="769"/>
      <c r="JMW106" s="769"/>
      <c r="JMX106" s="769"/>
      <c r="JMY106" s="769"/>
      <c r="JMZ106" s="769"/>
      <c r="JNA106" s="769"/>
      <c r="JNB106" s="769"/>
      <c r="JNC106" s="769"/>
      <c r="JND106" s="769"/>
      <c r="JNE106" s="769"/>
      <c r="JNF106" s="769"/>
      <c r="JNG106" s="769"/>
      <c r="JNH106" s="769"/>
      <c r="JNI106" s="769"/>
      <c r="JNJ106" s="769"/>
      <c r="JNK106" s="769"/>
      <c r="JNL106" s="769"/>
      <c r="JNM106" s="769"/>
      <c r="JNN106" s="769"/>
      <c r="JNO106" s="769"/>
      <c r="JNP106" s="769"/>
      <c r="JNQ106" s="769"/>
      <c r="JNR106" s="769"/>
      <c r="JNS106" s="769"/>
      <c r="JNT106" s="769"/>
      <c r="JNU106" s="769"/>
      <c r="JNV106" s="769"/>
      <c r="JNW106" s="769"/>
      <c r="JNX106" s="769"/>
      <c r="JNY106" s="769"/>
      <c r="JNZ106" s="769"/>
      <c r="JOA106" s="769"/>
      <c r="JOB106" s="769"/>
      <c r="JOC106" s="769"/>
      <c r="JOD106" s="769"/>
      <c r="JOE106" s="769"/>
      <c r="JOF106" s="769"/>
      <c r="JOG106" s="769"/>
      <c r="JOH106" s="769"/>
      <c r="JOI106" s="769"/>
      <c r="JOJ106" s="769"/>
      <c r="JOK106" s="769"/>
      <c r="JOL106" s="769"/>
      <c r="JOM106" s="769"/>
      <c r="JON106" s="769"/>
      <c r="JOO106" s="769"/>
      <c r="JOP106" s="769"/>
      <c r="JOQ106" s="769"/>
      <c r="JOR106" s="769"/>
      <c r="JOS106" s="769"/>
      <c r="JOT106" s="769"/>
      <c r="JOU106" s="769"/>
      <c r="JOV106" s="769"/>
      <c r="JOW106" s="769"/>
      <c r="JOX106" s="769"/>
      <c r="JOY106" s="769"/>
      <c r="JOZ106" s="769"/>
      <c r="JPA106" s="769"/>
      <c r="JPB106" s="769"/>
      <c r="JPC106" s="769"/>
      <c r="JPD106" s="769"/>
      <c r="JPE106" s="769"/>
      <c r="JPF106" s="769"/>
      <c r="JPG106" s="769"/>
      <c r="JPH106" s="769"/>
      <c r="JPI106" s="769"/>
      <c r="JPJ106" s="769"/>
      <c r="JPK106" s="769"/>
      <c r="JPL106" s="769"/>
      <c r="JPM106" s="769"/>
      <c r="JPN106" s="769"/>
      <c r="JPO106" s="769"/>
      <c r="JPP106" s="769"/>
      <c r="JPQ106" s="769"/>
      <c r="JPR106" s="769"/>
      <c r="JPS106" s="769"/>
      <c r="JPT106" s="769"/>
      <c r="JPU106" s="769"/>
      <c r="JPV106" s="769"/>
      <c r="JPW106" s="769"/>
      <c r="JPX106" s="769"/>
      <c r="JPY106" s="769"/>
      <c r="JPZ106" s="769"/>
      <c r="JQA106" s="769"/>
      <c r="JQB106" s="769"/>
      <c r="JQC106" s="769"/>
      <c r="JQD106" s="769"/>
      <c r="JQE106" s="769"/>
      <c r="JQF106" s="769"/>
      <c r="JQG106" s="769"/>
      <c r="JQH106" s="769"/>
      <c r="JQI106" s="769"/>
      <c r="JQJ106" s="769"/>
      <c r="JQK106" s="769"/>
      <c r="JQL106" s="769"/>
      <c r="JQM106" s="769"/>
      <c r="JQN106" s="769"/>
      <c r="JQO106" s="769"/>
      <c r="JQP106" s="769"/>
      <c r="JQQ106" s="769"/>
      <c r="JQR106" s="769"/>
      <c r="JQS106" s="769"/>
      <c r="JQT106" s="769"/>
      <c r="JQU106" s="769"/>
      <c r="JQV106" s="769"/>
      <c r="JQW106" s="769"/>
      <c r="JQX106" s="769"/>
      <c r="JQY106" s="769"/>
      <c r="JQZ106" s="769"/>
      <c r="JRA106" s="769"/>
      <c r="JRB106" s="769"/>
      <c r="JRC106" s="769"/>
      <c r="JRD106" s="769"/>
      <c r="JRE106" s="769"/>
      <c r="JRF106" s="769"/>
      <c r="JRG106" s="769"/>
      <c r="JRH106" s="769"/>
      <c r="JRI106" s="769"/>
      <c r="JRJ106" s="769"/>
      <c r="JRK106" s="769"/>
      <c r="JRL106" s="769"/>
      <c r="JRM106" s="769"/>
      <c r="JRN106" s="769"/>
      <c r="JRO106" s="769"/>
      <c r="JRP106" s="769"/>
      <c r="JRQ106" s="769"/>
      <c r="JRR106" s="769"/>
      <c r="JRS106" s="769"/>
      <c r="JRT106" s="769"/>
      <c r="JRU106" s="769"/>
      <c r="JRV106" s="769"/>
      <c r="JRW106" s="769"/>
      <c r="JRX106" s="769"/>
      <c r="JRY106" s="769"/>
      <c r="JRZ106" s="769"/>
      <c r="JSA106" s="769"/>
      <c r="JSB106" s="769"/>
      <c r="JSC106" s="769"/>
      <c r="JSD106" s="769"/>
      <c r="JSE106" s="769"/>
      <c r="JSF106" s="769"/>
      <c r="JSG106" s="769"/>
      <c r="JSH106" s="769"/>
      <c r="JSI106" s="769"/>
      <c r="JSJ106" s="769"/>
      <c r="JSK106" s="769"/>
      <c r="JSL106" s="769"/>
      <c r="JSM106" s="769"/>
      <c r="JSN106" s="769"/>
      <c r="JSO106" s="769"/>
      <c r="JSP106" s="769"/>
      <c r="JSQ106" s="769"/>
      <c r="JSR106" s="769"/>
      <c r="JSS106" s="769"/>
      <c r="JST106" s="769"/>
      <c r="JSU106" s="769"/>
      <c r="JSV106" s="769"/>
      <c r="JSW106" s="769"/>
      <c r="JSX106" s="769"/>
      <c r="JSY106" s="769"/>
      <c r="JSZ106" s="769"/>
      <c r="JTA106" s="769"/>
      <c r="JTB106" s="769"/>
      <c r="JTC106" s="769"/>
      <c r="JTD106" s="769"/>
      <c r="JTE106" s="769"/>
      <c r="JTF106" s="769"/>
      <c r="JTG106" s="769"/>
      <c r="JTH106" s="769"/>
      <c r="JTI106" s="769"/>
      <c r="JTJ106" s="769"/>
      <c r="JTK106" s="769"/>
      <c r="JTL106" s="769"/>
      <c r="JTM106" s="769"/>
      <c r="JTN106" s="769"/>
      <c r="JTO106" s="769"/>
      <c r="JTP106" s="769"/>
      <c r="JTQ106" s="769"/>
      <c r="JTR106" s="769"/>
      <c r="JTS106" s="769"/>
      <c r="JTT106" s="769"/>
      <c r="JTU106" s="769"/>
      <c r="JTV106" s="769"/>
      <c r="JTW106" s="769"/>
      <c r="JTX106" s="769"/>
      <c r="JTY106" s="769"/>
      <c r="JTZ106" s="769"/>
      <c r="JUA106" s="769"/>
      <c r="JUB106" s="769"/>
      <c r="JUC106" s="769"/>
      <c r="JUD106" s="769"/>
      <c r="JUE106" s="769"/>
      <c r="JUF106" s="769"/>
      <c r="JUG106" s="769"/>
      <c r="JUH106" s="769"/>
      <c r="JUI106" s="769"/>
      <c r="JUJ106" s="769"/>
      <c r="JUK106" s="769"/>
      <c r="JUL106" s="769"/>
      <c r="JUM106" s="769"/>
      <c r="JUN106" s="769"/>
      <c r="JUO106" s="769"/>
      <c r="JUP106" s="769"/>
      <c r="JUQ106" s="769"/>
      <c r="JUR106" s="769"/>
      <c r="JUS106" s="769"/>
      <c r="JUT106" s="769"/>
      <c r="JUU106" s="769"/>
      <c r="JUV106" s="769"/>
      <c r="JUW106" s="769"/>
      <c r="JUX106" s="769"/>
      <c r="JUY106" s="769"/>
      <c r="JUZ106" s="769"/>
      <c r="JVA106" s="769"/>
      <c r="JVB106" s="769"/>
      <c r="JVC106" s="769"/>
      <c r="JVD106" s="769"/>
      <c r="JVE106" s="769"/>
      <c r="JVF106" s="769"/>
      <c r="JVG106" s="769"/>
      <c r="JVH106" s="769"/>
      <c r="JVI106" s="769"/>
      <c r="JVJ106" s="769"/>
      <c r="JVK106" s="769"/>
      <c r="JVL106" s="769"/>
      <c r="JVM106" s="769"/>
      <c r="JVN106" s="769"/>
      <c r="JVO106" s="769"/>
      <c r="JVP106" s="769"/>
      <c r="JVQ106" s="769"/>
      <c r="JVR106" s="769"/>
      <c r="JVS106" s="769"/>
      <c r="JVT106" s="769"/>
      <c r="JVU106" s="769"/>
      <c r="JVV106" s="769"/>
      <c r="JVW106" s="769"/>
      <c r="JVX106" s="769"/>
      <c r="JVY106" s="769"/>
      <c r="JVZ106" s="769"/>
      <c r="JWA106" s="769"/>
      <c r="JWB106" s="769"/>
      <c r="JWC106" s="769"/>
      <c r="JWD106" s="769"/>
      <c r="JWE106" s="769"/>
      <c r="JWF106" s="769"/>
      <c r="JWG106" s="769"/>
      <c r="JWH106" s="769"/>
      <c r="JWI106" s="769"/>
      <c r="JWJ106" s="769"/>
      <c r="JWK106" s="769"/>
      <c r="JWL106" s="769"/>
      <c r="JWM106" s="769"/>
      <c r="JWN106" s="769"/>
      <c r="JWO106" s="769"/>
      <c r="JWP106" s="769"/>
      <c r="JWQ106" s="769"/>
      <c r="JWR106" s="769"/>
      <c r="JWS106" s="769"/>
      <c r="JWT106" s="769"/>
      <c r="JWU106" s="769"/>
      <c r="JWV106" s="769"/>
      <c r="JWW106" s="769"/>
      <c r="JWX106" s="769"/>
      <c r="JWY106" s="769"/>
      <c r="JWZ106" s="769"/>
      <c r="JXA106" s="769"/>
      <c r="JXB106" s="769"/>
      <c r="JXC106" s="769"/>
      <c r="JXD106" s="769"/>
      <c r="JXE106" s="769"/>
      <c r="JXF106" s="769"/>
      <c r="JXG106" s="769"/>
      <c r="JXH106" s="769"/>
      <c r="JXI106" s="769"/>
      <c r="JXJ106" s="769"/>
      <c r="JXK106" s="769"/>
      <c r="JXL106" s="769"/>
      <c r="JXM106" s="769"/>
      <c r="JXN106" s="769"/>
      <c r="JXO106" s="769"/>
      <c r="JXP106" s="769"/>
      <c r="JXQ106" s="769"/>
      <c r="JXR106" s="769"/>
      <c r="JXS106" s="769"/>
      <c r="JXT106" s="769"/>
      <c r="JXU106" s="769"/>
      <c r="JXV106" s="769"/>
      <c r="JXW106" s="769"/>
      <c r="JXX106" s="769"/>
      <c r="JXY106" s="769"/>
      <c r="JXZ106" s="769"/>
      <c r="JYA106" s="769"/>
      <c r="JYB106" s="769"/>
      <c r="JYC106" s="769"/>
      <c r="JYD106" s="769"/>
      <c r="JYE106" s="769"/>
      <c r="JYF106" s="769"/>
      <c r="JYG106" s="769"/>
      <c r="JYH106" s="769"/>
      <c r="JYI106" s="769"/>
      <c r="JYJ106" s="769"/>
      <c r="JYK106" s="769"/>
      <c r="JYL106" s="769"/>
      <c r="JYM106" s="769"/>
      <c r="JYN106" s="769"/>
      <c r="JYO106" s="769"/>
      <c r="JYP106" s="769"/>
      <c r="JYQ106" s="769"/>
      <c r="JYR106" s="769"/>
      <c r="JYS106" s="769"/>
      <c r="JYT106" s="769"/>
      <c r="JYU106" s="769"/>
      <c r="JYV106" s="769"/>
      <c r="JYW106" s="769"/>
      <c r="JYX106" s="769"/>
      <c r="JYY106" s="769"/>
      <c r="JYZ106" s="769"/>
      <c r="JZA106" s="769"/>
      <c r="JZB106" s="769"/>
      <c r="JZC106" s="769"/>
      <c r="JZD106" s="769"/>
      <c r="JZE106" s="769"/>
      <c r="JZF106" s="769"/>
      <c r="JZG106" s="769"/>
      <c r="JZH106" s="769"/>
      <c r="JZI106" s="769"/>
      <c r="JZJ106" s="769"/>
      <c r="JZK106" s="769"/>
      <c r="JZL106" s="769"/>
      <c r="JZM106" s="769"/>
      <c r="JZN106" s="769"/>
      <c r="JZO106" s="769"/>
      <c r="JZP106" s="769"/>
      <c r="JZQ106" s="769"/>
      <c r="JZR106" s="769"/>
      <c r="JZS106" s="769"/>
      <c r="JZT106" s="769"/>
      <c r="JZU106" s="769"/>
      <c r="JZV106" s="769"/>
      <c r="JZW106" s="769"/>
      <c r="JZX106" s="769"/>
      <c r="JZY106" s="769"/>
      <c r="JZZ106" s="769"/>
      <c r="KAA106" s="769"/>
      <c r="KAB106" s="769"/>
      <c r="KAC106" s="769"/>
      <c r="KAD106" s="769"/>
      <c r="KAE106" s="769"/>
      <c r="KAF106" s="769"/>
      <c r="KAG106" s="769"/>
      <c r="KAH106" s="769"/>
      <c r="KAI106" s="769"/>
      <c r="KAJ106" s="769"/>
      <c r="KAK106" s="769"/>
      <c r="KAL106" s="769"/>
      <c r="KAM106" s="769"/>
      <c r="KAN106" s="769"/>
      <c r="KAO106" s="769"/>
      <c r="KAP106" s="769"/>
      <c r="KAQ106" s="769"/>
      <c r="KAR106" s="769"/>
      <c r="KAS106" s="769"/>
      <c r="KAT106" s="769"/>
      <c r="KAU106" s="769"/>
      <c r="KAV106" s="769"/>
      <c r="KAW106" s="769"/>
      <c r="KAX106" s="769"/>
      <c r="KAY106" s="769"/>
      <c r="KAZ106" s="769"/>
      <c r="KBA106" s="769"/>
      <c r="KBB106" s="769"/>
      <c r="KBC106" s="769"/>
      <c r="KBD106" s="769"/>
      <c r="KBE106" s="769"/>
      <c r="KBF106" s="769"/>
      <c r="KBG106" s="769"/>
      <c r="KBH106" s="769"/>
      <c r="KBI106" s="769"/>
      <c r="KBJ106" s="769"/>
      <c r="KBK106" s="769"/>
      <c r="KBL106" s="769"/>
      <c r="KBM106" s="769"/>
      <c r="KBN106" s="769"/>
      <c r="KBO106" s="769"/>
      <c r="KBP106" s="769"/>
      <c r="KBQ106" s="769"/>
      <c r="KBR106" s="769"/>
      <c r="KBS106" s="769"/>
      <c r="KBT106" s="769"/>
      <c r="KBU106" s="769"/>
      <c r="KBV106" s="769"/>
      <c r="KBW106" s="769"/>
      <c r="KBX106" s="769"/>
      <c r="KBY106" s="769"/>
      <c r="KBZ106" s="769"/>
      <c r="KCA106" s="769"/>
      <c r="KCB106" s="769"/>
      <c r="KCC106" s="769"/>
      <c r="KCD106" s="769"/>
      <c r="KCE106" s="769"/>
      <c r="KCF106" s="769"/>
      <c r="KCG106" s="769"/>
      <c r="KCH106" s="769"/>
      <c r="KCI106" s="769"/>
      <c r="KCJ106" s="769"/>
      <c r="KCK106" s="769"/>
      <c r="KCL106" s="769"/>
      <c r="KCM106" s="769"/>
      <c r="KCN106" s="769"/>
      <c r="KCO106" s="769"/>
      <c r="KCP106" s="769"/>
      <c r="KCQ106" s="769"/>
      <c r="KCR106" s="769"/>
      <c r="KCS106" s="769"/>
      <c r="KCT106" s="769"/>
      <c r="KCU106" s="769"/>
      <c r="KCV106" s="769"/>
      <c r="KCW106" s="769"/>
      <c r="KCX106" s="769"/>
      <c r="KCY106" s="769"/>
      <c r="KCZ106" s="769"/>
      <c r="KDA106" s="769"/>
      <c r="KDB106" s="769"/>
      <c r="KDC106" s="769"/>
      <c r="KDD106" s="769"/>
      <c r="KDE106" s="769"/>
      <c r="KDF106" s="769"/>
      <c r="KDG106" s="769"/>
      <c r="KDH106" s="769"/>
      <c r="KDI106" s="769"/>
      <c r="KDJ106" s="769"/>
      <c r="KDK106" s="769"/>
      <c r="KDL106" s="769"/>
      <c r="KDM106" s="769"/>
      <c r="KDN106" s="769"/>
      <c r="KDO106" s="769"/>
      <c r="KDP106" s="769"/>
      <c r="KDQ106" s="769"/>
      <c r="KDR106" s="769"/>
      <c r="KDS106" s="769"/>
      <c r="KDT106" s="769"/>
      <c r="KDU106" s="769"/>
      <c r="KDV106" s="769"/>
      <c r="KDW106" s="769"/>
      <c r="KDX106" s="769"/>
      <c r="KDY106" s="769"/>
      <c r="KDZ106" s="769"/>
      <c r="KEA106" s="769"/>
      <c r="KEB106" s="769"/>
      <c r="KEC106" s="769"/>
      <c r="KED106" s="769"/>
      <c r="KEE106" s="769"/>
      <c r="KEF106" s="769"/>
      <c r="KEG106" s="769"/>
      <c r="KEH106" s="769"/>
      <c r="KEI106" s="769"/>
      <c r="KEJ106" s="769"/>
      <c r="KEK106" s="769"/>
      <c r="KEL106" s="769"/>
      <c r="KEM106" s="769"/>
      <c r="KEN106" s="769"/>
      <c r="KEO106" s="769"/>
      <c r="KEP106" s="769"/>
      <c r="KEQ106" s="769"/>
      <c r="KER106" s="769"/>
      <c r="KES106" s="769"/>
      <c r="KET106" s="769"/>
      <c r="KEU106" s="769"/>
      <c r="KEV106" s="769"/>
      <c r="KEW106" s="769"/>
      <c r="KEX106" s="769"/>
      <c r="KEY106" s="769"/>
      <c r="KEZ106" s="769"/>
      <c r="KFA106" s="769"/>
      <c r="KFB106" s="769"/>
      <c r="KFC106" s="769"/>
      <c r="KFD106" s="769"/>
      <c r="KFE106" s="769"/>
      <c r="KFF106" s="769"/>
      <c r="KFG106" s="769"/>
      <c r="KFH106" s="769"/>
      <c r="KFI106" s="769"/>
      <c r="KFJ106" s="769"/>
      <c r="KFK106" s="769"/>
      <c r="KFL106" s="769"/>
      <c r="KFM106" s="769"/>
      <c r="KFN106" s="769"/>
      <c r="KFO106" s="769"/>
      <c r="KFP106" s="769"/>
      <c r="KFQ106" s="769"/>
      <c r="KFR106" s="769"/>
      <c r="KFS106" s="769"/>
      <c r="KFT106" s="769"/>
      <c r="KFU106" s="769"/>
      <c r="KFV106" s="769"/>
      <c r="KFW106" s="769"/>
      <c r="KFX106" s="769"/>
      <c r="KFY106" s="769"/>
      <c r="KFZ106" s="769"/>
      <c r="KGA106" s="769"/>
      <c r="KGB106" s="769"/>
      <c r="KGC106" s="769"/>
      <c r="KGD106" s="769"/>
      <c r="KGE106" s="769"/>
      <c r="KGF106" s="769"/>
      <c r="KGG106" s="769"/>
      <c r="KGH106" s="769"/>
      <c r="KGI106" s="769"/>
      <c r="KGJ106" s="769"/>
      <c r="KGK106" s="769"/>
      <c r="KGL106" s="769"/>
      <c r="KGM106" s="769"/>
      <c r="KGN106" s="769"/>
      <c r="KGO106" s="769"/>
      <c r="KGP106" s="769"/>
      <c r="KGQ106" s="769"/>
      <c r="KGR106" s="769"/>
      <c r="KGS106" s="769"/>
      <c r="KGT106" s="769"/>
      <c r="KGU106" s="769"/>
      <c r="KGV106" s="769"/>
      <c r="KGW106" s="769"/>
      <c r="KGX106" s="769"/>
      <c r="KGY106" s="769"/>
      <c r="KGZ106" s="769"/>
      <c r="KHA106" s="769"/>
      <c r="KHB106" s="769"/>
      <c r="KHC106" s="769"/>
      <c r="KHD106" s="769"/>
      <c r="KHE106" s="769"/>
      <c r="KHF106" s="769"/>
      <c r="KHG106" s="769"/>
      <c r="KHH106" s="769"/>
      <c r="KHI106" s="769"/>
      <c r="KHJ106" s="769"/>
      <c r="KHK106" s="769"/>
      <c r="KHL106" s="769"/>
      <c r="KHM106" s="769"/>
      <c r="KHN106" s="769"/>
      <c r="KHO106" s="769"/>
      <c r="KHP106" s="769"/>
      <c r="KHQ106" s="769"/>
      <c r="KHR106" s="769"/>
      <c r="KHS106" s="769"/>
      <c r="KHT106" s="769"/>
      <c r="KHU106" s="769"/>
      <c r="KHV106" s="769"/>
      <c r="KHW106" s="769"/>
      <c r="KHX106" s="769"/>
      <c r="KHY106" s="769"/>
      <c r="KHZ106" s="769"/>
      <c r="KIA106" s="769"/>
      <c r="KIB106" s="769"/>
      <c r="KIC106" s="769"/>
      <c r="KID106" s="769"/>
      <c r="KIE106" s="769"/>
      <c r="KIF106" s="769"/>
      <c r="KIG106" s="769"/>
      <c r="KIH106" s="769"/>
      <c r="KII106" s="769"/>
      <c r="KIJ106" s="769"/>
      <c r="KIK106" s="769"/>
      <c r="KIL106" s="769"/>
      <c r="KIM106" s="769"/>
      <c r="KIN106" s="769"/>
      <c r="KIO106" s="769"/>
      <c r="KIP106" s="769"/>
      <c r="KIQ106" s="769"/>
      <c r="KIR106" s="769"/>
      <c r="KIS106" s="769"/>
      <c r="KIT106" s="769"/>
      <c r="KIU106" s="769"/>
      <c r="KIV106" s="769"/>
      <c r="KIW106" s="769"/>
      <c r="KIX106" s="769"/>
      <c r="KIY106" s="769"/>
      <c r="KIZ106" s="769"/>
      <c r="KJA106" s="769"/>
      <c r="KJB106" s="769"/>
      <c r="KJC106" s="769"/>
      <c r="KJD106" s="769"/>
      <c r="KJE106" s="769"/>
      <c r="KJF106" s="769"/>
      <c r="KJG106" s="769"/>
      <c r="KJH106" s="769"/>
      <c r="KJI106" s="769"/>
      <c r="KJJ106" s="769"/>
      <c r="KJK106" s="769"/>
      <c r="KJL106" s="769"/>
      <c r="KJM106" s="769"/>
      <c r="KJN106" s="769"/>
      <c r="KJO106" s="769"/>
      <c r="KJP106" s="769"/>
      <c r="KJQ106" s="769"/>
      <c r="KJR106" s="769"/>
      <c r="KJS106" s="769"/>
      <c r="KJT106" s="769"/>
      <c r="KJU106" s="769"/>
      <c r="KJV106" s="769"/>
      <c r="KJW106" s="769"/>
      <c r="KJX106" s="769"/>
      <c r="KJY106" s="769"/>
      <c r="KJZ106" s="769"/>
      <c r="KKA106" s="769"/>
      <c r="KKB106" s="769"/>
      <c r="KKC106" s="769"/>
      <c r="KKD106" s="769"/>
      <c r="KKE106" s="769"/>
      <c r="KKF106" s="769"/>
      <c r="KKG106" s="769"/>
      <c r="KKH106" s="769"/>
      <c r="KKI106" s="769"/>
      <c r="KKJ106" s="769"/>
      <c r="KKK106" s="769"/>
      <c r="KKL106" s="769"/>
      <c r="KKM106" s="769"/>
      <c r="KKN106" s="769"/>
      <c r="KKO106" s="769"/>
      <c r="KKP106" s="769"/>
      <c r="KKQ106" s="769"/>
      <c r="KKR106" s="769"/>
      <c r="KKS106" s="769"/>
      <c r="KKT106" s="769"/>
      <c r="KKU106" s="769"/>
      <c r="KKV106" s="769"/>
      <c r="KKW106" s="769"/>
      <c r="KKX106" s="769"/>
      <c r="KKY106" s="769"/>
      <c r="KKZ106" s="769"/>
      <c r="KLA106" s="769"/>
      <c r="KLB106" s="769"/>
      <c r="KLC106" s="769"/>
      <c r="KLD106" s="769"/>
      <c r="KLE106" s="769"/>
      <c r="KLF106" s="769"/>
      <c r="KLG106" s="769"/>
      <c r="KLH106" s="769"/>
      <c r="KLI106" s="769"/>
      <c r="KLJ106" s="769"/>
      <c r="KLK106" s="769"/>
      <c r="KLL106" s="769"/>
      <c r="KLM106" s="769"/>
      <c r="KLN106" s="769"/>
      <c r="KLO106" s="769"/>
      <c r="KLP106" s="769"/>
      <c r="KLQ106" s="769"/>
      <c r="KLR106" s="769"/>
      <c r="KLS106" s="769"/>
      <c r="KLT106" s="769"/>
      <c r="KLU106" s="769"/>
      <c r="KLV106" s="769"/>
      <c r="KLW106" s="769"/>
      <c r="KLX106" s="769"/>
      <c r="KLY106" s="769"/>
      <c r="KLZ106" s="769"/>
      <c r="KMA106" s="769"/>
      <c r="KMB106" s="769"/>
      <c r="KMC106" s="769"/>
      <c r="KMD106" s="769"/>
      <c r="KME106" s="769"/>
      <c r="KMF106" s="769"/>
      <c r="KMG106" s="769"/>
      <c r="KMH106" s="769"/>
      <c r="KMI106" s="769"/>
      <c r="KMJ106" s="769"/>
      <c r="KMK106" s="769"/>
      <c r="KML106" s="769"/>
      <c r="KMM106" s="769"/>
      <c r="KMN106" s="769"/>
      <c r="KMO106" s="769"/>
      <c r="KMP106" s="769"/>
      <c r="KMQ106" s="769"/>
      <c r="KMR106" s="769"/>
      <c r="KMS106" s="769"/>
      <c r="KMT106" s="769"/>
      <c r="KMU106" s="769"/>
      <c r="KMV106" s="769"/>
      <c r="KMW106" s="769"/>
      <c r="KMX106" s="769"/>
      <c r="KMY106" s="769"/>
      <c r="KMZ106" s="769"/>
      <c r="KNA106" s="769"/>
      <c r="KNB106" s="769"/>
      <c r="KNC106" s="769"/>
      <c r="KND106" s="769"/>
      <c r="KNE106" s="769"/>
      <c r="KNF106" s="769"/>
      <c r="KNG106" s="769"/>
      <c r="KNH106" s="769"/>
      <c r="KNI106" s="769"/>
      <c r="KNJ106" s="769"/>
      <c r="KNK106" s="769"/>
      <c r="KNL106" s="769"/>
      <c r="KNM106" s="769"/>
      <c r="KNN106" s="769"/>
      <c r="KNO106" s="769"/>
      <c r="KNP106" s="769"/>
      <c r="KNQ106" s="769"/>
      <c r="KNR106" s="769"/>
      <c r="KNS106" s="769"/>
      <c r="KNT106" s="769"/>
      <c r="KNU106" s="769"/>
      <c r="KNV106" s="769"/>
      <c r="KNW106" s="769"/>
      <c r="KNX106" s="769"/>
      <c r="KNY106" s="769"/>
      <c r="KNZ106" s="769"/>
      <c r="KOA106" s="769"/>
      <c r="KOB106" s="769"/>
      <c r="KOC106" s="769"/>
      <c r="KOD106" s="769"/>
      <c r="KOE106" s="769"/>
      <c r="KOF106" s="769"/>
      <c r="KOG106" s="769"/>
      <c r="KOH106" s="769"/>
      <c r="KOI106" s="769"/>
      <c r="KOJ106" s="769"/>
      <c r="KOK106" s="769"/>
      <c r="KOL106" s="769"/>
      <c r="KOM106" s="769"/>
      <c r="KON106" s="769"/>
      <c r="KOO106" s="769"/>
      <c r="KOP106" s="769"/>
      <c r="KOQ106" s="769"/>
      <c r="KOR106" s="769"/>
      <c r="KOS106" s="769"/>
      <c r="KOT106" s="769"/>
      <c r="KOU106" s="769"/>
      <c r="KOV106" s="769"/>
      <c r="KOW106" s="769"/>
      <c r="KOX106" s="769"/>
      <c r="KOY106" s="769"/>
      <c r="KOZ106" s="769"/>
      <c r="KPA106" s="769"/>
      <c r="KPB106" s="769"/>
      <c r="KPC106" s="769"/>
      <c r="KPD106" s="769"/>
      <c r="KPE106" s="769"/>
      <c r="KPF106" s="769"/>
      <c r="KPG106" s="769"/>
      <c r="KPH106" s="769"/>
      <c r="KPI106" s="769"/>
      <c r="KPJ106" s="769"/>
      <c r="KPK106" s="769"/>
      <c r="KPL106" s="769"/>
      <c r="KPM106" s="769"/>
      <c r="KPN106" s="769"/>
      <c r="KPO106" s="769"/>
      <c r="KPP106" s="769"/>
      <c r="KPQ106" s="769"/>
      <c r="KPR106" s="769"/>
      <c r="KPS106" s="769"/>
      <c r="KPT106" s="769"/>
      <c r="KPU106" s="769"/>
      <c r="KPV106" s="769"/>
      <c r="KPW106" s="769"/>
      <c r="KPX106" s="769"/>
      <c r="KPY106" s="769"/>
      <c r="KPZ106" s="769"/>
      <c r="KQA106" s="769"/>
      <c r="KQB106" s="769"/>
      <c r="KQC106" s="769"/>
      <c r="KQD106" s="769"/>
      <c r="KQE106" s="769"/>
      <c r="KQF106" s="769"/>
      <c r="KQG106" s="769"/>
      <c r="KQH106" s="769"/>
      <c r="KQI106" s="769"/>
      <c r="KQJ106" s="769"/>
      <c r="KQK106" s="769"/>
      <c r="KQL106" s="769"/>
      <c r="KQM106" s="769"/>
      <c r="KQN106" s="769"/>
      <c r="KQO106" s="769"/>
      <c r="KQP106" s="769"/>
      <c r="KQQ106" s="769"/>
      <c r="KQR106" s="769"/>
      <c r="KQS106" s="769"/>
      <c r="KQT106" s="769"/>
      <c r="KQU106" s="769"/>
      <c r="KQV106" s="769"/>
      <c r="KQW106" s="769"/>
      <c r="KQX106" s="769"/>
      <c r="KQY106" s="769"/>
      <c r="KQZ106" s="769"/>
      <c r="KRA106" s="769"/>
      <c r="KRB106" s="769"/>
      <c r="KRC106" s="769"/>
      <c r="KRD106" s="769"/>
      <c r="KRE106" s="769"/>
      <c r="KRF106" s="769"/>
      <c r="KRG106" s="769"/>
      <c r="KRH106" s="769"/>
      <c r="KRI106" s="769"/>
      <c r="KRJ106" s="769"/>
      <c r="KRK106" s="769"/>
      <c r="KRL106" s="769"/>
      <c r="KRM106" s="769"/>
      <c r="KRN106" s="769"/>
      <c r="KRO106" s="769"/>
      <c r="KRP106" s="769"/>
      <c r="KRQ106" s="769"/>
      <c r="KRR106" s="769"/>
      <c r="KRS106" s="769"/>
      <c r="KRT106" s="769"/>
      <c r="KRU106" s="769"/>
      <c r="KRV106" s="769"/>
      <c r="KRW106" s="769"/>
      <c r="KRX106" s="769"/>
      <c r="KRY106" s="769"/>
      <c r="KRZ106" s="769"/>
      <c r="KSA106" s="769"/>
      <c r="KSB106" s="769"/>
      <c r="KSC106" s="769"/>
      <c r="KSD106" s="769"/>
      <c r="KSE106" s="769"/>
      <c r="KSF106" s="769"/>
      <c r="KSG106" s="769"/>
      <c r="KSH106" s="769"/>
      <c r="KSI106" s="769"/>
      <c r="KSJ106" s="769"/>
      <c r="KSK106" s="769"/>
      <c r="KSL106" s="769"/>
      <c r="KSM106" s="769"/>
      <c r="KSN106" s="769"/>
      <c r="KSO106" s="769"/>
      <c r="KSP106" s="769"/>
      <c r="KSQ106" s="769"/>
      <c r="KSR106" s="769"/>
      <c r="KSS106" s="769"/>
      <c r="KST106" s="769"/>
      <c r="KSU106" s="769"/>
      <c r="KSV106" s="769"/>
      <c r="KSW106" s="769"/>
      <c r="KSX106" s="769"/>
      <c r="KSY106" s="769"/>
      <c r="KSZ106" s="769"/>
      <c r="KTA106" s="769"/>
      <c r="KTB106" s="769"/>
      <c r="KTC106" s="769"/>
      <c r="KTD106" s="769"/>
      <c r="KTE106" s="769"/>
      <c r="KTF106" s="769"/>
      <c r="KTG106" s="769"/>
      <c r="KTH106" s="769"/>
      <c r="KTI106" s="769"/>
      <c r="KTJ106" s="769"/>
      <c r="KTK106" s="769"/>
      <c r="KTL106" s="769"/>
      <c r="KTM106" s="769"/>
      <c r="KTN106" s="769"/>
      <c r="KTO106" s="769"/>
      <c r="KTP106" s="769"/>
      <c r="KTQ106" s="769"/>
      <c r="KTR106" s="769"/>
      <c r="KTS106" s="769"/>
      <c r="KTT106" s="769"/>
      <c r="KTU106" s="769"/>
      <c r="KTV106" s="769"/>
      <c r="KTW106" s="769"/>
      <c r="KTX106" s="769"/>
      <c r="KTY106" s="769"/>
      <c r="KTZ106" s="769"/>
      <c r="KUA106" s="769"/>
      <c r="KUB106" s="769"/>
      <c r="KUC106" s="769"/>
      <c r="KUD106" s="769"/>
      <c r="KUE106" s="769"/>
      <c r="KUF106" s="769"/>
      <c r="KUG106" s="769"/>
      <c r="KUH106" s="769"/>
      <c r="KUI106" s="769"/>
      <c r="KUJ106" s="769"/>
      <c r="KUK106" s="769"/>
      <c r="KUL106" s="769"/>
      <c r="KUM106" s="769"/>
      <c r="KUN106" s="769"/>
      <c r="KUO106" s="769"/>
      <c r="KUP106" s="769"/>
      <c r="KUQ106" s="769"/>
      <c r="KUR106" s="769"/>
      <c r="KUS106" s="769"/>
      <c r="KUT106" s="769"/>
      <c r="KUU106" s="769"/>
      <c r="KUV106" s="769"/>
      <c r="KUW106" s="769"/>
      <c r="KUX106" s="769"/>
      <c r="KUY106" s="769"/>
      <c r="KUZ106" s="769"/>
      <c r="KVA106" s="769"/>
      <c r="KVB106" s="769"/>
      <c r="KVC106" s="769"/>
      <c r="KVD106" s="769"/>
      <c r="KVE106" s="769"/>
      <c r="KVF106" s="769"/>
      <c r="KVG106" s="769"/>
      <c r="KVH106" s="769"/>
      <c r="KVI106" s="769"/>
      <c r="KVJ106" s="769"/>
      <c r="KVK106" s="769"/>
      <c r="KVL106" s="769"/>
      <c r="KVM106" s="769"/>
      <c r="KVN106" s="769"/>
      <c r="KVO106" s="769"/>
      <c r="KVP106" s="769"/>
      <c r="KVQ106" s="769"/>
      <c r="KVR106" s="769"/>
      <c r="KVS106" s="769"/>
      <c r="KVT106" s="769"/>
      <c r="KVU106" s="769"/>
      <c r="KVV106" s="769"/>
      <c r="KVW106" s="769"/>
      <c r="KVX106" s="769"/>
      <c r="KVY106" s="769"/>
      <c r="KVZ106" s="769"/>
      <c r="KWA106" s="769"/>
      <c r="KWB106" s="769"/>
      <c r="KWC106" s="769"/>
      <c r="KWD106" s="769"/>
      <c r="KWE106" s="769"/>
      <c r="KWF106" s="769"/>
      <c r="KWG106" s="769"/>
      <c r="KWH106" s="769"/>
      <c r="KWI106" s="769"/>
      <c r="KWJ106" s="769"/>
      <c r="KWK106" s="769"/>
      <c r="KWL106" s="769"/>
      <c r="KWM106" s="769"/>
      <c r="KWN106" s="769"/>
      <c r="KWO106" s="769"/>
      <c r="KWP106" s="769"/>
      <c r="KWQ106" s="769"/>
      <c r="KWR106" s="769"/>
      <c r="KWS106" s="769"/>
      <c r="KWT106" s="769"/>
      <c r="KWU106" s="769"/>
      <c r="KWV106" s="769"/>
      <c r="KWW106" s="769"/>
      <c r="KWX106" s="769"/>
      <c r="KWY106" s="769"/>
      <c r="KWZ106" s="769"/>
      <c r="KXA106" s="769"/>
      <c r="KXB106" s="769"/>
      <c r="KXC106" s="769"/>
      <c r="KXD106" s="769"/>
      <c r="KXE106" s="769"/>
      <c r="KXF106" s="769"/>
      <c r="KXG106" s="769"/>
      <c r="KXH106" s="769"/>
      <c r="KXI106" s="769"/>
      <c r="KXJ106" s="769"/>
      <c r="KXK106" s="769"/>
      <c r="KXL106" s="769"/>
      <c r="KXM106" s="769"/>
      <c r="KXN106" s="769"/>
      <c r="KXO106" s="769"/>
      <c r="KXP106" s="769"/>
      <c r="KXQ106" s="769"/>
      <c r="KXR106" s="769"/>
      <c r="KXS106" s="769"/>
      <c r="KXT106" s="769"/>
      <c r="KXU106" s="769"/>
      <c r="KXV106" s="769"/>
      <c r="KXW106" s="769"/>
      <c r="KXX106" s="769"/>
      <c r="KXY106" s="769"/>
      <c r="KXZ106" s="769"/>
      <c r="KYA106" s="769"/>
      <c r="KYB106" s="769"/>
      <c r="KYC106" s="769"/>
      <c r="KYD106" s="769"/>
      <c r="KYE106" s="769"/>
      <c r="KYF106" s="769"/>
      <c r="KYG106" s="769"/>
      <c r="KYH106" s="769"/>
      <c r="KYI106" s="769"/>
      <c r="KYJ106" s="769"/>
      <c r="KYK106" s="769"/>
      <c r="KYL106" s="769"/>
      <c r="KYM106" s="769"/>
      <c r="KYN106" s="769"/>
      <c r="KYO106" s="769"/>
      <c r="KYP106" s="769"/>
      <c r="KYQ106" s="769"/>
      <c r="KYR106" s="769"/>
      <c r="KYS106" s="769"/>
      <c r="KYT106" s="769"/>
      <c r="KYU106" s="769"/>
      <c r="KYV106" s="769"/>
      <c r="KYW106" s="769"/>
      <c r="KYX106" s="769"/>
      <c r="KYY106" s="769"/>
      <c r="KYZ106" s="769"/>
      <c r="KZA106" s="769"/>
      <c r="KZB106" s="769"/>
      <c r="KZC106" s="769"/>
      <c r="KZD106" s="769"/>
      <c r="KZE106" s="769"/>
      <c r="KZF106" s="769"/>
      <c r="KZG106" s="769"/>
      <c r="KZH106" s="769"/>
      <c r="KZI106" s="769"/>
      <c r="KZJ106" s="769"/>
      <c r="KZK106" s="769"/>
      <c r="KZL106" s="769"/>
      <c r="KZM106" s="769"/>
      <c r="KZN106" s="769"/>
      <c r="KZO106" s="769"/>
      <c r="KZP106" s="769"/>
      <c r="KZQ106" s="769"/>
      <c r="KZR106" s="769"/>
      <c r="KZS106" s="769"/>
      <c r="KZT106" s="769"/>
      <c r="KZU106" s="769"/>
      <c r="KZV106" s="769"/>
      <c r="KZW106" s="769"/>
      <c r="KZX106" s="769"/>
      <c r="KZY106" s="769"/>
      <c r="KZZ106" s="769"/>
      <c r="LAA106" s="769"/>
      <c r="LAB106" s="769"/>
      <c r="LAC106" s="769"/>
      <c r="LAD106" s="769"/>
      <c r="LAE106" s="769"/>
      <c r="LAF106" s="769"/>
      <c r="LAG106" s="769"/>
      <c r="LAH106" s="769"/>
      <c r="LAI106" s="769"/>
      <c r="LAJ106" s="769"/>
      <c r="LAK106" s="769"/>
      <c r="LAL106" s="769"/>
      <c r="LAM106" s="769"/>
      <c r="LAN106" s="769"/>
      <c r="LAO106" s="769"/>
      <c r="LAP106" s="769"/>
      <c r="LAQ106" s="769"/>
      <c r="LAR106" s="769"/>
      <c r="LAS106" s="769"/>
      <c r="LAT106" s="769"/>
      <c r="LAU106" s="769"/>
      <c r="LAV106" s="769"/>
      <c r="LAW106" s="769"/>
      <c r="LAX106" s="769"/>
      <c r="LAY106" s="769"/>
      <c r="LAZ106" s="769"/>
      <c r="LBA106" s="769"/>
      <c r="LBB106" s="769"/>
      <c r="LBC106" s="769"/>
      <c r="LBD106" s="769"/>
      <c r="LBE106" s="769"/>
      <c r="LBF106" s="769"/>
      <c r="LBG106" s="769"/>
      <c r="LBH106" s="769"/>
      <c r="LBI106" s="769"/>
      <c r="LBJ106" s="769"/>
      <c r="LBK106" s="769"/>
      <c r="LBL106" s="769"/>
      <c r="LBM106" s="769"/>
      <c r="LBN106" s="769"/>
      <c r="LBO106" s="769"/>
      <c r="LBP106" s="769"/>
      <c r="LBQ106" s="769"/>
      <c r="LBR106" s="769"/>
      <c r="LBS106" s="769"/>
      <c r="LBT106" s="769"/>
      <c r="LBU106" s="769"/>
      <c r="LBV106" s="769"/>
      <c r="LBW106" s="769"/>
      <c r="LBX106" s="769"/>
      <c r="LBY106" s="769"/>
      <c r="LBZ106" s="769"/>
      <c r="LCA106" s="769"/>
      <c r="LCB106" s="769"/>
      <c r="LCC106" s="769"/>
      <c r="LCD106" s="769"/>
      <c r="LCE106" s="769"/>
      <c r="LCF106" s="769"/>
      <c r="LCG106" s="769"/>
      <c r="LCH106" s="769"/>
      <c r="LCI106" s="769"/>
      <c r="LCJ106" s="769"/>
      <c r="LCK106" s="769"/>
      <c r="LCL106" s="769"/>
      <c r="LCM106" s="769"/>
      <c r="LCN106" s="769"/>
      <c r="LCO106" s="769"/>
      <c r="LCP106" s="769"/>
      <c r="LCQ106" s="769"/>
      <c r="LCR106" s="769"/>
      <c r="LCS106" s="769"/>
      <c r="LCT106" s="769"/>
      <c r="LCU106" s="769"/>
      <c r="LCV106" s="769"/>
      <c r="LCW106" s="769"/>
      <c r="LCX106" s="769"/>
      <c r="LCY106" s="769"/>
      <c r="LCZ106" s="769"/>
      <c r="LDA106" s="769"/>
      <c r="LDB106" s="769"/>
      <c r="LDC106" s="769"/>
      <c r="LDD106" s="769"/>
      <c r="LDE106" s="769"/>
      <c r="LDF106" s="769"/>
      <c r="LDG106" s="769"/>
      <c r="LDH106" s="769"/>
      <c r="LDI106" s="769"/>
      <c r="LDJ106" s="769"/>
      <c r="LDK106" s="769"/>
      <c r="LDL106" s="769"/>
      <c r="LDM106" s="769"/>
      <c r="LDN106" s="769"/>
      <c r="LDO106" s="769"/>
      <c r="LDP106" s="769"/>
      <c r="LDQ106" s="769"/>
      <c r="LDR106" s="769"/>
      <c r="LDS106" s="769"/>
      <c r="LDT106" s="769"/>
      <c r="LDU106" s="769"/>
      <c r="LDV106" s="769"/>
      <c r="LDW106" s="769"/>
      <c r="LDX106" s="769"/>
      <c r="LDY106" s="769"/>
      <c r="LDZ106" s="769"/>
      <c r="LEA106" s="769"/>
      <c r="LEB106" s="769"/>
      <c r="LEC106" s="769"/>
      <c r="LED106" s="769"/>
      <c r="LEE106" s="769"/>
      <c r="LEF106" s="769"/>
      <c r="LEG106" s="769"/>
      <c r="LEH106" s="769"/>
      <c r="LEI106" s="769"/>
      <c r="LEJ106" s="769"/>
      <c r="LEK106" s="769"/>
      <c r="LEL106" s="769"/>
      <c r="LEM106" s="769"/>
      <c r="LEN106" s="769"/>
      <c r="LEO106" s="769"/>
      <c r="LEP106" s="769"/>
      <c r="LEQ106" s="769"/>
      <c r="LER106" s="769"/>
      <c r="LES106" s="769"/>
      <c r="LET106" s="769"/>
      <c r="LEU106" s="769"/>
      <c r="LEV106" s="769"/>
      <c r="LEW106" s="769"/>
      <c r="LEX106" s="769"/>
      <c r="LEY106" s="769"/>
      <c r="LEZ106" s="769"/>
      <c r="LFA106" s="769"/>
      <c r="LFB106" s="769"/>
      <c r="LFC106" s="769"/>
      <c r="LFD106" s="769"/>
      <c r="LFE106" s="769"/>
      <c r="LFF106" s="769"/>
      <c r="LFG106" s="769"/>
      <c r="LFH106" s="769"/>
      <c r="LFI106" s="769"/>
      <c r="LFJ106" s="769"/>
      <c r="LFK106" s="769"/>
      <c r="LFL106" s="769"/>
      <c r="LFM106" s="769"/>
      <c r="LFN106" s="769"/>
      <c r="LFO106" s="769"/>
      <c r="LFP106" s="769"/>
      <c r="LFQ106" s="769"/>
      <c r="LFR106" s="769"/>
      <c r="LFS106" s="769"/>
      <c r="LFT106" s="769"/>
      <c r="LFU106" s="769"/>
      <c r="LFV106" s="769"/>
      <c r="LFW106" s="769"/>
      <c r="LFX106" s="769"/>
      <c r="LFY106" s="769"/>
      <c r="LFZ106" s="769"/>
      <c r="LGA106" s="769"/>
      <c r="LGB106" s="769"/>
      <c r="LGC106" s="769"/>
      <c r="LGD106" s="769"/>
      <c r="LGE106" s="769"/>
      <c r="LGF106" s="769"/>
      <c r="LGG106" s="769"/>
      <c r="LGH106" s="769"/>
      <c r="LGI106" s="769"/>
      <c r="LGJ106" s="769"/>
      <c r="LGK106" s="769"/>
      <c r="LGL106" s="769"/>
      <c r="LGM106" s="769"/>
      <c r="LGN106" s="769"/>
      <c r="LGO106" s="769"/>
      <c r="LGP106" s="769"/>
      <c r="LGQ106" s="769"/>
      <c r="LGR106" s="769"/>
      <c r="LGS106" s="769"/>
      <c r="LGT106" s="769"/>
      <c r="LGU106" s="769"/>
      <c r="LGV106" s="769"/>
      <c r="LGW106" s="769"/>
      <c r="LGX106" s="769"/>
      <c r="LGY106" s="769"/>
      <c r="LGZ106" s="769"/>
      <c r="LHA106" s="769"/>
      <c r="LHB106" s="769"/>
      <c r="LHC106" s="769"/>
      <c r="LHD106" s="769"/>
      <c r="LHE106" s="769"/>
      <c r="LHF106" s="769"/>
      <c r="LHG106" s="769"/>
      <c r="LHH106" s="769"/>
      <c r="LHI106" s="769"/>
      <c r="LHJ106" s="769"/>
      <c r="LHK106" s="769"/>
      <c r="LHL106" s="769"/>
      <c r="LHM106" s="769"/>
      <c r="LHN106" s="769"/>
      <c r="LHO106" s="769"/>
      <c r="LHP106" s="769"/>
      <c r="LHQ106" s="769"/>
      <c r="LHR106" s="769"/>
      <c r="LHS106" s="769"/>
      <c r="LHT106" s="769"/>
      <c r="LHU106" s="769"/>
      <c r="LHV106" s="769"/>
      <c r="LHW106" s="769"/>
      <c r="LHX106" s="769"/>
      <c r="LHY106" s="769"/>
      <c r="LHZ106" s="769"/>
      <c r="LIA106" s="769"/>
      <c r="LIB106" s="769"/>
      <c r="LIC106" s="769"/>
      <c r="LID106" s="769"/>
      <c r="LIE106" s="769"/>
      <c r="LIF106" s="769"/>
      <c r="LIG106" s="769"/>
      <c r="LIH106" s="769"/>
      <c r="LII106" s="769"/>
      <c r="LIJ106" s="769"/>
      <c r="LIK106" s="769"/>
      <c r="LIL106" s="769"/>
      <c r="LIM106" s="769"/>
      <c r="LIN106" s="769"/>
      <c r="LIO106" s="769"/>
      <c r="LIP106" s="769"/>
      <c r="LIQ106" s="769"/>
      <c r="LIR106" s="769"/>
      <c r="LIS106" s="769"/>
      <c r="LIT106" s="769"/>
      <c r="LIU106" s="769"/>
      <c r="LIV106" s="769"/>
      <c r="LIW106" s="769"/>
      <c r="LIX106" s="769"/>
      <c r="LIY106" s="769"/>
      <c r="LIZ106" s="769"/>
      <c r="LJA106" s="769"/>
      <c r="LJB106" s="769"/>
      <c r="LJC106" s="769"/>
      <c r="LJD106" s="769"/>
      <c r="LJE106" s="769"/>
      <c r="LJF106" s="769"/>
      <c r="LJG106" s="769"/>
      <c r="LJH106" s="769"/>
      <c r="LJI106" s="769"/>
      <c r="LJJ106" s="769"/>
      <c r="LJK106" s="769"/>
      <c r="LJL106" s="769"/>
      <c r="LJM106" s="769"/>
      <c r="LJN106" s="769"/>
      <c r="LJO106" s="769"/>
      <c r="LJP106" s="769"/>
      <c r="LJQ106" s="769"/>
      <c r="LJR106" s="769"/>
      <c r="LJS106" s="769"/>
      <c r="LJT106" s="769"/>
      <c r="LJU106" s="769"/>
      <c r="LJV106" s="769"/>
      <c r="LJW106" s="769"/>
      <c r="LJX106" s="769"/>
      <c r="LJY106" s="769"/>
      <c r="LJZ106" s="769"/>
      <c r="LKA106" s="769"/>
      <c r="LKB106" s="769"/>
      <c r="LKC106" s="769"/>
      <c r="LKD106" s="769"/>
      <c r="LKE106" s="769"/>
      <c r="LKF106" s="769"/>
      <c r="LKG106" s="769"/>
      <c r="LKH106" s="769"/>
      <c r="LKI106" s="769"/>
      <c r="LKJ106" s="769"/>
      <c r="LKK106" s="769"/>
      <c r="LKL106" s="769"/>
      <c r="LKM106" s="769"/>
      <c r="LKN106" s="769"/>
      <c r="LKO106" s="769"/>
      <c r="LKP106" s="769"/>
      <c r="LKQ106" s="769"/>
      <c r="LKR106" s="769"/>
      <c r="LKS106" s="769"/>
      <c r="LKT106" s="769"/>
      <c r="LKU106" s="769"/>
      <c r="LKV106" s="769"/>
      <c r="LKW106" s="769"/>
      <c r="LKX106" s="769"/>
      <c r="LKY106" s="769"/>
      <c r="LKZ106" s="769"/>
      <c r="LLA106" s="769"/>
      <c r="LLB106" s="769"/>
      <c r="LLC106" s="769"/>
      <c r="LLD106" s="769"/>
      <c r="LLE106" s="769"/>
      <c r="LLF106" s="769"/>
      <c r="LLG106" s="769"/>
      <c r="LLH106" s="769"/>
      <c r="LLI106" s="769"/>
      <c r="LLJ106" s="769"/>
      <c r="LLK106" s="769"/>
      <c r="LLL106" s="769"/>
      <c r="LLM106" s="769"/>
      <c r="LLN106" s="769"/>
      <c r="LLO106" s="769"/>
      <c r="LLP106" s="769"/>
      <c r="LLQ106" s="769"/>
      <c r="LLR106" s="769"/>
      <c r="LLS106" s="769"/>
      <c r="LLT106" s="769"/>
      <c r="LLU106" s="769"/>
      <c r="LLV106" s="769"/>
      <c r="LLW106" s="769"/>
      <c r="LLX106" s="769"/>
      <c r="LLY106" s="769"/>
      <c r="LLZ106" s="769"/>
      <c r="LMA106" s="769"/>
      <c r="LMB106" s="769"/>
      <c r="LMC106" s="769"/>
      <c r="LMD106" s="769"/>
      <c r="LME106" s="769"/>
      <c r="LMF106" s="769"/>
      <c r="LMG106" s="769"/>
      <c r="LMH106" s="769"/>
      <c r="LMI106" s="769"/>
      <c r="LMJ106" s="769"/>
      <c r="LMK106" s="769"/>
      <c r="LML106" s="769"/>
      <c r="LMM106" s="769"/>
      <c r="LMN106" s="769"/>
      <c r="LMO106" s="769"/>
      <c r="LMP106" s="769"/>
      <c r="LMQ106" s="769"/>
      <c r="LMR106" s="769"/>
      <c r="LMS106" s="769"/>
      <c r="LMT106" s="769"/>
      <c r="LMU106" s="769"/>
      <c r="LMV106" s="769"/>
      <c r="LMW106" s="769"/>
      <c r="LMX106" s="769"/>
      <c r="LMY106" s="769"/>
      <c r="LMZ106" s="769"/>
      <c r="LNA106" s="769"/>
      <c r="LNB106" s="769"/>
      <c r="LNC106" s="769"/>
      <c r="LND106" s="769"/>
      <c r="LNE106" s="769"/>
      <c r="LNF106" s="769"/>
      <c r="LNG106" s="769"/>
      <c r="LNH106" s="769"/>
      <c r="LNI106" s="769"/>
      <c r="LNJ106" s="769"/>
      <c r="LNK106" s="769"/>
      <c r="LNL106" s="769"/>
      <c r="LNM106" s="769"/>
      <c r="LNN106" s="769"/>
      <c r="LNO106" s="769"/>
      <c r="LNP106" s="769"/>
      <c r="LNQ106" s="769"/>
      <c r="LNR106" s="769"/>
      <c r="LNS106" s="769"/>
      <c r="LNT106" s="769"/>
      <c r="LNU106" s="769"/>
      <c r="LNV106" s="769"/>
      <c r="LNW106" s="769"/>
      <c r="LNX106" s="769"/>
      <c r="LNY106" s="769"/>
      <c r="LNZ106" s="769"/>
      <c r="LOA106" s="769"/>
      <c r="LOB106" s="769"/>
      <c r="LOC106" s="769"/>
      <c r="LOD106" s="769"/>
      <c r="LOE106" s="769"/>
      <c r="LOF106" s="769"/>
      <c r="LOG106" s="769"/>
      <c r="LOH106" s="769"/>
      <c r="LOI106" s="769"/>
      <c r="LOJ106" s="769"/>
      <c r="LOK106" s="769"/>
      <c r="LOL106" s="769"/>
      <c r="LOM106" s="769"/>
      <c r="LON106" s="769"/>
      <c r="LOO106" s="769"/>
      <c r="LOP106" s="769"/>
      <c r="LOQ106" s="769"/>
      <c r="LOR106" s="769"/>
      <c r="LOS106" s="769"/>
      <c r="LOT106" s="769"/>
      <c r="LOU106" s="769"/>
      <c r="LOV106" s="769"/>
      <c r="LOW106" s="769"/>
      <c r="LOX106" s="769"/>
      <c r="LOY106" s="769"/>
      <c r="LOZ106" s="769"/>
      <c r="LPA106" s="769"/>
      <c r="LPB106" s="769"/>
      <c r="LPC106" s="769"/>
      <c r="LPD106" s="769"/>
      <c r="LPE106" s="769"/>
      <c r="LPF106" s="769"/>
      <c r="LPG106" s="769"/>
      <c r="LPH106" s="769"/>
      <c r="LPI106" s="769"/>
      <c r="LPJ106" s="769"/>
      <c r="LPK106" s="769"/>
      <c r="LPL106" s="769"/>
      <c r="LPM106" s="769"/>
      <c r="LPN106" s="769"/>
      <c r="LPO106" s="769"/>
      <c r="LPP106" s="769"/>
      <c r="LPQ106" s="769"/>
      <c r="LPR106" s="769"/>
      <c r="LPS106" s="769"/>
      <c r="LPT106" s="769"/>
      <c r="LPU106" s="769"/>
      <c r="LPV106" s="769"/>
      <c r="LPW106" s="769"/>
      <c r="LPX106" s="769"/>
      <c r="LPY106" s="769"/>
      <c r="LPZ106" s="769"/>
      <c r="LQA106" s="769"/>
      <c r="LQB106" s="769"/>
      <c r="LQC106" s="769"/>
      <c r="LQD106" s="769"/>
      <c r="LQE106" s="769"/>
      <c r="LQF106" s="769"/>
      <c r="LQG106" s="769"/>
      <c r="LQH106" s="769"/>
      <c r="LQI106" s="769"/>
      <c r="LQJ106" s="769"/>
      <c r="LQK106" s="769"/>
      <c r="LQL106" s="769"/>
      <c r="LQM106" s="769"/>
      <c r="LQN106" s="769"/>
      <c r="LQO106" s="769"/>
      <c r="LQP106" s="769"/>
      <c r="LQQ106" s="769"/>
      <c r="LQR106" s="769"/>
      <c r="LQS106" s="769"/>
      <c r="LQT106" s="769"/>
      <c r="LQU106" s="769"/>
      <c r="LQV106" s="769"/>
      <c r="LQW106" s="769"/>
      <c r="LQX106" s="769"/>
      <c r="LQY106" s="769"/>
      <c r="LQZ106" s="769"/>
      <c r="LRA106" s="769"/>
      <c r="LRB106" s="769"/>
      <c r="LRC106" s="769"/>
      <c r="LRD106" s="769"/>
      <c r="LRE106" s="769"/>
      <c r="LRF106" s="769"/>
      <c r="LRG106" s="769"/>
      <c r="LRH106" s="769"/>
      <c r="LRI106" s="769"/>
      <c r="LRJ106" s="769"/>
      <c r="LRK106" s="769"/>
      <c r="LRL106" s="769"/>
      <c r="LRM106" s="769"/>
      <c r="LRN106" s="769"/>
      <c r="LRO106" s="769"/>
      <c r="LRP106" s="769"/>
      <c r="LRQ106" s="769"/>
      <c r="LRR106" s="769"/>
      <c r="LRS106" s="769"/>
      <c r="LRT106" s="769"/>
      <c r="LRU106" s="769"/>
      <c r="LRV106" s="769"/>
      <c r="LRW106" s="769"/>
      <c r="LRX106" s="769"/>
      <c r="LRY106" s="769"/>
      <c r="LRZ106" s="769"/>
      <c r="LSA106" s="769"/>
      <c r="LSB106" s="769"/>
      <c r="LSC106" s="769"/>
      <c r="LSD106" s="769"/>
      <c r="LSE106" s="769"/>
      <c r="LSF106" s="769"/>
      <c r="LSG106" s="769"/>
      <c r="LSH106" s="769"/>
      <c r="LSI106" s="769"/>
      <c r="LSJ106" s="769"/>
      <c r="LSK106" s="769"/>
      <c r="LSL106" s="769"/>
      <c r="LSM106" s="769"/>
      <c r="LSN106" s="769"/>
      <c r="LSO106" s="769"/>
      <c r="LSP106" s="769"/>
      <c r="LSQ106" s="769"/>
      <c r="LSR106" s="769"/>
      <c r="LSS106" s="769"/>
      <c r="LST106" s="769"/>
      <c r="LSU106" s="769"/>
      <c r="LSV106" s="769"/>
      <c r="LSW106" s="769"/>
      <c r="LSX106" s="769"/>
      <c r="LSY106" s="769"/>
      <c r="LSZ106" s="769"/>
      <c r="LTA106" s="769"/>
      <c r="LTB106" s="769"/>
      <c r="LTC106" s="769"/>
      <c r="LTD106" s="769"/>
      <c r="LTE106" s="769"/>
      <c r="LTF106" s="769"/>
      <c r="LTG106" s="769"/>
      <c r="LTH106" s="769"/>
      <c r="LTI106" s="769"/>
      <c r="LTJ106" s="769"/>
      <c r="LTK106" s="769"/>
      <c r="LTL106" s="769"/>
      <c r="LTM106" s="769"/>
      <c r="LTN106" s="769"/>
      <c r="LTO106" s="769"/>
      <c r="LTP106" s="769"/>
      <c r="LTQ106" s="769"/>
      <c r="LTR106" s="769"/>
      <c r="LTS106" s="769"/>
      <c r="LTT106" s="769"/>
      <c r="LTU106" s="769"/>
      <c r="LTV106" s="769"/>
      <c r="LTW106" s="769"/>
      <c r="LTX106" s="769"/>
      <c r="LTY106" s="769"/>
      <c r="LTZ106" s="769"/>
      <c r="LUA106" s="769"/>
      <c r="LUB106" s="769"/>
      <c r="LUC106" s="769"/>
      <c r="LUD106" s="769"/>
      <c r="LUE106" s="769"/>
      <c r="LUF106" s="769"/>
      <c r="LUG106" s="769"/>
      <c r="LUH106" s="769"/>
      <c r="LUI106" s="769"/>
      <c r="LUJ106" s="769"/>
      <c r="LUK106" s="769"/>
      <c r="LUL106" s="769"/>
      <c r="LUM106" s="769"/>
      <c r="LUN106" s="769"/>
      <c r="LUO106" s="769"/>
      <c r="LUP106" s="769"/>
      <c r="LUQ106" s="769"/>
      <c r="LUR106" s="769"/>
      <c r="LUS106" s="769"/>
      <c r="LUT106" s="769"/>
      <c r="LUU106" s="769"/>
      <c r="LUV106" s="769"/>
      <c r="LUW106" s="769"/>
      <c r="LUX106" s="769"/>
      <c r="LUY106" s="769"/>
      <c r="LUZ106" s="769"/>
      <c r="LVA106" s="769"/>
      <c r="LVB106" s="769"/>
      <c r="LVC106" s="769"/>
      <c r="LVD106" s="769"/>
      <c r="LVE106" s="769"/>
      <c r="LVF106" s="769"/>
      <c r="LVG106" s="769"/>
      <c r="LVH106" s="769"/>
      <c r="LVI106" s="769"/>
      <c r="LVJ106" s="769"/>
      <c r="LVK106" s="769"/>
      <c r="LVL106" s="769"/>
      <c r="LVM106" s="769"/>
      <c r="LVN106" s="769"/>
      <c r="LVO106" s="769"/>
      <c r="LVP106" s="769"/>
      <c r="LVQ106" s="769"/>
      <c r="LVR106" s="769"/>
      <c r="LVS106" s="769"/>
      <c r="LVT106" s="769"/>
      <c r="LVU106" s="769"/>
      <c r="LVV106" s="769"/>
      <c r="LVW106" s="769"/>
      <c r="LVX106" s="769"/>
      <c r="LVY106" s="769"/>
      <c r="LVZ106" s="769"/>
      <c r="LWA106" s="769"/>
      <c r="LWB106" s="769"/>
      <c r="LWC106" s="769"/>
      <c r="LWD106" s="769"/>
      <c r="LWE106" s="769"/>
      <c r="LWF106" s="769"/>
      <c r="LWG106" s="769"/>
      <c r="LWH106" s="769"/>
      <c r="LWI106" s="769"/>
      <c r="LWJ106" s="769"/>
      <c r="LWK106" s="769"/>
      <c r="LWL106" s="769"/>
      <c r="LWM106" s="769"/>
      <c r="LWN106" s="769"/>
      <c r="LWO106" s="769"/>
      <c r="LWP106" s="769"/>
      <c r="LWQ106" s="769"/>
      <c r="LWR106" s="769"/>
      <c r="LWS106" s="769"/>
      <c r="LWT106" s="769"/>
      <c r="LWU106" s="769"/>
      <c r="LWV106" s="769"/>
      <c r="LWW106" s="769"/>
      <c r="LWX106" s="769"/>
      <c r="LWY106" s="769"/>
      <c r="LWZ106" s="769"/>
      <c r="LXA106" s="769"/>
      <c r="LXB106" s="769"/>
      <c r="LXC106" s="769"/>
      <c r="LXD106" s="769"/>
      <c r="LXE106" s="769"/>
      <c r="LXF106" s="769"/>
      <c r="LXG106" s="769"/>
      <c r="LXH106" s="769"/>
      <c r="LXI106" s="769"/>
      <c r="LXJ106" s="769"/>
      <c r="LXK106" s="769"/>
      <c r="LXL106" s="769"/>
      <c r="LXM106" s="769"/>
      <c r="LXN106" s="769"/>
      <c r="LXO106" s="769"/>
      <c r="LXP106" s="769"/>
      <c r="LXQ106" s="769"/>
      <c r="LXR106" s="769"/>
      <c r="LXS106" s="769"/>
      <c r="LXT106" s="769"/>
      <c r="LXU106" s="769"/>
      <c r="LXV106" s="769"/>
      <c r="LXW106" s="769"/>
      <c r="LXX106" s="769"/>
      <c r="LXY106" s="769"/>
      <c r="LXZ106" s="769"/>
      <c r="LYA106" s="769"/>
      <c r="LYB106" s="769"/>
      <c r="LYC106" s="769"/>
      <c r="LYD106" s="769"/>
      <c r="LYE106" s="769"/>
      <c r="LYF106" s="769"/>
      <c r="LYG106" s="769"/>
      <c r="LYH106" s="769"/>
      <c r="LYI106" s="769"/>
      <c r="LYJ106" s="769"/>
      <c r="LYK106" s="769"/>
      <c r="LYL106" s="769"/>
      <c r="LYM106" s="769"/>
      <c r="LYN106" s="769"/>
      <c r="LYO106" s="769"/>
      <c r="LYP106" s="769"/>
      <c r="LYQ106" s="769"/>
      <c r="LYR106" s="769"/>
      <c r="LYS106" s="769"/>
      <c r="LYT106" s="769"/>
      <c r="LYU106" s="769"/>
      <c r="LYV106" s="769"/>
      <c r="LYW106" s="769"/>
      <c r="LYX106" s="769"/>
      <c r="LYY106" s="769"/>
      <c r="LYZ106" s="769"/>
      <c r="LZA106" s="769"/>
      <c r="LZB106" s="769"/>
      <c r="LZC106" s="769"/>
      <c r="LZD106" s="769"/>
      <c r="LZE106" s="769"/>
      <c r="LZF106" s="769"/>
      <c r="LZG106" s="769"/>
      <c r="LZH106" s="769"/>
      <c r="LZI106" s="769"/>
      <c r="LZJ106" s="769"/>
      <c r="LZK106" s="769"/>
      <c r="LZL106" s="769"/>
      <c r="LZM106" s="769"/>
      <c r="LZN106" s="769"/>
      <c r="LZO106" s="769"/>
      <c r="LZP106" s="769"/>
      <c r="LZQ106" s="769"/>
      <c r="LZR106" s="769"/>
      <c r="LZS106" s="769"/>
      <c r="LZT106" s="769"/>
      <c r="LZU106" s="769"/>
      <c r="LZV106" s="769"/>
      <c r="LZW106" s="769"/>
      <c r="LZX106" s="769"/>
      <c r="LZY106" s="769"/>
      <c r="LZZ106" s="769"/>
      <c r="MAA106" s="769"/>
      <c r="MAB106" s="769"/>
      <c r="MAC106" s="769"/>
      <c r="MAD106" s="769"/>
      <c r="MAE106" s="769"/>
      <c r="MAF106" s="769"/>
      <c r="MAG106" s="769"/>
      <c r="MAH106" s="769"/>
      <c r="MAI106" s="769"/>
      <c r="MAJ106" s="769"/>
      <c r="MAK106" s="769"/>
      <c r="MAL106" s="769"/>
      <c r="MAM106" s="769"/>
      <c r="MAN106" s="769"/>
      <c r="MAO106" s="769"/>
      <c r="MAP106" s="769"/>
      <c r="MAQ106" s="769"/>
      <c r="MAR106" s="769"/>
      <c r="MAS106" s="769"/>
      <c r="MAT106" s="769"/>
      <c r="MAU106" s="769"/>
      <c r="MAV106" s="769"/>
      <c r="MAW106" s="769"/>
      <c r="MAX106" s="769"/>
      <c r="MAY106" s="769"/>
      <c r="MAZ106" s="769"/>
      <c r="MBA106" s="769"/>
      <c r="MBB106" s="769"/>
      <c r="MBC106" s="769"/>
      <c r="MBD106" s="769"/>
      <c r="MBE106" s="769"/>
      <c r="MBF106" s="769"/>
      <c r="MBG106" s="769"/>
      <c r="MBH106" s="769"/>
      <c r="MBI106" s="769"/>
      <c r="MBJ106" s="769"/>
      <c r="MBK106" s="769"/>
      <c r="MBL106" s="769"/>
      <c r="MBM106" s="769"/>
      <c r="MBN106" s="769"/>
      <c r="MBO106" s="769"/>
      <c r="MBP106" s="769"/>
      <c r="MBQ106" s="769"/>
      <c r="MBR106" s="769"/>
      <c r="MBS106" s="769"/>
      <c r="MBT106" s="769"/>
      <c r="MBU106" s="769"/>
      <c r="MBV106" s="769"/>
      <c r="MBW106" s="769"/>
      <c r="MBX106" s="769"/>
      <c r="MBY106" s="769"/>
      <c r="MBZ106" s="769"/>
      <c r="MCA106" s="769"/>
      <c r="MCB106" s="769"/>
      <c r="MCC106" s="769"/>
      <c r="MCD106" s="769"/>
      <c r="MCE106" s="769"/>
      <c r="MCF106" s="769"/>
      <c r="MCG106" s="769"/>
      <c r="MCH106" s="769"/>
      <c r="MCI106" s="769"/>
      <c r="MCJ106" s="769"/>
      <c r="MCK106" s="769"/>
      <c r="MCL106" s="769"/>
      <c r="MCM106" s="769"/>
      <c r="MCN106" s="769"/>
      <c r="MCO106" s="769"/>
      <c r="MCP106" s="769"/>
      <c r="MCQ106" s="769"/>
      <c r="MCR106" s="769"/>
      <c r="MCS106" s="769"/>
      <c r="MCT106" s="769"/>
      <c r="MCU106" s="769"/>
      <c r="MCV106" s="769"/>
      <c r="MCW106" s="769"/>
      <c r="MCX106" s="769"/>
      <c r="MCY106" s="769"/>
      <c r="MCZ106" s="769"/>
      <c r="MDA106" s="769"/>
      <c r="MDB106" s="769"/>
      <c r="MDC106" s="769"/>
      <c r="MDD106" s="769"/>
      <c r="MDE106" s="769"/>
      <c r="MDF106" s="769"/>
      <c r="MDG106" s="769"/>
      <c r="MDH106" s="769"/>
      <c r="MDI106" s="769"/>
      <c r="MDJ106" s="769"/>
      <c r="MDK106" s="769"/>
      <c r="MDL106" s="769"/>
      <c r="MDM106" s="769"/>
      <c r="MDN106" s="769"/>
      <c r="MDO106" s="769"/>
      <c r="MDP106" s="769"/>
      <c r="MDQ106" s="769"/>
      <c r="MDR106" s="769"/>
      <c r="MDS106" s="769"/>
      <c r="MDT106" s="769"/>
      <c r="MDU106" s="769"/>
      <c r="MDV106" s="769"/>
      <c r="MDW106" s="769"/>
      <c r="MDX106" s="769"/>
      <c r="MDY106" s="769"/>
      <c r="MDZ106" s="769"/>
      <c r="MEA106" s="769"/>
      <c r="MEB106" s="769"/>
      <c r="MEC106" s="769"/>
      <c r="MED106" s="769"/>
      <c r="MEE106" s="769"/>
      <c r="MEF106" s="769"/>
      <c r="MEG106" s="769"/>
      <c r="MEH106" s="769"/>
      <c r="MEI106" s="769"/>
      <c r="MEJ106" s="769"/>
      <c r="MEK106" s="769"/>
      <c r="MEL106" s="769"/>
      <c r="MEM106" s="769"/>
      <c r="MEN106" s="769"/>
      <c r="MEO106" s="769"/>
      <c r="MEP106" s="769"/>
      <c r="MEQ106" s="769"/>
      <c r="MER106" s="769"/>
      <c r="MES106" s="769"/>
      <c r="MET106" s="769"/>
      <c r="MEU106" s="769"/>
      <c r="MEV106" s="769"/>
      <c r="MEW106" s="769"/>
      <c r="MEX106" s="769"/>
      <c r="MEY106" s="769"/>
      <c r="MEZ106" s="769"/>
      <c r="MFA106" s="769"/>
      <c r="MFB106" s="769"/>
      <c r="MFC106" s="769"/>
      <c r="MFD106" s="769"/>
      <c r="MFE106" s="769"/>
      <c r="MFF106" s="769"/>
      <c r="MFG106" s="769"/>
      <c r="MFH106" s="769"/>
      <c r="MFI106" s="769"/>
      <c r="MFJ106" s="769"/>
      <c r="MFK106" s="769"/>
      <c r="MFL106" s="769"/>
      <c r="MFM106" s="769"/>
      <c r="MFN106" s="769"/>
      <c r="MFO106" s="769"/>
      <c r="MFP106" s="769"/>
      <c r="MFQ106" s="769"/>
      <c r="MFR106" s="769"/>
      <c r="MFS106" s="769"/>
      <c r="MFT106" s="769"/>
      <c r="MFU106" s="769"/>
      <c r="MFV106" s="769"/>
      <c r="MFW106" s="769"/>
      <c r="MFX106" s="769"/>
      <c r="MFY106" s="769"/>
      <c r="MFZ106" s="769"/>
      <c r="MGA106" s="769"/>
      <c r="MGB106" s="769"/>
      <c r="MGC106" s="769"/>
      <c r="MGD106" s="769"/>
      <c r="MGE106" s="769"/>
      <c r="MGF106" s="769"/>
      <c r="MGG106" s="769"/>
      <c r="MGH106" s="769"/>
      <c r="MGI106" s="769"/>
      <c r="MGJ106" s="769"/>
      <c r="MGK106" s="769"/>
      <c r="MGL106" s="769"/>
      <c r="MGM106" s="769"/>
      <c r="MGN106" s="769"/>
      <c r="MGO106" s="769"/>
      <c r="MGP106" s="769"/>
      <c r="MGQ106" s="769"/>
      <c r="MGR106" s="769"/>
      <c r="MGS106" s="769"/>
      <c r="MGT106" s="769"/>
      <c r="MGU106" s="769"/>
      <c r="MGV106" s="769"/>
      <c r="MGW106" s="769"/>
      <c r="MGX106" s="769"/>
      <c r="MGY106" s="769"/>
      <c r="MGZ106" s="769"/>
      <c r="MHA106" s="769"/>
      <c r="MHB106" s="769"/>
      <c r="MHC106" s="769"/>
      <c r="MHD106" s="769"/>
      <c r="MHE106" s="769"/>
      <c r="MHF106" s="769"/>
      <c r="MHG106" s="769"/>
      <c r="MHH106" s="769"/>
      <c r="MHI106" s="769"/>
      <c r="MHJ106" s="769"/>
      <c r="MHK106" s="769"/>
      <c r="MHL106" s="769"/>
      <c r="MHM106" s="769"/>
      <c r="MHN106" s="769"/>
      <c r="MHO106" s="769"/>
      <c r="MHP106" s="769"/>
      <c r="MHQ106" s="769"/>
      <c r="MHR106" s="769"/>
      <c r="MHS106" s="769"/>
      <c r="MHT106" s="769"/>
      <c r="MHU106" s="769"/>
      <c r="MHV106" s="769"/>
      <c r="MHW106" s="769"/>
      <c r="MHX106" s="769"/>
      <c r="MHY106" s="769"/>
      <c r="MHZ106" s="769"/>
      <c r="MIA106" s="769"/>
      <c r="MIB106" s="769"/>
      <c r="MIC106" s="769"/>
      <c r="MID106" s="769"/>
      <c r="MIE106" s="769"/>
      <c r="MIF106" s="769"/>
      <c r="MIG106" s="769"/>
      <c r="MIH106" s="769"/>
      <c r="MII106" s="769"/>
      <c r="MIJ106" s="769"/>
      <c r="MIK106" s="769"/>
      <c r="MIL106" s="769"/>
      <c r="MIM106" s="769"/>
      <c r="MIN106" s="769"/>
      <c r="MIO106" s="769"/>
      <c r="MIP106" s="769"/>
      <c r="MIQ106" s="769"/>
      <c r="MIR106" s="769"/>
      <c r="MIS106" s="769"/>
      <c r="MIT106" s="769"/>
      <c r="MIU106" s="769"/>
      <c r="MIV106" s="769"/>
      <c r="MIW106" s="769"/>
      <c r="MIX106" s="769"/>
      <c r="MIY106" s="769"/>
      <c r="MIZ106" s="769"/>
      <c r="MJA106" s="769"/>
      <c r="MJB106" s="769"/>
      <c r="MJC106" s="769"/>
      <c r="MJD106" s="769"/>
      <c r="MJE106" s="769"/>
      <c r="MJF106" s="769"/>
      <c r="MJG106" s="769"/>
      <c r="MJH106" s="769"/>
      <c r="MJI106" s="769"/>
      <c r="MJJ106" s="769"/>
      <c r="MJK106" s="769"/>
      <c r="MJL106" s="769"/>
      <c r="MJM106" s="769"/>
      <c r="MJN106" s="769"/>
      <c r="MJO106" s="769"/>
      <c r="MJP106" s="769"/>
      <c r="MJQ106" s="769"/>
      <c r="MJR106" s="769"/>
      <c r="MJS106" s="769"/>
      <c r="MJT106" s="769"/>
      <c r="MJU106" s="769"/>
      <c r="MJV106" s="769"/>
      <c r="MJW106" s="769"/>
      <c r="MJX106" s="769"/>
      <c r="MJY106" s="769"/>
      <c r="MJZ106" s="769"/>
      <c r="MKA106" s="769"/>
      <c r="MKB106" s="769"/>
      <c r="MKC106" s="769"/>
      <c r="MKD106" s="769"/>
      <c r="MKE106" s="769"/>
      <c r="MKF106" s="769"/>
      <c r="MKG106" s="769"/>
      <c r="MKH106" s="769"/>
      <c r="MKI106" s="769"/>
      <c r="MKJ106" s="769"/>
      <c r="MKK106" s="769"/>
      <c r="MKL106" s="769"/>
      <c r="MKM106" s="769"/>
      <c r="MKN106" s="769"/>
      <c r="MKO106" s="769"/>
      <c r="MKP106" s="769"/>
      <c r="MKQ106" s="769"/>
      <c r="MKR106" s="769"/>
      <c r="MKS106" s="769"/>
      <c r="MKT106" s="769"/>
      <c r="MKU106" s="769"/>
      <c r="MKV106" s="769"/>
      <c r="MKW106" s="769"/>
      <c r="MKX106" s="769"/>
      <c r="MKY106" s="769"/>
      <c r="MKZ106" s="769"/>
      <c r="MLA106" s="769"/>
      <c r="MLB106" s="769"/>
      <c r="MLC106" s="769"/>
      <c r="MLD106" s="769"/>
      <c r="MLE106" s="769"/>
      <c r="MLF106" s="769"/>
      <c r="MLG106" s="769"/>
      <c r="MLH106" s="769"/>
      <c r="MLI106" s="769"/>
      <c r="MLJ106" s="769"/>
      <c r="MLK106" s="769"/>
      <c r="MLL106" s="769"/>
      <c r="MLM106" s="769"/>
      <c r="MLN106" s="769"/>
      <c r="MLO106" s="769"/>
      <c r="MLP106" s="769"/>
      <c r="MLQ106" s="769"/>
      <c r="MLR106" s="769"/>
      <c r="MLS106" s="769"/>
      <c r="MLT106" s="769"/>
      <c r="MLU106" s="769"/>
      <c r="MLV106" s="769"/>
      <c r="MLW106" s="769"/>
      <c r="MLX106" s="769"/>
      <c r="MLY106" s="769"/>
      <c r="MLZ106" s="769"/>
      <c r="MMA106" s="769"/>
      <c r="MMB106" s="769"/>
      <c r="MMC106" s="769"/>
      <c r="MMD106" s="769"/>
      <c r="MME106" s="769"/>
      <c r="MMF106" s="769"/>
      <c r="MMG106" s="769"/>
      <c r="MMH106" s="769"/>
      <c r="MMI106" s="769"/>
      <c r="MMJ106" s="769"/>
      <c r="MMK106" s="769"/>
      <c r="MML106" s="769"/>
      <c r="MMM106" s="769"/>
      <c r="MMN106" s="769"/>
      <c r="MMO106" s="769"/>
      <c r="MMP106" s="769"/>
      <c r="MMQ106" s="769"/>
      <c r="MMR106" s="769"/>
      <c r="MMS106" s="769"/>
      <c r="MMT106" s="769"/>
      <c r="MMU106" s="769"/>
      <c r="MMV106" s="769"/>
      <c r="MMW106" s="769"/>
      <c r="MMX106" s="769"/>
      <c r="MMY106" s="769"/>
      <c r="MMZ106" s="769"/>
      <c r="MNA106" s="769"/>
      <c r="MNB106" s="769"/>
      <c r="MNC106" s="769"/>
      <c r="MND106" s="769"/>
      <c r="MNE106" s="769"/>
      <c r="MNF106" s="769"/>
      <c r="MNG106" s="769"/>
      <c r="MNH106" s="769"/>
      <c r="MNI106" s="769"/>
      <c r="MNJ106" s="769"/>
      <c r="MNK106" s="769"/>
      <c r="MNL106" s="769"/>
      <c r="MNM106" s="769"/>
      <c r="MNN106" s="769"/>
      <c r="MNO106" s="769"/>
      <c r="MNP106" s="769"/>
      <c r="MNQ106" s="769"/>
      <c r="MNR106" s="769"/>
      <c r="MNS106" s="769"/>
      <c r="MNT106" s="769"/>
      <c r="MNU106" s="769"/>
      <c r="MNV106" s="769"/>
      <c r="MNW106" s="769"/>
      <c r="MNX106" s="769"/>
      <c r="MNY106" s="769"/>
      <c r="MNZ106" s="769"/>
      <c r="MOA106" s="769"/>
      <c r="MOB106" s="769"/>
      <c r="MOC106" s="769"/>
      <c r="MOD106" s="769"/>
      <c r="MOE106" s="769"/>
      <c r="MOF106" s="769"/>
      <c r="MOG106" s="769"/>
      <c r="MOH106" s="769"/>
      <c r="MOI106" s="769"/>
      <c r="MOJ106" s="769"/>
      <c r="MOK106" s="769"/>
      <c r="MOL106" s="769"/>
      <c r="MOM106" s="769"/>
      <c r="MON106" s="769"/>
      <c r="MOO106" s="769"/>
      <c r="MOP106" s="769"/>
      <c r="MOQ106" s="769"/>
      <c r="MOR106" s="769"/>
      <c r="MOS106" s="769"/>
      <c r="MOT106" s="769"/>
      <c r="MOU106" s="769"/>
      <c r="MOV106" s="769"/>
      <c r="MOW106" s="769"/>
      <c r="MOX106" s="769"/>
      <c r="MOY106" s="769"/>
      <c r="MOZ106" s="769"/>
      <c r="MPA106" s="769"/>
      <c r="MPB106" s="769"/>
      <c r="MPC106" s="769"/>
      <c r="MPD106" s="769"/>
      <c r="MPE106" s="769"/>
      <c r="MPF106" s="769"/>
      <c r="MPG106" s="769"/>
      <c r="MPH106" s="769"/>
      <c r="MPI106" s="769"/>
      <c r="MPJ106" s="769"/>
      <c r="MPK106" s="769"/>
      <c r="MPL106" s="769"/>
      <c r="MPM106" s="769"/>
      <c r="MPN106" s="769"/>
      <c r="MPO106" s="769"/>
      <c r="MPP106" s="769"/>
      <c r="MPQ106" s="769"/>
      <c r="MPR106" s="769"/>
      <c r="MPS106" s="769"/>
      <c r="MPT106" s="769"/>
      <c r="MPU106" s="769"/>
      <c r="MPV106" s="769"/>
      <c r="MPW106" s="769"/>
      <c r="MPX106" s="769"/>
      <c r="MPY106" s="769"/>
      <c r="MPZ106" s="769"/>
      <c r="MQA106" s="769"/>
      <c r="MQB106" s="769"/>
      <c r="MQC106" s="769"/>
      <c r="MQD106" s="769"/>
      <c r="MQE106" s="769"/>
      <c r="MQF106" s="769"/>
      <c r="MQG106" s="769"/>
      <c r="MQH106" s="769"/>
      <c r="MQI106" s="769"/>
      <c r="MQJ106" s="769"/>
      <c r="MQK106" s="769"/>
      <c r="MQL106" s="769"/>
      <c r="MQM106" s="769"/>
      <c r="MQN106" s="769"/>
      <c r="MQO106" s="769"/>
      <c r="MQP106" s="769"/>
      <c r="MQQ106" s="769"/>
      <c r="MQR106" s="769"/>
      <c r="MQS106" s="769"/>
      <c r="MQT106" s="769"/>
      <c r="MQU106" s="769"/>
      <c r="MQV106" s="769"/>
      <c r="MQW106" s="769"/>
      <c r="MQX106" s="769"/>
      <c r="MQY106" s="769"/>
      <c r="MQZ106" s="769"/>
      <c r="MRA106" s="769"/>
      <c r="MRB106" s="769"/>
      <c r="MRC106" s="769"/>
      <c r="MRD106" s="769"/>
      <c r="MRE106" s="769"/>
      <c r="MRF106" s="769"/>
      <c r="MRG106" s="769"/>
      <c r="MRH106" s="769"/>
      <c r="MRI106" s="769"/>
      <c r="MRJ106" s="769"/>
      <c r="MRK106" s="769"/>
      <c r="MRL106" s="769"/>
      <c r="MRM106" s="769"/>
      <c r="MRN106" s="769"/>
      <c r="MRO106" s="769"/>
      <c r="MRP106" s="769"/>
      <c r="MRQ106" s="769"/>
      <c r="MRR106" s="769"/>
      <c r="MRS106" s="769"/>
      <c r="MRT106" s="769"/>
      <c r="MRU106" s="769"/>
      <c r="MRV106" s="769"/>
      <c r="MRW106" s="769"/>
      <c r="MRX106" s="769"/>
      <c r="MRY106" s="769"/>
      <c r="MRZ106" s="769"/>
      <c r="MSA106" s="769"/>
      <c r="MSB106" s="769"/>
      <c r="MSC106" s="769"/>
      <c r="MSD106" s="769"/>
      <c r="MSE106" s="769"/>
      <c r="MSF106" s="769"/>
      <c r="MSG106" s="769"/>
      <c r="MSH106" s="769"/>
      <c r="MSI106" s="769"/>
      <c r="MSJ106" s="769"/>
      <c r="MSK106" s="769"/>
      <c r="MSL106" s="769"/>
      <c r="MSM106" s="769"/>
      <c r="MSN106" s="769"/>
      <c r="MSO106" s="769"/>
      <c r="MSP106" s="769"/>
      <c r="MSQ106" s="769"/>
      <c r="MSR106" s="769"/>
      <c r="MSS106" s="769"/>
      <c r="MST106" s="769"/>
      <c r="MSU106" s="769"/>
      <c r="MSV106" s="769"/>
      <c r="MSW106" s="769"/>
      <c r="MSX106" s="769"/>
      <c r="MSY106" s="769"/>
      <c r="MSZ106" s="769"/>
      <c r="MTA106" s="769"/>
      <c r="MTB106" s="769"/>
      <c r="MTC106" s="769"/>
      <c r="MTD106" s="769"/>
      <c r="MTE106" s="769"/>
      <c r="MTF106" s="769"/>
      <c r="MTG106" s="769"/>
      <c r="MTH106" s="769"/>
      <c r="MTI106" s="769"/>
      <c r="MTJ106" s="769"/>
      <c r="MTK106" s="769"/>
      <c r="MTL106" s="769"/>
      <c r="MTM106" s="769"/>
      <c r="MTN106" s="769"/>
      <c r="MTO106" s="769"/>
      <c r="MTP106" s="769"/>
      <c r="MTQ106" s="769"/>
      <c r="MTR106" s="769"/>
      <c r="MTS106" s="769"/>
      <c r="MTT106" s="769"/>
      <c r="MTU106" s="769"/>
      <c r="MTV106" s="769"/>
      <c r="MTW106" s="769"/>
      <c r="MTX106" s="769"/>
      <c r="MTY106" s="769"/>
      <c r="MTZ106" s="769"/>
      <c r="MUA106" s="769"/>
      <c r="MUB106" s="769"/>
      <c r="MUC106" s="769"/>
      <c r="MUD106" s="769"/>
      <c r="MUE106" s="769"/>
      <c r="MUF106" s="769"/>
      <c r="MUG106" s="769"/>
      <c r="MUH106" s="769"/>
      <c r="MUI106" s="769"/>
      <c r="MUJ106" s="769"/>
      <c r="MUK106" s="769"/>
      <c r="MUL106" s="769"/>
      <c r="MUM106" s="769"/>
      <c r="MUN106" s="769"/>
      <c r="MUO106" s="769"/>
      <c r="MUP106" s="769"/>
      <c r="MUQ106" s="769"/>
      <c r="MUR106" s="769"/>
      <c r="MUS106" s="769"/>
      <c r="MUT106" s="769"/>
      <c r="MUU106" s="769"/>
      <c r="MUV106" s="769"/>
      <c r="MUW106" s="769"/>
      <c r="MUX106" s="769"/>
      <c r="MUY106" s="769"/>
      <c r="MUZ106" s="769"/>
      <c r="MVA106" s="769"/>
      <c r="MVB106" s="769"/>
      <c r="MVC106" s="769"/>
      <c r="MVD106" s="769"/>
      <c r="MVE106" s="769"/>
      <c r="MVF106" s="769"/>
      <c r="MVG106" s="769"/>
      <c r="MVH106" s="769"/>
      <c r="MVI106" s="769"/>
      <c r="MVJ106" s="769"/>
      <c r="MVK106" s="769"/>
      <c r="MVL106" s="769"/>
      <c r="MVM106" s="769"/>
      <c r="MVN106" s="769"/>
      <c r="MVO106" s="769"/>
      <c r="MVP106" s="769"/>
      <c r="MVQ106" s="769"/>
      <c r="MVR106" s="769"/>
      <c r="MVS106" s="769"/>
      <c r="MVT106" s="769"/>
      <c r="MVU106" s="769"/>
      <c r="MVV106" s="769"/>
      <c r="MVW106" s="769"/>
      <c r="MVX106" s="769"/>
      <c r="MVY106" s="769"/>
      <c r="MVZ106" s="769"/>
      <c r="MWA106" s="769"/>
      <c r="MWB106" s="769"/>
      <c r="MWC106" s="769"/>
      <c r="MWD106" s="769"/>
      <c r="MWE106" s="769"/>
      <c r="MWF106" s="769"/>
      <c r="MWG106" s="769"/>
      <c r="MWH106" s="769"/>
      <c r="MWI106" s="769"/>
      <c r="MWJ106" s="769"/>
      <c r="MWK106" s="769"/>
      <c r="MWL106" s="769"/>
      <c r="MWM106" s="769"/>
      <c r="MWN106" s="769"/>
      <c r="MWO106" s="769"/>
      <c r="MWP106" s="769"/>
      <c r="MWQ106" s="769"/>
      <c r="MWR106" s="769"/>
      <c r="MWS106" s="769"/>
      <c r="MWT106" s="769"/>
      <c r="MWU106" s="769"/>
      <c r="MWV106" s="769"/>
      <c r="MWW106" s="769"/>
      <c r="MWX106" s="769"/>
      <c r="MWY106" s="769"/>
      <c r="MWZ106" s="769"/>
      <c r="MXA106" s="769"/>
      <c r="MXB106" s="769"/>
      <c r="MXC106" s="769"/>
      <c r="MXD106" s="769"/>
      <c r="MXE106" s="769"/>
      <c r="MXF106" s="769"/>
      <c r="MXG106" s="769"/>
      <c r="MXH106" s="769"/>
      <c r="MXI106" s="769"/>
      <c r="MXJ106" s="769"/>
      <c r="MXK106" s="769"/>
      <c r="MXL106" s="769"/>
      <c r="MXM106" s="769"/>
      <c r="MXN106" s="769"/>
      <c r="MXO106" s="769"/>
      <c r="MXP106" s="769"/>
      <c r="MXQ106" s="769"/>
      <c r="MXR106" s="769"/>
      <c r="MXS106" s="769"/>
      <c r="MXT106" s="769"/>
      <c r="MXU106" s="769"/>
      <c r="MXV106" s="769"/>
      <c r="MXW106" s="769"/>
      <c r="MXX106" s="769"/>
      <c r="MXY106" s="769"/>
      <c r="MXZ106" s="769"/>
      <c r="MYA106" s="769"/>
      <c r="MYB106" s="769"/>
      <c r="MYC106" s="769"/>
      <c r="MYD106" s="769"/>
      <c r="MYE106" s="769"/>
      <c r="MYF106" s="769"/>
      <c r="MYG106" s="769"/>
      <c r="MYH106" s="769"/>
      <c r="MYI106" s="769"/>
      <c r="MYJ106" s="769"/>
      <c r="MYK106" s="769"/>
      <c r="MYL106" s="769"/>
      <c r="MYM106" s="769"/>
      <c r="MYN106" s="769"/>
      <c r="MYO106" s="769"/>
      <c r="MYP106" s="769"/>
      <c r="MYQ106" s="769"/>
      <c r="MYR106" s="769"/>
      <c r="MYS106" s="769"/>
      <c r="MYT106" s="769"/>
      <c r="MYU106" s="769"/>
      <c r="MYV106" s="769"/>
      <c r="MYW106" s="769"/>
      <c r="MYX106" s="769"/>
      <c r="MYY106" s="769"/>
      <c r="MYZ106" s="769"/>
      <c r="MZA106" s="769"/>
      <c r="MZB106" s="769"/>
      <c r="MZC106" s="769"/>
      <c r="MZD106" s="769"/>
      <c r="MZE106" s="769"/>
      <c r="MZF106" s="769"/>
      <c r="MZG106" s="769"/>
      <c r="MZH106" s="769"/>
      <c r="MZI106" s="769"/>
      <c r="MZJ106" s="769"/>
      <c r="MZK106" s="769"/>
      <c r="MZL106" s="769"/>
      <c r="MZM106" s="769"/>
      <c r="MZN106" s="769"/>
      <c r="MZO106" s="769"/>
      <c r="MZP106" s="769"/>
      <c r="MZQ106" s="769"/>
      <c r="MZR106" s="769"/>
      <c r="MZS106" s="769"/>
      <c r="MZT106" s="769"/>
      <c r="MZU106" s="769"/>
      <c r="MZV106" s="769"/>
      <c r="MZW106" s="769"/>
      <c r="MZX106" s="769"/>
      <c r="MZY106" s="769"/>
      <c r="MZZ106" s="769"/>
      <c r="NAA106" s="769"/>
      <c r="NAB106" s="769"/>
      <c r="NAC106" s="769"/>
      <c r="NAD106" s="769"/>
      <c r="NAE106" s="769"/>
      <c r="NAF106" s="769"/>
      <c r="NAG106" s="769"/>
      <c r="NAH106" s="769"/>
      <c r="NAI106" s="769"/>
      <c r="NAJ106" s="769"/>
      <c r="NAK106" s="769"/>
      <c r="NAL106" s="769"/>
      <c r="NAM106" s="769"/>
      <c r="NAN106" s="769"/>
      <c r="NAO106" s="769"/>
      <c r="NAP106" s="769"/>
      <c r="NAQ106" s="769"/>
      <c r="NAR106" s="769"/>
      <c r="NAS106" s="769"/>
      <c r="NAT106" s="769"/>
      <c r="NAU106" s="769"/>
      <c r="NAV106" s="769"/>
      <c r="NAW106" s="769"/>
      <c r="NAX106" s="769"/>
      <c r="NAY106" s="769"/>
      <c r="NAZ106" s="769"/>
      <c r="NBA106" s="769"/>
      <c r="NBB106" s="769"/>
      <c r="NBC106" s="769"/>
      <c r="NBD106" s="769"/>
      <c r="NBE106" s="769"/>
      <c r="NBF106" s="769"/>
      <c r="NBG106" s="769"/>
      <c r="NBH106" s="769"/>
      <c r="NBI106" s="769"/>
      <c r="NBJ106" s="769"/>
      <c r="NBK106" s="769"/>
      <c r="NBL106" s="769"/>
      <c r="NBM106" s="769"/>
      <c r="NBN106" s="769"/>
      <c r="NBO106" s="769"/>
      <c r="NBP106" s="769"/>
      <c r="NBQ106" s="769"/>
      <c r="NBR106" s="769"/>
      <c r="NBS106" s="769"/>
      <c r="NBT106" s="769"/>
      <c r="NBU106" s="769"/>
      <c r="NBV106" s="769"/>
      <c r="NBW106" s="769"/>
      <c r="NBX106" s="769"/>
      <c r="NBY106" s="769"/>
      <c r="NBZ106" s="769"/>
      <c r="NCA106" s="769"/>
      <c r="NCB106" s="769"/>
      <c r="NCC106" s="769"/>
      <c r="NCD106" s="769"/>
      <c r="NCE106" s="769"/>
      <c r="NCF106" s="769"/>
      <c r="NCG106" s="769"/>
      <c r="NCH106" s="769"/>
      <c r="NCI106" s="769"/>
      <c r="NCJ106" s="769"/>
      <c r="NCK106" s="769"/>
      <c r="NCL106" s="769"/>
      <c r="NCM106" s="769"/>
      <c r="NCN106" s="769"/>
      <c r="NCO106" s="769"/>
      <c r="NCP106" s="769"/>
      <c r="NCQ106" s="769"/>
      <c r="NCR106" s="769"/>
      <c r="NCS106" s="769"/>
      <c r="NCT106" s="769"/>
      <c r="NCU106" s="769"/>
      <c r="NCV106" s="769"/>
      <c r="NCW106" s="769"/>
      <c r="NCX106" s="769"/>
      <c r="NCY106" s="769"/>
      <c r="NCZ106" s="769"/>
      <c r="NDA106" s="769"/>
      <c r="NDB106" s="769"/>
      <c r="NDC106" s="769"/>
      <c r="NDD106" s="769"/>
      <c r="NDE106" s="769"/>
      <c r="NDF106" s="769"/>
      <c r="NDG106" s="769"/>
      <c r="NDH106" s="769"/>
      <c r="NDI106" s="769"/>
      <c r="NDJ106" s="769"/>
      <c r="NDK106" s="769"/>
      <c r="NDL106" s="769"/>
      <c r="NDM106" s="769"/>
      <c r="NDN106" s="769"/>
      <c r="NDO106" s="769"/>
      <c r="NDP106" s="769"/>
      <c r="NDQ106" s="769"/>
      <c r="NDR106" s="769"/>
      <c r="NDS106" s="769"/>
      <c r="NDT106" s="769"/>
      <c r="NDU106" s="769"/>
      <c r="NDV106" s="769"/>
      <c r="NDW106" s="769"/>
      <c r="NDX106" s="769"/>
      <c r="NDY106" s="769"/>
      <c r="NDZ106" s="769"/>
      <c r="NEA106" s="769"/>
      <c r="NEB106" s="769"/>
      <c r="NEC106" s="769"/>
      <c r="NED106" s="769"/>
      <c r="NEE106" s="769"/>
      <c r="NEF106" s="769"/>
      <c r="NEG106" s="769"/>
      <c r="NEH106" s="769"/>
      <c r="NEI106" s="769"/>
      <c r="NEJ106" s="769"/>
      <c r="NEK106" s="769"/>
      <c r="NEL106" s="769"/>
      <c r="NEM106" s="769"/>
      <c r="NEN106" s="769"/>
      <c r="NEO106" s="769"/>
      <c r="NEP106" s="769"/>
      <c r="NEQ106" s="769"/>
      <c r="NER106" s="769"/>
      <c r="NES106" s="769"/>
      <c r="NET106" s="769"/>
      <c r="NEU106" s="769"/>
      <c r="NEV106" s="769"/>
      <c r="NEW106" s="769"/>
      <c r="NEX106" s="769"/>
      <c r="NEY106" s="769"/>
      <c r="NEZ106" s="769"/>
      <c r="NFA106" s="769"/>
      <c r="NFB106" s="769"/>
      <c r="NFC106" s="769"/>
      <c r="NFD106" s="769"/>
      <c r="NFE106" s="769"/>
      <c r="NFF106" s="769"/>
      <c r="NFG106" s="769"/>
      <c r="NFH106" s="769"/>
      <c r="NFI106" s="769"/>
      <c r="NFJ106" s="769"/>
      <c r="NFK106" s="769"/>
      <c r="NFL106" s="769"/>
      <c r="NFM106" s="769"/>
      <c r="NFN106" s="769"/>
      <c r="NFO106" s="769"/>
      <c r="NFP106" s="769"/>
      <c r="NFQ106" s="769"/>
      <c r="NFR106" s="769"/>
      <c r="NFS106" s="769"/>
      <c r="NFT106" s="769"/>
      <c r="NFU106" s="769"/>
      <c r="NFV106" s="769"/>
      <c r="NFW106" s="769"/>
      <c r="NFX106" s="769"/>
      <c r="NFY106" s="769"/>
      <c r="NFZ106" s="769"/>
      <c r="NGA106" s="769"/>
      <c r="NGB106" s="769"/>
      <c r="NGC106" s="769"/>
      <c r="NGD106" s="769"/>
      <c r="NGE106" s="769"/>
      <c r="NGF106" s="769"/>
      <c r="NGG106" s="769"/>
      <c r="NGH106" s="769"/>
      <c r="NGI106" s="769"/>
      <c r="NGJ106" s="769"/>
      <c r="NGK106" s="769"/>
      <c r="NGL106" s="769"/>
      <c r="NGM106" s="769"/>
      <c r="NGN106" s="769"/>
      <c r="NGO106" s="769"/>
      <c r="NGP106" s="769"/>
      <c r="NGQ106" s="769"/>
      <c r="NGR106" s="769"/>
      <c r="NGS106" s="769"/>
      <c r="NGT106" s="769"/>
      <c r="NGU106" s="769"/>
      <c r="NGV106" s="769"/>
      <c r="NGW106" s="769"/>
      <c r="NGX106" s="769"/>
      <c r="NGY106" s="769"/>
      <c r="NGZ106" s="769"/>
      <c r="NHA106" s="769"/>
      <c r="NHB106" s="769"/>
      <c r="NHC106" s="769"/>
      <c r="NHD106" s="769"/>
      <c r="NHE106" s="769"/>
      <c r="NHF106" s="769"/>
      <c r="NHG106" s="769"/>
      <c r="NHH106" s="769"/>
      <c r="NHI106" s="769"/>
      <c r="NHJ106" s="769"/>
      <c r="NHK106" s="769"/>
      <c r="NHL106" s="769"/>
      <c r="NHM106" s="769"/>
      <c r="NHN106" s="769"/>
      <c r="NHO106" s="769"/>
      <c r="NHP106" s="769"/>
      <c r="NHQ106" s="769"/>
      <c r="NHR106" s="769"/>
      <c r="NHS106" s="769"/>
      <c r="NHT106" s="769"/>
      <c r="NHU106" s="769"/>
      <c r="NHV106" s="769"/>
      <c r="NHW106" s="769"/>
      <c r="NHX106" s="769"/>
      <c r="NHY106" s="769"/>
      <c r="NHZ106" s="769"/>
      <c r="NIA106" s="769"/>
      <c r="NIB106" s="769"/>
      <c r="NIC106" s="769"/>
      <c r="NID106" s="769"/>
      <c r="NIE106" s="769"/>
      <c r="NIF106" s="769"/>
      <c r="NIG106" s="769"/>
      <c r="NIH106" s="769"/>
      <c r="NII106" s="769"/>
      <c r="NIJ106" s="769"/>
      <c r="NIK106" s="769"/>
      <c r="NIL106" s="769"/>
      <c r="NIM106" s="769"/>
      <c r="NIN106" s="769"/>
      <c r="NIO106" s="769"/>
      <c r="NIP106" s="769"/>
      <c r="NIQ106" s="769"/>
      <c r="NIR106" s="769"/>
      <c r="NIS106" s="769"/>
      <c r="NIT106" s="769"/>
      <c r="NIU106" s="769"/>
      <c r="NIV106" s="769"/>
      <c r="NIW106" s="769"/>
      <c r="NIX106" s="769"/>
      <c r="NIY106" s="769"/>
      <c r="NIZ106" s="769"/>
      <c r="NJA106" s="769"/>
      <c r="NJB106" s="769"/>
      <c r="NJC106" s="769"/>
      <c r="NJD106" s="769"/>
      <c r="NJE106" s="769"/>
      <c r="NJF106" s="769"/>
      <c r="NJG106" s="769"/>
      <c r="NJH106" s="769"/>
      <c r="NJI106" s="769"/>
      <c r="NJJ106" s="769"/>
      <c r="NJK106" s="769"/>
      <c r="NJL106" s="769"/>
      <c r="NJM106" s="769"/>
      <c r="NJN106" s="769"/>
      <c r="NJO106" s="769"/>
      <c r="NJP106" s="769"/>
      <c r="NJQ106" s="769"/>
      <c r="NJR106" s="769"/>
      <c r="NJS106" s="769"/>
      <c r="NJT106" s="769"/>
      <c r="NJU106" s="769"/>
      <c r="NJV106" s="769"/>
      <c r="NJW106" s="769"/>
      <c r="NJX106" s="769"/>
      <c r="NJY106" s="769"/>
      <c r="NJZ106" s="769"/>
      <c r="NKA106" s="769"/>
      <c r="NKB106" s="769"/>
      <c r="NKC106" s="769"/>
      <c r="NKD106" s="769"/>
      <c r="NKE106" s="769"/>
      <c r="NKF106" s="769"/>
      <c r="NKG106" s="769"/>
      <c r="NKH106" s="769"/>
      <c r="NKI106" s="769"/>
      <c r="NKJ106" s="769"/>
      <c r="NKK106" s="769"/>
      <c r="NKL106" s="769"/>
      <c r="NKM106" s="769"/>
      <c r="NKN106" s="769"/>
      <c r="NKO106" s="769"/>
      <c r="NKP106" s="769"/>
      <c r="NKQ106" s="769"/>
      <c r="NKR106" s="769"/>
      <c r="NKS106" s="769"/>
      <c r="NKT106" s="769"/>
      <c r="NKU106" s="769"/>
      <c r="NKV106" s="769"/>
      <c r="NKW106" s="769"/>
      <c r="NKX106" s="769"/>
      <c r="NKY106" s="769"/>
      <c r="NKZ106" s="769"/>
      <c r="NLA106" s="769"/>
      <c r="NLB106" s="769"/>
      <c r="NLC106" s="769"/>
      <c r="NLD106" s="769"/>
      <c r="NLE106" s="769"/>
      <c r="NLF106" s="769"/>
      <c r="NLG106" s="769"/>
      <c r="NLH106" s="769"/>
      <c r="NLI106" s="769"/>
      <c r="NLJ106" s="769"/>
      <c r="NLK106" s="769"/>
      <c r="NLL106" s="769"/>
      <c r="NLM106" s="769"/>
      <c r="NLN106" s="769"/>
      <c r="NLO106" s="769"/>
      <c r="NLP106" s="769"/>
      <c r="NLQ106" s="769"/>
      <c r="NLR106" s="769"/>
      <c r="NLS106" s="769"/>
      <c r="NLT106" s="769"/>
      <c r="NLU106" s="769"/>
      <c r="NLV106" s="769"/>
      <c r="NLW106" s="769"/>
      <c r="NLX106" s="769"/>
      <c r="NLY106" s="769"/>
      <c r="NLZ106" s="769"/>
      <c r="NMA106" s="769"/>
      <c r="NMB106" s="769"/>
      <c r="NMC106" s="769"/>
      <c r="NMD106" s="769"/>
      <c r="NME106" s="769"/>
      <c r="NMF106" s="769"/>
      <c r="NMG106" s="769"/>
      <c r="NMH106" s="769"/>
      <c r="NMI106" s="769"/>
      <c r="NMJ106" s="769"/>
      <c r="NMK106" s="769"/>
      <c r="NML106" s="769"/>
      <c r="NMM106" s="769"/>
      <c r="NMN106" s="769"/>
      <c r="NMO106" s="769"/>
      <c r="NMP106" s="769"/>
      <c r="NMQ106" s="769"/>
      <c r="NMR106" s="769"/>
      <c r="NMS106" s="769"/>
      <c r="NMT106" s="769"/>
      <c r="NMU106" s="769"/>
      <c r="NMV106" s="769"/>
      <c r="NMW106" s="769"/>
      <c r="NMX106" s="769"/>
      <c r="NMY106" s="769"/>
      <c r="NMZ106" s="769"/>
      <c r="NNA106" s="769"/>
      <c r="NNB106" s="769"/>
      <c r="NNC106" s="769"/>
      <c r="NND106" s="769"/>
      <c r="NNE106" s="769"/>
      <c r="NNF106" s="769"/>
      <c r="NNG106" s="769"/>
      <c r="NNH106" s="769"/>
      <c r="NNI106" s="769"/>
      <c r="NNJ106" s="769"/>
      <c r="NNK106" s="769"/>
      <c r="NNL106" s="769"/>
      <c r="NNM106" s="769"/>
      <c r="NNN106" s="769"/>
      <c r="NNO106" s="769"/>
      <c r="NNP106" s="769"/>
      <c r="NNQ106" s="769"/>
      <c r="NNR106" s="769"/>
      <c r="NNS106" s="769"/>
      <c r="NNT106" s="769"/>
      <c r="NNU106" s="769"/>
      <c r="NNV106" s="769"/>
      <c r="NNW106" s="769"/>
      <c r="NNX106" s="769"/>
      <c r="NNY106" s="769"/>
      <c r="NNZ106" s="769"/>
      <c r="NOA106" s="769"/>
      <c r="NOB106" s="769"/>
      <c r="NOC106" s="769"/>
      <c r="NOD106" s="769"/>
      <c r="NOE106" s="769"/>
      <c r="NOF106" s="769"/>
      <c r="NOG106" s="769"/>
      <c r="NOH106" s="769"/>
      <c r="NOI106" s="769"/>
      <c r="NOJ106" s="769"/>
      <c r="NOK106" s="769"/>
      <c r="NOL106" s="769"/>
      <c r="NOM106" s="769"/>
      <c r="NON106" s="769"/>
      <c r="NOO106" s="769"/>
      <c r="NOP106" s="769"/>
      <c r="NOQ106" s="769"/>
      <c r="NOR106" s="769"/>
      <c r="NOS106" s="769"/>
      <c r="NOT106" s="769"/>
      <c r="NOU106" s="769"/>
      <c r="NOV106" s="769"/>
      <c r="NOW106" s="769"/>
      <c r="NOX106" s="769"/>
      <c r="NOY106" s="769"/>
      <c r="NOZ106" s="769"/>
      <c r="NPA106" s="769"/>
      <c r="NPB106" s="769"/>
      <c r="NPC106" s="769"/>
      <c r="NPD106" s="769"/>
      <c r="NPE106" s="769"/>
      <c r="NPF106" s="769"/>
      <c r="NPG106" s="769"/>
      <c r="NPH106" s="769"/>
      <c r="NPI106" s="769"/>
      <c r="NPJ106" s="769"/>
      <c r="NPK106" s="769"/>
      <c r="NPL106" s="769"/>
      <c r="NPM106" s="769"/>
      <c r="NPN106" s="769"/>
      <c r="NPO106" s="769"/>
      <c r="NPP106" s="769"/>
      <c r="NPQ106" s="769"/>
      <c r="NPR106" s="769"/>
      <c r="NPS106" s="769"/>
      <c r="NPT106" s="769"/>
      <c r="NPU106" s="769"/>
      <c r="NPV106" s="769"/>
      <c r="NPW106" s="769"/>
      <c r="NPX106" s="769"/>
      <c r="NPY106" s="769"/>
      <c r="NPZ106" s="769"/>
      <c r="NQA106" s="769"/>
      <c r="NQB106" s="769"/>
      <c r="NQC106" s="769"/>
      <c r="NQD106" s="769"/>
      <c r="NQE106" s="769"/>
      <c r="NQF106" s="769"/>
      <c r="NQG106" s="769"/>
      <c r="NQH106" s="769"/>
      <c r="NQI106" s="769"/>
      <c r="NQJ106" s="769"/>
      <c r="NQK106" s="769"/>
      <c r="NQL106" s="769"/>
      <c r="NQM106" s="769"/>
      <c r="NQN106" s="769"/>
      <c r="NQO106" s="769"/>
      <c r="NQP106" s="769"/>
      <c r="NQQ106" s="769"/>
      <c r="NQR106" s="769"/>
      <c r="NQS106" s="769"/>
      <c r="NQT106" s="769"/>
      <c r="NQU106" s="769"/>
      <c r="NQV106" s="769"/>
      <c r="NQW106" s="769"/>
      <c r="NQX106" s="769"/>
      <c r="NQY106" s="769"/>
      <c r="NQZ106" s="769"/>
      <c r="NRA106" s="769"/>
      <c r="NRB106" s="769"/>
      <c r="NRC106" s="769"/>
      <c r="NRD106" s="769"/>
      <c r="NRE106" s="769"/>
      <c r="NRF106" s="769"/>
      <c r="NRG106" s="769"/>
      <c r="NRH106" s="769"/>
      <c r="NRI106" s="769"/>
      <c r="NRJ106" s="769"/>
      <c r="NRK106" s="769"/>
      <c r="NRL106" s="769"/>
      <c r="NRM106" s="769"/>
      <c r="NRN106" s="769"/>
      <c r="NRO106" s="769"/>
      <c r="NRP106" s="769"/>
      <c r="NRQ106" s="769"/>
      <c r="NRR106" s="769"/>
      <c r="NRS106" s="769"/>
      <c r="NRT106" s="769"/>
      <c r="NRU106" s="769"/>
      <c r="NRV106" s="769"/>
      <c r="NRW106" s="769"/>
      <c r="NRX106" s="769"/>
      <c r="NRY106" s="769"/>
      <c r="NRZ106" s="769"/>
      <c r="NSA106" s="769"/>
      <c r="NSB106" s="769"/>
      <c r="NSC106" s="769"/>
      <c r="NSD106" s="769"/>
      <c r="NSE106" s="769"/>
      <c r="NSF106" s="769"/>
      <c r="NSG106" s="769"/>
      <c r="NSH106" s="769"/>
      <c r="NSI106" s="769"/>
      <c r="NSJ106" s="769"/>
      <c r="NSK106" s="769"/>
      <c r="NSL106" s="769"/>
      <c r="NSM106" s="769"/>
      <c r="NSN106" s="769"/>
      <c r="NSO106" s="769"/>
      <c r="NSP106" s="769"/>
      <c r="NSQ106" s="769"/>
      <c r="NSR106" s="769"/>
      <c r="NSS106" s="769"/>
      <c r="NST106" s="769"/>
      <c r="NSU106" s="769"/>
      <c r="NSV106" s="769"/>
      <c r="NSW106" s="769"/>
      <c r="NSX106" s="769"/>
      <c r="NSY106" s="769"/>
      <c r="NSZ106" s="769"/>
      <c r="NTA106" s="769"/>
      <c r="NTB106" s="769"/>
      <c r="NTC106" s="769"/>
      <c r="NTD106" s="769"/>
      <c r="NTE106" s="769"/>
      <c r="NTF106" s="769"/>
      <c r="NTG106" s="769"/>
      <c r="NTH106" s="769"/>
      <c r="NTI106" s="769"/>
      <c r="NTJ106" s="769"/>
      <c r="NTK106" s="769"/>
      <c r="NTL106" s="769"/>
      <c r="NTM106" s="769"/>
      <c r="NTN106" s="769"/>
      <c r="NTO106" s="769"/>
      <c r="NTP106" s="769"/>
      <c r="NTQ106" s="769"/>
      <c r="NTR106" s="769"/>
      <c r="NTS106" s="769"/>
      <c r="NTT106" s="769"/>
      <c r="NTU106" s="769"/>
      <c r="NTV106" s="769"/>
      <c r="NTW106" s="769"/>
      <c r="NTX106" s="769"/>
      <c r="NTY106" s="769"/>
      <c r="NTZ106" s="769"/>
      <c r="NUA106" s="769"/>
      <c r="NUB106" s="769"/>
      <c r="NUC106" s="769"/>
      <c r="NUD106" s="769"/>
      <c r="NUE106" s="769"/>
      <c r="NUF106" s="769"/>
      <c r="NUG106" s="769"/>
      <c r="NUH106" s="769"/>
      <c r="NUI106" s="769"/>
      <c r="NUJ106" s="769"/>
      <c r="NUK106" s="769"/>
      <c r="NUL106" s="769"/>
      <c r="NUM106" s="769"/>
      <c r="NUN106" s="769"/>
      <c r="NUO106" s="769"/>
      <c r="NUP106" s="769"/>
      <c r="NUQ106" s="769"/>
      <c r="NUR106" s="769"/>
      <c r="NUS106" s="769"/>
      <c r="NUT106" s="769"/>
      <c r="NUU106" s="769"/>
      <c r="NUV106" s="769"/>
      <c r="NUW106" s="769"/>
      <c r="NUX106" s="769"/>
      <c r="NUY106" s="769"/>
      <c r="NUZ106" s="769"/>
      <c r="NVA106" s="769"/>
      <c r="NVB106" s="769"/>
      <c r="NVC106" s="769"/>
      <c r="NVD106" s="769"/>
      <c r="NVE106" s="769"/>
      <c r="NVF106" s="769"/>
      <c r="NVG106" s="769"/>
      <c r="NVH106" s="769"/>
      <c r="NVI106" s="769"/>
      <c r="NVJ106" s="769"/>
      <c r="NVK106" s="769"/>
      <c r="NVL106" s="769"/>
      <c r="NVM106" s="769"/>
      <c r="NVN106" s="769"/>
      <c r="NVO106" s="769"/>
      <c r="NVP106" s="769"/>
      <c r="NVQ106" s="769"/>
      <c r="NVR106" s="769"/>
      <c r="NVS106" s="769"/>
      <c r="NVT106" s="769"/>
      <c r="NVU106" s="769"/>
      <c r="NVV106" s="769"/>
      <c r="NVW106" s="769"/>
      <c r="NVX106" s="769"/>
      <c r="NVY106" s="769"/>
      <c r="NVZ106" s="769"/>
      <c r="NWA106" s="769"/>
      <c r="NWB106" s="769"/>
      <c r="NWC106" s="769"/>
      <c r="NWD106" s="769"/>
      <c r="NWE106" s="769"/>
      <c r="NWF106" s="769"/>
      <c r="NWG106" s="769"/>
      <c r="NWH106" s="769"/>
      <c r="NWI106" s="769"/>
      <c r="NWJ106" s="769"/>
      <c r="NWK106" s="769"/>
      <c r="NWL106" s="769"/>
      <c r="NWM106" s="769"/>
      <c r="NWN106" s="769"/>
      <c r="NWO106" s="769"/>
      <c r="NWP106" s="769"/>
      <c r="NWQ106" s="769"/>
      <c r="NWR106" s="769"/>
      <c r="NWS106" s="769"/>
      <c r="NWT106" s="769"/>
      <c r="NWU106" s="769"/>
      <c r="NWV106" s="769"/>
      <c r="NWW106" s="769"/>
      <c r="NWX106" s="769"/>
      <c r="NWY106" s="769"/>
      <c r="NWZ106" s="769"/>
      <c r="NXA106" s="769"/>
      <c r="NXB106" s="769"/>
      <c r="NXC106" s="769"/>
      <c r="NXD106" s="769"/>
      <c r="NXE106" s="769"/>
      <c r="NXF106" s="769"/>
      <c r="NXG106" s="769"/>
      <c r="NXH106" s="769"/>
      <c r="NXI106" s="769"/>
      <c r="NXJ106" s="769"/>
      <c r="NXK106" s="769"/>
      <c r="NXL106" s="769"/>
      <c r="NXM106" s="769"/>
      <c r="NXN106" s="769"/>
      <c r="NXO106" s="769"/>
      <c r="NXP106" s="769"/>
      <c r="NXQ106" s="769"/>
      <c r="NXR106" s="769"/>
      <c r="NXS106" s="769"/>
      <c r="NXT106" s="769"/>
      <c r="NXU106" s="769"/>
      <c r="NXV106" s="769"/>
      <c r="NXW106" s="769"/>
      <c r="NXX106" s="769"/>
      <c r="NXY106" s="769"/>
      <c r="NXZ106" s="769"/>
      <c r="NYA106" s="769"/>
      <c r="NYB106" s="769"/>
      <c r="NYC106" s="769"/>
      <c r="NYD106" s="769"/>
      <c r="NYE106" s="769"/>
      <c r="NYF106" s="769"/>
      <c r="NYG106" s="769"/>
      <c r="NYH106" s="769"/>
      <c r="NYI106" s="769"/>
      <c r="NYJ106" s="769"/>
      <c r="NYK106" s="769"/>
      <c r="NYL106" s="769"/>
      <c r="NYM106" s="769"/>
      <c r="NYN106" s="769"/>
      <c r="NYO106" s="769"/>
      <c r="NYP106" s="769"/>
      <c r="NYQ106" s="769"/>
      <c r="NYR106" s="769"/>
      <c r="NYS106" s="769"/>
      <c r="NYT106" s="769"/>
      <c r="NYU106" s="769"/>
      <c r="NYV106" s="769"/>
      <c r="NYW106" s="769"/>
      <c r="NYX106" s="769"/>
      <c r="NYY106" s="769"/>
      <c r="NYZ106" s="769"/>
      <c r="NZA106" s="769"/>
      <c r="NZB106" s="769"/>
      <c r="NZC106" s="769"/>
      <c r="NZD106" s="769"/>
      <c r="NZE106" s="769"/>
      <c r="NZF106" s="769"/>
      <c r="NZG106" s="769"/>
      <c r="NZH106" s="769"/>
      <c r="NZI106" s="769"/>
      <c r="NZJ106" s="769"/>
      <c r="NZK106" s="769"/>
      <c r="NZL106" s="769"/>
      <c r="NZM106" s="769"/>
      <c r="NZN106" s="769"/>
      <c r="NZO106" s="769"/>
      <c r="NZP106" s="769"/>
      <c r="NZQ106" s="769"/>
      <c r="NZR106" s="769"/>
      <c r="NZS106" s="769"/>
      <c r="NZT106" s="769"/>
      <c r="NZU106" s="769"/>
      <c r="NZV106" s="769"/>
      <c r="NZW106" s="769"/>
      <c r="NZX106" s="769"/>
      <c r="NZY106" s="769"/>
      <c r="NZZ106" s="769"/>
      <c r="OAA106" s="769"/>
      <c r="OAB106" s="769"/>
      <c r="OAC106" s="769"/>
      <c r="OAD106" s="769"/>
      <c r="OAE106" s="769"/>
      <c r="OAF106" s="769"/>
      <c r="OAG106" s="769"/>
      <c r="OAH106" s="769"/>
      <c r="OAI106" s="769"/>
      <c r="OAJ106" s="769"/>
      <c r="OAK106" s="769"/>
      <c r="OAL106" s="769"/>
      <c r="OAM106" s="769"/>
      <c r="OAN106" s="769"/>
      <c r="OAO106" s="769"/>
      <c r="OAP106" s="769"/>
      <c r="OAQ106" s="769"/>
      <c r="OAR106" s="769"/>
      <c r="OAS106" s="769"/>
      <c r="OAT106" s="769"/>
      <c r="OAU106" s="769"/>
      <c r="OAV106" s="769"/>
      <c r="OAW106" s="769"/>
      <c r="OAX106" s="769"/>
      <c r="OAY106" s="769"/>
      <c r="OAZ106" s="769"/>
      <c r="OBA106" s="769"/>
      <c r="OBB106" s="769"/>
      <c r="OBC106" s="769"/>
      <c r="OBD106" s="769"/>
      <c r="OBE106" s="769"/>
      <c r="OBF106" s="769"/>
      <c r="OBG106" s="769"/>
      <c r="OBH106" s="769"/>
      <c r="OBI106" s="769"/>
      <c r="OBJ106" s="769"/>
      <c r="OBK106" s="769"/>
      <c r="OBL106" s="769"/>
      <c r="OBM106" s="769"/>
      <c r="OBN106" s="769"/>
      <c r="OBO106" s="769"/>
      <c r="OBP106" s="769"/>
      <c r="OBQ106" s="769"/>
      <c r="OBR106" s="769"/>
      <c r="OBS106" s="769"/>
      <c r="OBT106" s="769"/>
      <c r="OBU106" s="769"/>
      <c r="OBV106" s="769"/>
      <c r="OBW106" s="769"/>
      <c r="OBX106" s="769"/>
      <c r="OBY106" s="769"/>
      <c r="OBZ106" s="769"/>
      <c r="OCA106" s="769"/>
      <c r="OCB106" s="769"/>
      <c r="OCC106" s="769"/>
      <c r="OCD106" s="769"/>
      <c r="OCE106" s="769"/>
      <c r="OCF106" s="769"/>
      <c r="OCG106" s="769"/>
      <c r="OCH106" s="769"/>
      <c r="OCI106" s="769"/>
      <c r="OCJ106" s="769"/>
      <c r="OCK106" s="769"/>
      <c r="OCL106" s="769"/>
      <c r="OCM106" s="769"/>
      <c r="OCN106" s="769"/>
      <c r="OCO106" s="769"/>
      <c r="OCP106" s="769"/>
      <c r="OCQ106" s="769"/>
      <c r="OCR106" s="769"/>
      <c r="OCS106" s="769"/>
      <c r="OCT106" s="769"/>
      <c r="OCU106" s="769"/>
      <c r="OCV106" s="769"/>
      <c r="OCW106" s="769"/>
      <c r="OCX106" s="769"/>
      <c r="OCY106" s="769"/>
      <c r="OCZ106" s="769"/>
      <c r="ODA106" s="769"/>
      <c r="ODB106" s="769"/>
      <c r="ODC106" s="769"/>
      <c r="ODD106" s="769"/>
      <c r="ODE106" s="769"/>
      <c r="ODF106" s="769"/>
      <c r="ODG106" s="769"/>
      <c r="ODH106" s="769"/>
      <c r="ODI106" s="769"/>
      <c r="ODJ106" s="769"/>
      <c r="ODK106" s="769"/>
      <c r="ODL106" s="769"/>
      <c r="ODM106" s="769"/>
      <c r="ODN106" s="769"/>
      <c r="ODO106" s="769"/>
      <c r="ODP106" s="769"/>
      <c r="ODQ106" s="769"/>
      <c r="ODR106" s="769"/>
      <c r="ODS106" s="769"/>
      <c r="ODT106" s="769"/>
      <c r="ODU106" s="769"/>
      <c r="ODV106" s="769"/>
      <c r="ODW106" s="769"/>
      <c r="ODX106" s="769"/>
      <c r="ODY106" s="769"/>
      <c r="ODZ106" s="769"/>
      <c r="OEA106" s="769"/>
      <c r="OEB106" s="769"/>
      <c r="OEC106" s="769"/>
      <c r="OED106" s="769"/>
      <c r="OEE106" s="769"/>
      <c r="OEF106" s="769"/>
      <c r="OEG106" s="769"/>
      <c r="OEH106" s="769"/>
      <c r="OEI106" s="769"/>
      <c r="OEJ106" s="769"/>
      <c r="OEK106" s="769"/>
      <c r="OEL106" s="769"/>
      <c r="OEM106" s="769"/>
      <c r="OEN106" s="769"/>
      <c r="OEO106" s="769"/>
      <c r="OEP106" s="769"/>
      <c r="OEQ106" s="769"/>
      <c r="OER106" s="769"/>
      <c r="OES106" s="769"/>
      <c r="OET106" s="769"/>
      <c r="OEU106" s="769"/>
      <c r="OEV106" s="769"/>
      <c r="OEW106" s="769"/>
      <c r="OEX106" s="769"/>
      <c r="OEY106" s="769"/>
      <c r="OEZ106" s="769"/>
      <c r="OFA106" s="769"/>
      <c r="OFB106" s="769"/>
      <c r="OFC106" s="769"/>
      <c r="OFD106" s="769"/>
      <c r="OFE106" s="769"/>
      <c r="OFF106" s="769"/>
      <c r="OFG106" s="769"/>
      <c r="OFH106" s="769"/>
      <c r="OFI106" s="769"/>
      <c r="OFJ106" s="769"/>
      <c r="OFK106" s="769"/>
      <c r="OFL106" s="769"/>
      <c r="OFM106" s="769"/>
      <c r="OFN106" s="769"/>
      <c r="OFO106" s="769"/>
      <c r="OFP106" s="769"/>
      <c r="OFQ106" s="769"/>
      <c r="OFR106" s="769"/>
      <c r="OFS106" s="769"/>
      <c r="OFT106" s="769"/>
      <c r="OFU106" s="769"/>
      <c r="OFV106" s="769"/>
      <c r="OFW106" s="769"/>
      <c r="OFX106" s="769"/>
      <c r="OFY106" s="769"/>
      <c r="OFZ106" s="769"/>
      <c r="OGA106" s="769"/>
      <c r="OGB106" s="769"/>
      <c r="OGC106" s="769"/>
      <c r="OGD106" s="769"/>
      <c r="OGE106" s="769"/>
      <c r="OGF106" s="769"/>
      <c r="OGG106" s="769"/>
      <c r="OGH106" s="769"/>
      <c r="OGI106" s="769"/>
      <c r="OGJ106" s="769"/>
      <c r="OGK106" s="769"/>
      <c r="OGL106" s="769"/>
      <c r="OGM106" s="769"/>
      <c r="OGN106" s="769"/>
      <c r="OGO106" s="769"/>
      <c r="OGP106" s="769"/>
      <c r="OGQ106" s="769"/>
      <c r="OGR106" s="769"/>
      <c r="OGS106" s="769"/>
      <c r="OGT106" s="769"/>
      <c r="OGU106" s="769"/>
      <c r="OGV106" s="769"/>
      <c r="OGW106" s="769"/>
      <c r="OGX106" s="769"/>
      <c r="OGY106" s="769"/>
      <c r="OGZ106" s="769"/>
      <c r="OHA106" s="769"/>
      <c r="OHB106" s="769"/>
      <c r="OHC106" s="769"/>
      <c r="OHD106" s="769"/>
      <c r="OHE106" s="769"/>
      <c r="OHF106" s="769"/>
      <c r="OHG106" s="769"/>
      <c r="OHH106" s="769"/>
      <c r="OHI106" s="769"/>
      <c r="OHJ106" s="769"/>
      <c r="OHK106" s="769"/>
      <c r="OHL106" s="769"/>
      <c r="OHM106" s="769"/>
      <c r="OHN106" s="769"/>
      <c r="OHO106" s="769"/>
      <c r="OHP106" s="769"/>
      <c r="OHQ106" s="769"/>
      <c r="OHR106" s="769"/>
      <c r="OHS106" s="769"/>
      <c r="OHT106" s="769"/>
      <c r="OHU106" s="769"/>
      <c r="OHV106" s="769"/>
      <c r="OHW106" s="769"/>
      <c r="OHX106" s="769"/>
      <c r="OHY106" s="769"/>
      <c r="OHZ106" s="769"/>
      <c r="OIA106" s="769"/>
      <c r="OIB106" s="769"/>
      <c r="OIC106" s="769"/>
      <c r="OID106" s="769"/>
      <c r="OIE106" s="769"/>
      <c r="OIF106" s="769"/>
      <c r="OIG106" s="769"/>
      <c r="OIH106" s="769"/>
      <c r="OII106" s="769"/>
      <c r="OIJ106" s="769"/>
      <c r="OIK106" s="769"/>
      <c r="OIL106" s="769"/>
      <c r="OIM106" s="769"/>
      <c r="OIN106" s="769"/>
      <c r="OIO106" s="769"/>
      <c r="OIP106" s="769"/>
      <c r="OIQ106" s="769"/>
      <c r="OIR106" s="769"/>
      <c r="OIS106" s="769"/>
      <c r="OIT106" s="769"/>
      <c r="OIU106" s="769"/>
      <c r="OIV106" s="769"/>
      <c r="OIW106" s="769"/>
      <c r="OIX106" s="769"/>
      <c r="OIY106" s="769"/>
      <c r="OIZ106" s="769"/>
      <c r="OJA106" s="769"/>
      <c r="OJB106" s="769"/>
      <c r="OJC106" s="769"/>
      <c r="OJD106" s="769"/>
      <c r="OJE106" s="769"/>
      <c r="OJF106" s="769"/>
      <c r="OJG106" s="769"/>
      <c r="OJH106" s="769"/>
      <c r="OJI106" s="769"/>
      <c r="OJJ106" s="769"/>
      <c r="OJK106" s="769"/>
      <c r="OJL106" s="769"/>
      <c r="OJM106" s="769"/>
      <c r="OJN106" s="769"/>
      <c r="OJO106" s="769"/>
      <c r="OJP106" s="769"/>
      <c r="OJQ106" s="769"/>
      <c r="OJR106" s="769"/>
      <c r="OJS106" s="769"/>
      <c r="OJT106" s="769"/>
      <c r="OJU106" s="769"/>
      <c r="OJV106" s="769"/>
      <c r="OJW106" s="769"/>
      <c r="OJX106" s="769"/>
      <c r="OJY106" s="769"/>
      <c r="OJZ106" s="769"/>
      <c r="OKA106" s="769"/>
      <c r="OKB106" s="769"/>
      <c r="OKC106" s="769"/>
      <c r="OKD106" s="769"/>
      <c r="OKE106" s="769"/>
      <c r="OKF106" s="769"/>
      <c r="OKG106" s="769"/>
      <c r="OKH106" s="769"/>
      <c r="OKI106" s="769"/>
      <c r="OKJ106" s="769"/>
      <c r="OKK106" s="769"/>
      <c r="OKL106" s="769"/>
      <c r="OKM106" s="769"/>
      <c r="OKN106" s="769"/>
      <c r="OKO106" s="769"/>
      <c r="OKP106" s="769"/>
      <c r="OKQ106" s="769"/>
      <c r="OKR106" s="769"/>
      <c r="OKS106" s="769"/>
      <c r="OKT106" s="769"/>
      <c r="OKU106" s="769"/>
      <c r="OKV106" s="769"/>
      <c r="OKW106" s="769"/>
      <c r="OKX106" s="769"/>
      <c r="OKY106" s="769"/>
      <c r="OKZ106" s="769"/>
      <c r="OLA106" s="769"/>
      <c r="OLB106" s="769"/>
      <c r="OLC106" s="769"/>
      <c r="OLD106" s="769"/>
      <c r="OLE106" s="769"/>
      <c r="OLF106" s="769"/>
      <c r="OLG106" s="769"/>
      <c r="OLH106" s="769"/>
      <c r="OLI106" s="769"/>
      <c r="OLJ106" s="769"/>
      <c r="OLK106" s="769"/>
      <c r="OLL106" s="769"/>
      <c r="OLM106" s="769"/>
      <c r="OLN106" s="769"/>
      <c r="OLO106" s="769"/>
      <c r="OLP106" s="769"/>
      <c r="OLQ106" s="769"/>
      <c r="OLR106" s="769"/>
      <c r="OLS106" s="769"/>
      <c r="OLT106" s="769"/>
      <c r="OLU106" s="769"/>
      <c r="OLV106" s="769"/>
      <c r="OLW106" s="769"/>
      <c r="OLX106" s="769"/>
      <c r="OLY106" s="769"/>
      <c r="OLZ106" s="769"/>
      <c r="OMA106" s="769"/>
      <c r="OMB106" s="769"/>
      <c r="OMC106" s="769"/>
      <c r="OMD106" s="769"/>
      <c r="OME106" s="769"/>
      <c r="OMF106" s="769"/>
      <c r="OMG106" s="769"/>
      <c r="OMH106" s="769"/>
      <c r="OMI106" s="769"/>
      <c r="OMJ106" s="769"/>
      <c r="OMK106" s="769"/>
      <c r="OML106" s="769"/>
      <c r="OMM106" s="769"/>
      <c r="OMN106" s="769"/>
      <c r="OMO106" s="769"/>
      <c r="OMP106" s="769"/>
      <c r="OMQ106" s="769"/>
      <c r="OMR106" s="769"/>
      <c r="OMS106" s="769"/>
      <c r="OMT106" s="769"/>
      <c r="OMU106" s="769"/>
      <c r="OMV106" s="769"/>
      <c r="OMW106" s="769"/>
      <c r="OMX106" s="769"/>
      <c r="OMY106" s="769"/>
      <c r="OMZ106" s="769"/>
      <c r="ONA106" s="769"/>
      <c r="ONB106" s="769"/>
      <c r="ONC106" s="769"/>
      <c r="OND106" s="769"/>
      <c r="ONE106" s="769"/>
      <c r="ONF106" s="769"/>
      <c r="ONG106" s="769"/>
      <c r="ONH106" s="769"/>
      <c r="ONI106" s="769"/>
      <c r="ONJ106" s="769"/>
      <c r="ONK106" s="769"/>
      <c r="ONL106" s="769"/>
      <c r="ONM106" s="769"/>
      <c r="ONN106" s="769"/>
      <c r="ONO106" s="769"/>
      <c r="ONP106" s="769"/>
      <c r="ONQ106" s="769"/>
      <c r="ONR106" s="769"/>
      <c r="ONS106" s="769"/>
      <c r="ONT106" s="769"/>
      <c r="ONU106" s="769"/>
      <c r="ONV106" s="769"/>
      <c r="ONW106" s="769"/>
      <c r="ONX106" s="769"/>
      <c r="ONY106" s="769"/>
      <c r="ONZ106" s="769"/>
      <c r="OOA106" s="769"/>
      <c r="OOB106" s="769"/>
      <c r="OOC106" s="769"/>
      <c r="OOD106" s="769"/>
      <c r="OOE106" s="769"/>
      <c r="OOF106" s="769"/>
      <c r="OOG106" s="769"/>
      <c r="OOH106" s="769"/>
      <c r="OOI106" s="769"/>
      <c r="OOJ106" s="769"/>
      <c r="OOK106" s="769"/>
      <c r="OOL106" s="769"/>
      <c r="OOM106" s="769"/>
      <c r="OON106" s="769"/>
      <c r="OOO106" s="769"/>
      <c r="OOP106" s="769"/>
      <c r="OOQ106" s="769"/>
      <c r="OOR106" s="769"/>
      <c r="OOS106" s="769"/>
      <c r="OOT106" s="769"/>
      <c r="OOU106" s="769"/>
      <c r="OOV106" s="769"/>
      <c r="OOW106" s="769"/>
      <c r="OOX106" s="769"/>
      <c r="OOY106" s="769"/>
      <c r="OOZ106" s="769"/>
      <c r="OPA106" s="769"/>
      <c r="OPB106" s="769"/>
      <c r="OPC106" s="769"/>
      <c r="OPD106" s="769"/>
      <c r="OPE106" s="769"/>
      <c r="OPF106" s="769"/>
      <c r="OPG106" s="769"/>
      <c r="OPH106" s="769"/>
      <c r="OPI106" s="769"/>
      <c r="OPJ106" s="769"/>
      <c r="OPK106" s="769"/>
      <c r="OPL106" s="769"/>
      <c r="OPM106" s="769"/>
      <c r="OPN106" s="769"/>
      <c r="OPO106" s="769"/>
      <c r="OPP106" s="769"/>
      <c r="OPQ106" s="769"/>
      <c r="OPR106" s="769"/>
      <c r="OPS106" s="769"/>
      <c r="OPT106" s="769"/>
      <c r="OPU106" s="769"/>
      <c r="OPV106" s="769"/>
      <c r="OPW106" s="769"/>
      <c r="OPX106" s="769"/>
      <c r="OPY106" s="769"/>
      <c r="OPZ106" s="769"/>
      <c r="OQA106" s="769"/>
      <c r="OQB106" s="769"/>
      <c r="OQC106" s="769"/>
      <c r="OQD106" s="769"/>
      <c r="OQE106" s="769"/>
      <c r="OQF106" s="769"/>
      <c r="OQG106" s="769"/>
      <c r="OQH106" s="769"/>
      <c r="OQI106" s="769"/>
      <c r="OQJ106" s="769"/>
      <c r="OQK106" s="769"/>
      <c r="OQL106" s="769"/>
      <c r="OQM106" s="769"/>
      <c r="OQN106" s="769"/>
      <c r="OQO106" s="769"/>
      <c r="OQP106" s="769"/>
      <c r="OQQ106" s="769"/>
      <c r="OQR106" s="769"/>
      <c r="OQS106" s="769"/>
      <c r="OQT106" s="769"/>
      <c r="OQU106" s="769"/>
      <c r="OQV106" s="769"/>
      <c r="OQW106" s="769"/>
      <c r="OQX106" s="769"/>
      <c r="OQY106" s="769"/>
      <c r="OQZ106" s="769"/>
      <c r="ORA106" s="769"/>
      <c r="ORB106" s="769"/>
      <c r="ORC106" s="769"/>
      <c r="ORD106" s="769"/>
      <c r="ORE106" s="769"/>
      <c r="ORF106" s="769"/>
      <c r="ORG106" s="769"/>
      <c r="ORH106" s="769"/>
      <c r="ORI106" s="769"/>
      <c r="ORJ106" s="769"/>
      <c r="ORK106" s="769"/>
      <c r="ORL106" s="769"/>
      <c r="ORM106" s="769"/>
      <c r="ORN106" s="769"/>
      <c r="ORO106" s="769"/>
      <c r="ORP106" s="769"/>
      <c r="ORQ106" s="769"/>
      <c r="ORR106" s="769"/>
      <c r="ORS106" s="769"/>
      <c r="ORT106" s="769"/>
      <c r="ORU106" s="769"/>
      <c r="ORV106" s="769"/>
      <c r="ORW106" s="769"/>
      <c r="ORX106" s="769"/>
      <c r="ORY106" s="769"/>
      <c r="ORZ106" s="769"/>
      <c r="OSA106" s="769"/>
      <c r="OSB106" s="769"/>
      <c r="OSC106" s="769"/>
      <c r="OSD106" s="769"/>
      <c r="OSE106" s="769"/>
      <c r="OSF106" s="769"/>
      <c r="OSG106" s="769"/>
      <c r="OSH106" s="769"/>
      <c r="OSI106" s="769"/>
      <c r="OSJ106" s="769"/>
      <c r="OSK106" s="769"/>
      <c r="OSL106" s="769"/>
      <c r="OSM106" s="769"/>
      <c r="OSN106" s="769"/>
      <c r="OSO106" s="769"/>
      <c r="OSP106" s="769"/>
      <c r="OSQ106" s="769"/>
      <c r="OSR106" s="769"/>
      <c r="OSS106" s="769"/>
      <c r="OST106" s="769"/>
      <c r="OSU106" s="769"/>
      <c r="OSV106" s="769"/>
      <c r="OSW106" s="769"/>
      <c r="OSX106" s="769"/>
      <c r="OSY106" s="769"/>
      <c r="OSZ106" s="769"/>
      <c r="OTA106" s="769"/>
      <c r="OTB106" s="769"/>
      <c r="OTC106" s="769"/>
      <c r="OTD106" s="769"/>
      <c r="OTE106" s="769"/>
      <c r="OTF106" s="769"/>
      <c r="OTG106" s="769"/>
      <c r="OTH106" s="769"/>
      <c r="OTI106" s="769"/>
      <c r="OTJ106" s="769"/>
      <c r="OTK106" s="769"/>
      <c r="OTL106" s="769"/>
      <c r="OTM106" s="769"/>
      <c r="OTN106" s="769"/>
      <c r="OTO106" s="769"/>
      <c r="OTP106" s="769"/>
      <c r="OTQ106" s="769"/>
      <c r="OTR106" s="769"/>
      <c r="OTS106" s="769"/>
      <c r="OTT106" s="769"/>
      <c r="OTU106" s="769"/>
      <c r="OTV106" s="769"/>
      <c r="OTW106" s="769"/>
      <c r="OTX106" s="769"/>
      <c r="OTY106" s="769"/>
      <c r="OTZ106" s="769"/>
      <c r="OUA106" s="769"/>
      <c r="OUB106" s="769"/>
      <c r="OUC106" s="769"/>
      <c r="OUD106" s="769"/>
      <c r="OUE106" s="769"/>
      <c r="OUF106" s="769"/>
      <c r="OUG106" s="769"/>
      <c r="OUH106" s="769"/>
      <c r="OUI106" s="769"/>
      <c r="OUJ106" s="769"/>
      <c r="OUK106" s="769"/>
      <c r="OUL106" s="769"/>
      <c r="OUM106" s="769"/>
      <c r="OUN106" s="769"/>
      <c r="OUO106" s="769"/>
      <c r="OUP106" s="769"/>
      <c r="OUQ106" s="769"/>
      <c r="OUR106" s="769"/>
      <c r="OUS106" s="769"/>
      <c r="OUT106" s="769"/>
      <c r="OUU106" s="769"/>
      <c r="OUV106" s="769"/>
      <c r="OUW106" s="769"/>
      <c r="OUX106" s="769"/>
      <c r="OUY106" s="769"/>
      <c r="OUZ106" s="769"/>
      <c r="OVA106" s="769"/>
      <c r="OVB106" s="769"/>
      <c r="OVC106" s="769"/>
      <c r="OVD106" s="769"/>
      <c r="OVE106" s="769"/>
      <c r="OVF106" s="769"/>
      <c r="OVG106" s="769"/>
      <c r="OVH106" s="769"/>
      <c r="OVI106" s="769"/>
      <c r="OVJ106" s="769"/>
      <c r="OVK106" s="769"/>
      <c r="OVL106" s="769"/>
      <c r="OVM106" s="769"/>
      <c r="OVN106" s="769"/>
      <c r="OVO106" s="769"/>
      <c r="OVP106" s="769"/>
      <c r="OVQ106" s="769"/>
      <c r="OVR106" s="769"/>
      <c r="OVS106" s="769"/>
      <c r="OVT106" s="769"/>
      <c r="OVU106" s="769"/>
      <c r="OVV106" s="769"/>
      <c r="OVW106" s="769"/>
      <c r="OVX106" s="769"/>
      <c r="OVY106" s="769"/>
      <c r="OVZ106" s="769"/>
      <c r="OWA106" s="769"/>
      <c r="OWB106" s="769"/>
      <c r="OWC106" s="769"/>
      <c r="OWD106" s="769"/>
      <c r="OWE106" s="769"/>
      <c r="OWF106" s="769"/>
      <c r="OWG106" s="769"/>
      <c r="OWH106" s="769"/>
      <c r="OWI106" s="769"/>
      <c r="OWJ106" s="769"/>
      <c r="OWK106" s="769"/>
      <c r="OWL106" s="769"/>
      <c r="OWM106" s="769"/>
      <c r="OWN106" s="769"/>
      <c r="OWO106" s="769"/>
      <c r="OWP106" s="769"/>
      <c r="OWQ106" s="769"/>
      <c r="OWR106" s="769"/>
      <c r="OWS106" s="769"/>
      <c r="OWT106" s="769"/>
      <c r="OWU106" s="769"/>
      <c r="OWV106" s="769"/>
      <c r="OWW106" s="769"/>
      <c r="OWX106" s="769"/>
      <c r="OWY106" s="769"/>
      <c r="OWZ106" s="769"/>
      <c r="OXA106" s="769"/>
      <c r="OXB106" s="769"/>
      <c r="OXC106" s="769"/>
      <c r="OXD106" s="769"/>
      <c r="OXE106" s="769"/>
      <c r="OXF106" s="769"/>
      <c r="OXG106" s="769"/>
      <c r="OXH106" s="769"/>
      <c r="OXI106" s="769"/>
      <c r="OXJ106" s="769"/>
      <c r="OXK106" s="769"/>
      <c r="OXL106" s="769"/>
      <c r="OXM106" s="769"/>
      <c r="OXN106" s="769"/>
      <c r="OXO106" s="769"/>
      <c r="OXP106" s="769"/>
      <c r="OXQ106" s="769"/>
      <c r="OXR106" s="769"/>
      <c r="OXS106" s="769"/>
      <c r="OXT106" s="769"/>
      <c r="OXU106" s="769"/>
      <c r="OXV106" s="769"/>
      <c r="OXW106" s="769"/>
      <c r="OXX106" s="769"/>
      <c r="OXY106" s="769"/>
      <c r="OXZ106" s="769"/>
      <c r="OYA106" s="769"/>
      <c r="OYB106" s="769"/>
      <c r="OYC106" s="769"/>
      <c r="OYD106" s="769"/>
      <c r="OYE106" s="769"/>
      <c r="OYF106" s="769"/>
      <c r="OYG106" s="769"/>
      <c r="OYH106" s="769"/>
      <c r="OYI106" s="769"/>
      <c r="OYJ106" s="769"/>
      <c r="OYK106" s="769"/>
      <c r="OYL106" s="769"/>
      <c r="OYM106" s="769"/>
      <c r="OYN106" s="769"/>
      <c r="OYO106" s="769"/>
      <c r="OYP106" s="769"/>
      <c r="OYQ106" s="769"/>
      <c r="OYR106" s="769"/>
      <c r="OYS106" s="769"/>
      <c r="OYT106" s="769"/>
      <c r="OYU106" s="769"/>
      <c r="OYV106" s="769"/>
      <c r="OYW106" s="769"/>
      <c r="OYX106" s="769"/>
      <c r="OYY106" s="769"/>
      <c r="OYZ106" s="769"/>
      <c r="OZA106" s="769"/>
      <c r="OZB106" s="769"/>
      <c r="OZC106" s="769"/>
      <c r="OZD106" s="769"/>
      <c r="OZE106" s="769"/>
      <c r="OZF106" s="769"/>
      <c r="OZG106" s="769"/>
      <c r="OZH106" s="769"/>
      <c r="OZI106" s="769"/>
      <c r="OZJ106" s="769"/>
      <c r="OZK106" s="769"/>
      <c r="OZL106" s="769"/>
      <c r="OZM106" s="769"/>
      <c r="OZN106" s="769"/>
      <c r="OZO106" s="769"/>
      <c r="OZP106" s="769"/>
      <c r="OZQ106" s="769"/>
      <c r="OZR106" s="769"/>
      <c r="OZS106" s="769"/>
      <c r="OZT106" s="769"/>
      <c r="OZU106" s="769"/>
      <c r="OZV106" s="769"/>
      <c r="OZW106" s="769"/>
      <c r="OZX106" s="769"/>
      <c r="OZY106" s="769"/>
      <c r="OZZ106" s="769"/>
      <c r="PAA106" s="769"/>
      <c r="PAB106" s="769"/>
      <c r="PAC106" s="769"/>
      <c r="PAD106" s="769"/>
      <c r="PAE106" s="769"/>
      <c r="PAF106" s="769"/>
      <c r="PAG106" s="769"/>
      <c r="PAH106" s="769"/>
      <c r="PAI106" s="769"/>
      <c r="PAJ106" s="769"/>
      <c r="PAK106" s="769"/>
      <c r="PAL106" s="769"/>
      <c r="PAM106" s="769"/>
      <c r="PAN106" s="769"/>
      <c r="PAO106" s="769"/>
      <c r="PAP106" s="769"/>
      <c r="PAQ106" s="769"/>
      <c r="PAR106" s="769"/>
      <c r="PAS106" s="769"/>
      <c r="PAT106" s="769"/>
      <c r="PAU106" s="769"/>
      <c r="PAV106" s="769"/>
      <c r="PAW106" s="769"/>
      <c r="PAX106" s="769"/>
      <c r="PAY106" s="769"/>
      <c r="PAZ106" s="769"/>
      <c r="PBA106" s="769"/>
      <c r="PBB106" s="769"/>
      <c r="PBC106" s="769"/>
      <c r="PBD106" s="769"/>
      <c r="PBE106" s="769"/>
      <c r="PBF106" s="769"/>
      <c r="PBG106" s="769"/>
      <c r="PBH106" s="769"/>
      <c r="PBI106" s="769"/>
      <c r="PBJ106" s="769"/>
      <c r="PBK106" s="769"/>
      <c r="PBL106" s="769"/>
      <c r="PBM106" s="769"/>
      <c r="PBN106" s="769"/>
      <c r="PBO106" s="769"/>
      <c r="PBP106" s="769"/>
      <c r="PBQ106" s="769"/>
      <c r="PBR106" s="769"/>
      <c r="PBS106" s="769"/>
      <c r="PBT106" s="769"/>
      <c r="PBU106" s="769"/>
      <c r="PBV106" s="769"/>
      <c r="PBW106" s="769"/>
      <c r="PBX106" s="769"/>
      <c r="PBY106" s="769"/>
      <c r="PBZ106" s="769"/>
      <c r="PCA106" s="769"/>
      <c r="PCB106" s="769"/>
      <c r="PCC106" s="769"/>
      <c r="PCD106" s="769"/>
      <c r="PCE106" s="769"/>
      <c r="PCF106" s="769"/>
      <c r="PCG106" s="769"/>
      <c r="PCH106" s="769"/>
      <c r="PCI106" s="769"/>
      <c r="PCJ106" s="769"/>
      <c r="PCK106" s="769"/>
      <c r="PCL106" s="769"/>
      <c r="PCM106" s="769"/>
      <c r="PCN106" s="769"/>
      <c r="PCO106" s="769"/>
      <c r="PCP106" s="769"/>
      <c r="PCQ106" s="769"/>
      <c r="PCR106" s="769"/>
      <c r="PCS106" s="769"/>
      <c r="PCT106" s="769"/>
      <c r="PCU106" s="769"/>
      <c r="PCV106" s="769"/>
      <c r="PCW106" s="769"/>
      <c r="PCX106" s="769"/>
      <c r="PCY106" s="769"/>
      <c r="PCZ106" s="769"/>
      <c r="PDA106" s="769"/>
      <c r="PDB106" s="769"/>
      <c r="PDC106" s="769"/>
      <c r="PDD106" s="769"/>
      <c r="PDE106" s="769"/>
      <c r="PDF106" s="769"/>
      <c r="PDG106" s="769"/>
      <c r="PDH106" s="769"/>
      <c r="PDI106" s="769"/>
      <c r="PDJ106" s="769"/>
      <c r="PDK106" s="769"/>
      <c r="PDL106" s="769"/>
      <c r="PDM106" s="769"/>
      <c r="PDN106" s="769"/>
      <c r="PDO106" s="769"/>
      <c r="PDP106" s="769"/>
      <c r="PDQ106" s="769"/>
      <c r="PDR106" s="769"/>
      <c r="PDS106" s="769"/>
      <c r="PDT106" s="769"/>
      <c r="PDU106" s="769"/>
      <c r="PDV106" s="769"/>
      <c r="PDW106" s="769"/>
      <c r="PDX106" s="769"/>
      <c r="PDY106" s="769"/>
      <c r="PDZ106" s="769"/>
      <c r="PEA106" s="769"/>
      <c r="PEB106" s="769"/>
      <c r="PEC106" s="769"/>
      <c r="PED106" s="769"/>
      <c r="PEE106" s="769"/>
      <c r="PEF106" s="769"/>
      <c r="PEG106" s="769"/>
      <c r="PEH106" s="769"/>
      <c r="PEI106" s="769"/>
      <c r="PEJ106" s="769"/>
      <c r="PEK106" s="769"/>
      <c r="PEL106" s="769"/>
      <c r="PEM106" s="769"/>
      <c r="PEN106" s="769"/>
      <c r="PEO106" s="769"/>
      <c r="PEP106" s="769"/>
      <c r="PEQ106" s="769"/>
      <c r="PER106" s="769"/>
      <c r="PES106" s="769"/>
      <c r="PET106" s="769"/>
      <c r="PEU106" s="769"/>
      <c r="PEV106" s="769"/>
      <c r="PEW106" s="769"/>
      <c r="PEX106" s="769"/>
      <c r="PEY106" s="769"/>
      <c r="PEZ106" s="769"/>
      <c r="PFA106" s="769"/>
      <c r="PFB106" s="769"/>
      <c r="PFC106" s="769"/>
      <c r="PFD106" s="769"/>
      <c r="PFE106" s="769"/>
      <c r="PFF106" s="769"/>
      <c r="PFG106" s="769"/>
      <c r="PFH106" s="769"/>
      <c r="PFI106" s="769"/>
      <c r="PFJ106" s="769"/>
      <c r="PFK106" s="769"/>
      <c r="PFL106" s="769"/>
      <c r="PFM106" s="769"/>
      <c r="PFN106" s="769"/>
      <c r="PFO106" s="769"/>
      <c r="PFP106" s="769"/>
      <c r="PFQ106" s="769"/>
      <c r="PFR106" s="769"/>
      <c r="PFS106" s="769"/>
      <c r="PFT106" s="769"/>
      <c r="PFU106" s="769"/>
      <c r="PFV106" s="769"/>
      <c r="PFW106" s="769"/>
      <c r="PFX106" s="769"/>
      <c r="PFY106" s="769"/>
      <c r="PFZ106" s="769"/>
      <c r="PGA106" s="769"/>
      <c r="PGB106" s="769"/>
      <c r="PGC106" s="769"/>
      <c r="PGD106" s="769"/>
      <c r="PGE106" s="769"/>
      <c r="PGF106" s="769"/>
      <c r="PGG106" s="769"/>
      <c r="PGH106" s="769"/>
      <c r="PGI106" s="769"/>
      <c r="PGJ106" s="769"/>
      <c r="PGK106" s="769"/>
      <c r="PGL106" s="769"/>
      <c r="PGM106" s="769"/>
      <c r="PGN106" s="769"/>
      <c r="PGO106" s="769"/>
      <c r="PGP106" s="769"/>
      <c r="PGQ106" s="769"/>
      <c r="PGR106" s="769"/>
      <c r="PGS106" s="769"/>
      <c r="PGT106" s="769"/>
      <c r="PGU106" s="769"/>
      <c r="PGV106" s="769"/>
      <c r="PGW106" s="769"/>
      <c r="PGX106" s="769"/>
      <c r="PGY106" s="769"/>
      <c r="PGZ106" s="769"/>
      <c r="PHA106" s="769"/>
      <c r="PHB106" s="769"/>
      <c r="PHC106" s="769"/>
      <c r="PHD106" s="769"/>
      <c r="PHE106" s="769"/>
      <c r="PHF106" s="769"/>
      <c r="PHG106" s="769"/>
      <c r="PHH106" s="769"/>
      <c r="PHI106" s="769"/>
      <c r="PHJ106" s="769"/>
      <c r="PHK106" s="769"/>
      <c r="PHL106" s="769"/>
      <c r="PHM106" s="769"/>
      <c r="PHN106" s="769"/>
      <c r="PHO106" s="769"/>
      <c r="PHP106" s="769"/>
      <c r="PHQ106" s="769"/>
      <c r="PHR106" s="769"/>
      <c r="PHS106" s="769"/>
      <c r="PHT106" s="769"/>
      <c r="PHU106" s="769"/>
      <c r="PHV106" s="769"/>
      <c r="PHW106" s="769"/>
      <c r="PHX106" s="769"/>
      <c r="PHY106" s="769"/>
      <c r="PHZ106" s="769"/>
      <c r="PIA106" s="769"/>
      <c r="PIB106" s="769"/>
      <c r="PIC106" s="769"/>
      <c r="PID106" s="769"/>
      <c r="PIE106" s="769"/>
      <c r="PIF106" s="769"/>
      <c r="PIG106" s="769"/>
      <c r="PIH106" s="769"/>
      <c r="PII106" s="769"/>
      <c r="PIJ106" s="769"/>
      <c r="PIK106" s="769"/>
      <c r="PIL106" s="769"/>
      <c r="PIM106" s="769"/>
      <c r="PIN106" s="769"/>
      <c r="PIO106" s="769"/>
      <c r="PIP106" s="769"/>
      <c r="PIQ106" s="769"/>
      <c r="PIR106" s="769"/>
      <c r="PIS106" s="769"/>
      <c r="PIT106" s="769"/>
      <c r="PIU106" s="769"/>
      <c r="PIV106" s="769"/>
      <c r="PIW106" s="769"/>
      <c r="PIX106" s="769"/>
      <c r="PIY106" s="769"/>
      <c r="PIZ106" s="769"/>
      <c r="PJA106" s="769"/>
      <c r="PJB106" s="769"/>
      <c r="PJC106" s="769"/>
      <c r="PJD106" s="769"/>
      <c r="PJE106" s="769"/>
      <c r="PJF106" s="769"/>
      <c r="PJG106" s="769"/>
      <c r="PJH106" s="769"/>
      <c r="PJI106" s="769"/>
      <c r="PJJ106" s="769"/>
      <c r="PJK106" s="769"/>
      <c r="PJL106" s="769"/>
      <c r="PJM106" s="769"/>
      <c r="PJN106" s="769"/>
      <c r="PJO106" s="769"/>
      <c r="PJP106" s="769"/>
      <c r="PJQ106" s="769"/>
      <c r="PJR106" s="769"/>
      <c r="PJS106" s="769"/>
      <c r="PJT106" s="769"/>
      <c r="PJU106" s="769"/>
      <c r="PJV106" s="769"/>
      <c r="PJW106" s="769"/>
      <c r="PJX106" s="769"/>
      <c r="PJY106" s="769"/>
      <c r="PJZ106" s="769"/>
      <c r="PKA106" s="769"/>
      <c r="PKB106" s="769"/>
      <c r="PKC106" s="769"/>
      <c r="PKD106" s="769"/>
      <c r="PKE106" s="769"/>
      <c r="PKF106" s="769"/>
      <c r="PKG106" s="769"/>
      <c r="PKH106" s="769"/>
      <c r="PKI106" s="769"/>
      <c r="PKJ106" s="769"/>
      <c r="PKK106" s="769"/>
      <c r="PKL106" s="769"/>
      <c r="PKM106" s="769"/>
      <c r="PKN106" s="769"/>
      <c r="PKO106" s="769"/>
      <c r="PKP106" s="769"/>
      <c r="PKQ106" s="769"/>
      <c r="PKR106" s="769"/>
      <c r="PKS106" s="769"/>
      <c r="PKT106" s="769"/>
      <c r="PKU106" s="769"/>
      <c r="PKV106" s="769"/>
      <c r="PKW106" s="769"/>
      <c r="PKX106" s="769"/>
      <c r="PKY106" s="769"/>
      <c r="PKZ106" s="769"/>
      <c r="PLA106" s="769"/>
      <c r="PLB106" s="769"/>
      <c r="PLC106" s="769"/>
      <c r="PLD106" s="769"/>
      <c r="PLE106" s="769"/>
      <c r="PLF106" s="769"/>
      <c r="PLG106" s="769"/>
      <c r="PLH106" s="769"/>
      <c r="PLI106" s="769"/>
      <c r="PLJ106" s="769"/>
      <c r="PLK106" s="769"/>
      <c r="PLL106" s="769"/>
      <c r="PLM106" s="769"/>
      <c r="PLN106" s="769"/>
      <c r="PLO106" s="769"/>
      <c r="PLP106" s="769"/>
      <c r="PLQ106" s="769"/>
      <c r="PLR106" s="769"/>
      <c r="PLS106" s="769"/>
      <c r="PLT106" s="769"/>
      <c r="PLU106" s="769"/>
      <c r="PLV106" s="769"/>
      <c r="PLW106" s="769"/>
      <c r="PLX106" s="769"/>
      <c r="PLY106" s="769"/>
      <c r="PLZ106" s="769"/>
      <c r="PMA106" s="769"/>
      <c r="PMB106" s="769"/>
      <c r="PMC106" s="769"/>
      <c r="PMD106" s="769"/>
      <c r="PME106" s="769"/>
      <c r="PMF106" s="769"/>
      <c r="PMG106" s="769"/>
      <c r="PMH106" s="769"/>
      <c r="PMI106" s="769"/>
      <c r="PMJ106" s="769"/>
      <c r="PMK106" s="769"/>
      <c r="PML106" s="769"/>
      <c r="PMM106" s="769"/>
      <c r="PMN106" s="769"/>
      <c r="PMO106" s="769"/>
      <c r="PMP106" s="769"/>
      <c r="PMQ106" s="769"/>
      <c r="PMR106" s="769"/>
      <c r="PMS106" s="769"/>
      <c r="PMT106" s="769"/>
      <c r="PMU106" s="769"/>
      <c r="PMV106" s="769"/>
      <c r="PMW106" s="769"/>
      <c r="PMX106" s="769"/>
      <c r="PMY106" s="769"/>
      <c r="PMZ106" s="769"/>
      <c r="PNA106" s="769"/>
      <c r="PNB106" s="769"/>
      <c r="PNC106" s="769"/>
      <c r="PND106" s="769"/>
      <c r="PNE106" s="769"/>
      <c r="PNF106" s="769"/>
      <c r="PNG106" s="769"/>
      <c r="PNH106" s="769"/>
      <c r="PNI106" s="769"/>
      <c r="PNJ106" s="769"/>
      <c r="PNK106" s="769"/>
      <c r="PNL106" s="769"/>
      <c r="PNM106" s="769"/>
      <c r="PNN106" s="769"/>
      <c r="PNO106" s="769"/>
      <c r="PNP106" s="769"/>
      <c r="PNQ106" s="769"/>
      <c r="PNR106" s="769"/>
      <c r="PNS106" s="769"/>
      <c r="PNT106" s="769"/>
      <c r="PNU106" s="769"/>
      <c r="PNV106" s="769"/>
      <c r="PNW106" s="769"/>
      <c r="PNX106" s="769"/>
      <c r="PNY106" s="769"/>
      <c r="PNZ106" s="769"/>
      <c r="POA106" s="769"/>
      <c r="POB106" s="769"/>
      <c r="POC106" s="769"/>
      <c r="POD106" s="769"/>
      <c r="POE106" s="769"/>
      <c r="POF106" s="769"/>
      <c r="POG106" s="769"/>
      <c r="POH106" s="769"/>
      <c r="POI106" s="769"/>
      <c r="POJ106" s="769"/>
      <c r="POK106" s="769"/>
      <c r="POL106" s="769"/>
      <c r="POM106" s="769"/>
      <c r="PON106" s="769"/>
      <c r="POO106" s="769"/>
      <c r="POP106" s="769"/>
      <c r="POQ106" s="769"/>
      <c r="POR106" s="769"/>
      <c r="POS106" s="769"/>
      <c r="POT106" s="769"/>
      <c r="POU106" s="769"/>
      <c r="POV106" s="769"/>
      <c r="POW106" s="769"/>
      <c r="POX106" s="769"/>
      <c r="POY106" s="769"/>
      <c r="POZ106" s="769"/>
      <c r="PPA106" s="769"/>
      <c r="PPB106" s="769"/>
      <c r="PPC106" s="769"/>
      <c r="PPD106" s="769"/>
      <c r="PPE106" s="769"/>
      <c r="PPF106" s="769"/>
      <c r="PPG106" s="769"/>
      <c r="PPH106" s="769"/>
      <c r="PPI106" s="769"/>
      <c r="PPJ106" s="769"/>
      <c r="PPK106" s="769"/>
      <c r="PPL106" s="769"/>
      <c r="PPM106" s="769"/>
      <c r="PPN106" s="769"/>
      <c r="PPO106" s="769"/>
      <c r="PPP106" s="769"/>
      <c r="PPQ106" s="769"/>
      <c r="PPR106" s="769"/>
      <c r="PPS106" s="769"/>
      <c r="PPT106" s="769"/>
      <c r="PPU106" s="769"/>
      <c r="PPV106" s="769"/>
      <c r="PPW106" s="769"/>
      <c r="PPX106" s="769"/>
      <c r="PPY106" s="769"/>
      <c r="PPZ106" s="769"/>
      <c r="PQA106" s="769"/>
      <c r="PQB106" s="769"/>
      <c r="PQC106" s="769"/>
      <c r="PQD106" s="769"/>
      <c r="PQE106" s="769"/>
      <c r="PQF106" s="769"/>
      <c r="PQG106" s="769"/>
      <c r="PQH106" s="769"/>
      <c r="PQI106" s="769"/>
      <c r="PQJ106" s="769"/>
      <c r="PQK106" s="769"/>
      <c r="PQL106" s="769"/>
      <c r="PQM106" s="769"/>
      <c r="PQN106" s="769"/>
      <c r="PQO106" s="769"/>
      <c r="PQP106" s="769"/>
      <c r="PQQ106" s="769"/>
      <c r="PQR106" s="769"/>
      <c r="PQS106" s="769"/>
      <c r="PQT106" s="769"/>
      <c r="PQU106" s="769"/>
      <c r="PQV106" s="769"/>
      <c r="PQW106" s="769"/>
      <c r="PQX106" s="769"/>
      <c r="PQY106" s="769"/>
      <c r="PQZ106" s="769"/>
      <c r="PRA106" s="769"/>
      <c r="PRB106" s="769"/>
      <c r="PRC106" s="769"/>
      <c r="PRD106" s="769"/>
      <c r="PRE106" s="769"/>
      <c r="PRF106" s="769"/>
      <c r="PRG106" s="769"/>
      <c r="PRH106" s="769"/>
      <c r="PRI106" s="769"/>
      <c r="PRJ106" s="769"/>
      <c r="PRK106" s="769"/>
      <c r="PRL106" s="769"/>
      <c r="PRM106" s="769"/>
      <c r="PRN106" s="769"/>
      <c r="PRO106" s="769"/>
      <c r="PRP106" s="769"/>
      <c r="PRQ106" s="769"/>
      <c r="PRR106" s="769"/>
      <c r="PRS106" s="769"/>
      <c r="PRT106" s="769"/>
      <c r="PRU106" s="769"/>
      <c r="PRV106" s="769"/>
      <c r="PRW106" s="769"/>
      <c r="PRX106" s="769"/>
      <c r="PRY106" s="769"/>
      <c r="PRZ106" s="769"/>
      <c r="PSA106" s="769"/>
      <c r="PSB106" s="769"/>
      <c r="PSC106" s="769"/>
      <c r="PSD106" s="769"/>
      <c r="PSE106" s="769"/>
      <c r="PSF106" s="769"/>
      <c r="PSG106" s="769"/>
      <c r="PSH106" s="769"/>
      <c r="PSI106" s="769"/>
      <c r="PSJ106" s="769"/>
      <c r="PSK106" s="769"/>
      <c r="PSL106" s="769"/>
      <c r="PSM106" s="769"/>
      <c r="PSN106" s="769"/>
      <c r="PSO106" s="769"/>
      <c r="PSP106" s="769"/>
      <c r="PSQ106" s="769"/>
      <c r="PSR106" s="769"/>
      <c r="PSS106" s="769"/>
      <c r="PST106" s="769"/>
      <c r="PSU106" s="769"/>
      <c r="PSV106" s="769"/>
      <c r="PSW106" s="769"/>
      <c r="PSX106" s="769"/>
      <c r="PSY106" s="769"/>
      <c r="PSZ106" s="769"/>
      <c r="PTA106" s="769"/>
      <c r="PTB106" s="769"/>
      <c r="PTC106" s="769"/>
      <c r="PTD106" s="769"/>
      <c r="PTE106" s="769"/>
      <c r="PTF106" s="769"/>
      <c r="PTG106" s="769"/>
      <c r="PTH106" s="769"/>
      <c r="PTI106" s="769"/>
      <c r="PTJ106" s="769"/>
      <c r="PTK106" s="769"/>
      <c r="PTL106" s="769"/>
      <c r="PTM106" s="769"/>
      <c r="PTN106" s="769"/>
      <c r="PTO106" s="769"/>
      <c r="PTP106" s="769"/>
      <c r="PTQ106" s="769"/>
      <c r="PTR106" s="769"/>
      <c r="PTS106" s="769"/>
      <c r="PTT106" s="769"/>
      <c r="PTU106" s="769"/>
      <c r="PTV106" s="769"/>
      <c r="PTW106" s="769"/>
      <c r="PTX106" s="769"/>
      <c r="PTY106" s="769"/>
      <c r="PTZ106" s="769"/>
      <c r="PUA106" s="769"/>
      <c r="PUB106" s="769"/>
      <c r="PUC106" s="769"/>
      <c r="PUD106" s="769"/>
      <c r="PUE106" s="769"/>
      <c r="PUF106" s="769"/>
      <c r="PUG106" s="769"/>
      <c r="PUH106" s="769"/>
      <c r="PUI106" s="769"/>
      <c r="PUJ106" s="769"/>
      <c r="PUK106" s="769"/>
      <c r="PUL106" s="769"/>
      <c r="PUM106" s="769"/>
      <c r="PUN106" s="769"/>
      <c r="PUO106" s="769"/>
      <c r="PUP106" s="769"/>
      <c r="PUQ106" s="769"/>
      <c r="PUR106" s="769"/>
      <c r="PUS106" s="769"/>
      <c r="PUT106" s="769"/>
      <c r="PUU106" s="769"/>
      <c r="PUV106" s="769"/>
      <c r="PUW106" s="769"/>
      <c r="PUX106" s="769"/>
      <c r="PUY106" s="769"/>
      <c r="PUZ106" s="769"/>
      <c r="PVA106" s="769"/>
      <c r="PVB106" s="769"/>
      <c r="PVC106" s="769"/>
      <c r="PVD106" s="769"/>
      <c r="PVE106" s="769"/>
      <c r="PVF106" s="769"/>
      <c r="PVG106" s="769"/>
      <c r="PVH106" s="769"/>
      <c r="PVI106" s="769"/>
      <c r="PVJ106" s="769"/>
      <c r="PVK106" s="769"/>
      <c r="PVL106" s="769"/>
      <c r="PVM106" s="769"/>
      <c r="PVN106" s="769"/>
      <c r="PVO106" s="769"/>
      <c r="PVP106" s="769"/>
      <c r="PVQ106" s="769"/>
      <c r="PVR106" s="769"/>
      <c r="PVS106" s="769"/>
      <c r="PVT106" s="769"/>
      <c r="PVU106" s="769"/>
      <c r="PVV106" s="769"/>
      <c r="PVW106" s="769"/>
      <c r="PVX106" s="769"/>
      <c r="PVY106" s="769"/>
      <c r="PVZ106" s="769"/>
      <c r="PWA106" s="769"/>
      <c r="PWB106" s="769"/>
      <c r="PWC106" s="769"/>
      <c r="PWD106" s="769"/>
      <c r="PWE106" s="769"/>
      <c r="PWF106" s="769"/>
      <c r="PWG106" s="769"/>
      <c r="PWH106" s="769"/>
      <c r="PWI106" s="769"/>
      <c r="PWJ106" s="769"/>
      <c r="PWK106" s="769"/>
      <c r="PWL106" s="769"/>
      <c r="PWM106" s="769"/>
      <c r="PWN106" s="769"/>
      <c r="PWO106" s="769"/>
      <c r="PWP106" s="769"/>
      <c r="PWQ106" s="769"/>
      <c r="PWR106" s="769"/>
      <c r="PWS106" s="769"/>
      <c r="PWT106" s="769"/>
      <c r="PWU106" s="769"/>
      <c r="PWV106" s="769"/>
      <c r="PWW106" s="769"/>
      <c r="PWX106" s="769"/>
      <c r="PWY106" s="769"/>
      <c r="PWZ106" s="769"/>
      <c r="PXA106" s="769"/>
      <c r="PXB106" s="769"/>
      <c r="PXC106" s="769"/>
      <c r="PXD106" s="769"/>
      <c r="PXE106" s="769"/>
      <c r="PXF106" s="769"/>
      <c r="PXG106" s="769"/>
      <c r="PXH106" s="769"/>
      <c r="PXI106" s="769"/>
      <c r="PXJ106" s="769"/>
      <c r="PXK106" s="769"/>
      <c r="PXL106" s="769"/>
      <c r="PXM106" s="769"/>
      <c r="PXN106" s="769"/>
      <c r="PXO106" s="769"/>
      <c r="PXP106" s="769"/>
      <c r="PXQ106" s="769"/>
      <c r="PXR106" s="769"/>
      <c r="PXS106" s="769"/>
      <c r="PXT106" s="769"/>
      <c r="PXU106" s="769"/>
      <c r="PXV106" s="769"/>
      <c r="PXW106" s="769"/>
      <c r="PXX106" s="769"/>
      <c r="PXY106" s="769"/>
      <c r="PXZ106" s="769"/>
      <c r="PYA106" s="769"/>
      <c r="PYB106" s="769"/>
      <c r="PYC106" s="769"/>
      <c r="PYD106" s="769"/>
      <c r="PYE106" s="769"/>
      <c r="PYF106" s="769"/>
      <c r="PYG106" s="769"/>
      <c r="PYH106" s="769"/>
      <c r="PYI106" s="769"/>
      <c r="PYJ106" s="769"/>
      <c r="PYK106" s="769"/>
      <c r="PYL106" s="769"/>
      <c r="PYM106" s="769"/>
      <c r="PYN106" s="769"/>
      <c r="PYO106" s="769"/>
      <c r="PYP106" s="769"/>
      <c r="PYQ106" s="769"/>
      <c r="PYR106" s="769"/>
      <c r="PYS106" s="769"/>
      <c r="PYT106" s="769"/>
      <c r="PYU106" s="769"/>
      <c r="PYV106" s="769"/>
      <c r="PYW106" s="769"/>
      <c r="PYX106" s="769"/>
      <c r="PYY106" s="769"/>
      <c r="PYZ106" s="769"/>
      <c r="PZA106" s="769"/>
      <c r="PZB106" s="769"/>
      <c r="PZC106" s="769"/>
      <c r="PZD106" s="769"/>
      <c r="PZE106" s="769"/>
      <c r="PZF106" s="769"/>
      <c r="PZG106" s="769"/>
      <c r="PZH106" s="769"/>
      <c r="PZI106" s="769"/>
      <c r="PZJ106" s="769"/>
      <c r="PZK106" s="769"/>
      <c r="PZL106" s="769"/>
      <c r="PZM106" s="769"/>
      <c r="PZN106" s="769"/>
      <c r="PZO106" s="769"/>
      <c r="PZP106" s="769"/>
      <c r="PZQ106" s="769"/>
      <c r="PZR106" s="769"/>
      <c r="PZS106" s="769"/>
      <c r="PZT106" s="769"/>
      <c r="PZU106" s="769"/>
      <c r="PZV106" s="769"/>
      <c r="PZW106" s="769"/>
      <c r="PZX106" s="769"/>
      <c r="PZY106" s="769"/>
      <c r="PZZ106" s="769"/>
      <c r="QAA106" s="769"/>
      <c r="QAB106" s="769"/>
      <c r="QAC106" s="769"/>
      <c r="QAD106" s="769"/>
      <c r="QAE106" s="769"/>
      <c r="QAF106" s="769"/>
      <c r="QAG106" s="769"/>
      <c r="QAH106" s="769"/>
      <c r="QAI106" s="769"/>
      <c r="QAJ106" s="769"/>
      <c r="QAK106" s="769"/>
      <c r="QAL106" s="769"/>
      <c r="QAM106" s="769"/>
      <c r="QAN106" s="769"/>
      <c r="QAO106" s="769"/>
      <c r="QAP106" s="769"/>
      <c r="QAQ106" s="769"/>
      <c r="QAR106" s="769"/>
      <c r="QAS106" s="769"/>
      <c r="QAT106" s="769"/>
      <c r="QAU106" s="769"/>
      <c r="QAV106" s="769"/>
      <c r="QAW106" s="769"/>
      <c r="QAX106" s="769"/>
      <c r="QAY106" s="769"/>
      <c r="QAZ106" s="769"/>
      <c r="QBA106" s="769"/>
      <c r="QBB106" s="769"/>
      <c r="QBC106" s="769"/>
      <c r="QBD106" s="769"/>
      <c r="QBE106" s="769"/>
      <c r="QBF106" s="769"/>
      <c r="QBG106" s="769"/>
      <c r="QBH106" s="769"/>
      <c r="QBI106" s="769"/>
      <c r="QBJ106" s="769"/>
      <c r="QBK106" s="769"/>
      <c r="QBL106" s="769"/>
      <c r="QBM106" s="769"/>
      <c r="QBN106" s="769"/>
      <c r="QBO106" s="769"/>
      <c r="QBP106" s="769"/>
      <c r="QBQ106" s="769"/>
      <c r="QBR106" s="769"/>
      <c r="QBS106" s="769"/>
      <c r="QBT106" s="769"/>
      <c r="QBU106" s="769"/>
      <c r="QBV106" s="769"/>
      <c r="QBW106" s="769"/>
      <c r="QBX106" s="769"/>
      <c r="QBY106" s="769"/>
      <c r="QBZ106" s="769"/>
      <c r="QCA106" s="769"/>
      <c r="QCB106" s="769"/>
      <c r="QCC106" s="769"/>
      <c r="QCD106" s="769"/>
      <c r="QCE106" s="769"/>
      <c r="QCF106" s="769"/>
      <c r="QCG106" s="769"/>
      <c r="QCH106" s="769"/>
      <c r="QCI106" s="769"/>
      <c r="QCJ106" s="769"/>
      <c r="QCK106" s="769"/>
      <c r="QCL106" s="769"/>
      <c r="QCM106" s="769"/>
      <c r="QCN106" s="769"/>
      <c r="QCO106" s="769"/>
      <c r="QCP106" s="769"/>
      <c r="QCQ106" s="769"/>
      <c r="QCR106" s="769"/>
      <c r="QCS106" s="769"/>
      <c r="QCT106" s="769"/>
      <c r="QCU106" s="769"/>
      <c r="QCV106" s="769"/>
      <c r="QCW106" s="769"/>
      <c r="QCX106" s="769"/>
      <c r="QCY106" s="769"/>
      <c r="QCZ106" s="769"/>
      <c r="QDA106" s="769"/>
      <c r="QDB106" s="769"/>
      <c r="QDC106" s="769"/>
      <c r="QDD106" s="769"/>
      <c r="QDE106" s="769"/>
      <c r="QDF106" s="769"/>
      <c r="QDG106" s="769"/>
      <c r="QDH106" s="769"/>
      <c r="QDI106" s="769"/>
      <c r="QDJ106" s="769"/>
      <c r="QDK106" s="769"/>
      <c r="QDL106" s="769"/>
      <c r="QDM106" s="769"/>
      <c r="QDN106" s="769"/>
      <c r="QDO106" s="769"/>
      <c r="QDP106" s="769"/>
      <c r="QDQ106" s="769"/>
      <c r="QDR106" s="769"/>
      <c r="QDS106" s="769"/>
      <c r="QDT106" s="769"/>
      <c r="QDU106" s="769"/>
      <c r="QDV106" s="769"/>
      <c r="QDW106" s="769"/>
      <c r="QDX106" s="769"/>
      <c r="QDY106" s="769"/>
      <c r="QDZ106" s="769"/>
      <c r="QEA106" s="769"/>
      <c r="QEB106" s="769"/>
      <c r="QEC106" s="769"/>
      <c r="QED106" s="769"/>
      <c r="QEE106" s="769"/>
      <c r="QEF106" s="769"/>
      <c r="QEG106" s="769"/>
      <c r="QEH106" s="769"/>
      <c r="QEI106" s="769"/>
      <c r="QEJ106" s="769"/>
      <c r="QEK106" s="769"/>
      <c r="QEL106" s="769"/>
      <c r="QEM106" s="769"/>
      <c r="QEN106" s="769"/>
      <c r="QEO106" s="769"/>
      <c r="QEP106" s="769"/>
      <c r="QEQ106" s="769"/>
      <c r="QER106" s="769"/>
      <c r="QES106" s="769"/>
      <c r="QET106" s="769"/>
      <c r="QEU106" s="769"/>
      <c r="QEV106" s="769"/>
      <c r="QEW106" s="769"/>
      <c r="QEX106" s="769"/>
      <c r="QEY106" s="769"/>
      <c r="QEZ106" s="769"/>
      <c r="QFA106" s="769"/>
      <c r="QFB106" s="769"/>
      <c r="QFC106" s="769"/>
      <c r="QFD106" s="769"/>
      <c r="QFE106" s="769"/>
      <c r="QFF106" s="769"/>
      <c r="QFG106" s="769"/>
      <c r="QFH106" s="769"/>
      <c r="QFI106" s="769"/>
      <c r="QFJ106" s="769"/>
      <c r="QFK106" s="769"/>
      <c r="QFL106" s="769"/>
      <c r="QFM106" s="769"/>
      <c r="QFN106" s="769"/>
      <c r="QFO106" s="769"/>
      <c r="QFP106" s="769"/>
      <c r="QFQ106" s="769"/>
      <c r="QFR106" s="769"/>
      <c r="QFS106" s="769"/>
      <c r="QFT106" s="769"/>
      <c r="QFU106" s="769"/>
      <c r="QFV106" s="769"/>
      <c r="QFW106" s="769"/>
      <c r="QFX106" s="769"/>
      <c r="QFY106" s="769"/>
      <c r="QFZ106" s="769"/>
      <c r="QGA106" s="769"/>
      <c r="QGB106" s="769"/>
      <c r="QGC106" s="769"/>
      <c r="QGD106" s="769"/>
      <c r="QGE106" s="769"/>
      <c r="QGF106" s="769"/>
      <c r="QGG106" s="769"/>
      <c r="QGH106" s="769"/>
      <c r="QGI106" s="769"/>
      <c r="QGJ106" s="769"/>
      <c r="QGK106" s="769"/>
      <c r="QGL106" s="769"/>
      <c r="QGM106" s="769"/>
      <c r="QGN106" s="769"/>
      <c r="QGO106" s="769"/>
      <c r="QGP106" s="769"/>
      <c r="QGQ106" s="769"/>
      <c r="QGR106" s="769"/>
      <c r="QGS106" s="769"/>
      <c r="QGT106" s="769"/>
      <c r="QGU106" s="769"/>
      <c r="QGV106" s="769"/>
      <c r="QGW106" s="769"/>
      <c r="QGX106" s="769"/>
      <c r="QGY106" s="769"/>
      <c r="QGZ106" s="769"/>
      <c r="QHA106" s="769"/>
      <c r="QHB106" s="769"/>
      <c r="QHC106" s="769"/>
      <c r="QHD106" s="769"/>
      <c r="QHE106" s="769"/>
      <c r="QHF106" s="769"/>
      <c r="QHG106" s="769"/>
      <c r="QHH106" s="769"/>
      <c r="QHI106" s="769"/>
      <c r="QHJ106" s="769"/>
      <c r="QHK106" s="769"/>
      <c r="QHL106" s="769"/>
      <c r="QHM106" s="769"/>
      <c r="QHN106" s="769"/>
      <c r="QHO106" s="769"/>
      <c r="QHP106" s="769"/>
      <c r="QHQ106" s="769"/>
      <c r="QHR106" s="769"/>
      <c r="QHS106" s="769"/>
      <c r="QHT106" s="769"/>
      <c r="QHU106" s="769"/>
      <c r="QHV106" s="769"/>
      <c r="QHW106" s="769"/>
      <c r="QHX106" s="769"/>
      <c r="QHY106" s="769"/>
      <c r="QHZ106" s="769"/>
      <c r="QIA106" s="769"/>
      <c r="QIB106" s="769"/>
      <c r="QIC106" s="769"/>
      <c r="QID106" s="769"/>
      <c r="QIE106" s="769"/>
      <c r="QIF106" s="769"/>
      <c r="QIG106" s="769"/>
      <c r="QIH106" s="769"/>
      <c r="QII106" s="769"/>
      <c r="QIJ106" s="769"/>
      <c r="QIK106" s="769"/>
      <c r="QIL106" s="769"/>
      <c r="QIM106" s="769"/>
      <c r="QIN106" s="769"/>
      <c r="QIO106" s="769"/>
      <c r="QIP106" s="769"/>
      <c r="QIQ106" s="769"/>
      <c r="QIR106" s="769"/>
      <c r="QIS106" s="769"/>
      <c r="QIT106" s="769"/>
      <c r="QIU106" s="769"/>
      <c r="QIV106" s="769"/>
      <c r="QIW106" s="769"/>
      <c r="QIX106" s="769"/>
      <c r="QIY106" s="769"/>
      <c r="QIZ106" s="769"/>
      <c r="QJA106" s="769"/>
      <c r="QJB106" s="769"/>
      <c r="QJC106" s="769"/>
      <c r="QJD106" s="769"/>
      <c r="QJE106" s="769"/>
      <c r="QJF106" s="769"/>
      <c r="QJG106" s="769"/>
      <c r="QJH106" s="769"/>
      <c r="QJI106" s="769"/>
      <c r="QJJ106" s="769"/>
      <c r="QJK106" s="769"/>
      <c r="QJL106" s="769"/>
      <c r="QJM106" s="769"/>
      <c r="QJN106" s="769"/>
      <c r="QJO106" s="769"/>
      <c r="QJP106" s="769"/>
      <c r="QJQ106" s="769"/>
      <c r="QJR106" s="769"/>
      <c r="QJS106" s="769"/>
      <c r="QJT106" s="769"/>
      <c r="QJU106" s="769"/>
      <c r="QJV106" s="769"/>
      <c r="QJW106" s="769"/>
      <c r="QJX106" s="769"/>
      <c r="QJY106" s="769"/>
      <c r="QJZ106" s="769"/>
      <c r="QKA106" s="769"/>
      <c r="QKB106" s="769"/>
      <c r="QKC106" s="769"/>
      <c r="QKD106" s="769"/>
      <c r="QKE106" s="769"/>
      <c r="QKF106" s="769"/>
      <c r="QKG106" s="769"/>
      <c r="QKH106" s="769"/>
      <c r="QKI106" s="769"/>
      <c r="QKJ106" s="769"/>
      <c r="QKK106" s="769"/>
      <c r="QKL106" s="769"/>
      <c r="QKM106" s="769"/>
      <c r="QKN106" s="769"/>
      <c r="QKO106" s="769"/>
      <c r="QKP106" s="769"/>
      <c r="QKQ106" s="769"/>
      <c r="QKR106" s="769"/>
      <c r="QKS106" s="769"/>
      <c r="QKT106" s="769"/>
      <c r="QKU106" s="769"/>
      <c r="QKV106" s="769"/>
      <c r="QKW106" s="769"/>
      <c r="QKX106" s="769"/>
      <c r="QKY106" s="769"/>
      <c r="QKZ106" s="769"/>
      <c r="QLA106" s="769"/>
      <c r="QLB106" s="769"/>
      <c r="QLC106" s="769"/>
      <c r="QLD106" s="769"/>
      <c r="QLE106" s="769"/>
      <c r="QLF106" s="769"/>
      <c r="QLG106" s="769"/>
      <c r="QLH106" s="769"/>
      <c r="QLI106" s="769"/>
      <c r="QLJ106" s="769"/>
      <c r="QLK106" s="769"/>
      <c r="QLL106" s="769"/>
      <c r="QLM106" s="769"/>
      <c r="QLN106" s="769"/>
      <c r="QLO106" s="769"/>
      <c r="QLP106" s="769"/>
      <c r="QLQ106" s="769"/>
      <c r="QLR106" s="769"/>
      <c r="QLS106" s="769"/>
      <c r="QLT106" s="769"/>
      <c r="QLU106" s="769"/>
      <c r="QLV106" s="769"/>
      <c r="QLW106" s="769"/>
      <c r="QLX106" s="769"/>
      <c r="QLY106" s="769"/>
      <c r="QLZ106" s="769"/>
      <c r="QMA106" s="769"/>
      <c r="QMB106" s="769"/>
      <c r="QMC106" s="769"/>
      <c r="QMD106" s="769"/>
      <c r="QME106" s="769"/>
      <c r="QMF106" s="769"/>
      <c r="QMG106" s="769"/>
      <c r="QMH106" s="769"/>
      <c r="QMI106" s="769"/>
      <c r="QMJ106" s="769"/>
      <c r="QMK106" s="769"/>
      <c r="QML106" s="769"/>
      <c r="QMM106" s="769"/>
      <c r="QMN106" s="769"/>
      <c r="QMO106" s="769"/>
      <c r="QMP106" s="769"/>
      <c r="QMQ106" s="769"/>
      <c r="QMR106" s="769"/>
      <c r="QMS106" s="769"/>
      <c r="QMT106" s="769"/>
      <c r="QMU106" s="769"/>
      <c r="QMV106" s="769"/>
      <c r="QMW106" s="769"/>
      <c r="QMX106" s="769"/>
      <c r="QMY106" s="769"/>
      <c r="QMZ106" s="769"/>
      <c r="QNA106" s="769"/>
      <c r="QNB106" s="769"/>
      <c r="QNC106" s="769"/>
      <c r="QND106" s="769"/>
      <c r="QNE106" s="769"/>
      <c r="QNF106" s="769"/>
      <c r="QNG106" s="769"/>
      <c r="QNH106" s="769"/>
      <c r="QNI106" s="769"/>
      <c r="QNJ106" s="769"/>
      <c r="QNK106" s="769"/>
      <c r="QNL106" s="769"/>
      <c r="QNM106" s="769"/>
      <c r="QNN106" s="769"/>
      <c r="QNO106" s="769"/>
      <c r="QNP106" s="769"/>
      <c r="QNQ106" s="769"/>
      <c r="QNR106" s="769"/>
      <c r="QNS106" s="769"/>
      <c r="QNT106" s="769"/>
      <c r="QNU106" s="769"/>
      <c r="QNV106" s="769"/>
      <c r="QNW106" s="769"/>
      <c r="QNX106" s="769"/>
      <c r="QNY106" s="769"/>
      <c r="QNZ106" s="769"/>
      <c r="QOA106" s="769"/>
      <c r="QOB106" s="769"/>
      <c r="QOC106" s="769"/>
      <c r="QOD106" s="769"/>
      <c r="QOE106" s="769"/>
      <c r="QOF106" s="769"/>
      <c r="QOG106" s="769"/>
      <c r="QOH106" s="769"/>
      <c r="QOI106" s="769"/>
      <c r="QOJ106" s="769"/>
      <c r="QOK106" s="769"/>
      <c r="QOL106" s="769"/>
      <c r="QOM106" s="769"/>
      <c r="QON106" s="769"/>
      <c r="QOO106" s="769"/>
      <c r="QOP106" s="769"/>
      <c r="QOQ106" s="769"/>
      <c r="QOR106" s="769"/>
      <c r="QOS106" s="769"/>
      <c r="QOT106" s="769"/>
      <c r="QOU106" s="769"/>
      <c r="QOV106" s="769"/>
      <c r="QOW106" s="769"/>
      <c r="QOX106" s="769"/>
      <c r="QOY106" s="769"/>
      <c r="QOZ106" s="769"/>
      <c r="QPA106" s="769"/>
      <c r="QPB106" s="769"/>
      <c r="QPC106" s="769"/>
      <c r="QPD106" s="769"/>
      <c r="QPE106" s="769"/>
      <c r="QPF106" s="769"/>
      <c r="QPG106" s="769"/>
      <c r="QPH106" s="769"/>
      <c r="QPI106" s="769"/>
      <c r="QPJ106" s="769"/>
      <c r="QPK106" s="769"/>
      <c r="QPL106" s="769"/>
      <c r="QPM106" s="769"/>
      <c r="QPN106" s="769"/>
      <c r="QPO106" s="769"/>
      <c r="QPP106" s="769"/>
      <c r="QPQ106" s="769"/>
      <c r="QPR106" s="769"/>
      <c r="QPS106" s="769"/>
      <c r="QPT106" s="769"/>
      <c r="QPU106" s="769"/>
      <c r="QPV106" s="769"/>
      <c r="QPW106" s="769"/>
      <c r="QPX106" s="769"/>
      <c r="QPY106" s="769"/>
      <c r="QPZ106" s="769"/>
      <c r="QQA106" s="769"/>
      <c r="QQB106" s="769"/>
      <c r="QQC106" s="769"/>
      <c r="QQD106" s="769"/>
      <c r="QQE106" s="769"/>
      <c r="QQF106" s="769"/>
      <c r="QQG106" s="769"/>
      <c r="QQH106" s="769"/>
      <c r="QQI106" s="769"/>
      <c r="QQJ106" s="769"/>
      <c r="QQK106" s="769"/>
      <c r="QQL106" s="769"/>
      <c r="QQM106" s="769"/>
      <c r="QQN106" s="769"/>
      <c r="QQO106" s="769"/>
      <c r="QQP106" s="769"/>
      <c r="QQQ106" s="769"/>
      <c r="QQR106" s="769"/>
      <c r="QQS106" s="769"/>
      <c r="QQT106" s="769"/>
      <c r="QQU106" s="769"/>
      <c r="QQV106" s="769"/>
      <c r="QQW106" s="769"/>
      <c r="QQX106" s="769"/>
      <c r="QQY106" s="769"/>
      <c r="QQZ106" s="769"/>
      <c r="QRA106" s="769"/>
      <c r="QRB106" s="769"/>
      <c r="QRC106" s="769"/>
      <c r="QRD106" s="769"/>
      <c r="QRE106" s="769"/>
      <c r="QRF106" s="769"/>
      <c r="QRG106" s="769"/>
      <c r="QRH106" s="769"/>
      <c r="QRI106" s="769"/>
      <c r="QRJ106" s="769"/>
      <c r="QRK106" s="769"/>
      <c r="QRL106" s="769"/>
      <c r="QRM106" s="769"/>
      <c r="QRN106" s="769"/>
      <c r="QRO106" s="769"/>
      <c r="QRP106" s="769"/>
      <c r="QRQ106" s="769"/>
      <c r="QRR106" s="769"/>
      <c r="QRS106" s="769"/>
      <c r="QRT106" s="769"/>
      <c r="QRU106" s="769"/>
      <c r="QRV106" s="769"/>
      <c r="QRW106" s="769"/>
      <c r="QRX106" s="769"/>
      <c r="QRY106" s="769"/>
      <c r="QRZ106" s="769"/>
      <c r="QSA106" s="769"/>
      <c r="QSB106" s="769"/>
      <c r="QSC106" s="769"/>
      <c r="QSD106" s="769"/>
      <c r="QSE106" s="769"/>
      <c r="QSF106" s="769"/>
      <c r="QSG106" s="769"/>
      <c r="QSH106" s="769"/>
      <c r="QSI106" s="769"/>
      <c r="QSJ106" s="769"/>
      <c r="QSK106" s="769"/>
      <c r="QSL106" s="769"/>
      <c r="QSM106" s="769"/>
      <c r="QSN106" s="769"/>
      <c r="QSO106" s="769"/>
      <c r="QSP106" s="769"/>
      <c r="QSQ106" s="769"/>
      <c r="QSR106" s="769"/>
      <c r="QSS106" s="769"/>
      <c r="QST106" s="769"/>
      <c r="QSU106" s="769"/>
      <c r="QSV106" s="769"/>
      <c r="QSW106" s="769"/>
      <c r="QSX106" s="769"/>
      <c r="QSY106" s="769"/>
      <c r="QSZ106" s="769"/>
      <c r="QTA106" s="769"/>
      <c r="QTB106" s="769"/>
      <c r="QTC106" s="769"/>
      <c r="QTD106" s="769"/>
      <c r="QTE106" s="769"/>
      <c r="QTF106" s="769"/>
      <c r="QTG106" s="769"/>
      <c r="QTH106" s="769"/>
      <c r="QTI106" s="769"/>
      <c r="QTJ106" s="769"/>
      <c r="QTK106" s="769"/>
      <c r="QTL106" s="769"/>
      <c r="QTM106" s="769"/>
      <c r="QTN106" s="769"/>
      <c r="QTO106" s="769"/>
      <c r="QTP106" s="769"/>
      <c r="QTQ106" s="769"/>
      <c r="QTR106" s="769"/>
      <c r="QTS106" s="769"/>
      <c r="QTT106" s="769"/>
      <c r="QTU106" s="769"/>
      <c r="QTV106" s="769"/>
      <c r="QTW106" s="769"/>
      <c r="QTX106" s="769"/>
      <c r="QTY106" s="769"/>
      <c r="QTZ106" s="769"/>
      <c r="QUA106" s="769"/>
      <c r="QUB106" s="769"/>
      <c r="QUC106" s="769"/>
      <c r="QUD106" s="769"/>
      <c r="QUE106" s="769"/>
      <c r="QUF106" s="769"/>
      <c r="QUG106" s="769"/>
      <c r="QUH106" s="769"/>
      <c r="QUI106" s="769"/>
      <c r="QUJ106" s="769"/>
      <c r="QUK106" s="769"/>
      <c r="QUL106" s="769"/>
      <c r="QUM106" s="769"/>
      <c r="QUN106" s="769"/>
      <c r="QUO106" s="769"/>
      <c r="QUP106" s="769"/>
      <c r="QUQ106" s="769"/>
      <c r="QUR106" s="769"/>
      <c r="QUS106" s="769"/>
      <c r="QUT106" s="769"/>
      <c r="QUU106" s="769"/>
      <c r="QUV106" s="769"/>
      <c r="QUW106" s="769"/>
      <c r="QUX106" s="769"/>
      <c r="QUY106" s="769"/>
      <c r="QUZ106" s="769"/>
      <c r="QVA106" s="769"/>
      <c r="QVB106" s="769"/>
      <c r="QVC106" s="769"/>
      <c r="QVD106" s="769"/>
      <c r="QVE106" s="769"/>
      <c r="QVF106" s="769"/>
      <c r="QVG106" s="769"/>
      <c r="QVH106" s="769"/>
      <c r="QVI106" s="769"/>
      <c r="QVJ106" s="769"/>
      <c r="QVK106" s="769"/>
      <c r="QVL106" s="769"/>
      <c r="QVM106" s="769"/>
      <c r="QVN106" s="769"/>
      <c r="QVO106" s="769"/>
      <c r="QVP106" s="769"/>
      <c r="QVQ106" s="769"/>
      <c r="QVR106" s="769"/>
      <c r="QVS106" s="769"/>
      <c r="QVT106" s="769"/>
      <c r="QVU106" s="769"/>
      <c r="QVV106" s="769"/>
      <c r="QVW106" s="769"/>
      <c r="QVX106" s="769"/>
      <c r="QVY106" s="769"/>
      <c r="QVZ106" s="769"/>
      <c r="QWA106" s="769"/>
      <c r="QWB106" s="769"/>
      <c r="QWC106" s="769"/>
      <c r="QWD106" s="769"/>
      <c r="QWE106" s="769"/>
      <c r="QWF106" s="769"/>
      <c r="QWG106" s="769"/>
      <c r="QWH106" s="769"/>
      <c r="QWI106" s="769"/>
      <c r="QWJ106" s="769"/>
      <c r="QWK106" s="769"/>
      <c r="QWL106" s="769"/>
      <c r="QWM106" s="769"/>
      <c r="QWN106" s="769"/>
      <c r="QWO106" s="769"/>
      <c r="QWP106" s="769"/>
      <c r="QWQ106" s="769"/>
      <c r="QWR106" s="769"/>
      <c r="QWS106" s="769"/>
      <c r="QWT106" s="769"/>
      <c r="QWU106" s="769"/>
      <c r="QWV106" s="769"/>
      <c r="QWW106" s="769"/>
      <c r="QWX106" s="769"/>
      <c r="QWY106" s="769"/>
      <c r="QWZ106" s="769"/>
      <c r="QXA106" s="769"/>
      <c r="QXB106" s="769"/>
      <c r="QXC106" s="769"/>
      <c r="QXD106" s="769"/>
      <c r="QXE106" s="769"/>
      <c r="QXF106" s="769"/>
      <c r="QXG106" s="769"/>
      <c r="QXH106" s="769"/>
      <c r="QXI106" s="769"/>
      <c r="QXJ106" s="769"/>
      <c r="QXK106" s="769"/>
      <c r="QXL106" s="769"/>
      <c r="QXM106" s="769"/>
      <c r="QXN106" s="769"/>
      <c r="QXO106" s="769"/>
      <c r="QXP106" s="769"/>
      <c r="QXQ106" s="769"/>
      <c r="QXR106" s="769"/>
      <c r="QXS106" s="769"/>
      <c r="QXT106" s="769"/>
      <c r="QXU106" s="769"/>
      <c r="QXV106" s="769"/>
      <c r="QXW106" s="769"/>
      <c r="QXX106" s="769"/>
      <c r="QXY106" s="769"/>
      <c r="QXZ106" s="769"/>
      <c r="QYA106" s="769"/>
      <c r="QYB106" s="769"/>
      <c r="QYC106" s="769"/>
      <c r="QYD106" s="769"/>
      <c r="QYE106" s="769"/>
      <c r="QYF106" s="769"/>
      <c r="QYG106" s="769"/>
      <c r="QYH106" s="769"/>
      <c r="QYI106" s="769"/>
      <c r="QYJ106" s="769"/>
      <c r="QYK106" s="769"/>
      <c r="QYL106" s="769"/>
      <c r="QYM106" s="769"/>
      <c r="QYN106" s="769"/>
      <c r="QYO106" s="769"/>
      <c r="QYP106" s="769"/>
      <c r="QYQ106" s="769"/>
      <c r="QYR106" s="769"/>
      <c r="QYS106" s="769"/>
      <c r="QYT106" s="769"/>
      <c r="QYU106" s="769"/>
      <c r="QYV106" s="769"/>
      <c r="QYW106" s="769"/>
      <c r="QYX106" s="769"/>
      <c r="QYY106" s="769"/>
      <c r="QYZ106" s="769"/>
      <c r="QZA106" s="769"/>
      <c r="QZB106" s="769"/>
      <c r="QZC106" s="769"/>
      <c r="QZD106" s="769"/>
      <c r="QZE106" s="769"/>
      <c r="QZF106" s="769"/>
      <c r="QZG106" s="769"/>
      <c r="QZH106" s="769"/>
      <c r="QZI106" s="769"/>
      <c r="QZJ106" s="769"/>
      <c r="QZK106" s="769"/>
      <c r="QZL106" s="769"/>
      <c r="QZM106" s="769"/>
      <c r="QZN106" s="769"/>
      <c r="QZO106" s="769"/>
      <c r="QZP106" s="769"/>
      <c r="QZQ106" s="769"/>
      <c r="QZR106" s="769"/>
      <c r="QZS106" s="769"/>
      <c r="QZT106" s="769"/>
      <c r="QZU106" s="769"/>
      <c r="QZV106" s="769"/>
      <c r="QZW106" s="769"/>
      <c r="QZX106" s="769"/>
      <c r="QZY106" s="769"/>
      <c r="QZZ106" s="769"/>
      <c r="RAA106" s="769"/>
      <c r="RAB106" s="769"/>
      <c r="RAC106" s="769"/>
      <c r="RAD106" s="769"/>
      <c r="RAE106" s="769"/>
      <c r="RAF106" s="769"/>
      <c r="RAG106" s="769"/>
      <c r="RAH106" s="769"/>
      <c r="RAI106" s="769"/>
      <c r="RAJ106" s="769"/>
      <c r="RAK106" s="769"/>
      <c r="RAL106" s="769"/>
      <c r="RAM106" s="769"/>
      <c r="RAN106" s="769"/>
      <c r="RAO106" s="769"/>
      <c r="RAP106" s="769"/>
      <c r="RAQ106" s="769"/>
      <c r="RAR106" s="769"/>
      <c r="RAS106" s="769"/>
      <c r="RAT106" s="769"/>
      <c r="RAU106" s="769"/>
      <c r="RAV106" s="769"/>
      <c r="RAW106" s="769"/>
      <c r="RAX106" s="769"/>
      <c r="RAY106" s="769"/>
      <c r="RAZ106" s="769"/>
      <c r="RBA106" s="769"/>
      <c r="RBB106" s="769"/>
      <c r="RBC106" s="769"/>
      <c r="RBD106" s="769"/>
      <c r="RBE106" s="769"/>
      <c r="RBF106" s="769"/>
      <c r="RBG106" s="769"/>
      <c r="RBH106" s="769"/>
      <c r="RBI106" s="769"/>
      <c r="RBJ106" s="769"/>
      <c r="RBK106" s="769"/>
      <c r="RBL106" s="769"/>
      <c r="RBM106" s="769"/>
      <c r="RBN106" s="769"/>
      <c r="RBO106" s="769"/>
      <c r="RBP106" s="769"/>
      <c r="RBQ106" s="769"/>
      <c r="RBR106" s="769"/>
      <c r="RBS106" s="769"/>
      <c r="RBT106" s="769"/>
      <c r="RBU106" s="769"/>
      <c r="RBV106" s="769"/>
      <c r="RBW106" s="769"/>
      <c r="RBX106" s="769"/>
      <c r="RBY106" s="769"/>
      <c r="RBZ106" s="769"/>
      <c r="RCA106" s="769"/>
      <c r="RCB106" s="769"/>
      <c r="RCC106" s="769"/>
      <c r="RCD106" s="769"/>
      <c r="RCE106" s="769"/>
      <c r="RCF106" s="769"/>
      <c r="RCG106" s="769"/>
      <c r="RCH106" s="769"/>
      <c r="RCI106" s="769"/>
      <c r="RCJ106" s="769"/>
      <c r="RCK106" s="769"/>
      <c r="RCL106" s="769"/>
      <c r="RCM106" s="769"/>
      <c r="RCN106" s="769"/>
      <c r="RCO106" s="769"/>
      <c r="RCP106" s="769"/>
      <c r="RCQ106" s="769"/>
      <c r="RCR106" s="769"/>
      <c r="RCS106" s="769"/>
      <c r="RCT106" s="769"/>
      <c r="RCU106" s="769"/>
      <c r="RCV106" s="769"/>
      <c r="RCW106" s="769"/>
      <c r="RCX106" s="769"/>
      <c r="RCY106" s="769"/>
      <c r="RCZ106" s="769"/>
      <c r="RDA106" s="769"/>
      <c r="RDB106" s="769"/>
      <c r="RDC106" s="769"/>
      <c r="RDD106" s="769"/>
      <c r="RDE106" s="769"/>
      <c r="RDF106" s="769"/>
      <c r="RDG106" s="769"/>
      <c r="RDH106" s="769"/>
      <c r="RDI106" s="769"/>
      <c r="RDJ106" s="769"/>
      <c r="RDK106" s="769"/>
      <c r="RDL106" s="769"/>
      <c r="RDM106" s="769"/>
      <c r="RDN106" s="769"/>
      <c r="RDO106" s="769"/>
      <c r="RDP106" s="769"/>
      <c r="RDQ106" s="769"/>
      <c r="RDR106" s="769"/>
      <c r="RDS106" s="769"/>
      <c r="RDT106" s="769"/>
      <c r="RDU106" s="769"/>
      <c r="RDV106" s="769"/>
      <c r="RDW106" s="769"/>
      <c r="RDX106" s="769"/>
      <c r="RDY106" s="769"/>
      <c r="RDZ106" s="769"/>
      <c r="REA106" s="769"/>
      <c r="REB106" s="769"/>
      <c r="REC106" s="769"/>
      <c r="RED106" s="769"/>
      <c r="REE106" s="769"/>
      <c r="REF106" s="769"/>
      <c r="REG106" s="769"/>
      <c r="REH106" s="769"/>
      <c r="REI106" s="769"/>
      <c r="REJ106" s="769"/>
      <c r="REK106" s="769"/>
      <c r="REL106" s="769"/>
      <c r="REM106" s="769"/>
      <c r="REN106" s="769"/>
      <c r="REO106" s="769"/>
      <c r="REP106" s="769"/>
      <c r="REQ106" s="769"/>
      <c r="RER106" s="769"/>
      <c r="RES106" s="769"/>
      <c r="RET106" s="769"/>
      <c r="REU106" s="769"/>
      <c r="REV106" s="769"/>
      <c r="REW106" s="769"/>
      <c r="REX106" s="769"/>
      <c r="REY106" s="769"/>
      <c r="REZ106" s="769"/>
      <c r="RFA106" s="769"/>
      <c r="RFB106" s="769"/>
      <c r="RFC106" s="769"/>
      <c r="RFD106" s="769"/>
      <c r="RFE106" s="769"/>
      <c r="RFF106" s="769"/>
      <c r="RFG106" s="769"/>
      <c r="RFH106" s="769"/>
      <c r="RFI106" s="769"/>
      <c r="RFJ106" s="769"/>
      <c r="RFK106" s="769"/>
      <c r="RFL106" s="769"/>
      <c r="RFM106" s="769"/>
      <c r="RFN106" s="769"/>
      <c r="RFO106" s="769"/>
      <c r="RFP106" s="769"/>
      <c r="RFQ106" s="769"/>
      <c r="RFR106" s="769"/>
      <c r="RFS106" s="769"/>
      <c r="RFT106" s="769"/>
      <c r="RFU106" s="769"/>
      <c r="RFV106" s="769"/>
      <c r="RFW106" s="769"/>
      <c r="RFX106" s="769"/>
      <c r="RFY106" s="769"/>
      <c r="RFZ106" s="769"/>
      <c r="RGA106" s="769"/>
      <c r="RGB106" s="769"/>
      <c r="RGC106" s="769"/>
      <c r="RGD106" s="769"/>
      <c r="RGE106" s="769"/>
      <c r="RGF106" s="769"/>
      <c r="RGG106" s="769"/>
      <c r="RGH106" s="769"/>
      <c r="RGI106" s="769"/>
      <c r="RGJ106" s="769"/>
      <c r="RGK106" s="769"/>
      <c r="RGL106" s="769"/>
      <c r="RGM106" s="769"/>
      <c r="RGN106" s="769"/>
      <c r="RGO106" s="769"/>
      <c r="RGP106" s="769"/>
      <c r="RGQ106" s="769"/>
      <c r="RGR106" s="769"/>
      <c r="RGS106" s="769"/>
      <c r="RGT106" s="769"/>
      <c r="RGU106" s="769"/>
      <c r="RGV106" s="769"/>
      <c r="RGW106" s="769"/>
      <c r="RGX106" s="769"/>
      <c r="RGY106" s="769"/>
      <c r="RGZ106" s="769"/>
      <c r="RHA106" s="769"/>
      <c r="RHB106" s="769"/>
      <c r="RHC106" s="769"/>
      <c r="RHD106" s="769"/>
      <c r="RHE106" s="769"/>
      <c r="RHF106" s="769"/>
      <c r="RHG106" s="769"/>
      <c r="RHH106" s="769"/>
      <c r="RHI106" s="769"/>
      <c r="RHJ106" s="769"/>
      <c r="RHK106" s="769"/>
      <c r="RHL106" s="769"/>
      <c r="RHM106" s="769"/>
      <c r="RHN106" s="769"/>
      <c r="RHO106" s="769"/>
      <c r="RHP106" s="769"/>
      <c r="RHQ106" s="769"/>
      <c r="RHR106" s="769"/>
      <c r="RHS106" s="769"/>
      <c r="RHT106" s="769"/>
      <c r="RHU106" s="769"/>
      <c r="RHV106" s="769"/>
      <c r="RHW106" s="769"/>
      <c r="RHX106" s="769"/>
      <c r="RHY106" s="769"/>
      <c r="RHZ106" s="769"/>
      <c r="RIA106" s="769"/>
      <c r="RIB106" s="769"/>
      <c r="RIC106" s="769"/>
      <c r="RID106" s="769"/>
      <c r="RIE106" s="769"/>
      <c r="RIF106" s="769"/>
      <c r="RIG106" s="769"/>
      <c r="RIH106" s="769"/>
      <c r="RII106" s="769"/>
      <c r="RIJ106" s="769"/>
      <c r="RIK106" s="769"/>
      <c r="RIL106" s="769"/>
      <c r="RIM106" s="769"/>
      <c r="RIN106" s="769"/>
      <c r="RIO106" s="769"/>
      <c r="RIP106" s="769"/>
      <c r="RIQ106" s="769"/>
      <c r="RIR106" s="769"/>
      <c r="RIS106" s="769"/>
      <c r="RIT106" s="769"/>
      <c r="RIU106" s="769"/>
      <c r="RIV106" s="769"/>
      <c r="RIW106" s="769"/>
      <c r="RIX106" s="769"/>
      <c r="RIY106" s="769"/>
      <c r="RIZ106" s="769"/>
      <c r="RJA106" s="769"/>
      <c r="RJB106" s="769"/>
      <c r="RJC106" s="769"/>
      <c r="RJD106" s="769"/>
      <c r="RJE106" s="769"/>
      <c r="RJF106" s="769"/>
      <c r="RJG106" s="769"/>
      <c r="RJH106" s="769"/>
      <c r="RJI106" s="769"/>
      <c r="RJJ106" s="769"/>
      <c r="RJK106" s="769"/>
      <c r="RJL106" s="769"/>
      <c r="RJM106" s="769"/>
      <c r="RJN106" s="769"/>
      <c r="RJO106" s="769"/>
      <c r="RJP106" s="769"/>
      <c r="RJQ106" s="769"/>
      <c r="RJR106" s="769"/>
      <c r="RJS106" s="769"/>
      <c r="RJT106" s="769"/>
      <c r="RJU106" s="769"/>
      <c r="RJV106" s="769"/>
      <c r="RJW106" s="769"/>
      <c r="RJX106" s="769"/>
      <c r="RJY106" s="769"/>
      <c r="RJZ106" s="769"/>
      <c r="RKA106" s="769"/>
      <c r="RKB106" s="769"/>
      <c r="RKC106" s="769"/>
      <c r="RKD106" s="769"/>
      <c r="RKE106" s="769"/>
      <c r="RKF106" s="769"/>
      <c r="RKG106" s="769"/>
      <c r="RKH106" s="769"/>
      <c r="RKI106" s="769"/>
      <c r="RKJ106" s="769"/>
      <c r="RKK106" s="769"/>
      <c r="RKL106" s="769"/>
      <c r="RKM106" s="769"/>
      <c r="RKN106" s="769"/>
      <c r="RKO106" s="769"/>
      <c r="RKP106" s="769"/>
      <c r="RKQ106" s="769"/>
      <c r="RKR106" s="769"/>
      <c r="RKS106" s="769"/>
      <c r="RKT106" s="769"/>
      <c r="RKU106" s="769"/>
      <c r="RKV106" s="769"/>
      <c r="RKW106" s="769"/>
      <c r="RKX106" s="769"/>
      <c r="RKY106" s="769"/>
      <c r="RKZ106" s="769"/>
      <c r="RLA106" s="769"/>
      <c r="RLB106" s="769"/>
      <c r="RLC106" s="769"/>
      <c r="RLD106" s="769"/>
      <c r="RLE106" s="769"/>
      <c r="RLF106" s="769"/>
      <c r="RLG106" s="769"/>
      <c r="RLH106" s="769"/>
      <c r="RLI106" s="769"/>
      <c r="RLJ106" s="769"/>
      <c r="RLK106" s="769"/>
      <c r="RLL106" s="769"/>
      <c r="RLM106" s="769"/>
      <c r="RLN106" s="769"/>
      <c r="RLO106" s="769"/>
      <c r="RLP106" s="769"/>
      <c r="RLQ106" s="769"/>
      <c r="RLR106" s="769"/>
      <c r="RLS106" s="769"/>
      <c r="RLT106" s="769"/>
      <c r="RLU106" s="769"/>
      <c r="RLV106" s="769"/>
      <c r="RLW106" s="769"/>
      <c r="RLX106" s="769"/>
      <c r="RLY106" s="769"/>
      <c r="RLZ106" s="769"/>
      <c r="RMA106" s="769"/>
      <c r="RMB106" s="769"/>
      <c r="RMC106" s="769"/>
      <c r="RMD106" s="769"/>
      <c r="RME106" s="769"/>
      <c r="RMF106" s="769"/>
      <c r="RMG106" s="769"/>
      <c r="RMH106" s="769"/>
      <c r="RMI106" s="769"/>
      <c r="RMJ106" s="769"/>
      <c r="RMK106" s="769"/>
      <c r="RML106" s="769"/>
      <c r="RMM106" s="769"/>
      <c r="RMN106" s="769"/>
      <c r="RMO106" s="769"/>
      <c r="RMP106" s="769"/>
      <c r="RMQ106" s="769"/>
      <c r="RMR106" s="769"/>
      <c r="RMS106" s="769"/>
      <c r="RMT106" s="769"/>
      <c r="RMU106" s="769"/>
      <c r="RMV106" s="769"/>
      <c r="RMW106" s="769"/>
      <c r="RMX106" s="769"/>
      <c r="RMY106" s="769"/>
      <c r="RMZ106" s="769"/>
      <c r="RNA106" s="769"/>
      <c r="RNB106" s="769"/>
      <c r="RNC106" s="769"/>
      <c r="RND106" s="769"/>
      <c r="RNE106" s="769"/>
      <c r="RNF106" s="769"/>
      <c r="RNG106" s="769"/>
      <c r="RNH106" s="769"/>
      <c r="RNI106" s="769"/>
      <c r="RNJ106" s="769"/>
      <c r="RNK106" s="769"/>
      <c r="RNL106" s="769"/>
      <c r="RNM106" s="769"/>
      <c r="RNN106" s="769"/>
      <c r="RNO106" s="769"/>
      <c r="RNP106" s="769"/>
      <c r="RNQ106" s="769"/>
      <c r="RNR106" s="769"/>
      <c r="RNS106" s="769"/>
      <c r="RNT106" s="769"/>
      <c r="RNU106" s="769"/>
      <c r="RNV106" s="769"/>
      <c r="RNW106" s="769"/>
      <c r="RNX106" s="769"/>
      <c r="RNY106" s="769"/>
      <c r="RNZ106" s="769"/>
      <c r="ROA106" s="769"/>
      <c r="ROB106" s="769"/>
      <c r="ROC106" s="769"/>
      <c r="ROD106" s="769"/>
      <c r="ROE106" s="769"/>
      <c r="ROF106" s="769"/>
      <c r="ROG106" s="769"/>
      <c r="ROH106" s="769"/>
      <c r="ROI106" s="769"/>
      <c r="ROJ106" s="769"/>
      <c r="ROK106" s="769"/>
      <c r="ROL106" s="769"/>
      <c r="ROM106" s="769"/>
      <c r="RON106" s="769"/>
      <c r="ROO106" s="769"/>
      <c r="ROP106" s="769"/>
      <c r="ROQ106" s="769"/>
      <c r="ROR106" s="769"/>
      <c r="ROS106" s="769"/>
      <c r="ROT106" s="769"/>
      <c r="ROU106" s="769"/>
      <c r="ROV106" s="769"/>
      <c r="ROW106" s="769"/>
      <c r="ROX106" s="769"/>
      <c r="ROY106" s="769"/>
      <c r="ROZ106" s="769"/>
      <c r="RPA106" s="769"/>
      <c r="RPB106" s="769"/>
      <c r="RPC106" s="769"/>
      <c r="RPD106" s="769"/>
      <c r="RPE106" s="769"/>
      <c r="RPF106" s="769"/>
      <c r="RPG106" s="769"/>
      <c r="RPH106" s="769"/>
      <c r="RPI106" s="769"/>
      <c r="RPJ106" s="769"/>
      <c r="RPK106" s="769"/>
      <c r="RPL106" s="769"/>
      <c r="RPM106" s="769"/>
      <c r="RPN106" s="769"/>
      <c r="RPO106" s="769"/>
      <c r="RPP106" s="769"/>
      <c r="RPQ106" s="769"/>
      <c r="RPR106" s="769"/>
      <c r="RPS106" s="769"/>
      <c r="RPT106" s="769"/>
      <c r="RPU106" s="769"/>
      <c r="RPV106" s="769"/>
      <c r="RPW106" s="769"/>
      <c r="RPX106" s="769"/>
      <c r="RPY106" s="769"/>
      <c r="RPZ106" s="769"/>
      <c r="RQA106" s="769"/>
      <c r="RQB106" s="769"/>
      <c r="RQC106" s="769"/>
      <c r="RQD106" s="769"/>
      <c r="RQE106" s="769"/>
      <c r="RQF106" s="769"/>
      <c r="RQG106" s="769"/>
      <c r="RQH106" s="769"/>
      <c r="RQI106" s="769"/>
      <c r="RQJ106" s="769"/>
      <c r="RQK106" s="769"/>
      <c r="RQL106" s="769"/>
      <c r="RQM106" s="769"/>
      <c r="RQN106" s="769"/>
      <c r="RQO106" s="769"/>
      <c r="RQP106" s="769"/>
      <c r="RQQ106" s="769"/>
      <c r="RQR106" s="769"/>
      <c r="RQS106" s="769"/>
      <c r="RQT106" s="769"/>
      <c r="RQU106" s="769"/>
      <c r="RQV106" s="769"/>
      <c r="RQW106" s="769"/>
      <c r="RQX106" s="769"/>
      <c r="RQY106" s="769"/>
      <c r="RQZ106" s="769"/>
      <c r="RRA106" s="769"/>
      <c r="RRB106" s="769"/>
      <c r="RRC106" s="769"/>
      <c r="RRD106" s="769"/>
      <c r="RRE106" s="769"/>
      <c r="RRF106" s="769"/>
      <c r="RRG106" s="769"/>
      <c r="RRH106" s="769"/>
      <c r="RRI106" s="769"/>
      <c r="RRJ106" s="769"/>
      <c r="RRK106" s="769"/>
      <c r="RRL106" s="769"/>
      <c r="RRM106" s="769"/>
      <c r="RRN106" s="769"/>
      <c r="RRO106" s="769"/>
      <c r="RRP106" s="769"/>
      <c r="RRQ106" s="769"/>
      <c r="RRR106" s="769"/>
      <c r="RRS106" s="769"/>
      <c r="RRT106" s="769"/>
      <c r="RRU106" s="769"/>
      <c r="RRV106" s="769"/>
      <c r="RRW106" s="769"/>
      <c r="RRX106" s="769"/>
      <c r="RRY106" s="769"/>
      <c r="RRZ106" s="769"/>
      <c r="RSA106" s="769"/>
      <c r="RSB106" s="769"/>
      <c r="RSC106" s="769"/>
      <c r="RSD106" s="769"/>
      <c r="RSE106" s="769"/>
      <c r="RSF106" s="769"/>
      <c r="RSG106" s="769"/>
      <c r="RSH106" s="769"/>
      <c r="RSI106" s="769"/>
      <c r="RSJ106" s="769"/>
      <c r="RSK106" s="769"/>
      <c r="RSL106" s="769"/>
      <c r="RSM106" s="769"/>
      <c r="RSN106" s="769"/>
      <c r="RSO106" s="769"/>
      <c r="RSP106" s="769"/>
      <c r="RSQ106" s="769"/>
      <c r="RSR106" s="769"/>
      <c r="RSS106" s="769"/>
      <c r="RST106" s="769"/>
      <c r="RSU106" s="769"/>
      <c r="RSV106" s="769"/>
      <c r="RSW106" s="769"/>
      <c r="RSX106" s="769"/>
      <c r="RSY106" s="769"/>
      <c r="RSZ106" s="769"/>
      <c r="RTA106" s="769"/>
      <c r="RTB106" s="769"/>
      <c r="RTC106" s="769"/>
      <c r="RTD106" s="769"/>
      <c r="RTE106" s="769"/>
      <c r="RTF106" s="769"/>
      <c r="RTG106" s="769"/>
      <c r="RTH106" s="769"/>
      <c r="RTI106" s="769"/>
      <c r="RTJ106" s="769"/>
      <c r="RTK106" s="769"/>
      <c r="RTL106" s="769"/>
      <c r="RTM106" s="769"/>
      <c r="RTN106" s="769"/>
      <c r="RTO106" s="769"/>
      <c r="RTP106" s="769"/>
      <c r="RTQ106" s="769"/>
      <c r="RTR106" s="769"/>
      <c r="RTS106" s="769"/>
      <c r="RTT106" s="769"/>
      <c r="RTU106" s="769"/>
      <c r="RTV106" s="769"/>
      <c r="RTW106" s="769"/>
      <c r="RTX106" s="769"/>
      <c r="RTY106" s="769"/>
      <c r="RTZ106" s="769"/>
      <c r="RUA106" s="769"/>
      <c r="RUB106" s="769"/>
      <c r="RUC106" s="769"/>
      <c r="RUD106" s="769"/>
      <c r="RUE106" s="769"/>
      <c r="RUF106" s="769"/>
      <c r="RUG106" s="769"/>
      <c r="RUH106" s="769"/>
      <c r="RUI106" s="769"/>
      <c r="RUJ106" s="769"/>
      <c r="RUK106" s="769"/>
      <c r="RUL106" s="769"/>
      <c r="RUM106" s="769"/>
      <c r="RUN106" s="769"/>
      <c r="RUO106" s="769"/>
      <c r="RUP106" s="769"/>
      <c r="RUQ106" s="769"/>
      <c r="RUR106" s="769"/>
      <c r="RUS106" s="769"/>
      <c r="RUT106" s="769"/>
      <c r="RUU106" s="769"/>
      <c r="RUV106" s="769"/>
      <c r="RUW106" s="769"/>
      <c r="RUX106" s="769"/>
      <c r="RUY106" s="769"/>
      <c r="RUZ106" s="769"/>
      <c r="RVA106" s="769"/>
      <c r="RVB106" s="769"/>
      <c r="RVC106" s="769"/>
      <c r="RVD106" s="769"/>
      <c r="RVE106" s="769"/>
      <c r="RVF106" s="769"/>
      <c r="RVG106" s="769"/>
      <c r="RVH106" s="769"/>
      <c r="RVI106" s="769"/>
      <c r="RVJ106" s="769"/>
      <c r="RVK106" s="769"/>
      <c r="RVL106" s="769"/>
      <c r="RVM106" s="769"/>
      <c r="RVN106" s="769"/>
      <c r="RVO106" s="769"/>
      <c r="RVP106" s="769"/>
      <c r="RVQ106" s="769"/>
      <c r="RVR106" s="769"/>
      <c r="RVS106" s="769"/>
      <c r="RVT106" s="769"/>
      <c r="RVU106" s="769"/>
      <c r="RVV106" s="769"/>
      <c r="RVW106" s="769"/>
      <c r="RVX106" s="769"/>
      <c r="RVY106" s="769"/>
      <c r="RVZ106" s="769"/>
      <c r="RWA106" s="769"/>
      <c r="RWB106" s="769"/>
      <c r="RWC106" s="769"/>
      <c r="RWD106" s="769"/>
      <c r="RWE106" s="769"/>
      <c r="RWF106" s="769"/>
      <c r="RWG106" s="769"/>
      <c r="RWH106" s="769"/>
      <c r="RWI106" s="769"/>
      <c r="RWJ106" s="769"/>
      <c r="RWK106" s="769"/>
      <c r="RWL106" s="769"/>
      <c r="RWM106" s="769"/>
      <c r="RWN106" s="769"/>
      <c r="RWO106" s="769"/>
      <c r="RWP106" s="769"/>
      <c r="RWQ106" s="769"/>
      <c r="RWR106" s="769"/>
      <c r="RWS106" s="769"/>
      <c r="RWT106" s="769"/>
      <c r="RWU106" s="769"/>
      <c r="RWV106" s="769"/>
      <c r="RWW106" s="769"/>
      <c r="RWX106" s="769"/>
      <c r="RWY106" s="769"/>
      <c r="RWZ106" s="769"/>
      <c r="RXA106" s="769"/>
      <c r="RXB106" s="769"/>
      <c r="RXC106" s="769"/>
      <c r="RXD106" s="769"/>
      <c r="RXE106" s="769"/>
      <c r="RXF106" s="769"/>
      <c r="RXG106" s="769"/>
      <c r="RXH106" s="769"/>
      <c r="RXI106" s="769"/>
      <c r="RXJ106" s="769"/>
      <c r="RXK106" s="769"/>
      <c r="RXL106" s="769"/>
      <c r="RXM106" s="769"/>
      <c r="RXN106" s="769"/>
      <c r="RXO106" s="769"/>
      <c r="RXP106" s="769"/>
      <c r="RXQ106" s="769"/>
      <c r="RXR106" s="769"/>
      <c r="RXS106" s="769"/>
      <c r="RXT106" s="769"/>
      <c r="RXU106" s="769"/>
      <c r="RXV106" s="769"/>
      <c r="RXW106" s="769"/>
      <c r="RXX106" s="769"/>
      <c r="RXY106" s="769"/>
      <c r="RXZ106" s="769"/>
      <c r="RYA106" s="769"/>
      <c r="RYB106" s="769"/>
      <c r="RYC106" s="769"/>
      <c r="RYD106" s="769"/>
      <c r="RYE106" s="769"/>
      <c r="RYF106" s="769"/>
      <c r="RYG106" s="769"/>
      <c r="RYH106" s="769"/>
      <c r="RYI106" s="769"/>
      <c r="RYJ106" s="769"/>
      <c r="RYK106" s="769"/>
      <c r="RYL106" s="769"/>
      <c r="RYM106" s="769"/>
      <c r="RYN106" s="769"/>
      <c r="RYO106" s="769"/>
      <c r="RYP106" s="769"/>
      <c r="RYQ106" s="769"/>
      <c r="RYR106" s="769"/>
      <c r="RYS106" s="769"/>
      <c r="RYT106" s="769"/>
      <c r="RYU106" s="769"/>
      <c r="RYV106" s="769"/>
      <c r="RYW106" s="769"/>
      <c r="RYX106" s="769"/>
      <c r="RYY106" s="769"/>
      <c r="RYZ106" s="769"/>
      <c r="RZA106" s="769"/>
      <c r="RZB106" s="769"/>
      <c r="RZC106" s="769"/>
      <c r="RZD106" s="769"/>
      <c r="RZE106" s="769"/>
      <c r="RZF106" s="769"/>
      <c r="RZG106" s="769"/>
      <c r="RZH106" s="769"/>
      <c r="RZI106" s="769"/>
      <c r="RZJ106" s="769"/>
      <c r="RZK106" s="769"/>
      <c r="RZL106" s="769"/>
      <c r="RZM106" s="769"/>
      <c r="RZN106" s="769"/>
      <c r="RZO106" s="769"/>
      <c r="RZP106" s="769"/>
      <c r="RZQ106" s="769"/>
      <c r="RZR106" s="769"/>
      <c r="RZS106" s="769"/>
      <c r="RZT106" s="769"/>
      <c r="RZU106" s="769"/>
      <c r="RZV106" s="769"/>
      <c r="RZW106" s="769"/>
      <c r="RZX106" s="769"/>
      <c r="RZY106" s="769"/>
      <c r="RZZ106" s="769"/>
      <c r="SAA106" s="769"/>
      <c r="SAB106" s="769"/>
      <c r="SAC106" s="769"/>
      <c r="SAD106" s="769"/>
      <c r="SAE106" s="769"/>
      <c r="SAF106" s="769"/>
      <c r="SAG106" s="769"/>
      <c r="SAH106" s="769"/>
      <c r="SAI106" s="769"/>
      <c r="SAJ106" s="769"/>
      <c r="SAK106" s="769"/>
      <c r="SAL106" s="769"/>
      <c r="SAM106" s="769"/>
      <c r="SAN106" s="769"/>
      <c r="SAO106" s="769"/>
      <c r="SAP106" s="769"/>
      <c r="SAQ106" s="769"/>
      <c r="SAR106" s="769"/>
      <c r="SAS106" s="769"/>
      <c r="SAT106" s="769"/>
      <c r="SAU106" s="769"/>
      <c r="SAV106" s="769"/>
      <c r="SAW106" s="769"/>
      <c r="SAX106" s="769"/>
      <c r="SAY106" s="769"/>
      <c r="SAZ106" s="769"/>
      <c r="SBA106" s="769"/>
      <c r="SBB106" s="769"/>
      <c r="SBC106" s="769"/>
      <c r="SBD106" s="769"/>
      <c r="SBE106" s="769"/>
      <c r="SBF106" s="769"/>
      <c r="SBG106" s="769"/>
      <c r="SBH106" s="769"/>
      <c r="SBI106" s="769"/>
      <c r="SBJ106" s="769"/>
      <c r="SBK106" s="769"/>
      <c r="SBL106" s="769"/>
      <c r="SBM106" s="769"/>
      <c r="SBN106" s="769"/>
      <c r="SBO106" s="769"/>
      <c r="SBP106" s="769"/>
      <c r="SBQ106" s="769"/>
      <c r="SBR106" s="769"/>
      <c r="SBS106" s="769"/>
      <c r="SBT106" s="769"/>
      <c r="SBU106" s="769"/>
      <c r="SBV106" s="769"/>
      <c r="SBW106" s="769"/>
      <c r="SBX106" s="769"/>
      <c r="SBY106" s="769"/>
      <c r="SBZ106" s="769"/>
      <c r="SCA106" s="769"/>
      <c r="SCB106" s="769"/>
      <c r="SCC106" s="769"/>
      <c r="SCD106" s="769"/>
      <c r="SCE106" s="769"/>
      <c r="SCF106" s="769"/>
      <c r="SCG106" s="769"/>
      <c r="SCH106" s="769"/>
      <c r="SCI106" s="769"/>
      <c r="SCJ106" s="769"/>
      <c r="SCK106" s="769"/>
      <c r="SCL106" s="769"/>
      <c r="SCM106" s="769"/>
      <c r="SCN106" s="769"/>
      <c r="SCO106" s="769"/>
      <c r="SCP106" s="769"/>
      <c r="SCQ106" s="769"/>
      <c r="SCR106" s="769"/>
      <c r="SCS106" s="769"/>
      <c r="SCT106" s="769"/>
      <c r="SCU106" s="769"/>
      <c r="SCV106" s="769"/>
      <c r="SCW106" s="769"/>
      <c r="SCX106" s="769"/>
      <c r="SCY106" s="769"/>
      <c r="SCZ106" s="769"/>
      <c r="SDA106" s="769"/>
      <c r="SDB106" s="769"/>
      <c r="SDC106" s="769"/>
      <c r="SDD106" s="769"/>
      <c r="SDE106" s="769"/>
      <c r="SDF106" s="769"/>
      <c r="SDG106" s="769"/>
      <c r="SDH106" s="769"/>
      <c r="SDI106" s="769"/>
      <c r="SDJ106" s="769"/>
      <c r="SDK106" s="769"/>
      <c r="SDL106" s="769"/>
      <c r="SDM106" s="769"/>
      <c r="SDN106" s="769"/>
      <c r="SDO106" s="769"/>
      <c r="SDP106" s="769"/>
      <c r="SDQ106" s="769"/>
      <c r="SDR106" s="769"/>
      <c r="SDS106" s="769"/>
      <c r="SDT106" s="769"/>
      <c r="SDU106" s="769"/>
      <c r="SDV106" s="769"/>
      <c r="SDW106" s="769"/>
      <c r="SDX106" s="769"/>
      <c r="SDY106" s="769"/>
      <c r="SDZ106" s="769"/>
      <c r="SEA106" s="769"/>
      <c r="SEB106" s="769"/>
      <c r="SEC106" s="769"/>
      <c r="SED106" s="769"/>
      <c r="SEE106" s="769"/>
      <c r="SEF106" s="769"/>
      <c r="SEG106" s="769"/>
      <c r="SEH106" s="769"/>
      <c r="SEI106" s="769"/>
      <c r="SEJ106" s="769"/>
      <c r="SEK106" s="769"/>
      <c r="SEL106" s="769"/>
      <c r="SEM106" s="769"/>
      <c r="SEN106" s="769"/>
      <c r="SEO106" s="769"/>
      <c r="SEP106" s="769"/>
      <c r="SEQ106" s="769"/>
      <c r="SER106" s="769"/>
      <c r="SES106" s="769"/>
      <c r="SET106" s="769"/>
      <c r="SEU106" s="769"/>
      <c r="SEV106" s="769"/>
      <c r="SEW106" s="769"/>
      <c r="SEX106" s="769"/>
      <c r="SEY106" s="769"/>
      <c r="SEZ106" s="769"/>
      <c r="SFA106" s="769"/>
      <c r="SFB106" s="769"/>
      <c r="SFC106" s="769"/>
      <c r="SFD106" s="769"/>
      <c r="SFE106" s="769"/>
      <c r="SFF106" s="769"/>
      <c r="SFG106" s="769"/>
      <c r="SFH106" s="769"/>
      <c r="SFI106" s="769"/>
      <c r="SFJ106" s="769"/>
      <c r="SFK106" s="769"/>
      <c r="SFL106" s="769"/>
      <c r="SFM106" s="769"/>
      <c r="SFN106" s="769"/>
      <c r="SFO106" s="769"/>
      <c r="SFP106" s="769"/>
      <c r="SFQ106" s="769"/>
      <c r="SFR106" s="769"/>
      <c r="SFS106" s="769"/>
      <c r="SFT106" s="769"/>
      <c r="SFU106" s="769"/>
      <c r="SFV106" s="769"/>
      <c r="SFW106" s="769"/>
      <c r="SFX106" s="769"/>
      <c r="SFY106" s="769"/>
      <c r="SFZ106" s="769"/>
      <c r="SGA106" s="769"/>
      <c r="SGB106" s="769"/>
      <c r="SGC106" s="769"/>
      <c r="SGD106" s="769"/>
      <c r="SGE106" s="769"/>
      <c r="SGF106" s="769"/>
      <c r="SGG106" s="769"/>
      <c r="SGH106" s="769"/>
      <c r="SGI106" s="769"/>
      <c r="SGJ106" s="769"/>
      <c r="SGK106" s="769"/>
      <c r="SGL106" s="769"/>
      <c r="SGM106" s="769"/>
      <c r="SGN106" s="769"/>
      <c r="SGO106" s="769"/>
      <c r="SGP106" s="769"/>
      <c r="SGQ106" s="769"/>
      <c r="SGR106" s="769"/>
      <c r="SGS106" s="769"/>
      <c r="SGT106" s="769"/>
      <c r="SGU106" s="769"/>
      <c r="SGV106" s="769"/>
      <c r="SGW106" s="769"/>
      <c r="SGX106" s="769"/>
      <c r="SGY106" s="769"/>
      <c r="SGZ106" s="769"/>
      <c r="SHA106" s="769"/>
      <c r="SHB106" s="769"/>
      <c r="SHC106" s="769"/>
      <c r="SHD106" s="769"/>
      <c r="SHE106" s="769"/>
      <c r="SHF106" s="769"/>
      <c r="SHG106" s="769"/>
      <c r="SHH106" s="769"/>
      <c r="SHI106" s="769"/>
      <c r="SHJ106" s="769"/>
      <c r="SHK106" s="769"/>
      <c r="SHL106" s="769"/>
      <c r="SHM106" s="769"/>
      <c r="SHN106" s="769"/>
      <c r="SHO106" s="769"/>
      <c r="SHP106" s="769"/>
      <c r="SHQ106" s="769"/>
      <c r="SHR106" s="769"/>
      <c r="SHS106" s="769"/>
      <c r="SHT106" s="769"/>
      <c r="SHU106" s="769"/>
      <c r="SHV106" s="769"/>
      <c r="SHW106" s="769"/>
      <c r="SHX106" s="769"/>
      <c r="SHY106" s="769"/>
      <c r="SHZ106" s="769"/>
      <c r="SIA106" s="769"/>
      <c r="SIB106" s="769"/>
      <c r="SIC106" s="769"/>
      <c r="SID106" s="769"/>
      <c r="SIE106" s="769"/>
      <c r="SIF106" s="769"/>
      <c r="SIG106" s="769"/>
      <c r="SIH106" s="769"/>
      <c r="SII106" s="769"/>
      <c r="SIJ106" s="769"/>
      <c r="SIK106" s="769"/>
      <c r="SIL106" s="769"/>
      <c r="SIM106" s="769"/>
      <c r="SIN106" s="769"/>
      <c r="SIO106" s="769"/>
      <c r="SIP106" s="769"/>
      <c r="SIQ106" s="769"/>
      <c r="SIR106" s="769"/>
      <c r="SIS106" s="769"/>
      <c r="SIT106" s="769"/>
      <c r="SIU106" s="769"/>
      <c r="SIV106" s="769"/>
      <c r="SIW106" s="769"/>
      <c r="SIX106" s="769"/>
      <c r="SIY106" s="769"/>
      <c r="SIZ106" s="769"/>
      <c r="SJA106" s="769"/>
      <c r="SJB106" s="769"/>
      <c r="SJC106" s="769"/>
      <c r="SJD106" s="769"/>
      <c r="SJE106" s="769"/>
      <c r="SJF106" s="769"/>
      <c r="SJG106" s="769"/>
      <c r="SJH106" s="769"/>
      <c r="SJI106" s="769"/>
      <c r="SJJ106" s="769"/>
      <c r="SJK106" s="769"/>
      <c r="SJL106" s="769"/>
      <c r="SJM106" s="769"/>
      <c r="SJN106" s="769"/>
      <c r="SJO106" s="769"/>
      <c r="SJP106" s="769"/>
      <c r="SJQ106" s="769"/>
      <c r="SJR106" s="769"/>
      <c r="SJS106" s="769"/>
      <c r="SJT106" s="769"/>
      <c r="SJU106" s="769"/>
      <c r="SJV106" s="769"/>
      <c r="SJW106" s="769"/>
      <c r="SJX106" s="769"/>
      <c r="SJY106" s="769"/>
      <c r="SJZ106" s="769"/>
      <c r="SKA106" s="769"/>
      <c r="SKB106" s="769"/>
      <c r="SKC106" s="769"/>
      <c r="SKD106" s="769"/>
      <c r="SKE106" s="769"/>
      <c r="SKF106" s="769"/>
      <c r="SKG106" s="769"/>
      <c r="SKH106" s="769"/>
      <c r="SKI106" s="769"/>
      <c r="SKJ106" s="769"/>
      <c r="SKK106" s="769"/>
      <c r="SKL106" s="769"/>
      <c r="SKM106" s="769"/>
      <c r="SKN106" s="769"/>
      <c r="SKO106" s="769"/>
      <c r="SKP106" s="769"/>
      <c r="SKQ106" s="769"/>
      <c r="SKR106" s="769"/>
      <c r="SKS106" s="769"/>
      <c r="SKT106" s="769"/>
      <c r="SKU106" s="769"/>
      <c r="SKV106" s="769"/>
      <c r="SKW106" s="769"/>
      <c r="SKX106" s="769"/>
      <c r="SKY106" s="769"/>
      <c r="SKZ106" s="769"/>
      <c r="SLA106" s="769"/>
      <c r="SLB106" s="769"/>
      <c r="SLC106" s="769"/>
      <c r="SLD106" s="769"/>
      <c r="SLE106" s="769"/>
      <c r="SLF106" s="769"/>
      <c r="SLG106" s="769"/>
      <c r="SLH106" s="769"/>
      <c r="SLI106" s="769"/>
      <c r="SLJ106" s="769"/>
      <c r="SLK106" s="769"/>
      <c r="SLL106" s="769"/>
      <c r="SLM106" s="769"/>
      <c r="SLN106" s="769"/>
      <c r="SLO106" s="769"/>
      <c r="SLP106" s="769"/>
      <c r="SLQ106" s="769"/>
      <c r="SLR106" s="769"/>
      <c r="SLS106" s="769"/>
      <c r="SLT106" s="769"/>
      <c r="SLU106" s="769"/>
      <c r="SLV106" s="769"/>
      <c r="SLW106" s="769"/>
      <c r="SLX106" s="769"/>
      <c r="SLY106" s="769"/>
      <c r="SLZ106" s="769"/>
      <c r="SMA106" s="769"/>
      <c r="SMB106" s="769"/>
      <c r="SMC106" s="769"/>
      <c r="SMD106" s="769"/>
      <c r="SME106" s="769"/>
      <c r="SMF106" s="769"/>
      <c r="SMG106" s="769"/>
      <c r="SMH106" s="769"/>
      <c r="SMI106" s="769"/>
      <c r="SMJ106" s="769"/>
      <c r="SMK106" s="769"/>
      <c r="SML106" s="769"/>
      <c r="SMM106" s="769"/>
      <c r="SMN106" s="769"/>
      <c r="SMO106" s="769"/>
      <c r="SMP106" s="769"/>
      <c r="SMQ106" s="769"/>
      <c r="SMR106" s="769"/>
      <c r="SMS106" s="769"/>
      <c r="SMT106" s="769"/>
      <c r="SMU106" s="769"/>
      <c r="SMV106" s="769"/>
      <c r="SMW106" s="769"/>
      <c r="SMX106" s="769"/>
      <c r="SMY106" s="769"/>
      <c r="SMZ106" s="769"/>
      <c r="SNA106" s="769"/>
      <c r="SNB106" s="769"/>
      <c r="SNC106" s="769"/>
      <c r="SND106" s="769"/>
      <c r="SNE106" s="769"/>
      <c r="SNF106" s="769"/>
      <c r="SNG106" s="769"/>
      <c r="SNH106" s="769"/>
      <c r="SNI106" s="769"/>
      <c r="SNJ106" s="769"/>
      <c r="SNK106" s="769"/>
      <c r="SNL106" s="769"/>
      <c r="SNM106" s="769"/>
      <c r="SNN106" s="769"/>
      <c r="SNO106" s="769"/>
      <c r="SNP106" s="769"/>
      <c r="SNQ106" s="769"/>
      <c r="SNR106" s="769"/>
      <c r="SNS106" s="769"/>
      <c r="SNT106" s="769"/>
      <c r="SNU106" s="769"/>
      <c r="SNV106" s="769"/>
      <c r="SNW106" s="769"/>
      <c r="SNX106" s="769"/>
      <c r="SNY106" s="769"/>
      <c r="SNZ106" s="769"/>
      <c r="SOA106" s="769"/>
      <c r="SOB106" s="769"/>
      <c r="SOC106" s="769"/>
      <c r="SOD106" s="769"/>
      <c r="SOE106" s="769"/>
      <c r="SOF106" s="769"/>
      <c r="SOG106" s="769"/>
      <c r="SOH106" s="769"/>
      <c r="SOI106" s="769"/>
      <c r="SOJ106" s="769"/>
      <c r="SOK106" s="769"/>
      <c r="SOL106" s="769"/>
      <c r="SOM106" s="769"/>
      <c r="SON106" s="769"/>
      <c r="SOO106" s="769"/>
      <c r="SOP106" s="769"/>
      <c r="SOQ106" s="769"/>
      <c r="SOR106" s="769"/>
      <c r="SOS106" s="769"/>
      <c r="SOT106" s="769"/>
      <c r="SOU106" s="769"/>
      <c r="SOV106" s="769"/>
      <c r="SOW106" s="769"/>
      <c r="SOX106" s="769"/>
      <c r="SOY106" s="769"/>
      <c r="SOZ106" s="769"/>
      <c r="SPA106" s="769"/>
      <c r="SPB106" s="769"/>
      <c r="SPC106" s="769"/>
      <c r="SPD106" s="769"/>
      <c r="SPE106" s="769"/>
      <c r="SPF106" s="769"/>
      <c r="SPG106" s="769"/>
      <c r="SPH106" s="769"/>
      <c r="SPI106" s="769"/>
      <c r="SPJ106" s="769"/>
      <c r="SPK106" s="769"/>
      <c r="SPL106" s="769"/>
      <c r="SPM106" s="769"/>
      <c r="SPN106" s="769"/>
      <c r="SPO106" s="769"/>
      <c r="SPP106" s="769"/>
      <c r="SPQ106" s="769"/>
      <c r="SPR106" s="769"/>
      <c r="SPS106" s="769"/>
      <c r="SPT106" s="769"/>
      <c r="SPU106" s="769"/>
      <c r="SPV106" s="769"/>
      <c r="SPW106" s="769"/>
      <c r="SPX106" s="769"/>
      <c r="SPY106" s="769"/>
      <c r="SPZ106" s="769"/>
      <c r="SQA106" s="769"/>
      <c r="SQB106" s="769"/>
      <c r="SQC106" s="769"/>
      <c r="SQD106" s="769"/>
      <c r="SQE106" s="769"/>
      <c r="SQF106" s="769"/>
      <c r="SQG106" s="769"/>
      <c r="SQH106" s="769"/>
      <c r="SQI106" s="769"/>
      <c r="SQJ106" s="769"/>
      <c r="SQK106" s="769"/>
      <c r="SQL106" s="769"/>
      <c r="SQM106" s="769"/>
      <c r="SQN106" s="769"/>
      <c r="SQO106" s="769"/>
      <c r="SQP106" s="769"/>
      <c r="SQQ106" s="769"/>
      <c r="SQR106" s="769"/>
      <c r="SQS106" s="769"/>
      <c r="SQT106" s="769"/>
      <c r="SQU106" s="769"/>
      <c r="SQV106" s="769"/>
      <c r="SQW106" s="769"/>
      <c r="SQX106" s="769"/>
      <c r="SQY106" s="769"/>
      <c r="SQZ106" s="769"/>
      <c r="SRA106" s="769"/>
      <c r="SRB106" s="769"/>
      <c r="SRC106" s="769"/>
      <c r="SRD106" s="769"/>
      <c r="SRE106" s="769"/>
      <c r="SRF106" s="769"/>
      <c r="SRG106" s="769"/>
      <c r="SRH106" s="769"/>
      <c r="SRI106" s="769"/>
      <c r="SRJ106" s="769"/>
      <c r="SRK106" s="769"/>
      <c r="SRL106" s="769"/>
      <c r="SRM106" s="769"/>
      <c r="SRN106" s="769"/>
      <c r="SRO106" s="769"/>
      <c r="SRP106" s="769"/>
      <c r="SRQ106" s="769"/>
      <c r="SRR106" s="769"/>
      <c r="SRS106" s="769"/>
      <c r="SRT106" s="769"/>
      <c r="SRU106" s="769"/>
      <c r="SRV106" s="769"/>
      <c r="SRW106" s="769"/>
      <c r="SRX106" s="769"/>
      <c r="SRY106" s="769"/>
      <c r="SRZ106" s="769"/>
      <c r="SSA106" s="769"/>
      <c r="SSB106" s="769"/>
      <c r="SSC106" s="769"/>
      <c r="SSD106" s="769"/>
      <c r="SSE106" s="769"/>
      <c r="SSF106" s="769"/>
      <c r="SSG106" s="769"/>
      <c r="SSH106" s="769"/>
      <c r="SSI106" s="769"/>
      <c r="SSJ106" s="769"/>
      <c r="SSK106" s="769"/>
      <c r="SSL106" s="769"/>
      <c r="SSM106" s="769"/>
      <c r="SSN106" s="769"/>
      <c r="SSO106" s="769"/>
      <c r="SSP106" s="769"/>
      <c r="SSQ106" s="769"/>
      <c r="SSR106" s="769"/>
      <c r="SSS106" s="769"/>
      <c r="SST106" s="769"/>
      <c r="SSU106" s="769"/>
      <c r="SSV106" s="769"/>
      <c r="SSW106" s="769"/>
      <c r="SSX106" s="769"/>
      <c r="SSY106" s="769"/>
      <c r="SSZ106" s="769"/>
      <c r="STA106" s="769"/>
      <c r="STB106" s="769"/>
      <c r="STC106" s="769"/>
      <c r="STD106" s="769"/>
      <c r="STE106" s="769"/>
      <c r="STF106" s="769"/>
      <c r="STG106" s="769"/>
      <c r="STH106" s="769"/>
      <c r="STI106" s="769"/>
      <c r="STJ106" s="769"/>
      <c r="STK106" s="769"/>
      <c r="STL106" s="769"/>
      <c r="STM106" s="769"/>
      <c r="STN106" s="769"/>
      <c r="STO106" s="769"/>
      <c r="STP106" s="769"/>
      <c r="STQ106" s="769"/>
      <c r="STR106" s="769"/>
      <c r="STS106" s="769"/>
      <c r="STT106" s="769"/>
      <c r="STU106" s="769"/>
      <c r="STV106" s="769"/>
      <c r="STW106" s="769"/>
      <c r="STX106" s="769"/>
      <c r="STY106" s="769"/>
      <c r="STZ106" s="769"/>
      <c r="SUA106" s="769"/>
      <c r="SUB106" s="769"/>
      <c r="SUC106" s="769"/>
      <c r="SUD106" s="769"/>
      <c r="SUE106" s="769"/>
      <c r="SUF106" s="769"/>
      <c r="SUG106" s="769"/>
      <c r="SUH106" s="769"/>
      <c r="SUI106" s="769"/>
      <c r="SUJ106" s="769"/>
      <c r="SUK106" s="769"/>
      <c r="SUL106" s="769"/>
      <c r="SUM106" s="769"/>
      <c r="SUN106" s="769"/>
      <c r="SUO106" s="769"/>
      <c r="SUP106" s="769"/>
      <c r="SUQ106" s="769"/>
      <c r="SUR106" s="769"/>
      <c r="SUS106" s="769"/>
      <c r="SUT106" s="769"/>
      <c r="SUU106" s="769"/>
      <c r="SUV106" s="769"/>
      <c r="SUW106" s="769"/>
      <c r="SUX106" s="769"/>
      <c r="SUY106" s="769"/>
      <c r="SUZ106" s="769"/>
      <c r="SVA106" s="769"/>
      <c r="SVB106" s="769"/>
      <c r="SVC106" s="769"/>
      <c r="SVD106" s="769"/>
      <c r="SVE106" s="769"/>
      <c r="SVF106" s="769"/>
      <c r="SVG106" s="769"/>
      <c r="SVH106" s="769"/>
      <c r="SVI106" s="769"/>
      <c r="SVJ106" s="769"/>
      <c r="SVK106" s="769"/>
      <c r="SVL106" s="769"/>
      <c r="SVM106" s="769"/>
      <c r="SVN106" s="769"/>
      <c r="SVO106" s="769"/>
      <c r="SVP106" s="769"/>
      <c r="SVQ106" s="769"/>
      <c r="SVR106" s="769"/>
      <c r="SVS106" s="769"/>
      <c r="SVT106" s="769"/>
      <c r="SVU106" s="769"/>
      <c r="SVV106" s="769"/>
      <c r="SVW106" s="769"/>
      <c r="SVX106" s="769"/>
      <c r="SVY106" s="769"/>
      <c r="SVZ106" s="769"/>
      <c r="SWA106" s="769"/>
      <c r="SWB106" s="769"/>
      <c r="SWC106" s="769"/>
      <c r="SWD106" s="769"/>
      <c r="SWE106" s="769"/>
      <c r="SWF106" s="769"/>
      <c r="SWG106" s="769"/>
      <c r="SWH106" s="769"/>
      <c r="SWI106" s="769"/>
      <c r="SWJ106" s="769"/>
      <c r="SWK106" s="769"/>
      <c r="SWL106" s="769"/>
      <c r="SWM106" s="769"/>
      <c r="SWN106" s="769"/>
      <c r="SWO106" s="769"/>
      <c r="SWP106" s="769"/>
      <c r="SWQ106" s="769"/>
      <c r="SWR106" s="769"/>
      <c r="SWS106" s="769"/>
      <c r="SWT106" s="769"/>
      <c r="SWU106" s="769"/>
      <c r="SWV106" s="769"/>
      <c r="SWW106" s="769"/>
      <c r="SWX106" s="769"/>
      <c r="SWY106" s="769"/>
      <c r="SWZ106" s="769"/>
      <c r="SXA106" s="769"/>
      <c r="SXB106" s="769"/>
      <c r="SXC106" s="769"/>
      <c r="SXD106" s="769"/>
      <c r="SXE106" s="769"/>
      <c r="SXF106" s="769"/>
      <c r="SXG106" s="769"/>
      <c r="SXH106" s="769"/>
      <c r="SXI106" s="769"/>
      <c r="SXJ106" s="769"/>
      <c r="SXK106" s="769"/>
      <c r="SXL106" s="769"/>
      <c r="SXM106" s="769"/>
      <c r="SXN106" s="769"/>
      <c r="SXO106" s="769"/>
      <c r="SXP106" s="769"/>
      <c r="SXQ106" s="769"/>
      <c r="SXR106" s="769"/>
      <c r="SXS106" s="769"/>
      <c r="SXT106" s="769"/>
      <c r="SXU106" s="769"/>
      <c r="SXV106" s="769"/>
      <c r="SXW106" s="769"/>
      <c r="SXX106" s="769"/>
      <c r="SXY106" s="769"/>
      <c r="SXZ106" s="769"/>
      <c r="SYA106" s="769"/>
      <c r="SYB106" s="769"/>
      <c r="SYC106" s="769"/>
      <c r="SYD106" s="769"/>
      <c r="SYE106" s="769"/>
      <c r="SYF106" s="769"/>
      <c r="SYG106" s="769"/>
      <c r="SYH106" s="769"/>
      <c r="SYI106" s="769"/>
      <c r="SYJ106" s="769"/>
      <c r="SYK106" s="769"/>
      <c r="SYL106" s="769"/>
      <c r="SYM106" s="769"/>
      <c r="SYN106" s="769"/>
      <c r="SYO106" s="769"/>
      <c r="SYP106" s="769"/>
      <c r="SYQ106" s="769"/>
      <c r="SYR106" s="769"/>
      <c r="SYS106" s="769"/>
      <c r="SYT106" s="769"/>
      <c r="SYU106" s="769"/>
      <c r="SYV106" s="769"/>
      <c r="SYW106" s="769"/>
      <c r="SYX106" s="769"/>
      <c r="SYY106" s="769"/>
      <c r="SYZ106" s="769"/>
      <c r="SZA106" s="769"/>
      <c r="SZB106" s="769"/>
      <c r="SZC106" s="769"/>
      <c r="SZD106" s="769"/>
      <c r="SZE106" s="769"/>
      <c r="SZF106" s="769"/>
      <c r="SZG106" s="769"/>
      <c r="SZH106" s="769"/>
      <c r="SZI106" s="769"/>
      <c r="SZJ106" s="769"/>
      <c r="SZK106" s="769"/>
      <c r="SZL106" s="769"/>
      <c r="SZM106" s="769"/>
      <c r="SZN106" s="769"/>
      <c r="SZO106" s="769"/>
      <c r="SZP106" s="769"/>
      <c r="SZQ106" s="769"/>
      <c r="SZR106" s="769"/>
      <c r="SZS106" s="769"/>
      <c r="SZT106" s="769"/>
      <c r="SZU106" s="769"/>
      <c r="SZV106" s="769"/>
      <c r="SZW106" s="769"/>
      <c r="SZX106" s="769"/>
      <c r="SZY106" s="769"/>
      <c r="SZZ106" s="769"/>
      <c r="TAA106" s="769"/>
      <c r="TAB106" s="769"/>
      <c r="TAC106" s="769"/>
      <c r="TAD106" s="769"/>
      <c r="TAE106" s="769"/>
      <c r="TAF106" s="769"/>
      <c r="TAG106" s="769"/>
      <c r="TAH106" s="769"/>
      <c r="TAI106" s="769"/>
      <c r="TAJ106" s="769"/>
      <c r="TAK106" s="769"/>
      <c r="TAL106" s="769"/>
      <c r="TAM106" s="769"/>
      <c r="TAN106" s="769"/>
      <c r="TAO106" s="769"/>
      <c r="TAP106" s="769"/>
      <c r="TAQ106" s="769"/>
      <c r="TAR106" s="769"/>
      <c r="TAS106" s="769"/>
      <c r="TAT106" s="769"/>
      <c r="TAU106" s="769"/>
      <c r="TAV106" s="769"/>
      <c r="TAW106" s="769"/>
      <c r="TAX106" s="769"/>
      <c r="TAY106" s="769"/>
      <c r="TAZ106" s="769"/>
      <c r="TBA106" s="769"/>
      <c r="TBB106" s="769"/>
      <c r="TBC106" s="769"/>
      <c r="TBD106" s="769"/>
      <c r="TBE106" s="769"/>
      <c r="TBF106" s="769"/>
      <c r="TBG106" s="769"/>
      <c r="TBH106" s="769"/>
      <c r="TBI106" s="769"/>
      <c r="TBJ106" s="769"/>
      <c r="TBK106" s="769"/>
      <c r="TBL106" s="769"/>
      <c r="TBM106" s="769"/>
      <c r="TBN106" s="769"/>
      <c r="TBO106" s="769"/>
      <c r="TBP106" s="769"/>
      <c r="TBQ106" s="769"/>
      <c r="TBR106" s="769"/>
      <c r="TBS106" s="769"/>
      <c r="TBT106" s="769"/>
      <c r="TBU106" s="769"/>
      <c r="TBV106" s="769"/>
      <c r="TBW106" s="769"/>
      <c r="TBX106" s="769"/>
      <c r="TBY106" s="769"/>
      <c r="TBZ106" s="769"/>
      <c r="TCA106" s="769"/>
      <c r="TCB106" s="769"/>
      <c r="TCC106" s="769"/>
      <c r="TCD106" s="769"/>
      <c r="TCE106" s="769"/>
      <c r="TCF106" s="769"/>
      <c r="TCG106" s="769"/>
      <c r="TCH106" s="769"/>
      <c r="TCI106" s="769"/>
      <c r="TCJ106" s="769"/>
      <c r="TCK106" s="769"/>
      <c r="TCL106" s="769"/>
      <c r="TCM106" s="769"/>
      <c r="TCN106" s="769"/>
      <c r="TCO106" s="769"/>
      <c r="TCP106" s="769"/>
      <c r="TCQ106" s="769"/>
      <c r="TCR106" s="769"/>
      <c r="TCS106" s="769"/>
      <c r="TCT106" s="769"/>
      <c r="TCU106" s="769"/>
      <c r="TCV106" s="769"/>
      <c r="TCW106" s="769"/>
      <c r="TCX106" s="769"/>
      <c r="TCY106" s="769"/>
      <c r="TCZ106" s="769"/>
      <c r="TDA106" s="769"/>
      <c r="TDB106" s="769"/>
      <c r="TDC106" s="769"/>
      <c r="TDD106" s="769"/>
      <c r="TDE106" s="769"/>
      <c r="TDF106" s="769"/>
      <c r="TDG106" s="769"/>
      <c r="TDH106" s="769"/>
      <c r="TDI106" s="769"/>
      <c r="TDJ106" s="769"/>
      <c r="TDK106" s="769"/>
      <c r="TDL106" s="769"/>
      <c r="TDM106" s="769"/>
      <c r="TDN106" s="769"/>
      <c r="TDO106" s="769"/>
      <c r="TDP106" s="769"/>
      <c r="TDQ106" s="769"/>
      <c r="TDR106" s="769"/>
      <c r="TDS106" s="769"/>
      <c r="TDT106" s="769"/>
      <c r="TDU106" s="769"/>
      <c r="TDV106" s="769"/>
      <c r="TDW106" s="769"/>
      <c r="TDX106" s="769"/>
      <c r="TDY106" s="769"/>
      <c r="TDZ106" s="769"/>
      <c r="TEA106" s="769"/>
      <c r="TEB106" s="769"/>
      <c r="TEC106" s="769"/>
      <c r="TED106" s="769"/>
      <c r="TEE106" s="769"/>
      <c r="TEF106" s="769"/>
      <c r="TEG106" s="769"/>
      <c r="TEH106" s="769"/>
      <c r="TEI106" s="769"/>
      <c r="TEJ106" s="769"/>
      <c r="TEK106" s="769"/>
      <c r="TEL106" s="769"/>
      <c r="TEM106" s="769"/>
      <c r="TEN106" s="769"/>
      <c r="TEO106" s="769"/>
      <c r="TEP106" s="769"/>
      <c r="TEQ106" s="769"/>
      <c r="TER106" s="769"/>
      <c r="TES106" s="769"/>
      <c r="TET106" s="769"/>
      <c r="TEU106" s="769"/>
      <c r="TEV106" s="769"/>
      <c r="TEW106" s="769"/>
      <c r="TEX106" s="769"/>
      <c r="TEY106" s="769"/>
      <c r="TEZ106" s="769"/>
      <c r="TFA106" s="769"/>
      <c r="TFB106" s="769"/>
      <c r="TFC106" s="769"/>
      <c r="TFD106" s="769"/>
      <c r="TFE106" s="769"/>
      <c r="TFF106" s="769"/>
      <c r="TFG106" s="769"/>
      <c r="TFH106" s="769"/>
      <c r="TFI106" s="769"/>
      <c r="TFJ106" s="769"/>
      <c r="TFK106" s="769"/>
      <c r="TFL106" s="769"/>
      <c r="TFM106" s="769"/>
      <c r="TFN106" s="769"/>
      <c r="TFO106" s="769"/>
      <c r="TFP106" s="769"/>
      <c r="TFQ106" s="769"/>
      <c r="TFR106" s="769"/>
      <c r="TFS106" s="769"/>
      <c r="TFT106" s="769"/>
      <c r="TFU106" s="769"/>
      <c r="TFV106" s="769"/>
      <c r="TFW106" s="769"/>
      <c r="TFX106" s="769"/>
      <c r="TFY106" s="769"/>
      <c r="TFZ106" s="769"/>
      <c r="TGA106" s="769"/>
      <c r="TGB106" s="769"/>
      <c r="TGC106" s="769"/>
      <c r="TGD106" s="769"/>
      <c r="TGE106" s="769"/>
      <c r="TGF106" s="769"/>
      <c r="TGG106" s="769"/>
      <c r="TGH106" s="769"/>
      <c r="TGI106" s="769"/>
      <c r="TGJ106" s="769"/>
      <c r="TGK106" s="769"/>
      <c r="TGL106" s="769"/>
      <c r="TGM106" s="769"/>
      <c r="TGN106" s="769"/>
      <c r="TGO106" s="769"/>
      <c r="TGP106" s="769"/>
      <c r="TGQ106" s="769"/>
      <c r="TGR106" s="769"/>
      <c r="TGS106" s="769"/>
      <c r="TGT106" s="769"/>
      <c r="TGU106" s="769"/>
      <c r="TGV106" s="769"/>
      <c r="TGW106" s="769"/>
      <c r="TGX106" s="769"/>
      <c r="TGY106" s="769"/>
      <c r="TGZ106" s="769"/>
      <c r="THA106" s="769"/>
      <c r="THB106" s="769"/>
      <c r="THC106" s="769"/>
      <c r="THD106" s="769"/>
      <c r="THE106" s="769"/>
      <c r="THF106" s="769"/>
      <c r="THG106" s="769"/>
      <c r="THH106" s="769"/>
      <c r="THI106" s="769"/>
      <c r="THJ106" s="769"/>
      <c r="THK106" s="769"/>
      <c r="THL106" s="769"/>
      <c r="THM106" s="769"/>
      <c r="THN106" s="769"/>
      <c r="THO106" s="769"/>
      <c r="THP106" s="769"/>
      <c r="THQ106" s="769"/>
      <c r="THR106" s="769"/>
      <c r="THS106" s="769"/>
      <c r="THT106" s="769"/>
      <c r="THU106" s="769"/>
      <c r="THV106" s="769"/>
      <c r="THW106" s="769"/>
      <c r="THX106" s="769"/>
      <c r="THY106" s="769"/>
      <c r="THZ106" s="769"/>
      <c r="TIA106" s="769"/>
      <c r="TIB106" s="769"/>
      <c r="TIC106" s="769"/>
      <c r="TID106" s="769"/>
      <c r="TIE106" s="769"/>
      <c r="TIF106" s="769"/>
      <c r="TIG106" s="769"/>
      <c r="TIH106" s="769"/>
      <c r="TII106" s="769"/>
      <c r="TIJ106" s="769"/>
      <c r="TIK106" s="769"/>
      <c r="TIL106" s="769"/>
      <c r="TIM106" s="769"/>
      <c r="TIN106" s="769"/>
      <c r="TIO106" s="769"/>
      <c r="TIP106" s="769"/>
      <c r="TIQ106" s="769"/>
      <c r="TIR106" s="769"/>
      <c r="TIS106" s="769"/>
      <c r="TIT106" s="769"/>
      <c r="TIU106" s="769"/>
      <c r="TIV106" s="769"/>
      <c r="TIW106" s="769"/>
      <c r="TIX106" s="769"/>
      <c r="TIY106" s="769"/>
      <c r="TIZ106" s="769"/>
      <c r="TJA106" s="769"/>
      <c r="TJB106" s="769"/>
      <c r="TJC106" s="769"/>
      <c r="TJD106" s="769"/>
      <c r="TJE106" s="769"/>
      <c r="TJF106" s="769"/>
      <c r="TJG106" s="769"/>
      <c r="TJH106" s="769"/>
      <c r="TJI106" s="769"/>
      <c r="TJJ106" s="769"/>
      <c r="TJK106" s="769"/>
      <c r="TJL106" s="769"/>
      <c r="TJM106" s="769"/>
      <c r="TJN106" s="769"/>
      <c r="TJO106" s="769"/>
      <c r="TJP106" s="769"/>
      <c r="TJQ106" s="769"/>
      <c r="TJR106" s="769"/>
      <c r="TJS106" s="769"/>
      <c r="TJT106" s="769"/>
      <c r="TJU106" s="769"/>
      <c r="TJV106" s="769"/>
      <c r="TJW106" s="769"/>
      <c r="TJX106" s="769"/>
      <c r="TJY106" s="769"/>
      <c r="TJZ106" s="769"/>
      <c r="TKA106" s="769"/>
      <c r="TKB106" s="769"/>
      <c r="TKC106" s="769"/>
      <c r="TKD106" s="769"/>
      <c r="TKE106" s="769"/>
      <c r="TKF106" s="769"/>
      <c r="TKG106" s="769"/>
      <c r="TKH106" s="769"/>
      <c r="TKI106" s="769"/>
      <c r="TKJ106" s="769"/>
      <c r="TKK106" s="769"/>
      <c r="TKL106" s="769"/>
      <c r="TKM106" s="769"/>
      <c r="TKN106" s="769"/>
      <c r="TKO106" s="769"/>
      <c r="TKP106" s="769"/>
      <c r="TKQ106" s="769"/>
      <c r="TKR106" s="769"/>
      <c r="TKS106" s="769"/>
      <c r="TKT106" s="769"/>
      <c r="TKU106" s="769"/>
      <c r="TKV106" s="769"/>
      <c r="TKW106" s="769"/>
      <c r="TKX106" s="769"/>
      <c r="TKY106" s="769"/>
      <c r="TKZ106" s="769"/>
      <c r="TLA106" s="769"/>
      <c r="TLB106" s="769"/>
      <c r="TLC106" s="769"/>
      <c r="TLD106" s="769"/>
      <c r="TLE106" s="769"/>
      <c r="TLF106" s="769"/>
      <c r="TLG106" s="769"/>
      <c r="TLH106" s="769"/>
      <c r="TLI106" s="769"/>
      <c r="TLJ106" s="769"/>
      <c r="TLK106" s="769"/>
      <c r="TLL106" s="769"/>
      <c r="TLM106" s="769"/>
      <c r="TLN106" s="769"/>
      <c r="TLO106" s="769"/>
      <c r="TLP106" s="769"/>
      <c r="TLQ106" s="769"/>
      <c r="TLR106" s="769"/>
      <c r="TLS106" s="769"/>
      <c r="TLT106" s="769"/>
      <c r="TLU106" s="769"/>
      <c r="TLV106" s="769"/>
      <c r="TLW106" s="769"/>
      <c r="TLX106" s="769"/>
      <c r="TLY106" s="769"/>
      <c r="TLZ106" s="769"/>
      <c r="TMA106" s="769"/>
      <c r="TMB106" s="769"/>
      <c r="TMC106" s="769"/>
      <c r="TMD106" s="769"/>
      <c r="TME106" s="769"/>
      <c r="TMF106" s="769"/>
      <c r="TMG106" s="769"/>
      <c r="TMH106" s="769"/>
      <c r="TMI106" s="769"/>
      <c r="TMJ106" s="769"/>
      <c r="TMK106" s="769"/>
      <c r="TML106" s="769"/>
      <c r="TMM106" s="769"/>
      <c r="TMN106" s="769"/>
      <c r="TMO106" s="769"/>
      <c r="TMP106" s="769"/>
      <c r="TMQ106" s="769"/>
      <c r="TMR106" s="769"/>
      <c r="TMS106" s="769"/>
      <c r="TMT106" s="769"/>
      <c r="TMU106" s="769"/>
      <c r="TMV106" s="769"/>
      <c r="TMW106" s="769"/>
      <c r="TMX106" s="769"/>
      <c r="TMY106" s="769"/>
      <c r="TMZ106" s="769"/>
      <c r="TNA106" s="769"/>
      <c r="TNB106" s="769"/>
      <c r="TNC106" s="769"/>
      <c r="TND106" s="769"/>
      <c r="TNE106" s="769"/>
      <c r="TNF106" s="769"/>
      <c r="TNG106" s="769"/>
      <c r="TNH106" s="769"/>
      <c r="TNI106" s="769"/>
      <c r="TNJ106" s="769"/>
      <c r="TNK106" s="769"/>
      <c r="TNL106" s="769"/>
      <c r="TNM106" s="769"/>
      <c r="TNN106" s="769"/>
      <c r="TNO106" s="769"/>
      <c r="TNP106" s="769"/>
      <c r="TNQ106" s="769"/>
      <c r="TNR106" s="769"/>
      <c r="TNS106" s="769"/>
      <c r="TNT106" s="769"/>
      <c r="TNU106" s="769"/>
      <c r="TNV106" s="769"/>
      <c r="TNW106" s="769"/>
      <c r="TNX106" s="769"/>
      <c r="TNY106" s="769"/>
      <c r="TNZ106" s="769"/>
      <c r="TOA106" s="769"/>
      <c r="TOB106" s="769"/>
      <c r="TOC106" s="769"/>
      <c r="TOD106" s="769"/>
      <c r="TOE106" s="769"/>
      <c r="TOF106" s="769"/>
      <c r="TOG106" s="769"/>
      <c r="TOH106" s="769"/>
      <c r="TOI106" s="769"/>
      <c r="TOJ106" s="769"/>
      <c r="TOK106" s="769"/>
      <c r="TOL106" s="769"/>
      <c r="TOM106" s="769"/>
      <c r="TON106" s="769"/>
      <c r="TOO106" s="769"/>
      <c r="TOP106" s="769"/>
      <c r="TOQ106" s="769"/>
      <c r="TOR106" s="769"/>
      <c r="TOS106" s="769"/>
      <c r="TOT106" s="769"/>
      <c r="TOU106" s="769"/>
      <c r="TOV106" s="769"/>
      <c r="TOW106" s="769"/>
      <c r="TOX106" s="769"/>
      <c r="TOY106" s="769"/>
      <c r="TOZ106" s="769"/>
      <c r="TPA106" s="769"/>
      <c r="TPB106" s="769"/>
      <c r="TPC106" s="769"/>
      <c r="TPD106" s="769"/>
      <c r="TPE106" s="769"/>
      <c r="TPF106" s="769"/>
      <c r="TPG106" s="769"/>
      <c r="TPH106" s="769"/>
      <c r="TPI106" s="769"/>
      <c r="TPJ106" s="769"/>
      <c r="TPK106" s="769"/>
      <c r="TPL106" s="769"/>
      <c r="TPM106" s="769"/>
      <c r="TPN106" s="769"/>
      <c r="TPO106" s="769"/>
      <c r="TPP106" s="769"/>
      <c r="TPQ106" s="769"/>
      <c r="TPR106" s="769"/>
      <c r="TPS106" s="769"/>
      <c r="TPT106" s="769"/>
      <c r="TPU106" s="769"/>
      <c r="TPV106" s="769"/>
      <c r="TPW106" s="769"/>
      <c r="TPX106" s="769"/>
      <c r="TPY106" s="769"/>
      <c r="TPZ106" s="769"/>
      <c r="TQA106" s="769"/>
      <c r="TQB106" s="769"/>
      <c r="TQC106" s="769"/>
      <c r="TQD106" s="769"/>
      <c r="TQE106" s="769"/>
      <c r="TQF106" s="769"/>
      <c r="TQG106" s="769"/>
      <c r="TQH106" s="769"/>
      <c r="TQI106" s="769"/>
      <c r="TQJ106" s="769"/>
      <c r="TQK106" s="769"/>
      <c r="TQL106" s="769"/>
      <c r="TQM106" s="769"/>
      <c r="TQN106" s="769"/>
      <c r="TQO106" s="769"/>
      <c r="TQP106" s="769"/>
      <c r="TQQ106" s="769"/>
      <c r="TQR106" s="769"/>
      <c r="TQS106" s="769"/>
      <c r="TQT106" s="769"/>
      <c r="TQU106" s="769"/>
      <c r="TQV106" s="769"/>
      <c r="TQW106" s="769"/>
      <c r="TQX106" s="769"/>
      <c r="TQY106" s="769"/>
      <c r="TQZ106" s="769"/>
      <c r="TRA106" s="769"/>
      <c r="TRB106" s="769"/>
      <c r="TRC106" s="769"/>
      <c r="TRD106" s="769"/>
      <c r="TRE106" s="769"/>
      <c r="TRF106" s="769"/>
      <c r="TRG106" s="769"/>
      <c r="TRH106" s="769"/>
      <c r="TRI106" s="769"/>
      <c r="TRJ106" s="769"/>
      <c r="TRK106" s="769"/>
      <c r="TRL106" s="769"/>
      <c r="TRM106" s="769"/>
      <c r="TRN106" s="769"/>
      <c r="TRO106" s="769"/>
      <c r="TRP106" s="769"/>
      <c r="TRQ106" s="769"/>
      <c r="TRR106" s="769"/>
      <c r="TRS106" s="769"/>
      <c r="TRT106" s="769"/>
      <c r="TRU106" s="769"/>
      <c r="TRV106" s="769"/>
      <c r="TRW106" s="769"/>
      <c r="TRX106" s="769"/>
      <c r="TRY106" s="769"/>
      <c r="TRZ106" s="769"/>
      <c r="TSA106" s="769"/>
      <c r="TSB106" s="769"/>
      <c r="TSC106" s="769"/>
      <c r="TSD106" s="769"/>
      <c r="TSE106" s="769"/>
      <c r="TSF106" s="769"/>
      <c r="TSG106" s="769"/>
      <c r="TSH106" s="769"/>
      <c r="TSI106" s="769"/>
      <c r="TSJ106" s="769"/>
      <c r="TSK106" s="769"/>
      <c r="TSL106" s="769"/>
      <c r="TSM106" s="769"/>
      <c r="TSN106" s="769"/>
      <c r="TSO106" s="769"/>
      <c r="TSP106" s="769"/>
      <c r="TSQ106" s="769"/>
      <c r="TSR106" s="769"/>
      <c r="TSS106" s="769"/>
      <c r="TST106" s="769"/>
      <c r="TSU106" s="769"/>
      <c r="TSV106" s="769"/>
      <c r="TSW106" s="769"/>
      <c r="TSX106" s="769"/>
      <c r="TSY106" s="769"/>
      <c r="TSZ106" s="769"/>
      <c r="TTA106" s="769"/>
      <c r="TTB106" s="769"/>
      <c r="TTC106" s="769"/>
      <c r="TTD106" s="769"/>
      <c r="TTE106" s="769"/>
      <c r="TTF106" s="769"/>
      <c r="TTG106" s="769"/>
      <c r="TTH106" s="769"/>
      <c r="TTI106" s="769"/>
      <c r="TTJ106" s="769"/>
      <c r="TTK106" s="769"/>
      <c r="TTL106" s="769"/>
      <c r="TTM106" s="769"/>
      <c r="TTN106" s="769"/>
      <c r="TTO106" s="769"/>
      <c r="TTP106" s="769"/>
      <c r="TTQ106" s="769"/>
      <c r="TTR106" s="769"/>
      <c r="TTS106" s="769"/>
      <c r="TTT106" s="769"/>
      <c r="TTU106" s="769"/>
      <c r="TTV106" s="769"/>
      <c r="TTW106" s="769"/>
      <c r="TTX106" s="769"/>
      <c r="TTY106" s="769"/>
      <c r="TTZ106" s="769"/>
      <c r="TUA106" s="769"/>
      <c r="TUB106" s="769"/>
      <c r="TUC106" s="769"/>
      <c r="TUD106" s="769"/>
      <c r="TUE106" s="769"/>
      <c r="TUF106" s="769"/>
      <c r="TUG106" s="769"/>
      <c r="TUH106" s="769"/>
      <c r="TUI106" s="769"/>
      <c r="TUJ106" s="769"/>
      <c r="TUK106" s="769"/>
      <c r="TUL106" s="769"/>
      <c r="TUM106" s="769"/>
      <c r="TUN106" s="769"/>
      <c r="TUO106" s="769"/>
      <c r="TUP106" s="769"/>
      <c r="TUQ106" s="769"/>
      <c r="TUR106" s="769"/>
      <c r="TUS106" s="769"/>
      <c r="TUT106" s="769"/>
      <c r="TUU106" s="769"/>
      <c r="TUV106" s="769"/>
      <c r="TUW106" s="769"/>
      <c r="TUX106" s="769"/>
      <c r="TUY106" s="769"/>
      <c r="TUZ106" s="769"/>
      <c r="TVA106" s="769"/>
      <c r="TVB106" s="769"/>
      <c r="TVC106" s="769"/>
      <c r="TVD106" s="769"/>
      <c r="TVE106" s="769"/>
      <c r="TVF106" s="769"/>
      <c r="TVG106" s="769"/>
      <c r="TVH106" s="769"/>
      <c r="TVI106" s="769"/>
      <c r="TVJ106" s="769"/>
      <c r="TVK106" s="769"/>
      <c r="TVL106" s="769"/>
      <c r="TVM106" s="769"/>
      <c r="TVN106" s="769"/>
      <c r="TVO106" s="769"/>
      <c r="TVP106" s="769"/>
      <c r="TVQ106" s="769"/>
      <c r="TVR106" s="769"/>
      <c r="TVS106" s="769"/>
      <c r="TVT106" s="769"/>
      <c r="TVU106" s="769"/>
      <c r="TVV106" s="769"/>
      <c r="TVW106" s="769"/>
      <c r="TVX106" s="769"/>
      <c r="TVY106" s="769"/>
      <c r="TVZ106" s="769"/>
      <c r="TWA106" s="769"/>
      <c r="TWB106" s="769"/>
      <c r="TWC106" s="769"/>
      <c r="TWD106" s="769"/>
      <c r="TWE106" s="769"/>
      <c r="TWF106" s="769"/>
      <c r="TWG106" s="769"/>
      <c r="TWH106" s="769"/>
      <c r="TWI106" s="769"/>
      <c r="TWJ106" s="769"/>
      <c r="TWK106" s="769"/>
      <c r="TWL106" s="769"/>
      <c r="TWM106" s="769"/>
      <c r="TWN106" s="769"/>
      <c r="TWO106" s="769"/>
      <c r="TWP106" s="769"/>
      <c r="TWQ106" s="769"/>
      <c r="TWR106" s="769"/>
      <c r="TWS106" s="769"/>
      <c r="TWT106" s="769"/>
      <c r="TWU106" s="769"/>
      <c r="TWV106" s="769"/>
      <c r="TWW106" s="769"/>
      <c r="TWX106" s="769"/>
      <c r="TWY106" s="769"/>
      <c r="TWZ106" s="769"/>
      <c r="TXA106" s="769"/>
      <c r="TXB106" s="769"/>
      <c r="TXC106" s="769"/>
      <c r="TXD106" s="769"/>
      <c r="TXE106" s="769"/>
      <c r="TXF106" s="769"/>
      <c r="TXG106" s="769"/>
      <c r="TXH106" s="769"/>
      <c r="TXI106" s="769"/>
      <c r="TXJ106" s="769"/>
      <c r="TXK106" s="769"/>
      <c r="TXL106" s="769"/>
      <c r="TXM106" s="769"/>
      <c r="TXN106" s="769"/>
      <c r="TXO106" s="769"/>
      <c r="TXP106" s="769"/>
      <c r="TXQ106" s="769"/>
      <c r="TXR106" s="769"/>
      <c r="TXS106" s="769"/>
      <c r="TXT106" s="769"/>
      <c r="TXU106" s="769"/>
      <c r="TXV106" s="769"/>
      <c r="TXW106" s="769"/>
      <c r="TXX106" s="769"/>
      <c r="TXY106" s="769"/>
      <c r="TXZ106" s="769"/>
      <c r="TYA106" s="769"/>
      <c r="TYB106" s="769"/>
      <c r="TYC106" s="769"/>
      <c r="TYD106" s="769"/>
      <c r="TYE106" s="769"/>
      <c r="TYF106" s="769"/>
      <c r="TYG106" s="769"/>
      <c r="TYH106" s="769"/>
      <c r="TYI106" s="769"/>
      <c r="TYJ106" s="769"/>
      <c r="TYK106" s="769"/>
      <c r="TYL106" s="769"/>
      <c r="TYM106" s="769"/>
      <c r="TYN106" s="769"/>
      <c r="TYO106" s="769"/>
      <c r="TYP106" s="769"/>
      <c r="TYQ106" s="769"/>
      <c r="TYR106" s="769"/>
      <c r="TYS106" s="769"/>
      <c r="TYT106" s="769"/>
      <c r="TYU106" s="769"/>
      <c r="TYV106" s="769"/>
      <c r="TYW106" s="769"/>
      <c r="TYX106" s="769"/>
      <c r="TYY106" s="769"/>
      <c r="TYZ106" s="769"/>
      <c r="TZA106" s="769"/>
      <c r="TZB106" s="769"/>
      <c r="TZC106" s="769"/>
      <c r="TZD106" s="769"/>
      <c r="TZE106" s="769"/>
      <c r="TZF106" s="769"/>
      <c r="TZG106" s="769"/>
      <c r="TZH106" s="769"/>
      <c r="TZI106" s="769"/>
      <c r="TZJ106" s="769"/>
      <c r="TZK106" s="769"/>
      <c r="TZL106" s="769"/>
      <c r="TZM106" s="769"/>
      <c r="TZN106" s="769"/>
      <c r="TZO106" s="769"/>
      <c r="TZP106" s="769"/>
      <c r="TZQ106" s="769"/>
      <c r="TZR106" s="769"/>
      <c r="TZS106" s="769"/>
      <c r="TZT106" s="769"/>
      <c r="TZU106" s="769"/>
      <c r="TZV106" s="769"/>
      <c r="TZW106" s="769"/>
      <c r="TZX106" s="769"/>
      <c r="TZY106" s="769"/>
      <c r="TZZ106" s="769"/>
      <c r="UAA106" s="769"/>
      <c r="UAB106" s="769"/>
      <c r="UAC106" s="769"/>
      <c r="UAD106" s="769"/>
      <c r="UAE106" s="769"/>
      <c r="UAF106" s="769"/>
      <c r="UAG106" s="769"/>
      <c r="UAH106" s="769"/>
      <c r="UAI106" s="769"/>
      <c r="UAJ106" s="769"/>
      <c r="UAK106" s="769"/>
      <c r="UAL106" s="769"/>
      <c r="UAM106" s="769"/>
      <c r="UAN106" s="769"/>
      <c r="UAO106" s="769"/>
      <c r="UAP106" s="769"/>
      <c r="UAQ106" s="769"/>
      <c r="UAR106" s="769"/>
      <c r="UAS106" s="769"/>
      <c r="UAT106" s="769"/>
      <c r="UAU106" s="769"/>
      <c r="UAV106" s="769"/>
      <c r="UAW106" s="769"/>
      <c r="UAX106" s="769"/>
      <c r="UAY106" s="769"/>
      <c r="UAZ106" s="769"/>
      <c r="UBA106" s="769"/>
      <c r="UBB106" s="769"/>
      <c r="UBC106" s="769"/>
      <c r="UBD106" s="769"/>
      <c r="UBE106" s="769"/>
      <c r="UBF106" s="769"/>
      <c r="UBG106" s="769"/>
      <c r="UBH106" s="769"/>
      <c r="UBI106" s="769"/>
      <c r="UBJ106" s="769"/>
      <c r="UBK106" s="769"/>
      <c r="UBL106" s="769"/>
      <c r="UBM106" s="769"/>
      <c r="UBN106" s="769"/>
      <c r="UBO106" s="769"/>
      <c r="UBP106" s="769"/>
      <c r="UBQ106" s="769"/>
      <c r="UBR106" s="769"/>
      <c r="UBS106" s="769"/>
      <c r="UBT106" s="769"/>
      <c r="UBU106" s="769"/>
      <c r="UBV106" s="769"/>
      <c r="UBW106" s="769"/>
      <c r="UBX106" s="769"/>
      <c r="UBY106" s="769"/>
      <c r="UBZ106" s="769"/>
      <c r="UCA106" s="769"/>
      <c r="UCB106" s="769"/>
      <c r="UCC106" s="769"/>
      <c r="UCD106" s="769"/>
      <c r="UCE106" s="769"/>
      <c r="UCF106" s="769"/>
      <c r="UCG106" s="769"/>
      <c r="UCH106" s="769"/>
      <c r="UCI106" s="769"/>
      <c r="UCJ106" s="769"/>
      <c r="UCK106" s="769"/>
      <c r="UCL106" s="769"/>
      <c r="UCM106" s="769"/>
      <c r="UCN106" s="769"/>
      <c r="UCO106" s="769"/>
      <c r="UCP106" s="769"/>
      <c r="UCQ106" s="769"/>
      <c r="UCR106" s="769"/>
      <c r="UCS106" s="769"/>
      <c r="UCT106" s="769"/>
      <c r="UCU106" s="769"/>
      <c r="UCV106" s="769"/>
      <c r="UCW106" s="769"/>
      <c r="UCX106" s="769"/>
      <c r="UCY106" s="769"/>
      <c r="UCZ106" s="769"/>
      <c r="UDA106" s="769"/>
      <c r="UDB106" s="769"/>
      <c r="UDC106" s="769"/>
      <c r="UDD106" s="769"/>
      <c r="UDE106" s="769"/>
      <c r="UDF106" s="769"/>
      <c r="UDG106" s="769"/>
      <c r="UDH106" s="769"/>
      <c r="UDI106" s="769"/>
      <c r="UDJ106" s="769"/>
      <c r="UDK106" s="769"/>
      <c r="UDL106" s="769"/>
      <c r="UDM106" s="769"/>
      <c r="UDN106" s="769"/>
      <c r="UDO106" s="769"/>
      <c r="UDP106" s="769"/>
      <c r="UDQ106" s="769"/>
      <c r="UDR106" s="769"/>
      <c r="UDS106" s="769"/>
      <c r="UDT106" s="769"/>
      <c r="UDU106" s="769"/>
      <c r="UDV106" s="769"/>
      <c r="UDW106" s="769"/>
      <c r="UDX106" s="769"/>
      <c r="UDY106" s="769"/>
      <c r="UDZ106" s="769"/>
      <c r="UEA106" s="769"/>
      <c r="UEB106" s="769"/>
      <c r="UEC106" s="769"/>
      <c r="UED106" s="769"/>
      <c r="UEE106" s="769"/>
      <c r="UEF106" s="769"/>
      <c r="UEG106" s="769"/>
      <c r="UEH106" s="769"/>
      <c r="UEI106" s="769"/>
      <c r="UEJ106" s="769"/>
      <c r="UEK106" s="769"/>
      <c r="UEL106" s="769"/>
      <c r="UEM106" s="769"/>
      <c r="UEN106" s="769"/>
      <c r="UEO106" s="769"/>
      <c r="UEP106" s="769"/>
      <c r="UEQ106" s="769"/>
      <c r="UER106" s="769"/>
      <c r="UES106" s="769"/>
      <c r="UET106" s="769"/>
      <c r="UEU106" s="769"/>
      <c r="UEV106" s="769"/>
      <c r="UEW106" s="769"/>
      <c r="UEX106" s="769"/>
      <c r="UEY106" s="769"/>
      <c r="UEZ106" s="769"/>
      <c r="UFA106" s="769"/>
      <c r="UFB106" s="769"/>
      <c r="UFC106" s="769"/>
      <c r="UFD106" s="769"/>
      <c r="UFE106" s="769"/>
      <c r="UFF106" s="769"/>
      <c r="UFG106" s="769"/>
      <c r="UFH106" s="769"/>
      <c r="UFI106" s="769"/>
      <c r="UFJ106" s="769"/>
      <c r="UFK106" s="769"/>
      <c r="UFL106" s="769"/>
      <c r="UFM106" s="769"/>
      <c r="UFN106" s="769"/>
      <c r="UFO106" s="769"/>
      <c r="UFP106" s="769"/>
      <c r="UFQ106" s="769"/>
      <c r="UFR106" s="769"/>
      <c r="UFS106" s="769"/>
      <c r="UFT106" s="769"/>
      <c r="UFU106" s="769"/>
      <c r="UFV106" s="769"/>
      <c r="UFW106" s="769"/>
      <c r="UFX106" s="769"/>
      <c r="UFY106" s="769"/>
      <c r="UFZ106" s="769"/>
      <c r="UGA106" s="769"/>
      <c r="UGB106" s="769"/>
      <c r="UGC106" s="769"/>
      <c r="UGD106" s="769"/>
      <c r="UGE106" s="769"/>
      <c r="UGF106" s="769"/>
      <c r="UGG106" s="769"/>
      <c r="UGH106" s="769"/>
      <c r="UGI106" s="769"/>
      <c r="UGJ106" s="769"/>
      <c r="UGK106" s="769"/>
      <c r="UGL106" s="769"/>
      <c r="UGM106" s="769"/>
      <c r="UGN106" s="769"/>
      <c r="UGO106" s="769"/>
      <c r="UGP106" s="769"/>
      <c r="UGQ106" s="769"/>
      <c r="UGR106" s="769"/>
      <c r="UGS106" s="769"/>
      <c r="UGT106" s="769"/>
      <c r="UGU106" s="769"/>
      <c r="UGV106" s="769"/>
      <c r="UGW106" s="769"/>
      <c r="UGX106" s="769"/>
      <c r="UGY106" s="769"/>
      <c r="UGZ106" s="769"/>
      <c r="UHA106" s="769"/>
      <c r="UHB106" s="769"/>
      <c r="UHC106" s="769"/>
      <c r="UHD106" s="769"/>
      <c r="UHE106" s="769"/>
      <c r="UHF106" s="769"/>
      <c r="UHG106" s="769"/>
      <c r="UHH106" s="769"/>
      <c r="UHI106" s="769"/>
      <c r="UHJ106" s="769"/>
      <c r="UHK106" s="769"/>
      <c r="UHL106" s="769"/>
      <c r="UHM106" s="769"/>
      <c r="UHN106" s="769"/>
      <c r="UHO106" s="769"/>
      <c r="UHP106" s="769"/>
      <c r="UHQ106" s="769"/>
      <c r="UHR106" s="769"/>
      <c r="UHS106" s="769"/>
      <c r="UHT106" s="769"/>
      <c r="UHU106" s="769"/>
      <c r="UHV106" s="769"/>
      <c r="UHW106" s="769"/>
      <c r="UHX106" s="769"/>
      <c r="UHY106" s="769"/>
      <c r="UHZ106" s="769"/>
      <c r="UIA106" s="769"/>
      <c r="UIB106" s="769"/>
      <c r="UIC106" s="769"/>
      <c r="UID106" s="769"/>
      <c r="UIE106" s="769"/>
      <c r="UIF106" s="769"/>
      <c r="UIG106" s="769"/>
      <c r="UIH106" s="769"/>
      <c r="UII106" s="769"/>
      <c r="UIJ106" s="769"/>
      <c r="UIK106" s="769"/>
      <c r="UIL106" s="769"/>
      <c r="UIM106" s="769"/>
      <c r="UIN106" s="769"/>
      <c r="UIO106" s="769"/>
      <c r="UIP106" s="769"/>
      <c r="UIQ106" s="769"/>
      <c r="UIR106" s="769"/>
      <c r="UIS106" s="769"/>
      <c r="UIT106" s="769"/>
      <c r="UIU106" s="769"/>
      <c r="UIV106" s="769"/>
      <c r="UIW106" s="769"/>
      <c r="UIX106" s="769"/>
      <c r="UIY106" s="769"/>
      <c r="UIZ106" s="769"/>
      <c r="UJA106" s="769"/>
      <c r="UJB106" s="769"/>
      <c r="UJC106" s="769"/>
      <c r="UJD106" s="769"/>
      <c r="UJE106" s="769"/>
      <c r="UJF106" s="769"/>
      <c r="UJG106" s="769"/>
      <c r="UJH106" s="769"/>
      <c r="UJI106" s="769"/>
      <c r="UJJ106" s="769"/>
      <c r="UJK106" s="769"/>
      <c r="UJL106" s="769"/>
      <c r="UJM106" s="769"/>
      <c r="UJN106" s="769"/>
      <c r="UJO106" s="769"/>
      <c r="UJP106" s="769"/>
      <c r="UJQ106" s="769"/>
      <c r="UJR106" s="769"/>
      <c r="UJS106" s="769"/>
      <c r="UJT106" s="769"/>
      <c r="UJU106" s="769"/>
      <c r="UJV106" s="769"/>
      <c r="UJW106" s="769"/>
      <c r="UJX106" s="769"/>
      <c r="UJY106" s="769"/>
      <c r="UJZ106" s="769"/>
      <c r="UKA106" s="769"/>
      <c r="UKB106" s="769"/>
      <c r="UKC106" s="769"/>
      <c r="UKD106" s="769"/>
      <c r="UKE106" s="769"/>
      <c r="UKF106" s="769"/>
      <c r="UKG106" s="769"/>
      <c r="UKH106" s="769"/>
      <c r="UKI106" s="769"/>
      <c r="UKJ106" s="769"/>
      <c r="UKK106" s="769"/>
      <c r="UKL106" s="769"/>
      <c r="UKM106" s="769"/>
      <c r="UKN106" s="769"/>
      <c r="UKO106" s="769"/>
      <c r="UKP106" s="769"/>
      <c r="UKQ106" s="769"/>
      <c r="UKR106" s="769"/>
      <c r="UKS106" s="769"/>
      <c r="UKT106" s="769"/>
      <c r="UKU106" s="769"/>
      <c r="UKV106" s="769"/>
      <c r="UKW106" s="769"/>
      <c r="UKX106" s="769"/>
      <c r="UKY106" s="769"/>
      <c r="UKZ106" s="769"/>
      <c r="ULA106" s="769"/>
      <c r="ULB106" s="769"/>
      <c r="ULC106" s="769"/>
      <c r="ULD106" s="769"/>
      <c r="ULE106" s="769"/>
      <c r="ULF106" s="769"/>
      <c r="ULG106" s="769"/>
      <c r="ULH106" s="769"/>
      <c r="ULI106" s="769"/>
      <c r="ULJ106" s="769"/>
      <c r="ULK106" s="769"/>
      <c r="ULL106" s="769"/>
      <c r="ULM106" s="769"/>
      <c r="ULN106" s="769"/>
      <c r="ULO106" s="769"/>
      <c r="ULP106" s="769"/>
      <c r="ULQ106" s="769"/>
      <c r="ULR106" s="769"/>
      <c r="ULS106" s="769"/>
      <c r="ULT106" s="769"/>
      <c r="ULU106" s="769"/>
      <c r="ULV106" s="769"/>
      <c r="ULW106" s="769"/>
      <c r="ULX106" s="769"/>
      <c r="ULY106" s="769"/>
      <c r="ULZ106" s="769"/>
      <c r="UMA106" s="769"/>
      <c r="UMB106" s="769"/>
      <c r="UMC106" s="769"/>
      <c r="UMD106" s="769"/>
      <c r="UME106" s="769"/>
      <c r="UMF106" s="769"/>
      <c r="UMG106" s="769"/>
      <c r="UMH106" s="769"/>
      <c r="UMI106" s="769"/>
      <c r="UMJ106" s="769"/>
      <c r="UMK106" s="769"/>
      <c r="UML106" s="769"/>
      <c r="UMM106" s="769"/>
      <c r="UMN106" s="769"/>
      <c r="UMO106" s="769"/>
      <c r="UMP106" s="769"/>
      <c r="UMQ106" s="769"/>
      <c r="UMR106" s="769"/>
      <c r="UMS106" s="769"/>
      <c r="UMT106" s="769"/>
      <c r="UMU106" s="769"/>
      <c r="UMV106" s="769"/>
      <c r="UMW106" s="769"/>
      <c r="UMX106" s="769"/>
      <c r="UMY106" s="769"/>
      <c r="UMZ106" s="769"/>
      <c r="UNA106" s="769"/>
      <c r="UNB106" s="769"/>
      <c r="UNC106" s="769"/>
      <c r="UND106" s="769"/>
      <c r="UNE106" s="769"/>
      <c r="UNF106" s="769"/>
      <c r="UNG106" s="769"/>
      <c r="UNH106" s="769"/>
      <c r="UNI106" s="769"/>
      <c r="UNJ106" s="769"/>
      <c r="UNK106" s="769"/>
      <c r="UNL106" s="769"/>
      <c r="UNM106" s="769"/>
      <c r="UNN106" s="769"/>
      <c r="UNO106" s="769"/>
      <c r="UNP106" s="769"/>
      <c r="UNQ106" s="769"/>
      <c r="UNR106" s="769"/>
      <c r="UNS106" s="769"/>
      <c r="UNT106" s="769"/>
      <c r="UNU106" s="769"/>
      <c r="UNV106" s="769"/>
      <c r="UNW106" s="769"/>
      <c r="UNX106" s="769"/>
      <c r="UNY106" s="769"/>
      <c r="UNZ106" s="769"/>
      <c r="UOA106" s="769"/>
      <c r="UOB106" s="769"/>
      <c r="UOC106" s="769"/>
      <c r="UOD106" s="769"/>
      <c r="UOE106" s="769"/>
      <c r="UOF106" s="769"/>
      <c r="UOG106" s="769"/>
      <c r="UOH106" s="769"/>
      <c r="UOI106" s="769"/>
      <c r="UOJ106" s="769"/>
      <c r="UOK106" s="769"/>
      <c r="UOL106" s="769"/>
      <c r="UOM106" s="769"/>
      <c r="UON106" s="769"/>
      <c r="UOO106" s="769"/>
      <c r="UOP106" s="769"/>
      <c r="UOQ106" s="769"/>
      <c r="UOR106" s="769"/>
      <c r="UOS106" s="769"/>
      <c r="UOT106" s="769"/>
      <c r="UOU106" s="769"/>
      <c r="UOV106" s="769"/>
      <c r="UOW106" s="769"/>
      <c r="UOX106" s="769"/>
      <c r="UOY106" s="769"/>
      <c r="UOZ106" s="769"/>
      <c r="UPA106" s="769"/>
      <c r="UPB106" s="769"/>
      <c r="UPC106" s="769"/>
      <c r="UPD106" s="769"/>
      <c r="UPE106" s="769"/>
      <c r="UPF106" s="769"/>
      <c r="UPG106" s="769"/>
      <c r="UPH106" s="769"/>
      <c r="UPI106" s="769"/>
      <c r="UPJ106" s="769"/>
      <c r="UPK106" s="769"/>
      <c r="UPL106" s="769"/>
      <c r="UPM106" s="769"/>
      <c r="UPN106" s="769"/>
      <c r="UPO106" s="769"/>
      <c r="UPP106" s="769"/>
      <c r="UPQ106" s="769"/>
      <c r="UPR106" s="769"/>
      <c r="UPS106" s="769"/>
      <c r="UPT106" s="769"/>
      <c r="UPU106" s="769"/>
      <c r="UPV106" s="769"/>
      <c r="UPW106" s="769"/>
      <c r="UPX106" s="769"/>
      <c r="UPY106" s="769"/>
      <c r="UPZ106" s="769"/>
      <c r="UQA106" s="769"/>
      <c r="UQB106" s="769"/>
      <c r="UQC106" s="769"/>
      <c r="UQD106" s="769"/>
      <c r="UQE106" s="769"/>
      <c r="UQF106" s="769"/>
      <c r="UQG106" s="769"/>
      <c r="UQH106" s="769"/>
      <c r="UQI106" s="769"/>
      <c r="UQJ106" s="769"/>
      <c r="UQK106" s="769"/>
      <c r="UQL106" s="769"/>
      <c r="UQM106" s="769"/>
      <c r="UQN106" s="769"/>
      <c r="UQO106" s="769"/>
      <c r="UQP106" s="769"/>
      <c r="UQQ106" s="769"/>
      <c r="UQR106" s="769"/>
      <c r="UQS106" s="769"/>
      <c r="UQT106" s="769"/>
      <c r="UQU106" s="769"/>
      <c r="UQV106" s="769"/>
      <c r="UQW106" s="769"/>
      <c r="UQX106" s="769"/>
      <c r="UQY106" s="769"/>
      <c r="UQZ106" s="769"/>
      <c r="URA106" s="769"/>
      <c r="URB106" s="769"/>
      <c r="URC106" s="769"/>
      <c r="URD106" s="769"/>
      <c r="URE106" s="769"/>
      <c r="URF106" s="769"/>
      <c r="URG106" s="769"/>
      <c r="URH106" s="769"/>
      <c r="URI106" s="769"/>
      <c r="URJ106" s="769"/>
      <c r="URK106" s="769"/>
      <c r="URL106" s="769"/>
      <c r="URM106" s="769"/>
      <c r="URN106" s="769"/>
      <c r="URO106" s="769"/>
      <c r="URP106" s="769"/>
      <c r="URQ106" s="769"/>
      <c r="URR106" s="769"/>
      <c r="URS106" s="769"/>
      <c r="URT106" s="769"/>
      <c r="URU106" s="769"/>
      <c r="URV106" s="769"/>
      <c r="URW106" s="769"/>
      <c r="URX106" s="769"/>
      <c r="URY106" s="769"/>
      <c r="URZ106" s="769"/>
      <c r="USA106" s="769"/>
      <c r="USB106" s="769"/>
      <c r="USC106" s="769"/>
      <c r="USD106" s="769"/>
      <c r="USE106" s="769"/>
      <c r="USF106" s="769"/>
      <c r="USG106" s="769"/>
      <c r="USH106" s="769"/>
      <c r="USI106" s="769"/>
      <c r="USJ106" s="769"/>
      <c r="USK106" s="769"/>
      <c r="USL106" s="769"/>
      <c r="USM106" s="769"/>
      <c r="USN106" s="769"/>
      <c r="USO106" s="769"/>
      <c r="USP106" s="769"/>
      <c r="USQ106" s="769"/>
      <c r="USR106" s="769"/>
      <c r="USS106" s="769"/>
      <c r="UST106" s="769"/>
      <c r="USU106" s="769"/>
      <c r="USV106" s="769"/>
      <c r="USW106" s="769"/>
      <c r="USX106" s="769"/>
      <c r="USY106" s="769"/>
      <c r="USZ106" s="769"/>
      <c r="UTA106" s="769"/>
      <c r="UTB106" s="769"/>
      <c r="UTC106" s="769"/>
      <c r="UTD106" s="769"/>
      <c r="UTE106" s="769"/>
      <c r="UTF106" s="769"/>
      <c r="UTG106" s="769"/>
      <c r="UTH106" s="769"/>
      <c r="UTI106" s="769"/>
      <c r="UTJ106" s="769"/>
      <c r="UTK106" s="769"/>
      <c r="UTL106" s="769"/>
      <c r="UTM106" s="769"/>
      <c r="UTN106" s="769"/>
      <c r="UTO106" s="769"/>
      <c r="UTP106" s="769"/>
      <c r="UTQ106" s="769"/>
      <c r="UTR106" s="769"/>
      <c r="UTS106" s="769"/>
      <c r="UTT106" s="769"/>
      <c r="UTU106" s="769"/>
      <c r="UTV106" s="769"/>
      <c r="UTW106" s="769"/>
      <c r="UTX106" s="769"/>
      <c r="UTY106" s="769"/>
      <c r="UTZ106" s="769"/>
      <c r="UUA106" s="769"/>
      <c r="UUB106" s="769"/>
      <c r="UUC106" s="769"/>
      <c r="UUD106" s="769"/>
      <c r="UUE106" s="769"/>
      <c r="UUF106" s="769"/>
      <c r="UUG106" s="769"/>
      <c r="UUH106" s="769"/>
      <c r="UUI106" s="769"/>
      <c r="UUJ106" s="769"/>
      <c r="UUK106" s="769"/>
      <c r="UUL106" s="769"/>
      <c r="UUM106" s="769"/>
      <c r="UUN106" s="769"/>
      <c r="UUO106" s="769"/>
      <c r="UUP106" s="769"/>
      <c r="UUQ106" s="769"/>
      <c r="UUR106" s="769"/>
      <c r="UUS106" s="769"/>
      <c r="UUT106" s="769"/>
      <c r="UUU106" s="769"/>
      <c r="UUV106" s="769"/>
      <c r="UUW106" s="769"/>
      <c r="UUX106" s="769"/>
      <c r="UUY106" s="769"/>
      <c r="UUZ106" s="769"/>
      <c r="UVA106" s="769"/>
      <c r="UVB106" s="769"/>
      <c r="UVC106" s="769"/>
      <c r="UVD106" s="769"/>
      <c r="UVE106" s="769"/>
      <c r="UVF106" s="769"/>
      <c r="UVG106" s="769"/>
      <c r="UVH106" s="769"/>
      <c r="UVI106" s="769"/>
      <c r="UVJ106" s="769"/>
      <c r="UVK106" s="769"/>
      <c r="UVL106" s="769"/>
      <c r="UVM106" s="769"/>
      <c r="UVN106" s="769"/>
      <c r="UVO106" s="769"/>
      <c r="UVP106" s="769"/>
      <c r="UVQ106" s="769"/>
      <c r="UVR106" s="769"/>
      <c r="UVS106" s="769"/>
      <c r="UVT106" s="769"/>
      <c r="UVU106" s="769"/>
      <c r="UVV106" s="769"/>
      <c r="UVW106" s="769"/>
      <c r="UVX106" s="769"/>
      <c r="UVY106" s="769"/>
      <c r="UVZ106" s="769"/>
      <c r="UWA106" s="769"/>
      <c r="UWB106" s="769"/>
      <c r="UWC106" s="769"/>
      <c r="UWD106" s="769"/>
      <c r="UWE106" s="769"/>
      <c r="UWF106" s="769"/>
      <c r="UWG106" s="769"/>
      <c r="UWH106" s="769"/>
      <c r="UWI106" s="769"/>
      <c r="UWJ106" s="769"/>
      <c r="UWK106" s="769"/>
      <c r="UWL106" s="769"/>
      <c r="UWM106" s="769"/>
      <c r="UWN106" s="769"/>
      <c r="UWO106" s="769"/>
      <c r="UWP106" s="769"/>
      <c r="UWQ106" s="769"/>
      <c r="UWR106" s="769"/>
      <c r="UWS106" s="769"/>
      <c r="UWT106" s="769"/>
      <c r="UWU106" s="769"/>
      <c r="UWV106" s="769"/>
      <c r="UWW106" s="769"/>
      <c r="UWX106" s="769"/>
      <c r="UWY106" s="769"/>
      <c r="UWZ106" s="769"/>
      <c r="UXA106" s="769"/>
      <c r="UXB106" s="769"/>
      <c r="UXC106" s="769"/>
      <c r="UXD106" s="769"/>
      <c r="UXE106" s="769"/>
      <c r="UXF106" s="769"/>
      <c r="UXG106" s="769"/>
      <c r="UXH106" s="769"/>
      <c r="UXI106" s="769"/>
      <c r="UXJ106" s="769"/>
      <c r="UXK106" s="769"/>
      <c r="UXL106" s="769"/>
      <c r="UXM106" s="769"/>
      <c r="UXN106" s="769"/>
      <c r="UXO106" s="769"/>
      <c r="UXP106" s="769"/>
      <c r="UXQ106" s="769"/>
      <c r="UXR106" s="769"/>
      <c r="UXS106" s="769"/>
      <c r="UXT106" s="769"/>
      <c r="UXU106" s="769"/>
      <c r="UXV106" s="769"/>
      <c r="UXW106" s="769"/>
      <c r="UXX106" s="769"/>
      <c r="UXY106" s="769"/>
      <c r="UXZ106" s="769"/>
      <c r="UYA106" s="769"/>
      <c r="UYB106" s="769"/>
      <c r="UYC106" s="769"/>
      <c r="UYD106" s="769"/>
      <c r="UYE106" s="769"/>
      <c r="UYF106" s="769"/>
      <c r="UYG106" s="769"/>
      <c r="UYH106" s="769"/>
      <c r="UYI106" s="769"/>
      <c r="UYJ106" s="769"/>
      <c r="UYK106" s="769"/>
      <c r="UYL106" s="769"/>
      <c r="UYM106" s="769"/>
      <c r="UYN106" s="769"/>
      <c r="UYO106" s="769"/>
      <c r="UYP106" s="769"/>
      <c r="UYQ106" s="769"/>
      <c r="UYR106" s="769"/>
      <c r="UYS106" s="769"/>
      <c r="UYT106" s="769"/>
      <c r="UYU106" s="769"/>
      <c r="UYV106" s="769"/>
      <c r="UYW106" s="769"/>
      <c r="UYX106" s="769"/>
      <c r="UYY106" s="769"/>
      <c r="UYZ106" s="769"/>
      <c r="UZA106" s="769"/>
      <c r="UZB106" s="769"/>
      <c r="UZC106" s="769"/>
      <c r="UZD106" s="769"/>
      <c r="UZE106" s="769"/>
      <c r="UZF106" s="769"/>
      <c r="UZG106" s="769"/>
      <c r="UZH106" s="769"/>
      <c r="UZI106" s="769"/>
      <c r="UZJ106" s="769"/>
      <c r="UZK106" s="769"/>
      <c r="UZL106" s="769"/>
      <c r="UZM106" s="769"/>
      <c r="UZN106" s="769"/>
      <c r="UZO106" s="769"/>
      <c r="UZP106" s="769"/>
      <c r="UZQ106" s="769"/>
      <c r="UZR106" s="769"/>
      <c r="UZS106" s="769"/>
      <c r="UZT106" s="769"/>
      <c r="UZU106" s="769"/>
      <c r="UZV106" s="769"/>
      <c r="UZW106" s="769"/>
      <c r="UZX106" s="769"/>
      <c r="UZY106" s="769"/>
      <c r="UZZ106" s="769"/>
      <c r="VAA106" s="769"/>
      <c r="VAB106" s="769"/>
      <c r="VAC106" s="769"/>
      <c r="VAD106" s="769"/>
      <c r="VAE106" s="769"/>
      <c r="VAF106" s="769"/>
      <c r="VAG106" s="769"/>
      <c r="VAH106" s="769"/>
      <c r="VAI106" s="769"/>
      <c r="VAJ106" s="769"/>
      <c r="VAK106" s="769"/>
      <c r="VAL106" s="769"/>
      <c r="VAM106" s="769"/>
      <c r="VAN106" s="769"/>
      <c r="VAO106" s="769"/>
      <c r="VAP106" s="769"/>
      <c r="VAQ106" s="769"/>
      <c r="VAR106" s="769"/>
      <c r="VAS106" s="769"/>
      <c r="VAT106" s="769"/>
      <c r="VAU106" s="769"/>
      <c r="VAV106" s="769"/>
      <c r="VAW106" s="769"/>
      <c r="VAX106" s="769"/>
      <c r="VAY106" s="769"/>
      <c r="VAZ106" s="769"/>
      <c r="VBA106" s="769"/>
      <c r="VBB106" s="769"/>
      <c r="VBC106" s="769"/>
      <c r="VBD106" s="769"/>
      <c r="VBE106" s="769"/>
      <c r="VBF106" s="769"/>
      <c r="VBG106" s="769"/>
      <c r="VBH106" s="769"/>
      <c r="VBI106" s="769"/>
      <c r="VBJ106" s="769"/>
      <c r="VBK106" s="769"/>
      <c r="VBL106" s="769"/>
      <c r="VBM106" s="769"/>
      <c r="VBN106" s="769"/>
      <c r="VBO106" s="769"/>
      <c r="VBP106" s="769"/>
      <c r="VBQ106" s="769"/>
      <c r="VBR106" s="769"/>
      <c r="VBS106" s="769"/>
      <c r="VBT106" s="769"/>
      <c r="VBU106" s="769"/>
      <c r="VBV106" s="769"/>
      <c r="VBW106" s="769"/>
      <c r="VBX106" s="769"/>
      <c r="VBY106" s="769"/>
      <c r="VBZ106" s="769"/>
      <c r="VCA106" s="769"/>
      <c r="VCB106" s="769"/>
      <c r="VCC106" s="769"/>
      <c r="VCD106" s="769"/>
      <c r="VCE106" s="769"/>
      <c r="VCF106" s="769"/>
      <c r="VCG106" s="769"/>
      <c r="VCH106" s="769"/>
      <c r="VCI106" s="769"/>
      <c r="VCJ106" s="769"/>
      <c r="VCK106" s="769"/>
      <c r="VCL106" s="769"/>
      <c r="VCM106" s="769"/>
      <c r="VCN106" s="769"/>
      <c r="VCO106" s="769"/>
      <c r="VCP106" s="769"/>
      <c r="VCQ106" s="769"/>
      <c r="VCR106" s="769"/>
      <c r="VCS106" s="769"/>
      <c r="VCT106" s="769"/>
      <c r="VCU106" s="769"/>
      <c r="VCV106" s="769"/>
      <c r="VCW106" s="769"/>
      <c r="VCX106" s="769"/>
      <c r="VCY106" s="769"/>
      <c r="VCZ106" s="769"/>
      <c r="VDA106" s="769"/>
      <c r="VDB106" s="769"/>
      <c r="VDC106" s="769"/>
      <c r="VDD106" s="769"/>
      <c r="VDE106" s="769"/>
      <c r="VDF106" s="769"/>
      <c r="VDG106" s="769"/>
      <c r="VDH106" s="769"/>
      <c r="VDI106" s="769"/>
      <c r="VDJ106" s="769"/>
      <c r="VDK106" s="769"/>
      <c r="VDL106" s="769"/>
      <c r="VDM106" s="769"/>
      <c r="VDN106" s="769"/>
      <c r="VDO106" s="769"/>
      <c r="VDP106" s="769"/>
      <c r="VDQ106" s="769"/>
      <c r="VDR106" s="769"/>
      <c r="VDS106" s="769"/>
      <c r="VDT106" s="769"/>
      <c r="VDU106" s="769"/>
      <c r="VDV106" s="769"/>
      <c r="VDW106" s="769"/>
      <c r="VDX106" s="769"/>
      <c r="VDY106" s="769"/>
      <c r="VDZ106" s="769"/>
      <c r="VEA106" s="769"/>
      <c r="VEB106" s="769"/>
      <c r="VEC106" s="769"/>
      <c r="VED106" s="769"/>
      <c r="VEE106" s="769"/>
      <c r="VEF106" s="769"/>
      <c r="VEG106" s="769"/>
      <c r="VEH106" s="769"/>
      <c r="VEI106" s="769"/>
      <c r="VEJ106" s="769"/>
      <c r="VEK106" s="769"/>
      <c r="VEL106" s="769"/>
      <c r="VEM106" s="769"/>
      <c r="VEN106" s="769"/>
      <c r="VEO106" s="769"/>
      <c r="VEP106" s="769"/>
      <c r="VEQ106" s="769"/>
      <c r="VER106" s="769"/>
      <c r="VES106" s="769"/>
      <c r="VET106" s="769"/>
      <c r="VEU106" s="769"/>
      <c r="VEV106" s="769"/>
      <c r="VEW106" s="769"/>
      <c r="VEX106" s="769"/>
      <c r="VEY106" s="769"/>
      <c r="VEZ106" s="769"/>
      <c r="VFA106" s="769"/>
      <c r="VFB106" s="769"/>
      <c r="VFC106" s="769"/>
      <c r="VFD106" s="769"/>
      <c r="VFE106" s="769"/>
      <c r="VFF106" s="769"/>
      <c r="VFG106" s="769"/>
      <c r="VFH106" s="769"/>
      <c r="VFI106" s="769"/>
      <c r="VFJ106" s="769"/>
      <c r="VFK106" s="769"/>
      <c r="VFL106" s="769"/>
      <c r="VFM106" s="769"/>
      <c r="VFN106" s="769"/>
      <c r="VFO106" s="769"/>
      <c r="VFP106" s="769"/>
      <c r="VFQ106" s="769"/>
      <c r="VFR106" s="769"/>
      <c r="VFS106" s="769"/>
      <c r="VFT106" s="769"/>
      <c r="VFU106" s="769"/>
      <c r="VFV106" s="769"/>
      <c r="VFW106" s="769"/>
      <c r="VFX106" s="769"/>
      <c r="VFY106" s="769"/>
      <c r="VFZ106" s="769"/>
      <c r="VGA106" s="769"/>
      <c r="VGB106" s="769"/>
      <c r="VGC106" s="769"/>
      <c r="VGD106" s="769"/>
      <c r="VGE106" s="769"/>
      <c r="VGF106" s="769"/>
      <c r="VGG106" s="769"/>
      <c r="VGH106" s="769"/>
      <c r="VGI106" s="769"/>
      <c r="VGJ106" s="769"/>
      <c r="VGK106" s="769"/>
      <c r="VGL106" s="769"/>
      <c r="VGM106" s="769"/>
      <c r="VGN106" s="769"/>
      <c r="VGO106" s="769"/>
      <c r="VGP106" s="769"/>
      <c r="VGQ106" s="769"/>
      <c r="VGR106" s="769"/>
      <c r="VGS106" s="769"/>
      <c r="VGT106" s="769"/>
      <c r="VGU106" s="769"/>
      <c r="VGV106" s="769"/>
      <c r="VGW106" s="769"/>
      <c r="VGX106" s="769"/>
      <c r="VGY106" s="769"/>
      <c r="VGZ106" s="769"/>
      <c r="VHA106" s="769"/>
      <c r="VHB106" s="769"/>
      <c r="VHC106" s="769"/>
      <c r="VHD106" s="769"/>
      <c r="VHE106" s="769"/>
      <c r="VHF106" s="769"/>
      <c r="VHG106" s="769"/>
      <c r="VHH106" s="769"/>
      <c r="VHI106" s="769"/>
      <c r="VHJ106" s="769"/>
      <c r="VHK106" s="769"/>
      <c r="VHL106" s="769"/>
      <c r="VHM106" s="769"/>
      <c r="VHN106" s="769"/>
      <c r="VHO106" s="769"/>
      <c r="VHP106" s="769"/>
      <c r="VHQ106" s="769"/>
      <c r="VHR106" s="769"/>
      <c r="VHS106" s="769"/>
      <c r="VHT106" s="769"/>
      <c r="VHU106" s="769"/>
      <c r="VHV106" s="769"/>
      <c r="VHW106" s="769"/>
      <c r="VHX106" s="769"/>
      <c r="VHY106" s="769"/>
      <c r="VHZ106" s="769"/>
      <c r="VIA106" s="769"/>
      <c r="VIB106" s="769"/>
      <c r="VIC106" s="769"/>
      <c r="VID106" s="769"/>
      <c r="VIE106" s="769"/>
      <c r="VIF106" s="769"/>
      <c r="VIG106" s="769"/>
      <c r="VIH106" s="769"/>
      <c r="VII106" s="769"/>
      <c r="VIJ106" s="769"/>
      <c r="VIK106" s="769"/>
      <c r="VIL106" s="769"/>
      <c r="VIM106" s="769"/>
      <c r="VIN106" s="769"/>
      <c r="VIO106" s="769"/>
      <c r="VIP106" s="769"/>
      <c r="VIQ106" s="769"/>
      <c r="VIR106" s="769"/>
      <c r="VIS106" s="769"/>
      <c r="VIT106" s="769"/>
      <c r="VIU106" s="769"/>
      <c r="VIV106" s="769"/>
      <c r="VIW106" s="769"/>
      <c r="VIX106" s="769"/>
      <c r="VIY106" s="769"/>
      <c r="VIZ106" s="769"/>
      <c r="VJA106" s="769"/>
      <c r="VJB106" s="769"/>
      <c r="VJC106" s="769"/>
      <c r="VJD106" s="769"/>
      <c r="VJE106" s="769"/>
      <c r="VJF106" s="769"/>
      <c r="VJG106" s="769"/>
      <c r="VJH106" s="769"/>
      <c r="VJI106" s="769"/>
      <c r="VJJ106" s="769"/>
      <c r="VJK106" s="769"/>
      <c r="VJL106" s="769"/>
      <c r="VJM106" s="769"/>
      <c r="VJN106" s="769"/>
      <c r="VJO106" s="769"/>
      <c r="VJP106" s="769"/>
      <c r="VJQ106" s="769"/>
      <c r="VJR106" s="769"/>
      <c r="VJS106" s="769"/>
      <c r="VJT106" s="769"/>
      <c r="VJU106" s="769"/>
      <c r="VJV106" s="769"/>
      <c r="VJW106" s="769"/>
      <c r="VJX106" s="769"/>
      <c r="VJY106" s="769"/>
      <c r="VJZ106" s="769"/>
      <c r="VKA106" s="769"/>
      <c r="VKB106" s="769"/>
      <c r="VKC106" s="769"/>
      <c r="VKD106" s="769"/>
      <c r="VKE106" s="769"/>
      <c r="VKF106" s="769"/>
      <c r="VKG106" s="769"/>
      <c r="VKH106" s="769"/>
      <c r="VKI106" s="769"/>
      <c r="VKJ106" s="769"/>
      <c r="VKK106" s="769"/>
      <c r="VKL106" s="769"/>
      <c r="VKM106" s="769"/>
      <c r="VKN106" s="769"/>
      <c r="VKO106" s="769"/>
      <c r="VKP106" s="769"/>
      <c r="VKQ106" s="769"/>
      <c r="VKR106" s="769"/>
      <c r="VKS106" s="769"/>
      <c r="VKT106" s="769"/>
      <c r="VKU106" s="769"/>
      <c r="VKV106" s="769"/>
      <c r="VKW106" s="769"/>
      <c r="VKX106" s="769"/>
      <c r="VKY106" s="769"/>
      <c r="VKZ106" s="769"/>
      <c r="VLA106" s="769"/>
      <c r="VLB106" s="769"/>
      <c r="VLC106" s="769"/>
      <c r="VLD106" s="769"/>
      <c r="VLE106" s="769"/>
      <c r="VLF106" s="769"/>
      <c r="VLG106" s="769"/>
      <c r="VLH106" s="769"/>
      <c r="VLI106" s="769"/>
      <c r="VLJ106" s="769"/>
      <c r="VLK106" s="769"/>
      <c r="VLL106" s="769"/>
      <c r="VLM106" s="769"/>
      <c r="VLN106" s="769"/>
      <c r="VLO106" s="769"/>
      <c r="VLP106" s="769"/>
      <c r="VLQ106" s="769"/>
      <c r="VLR106" s="769"/>
      <c r="VLS106" s="769"/>
      <c r="VLT106" s="769"/>
      <c r="VLU106" s="769"/>
      <c r="VLV106" s="769"/>
      <c r="VLW106" s="769"/>
      <c r="VLX106" s="769"/>
      <c r="VLY106" s="769"/>
      <c r="VLZ106" s="769"/>
      <c r="VMA106" s="769"/>
      <c r="VMB106" s="769"/>
      <c r="VMC106" s="769"/>
      <c r="VMD106" s="769"/>
      <c r="VME106" s="769"/>
      <c r="VMF106" s="769"/>
      <c r="VMG106" s="769"/>
      <c r="VMH106" s="769"/>
      <c r="VMI106" s="769"/>
      <c r="VMJ106" s="769"/>
      <c r="VMK106" s="769"/>
      <c r="VML106" s="769"/>
      <c r="VMM106" s="769"/>
      <c r="VMN106" s="769"/>
      <c r="VMO106" s="769"/>
      <c r="VMP106" s="769"/>
      <c r="VMQ106" s="769"/>
      <c r="VMR106" s="769"/>
      <c r="VMS106" s="769"/>
      <c r="VMT106" s="769"/>
      <c r="VMU106" s="769"/>
      <c r="VMV106" s="769"/>
      <c r="VMW106" s="769"/>
      <c r="VMX106" s="769"/>
      <c r="VMY106" s="769"/>
      <c r="VMZ106" s="769"/>
      <c r="VNA106" s="769"/>
      <c r="VNB106" s="769"/>
      <c r="VNC106" s="769"/>
      <c r="VND106" s="769"/>
      <c r="VNE106" s="769"/>
      <c r="VNF106" s="769"/>
      <c r="VNG106" s="769"/>
      <c r="VNH106" s="769"/>
      <c r="VNI106" s="769"/>
      <c r="VNJ106" s="769"/>
      <c r="VNK106" s="769"/>
      <c r="VNL106" s="769"/>
      <c r="VNM106" s="769"/>
      <c r="VNN106" s="769"/>
      <c r="VNO106" s="769"/>
      <c r="VNP106" s="769"/>
      <c r="VNQ106" s="769"/>
      <c r="VNR106" s="769"/>
      <c r="VNS106" s="769"/>
      <c r="VNT106" s="769"/>
      <c r="VNU106" s="769"/>
      <c r="VNV106" s="769"/>
      <c r="VNW106" s="769"/>
      <c r="VNX106" s="769"/>
      <c r="VNY106" s="769"/>
      <c r="VNZ106" s="769"/>
      <c r="VOA106" s="769"/>
      <c r="VOB106" s="769"/>
      <c r="VOC106" s="769"/>
      <c r="VOD106" s="769"/>
      <c r="VOE106" s="769"/>
      <c r="VOF106" s="769"/>
      <c r="VOG106" s="769"/>
      <c r="VOH106" s="769"/>
      <c r="VOI106" s="769"/>
      <c r="VOJ106" s="769"/>
      <c r="VOK106" s="769"/>
      <c r="VOL106" s="769"/>
      <c r="VOM106" s="769"/>
      <c r="VON106" s="769"/>
      <c r="VOO106" s="769"/>
      <c r="VOP106" s="769"/>
      <c r="VOQ106" s="769"/>
      <c r="VOR106" s="769"/>
      <c r="VOS106" s="769"/>
      <c r="VOT106" s="769"/>
      <c r="VOU106" s="769"/>
      <c r="VOV106" s="769"/>
      <c r="VOW106" s="769"/>
      <c r="VOX106" s="769"/>
      <c r="VOY106" s="769"/>
      <c r="VOZ106" s="769"/>
      <c r="VPA106" s="769"/>
      <c r="VPB106" s="769"/>
      <c r="VPC106" s="769"/>
      <c r="VPD106" s="769"/>
      <c r="VPE106" s="769"/>
      <c r="VPF106" s="769"/>
      <c r="VPG106" s="769"/>
      <c r="VPH106" s="769"/>
      <c r="VPI106" s="769"/>
      <c r="VPJ106" s="769"/>
      <c r="VPK106" s="769"/>
      <c r="VPL106" s="769"/>
      <c r="VPM106" s="769"/>
      <c r="VPN106" s="769"/>
      <c r="VPO106" s="769"/>
      <c r="VPP106" s="769"/>
      <c r="VPQ106" s="769"/>
      <c r="VPR106" s="769"/>
      <c r="VPS106" s="769"/>
      <c r="VPT106" s="769"/>
      <c r="VPU106" s="769"/>
      <c r="VPV106" s="769"/>
      <c r="VPW106" s="769"/>
      <c r="VPX106" s="769"/>
      <c r="VPY106" s="769"/>
      <c r="VPZ106" s="769"/>
      <c r="VQA106" s="769"/>
      <c r="VQB106" s="769"/>
      <c r="VQC106" s="769"/>
      <c r="VQD106" s="769"/>
      <c r="VQE106" s="769"/>
      <c r="VQF106" s="769"/>
      <c r="VQG106" s="769"/>
      <c r="VQH106" s="769"/>
      <c r="VQI106" s="769"/>
      <c r="VQJ106" s="769"/>
      <c r="VQK106" s="769"/>
      <c r="VQL106" s="769"/>
      <c r="VQM106" s="769"/>
      <c r="VQN106" s="769"/>
      <c r="VQO106" s="769"/>
      <c r="VQP106" s="769"/>
      <c r="VQQ106" s="769"/>
      <c r="VQR106" s="769"/>
      <c r="VQS106" s="769"/>
      <c r="VQT106" s="769"/>
      <c r="VQU106" s="769"/>
      <c r="VQV106" s="769"/>
      <c r="VQW106" s="769"/>
      <c r="VQX106" s="769"/>
      <c r="VQY106" s="769"/>
      <c r="VQZ106" s="769"/>
      <c r="VRA106" s="769"/>
      <c r="VRB106" s="769"/>
      <c r="VRC106" s="769"/>
      <c r="VRD106" s="769"/>
      <c r="VRE106" s="769"/>
      <c r="VRF106" s="769"/>
      <c r="VRG106" s="769"/>
      <c r="VRH106" s="769"/>
      <c r="VRI106" s="769"/>
      <c r="VRJ106" s="769"/>
      <c r="VRK106" s="769"/>
      <c r="VRL106" s="769"/>
      <c r="VRM106" s="769"/>
      <c r="VRN106" s="769"/>
      <c r="VRO106" s="769"/>
      <c r="VRP106" s="769"/>
      <c r="VRQ106" s="769"/>
      <c r="VRR106" s="769"/>
      <c r="VRS106" s="769"/>
      <c r="VRT106" s="769"/>
      <c r="VRU106" s="769"/>
      <c r="VRV106" s="769"/>
      <c r="VRW106" s="769"/>
      <c r="VRX106" s="769"/>
      <c r="VRY106" s="769"/>
      <c r="VRZ106" s="769"/>
      <c r="VSA106" s="769"/>
      <c r="VSB106" s="769"/>
      <c r="VSC106" s="769"/>
      <c r="VSD106" s="769"/>
      <c r="VSE106" s="769"/>
      <c r="VSF106" s="769"/>
      <c r="VSG106" s="769"/>
      <c r="VSH106" s="769"/>
      <c r="VSI106" s="769"/>
      <c r="VSJ106" s="769"/>
      <c r="VSK106" s="769"/>
      <c r="VSL106" s="769"/>
      <c r="VSM106" s="769"/>
      <c r="VSN106" s="769"/>
      <c r="VSO106" s="769"/>
      <c r="VSP106" s="769"/>
      <c r="VSQ106" s="769"/>
      <c r="VSR106" s="769"/>
      <c r="VSS106" s="769"/>
      <c r="VST106" s="769"/>
      <c r="VSU106" s="769"/>
      <c r="VSV106" s="769"/>
      <c r="VSW106" s="769"/>
      <c r="VSX106" s="769"/>
      <c r="VSY106" s="769"/>
      <c r="VSZ106" s="769"/>
      <c r="VTA106" s="769"/>
      <c r="VTB106" s="769"/>
      <c r="VTC106" s="769"/>
      <c r="VTD106" s="769"/>
      <c r="VTE106" s="769"/>
      <c r="VTF106" s="769"/>
      <c r="VTG106" s="769"/>
      <c r="VTH106" s="769"/>
      <c r="VTI106" s="769"/>
      <c r="VTJ106" s="769"/>
      <c r="VTK106" s="769"/>
      <c r="VTL106" s="769"/>
      <c r="VTM106" s="769"/>
      <c r="VTN106" s="769"/>
      <c r="VTO106" s="769"/>
      <c r="VTP106" s="769"/>
      <c r="VTQ106" s="769"/>
      <c r="VTR106" s="769"/>
      <c r="VTS106" s="769"/>
      <c r="VTT106" s="769"/>
      <c r="VTU106" s="769"/>
      <c r="VTV106" s="769"/>
      <c r="VTW106" s="769"/>
      <c r="VTX106" s="769"/>
      <c r="VTY106" s="769"/>
      <c r="VTZ106" s="769"/>
      <c r="VUA106" s="769"/>
      <c r="VUB106" s="769"/>
      <c r="VUC106" s="769"/>
      <c r="VUD106" s="769"/>
      <c r="VUE106" s="769"/>
      <c r="VUF106" s="769"/>
      <c r="VUG106" s="769"/>
      <c r="VUH106" s="769"/>
      <c r="VUI106" s="769"/>
      <c r="VUJ106" s="769"/>
      <c r="VUK106" s="769"/>
      <c r="VUL106" s="769"/>
      <c r="VUM106" s="769"/>
      <c r="VUN106" s="769"/>
      <c r="VUO106" s="769"/>
      <c r="VUP106" s="769"/>
      <c r="VUQ106" s="769"/>
      <c r="VUR106" s="769"/>
      <c r="VUS106" s="769"/>
      <c r="VUT106" s="769"/>
      <c r="VUU106" s="769"/>
      <c r="VUV106" s="769"/>
      <c r="VUW106" s="769"/>
      <c r="VUX106" s="769"/>
      <c r="VUY106" s="769"/>
      <c r="VUZ106" s="769"/>
      <c r="VVA106" s="769"/>
      <c r="VVB106" s="769"/>
      <c r="VVC106" s="769"/>
      <c r="VVD106" s="769"/>
      <c r="VVE106" s="769"/>
      <c r="VVF106" s="769"/>
      <c r="VVG106" s="769"/>
      <c r="VVH106" s="769"/>
      <c r="VVI106" s="769"/>
      <c r="VVJ106" s="769"/>
      <c r="VVK106" s="769"/>
      <c r="VVL106" s="769"/>
      <c r="VVM106" s="769"/>
      <c r="VVN106" s="769"/>
      <c r="VVO106" s="769"/>
      <c r="VVP106" s="769"/>
      <c r="VVQ106" s="769"/>
      <c r="VVR106" s="769"/>
      <c r="VVS106" s="769"/>
      <c r="VVT106" s="769"/>
      <c r="VVU106" s="769"/>
      <c r="VVV106" s="769"/>
      <c r="VVW106" s="769"/>
      <c r="VVX106" s="769"/>
      <c r="VVY106" s="769"/>
      <c r="VVZ106" s="769"/>
      <c r="VWA106" s="769"/>
      <c r="VWB106" s="769"/>
      <c r="VWC106" s="769"/>
      <c r="VWD106" s="769"/>
      <c r="VWE106" s="769"/>
      <c r="VWF106" s="769"/>
      <c r="VWG106" s="769"/>
      <c r="VWH106" s="769"/>
      <c r="VWI106" s="769"/>
      <c r="VWJ106" s="769"/>
      <c r="VWK106" s="769"/>
      <c r="VWL106" s="769"/>
      <c r="VWM106" s="769"/>
      <c r="VWN106" s="769"/>
      <c r="VWO106" s="769"/>
      <c r="VWP106" s="769"/>
      <c r="VWQ106" s="769"/>
      <c r="VWR106" s="769"/>
      <c r="VWS106" s="769"/>
      <c r="VWT106" s="769"/>
      <c r="VWU106" s="769"/>
      <c r="VWV106" s="769"/>
      <c r="VWW106" s="769"/>
      <c r="VWX106" s="769"/>
      <c r="VWY106" s="769"/>
      <c r="VWZ106" s="769"/>
      <c r="VXA106" s="769"/>
      <c r="VXB106" s="769"/>
      <c r="VXC106" s="769"/>
      <c r="VXD106" s="769"/>
      <c r="VXE106" s="769"/>
      <c r="VXF106" s="769"/>
      <c r="VXG106" s="769"/>
      <c r="VXH106" s="769"/>
      <c r="VXI106" s="769"/>
      <c r="VXJ106" s="769"/>
      <c r="VXK106" s="769"/>
      <c r="VXL106" s="769"/>
      <c r="VXM106" s="769"/>
      <c r="VXN106" s="769"/>
      <c r="VXO106" s="769"/>
      <c r="VXP106" s="769"/>
      <c r="VXQ106" s="769"/>
      <c r="VXR106" s="769"/>
      <c r="VXS106" s="769"/>
      <c r="VXT106" s="769"/>
      <c r="VXU106" s="769"/>
      <c r="VXV106" s="769"/>
      <c r="VXW106" s="769"/>
      <c r="VXX106" s="769"/>
      <c r="VXY106" s="769"/>
      <c r="VXZ106" s="769"/>
      <c r="VYA106" s="769"/>
      <c r="VYB106" s="769"/>
      <c r="VYC106" s="769"/>
      <c r="VYD106" s="769"/>
      <c r="VYE106" s="769"/>
      <c r="VYF106" s="769"/>
      <c r="VYG106" s="769"/>
      <c r="VYH106" s="769"/>
      <c r="VYI106" s="769"/>
      <c r="VYJ106" s="769"/>
      <c r="VYK106" s="769"/>
      <c r="VYL106" s="769"/>
      <c r="VYM106" s="769"/>
      <c r="VYN106" s="769"/>
      <c r="VYO106" s="769"/>
      <c r="VYP106" s="769"/>
      <c r="VYQ106" s="769"/>
      <c r="VYR106" s="769"/>
      <c r="VYS106" s="769"/>
      <c r="VYT106" s="769"/>
      <c r="VYU106" s="769"/>
      <c r="VYV106" s="769"/>
      <c r="VYW106" s="769"/>
      <c r="VYX106" s="769"/>
      <c r="VYY106" s="769"/>
      <c r="VYZ106" s="769"/>
      <c r="VZA106" s="769"/>
      <c r="VZB106" s="769"/>
      <c r="VZC106" s="769"/>
      <c r="VZD106" s="769"/>
      <c r="VZE106" s="769"/>
      <c r="VZF106" s="769"/>
      <c r="VZG106" s="769"/>
      <c r="VZH106" s="769"/>
      <c r="VZI106" s="769"/>
      <c r="VZJ106" s="769"/>
      <c r="VZK106" s="769"/>
      <c r="VZL106" s="769"/>
      <c r="VZM106" s="769"/>
      <c r="VZN106" s="769"/>
      <c r="VZO106" s="769"/>
      <c r="VZP106" s="769"/>
      <c r="VZQ106" s="769"/>
      <c r="VZR106" s="769"/>
      <c r="VZS106" s="769"/>
      <c r="VZT106" s="769"/>
      <c r="VZU106" s="769"/>
      <c r="VZV106" s="769"/>
      <c r="VZW106" s="769"/>
      <c r="VZX106" s="769"/>
      <c r="VZY106" s="769"/>
      <c r="VZZ106" s="769"/>
      <c r="WAA106" s="769"/>
      <c r="WAB106" s="769"/>
      <c r="WAC106" s="769"/>
      <c r="WAD106" s="769"/>
      <c r="WAE106" s="769"/>
      <c r="WAF106" s="769"/>
      <c r="WAG106" s="769"/>
      <c r="WAH106" s="769"/>
      <c r="WAI106" s="769"/>
      <c r="WAJ106" s="769"/>
      <c r="WAK106" s="769"/>
      <c r="WAL106" s="769"/>
      <c r="WAM106" s="769"/>
      <c r="WAN106" s="769"/>
      <c r="WAO106" s="769"/>
      <c r="WAP106" s="769"/>
      <c r="WAQ106" s="769"/>
      <c r="WAR106" s="769"/>
      <c r="WAS106" s="769"/>
      <c r="WAT106" s="769"/>
      <c r="WAU106" s="769"/>
      <c r="WAV106" s="769"/>
      <c r="WAW106" s="769"/>
      <c r="WAX106" s="769"/>
      <c r="WAY106" s="769"/>
      <c r="WAZ106" s="769"/>
      <c r="WBA106" s="769"/>
      <c r="WBB106" s="769"/>
      <c r="WBC106" s="769"/>
      <c r="WBD106" s="769"/>
      <c r="WBE106" s="769"/>
      <c r="WBF106" s="769"/>
      <c r="WBG106" s="769"/>
      <c r="WBH106" s="769"/>
      <c r="WBI106" s="769"/>
      <c r="WBJ106" s="769"/>
      <c r="WBK106" s="769"/>
      <c r="WBL106" s="769"/>
      <c r="WBM106" s="769"/>
      <c r="WBN106" s="769"/>
      <c r="WBO106" s="769"/>
      <c r="WBP106" s="769"/>
      <c r="WBQ106" s="769"/>
      <c r="WBR106" s="769"/>
      <c r="WBS106" s="769"/>
      <c r="WBT106" s="769"/>
      <c r="WBU106" s="769"/>
      <c r="WBV106" s="769"/>
      <c r="WBW106" s="769"/>
      <c r="WBX106" s="769"/>
      <c r="WBY106" s="769"/>
      <c r="WBZ106" s="769"/>
      <c r="WCA106" s="769"/>
      <c r="WCB106" s="769"/>
      <c r="WCC106" s="769"/>
      <c r="WCD106" s="769"/>
      <c r="WCE106" s="769"/>
      <c r="WCF106" s="769"/>
      <c r="WCG106" s="769"/>
      <c r="WCH106" s="769"/>
      <c r="WCI106" s="769"/>
      <c r="WCJ106" s="769"/>
      <c r="WCK106" s="769"/>
      <c r="WCL106" s="769"/>
      <c r="WCM106" s="769"/>
      <c r="WCN106" s="769"/>
      <c r="WCO106" s="769"/>
      <c r="WCP106" s="769"/>
      <c r="WCQ106" s="769"/>
      <c r="WCR106" s="769"/>
      <c r="WCS106" s="769"/>
      <c r="WCT106" s="769"/>
      <c r="WCU106" s="769"/>
      <c r="WCV106" s="769"/>
      <c r="WCW106" s="769"/>
      <c r="WCX106" s="769"/>
      <c r="WCY106" s="769"/>
      <c r="WCZ106" s="769"/>
      <c r="WDA106" s="769"/>
      <c r="WDB106" s="769"/>
      <c r="WDC106" s="769"/>
      <c r="WDD106" s="769"/>
      <c r="WDE106" s="769"/>
      <c r="WDF106" s="769"/>
      <c r="WDG106" s="769"/>
      <c r="WDH106" s="769"/>
      <c r="WDI106" s="769"/>
      <c r="WDJ106" s="769"/>
      <c r="WDK106" s="769"/>
      <c r="WDL106" s="769"/>
      <c r="WDM106" s="769"/>
      <c r="WDN106" s="769"/>
      <c r="WDO106" s="769"/>
      <c r="WDP106" s="769"/>
      <c r="WDQ106" s="769"/>
      <c r="WDR106" s="769"/>
      <c r="WDS106" s="769"/>
      <c r="WDT106" s="769"/>
      <c r="WDU106" s="769"/>
      <c r="WDV106" s="769"/>
      <c r="WDW106" s="769"/>
      <c r="WDX106" s="769"/>
      <c r="WDY106" s="769"/>
      <c r="WDZ106" s="769"/>
      <c r="WEA106" s="769"/>
      <c r="WEB106" s="769"/>
      <c r="WEC106" s="769"/>
      <c r="WED106" s="769"/>
      <c r="WEE106" s="769"/>
      <c r="WEF106" s="769"/>
      <c r="WEG106" s="769"/>
      <c r="WEH106" s="769"/>
      <c r="WEI106" s="769"/>
      <c r="WEJ106" s="769"/>
      <c r="WEK106" s="769"/>
      <c r="WEL106" s="769"/>
      <c r="WEM106" s="769"/>
      <c r="WEN106" s="769"/>
      <c r="WEO106" s="769"/>
      <c r="WEP106" s="769"/>
      <c r="WEQ106" s="769"/>
      <c r="WER106" s="769"/>
      <c r="WES106" s="769"/>
      <c r="WET106" s="769"/>
      <c r="WEU106" s="769"/>
      <c r="WEV106" s="769"/>
      <c r="WEW106" s="769"/>
      <c r="WEX106" s="769"/>
      <c r="WEY106" s="769"/>
      <c r="WEZ106" s="769"/>
      <c r="WFA106" s="769"/>
      <c r="WFB106" s="769"/>
      <c r="WFC106" s="769"/>
      <c r="WFD106" s="769"/>
      <c r="WFE106" s="769"/>
      <c r="WFF106" s="769"/>
      <c r="WFG106" s="769"/>
      <c r="WFH106" s="769"/>
      <c r="WFI106" s="769"/>
      <c r="WFJ106" s="769"/>
      <c r="WFK106" s="769"/>
      <c r="WFL106" s="769"/>
      <c r="WFM106" s="769"/>
      <c r="WFN106" s="769"/>
      <c r="WFO106" s="769"/>
      <c r="WFP106" s="769"/>
      <c r="WFQ106" s="769"/>
      <c r="WFR106" s="769"/>
      <c r="WFS106" s="769"/>
      <c r="WFT106" s="769"/>
      <c r="WFU106" s="769"/>
      <c r="WFV106" s="769"/>
      <c r="WFW106" s="769"/>
      <c r="WFX106" s="769"/>
      <c r="WFY106" s="769"/>
      <c r="WFZ106" s="769"/>
      <c r="WGA106" s="769"/>
      <c r="WGB106" s="769"/>
      <c r="WGC106" s="769"/>
      <c r="WGD106" s="769"/>
      <c r="WGE106" s="769"/>
      <c r="WGF106" s="769"/>
      <c r="WGG106" s="769"/>
      <c r="WGH106" s="769"/>
      <c r="WGI106" s="769"/>
      <c r="WGJ106" s="769"/>
      <c r="WGK106" s="769"/>
      <c r="WGL106" s="769"/>
      <c r="WGM106" s="769"/>
      <c r="WGN106" s="769"/>
      <c r="WGO106" s="769"/>
      <c r="WGP106" s="769"/>
      <c r="WGQ106" s="769"/>
      <c r="WGR106" s="769"/>
      <c r="WGS106" s="769"/>
      <c r="WGT106" s="769"/>
      <c r="WGU106" s="769"/>
      <c r="WGV106" s="769"/>
      <c r="WGW106" s="769"/>
      <c r="WGX106" s="769"/>
      <c r="WGY106" s="769"/>
      <c r="WGZ106" s="769"/>
      <c r="WHA106" s="769"/>
      <c r="WHB106" s="769"/>
      <c r="WHC106" s="769"/>
      <c r="WHD106" s="769"/>
      <c r="WHE106" s="769"/>
      <c r="WHF106" s="769"/>
      <c r="WHG106" s="769"/>
      <c r="WHH106" s="769"/>
      <c r="WHI106" s="769"/>
      <c r="WHJ106" s="769"/>
      <c r="WHK106" s="769"/>
      <c r="WHL106" s="769"/>
      <c r="WHM106" s="769"/>
      <c r="WHN106" s="769"/>
      <c r="WHO106" s="769"/>
      <c r="WHP106" s="769"/>
      <c r="WHQ106" s="769"/>
      <c r="WHR106" s="769"/>
      <c r="WHS106" s="769"/>
      <c r="WHT106" s="769"/>
      <c r="WHU106" s="769"/>
      <c r="WHV106" s="769"/>
      <c r="WHW106" s="769"/>
      <c r="WHX106" s="769"/>
      <c r="WHY106" s="769"/>
      <c r="WHZ106" s="769"/>
      <c r="WIA106" s="769"/>
      <c r="WIB106" s="769"/>
      <c r="WIC106" s="769"/>
      <c r="WID106" s="769"/>
      <c r="WIE106" s="769"/>
      <c r="WIF106" s="769"/>
      <c r="WIG106" s="769"/>
      <c r="WIH106" s="769"/>
      <c r="WII106" s="769"/>
      <c r="WIJ106" s="769"/>
      <c r="WIK106" s="769"/>
      <c r="WIL106" s="769"/>
      <c r="WIM106" s="769"/>
      <c r="WIN106" s="769"/>
      <c r="WIO106" s="769"/>
      <c r="WIP106" s="769"/>
      <c r="WIQ106" s="769"/>
      <c r="WIR106" s="769"/>
      <c r="WIS106" s="769"/>
      <c r="WIT106" s="769"/>
      <c r="WIU106" s="769"/>
      <c r="WIV106" s="769"/>
      <c r="WIW106" s="769"/>
      <c r="WIX106" s="769"/>
      <c r="WIY106" s="769"/>
      <c r="WIZ106" s="769"/>
      <c r="WJA106" s="769"/>
      <c r="WJB106" s="769"/>
      <c r="WJC106" s="769"/>
      <c r="WJD106" s="769"/>
      <c r="WJE106" s="769"/>
      <c r="WJF106" s="769"/>
      <c r="WJG106" s="769"/>
      <c r="WJH106" s="769"/>
      <c r="WJI106" s="769"/>
      <c r="WJJ106" s="769"/>
      <c r="WJK106" s="769"/>
      <c r="WJL106" s="769"/>
      <c r="WJM106" s="769"/>
      <c r="WJN106" s="769"/>
      <c r="WJO106" s="769"/>
      <c r="WJP106" s="769"/>
      <c r="WJQ106" s="769"/>
      <c r="WJR106" s="769"/>
      <c r="WJS106" s="769"/>
      <c r="WJT106" s="769"/>
      <c r="WJU106" s="769"/>
      <c r="WJV106" s="769"/>
      <c r="WJW106" s="769"/>
      <c r="WJX106" s="769"/>
      <c r="WJY106" s="769"/>
      <c r="WJZ106" s="769"/>
      <c r="WKA106" s="769"/>
      <c r="WKB106" s="769"/>
      <c r="WKC106" s="769"/>
      <c r="WKD106" s="769"/>
      <c r="WKE106" s="769"/>
      <c r="WKF106" s="769"/>
      <c r="WKG106" s="769"/>
      <c r="WKH106" s="769"/>
      <c r="WKI106" s="769"/>
      <c r="WKJ106" s="769"/>
      <c r="WKK106" s="769"/>
      <c r="WKL106" s="769"/>
      <c r="WKM106" s="769"/>
      <c r="WKN106" s="769"/>
      <c r="WKO106" s="769"/>
      <c r="WKP106" s="769"/>
      <c r="WKQ106" s="769"/>
      <c r="WKR106" s="769"/>
      <c r="WKS106" s="769"/>
      <c r="WKT106" s="769"/>
      <c r="WKU106" s="769"/>
      <c r="WKV106" s="769"/>
      <c r="WKW106" s="769"/>
      <c r="WKX106" s="769"/>
      <c r="WKY106" s="769"/>
      <c r="WKZ106" s="769"/>
      <c r="WLA106" s="769"/>
      <c r="WLB106" s="769"/>
      <c r="WLC106" s="769"/>
      <c r="WLD106" s="769"/>
      <c r="WLE106" s="769"/>
      <c r="WLF106" s="769"/>
      <c r="WLG106" s="769"/>
      <c r="WLH106" s="769"/>
      <c r="WLI106" s="769"/>
      <c r="WLJ106" s="769"/>
      <c r="WLK106" s="769"/>
      <c r="WLL106" s="769"/>
      <c r="WLM106" s="769"/>
      <c r="WLN106" s="769"/>
      <c r="WLO106" s="769"/>
      <c r="WLP106" s="769"/>
      <c r="WLQ106" s="769"/>
      <c r="WLR106" s="769"/>
      <c r="WLS106" s="769"/>
      <c r="WLT106" s="769"/>
      <c r="WLU106" s="769"/>
      <c r="WLV106" s="769"/>
      <c r="WLW106" s="769"/>
      <c r="WLX106" s="769"/>
      <c r="WLY106" s="769"/>
      <c r="WLZ106" s="769"/>
      <c r="WMA106" s="769"/>
      <c r="WMB106" s="769"/>
      <c r="WMC106" s="769"/>
      <c r="WMD106" s="769"/>
      <c r="WME106" s="769"/>
      <c r="WMF106" s="769"/>
      <c r="WMG106" s="769"/>
      <c r="WMH106" s="769"/>
      <c r="WMI106" s="769"/>
      <c r="WMJ106" s="769"/>
      <c r="WMK106" s="769"/>
      <c r="WML106" s="769"/>
      <c r="WMM106" s="769"/>
      <c r="WMN106" s="769"/>
      <c r="WMO106" s="769"/>
      <c r="WMP106" s="769"/>
      <c r="WMQ106" s="769"/>
      <c r="WMR106" s="769"/>
      <c r="WMS106" s="769"/>
      <c r="WMT106" s="769"/>
      <c r="WMU106" s="769"/>
      <c r="WMV106" s="769"/>
      <c r="WMW106" s="769"/>
      <c r="WMX106" s="769"/>
      <c r="WMY106" s="769"/>
      <c r="WMZ106" s="769"/>
      <c r="WNA106" s="769"/>
      <c r="WNB106" s="769"/>
      <c r="WNC106" s="769"/>
      <c r="WND106" s="769"/>
      <c r="WNE106" s="769"/>
      <c r="WNF106" s="769"/>
      <c r="WNG106" s="769"/>
      <c r="WNH106" s="769"/>
      <c r="WNI106" s="769"/>
      <c r="WNJ106" s="769"/>
      <c r="WNK106" s="769"/>
      <c r="WNL106" s="769"/>
      <c r="WNM106" s="769"/>
      <c r="WNN106" s="769"/>
      <c r="WNO106" s="769"/>
      <c r="WNP106" s="769"/>
      <c r="WNQ106" s="769"/>
      <c r="WNR106" s="769"/>
      <c r="WNS106" s="769"/>
      <c r="WNT106" s="769"/>
      <c r="WNU106" s="769"/>
      <c r="WNV106" s="769"/>
      <c r="WNW106" s="769"/>
      <c r="WNX106" s="769"/>
      <c r="WNY106" s="769"/>
      <c r="WNZ106" s="769"/>
      <c r="WOA106" s="769"/>
      <c r="WOB106" s="769"/>
      <c r="WOC106" s="769"/>
      <c r="WOD106" s="769"/>
      <c r="WOE106" s="769"/>
      <c r="WOF106" s="769"/>
      <c r="WOG106" s="769"/>
      <c r="WOH106" s="769"/>
      <c r="WOI106" s="769"/>
      <c r="WOJ106" s="769"/>
      <c r="WOK106" s="769"/>
      <c r="WOL106" s="769"/>
      <c r="WOM106" s="769"/>
      <c r="WON106" s="769"/>
      <c r="WOO106" s="769"/>
      <c r="WOP106" s="769"/>
      <c r="WOQ106" s="769"/>
      <c r="WOR106" s="769"/>
      <c r="WOS106" s="769"/>
      <c r="WOT106" s="769"/>
      <c r="WOU106" s="769"/>
      <c r="WOV106" s="769"/>
      <c r="WOW106" s="769"/>
      <c r="WOX106" s="769"/>
      <c r="WOY106" s="769"/>
      <c r="WOZ106" s="769"/>
      <c r="WPA106" s="769"/>
      <c r="WPB106" s="769"/>
      <c r="WPC106" s="769"/>
      <c r="WPD106" s="769"/>
      <c r="WPE106" s="769"/>
      <c r="WPF106" s="769"/>
      <c r="WPG106" s="769"/>
      <c r="WPH106" s="769"/>
      <c r="WPI106" s="769"/>
      <c r="WPJ106" s="769"/>
      <c r="WPK106" s="769"/>
      <c r="WPL106" s="769"/>
      <c r="WPM106" s="769"/>
      <c r="WPN106" s="769"/>
      <c r="WPO106" s="769"/>
      <c r="WPP106" s="769"/>
      <c r="WPQ106" s="769"/>
      <c r="WPR106" s="769"/>
      <c r="WPS106" s="769"/>
      <c r="WPT106" s="769"/>
      <c r="WPU106" s="769"/>
      <c r="WPV106" s="769"/>
      <c r="WPW106" s="769"/>
      <c r="WPX106" s="769"/>
      <c r="WPY106" s="769"/>
      <c r="WPZ106" s="769"/>
      <c r="WQA106" s="769"/>
      <c r="WQB106" s="769"/>
      <c r="WQC106" s="769"/>
      <c r="WQD106" s="769"/>
      <c r="WQE106" s="769"/>
      <c r="WQF106" s="769"/>
      <c r="WQG106" s="769"/>
      <c r="WQH106" s="769"/>
      <c r="WQI106" s="769"/>
      <c r="WQJ106" s="769"/>
      <c r="WQK106" s="769"/>
      <c r="WQL106" s="769"/>
      <c r="WQM106" s="769"/>
      <c r="WQN106" s="769"/>
      <c r="WQO106" s="769"/>
      <c r="WQP106" s="769"/>
      <c r="WQQ106" s="769"/>
      <c r="WQR106" s="769"/>
      <c r="WQS106" s="769"/>
      <c r="WQT106" s="769"/>
      <c r="WQU106" s="769"/>
      <c r="WQV106" s="769"/>
      <c r="WQW106" s="769"/>
      <c r="WQX106" s="769"/>
      <c r="WQY106" s="769"/>
      <c r="WQZ106" s="769"/>
      <c r="WRA106" s="769"/>
      <c r="WRB106" s="769"/>
      <c r="WRC106" s="769"/>
      <c r="WRD106" s="769"/>
      <c r="WRE106" s="769"/>
      <c r="WRF106" s="769"/>
      <c r="WRG106" s="769"/>
      <c r="WRH106" s="769"/>
      <c r="WRI106" s="769"/>
      <c r="WRJ106" s="769"/>
      <c r="WRK106" s="769"/>
      <c r="WRL106" s="769"/>
      <c r="WRM106" s="769"/>
      <c r="WRN106" s="769"/>
      <c r="WRO106" s="769"/>
      <c r="WRP106" s="769"/>
      <c r="WRQ106" s="769"/>
      <c r="WRR106" s="769"/>
      <c r="WRS106" s="769"/>
      <c r="WRT106" s="769"/>
      <c r="WRU106" s="769"/>
      <c r="WRV106" s="769"/>
      <c r="WRW106" s="769"/>
      <c r="WRX106" s="769"/>
      <c r="WRY106" s="769"/>
      <c r="WRZ106" s="769"/>
      <c r="WSA106" s="769"/>
      <c r="WSB106" s="769"/>
      <c r="WSC106" s="769"/>
      <c r="WSD106" s="769"/>
      <c r="WSE106" s="769"/>
      <c r="WSF106" s="769"/>
      <c r="WSG106" s="769"/>
      <c r="WSH106" s="769"/>
      <c r="WSI106" s="769"/>
      <c r="WSJ106" s="769"/>
      <c r="WSK106" s="769"/>
      <c r="WSL106" s="769"/>
      <c r="WSM106" s="769"/>
      <c r="WSN106" s="769"/>
      <c r="WSO106" s="769"/>
      <c r="WSP106" s="769"/>
      <c r="WSQ106" s="769"/>
      <c r="WSR106" s="769"/>
      <c r="WSS106" s="769"/>
      <c r="WST106" s="769"/>
      <c r="WSU106" s="769"/>
      <c r="WSV106" s="769"/>
      <c r="WSW106" s="769"/>
      <c r="WSX106" s="769"/>
      <c r="WSY106" s="769"/>
      <c r="WSZ106" s="769"/>
      <c r="WTA106" s="769"/>
      <c r="WTB106" s="769"/>
      <c r="WTC106" s="769"/>
      <c r="WTD106" s="769"/>
      <c r="WTE106" s="769"/>
      <c r="WTF106" s="769"/>
      <c r="WTG106" s="769"/>
      <c r="WTH106" s="769"/>
      <c r="WTI106" s="769"/>
      <c r="WTJ106" s="769"/>
      <c r="WTK106" s="769"/>
      <c r="WTL106" s="769"/>
      <c r="WTM106" s="769"/>
      <c r="WTN106" s="769"/>
      <c r="WTO106" s="769"/>
      <c r="WTP106" s="769"/>
      <c r="WTQ106" s="769"/>
      <c r="WTR106" s="769"/>
      <c r="WTS106" s="769"/>
      <c r="WTT106" s="769"/>
      <c r="WTU106" s="769"/>
      <c r="WTV106" s="769"/>
      <c r="WTW106" s="769"/>
      <c r="WTX106" s="769"/>
      <c r="WTY106" s="769"/>
      <c r="WTZ106" s="769"/>
      <c r="WUA106" s="769"/>
      <c r="WUB106" s="769"/>
      <c r="WUC106" s="769"/>
      <c r="WUD106" s="769"/>
      <c r="WUE106" s="769"/>
      <c r="WUF106" s="769"/>
      <c r="WUG106" s="769"/>
      <c r="WUH106" s="769"/>
      <c r="WUI106" s="769"/>
      <c r="WUJ106" s="769"/>
      <c r="WUK106" s="769"/>
      <c r="WUL106" s="769"/>
      <c r="WUM106" s="769"/>
      <c r="WUN106" s="769"/>
      <c r="WUO106" s="769"/>
      <c r="WUP106" s="769"/>
      <c r="WUQ106" s="769"/>
      <c r="WUR106" s="769"/>
      <c r="WUS106" s="769"/>
      <c r="WUT106" s="769"/>
      <c r="WUU106" s="769"/>
      <c r="WUV106" s="769"/>
      <c r="WUW106" s="769"/>
      <c r="WUX106" s="769"/>
      <c r="WUY106" s="769"/>
      <c r="WUZ106" s="769"/>
      <c r="WVA106" s="769"/>
      <c r="WVB106" s="769"/>
      <c r="WVC106" s="769"/>
      <c r="WVD106" s="769"/>
      <c r="WVE106" s="769"/>
      <c r="WVF106" s="769"/>
      <c r="WVG106" s="769"/>
      <c r="WVH106" s="769"/>
      <c r="WVI106" s="769"/>
      <c r="WVJ106" s="769"/>
      <c r="WVK106" s="769"/>
      <c r="WVL106" s="769"/>
      <c r="WVM106" s="769"/>
      <c r="WVN106" s="769"/>
      <c r="WVO106" s="769"/>
      <c r="WVP106" s="769"/>
      <c r="WVQ106" s="769"/>
      <c r="WVR106" s="769"/>
      <c r="WVS106" s="769"/>
      <c r="WVT106" s="769"/>
      <c r="WVU106" s="769"/>
      <c r="WVV106" s="769"/>
      <c r="WVW106" s="769"/>
      <c r="WVX106" s="769"/>
      <c r="WVY106" s="769"/>
      <c r="WVZ106" s="769"/>
      <c r="WWA106" s="769"/>
      <c r="WWB106" s="769"/>
      <c r="WWC106" s="769"/>
      <c r="WWD106" s="769"/>
      <c r="WWE106" s="769"/>
      <c r="WWF106" s="769"/>
      <c r="WWG106" s="769"/>
      <c r="WWH106" s="769"/>
      <c r="WWI106" s="769"/>
      <c r="WWJ106" s="769"/>
      <c r="WWK106" s="769"/>
      <c r="WWL106" s="769"/>
      <c r="WWM106" s="769"/>
      <c r="WWN106" s="769"/>
      <c r="WWO106" s="769"/>
      <c r="WWP106" s="769"/>
      <c r="WWQ106" s="769"/>
      <c r="WWR106" s="769"/>
      <c r="WWS106" s="769"/>
      <c r="WWT106" s="769"/>
      <c r="WWU106" s="769"/>
      <c r="WWV106" s="769"/>
      <c r="WWW106" s="769"/>
      <c r="WWX106" s="769"/>
      <c r="WWY106" s="769"/>
      <c r="WWZ106" s="769"/>
      <c r="WXA106" s="769"/>
      <c r="WXB106" s="769"/>
      <c r="WXC106" s="769"/>
      <c r="WXD106" s="769"/>
      <c r="WXE106" s="769"/>
      <c r="WXF106" s="769"/>
      <c r="WXG106" s="769"/>
      <c r="WXH106" s="769"/>
      <c r="WXI106" s="769"/>
      <c r="WXJ106" s="769"/>
      <c r="WXK106" s="769"/>
      <c r="WXL106" s="769"/>
      <c r="WXM106" s="769"/>
      <c r="WXN106" s="769"/>
      <c r="WXO106" s="769"/>
      <c r="WXP106" s="769"/>
      <c r="WXQ106" s="769"/>
      <c r="WXR106" s="769"/>
      <c r="WXS106" s="769"/>
      <c r="WXT106" s="769"/>
      <c r="WXU106" s="769"/>
      <c r="WXV106" s="769"/>
      <c r="WXW106" s="769"/>
      <c r="WXX106" s="769"/>
      <c r="WXY106" s="769"/>
      <c r="WXZ106" s="769"/>
      <c r="WYA106" s="769"/>
      <c r="WYB106" s="769"/>
      <c r="WYC106" s="769"/>
      <c r="WYD106" s="769"/>
      <c r="WYE106" s="769"/>
      <c r="WYF106" s="769"/>
      <c r="WYG106" s="769"/>
      <c r="WYH106" s="769"/>
      <c r="WYI106" s="769"/>
      <c r="WYJ106" s="769"/>
      <c r="WYK106" s="769"/>
      <c r="WYL106" s="769"/>
      <c r="WYM106" s="769"/>
      <c r="WYN106" s="769"/>
      <c r="WYO106" s="769"/>
      <c r="WYP106" s="769"/>
      <c r="WYQ106" s="769"/>
      <c r="WYR106" s="769"/>
      <c r="WYS106" s="769"/>
      <c r="WYT106" s="769"/>
      <c r="WYU106" s="769"/>
      <c r="WYV106" s="769"/>
      <c r="WYW106" s="769"/>
      <c r="WYX106" s="769"/>
      <c r="WYY106" s="769"/>
      <c r="WYZ106" s="769"/>
      <c r="WZA106" s="769"/>
      <c r="WZB106" s="769"/>
      <c r="WZC106" s="769"/>
      <c r="WZD106" s="769"/>
      <c r="WZE106" s="769"/>
      <c r="WZF106" s="769"/>
      <c r="WZG106" s="769"/>
      <c r="WZH106" s="769"/>
      <c r="WZI106" s="769"/>
      <c r="WZJ106" s="769"/>
      <c r="WZK106" s="769"/>
      <c r="WZL106" s="769"/>
      <c r="WZM106" s="769"/>
      <c r="WZN106" s="769"/>
      <c r="WZO106" s="769"/>
      <c r="WZP106" s="769"/>
      <c r="WZQ106" s="769"/>
      <c r="WZR106" s="769"/>
      <c r="WZS106" s="769"/>
      <c r="WZT106" s="769"/>
      <c r="WZU106" s="769"/>
      <c r="WZV106" s="769"/>
      <c r="WZW106" s="769"/>
      <c r="WZX106" s="769"/>
      <c r="WZY106" s="769"/>
      <c r="WZZ106" s="769"/>
      <c r="XAA106" s="769"/>
      <c r="XAB106" s="769"/>
      <c r="XAC106" s="769"/>
      <c r="XAD106" s="769"/>
      <c r="XAE106" s="769"/>
      <c r="XAF106" s="769"/>
      <c r="XAG106" s="769"/>
      <c r="XAH106" s="769"/>
      <c r="XAI106" s="769"/>
      <c r="XAJ106" s="769"/>
      <c r="XAK106" s="769"/>
      <c r="XAL106" s="769"/>
      <c r="XAM106" s="769"/>
      <c r="XAN106" s="769"/>
      <c r="XAO106" s="769"/>
      <c r="XAP106" s="769"/>
      <c r="XAQ106" s="769"/>
      <c r="XAR106" s="769"/>
      <c r="XAS106" s="769"/>
      <c r="XAT106" s="769"/>
      <c r="XAU106" s="769"/>
      <c r="XAV106" s="769"/>
      <c r="XAW106" s="769"/>
      <c r="XAX106" s="769"/>
      <c r="XAY106" s="769"/>
      <c r="XAZ106" s="769"/>
      <c r="XBA106" s="769"/>
      <c r="XBB106" s="769"/>
      <c r="XBC106" s="769"/>
      <c r="XBD106" s="769"/>
      <c r="XBE106" s="769"/>
      <c r="XBF106" s="769"/>
      <c r="XBG106" s="769"/>
      <c r="XBH106" s="769"/>
      <c r="XBI106" s="769"/>
      <c r="XBJ106" s="769"/>
      <c r="XBK106" s="769"/>
      <c r="XBL106" s="769"/>
      <c r="XBM106" s="769"/>
      <c r="XBN106" s="769"/>
      <c r="XBO106" s="769"/>
      <c r="XBP106" s="769"/>
      <c r="XBQ106" s="769"/>
      <c r="XBR106" s="769"/>
      <c r="XBS106" s="769"/>
      <c r="XBT106" s="769"/>
      <c r="XBU106" s="769"/>
      <c r="XBV106" s="769"/>
      <c r="XBW106" s="769"/>
      <c r="XBX106" s="769"/>
      <c r="XBY106" s="769"/>
      <c r="XBZ106" s="769"/>
      <c r="XCA106" s="769"/>
      <c r="XCB106" s="769"/>
      <c r="XCC106" s="769"/>
      <c r="XCD106" s="769"/>
      <c r="XCE106" s="769"/>
      <c r="XCF106" s="769"/>
      <c r="XCG106" s="769"/>
      <c r="XCH106" s="769"/>
      <c r="XCI106" s="769"/>
      <c r="XCJ106" s="769"/>
      <c r="XCK106" s="769"/>
      <c r="XCL106" s="769"/>
      <c r="XCM106" s="769"/>
      <c r="XCN106" s="769"/>
      <c r="XCO106" s="769"/>
      <c r="XCP106" s="769"/>
      <c r="XCQ106" s="769"/>
      <c r="XCR106" s="769"/>
      <c r="XCS106" s="769"/>
      <c r="XCT106" s="769"/>
      <c r="XCU106" s="769"/>
      <c r="XCV106" s="769"/>
      <c r="XCW106" s="769"/>
      <c r="XCX106" s="769"/>
      <c r="XCY106" s="769"/>
      <c r="XCZ106" s="769"/>
      <c r="XDA106" s="769"/>
      <c r="XDB106" s="769"/>
      <c r="XDC106" s="769"/>
      <c r="XDD106" s="769"/>
      <c r="XDE106" s="769"/>
      <c r="XDF106" s="769"/>
      <c r="XDG106" s="769"/>
      <c r="XDH106" s="769"/>
      <c r="XDI106" s="769"/>
      <c r="XDJ106" s="769"/>
      <c r="XDK106" s="769"/>
      <c r="XDL106" s="769"/>
      <c r="XDM106" s="769"/>
      <c r="XDN106" s="769"/>
      <c r="XDO106" s="769"/>
      <c r="XDP106" s="769"/>
      <c r="XDQ106" s="769"/>
      <c r="XDR106" s="769"/>
      <c r="XDS106" s="769"/>
      <c r="XDT106" s="769"/>
      <c r="XDU106" s="769"/>
      <c r="XDV106" s="769"/>
      <c r="XDW106" s="769"/>
      <c r="XDX106" s="769"/>
      <c r="XDY106" s="769"/>
      <c r="XDZ106" s="769"/>
      <c r="XEA106" s="769"/>
      <c r="XEB106" s="769"/>
      <c r="XEC106" s="769"/>
      <c r="XED106" s="769"/>
      <c r="XEE106" s="769"/>
      <c r="XEF106" s="769"/>
      <c r="XEG106" s="769"/>
      <c r="XEH106" s="769"/>
      <c r="XEI106" s="769"/>
      <c r="XEJ106" s="769"/>
      <c r="XEK106" s="769"/>
      <c r="XEL106" s="769"/>
      <c r="XEM106" s="769"/>
      <c r="XEN106" s="769"/>
      <c r="XEO106" s="769"/>
      <c r="XEP106" s="769"/>
      <c r="XEQ106" s="769"/>
      <c r="XER106" s="769"/>
      <c r="XES106" s="769"/>
      <c r="XET106" s="769"/>
      <c r="XEU106" s="769"/>
      <c r="XEV106" s="769"/>
      <c r="XEW106" s="769"/>
      <c r="XEX106" s="769"/>
      <c r="XEY106" s="769"/>
      <c r="XEZ106" s="769"/>
      <c r="XFA106" s="769"/>
      <c r="XFB106" s="769"/>
    </row>
    <row r="107" spans="1:16382" ht="15.75" hidden="1" thickBot="1" x14ac:dyDescent="0.3">
      <c r="A107" s="769"/>
      <c r="B107" s="2186"/>
      <c r="C107" s="2225"/>
      <c r="D107" s="2248"/>
      <c r="E107" s="2248"/>
      <c r="F107" s="2248"/>
      <c r="G107" s="2248"/>
      <c r="H107" s="2248"/>
      <c r="I107" s="2248"/>
      <c r="J107" s="2248"/>
      <c r="K107" s="2248"/>
      <c r="L107" s="2249"/>
      <c r="M107" s="2249"/>
      <c r="N107" s="2249"/>
      <c r="O107" s="2249"/>
      <c r="P107" s="2203"/>
      <c r="Q107" s="2204"/>
      <c r="R107" s="769"/>
      <c r="S107" s="769"/>
      <c r="T107" s="769"/>
      <c r="U107" s="769"/>
      <c r="V107" s="769"/>
      <c r="W107" s="769"/>
      <c r="X107" s="769"/>
      <c r="Y107" s="769"/>
      <c r="Z107" s="769"/>
      <c r="AA107" s="769"/>
      <c r="AB107" s="769"/>
      <c r="AC107" s="769"/>
      <c r="AD107" s="769"/>
      <c r="AE107" s="769"/>
      <c r="AF107" s="769"/>
      <c r="AG107" s="769"/>
      <c r="AH107" s="769"/>
      <c r="AI107" s="769"/>
      <c r="AJ107" s="769"/>
      <c r="AK107" s="769"/>
      <c r="AL107" s="769"/>
      <c r="AM107" s="769"/>
      <c r="AN107" s="769"/>
      <c r="AO107" s="769"/>
      <c r="AP107" s="769"/>
      <c r="AQ107" s="769"/>
      <c r="AR107" s="769"/>
      <c r="AS107" s="769"/>
      <c r="AT107" s="769"/>
      <c r="AU107" s="769"/>
      <c r="AV107" s="769"/>
      <c r="AW107" s="769"/>
      <c r="AX107" s="769"/>
      <c r="AY107" s="769"/>
      <c r="AZ107" s="769"/>
      <c r="BA107" s="769"/>
      <c r="BB107" s="769"/>
      <c r="BC107" s="769"/>
      <c r="BD107" s="769"/>
      <c r="BE107" s="769"/>
      <c r="BF107" s="769"/>
      <c r="BG107" s="769"/>
      <c r="BH107" s="769"/>
      <c r="BI107" s="769"/>
      <c r="BJ107" s="769"/>
      <c r="BK107" s="769"/>
      <c r="BL107" s="769"/>
      <c r="BM107" s="769"/>
      <c r="BN107" s="769"/>
      <c r="BO107" s="769"/>
      <c r="BP107" s="769"/>
      <c r="BQ107" s="769"/>
      <c r="BR107" s="769"/>
      <c r="BS107" s="769"/>
      <c r="BT107" s="769"/>
      <c r="BU107" s="769"/>
      <c r="BV107" s="769"/>
      <c r="BW107" s="769"/>
      <c r="BX107" s="769"/>
      <c r="BY107" s="769"/>
      <c r="BZ107" s="769"/>
      <c r="CA107" s="769"/>
      <c r="CB107" s="769"/>
      <c r="CC107" s="769"/>
      <c r="CD107" s="769"/>
      <c r="CE107" s="769"/>
      <c r="CF107" s="769"/>
      <c r="CG107" s="769"/>
      <c r="CH107" s="769"/>
      <c r="CI107" s="769"/>
      <c r="CJ107" s="769"/>
      <c r="CK107" s="769"/>
      <c r="CL107" s="769"/>
      <c r="CM107" s="769"/>
      <c r="CN107" s="769"/>
      <c r="CO107" s="769"/>
      <c r="CP107" s="769"/>
      <c r="CQ107" s="769"/>
      <c r="CR107" s="769"/>
      <c r="CS107" s="769"/>
      <c r="CT107" s="769"/>
      <c r="CU107" s="769"/>
      <c r="CV107" s="769"/>
      <c r="CW107" s="769"/>
      <c r="CX107" s="769"/>
      <c r="CY107" s="769"/>
      <c r="CZ107" s="769"/>
      <c r="DA107" s="769"/>
      <c r="DB107" s="769"/>
      <c r="DC107" s="769"/>
      <c r="DD107" s="769"/>
      <c r="DE107" s="769"/>
      <c r="DF107" s="769"/>
      <c r="DG107" s="769"/>
      <c r="DH107" s="769"/>
      <c r="DI107" s="769"/>
      <c r="DJ107" s="769"/>
      <c r="DK107" s="769"/>
      <c r="DL107" s="769"/>
      <c r="DM107" s="769"/>
      <c r="DN107" s="769"/>
      <c r="DO107" s="769"/>
      <c r="DP107" s="769"/>
      <c r="DQ107" s="769"/>
      <c r="DR107" s="769"/>
      <c r="DS107" s="769"/>
      <c r="DT107" s="769"/>
      <c r="DU107" s="769"/>
      <c r="DV107" s="769"/>
      <c r="DW107" s="769"/>
      <c r="DX107" s="769"/>
      <c r="DY107" s="769"/>
      <c r="DZ107" s="769"/>
      <c r="EA107" s="769"/>
      <c r="EB107" s="769"/>
      <c r="EC107" s="769"/>
      <c r="ED107" s="769"/>
      <c r="EE107" s="769"/>
      <c r="EF107" s="769"/>
      <c r="EG107" s="769"/>
      <c r="EH107" s="769"/>
      <c r="EI107" s="769"/>
      <c r="EJ107" s="769"/>
      <c r="EK107" s="769"/>
      <c r="EL107" s="769"/>
      <c r="EM107" s="769"/>
      <c r="EN107" s="769"/>
      <c r="EO107" s="769"/>
      <c r="EP107" s="769"/>
      <c r="EQ107" s="769"/>
      <c r="ER107" s="769"/>
      <c r="ES107" s="769"/>
      <c r="ET107" s="769"/>
      <c r="EU107" s="769"/>
      <c r="EV107" s="769"/>
      <c r="EW107" s="769"/>
      <c r="EX107" s="769"/>
      <c r="EY107" s="769"/>
      <c r="EZ107" s="769"/>
      <c r="FA107" s="769"/>
      <c r="FB107" s="769"/>
      <c r="FC107" s="769"/>
      <c r="FD107" s="769"/>
      <c r="FE107" s="769"/>
      <c r="FF107" s="769"/>
      <c r="FG107" s="769"/>
      <c r="FH107" s="769"/>
      <c r="FI107" s="769"/>
      <c r="FJ107" s="769"/>
      <c r="FK107" s="769"/>
      <c r="FL107" s="769"/>
      <c r="FM107" s="769"/>
      <c r="FN107" s="769"/>
      <c r="FO107" s="769"/>
      <c r="FP107" s="769"/>
      <c r="FQ107" s="769"/>
      <c r="FR107" s="769"/>
      <c r="FS107" s="769"/>
      <c r="FT107" s="769"/>
      <c r="FU107" s="769"/>
      <c r="FV107" s="769"/>
      <c r="FW107" s="769"/>
      <c r="FX107" s="769"/>
      <c r="FY107" s="769"/>
      <c r="FZ107" s="769"/>
      <c r="GA107" s="769"/>
      <c r="GB107" s="769"/>
      <c r="GC107" s="769"/>
      <c r="GD107" s="769"/>
      <c r="GE107" s="769"/>
      <c r="GF107" s="769"/>
      <c r="GG107" s="769"/>
      <c r="GH107" s="769"/>
      <c r="GI107" s="769"/>
      <c r="GJ107" s="769"/>
      <c r="GK107" s="769"/>
      <c r="GL107" s="769"/>
      <c r="GM107" s="769"/>
      <c r="GN107" s="769"/>
      <c r="GO107" s="769"/>
      <c r="GP107" s="769"/>
      <c r="GQ107" s="769"/>
      <c r="GR107" s="769"/>
      <c r="GS107" s="769"/>
      <c r="GT107" s="769"/>
      <c r="GU107" s="769"/>
      <c r="GV107" s="769"/>
      <c r="GW107" s="769"/>
      <c r="GX107" s="769"/>
      <c r="GY107" s="769"/>
      <c r="GZ107" s="769"/>
      <c r="HA107" s="769"/>
      <c r="HB107" s="769"/>
      <c r="HC107" s="769"/>
      <c r="HD107" s="769"/>
      <c r="HE107" s="769"/>
      <c r="HF107" s="769"/>
      <c r="HG107" s="769"/>
      <c r="HH107" s="769"/>
      <c r="HI107" s="769"/>
      <c r="HJ107" s="769"/>
      <c r="HK107" s="769"/>
      <c r="HL107" s="769"/>
      <c r="HM107" s="769"/>
      <c r="HN107" s="769"/>
      <c r="HO107" s="769"/>
      <c r="HP107" s="769"/>
      <c r="HQ107" s="769"/>
      <c r="HR107" s="769"/>
      <c r="HS107" s="769"/>
      <c r="HT107" s="769"/>
      <c r="HU107" s="769"/>
      <c r="HV107" s="769"/>
      <c r="HW107" s="769"/>
      <c r="HX107" s="769"/>
      <c r="HY107" s="769"/>
      <c r="HZ107" s="769"/>
      <c r="IA107" s="769"/>
      <c r="IB107" s="769"/>
      <c r="IC107" s="769"/>
      <c r="ID107" s="769"/>
      <c r="IE107" s="769"/>
      <c r="IF107" s="769"/>
      <c r="IG107" s="769"/>
      <c r="IH107" s="769"/>
      <c r="II107" s="769"/>
      <c r="IJ107" s="769"/>
      <c r="IK107" s="769"/>
      <c r="IL107" s="769"/>
      <c r="IM107" s="769"/>
      <c r="IN107" s="769"/>
      <c r="IO107" s="769"/>
      <c r="IP107" s="769"/>
      <c r="IQ107" s="769"/>
      <c r="IR107" s="769"/>
      <c r="IS107" s="769"/>
      <c r="IT107" s="769"/>
      <c r="IU107" s="769"/>
      <c r="IV107" s="769"/>
      <c r="IW107" s="769"/>
      <c r="IX107" s="769"/>
      <c r="IY107" s="769"/>
      <c r="IZ107" s="769"/>
      <c r="JA107" s="769"/>
      <c r="JB107" s="769"/>
      <c r="JC107" s="769"/>
      <c r="JD107" s="769"/>
      <c r="JE107" s="769"/>
      <c r="JF107" s="769"/>
      <c r="JG107" s="769"/>
      <c r="JH107" s="769"/>
      <c r="JI107" s="769"/>
      <c r="JJ107" s="769"/>
      <c r="JK107" s="769"/>
      <c r="JL107" s="769"/>
      <c r="JM107" s="769"/>
      <c r="JN107" s="769"/>
      <c r="JO107" s="769"/>
      <c r="JP107" s="769"/>
      <c r="JQ107" s="769"/>
      <c r="JR107" s="769"/>
      <c r="JS107" s="769"/>
      <c r="JT107" s="769"/>
      <c r="JU107" s="769"/>
      <c r="JV107" s="769"/>
      <c r="JW107" s="769"/>
      <c r="JX107" s="769"/>
      <c r="JY107" s="769"/>
      <c r="JZ107" s="769"/>
      <c r="KA107" s="769"/>
      <c r="KB107" s="769"/>
      <c r="KC107" s="769"/>
      <c r="KD107" s="769"/>
      <c r="KE107" s="769"/>
      <c r="KF107" s="769"/>
      <c r="KG107" s="769"/>
      <c r="KH107" s="769"/>
      <c r="KI107" s="769"/>
      <c r="KJ107" s="769"/>
      <c r="KK107" s="769"/>
      <c r="KL107" s="769"/>
      <c r="KM107" s="769"/>
      <c r="KN107" s="769"/>
      <c r="KO107" s="769"/>
      <c r="KP107" s="769"/>
      <c r="KQ107" s="769"/>
      <c r="KR107" s="769"/>
      <c r="KS107" s="769"/>
      <c r="KT107" s="769"/>
      <c r="KU107" s="769"/>
      <c r="KV107" s="769"/>
      <c r="KW107" s="769"/>
      <c r="KX107" s="769"/>
      <c r="KY107" s="769"/>
      <c r="KZ107" s="769"/>
      <c r="LA107" s="769"/>
      <c r="LB107" s="769"/>
      <c r="LC107" s="769"/>
      <c r="LD107" s="769"/>
      <c r="LE107" s="769"/>
      <c r="LF107" s="769"/>
      <c r="LG107" s="769"/>
      <c r="LH107" s="769"/>
      <c r="LI107" s="769"/>
      <c r="LJ107" s="769"/>
      <c r="LK107" s="769"/>
      <c r="LL107" s="769"/>
      <c r="LM107" s="769"/>
      <c r="LN107" s="769"/>
      <c r="LO107" s="769"/>
      <c r="LP107" s="769"/>
      <c r="LQ107" s="769"/>
      <c r="LR107" s="769"/>
      <c r="LS107" s="769"/>
      <c r="LT107" s="769"/>
      <c r="LU107" s="769"/>
      <c r="LV107" s="769"/>
      <c r="LW107" s="769"/>
      <c r="LX107" s="769"/>
      <c r="LY107" s="769"/>
      <c r="LZ107" s="769"/>
      <c r="MA107" s="769"/>
      <c r="MB107" s="769"/>
      <c r="MC107" s="769"/>
      <c r="MD107" s="769"/>
      <c r="ME107" s="769"/>
      <c r="MF107" s="769"/>
      <c r="MG107" s="769"/>
      <c r="MH107" s="769"/>
      <c r="MI107" s="769"/>
      <c r="MJ107" s="769"/>
      <c r="MK107" s="769"/>
      <c r="ML107" s="769"/>
      <c r="MM107" s="769"/>
      <c r="MN107" s="769"/>
      <c r="MO107" s="769"/>
      <c r="MP107" s="769"/>
      <c r="MQ107" s="769"/>
      <c r="MR107" s="769"/>
      <c r="MS107" s="769"/>
      <c r="MT107" s="769"/>
      <c r="MU107" s="769"/>
      <c r="MV107" s="769"/>
      <c r="MW107" s="769"/>
      <c r="MX107" s="769"/>
      <c r="MY107" s="769"/>
      <c r="MZ107" s="769"/>
      <c r="NA107" s="769"/>
      <c r="NB107" s="769"/>
      <c r="NC107" s="769"/>
      <c r="ND107" s="769"/>
      <c r="NE107" s="769"/>
      <c r="NF107" s="769"/>
      <c r="NG107" s="769"/>
      <c r="NH107" s="769"/>
      <c r="NI107" s="769"/>
      <c r="NJ107" s="769"/>
      <c r="NK107" s="769"/>
      <c r="NL107" s="769"/>
      <c r="NM107" s="769"/>
      <c r="NN107" s="769"/>
      <c r="NO107" s="769"/>
      <c r="NP107" s="769"/>
      <c r="NQ107" s="769"/>
      <c r="NR107" s="769"/>
      <c r="NS107" s="769"/>
      <c r="NT107" s="769"/>
      <c r="NU107" s="769"/>
      <c r="NV107" s="769"/>
      <c r="NW107" s="769"/>
      <c r="NX107" s="769"/>
      <c r="NY107" s="769"/>
      <c r="NZ107" s="769"/>
      <c r="OA107" s="769"/>
      <c r="OB107" s="769"/>
      <c r="OC107" s="769"/>
      <c r="OD107" s="769"/>
      <c r="OE107" s="769"/>
      <c r="OF107" s="769"/>
      <c r="OG107" s="769"/>
      <c r="OH107" s="769"/>
      <c r="OI107" s="769"/>
      <c r="OJ107" s="769"/>
      <c r="OK107" s="769"/>
      <c r="OL107" s="769"/>
      <c r="OM107" s="769"/>
      <c r="ON107" s="769"/>
      <c r="OO107" s="769"/>
      <c r="OP107" s="769"/>
      <c r="OQ107" s="769"/>
      <c r="OR107" s="769"/>
      <c r="OS107" s="769"/>
      <c r="OT107" s="769"/>
      <c r="OU107" s="769"/>
      <c r="OV107" s="769"/>
      <c r="OW107" s="769"/>
      <c r="OX107" s="769"/>
      <c r="OY107" s="769"/>
      <c r="OZ107" s="769"/>
      <c r="PA107" s="769"/>
      <c r="PB107" s="769"/>
      <c r="PC107" s="769"/>
      <c r="PD107" s="769"/>
      <c r="PE107" s="769"/>
      <c r="PF107" s="769"/>
      <c r="PG107" s="769"/>
      <c r="PH107" s="769"/>
      <c r="PI107" s="769"/>
      <c r="PJ107" s="769"/>
      <c r="PK107" s="769"/>
      <c r="PL107" s="769"/>
      <c r="PM107" s="769"/>
      <c r="PN107" s="769"/>
      <c r="PO107" s="769"/>
      <c r="PP107" s="769"/>
      <c r="PQ107" s="769"/>
      <c r="PR107" s="769"/>
      <c r="PS107" s="769"/>
      <c r="PT107" s="769"/>
      <c r="PU107" s="769"/>
      <c r="PV107" s="769"/>
      <c r="PW107" s="769"/>
      <c r="PX107" s="769"/>
      <c r="PY107" s="769"/>
      <c r="PZ107" s="769"/>
      <c r="QA107" s="769"/>
      <c r="QB107" s="769"/>
      <c r="QC107" s="769"/>
      <c r="QD107" s="769"/>
      <c r="QE107" s="769"/>
      <c r="QF107" s="769"/>
      <c r="QG107" s="769"/>
      <c r="QH107" s="769"/>
      <c r="QI107" s="769"/>
      <c r="QJ107" s="769"/>
      <c r="QK107" s="769"/>
      <c r="QL107" s="769"/>
      <c r="QM107" s="769"/>
      <c r="QN107" s="769"/>
      <c r="QO107" s="769"/>
      <c r="QP107" s="769"/>
      <c r="QQ107" s="769"/>
      <c r="QR107" s="769"/>
      <c r="QS107" s="769"/>
      <c r="QT107" s="769"/>
      <c r="QU107" s="769"/>
      <c r="QV107" s="769"/>
      <c r="QW107" s="769"/>
      <c r="QX107" s="769"/>
      <c r="QY107" s="769"/>
      <c r="QZ107" s="769"/>
      <c r="RA107" s="769"/>
      <c r="RB107" s="769"/>
      <c r="RC107" s="769"/>
      <c r="RD107" s="769"/>
      <c r="RE107" s="769"/>
      <c r="RF107" s="769"/>
      <c r="RG107" s="769"/>
      <c r="RH107" s="769"/>
      <c r="RI107" s="769"/>
      <c r="RJ107" s="769"/>
      <c r="RK107" s="769"/>
      <c r="RL107" s="769"/>
      <c r="RM107" s="769"/>
      <c r="RN107" s="769"/>
      <c r="RO107" s="769"/>
      <c r="RP107" s="769"/>
      <c r="RQ107" s="769"/>
      <c r="RR107" s="769"/>
      <c r="RS107" s="769"/>
      <c r="RT107" s="769"/>
      <c r="RU107" s="769"/>
      <c r="RV107" s="769"/>
      <c r="RW107" s="769"/>
      <c r="RX107" s="769"/>
      <c r="RY107" s="769"/>
      <c r="RZ107" s="769"/>
      <c r="SA107" s="769"/>
      <c r="SB107" s="769"/>
      <c r="SC107" s="769"/>
      <c r="SD107" s="769"/>
      <c r="SE107" s="769"/>
      <c r="SF107" s="769"/>
      <c r="SG107" s="769"/>
      <c r="SH107" s="769"/>
      <c r="SI107" s="769"/>
      <c r="SJ107" s="769"/>
      <c r="SK107" s="769"/>
      <c r="SL107" s="769"/>
      <c r="SM107" s="769"/>
      <c r="SN107" s="769"/>
      <c r="SO107" s="769"/>
      <c r="SP107" s="769"/>
      <c r="SQ107" s="769"/>
      <c r="SR107" s="769"/>
      <c r="SS107" s="769"/>
      <c r="ST107" s="769"/>
      <c r="SU107" s="769"/>
      <c r="SV107" s="769"/>
      <c r="SW107" s="769"/>
      <c r="SX107" s="769"/>
      <c r="SY107" s="769"/>
      <c r="SZ107" s="769"/>
      <c r="TA107" s="769"/>
      <c r="TB107" s="769"/>
      <c r="TC107" s="769"/>
      <c r="TD107" s="769"/>
      <c r="TE107" s="769"/>
      <c r="TF107" s="769"/>
      <c r="TG107" s="769"/>
      <c r="TH107" s="769"/>
      <c r="TI107" s="769"/>
      <c r="TJ107" s="769"/>
      <c r="TK107" s="769"/>
      <c r="TL107" s="769"/>
      <c r="TM107" s="769"/>
      <c r="TN107" s="769"/>
      <c r="TO107" s="769"/>
      <c r="TP107" s="769"/>
      <c r="TQ107" s="769"/>
      <c r="TR107" s="769"/>
      <c r="TS107" s="769"/>
      <c r="TT107" s="769"/>
      <c r="TU107" s="769"/>
      <c r="TV107" s="769"/>
      <c r="TW107" s="769"/>
      <c r="TX107" s="769"/>
      <c r="TY107" s="769"/>
      <c r="TZ107" s="769"/>
      <c r="UA107" s="769"/>
      <c r="UB107" s="769"/>
      <c r="UC107" s="769"/>
      <c r="UD107" s="769"/>
      <c r="UE107" s="769"/>
      <c r="UF107" s="769"/>
      <c r="UG107" s="769"/>
      <c r="UH107" s="769"/>
      <c r="UI107" s="769"/>
      <c r="UJ107" s="769"/>
      <c r="UK107" s="769"/>
      <c r="UL107" s="769"/>
      <c r="UM107" s="769"/>
      <c r="UN107" s="769"/>
      <c r="UO107" s="769"/>
      <c r="UP107" s="769"/>
      <c r="UQ107" s="769"/>
      <c r="UR107" s="769"/>
      <c r="US107" s="769"/>
      <c r="UT107" s="769"/>
      <c r="UU107" s="769"/>
      <c r="UV107" s="769"/>
      <c r="UW107" s="769"/>
      <c r="UX107" s="769"/>
      <c r="UY107" s="769"/>
      <c r="UZ107" s="769"/>
      <c r="VA107" s="769"/>
      <c r="VB107" s="769"/>
      <c r="VC107" s="769"/>
      <c r="VD107" s="769"/>
      <c r="VE107" s="769"/>
      <c r="VF107" s="769"/>
      <c r="VG107" s="769"/>
      <c r="VH107" s="769"/>
      <c r="VI107" s="769"/>
      <c r="VJ107" s="769"/>
      <c r="VK107" s="769"/>
      <c r="VL107" s="769"/>
      <c r="VM107" s="769"/>
      <c r="VN107" s="769"/>
      <c r="VO107" s="769"/>
      <c r="VP107" s="769"/>
      <c r="VQ107" s="769"/>
      <c r="VR107" s="769"/>
      <c r="VS107" s="769"/>
      <c r="VT107" s="769"/>
      <c r="VU107" s="769"/>
      <c r="VV107" s="769"/>
      <c r="VW107" s="769"/>
      <c r="VX107" s="769"/>
      <c r="VY107" s="769"/>
      <c r="VZ107" s="769"/>
      <c r="WA107" s="769"/>
      <c r="WB107" s="769"/>
      <c r="WC107" s="769"/>
      <c r="WD107" s="769"/>
      <c r="WE107" s="769"/>
      <c r="WF107" s="769"/>
      <c r="WG107" s="769"/>
      <c r="WH107" s="769"/>
      <c r="WI107" s="769"/>
      <c r="WJ107" s="769"/>
      <c r="WK107" s="769"/>
      <c r="WL107" s="769"/>
      <c r="WM107" s="769"/>
      <c r="WN107" s="769"/>
      <c r="WO107" s="769"/>
      <c r="WP107" s="769"/>
      <c r="WQ107" s="769"/>
      <c r="WR107" s="769"/>
      <c r="WS107" s="769"/>
      <c r="WT107" s="769"/>
      <c r="WU107" s="769"/>
      <c r="WV107" s="769"/>
      <c r="WW107" s="769"/>
      <c r="WX107" s="769"/>
      <c r="WY107" s="769"/>
      <c r="WZ107" s="769"/>
      <c r="XA107" s="769"/>
      <c r="XB107" s="769"/>
      <c r="XC107" s="769"/>
      <c r="XD107" s="769"/>
      <c r="XE107" s="769"/>
      <c r="XF107" s="769"/>
      <c r="XG107" s="769"/>
      <c r="XH107" s="769"/>
      <c r="XI107" s="769"/>
      <c r="XJ107" s="769"/>
      <c r="XK107" s="769"/>
      <c r="XL107" s="769"/>
      <c r="XM107" s="769"/>
      <c r="XN107" s="769"/>
      <c r="XO107" s="769"/>
      <c r="XP107" s="769"/>
      <c r="XQ107" s="769"/>
      <c r="XR107" s="769"/>
      <c r="XS107" s="769"/>
      <c r="XT107" s="769"/>
      <c r="XU107" s="769"/>
      <c r="XV107" s="769"/>
      <c r="XW107" s="769"/>
      <c r="XX107" s="769"/>
      <c r="XY107" s="769"/>
      <c r="XZ107" s="769"/>
      <c r="YA107" s="769"/>
      <c r="YB107" s="769"/>
      <c r="YC107" s="769"/>
      <c r="YD107" s="769"/>
      <c r="YE107" s="769"/>
      <c r="YF107" s="769"/>
      <c r="YG107" s="769"/>
      <c r="YH107" s="769"/>
      <c r="YI107" s="769"/>
      <c r="YJ107" s="769"/>
      <c r="YK107" s="769"/>
      <c r="YL107" s="769"/>
      <c r="YM107" s="769"/>
      <c r="YN107" s="769"/>
      <c r="YO107" s="769"/>
      <c r="YP107" s="769"/>
      <c r="YQ107" s="769"/>
      <c r="YR107" s="769"/>
      <c r="YS107" s="769"/>
      <c r="YT107" s="769"/>
      <c r="YU107" s="769"/>
      <c r="YV107" s="769"/>
      <c r="YW107" s="769"/>
      <c r="YX107" s="769"/>
      <c r="YY107" s="769"/>
      <c r="YZ107" s="769"/>
      <c r="ZA107" s="769"/>
      <c r="ZB107" s="769"/>
      <c r="ZC107" s="769"/>
      <c r="ZD107" s="769"/>
      <c r="ZE107" s="769"/>
      <c r="ZF107" s="769"/>
      <c r="ZG107" s="769"/>
      <c r="ZH107" s="769"/>
      <c r="ZI107" s="769"/>
      <c r="ZJ107" s="769"/>
      <c r="ZK107" s="769"/>
      <c r="ZL107" s="769"/>
      <c r="ZM107" s="769"/>
      <c r="ZN107" s="769"/>
      <c r="ZO107" s="769"/>
      <c r="ZP107" s="769"/>
      <c r="ZQ107" s="769"/>
      <c r="ZR107" s="769"/>
      <c r="ZS107" s="769"/>
      <c r="ZT107" s="769"/>
      <c r="ZU107" s="769"/>
      <c r="ZV107" s="769"/>
      <c r="ZW107" s="769"/>
      <c r="ZX107" s="769"/>
      <c r="ZY107" s="769"/>
      <c r="ZZ107" s="769"/>
      <c r="AAA107" s="769"/>
      <c r="AAB107" s="769"/>
      <c r="AAC107" s="769"/>
      <c r="AAD107" s="769"/>
      <c r="AAE107" s="769"/>
      <c r="AAF107" s="769"/>
      <c r="AAG107" s="769"/>
      <c r="AAH107" s="769"/>
      <c r="AAI107" s="769"/>
      <c r="AAJ107" s="769"/>
      <c r="AAK107" s="769"/>
      <c r="AAL107" s="769"/>
      <c r="AAM107" s="769"/>
      <c r="AAN107" s="769"/>
      <c r="AAO107" s="769"/>
      <c r="AAP107" s="769"/>
      <c r="AAQ107" s="769"/>
      <c r="AAR107" s="769"/>
      <c r="AAS107" s="769"/>
      <c r="AAT107" s="769"/>
      <c r="AAU107" s="769"/>
      <c r="AAV107" s="769"/>
      <c r="AAW107" s="769"/>
      <c r="AAX107" s="769"/>
      <c r="AAY107" s="769"/>
      <c r="AAZ107" s="769"/>
      <c r="ABA107" s="769"/>
      <c r="ABB107" s="769"/>
      <c r="ABC107" s="769"/>
      <c r="ABD107" s="769"/>
      <c r="ABE107" s="769"/>
      <c r="ABF107" s="769"/>
      <c r="ABG107" s="769"/>
      <c r="ABH107" s="769"/>
      <c r="ABI107" s="769"/>
      <c r="ABJ107" s="769"/>
      <c r="ABK107" s="769"/>
      <c r="ABL107" s="769"/>
      <c r="ABM107" s="769"/>
      <c r="ABN107" s="769"/>
      <c r="ABO107" s="769"/>
      <c r="ABP107" s="769"/>
      <c r="ABQ107" s="769"/>
      <c r="ABR107" s="769"/>
      <c r="ABS107" s="769"/>
      <c r="ABT107" s="769"/>
      <c r="ABU107" s="769"/>
      <c r="ABV107" s="769"/>
      <c r="ABW107" s="769"/>
      <c r="ABX107" s="769"/>
      <c r="ABY107" s="769"/>
      <c r="ABZ107" s="769"/>
      <c r="ACA107" s="769"/>
      <c r="ACB107" s="769"/>
      <c r="ACC107" s="769"/>
      <c r="ACD107" s="769"/>
      <c r="ACE107" s="769"/>
      <c r="ACF107" s="769"/>
      <c r="ACG107" s="769"/>
      <c r="ACH107" s="769"/>
      <c r="ACI107" s="769"/>
      <c r="ACJ107" s="769"/>
      <c r="ACK107" s="769"/>
      <c r="ACL107" s="769"/>
      <c r="ACM107" s="769"/>
      <c r="ACN107" s="769"/>
      <c r="ACO107" s="769"/>
      <c r="ACP107" s="769"/>
      <c r="ACQ107" s="769"/>
      <c r="ACR107" s="769"/>
      <c r="ACS107" s="769"/>
      <c r="ACT107" s="769"/>
      <c r="ACU107" s="769"/>
      <c r="ACV107" s="769"/>
      <c r="ACW107" s="769"/>
      <c r="ACX107" s="769"/>
      <c r="ACY107" s="769"/>
      <c r="ACZ107" s="769"/>
      <c r="ADA107" s="769"/>
      <c r="ADB107" s="769"/>
      <c r="ADC107" s="769"/>
      <c r="ADD107" s="769"/>
      <c r="ADE107" s="769"/>
      <c r="ADF107" s="769"/>
      <c r="ADG107" s="769"/>
      <c r="ADH107" s="769"/>
      <c r="ADI107" s="769"/>
      <c r="ADJ107" s="769"/>
      <c r="ADK107" s="769"/>
      <c r="ADL107" s="769"/>
      <c r="ADM107" s="769"/>
      <c r="ADN107" s="769"/>
      <c r="ADO107" s="769"/>
      <c r="ADP107" s="769"/>
      <c r="ADQ107" s="769"/>
      <c r="ADR107" s="769"/>
      <c r="ADS107" s="769"/>
      <c r="ADT107" s="769"/>
      <c r="ADU107" s="769"/>
      <c r="ADV107" s="769"/>
      <c r="ADW107" s="769"/>
      <c r="ADX107" s="769"/>
      <c r="ADY107" s="769"/>
      <c r="ADZ107" s="769"/>
      <c r="AEA107" s="769"/>
      <c r="AEB107" s="769"/>
      <c r="AEC107" s="769"/>
      <c r="AED107" s="769"/>
      <c r="AEE107" s="769"/>
      <c r="AEF107" s="769"/>
      <c r="AEG107" s="769"/>
      <c r="AEH107" s="769"/>
      <c r="AEI107" s="769"/>
      <c r="AEJ107" s="769"/>
      <c r="AEK107" s="769"/>
      <c r="AEL107" s="769"/>
      <c r="AEM107" s="769"/>
      <c r="AEN107" s="769"/>
      <c r="AEO107" s="769"/>
      <c r="AEP107" s="769"/>
      <c r="AEQ107" s="769"/>
      <c r="AER107" s="769"/>
      <c r="AES107" s="769"/>
      <c r="AET107" s="769"/>
      <c r="AEU107" s="769"/>
      <c r="AEV107" s="769"/>
      <c r="AEW107" s="769"/>
      <c r="AEX107" s="769"/>
      <c r="AEY107" s="769"/>
      <c r="AEZ107" s="769"/>
      <c r="AFA107" s="769"/>
      <c r="AFB107" s="769"/>
      <c r="AFC107" s="769"/>
      <c r="AFD107" s="769"/>
      <c r="AFE107" s="769"/>
      <c r="AFF107" s="769"/>
      <c r="AFG107" s="769"/>
      <c r="AFH107" s="769"/>
      <c r="AFI107" s="769"/>
      <c r="AFJ107" s="769"/>
      <c r="AFK107" s="769"/>
      <c r="AFL107" s="769"/>
      <c r="AFM107" s="769"/>
      <c r="AFN107" s="769"/>
      <c r="AFO107" s="769"/>
      <c r="AFP107" s="769"/>
      <c r="AFQ107" s="769"/>
      <c r="AFR107" s="769"/>
      <c r="AFS107" s="769"/>
      <c r="AFT107" s="769"/>
      <c r="AFU107" s="769"/>
      <c r="AFV107" s="769"/>
      <c r="AFW107" s="769"/>
      <c r="AFX107" s="769"/>
      <c r="AFY107" s="769"/>
      <c r="AFZ107" s="769"/>
      <c r="AGA107" s="769"/>
      <c r="AGB107" s="769"/>
      <c r="AGC107" s="769"/>
      <c r="AGD107" s="769"/>
      <c r="AGE107" s="769"/>
      <c r="AGF107" s="769"/>
      <c r="AGG107" s="769"/>
      <c r="AGH107" s="769"/>
      <c r="AGI107" s="769"/>
      <c r="AGJ107" s="769"/>
      <c r="AGK107" s="769"/>
      <c r="AGL107" s="769"/>
      <c r="AGM107" s="769"/>
      <c r="AGN107" s="769"/>
      <c r="AGO107" s="769"/>
      <c r="AGP107" s="769"/>
      <c r="AGQ107" s="769"/>
      <c r="AGR107" s="769"/>
      <c r="AGS107" s="769"/>
      <c r="AGT107" s="769"/>
      <c r="AGU107" s="769"/>
      <c r="AGV107" s="769"/>
      <c r="AGW107" s="769"/>
      <c r="AGX107" s="769"/>
      <c r="AGY107" s="769"/>
      <c r="AGZ107" s="769"/>
      <c r="AHA107" s="769"/>
      <c r="AHB107" s="769"/>
      <c r="AHC107" s="769"/>
      <c r="AHD107" s="769"/>
      <c r="AHE107" s="769"/>
      <c r="AHF107" s="769"/>
      <c r="AHG107" s="769"/>
      <c r="AHH107" s="769"/>
      <c r="AHI107" s="769"/>
      <c r="AHJ107" s="769"/>
      <c r="AHK107" s="769"/>
      <c r="AHL107" s="769"/>
      <c r="AHM107" s="769"/>
      <c r="AHN107" s="769"/>
      <c r="AHO107" s="769"/>
      <c r="AHP107" s="769"/>
      <c r="AHQ107" s="769"/>
      <c r="AHR107" s="769"/>
      <c r="AHS107" s="769"/>
      <c r="AHT107" s="769"/>
      <c r="AHU107" s="769"/>
      <c r="AHV107" s="769"/>
      <c r="AHW107" s="769"/>
      <c r="AHX107" s="769"/>
      <c r="AHY107" s="769"/>
      <c r="AHZ107" s="769"/>
      <c r="AIA107" s="769"/>
      <c r="AIB107" s="769"/>
      <c r="AIC107" s="769"/>
      <c r="AID107" s="769"/>
      <c r="AIE107" s="769"/>
      <c r="AIF107" s="769"/>
      <c r="AIG107" s="769"/>
      <c r="AIH107" s="769"/>
      <c r="AII107" s="769"/>
      <c r="AIJ107" s="769"/>
      <c r="AIK107" s="769"/>
      <c r="AIL107" s="769"/>
      <c r="AIM107" s="769"/>
      <c r="AIN107" s="769"/>
      <c r="AIO107" s="769"/>
      <c r="AIP107" s="769"/>
      <c r="AIQ107" s="769"/>
      <c r="AIR107" s="769"/>
      <c r="AIS107" s="769"/>
      <c r="AIT107" s="769"/>
      <c r="AIU107" s="769"/>
      <c r="AIV107" s="769"/>
      <c r="AIW107" s="769"/>
      <c r="AIX107" s="769"/>
      <c r="AIY107" s="769"/>
      <c r="AIZ107" s="769"/>
      <c r="AJA107" s="769"/>
      <c r="AJB107" s="769"/>
      <c r="AJC107" s="769"/>
      <c r="AJD107" s="769"/>
      <c r="AJE107" s="769"/>
      <c r="AJF107" s="769"/>
      <c r="AJG107" s="769"/>
      <c r="AJH107" s="769"/>
      <c r="AJI107" s="769"/>
      <c r="AJJ107" s="769"/>
      <c r="AJK107" s="769"/>
      <c r="AJL107" s="769"/>
      <c r="AJM107" s="769"/>
      <c r="AJN107" s="769"/>
      <c r="AJO107" s="769"/>
      <c r="AJP107" s="769"/>
      <c r="AJQ107" s="769"/>
      <c r="AJR107" s="769"/>
      <c r="AJS107" s="769"/>
      <c r="AJT107" s="769"/>
      <c r="AJU107" s="769"/>
      <c r="AJV107" s="769"/>
      <c r="AJW107" s="769"/>
      <c r="AJX107" s="769"/>
      <c r="AJY107" s="769"/>
      <c r="AJZ107" s="769"/>
      <c r="AKA107" s="769"/>
      <c r="AKB107" s="769"/>
      <c r="AKC107" s="769"/>
      <c r="AKD107" s="769"/>
      <c r="AKE107" s="769"/>
      <c r="AKF107" s="769"/>
      <c r="AKG107" s="769"/>
      <c r="AKH107" s="769"/>
      <c r="AKI107" s="769"/>
      <c r="AKJ107" s="769"/>
      <c r="AKK107" s="769"/>
      <c r="AKL107" s="769"/>
      <c r="AKM107" s="769"/>
      <c r="AKN107" s="769"/>
      <c r="AKO107" s="769"/>
      <c r="AKP107" s="769"/>
      <c r="AKQ107" s="769"/>
      <c r="AKR107" s="769"/>
      <c r="AKS107" s="769"/>
      <c r="AKT107" s="769"/>
      <c r="AKU107" s="769"/>
      <c r="AKV107" s="769"/>
      <c r="AKW107" s="769"/>
      <c r="AKX107" s="769"/>
      <c r="AKY107" s="769"/>
      <c r="AKZ107" s="769"/>
      <c r="ALA107" s="769"/>
      <c r="ALB107" s="769"/>
      <c r="ALC107" s="769"/>
      <c r="ALD107" s="769"/>
      <c r="ALE107" s="769"/>
      <c r="ALF107" s="769"/>
      <c r="ALG107" s="769"/>
      <c r="ALH107" s="769"/>
      <c r="ALI107" s="769"/>
      <c r="ALJ107" s="769"/>
      <c r="ALK107" s="769"/>
      <c r="ALL107" s="769"/>
      <c r="ALM107" s="769"/>
      <c r="ALN107" s="769"/>
      <c r="ALO107" s="769"/>
      <c r="ALP107" s="769"/>
      <c r="ALQ107" s="769"/>
      <c r="ALR107" s="769"/>
      <c r="ALS107" s="769"/>
      <c r="ALT107" s="769"/>
      <c r="ALU107" s="769"/>
      <c r="ALV107" s="769"/>
      <c r="ALW107" s="769"/>
      <c r="ALX107" s="769"/>
      <c r="ALY107" s="769"/>
      <c r="ALZ107" s="769"/>
      <c r="AMA107" s="769"/>
      <c r="AMB107" s="769"/>
      <c r="AMC107" s="769"/>
      <c r="AMD107" s="769"/>
      <c r="AME107" s="769"/>
      <c r="AMF107" s="769"/>
      <c r="AMG107" s="769"/>
      <c r="AMH107" s="769"/>
      <c r="AMI107" s="769"/>
      <c r="AMJ107" s="769"/>
      <c r="AMK107" s="769"/>
      <c r="AML107" s="769"/>
      <c r="AMM107" s="769"/>
      <c r="AMN107" s="769"/>
      <c r="AMO107" s="769"/>
      <c r="AMP107" s="769"/>
      <c r="AMQ107" s="769"/>
      <c r="AMR107" s="769"/>
      <c r="AMS107" s="769"/>
      <c r="AMT107" s="769"/>
      <c r="AMU107" s="769"/>
      <c r="AMV107" s="769"/>
      <c r="AMW107" s="769"/>
      <c r="AMX107" s="769"/>
      <c r="AMY107" s="769"/>
      <c r="AMZ107" s="769"/>
      <c r="ANA107" s="769"/>
      <c r="ANB107" s="769"/>
      <c r="ANC107" s="769"/>
      <c r="AND107" s="769"/>
      <c r="ANE107" s="769"/>
      <c r="ANF107" s="769"/>
      <c r="ANG107" s="769"/>
      <c r="ANH107" s="769"/>
      <c r="ANI107" s="769"/>
      <c r="ANJ107" s="769"/>
      <c r="ANK107" s="769"/>
      <c r="ANL107" s="769"/>
      <c r="ANM107" s="769"/>
      <c r="ANN107" s="769"/>
      <c r="ANO107" s="769"/>
      <c r="ANP107" s="769"/>
      <c r="ANQ107" s="769"/>
      <c r="ANR107" s="769"/>
      <c r="ANS107" s="769"/>
      <c r="ANT107" s="769"/>
      <c r="ANU107" s="769"/>
      <c r="ANV107" s="769"/>
      <c r="ANW107" s="769"/>
      <c r="ANX107" s="769"/>
      <c r="ANY107" s="769"/>
      <c r="ANZ107" s="769"/>
      <c r="AOA107" s="769"/>
      <c r="AOB107" s="769"/>
      <c r="AOC107" s="769"/>
      <c r="AOD107" s="769"/>
      <c r="AOE107" s="769"/>
      <c r="AOF107" s="769"/>
      <c r="AOG107" s="769"/>
      <c r="AOH107" s="769"/>
      <c r="AOI107" s="769"/>
      <c r="AOJ107" s="769"/>
      <c r="AOK107" s="769"/>
      <c r="AOL107" s="769"/>
      <c r="AOM107" s="769"/>
      <c r="AON107" s="769"/>
      <c r="AOO107" s="769"/>
      <c r="AOP107" s="769"/>
      <c r="AOQ107" s="769"/>
      <c r="AOR107" s="769"/>
      <c r="AOS107" s="769"/>
      <c r="AOT107" s="769"/>
      <c r="AOU107" s="769"/>
      <c r="AOV107" s="769"/>
      <c r="AOW107" s="769"/>
      <c r="AOX107" s="769"/>
      <c r="AOY107" s="769"/>
      <c r="AOZ107" s="769"/>
      <c r="APA107" s="769"/>
      <c r="APB107" s="769"/>
      <c r="APC107" s="769"/>
      <c r="APD107" s="769"/>
      <c r="APE107" s="769"/>
      <c r="APF107" s="769"/>
      <c r="APG107" s="769"/>
      <c r="APH107" s="769"/>
      <c r="API107" s="769"/>
      <c r="APJ107" s="769"/>
      <c r="APK107" s="769"/>
      <c r="APL107" s="769"/>
      <c r="APM107" s="769"/>
      <c r="APN107" s="769"/>
      <c r="APO107" s="769"/>
      <c r="APP107" s="769"/>
      <c r="APQ107" s="769"/>
      <c r="APR107" s="769"/>
      <c r="APS107" s="769"/>
      <c r="APT107" s="769"/>
      <c r="APU107" s="769"/>
      <c r="APV107" s="769"/>
      <c r="APW107" s="769"/>
      <c r="APX107" s="769"/>
      <c r="APY107" s="769"/>
      <c r="APZ107" s="769"/>
      <c r="AQA107" s="769"/>
      <c r="AQB107" s="769"/>
      <c r="AQC107" s="769"/>
      <c r="AQD107" s="769"/>
      <c r="AQE107" s="769"/>
      <c r="AQF107" s="769"/>
      <c r="AQG107" s="769"/>
      <c r="AQH107" s="769"/>
      <c r="AQI107" s="769"/>
      <c r="AQJ107" s="769"/>
      <c r="AQK107" s="769"/>
      <c r="AQL107" s="769"/>
      <c r="AQM107" s="769"/>
      <c r="AQN107" s="769"/>
      <c r="AQO107" s="769"/>
      <c r="AQP107" s="769"/>
      <c r="AQQ107" s="769"/>
      <c r="AQR107" s="769"/>
      <c r="AQS107" s="769"/>
      <c r="AQT107" s="769"/>
      <c r="AQU107" s="769"/>
      <c r="AQV107" s="769"/>
      <c r="AQW107" s="769"/>
      <c r="AQX107" s="769"/>
      <c r="AQY107" s="769"/>
      <c r="AQZ107" s="769"/>
      <c r="ARA107" s="769"/>
      <c r="ARB107" s="769"/>
      <c r="ARC107" s="769"/>
      <c r="ARD107" s="769"/>
      <c r="ARE107" s="769"/>
      <c r="ARF107" s="769"/>
      <c r="ARG107" s="769"/>
      <c r="ARH107" s="769"/>
      <c r="ARI107" s="769"/>
      <c r="ARJ107" s="769"/>
      <c r="ARK107" s="769"/>
      <c r="ARL107" s="769"/>
      <c r="ARM107" s="769"/>
      <c r="ARN107" s="769"/>
      <c r="ARO107" s="769"/>
      <c r="ARP107" s="769"/>
      <c r="ARQ107" s="769"/>
      <c r="ARR107" s="769"/>
      <c r="ARS107" s="769"/>
      <c r="ART107" s="769"/>
      <c r="ARU107" s="769"/>
      <c r="ARV107" s="769"/>
      <c r="ARW107" s="769"/>
      <c r="ARX107" s="769"/>
      <c r="ARY107" s="769"/>
      <c r="ARZ107" s="769"/>
      <c r="ASA107" s="769"/>
      <c r="ASB107" s="769"/>
      <c r="ASC107" s="769"/>
      <c r="ASD107" s="769"/>
      <c r="ASE107" s="769"/>
      <c r="ASF107" s="769"/>
      <c r="ASG107" s="769"/>
      <c r="ASH107" s="769"/>
      <c r="ASI107" s="769"/>
      <c r="ASJ107" s="769"/>
      <c r="ASK107" s="769"/>
      <c r="ASL107" s="769"/>
      <c r="ASM107" s="769"/>
      <c r="ASN107" s="769"/>
      <c r="ASO107" s="769"/>
      <c r="ASP107" s="769"/>
      <c r="ASQ107" s="769"/>
      <c r="ASR107" s="769"/>
      <c r="ASS107" s="769"/>
      <c r="AST107" s="769"/>
      <c r="ASU107" s="769"/>
      <c r="ASV107" s="769"/>
      <c r="ASW107" s="769"/>
      <c r="ASX107" s="769"/>
      <c r="ASY107" s="769"/>
      <c r="ASZ107" s="769"/>
      <c r="ATA107" s="769"/>
      <c r="ATB107" s="769"/>
      <c r="ATC107" s="769"/>
      <c r="ATD107" s="769"/>
      <c r="ATE107" s="769"/>
      <c r="ATF107" s="769"/>
      <c r="ATG107" s="769"/>
      <c r="ATH107" s="769"/>
      <c r="ATI107" s="769"/>
      <c r="ATJ107" s="769"/>
      <c r="ATK107" s="769"/>
      <c r="ATL107" s="769"/>
      <c r="ATM107" s="769"/>
      <c r="ATN107" s="769"/>
      <c r="ATO107" s="769"/>
      <c r="ATP107" s="769"/>
      <c r="ATQ107" s="769"/>
      <c r="ATR107" s="769"/>
      <c r="ATS107" s="769"/>
      <c r="ATT107" s="769"/>
      <c r="ATU107" s="769"/>
      <c r="ATV107" s="769"/>
      <c r="ATW107" s="769"/>
      <c r="ATX107" s="769"/>
      <c r="ATY107" s="769"/>
      <c r="ATZ107" s="769"/>
      <c r="AUA107" s="769"/>
      <c r="AUB107" s="769"/>
      <c r="AUC107" s="769"/>
      <c r="AUD107" s="769"/>
      <c r="AUE107" s="769"/>
      <c r="AUF107" s="769"/>
      <c r="AUG107" s="769"/>
      <c r="AUH107" s="769"/>
      <c r="AUI107" s="769"/>
      <c r="AUJ107" s="769"/>
      <c r="AUK107" s="769"/>
      <c r="AUL107" s="769"/>
      <c r="AUM107" s="769"/>
      <c r="AUN107" s="769"/>
      <c r="AUO107" s="769"/>
      <c r="AUP107" s="769"/>
      <c r="AUQ107" s="769"/>
      <c r="AUR107" s="769"/>
      <c r="AUS107" s="769"/>
      <c r="AUT107" s="769"/>
      <c r="AUU107" s="769"/>
      <c r="AUV107" s="769"/>
      <c r="AUW107" s="769"/>
      <c r="AUX107" s="769"/>
      <c r="AUY107" s="769"/>
      <c r="AUZ107" s="769"/>
      <c r="AVA107" s="769"/>
      <c r="AVB107" s="769"/>
      <c r="AVC107" s="769"/>
      <c r="AVD107" s="769"/>
      <c r="AVE107" s="769"/>
      <c r="AVF107" s="769"/>
      <c r="AVG107" s="769"/>
      <c r="AVH107" s="769"/>
      <c r="AVI107" s="769"/>
      <c r="AVJ107" s="769"/>
      <c r="AVK107" s="769"/>
      <c r="AVL107" s="769"/>
      <c r="AVM107" s="769"/>
      <c r="AVN107" s="769"/>
      <c r="AVO107" s="769"/>
      <c r="AVP107" s="769"/>
      <c r="AVQ107" s="769"/>
      <c r="AVR107" s="769"/>
      <c r="AVS107" s="769"/>
      <c r="AVT107" s="769"/>
      <c r="AVU107" s="769"/>
      <c r="AVV107" s="769"/>
      <c r="AVW107" s="769"/>
      <c r="AVX107" s="769"/>
      <c r="AVY107" s="769"/>
      <c r="AVZ107" s="769"/>
      <c r="AWA107" s="769"/>
      <c r="AWB107" s="769"/>
      <c r="AWC107" s="769"/>
      <c r="AWD107" s="769"/>
      <c r="AWE107" s="769"/>
      <c r="AWF107" s="769"/>
      <c r="AWG107" s="769"/>
      <c r="AWH107" s="769"/>
      <c r="AWI107" s="769"/>
      <c r="AWJ107" s="769"/>
      <c r="AWK107" s="769"/>
      <c r="AWL107" s="769"/>
      <c r="AWM107" s="769"/>
      <c r="AWN107" s="769"/>
      <c r="AWO107" s="769"/>
      <c r="AWP107" s="769"/>
      <c r="AWQ107" s="769"/>
      <c r="AWR107" s="769"/>
      <c r="AWS107" s="769"/>
      <c r="AWT107" s="769"/>
      <c r="AWU107" s="769"/>
      <c r="AWV107" s="769"/>
      <c r="AWW107" s="769"/>
      <c r="AWX107" s="769"/>
      <c r="AWY107" s="769"/>
      <c r="AWZ107" s="769"/>
      <c r="AXA107" s="769"/>
      <c r="AXB107" s="769"/>
      <c r="AXC107" s="769"/>
      <c r="AXD107" s="769"/>
      <c r="AXE107" s="769"/>
      <c r="AXF107" s="769"/>
      <c r="AXG107" s="769"/>
      <c r="AXH107" s="769"/>
      <c r="AXI107" s="769"/>
      <c r="AXJ107" s="769"/>
      <c r="AXK107" s="769"/>
      <c r="AXL107" s="769"/>
      <c r="AXM107" s="769"/>
      <c r="AXN107" s="769"/>
      <c r="AXO107" s="769"/>
      <c r="AXP107" s="769"/>
      <c r="AXQ107" s="769"/>
      <c r="AXR107" s="769"/>
      <c r="AXS107" s="769"/>
      <c r="AXT107" s="769"/>
      <c r="AXU107" s="769"/>
      <c r="AXV107" s="769"/>
      <c r="AXW107" s="769"/>
      <c r="AXX107" s="769"/>
      <c r="AXY107" s="769"/>
      <c r="AXZ107" s="769"/>
      <c r="AYA107" s="769"/>
      <c r="AYB107" s="769"/>
      <c r="AYC107" s="769"/>
      <c r="AYD107" s="769"/>
      <c r="AYE107" s="769"/>
      <c r="AYF107" s="769"/>
      <c r="AYG107" s="769"/>
      <c r="AYH107" s="769"/>
      <c r="AYI107" s="769"/>
      <c r="AYJ107" s="769"/>
      <c r="AYK107" s="769"/>
      <c r="AYL107" s="769"/>
      <c r="AYM107" s="769"/>
      <c r="AYN107" s="769"/>
      <c r="AYO107" s="769"/>
      <c r="AYP107" s="769"/>
      <c r="AYQ107" s="769"/>
      <c r="AYR107" s="769"/>
      <c r="AYS107" s="769"/>
      <c r="AYT107" s="769"/>
      <c r="AYU107" s="769"/>
      <c r="AYV107" s="769"/>
      <c r="AYW107" s="769"/>
      <c r="AYX107" s="769"/>
      <c r="AYY107" s="769"/>
      <c r="AYZ107" s="769"/>
      <c r="AZA107" s="769"/>
      <c r="AZB107" s="769"/>
      <c r="AZC107" s="769"/>
      <c r="AZD107" s="769"/>
      <c r="AZE107" s="769"/>
      <c r="AZF107" s="769"/>
      <c r="AZG107" s="769"/>
      <c r="AZH107" s="769"/>
      <c r="AZI107" s="769"/>
      <c r="AZJ107" s="769"/>
      <c r="AZK107" s="769"/>
      <c r="AZL107" s="769"/>
      <c r="AZM107" s="769"/>
      <c r="AZN107" s="769"/>
      <c r="AZO107" s="769"/>
      <c r="AZP107" s="769"/>
      <c r="AZQ107" s="769"/>
      <c r="AZR107" s="769"/>
      <c r="AZS107" s="769"/>
      <c r="AZT107" s="769"/>
      <c r="AZU107" s="769"/>
      <c r="AZV107" s="769"/>
      <c r="AZW107" s="769"/>
      <c r="AZX107" s="769"/>
      <c r="AZY107" s="769"/>
      <c r="AZZ107" s="769"/>
      <c r="BAA107" s="769"/>
      <c r="BAB107" s="769"/>
      <c r="BAC107" s="769"/>
      <c r="BAD107" s="769"/>
      <c r="BAE107" s="769"/>
      <c r="BAF107" s="769"/>
      <c r="BAG107" s="769"/>
      <c r="BAH107" s="769"/>
      <c r="BAI107" s="769"/>
      <c r="BAJ107" s="769"/>
      <c r="BAK107" s="769"/>
      <c r="BAL107" s="769"/>
      <c r="BAM107" s="769"/>
      <c r="BAN107" s="769"/>
      <c r="BAO107" s="769"/>
      <c r="BAP107" s="769"/>
      <c r="BAQ107" s="769"/>
      <c r="BAR107" s="769"/>
      <c r="BAS107" s="769"/>
      <c r="BAT107" s="769"/>
      <c r="BAU107" s="769"/>
      <c r="BAV107" s="769"/>
      <c r="BAW107" s="769"/>
      <c r="BAX107" s="769"/>
      <c r="BAY107" s="769"/>
      <c r="BAZ107" s="769"/>
      <c r="BBA107" s="769"/>
      <c r="BBB107" s="769"/>
      <c r="BBC107" s="769"/>
      <c r="BBD107" s="769"/>
      <c r="BBE107" s="769"/>
      <c r="BBF107" s="769"/>
      <c r="BBG107" s="769"/>
      <c r="BBH107" s="769"/>
      <c r="BBI107" s="769"/>
      <c r="BBJ107" s="769"/>
      <c r="BBK107" s="769"/>
      <c r="BBL107" s="769"/>
      <c r="BBM107" s="769"/>
      <c r="BBN107" s="769"/>
      <c r="BBO107" s="769"/>
      <c r="BBP107" s="769"/>
      <c r="BBQ107" s="769"/>
      <c r="BBR107" s="769"/>
      <c r="BBS107" s="769"/>
      <c r="BBT107" s="769"/>
      <c r="BBU107" s="769"/>
      <c r="BBV107" s="769"/>
      <c r="BBW107" s="769"/>
      <c r="BBX107" s="769"/>
      <c r="BBY107" s="769"/>
      <c r="BBZ107" s="769"/>
      <c r="BCA107" s="769"/>
      <c r="BCB107" s="769"/>
      <c r="BCC107" s="769"/>
      <c r="BCD107" s="769"/>
      <c r="BCE107" s="769"/>
      <c r="BCF107" s="769"/>
      <c r="BCG107" s="769"/>
      <c r="BCH107" s="769"/>
      <c r="BCI107" s="769"/>
      <c r="BCJ107" s="769"/>
      <c r="BCK107" s="769"/>
      <c r="BCL107" s="769"/>
      <c r="BCM107" s="769"/>
      <c r="BCN107" s="769"/>
      <c r="BCO107" s="769"/>
      <c r="BCP107" s="769"/>
      <c r="BCQ107" s="769"/>
      <c r="BCR107" s="769"/>
      <c r="BCS107" s="769"/>
      <c r="BCT107" s="769"/>
      <c r="BCU107" s="769"/>
      <c r="BCV107" s="769"/>
      <c r="BCW107" s="769"/>
      <c r="BCX107" s="769"/>
      <c r="BCY107" s="769"/>
      <c r="BCZ107" s="769"/>
      <c r="BDA107" s="769"/>
      <c r="BDB107" s="769"/>
      <c r="BDC107" s="769"/>
      <c r="BDD107" s="769"/>
      <c r="BDE107" s="769"/>
      <c r="BDF107" s="769"/>
      <c r="BDG107" s="769"/>
      <c r="BDH107" s="769"/>
      <c r="BDI107" s="769"/>
      <c r="BDJ107" s="769"/>
      <c r="BDK107" s="769"/>
      <c r="BDL107" s="769"/>
      <c r="BDM107" s="769"/>
      <c r="BDN107" s="769"/>
      <c r="BDO107" s="769"/>
      <c r="BDP107" s="769"/>
      <c r="BDQ107" s="769"/>
      <c r="BDR107" s="769"/>
      <c r="BDS107" s="769"/>
      <c r="BDT107" s="769"/>
      <c r="BDU107" s="769"/>
      <c r="BDV107" s="769"/>
      <c r="BDW107" s="769"/>
      <c r="BDX107" s="769"/>
      <c r="BDY107" s="769"/>
      <c r="BDZ107" s="769"/>
      <c r="BEA107" s="769"/>
      <c r="BEB107" s="769"/>
      <c r="BEC107" s="769"/>
      <c r="BED107" s="769"/>
      <c r="BEE107" s="769"/>
      <c r="BEF107" s="769"/>
      <c r="BEG107" s="769"/>
      <c r="BEH107" s="769"/>
      <c r="BEI107" s="769"/>
      <c r="BEJ107" s="769"/>
      <c r="BEK107" s="769"/>
      <c r="BEL107" s="769"/>
      <c r="BEM107" s="769"/>
      <c r="BEN107" s="769"/>
      <c r="BEO107" s="769"/>
      <c r="BEP107" s="769"/>
      <c r="BEQ107" s="769"/>
      <c r="BER107" s="769"/>
      <c r="BES107" s="769"/>
      <c r="BET107" s="769"/>
      <c r="BEU107" s="769"/>
      <c r="BEV107" s="769"/>
      <c r="BEW107" s="769"/>
      <c r="BEX107" s="769"/>
      <c r="BEY107" s="769"/>
      <c r="BEZ107" s="769"/>
      <c r="BFA107" s="769"/>
      <c r="BFB107" s="769"/>
      <c r="BFC107" s="769"/>
      <c r="BFD107" s="769"/>
      <c r="BFE107" s="769"/>
      <c r="BFF107" s="769"/>
      <c r="BFG107" s="769"/>
      <c r="BFH107" s="769"/>
      <c r="BFI107" s="769"/>
      <c r="BFJ107" s="769"/>
      <c r="BFK107" s="769"/>
      <c r="BFL107" s="769"/>
      <c r="BFM107" s="769"/>
      <c r="BFN107" s="769"/>
      <c r="BFO107" s="769"/>
      <c r="BFP107" s="769"/>
      <c r="BFQ107" s="769"/>
      <c r="BFR107" s="769"/>
      <c r="BFS107" s="769"/>
      <c r="BFT107" s="769"/>
      <c r="BFU107" s="769"/>
      <c r="BFV107" s="769"/>
      <c r="BFW107" s="769"/>
      <c r="BFX107" s="769"/>
      <c r="BFY107" s="769"/>
      <c r="BFZ107" s="769"/>
      <c r="BGA107" s="769"/>
      <c r="BGB107" s="769"/>
      <c r="BGC107" s="769"/>
      <c r="BGD107" s="769"/>
      <c r="BGE107" s="769"/>
      <c r="BGF107" s="769"/>
      <c r="BGG107" s="769"/>
      <c r="BGH107" s="769"/>
      <c r="BGI107" s="769"/>
      <c r="BGJ107" s="769"/>
      <c r="BGK107" s="769"/>
      <c r="BGL107" s="769"/>
      <c r="BGM107" s="769"/>
      <c r="BGN107" s="769"/>
      <c r="BGO107" s="769"/>
      <c r="BGP107" s="769"/>
      <c r="BGQ107" s="769"/>
      <c r="BGR107" s="769"/>
      <c r="BGS107" s="769"/>
      <c r="BGT107" s="769"/>
      <c r="BGU107" s="769"/>
      <c r="BGV107" s="769"/>
      <c r="BGW107" s="769"/>
      <c r="BGX107" s="769"/>
      <c r="BGY107" s="769"/>
      <c r="BGZ107" s="769"/>
      <c r="BHA107" s="769"/>
      <c r="BHB107" s="769"/>
      <c r="BHC107" s="769"/>
      <c r="BHD107" s="769"/>
      <c r="BHE107" s="769"/>
      <c r="BHF107" s="769"/>
      <c r="BHG107" s="769"/>
      <c r="BHH107" s="769"/>
      <c r="BHI107" s="769"/>
      <c r="BHJ107" s="769"/>
      <c r="BHK107" s="769"/>
      <c r="BHL107" s="769"/>
      <c r="BHM107" s="769"/>
      <c r="BHN107" s="769"/>
      <c r="BHO107" s="769"/>
      <c r="BHP107" s="769"/>
      <c r="BHQ107" s="769"/>
      <c r="BHR107" s="769"/>
      <c r="BHS107" s="769"/>
      <c r="BHT107" s="769"/>
      <c r="BHU107" s="769"/>
      <c r="BHV107" s="769"/>
      <c r="BHW107" s="769"/>
      <c r="BHX107" s="769"/>
      <c r="BHY107" s="769"/>
      <c r="BHZ107" s="769"/>
      <c r="BIA107" s="769"/>
      <c r="BIB107" s="769"/>
      <c r="BIC107" s="769"/>
      <c r="BID107" s="769"/>
      <c r="BIE107" s="769"/>
      <c r="BIF107" s="769"/>
      <c r="BIG107" s="769"/>
      <c r="BIH107" s="769"/>
      <c r="BII107" s="769"/>
      <c r="BIJ107" s="769"/>
      <c r="BIK107" s="769"/>
      <c r="BIL107" s="769"/>
      <c r="BIM107" s="769"/>
      <c r="BIN107" s="769"/>
      <c r="BIO107" s="769"/>
      <c r="BIP107" s="769"/>
      <c r="BIQ107" s="769"/>
      <c r="BIR107" s="769"/>
      <c r="BIS107" s="769"/>
      <c r="BIT107" s="769"/>
      <c r="BIU107" s="769"/>
      <c r="BIV107" s="769"/>
      <c r="BIW107" s="769"/>
      <c r="BIX107" s="769"/>
      <c r="BIY107" s="769"/>
      <c r="BIZ107" s="769"/>
      <c r="BJA107" s="769"/>
      <c r="BJB107" s="769"/>
      <c r="BJC107" s="769"/>
      <c r="BJD107" s="769"/>
      <c r="BJE107" s="769"/>
      <c r="BJF107" s="769"/>
      <c r="BJG107" s="769"/>
      <c r="BJH107" s="769"/>
      <c r="BJI107" s="769"/>
      <c r="BJJ107" s="769"/>
      <c r="BJK107" s="769"/>
      <c r="BJL107" s="769"/>
      <c r="BJM107" s="769"/>
      <c r="BJN107" s="769"/>
      <c r="BJO107" s="769"/>
      <c r="BJP107" s="769"/>
      <c r="BJQ107" s="769"/>
      <c r="BJR107" s="769"/>
      <c r="BJS107" s="769"/>
      <c r="BJT107" s="769"/>
      <c r="BJU107" s="769"/>
      <c r="BJV107" s="769"/>
      <c r="BJW107" s="769"/>
      <c r="BJX107" s="769"/>
      <c r="BJY107" s="769"/>
      <c r="BJZ107" s="769"/>
      <c r="BKA107" s="769"/>
      <c r="BKB107" s="769"/>
      <c r="BKC107" s="769"/>
      <c r="BKD107" s="769"/>
      <c r="BKE107" s="769"/>
      <c r="BKF107" s="769"/>
      <c r="BKG107" s="769"/>
      <c r="BKH107" s="769"/>
      <c r="BKI107" s="769"/>
      <c r="BKJ107" s="769"/>
      <c r="BKK107" s="769"/>
      <c r="BKL107" s="769"/>
      <c r="BKM107" s="769"/>
      <c r="BKN107" s="769"/>
      <c r="BKO107" s="769"/>
      <c r="BKP107" s="769"/>
      <c r="BKQ107" s="769"/>
      <c r="BKR107" s="769"/>
      <c r="BKS107" s="769"/>
      <c r="BKT107" s="769"/>
      <c r="BKU107" s="769"/>
      <c r="BKV107" s="769"/>
      <c r="BKW107" s="769"/>
      <c r="BKX107" s="769"/>
      <c r="BKY107" s="769"/>
      <c r="BKZ107" s="769"/>
      <c r="BLA107" s="769"/>
      <c r="BLB107" s="769"/>
      <c r="BLC107" s="769"/>
      <c r="BLD107" s="769"/>
      <c r="BLE107" s="769"/>
      <c r="BLF107" s="769"/>
      <c r="BLG107" s="769"/>
      <c r="BLH107" s="769"/>
      <c r="BLI107" s="769"/>
      <c r="BLJ107" s="769"/>
      <c r="BLK107" s="769"/>
      <c r="BLL107" s="769"/>
      <c r="BLM107" s="769"/>
      <c r="BLN107" s="769"/>
      <c r="BLO107" s="769"/>
      <c r="BLP107" s="769"/>
      <c r="BLQ107" s="769"/>
      <c r="BLR107" s="769"/>
      <c r="BLS107" s="769"/>
      <c r="BLT107" s="769"/>
      <c r="BLU107" s="769"/>
      <c r="BLV107" s="769"/>
      <c r="BLW107" s="769"/>
      <c r="BLX107" s="769"/>
      <c r="BLY107" s="769"/>
      <c r="BLZ107" s="769"/>
      <c r="BMA107" s="769"/>
      <c r="BMB107" s="769"/>
      <c r="BMC107" s="769"/>
      <c r="BMD107" s="769"/>
      <c r="BME107" s="769"/>
      <c r="BMF107" s="769"/>
      <c r="BMG107" s="769"/>
      <c r="BMH107" s="769"/>
      <c r="BMI107" s="769"/>
      <c r="BMJ107" s="769"/>
      <c r="BMK107" s="769"/>
      <c r="BML107" s="769"/>
      <c r="BMM107" s="769"/>
      <c r="BMN107" s="769"/>
      <c r="BMO107" s="769"/>
      <c r="BMP107" s="769"/>
      <c r="BMQ107" s="769"/>
      <c r="BMR107" s="769"/>
      <c r="BMS107" s="769"/>
      <c r="BMT107" s="769"/>
      <c r="BMU107" s="769"/>
      <c r="BMV107" s="769"/>
      <c r="BMW107" s="769"/>
      <c r="BMX107" s="769"/>
      <c r="BMY107" s="769"/>
      <c r="BMZ107" s="769"/>
      <c r="BNA107" s="769"/>
      <c r="BNB107" s="769"/>
      <c r="BNC107" s="769"/>
      <c r="BND107" s="769"/>
      <c r="BNE107" s="769"/>
      <c r="BNF107" s="769"/>
      <c r="BNG107" s="769"/>
      <c r="BNH107" s="769"/>
      <c r="BNI107" s="769"/>
      <c r="BNJ107" s="769"/>
      <c r="BNK107" s="769"/>
      <c r="BNL107" s="769"/>
      <c r="BNM107" s="769"/>
      <c r="BNN107" s="769"/>
      <c r="BNO107" s="769"/>
      <c r="BNP107" s="769"/>
      <c r="BNQ107" s="769"/>
      <c r="BNR107" s="769"/>
      <c r="BNS107" s="769"/>
      <c r="BNT107" s="769"/>
      <c r="BNU107" s="769"/>
      <c r="BNV107" s="769"/>
      <c r="BNW107" s="769"/>
      <c r="BNX107" s="769"/>
      <c r="BNY107" s="769"/>
      <c r="BNZ107" s="769"/>
      <c r="BOA107" s="769"/>
      <c r="BOB107" s="769"/>
      <c r="BOC107" s="769"/>
      <c r="BOD107" s="769"/>
      <c r="BOE107" s="769"/>
      <c r="BOF107" s="769"/>
      <c r="BOG107" s="769"/>
      <c r="BOH107" s="769"/>
      <c r="BOI107" s="769"/>
      <c r="BOJ107" s="769"/>
      <c r="BOK107" s="769"/>
      <c r="BOL107" s="769"/>
      <c r="BOM107" s="769"/>
      <c r="BON107" s="769"/>
      <c r="BOO107" s="769"/>
      <c r="BOP107" s="769"/>
      <c r="BOQ107" s="769"/>
      <c r="BOR107" s="769"/>
      <c r="BOS107" s="769"/>
      <c r="BOT107" s="769"/>
      <c r="BOU107" s="769"/>
      <c r="BOV107" s="769"/>
      <c r="BOW107" s="769"/>
      <c r="BOX107" s="769"/>
      <c r="BOY107" s="769"/>
      <c r="BOZ107" s="769"/>
      <c r="BPA107" s="769"/>
      <c r="BPB107" s="769"/>
      <c r="BPC107" s="769"/>
      <c r="BPD107" s="769"/>
      <c r="BPE107" s="769"/>
      <c r="BPF107" s="769"/>
      <c r="BPG107" s="769"/>
      <c r="BPH107" s="769"/>
      <c r="BPI107" s="769"/>
      <c r="BPJ107" s="769"/>
      <c r="BPK107" s="769"/>
      <c r="BPL107" s="769"/>
      <c r="BPM107" s="769"/>
      <c r="BPN107" s="769"/>
      <c r="BPO107" s="769"/>
      <c r="BPP107" s="769"/>
      <c r="BPQ107" s="769"/>
      <c r="BPR107" s="769"/>
      <c r="BPS107" s="769"/>
      <c r="BPT107" s="769"/>
      <c r="BPU107" s="769"/>
      <c r="BPV107" s="769"/>
      <c r="BPW107" s="769"/>
      <c r="BPX107" s="769"/>
      <c r="BPY107" s="769"/>
      <c r="BPZ107" s="769"/>
      <c r="BQA107" s="769"/>
      <c r="BQB107" s="769"/>
      <c r="BQC107" s="769"/>
      <c r="BQD107" s="769"/>
      <c r="BQE107" s="769"/>
      <c r="BQF107" s="769"/>
      <c r="BQG107" s="769"/>
      <c r="BQH107" s="769"/>
      <c r="BQI107" s="769"/>
      <c r="BQJ107" s="769"/>
      <c r="BQK107" s="769"/>
      <c r="BQL107" s="769"/>
      <c r="BQM107" s="769"/>
      <c r="BQN107" s="769"/>
      <c r="BQO107" s="769"/>
      <c r="BQP107" s="769"/>
      <c r="BQQ107" s="769"/>
      <c r="BQR107" s="769"/>
      <c r="BQS107" s="769"/>
      <c r="BQT107" s="769"/>
      <c r="BQU107" s="769"/>
      <c r="BQV107" s="769"/>
      <c r="BQW107" s="769"/>
      <c r="BQX107" s="769"/>
      <c r="BQY107" s="769"/>
      <c r="BQZ107" s="769"/>
      <c r="BRA107" s="769"/>
      <c r="BRB107" s="769"/>
      <c r="BRC107" s="769"/>
      <c r="BRD107" s="769"/>
      <c r="BRE107" s="769"/>
      <c r="BRF107" s="769"/>
      <c r="BRG107" s="769"/>
      <c r="BRH107" s="769"/>
      <c r="BRI107" s="769"/>
      <c r="BRJ107" s="769"/>
      <c r="BRK107" s="769"/>
      <c r="BRL107" s="769"/>
      <c r="BRM107" s="769"/>
      <c r="BRN107" s="769"/>
      <c r="BRO107" s="769"/>
      <c r="BRP107" s="769"/>
      <c r="BRQ107" s="769"/>
      <c r="BRR107" s="769"/>
      <c r="BRS107" s="769"/>
      <c r="BRT107" s="769"/>
      <c r="BRU107" s="769"/>
      <c r="BRV107" s="769"/>
      <c r="BRW107" s="769"/>
      <c r="BRX107" s="769"/>
      <c r="BRY107" s="769"/>
      <c r="BRZ107" s="769"/>
      <c r="BSA107" s="769"/>
      <c r="BSB107" s="769"/>
      <c r="BSC107" s="769"/>
      <c r="BSD107" s="769"/>
      <c r="BSE107" s="769"/>
      <c r="BSF107" s="769"/>
      <c r="BSG107" s="769"/>
      <c r="BSH107" s="769"/>
      <c r="BSI107" s="769"/>
      <c r="BSJ107" s="769"/>
      <c r="BSK107" s="769"/>
      <c r="BSL107" s="769"/>
      <c r="BSM107" s="769"/>
      <c r="BSN107" s="769"/>
      <c r="BSO107" s="769"/>
      <c r="BSP107" s="769"/>
      <c r="BSQ107" s="769"/>
      <c r="BSR107" s="769"/>
      <c r="BSS107" s="769"/>
      <c r="BST107" s="769"/>
      <c r="BSU107" s="769"/>
      <c r="BSV107" s="769"/>
      <c r="BSW107" s="769"/>
      <c r="BSX107" s="769"/>
      <c r="BSY107" s="769"/>
      <c r="BSZ107" s="769"/>
      <c r="BTA107" s="769"/>
      <c r="BTB107" s="769"/>
      <c r="BTC107" s="769"/>
      <c r="BTD107" s="769"/>
      <c r="BTE107" s="769"/>
      <c r="BTF107" s="769"/>
      <c r="BTG107" s="769"/>
      <c r="BTH107" s="769"/>
      <c r="BTI107" s="769"/>
      <c r="BTJ107" s="769"/>
      <c r="BTK107" s="769"/>
      <c r="BTL107" s="769"/>
      <c r="BTM107" s="769"/>
      <c r="BTN107" s="769"/>
      <c r="BTO107" s="769"/>
      <c r="BTP107" s="769"/>
      <c r="BTQ107" s="769"/>
      <c r="BTR107" s="769"/>
      <c r="BTS107" s="769"/>
      <c r="BTT107" s="769"/>
      <c r="BTU107" s="769"/>
      <c r="BTV107" s="769"/>
      <c r="BTW107" s="769"/>
      <c r="BTX107" s="769"/>
      <c r="BTY107" s="769"/>
      <c r="BTZ107" s="769"/>
      <c r="BUA107" s="769"/>
      <c r="BUB107" s="769"/>
      <c r="BUC107" s="769"/>
      <c r="BUD107" s="769"/>
      <c r="BUE107" s="769"/>
      <c r="BUF107" s="769"/>
      <c r="BUG107" s="769"/>
      <c r="BUH107" s="769"/>
      <c r="BUI107" s="769"/>
      <c r="BUJ107" s="769"/>
      <c r="BUK107" s="769"/>
      <c r="BUL107" s="769"/>
      <c r="BUM107" s="769"/>
      <c r="BUN107" s="769"/>
      <c r="BUO107" s="769"/>
      <c r="BUP107" s="769"/>
      <c r="BUQ107" s="769"/>
      <c r="BUR107" s="769"/>
      <c r="BUS107" s="769"/>
      <c r="BUT107" s="769"/>
      <c r="BUU107" s="769"/>
      <c r="BUV107" s="769"/>
      <c r="BUW107" s="769"/>
      <c r="BUX107" s="769"/>
      <c r="BUY107" s="769"/>
      <c r="BUZ107" s="769"/>
      <c r="BVA107" s="769"/>
      <c r="BVB107" s="769"/>
      <c r="BVC107" s="769"/>
      <c r="BVD107" s="769"/>
      <c r="BVE107" s="769"/>
      <c r="BVF107" s="769"/>
      <c r="BVG107" s="769"/>
      <c r="BVH107" s="769"/>
      <c r="BVI107" s="769"/>
      <c r="BVJ107" s="769"/>
      <c r="BVK107" s="769"/>
      <c r="BVL107" s="769"/>
      <c r="BVM107" s="769"/>
      <c r="BVN107" s="769"/>
      <c r="BVO107" s="769"/>
      <c r="BVP107" s="769"/>
      <c r="BVQ107" s="769"/>
      <c r="BVR107" s="769"/>
      <c r="BVS107" s="769"/>
      <c r="BVT107" s="769"/>
      <c r="BVU107" s="769"/>
      <c r="BVV107" s="769"/>
      <c r="BVW107" s="769"/>
      <c r="BVX107" s="769"/>
      <c r="BVY107" s="769"/>
      <c r="BVZ107" s="769"/>
      <c r="BWA107" s="769"/>
      <c r="BWB107" s="769"/>
      <c r="BWC107" s="769"/>
      <c r="BWD107" s="769"/>
      <c r="BWE107" s="769"/>
      <c r="BWF107" s="769"/>
      <c r="BWG107" s="769"/>
      <c r="BWH107" s="769"/>
      <c r="BWI107" s="769"/>
      <c r="BWJ107" s="769"/>
      <c r="BWK107" s="769"/>
      <c r="BWL107" s="769"/>
      <c r="BWM107" s="769"/>
      <c r="BWN107" s="769"/>
      <c r="BWO107" s="769"/>
      <c r="BWP107" s="769"/>
      <c r="BWQ107" s="769"/>
      <c r="BWR107" s="769"/>
      <c r="BWS107" s="769"/>
      <c r="BWT107" s="769"/>
      <c r="BWU107" s="769"/>
      <c r="BWV107" s="769"/>
      <c r="BWW107" s="769"/>
      <c r="BWX107" s="769"/>
      <c r="BWY107" s="769"/>
      <c r="BWZ107" s="769"/>
      <c r="BXA107" s="769"/>
      <c r="BXB107" s="769"/>
      <c r="BXC107" s="769"/>
      <c r="BXD107" s="769"/>
      <c r="BXE107" s="769"/>
      <c r="BXF107" s="769"/>
      <c r="BXG107" s="769"/>
      <c r="BXH107" s="769"/>
      <c r="BXI107" s="769"/>
      <c r="BXJ107" s="769"/>
      <c r="BXK107" s="769"/>
      <c r="BXL107" s="769"/>
      <c r="BXM107" s="769"/>
      <c r="BXN107" s="769"/>
      <c r="BXO107" s="769"/>
      <c r="BXP107" s="769"/>
      <c r="BXQ107" s="769"/>
      <c r="BXR107" s="769"/>
      <c r="BXS107" s="769"/>
      <c r="BXT107" s="769"/>
      <c r="BXU107" s="769"/>
      <c r="BXV107" s="769"/>
      <c r="BXW107" s="769"/>
      <c r="BXX107" s="769"/>
      <c r="BXY107" s="769"/>
      <c r="BXZ107" s="769"/>
      <c r="BYA107" s="769"/>
      <c r="BYB107" s="769"/>
      <c r="BYC107" s="769"/>
      <c r="BYD107" s="769"/>
      <c r="BYE107" s="769"/>
      <c r="BYF107" s="769"/>
      <c r="BYG107" s="769"/>
      <c r="BYH107" s="769"/>
      <c r="BYI107" s="769"/>
      <c r="BYJ107" s="769"/>
      <c r="BYK107" s="769"/>
      <c r="BYL107" s="769"/>
      <c r="BYM107" s="769"/>
      <c r="BYN107" s="769"/>
      <c r="BYO107" s="769"/>
      <c r="BYP107" s="769"/>
      <c r="BYQ107" s="769"/>
      <c r="BYR107" s="769"/>
      <c r="BYS107" s="769"/>
      <c r="BYT107" s="769"/>
      <c r="BYU107" s="769"/>
      <c r="BYV107" s="769"/>
      <c r="BYW107" s="769"/>
      <c r="BYX107" s="769"/>
      <c r="BYY107" s="769"/>
      <c r="BYZ107" s="769"/>
      <c r="BZA107" s="769"/>
      <c r="BZB107" s="769"/>
      <c r="BZC107" s="769"/>
      <c r="BZD107" s="769"/>
      <c r="BZE107" s="769"/>
      <c r="BZF107" s="769"/>
      <c r="BZG107" s="769"/>
      <c r="BZH107" s="769"/>
      <c r="BZI107" s="769"/>
      <c r="BZJ107" s="769"/>
      <c r="BZK107" s="769"/>
      <c r="BZL107" s="769"/>
      <c r="BZM107" s="769"/>
      <c r="BZN107" s="769"/>
      <c r="BZO107" s="769"/>
      <c r="BZP107" s="769"/>
      <c r="BZQ107" s="769"/>
      <c r="BZR107" s="769"/>
      <c r="BZS107" s="769"/>
      <c r="BZT107" s="769"/>
      <c r="BZU107" s="769"/>
      <c r="BZV107" s="769"/>
      <c r="BZW107" s="769"/>
      <c r="BZX107" s="769"/>
      <c r="BZY107" s="769"/>
      <c r="BZZ107" s="769"/>
      <c r="CAA107" s="769"/>
      <c r="CAB107" s="769"/>
      <c r="CAC107" s="769"/>
      <c r="CAD107" s="769"/>
      <c r="CAE107" s="769"/>
      <c r="CAF107" s="769"/>
      <c r="CAG107" s="769"/>
      <c r="CAH107" s="769"/>
      <c r="CAI107" s="769"/>
      <c r="CAJ107" s="769"/>
      <c r="CAK107" s="769"/>
      <c r="CAL107" s="769"/>
      <c r="CAM107" s="769"/>
      <c r="CAN107" s="769"/>
      <c r="CAO107" s="769"/>
      <c r="CAP107" s="769"/>
      <c r="CAQ107" s="769"/>
      <c r="CAR107" s="769"/>
      <c r="CAS107" s="769"/>
      <c r="CAT107" s="769"/>
      <c r="CAU107" s="769"/>
      <c r="CAV107" s="769"/>
      <c r="CAW107" s="769"/>
      <c r="CAX107" s="769"/>
      <c r="CAY107" s="769"/>
      <c r="CAZ107" s="769"/>
      <c r="CBA107" s="769"/>
      <c r="CBB107" s="769"/>
      <c r="CBC107" s="769"/>
      <c r="CBD107" s="769"/>
      <c r="CBE107" s="769"/>
      <c r="CBF107" s="769"/>
      <c r="CBG107" s="769"/>
      <c r="CBH107" s="769"/>
      <c r="CBI107" s="769"/>
      <c r="CBJ107" s="769"/>
      <c r="CBK107" s="769"/>
      <c r="CBL107" s="769"/>
      <c r="CBM107" s="769"/>
      <c r="CBN107" s="769"/>
      <c r="CBO107" s="769"/>
      <c r="CBP107" s="769"/>
      <c r="CBQ107" s="769"/>
      <c r="CBR107" s="769"/>
      <c r="CBS107" s="769"/>
      <c r="CBT107" s="769"/>
      <c r="CBU107" s="769"/>
      <c r="CBV107" s="769"/>
      <c r="CBW107" s="769"/>
      <c r="CBX107" s="769"/>
      <c r="CBY107" s="769"/>
      <c r="CBZ107" s="769"/>
      <c r="CCA107" s="769"/>
      <c r="CCB107" s="769"/>
      <c r="CCC107" s="769"/>
      <c r="CCD107" s="769"/>
      <c r="CCE107" s="769"/>
      <c r="CCF107" s="769"/>
      <c r="CCG107" s="769"/>
      <c r="CCH107" s="769"/>
      <c r="CCI107" s="769"/>
      <c r="CCJ107" s="769"/>
      <c r="CCK107" s="769"/>
      <c r="CCL107" s="769"/>
      <c r="CCM107" s="769"/>
      <c r="CCN107" s="769"/>
      <c r="CCO107" s="769"/>
      <c r="CCP107" s="769"/>
      <c r="CCQ107" s="769"/>
      <c r="CCR107" s="769"/>
      <c r="CCS107" s="769"/>
      <c r="CCT107" s="769"/>
      <c r="CCU107" s="769"/>
      <c r="CCV107" s="769"/>
      <c r="CCW107" s="769"/>
      <c r="CCX107" s="769"/>
      <c r="CCY107" s="769"/>
      <c r="CCZ107" s="769"/>
      <c r="CDA107" s="769"/>
      <c r="CDB107" s="769"/>
      <c r="CDC107" s="769"/>
      <c r="CDD107" s="769"/>
      <c r="CDE107" s="769"/>
      <c r="CDF107" s="769"/>
      <c r="CDG107" s="769"/>
      <c r="CDH107" s="769"/>
      <c r="CDI107" s="769"/>
      <c r="CDJ107" s="769"/>
      <c r="CDK107" s="769"/>
      <c r="CDL107" s="769"/>
      <c r="CDM107" s="769"/>
      <c r="CDN107" s="769"/>
      <c r="CDO107" s="769"/>
      <c r="CDP107" s="769"/>
      <c r="CDQ107" s="769"/>
      <c r="CDR107" s="769"/>
      <c r="CDS107" s="769"/>
      <c r="CDT107" s="769"/>
      <c r="CDU107" s="769"/>
      <c r="CDV107" s="769"/>
      <c r="CDW107" s="769"/>
      <c r="CDX107" s="769"/>
      <c r="CDY107" s="769"/>
      <c r="CDZ107" s="769"/>
      <c r="CEA107" s="769"/>
      <c r="CEB107" s="769"/>
      <c r="CEC107" s="769"/>
      <c r="CED107" s="769"/>
      <c r="CEE107" s="769"/>
      <c r="CEF107" s="769"/>
      <c r="CEG107" s="769"/>
      <c r="CEH107" s="769"/>
      <c r="CEI107" s="769"/>
      <c r="CEJ107" s="769"/>
      <c r="CEK107" s="769"/>
      <c r="CEL107" s="769"/>
      <c r="CEM107" s="769"/>
      <c r="CEN107" s="769"/>
      <c r="CEO107" s="769"/>
      <c r="CEP107" s="769"/>
      <c r="CEQ107" s="769"/>
      <c r="CER107" s="769"/>
      <c r="CES107" s="769"/>
      <c r="CET107" s="769"/>
      <c r="CEU107" s="769"/>
      <c r="CEV107" s="769"/>
      <c r="CEW107" s="769"/>
      <c r="CEX107" s="769"/>
      <c r="CEY107" s="769"/>
      <c r="CEZ107" s="769"/>
      <c r="CFA107" s="769"/>
      <c r="CFB107" s="769"/>
      <c r="CFC107" s="769"/>
      <c r="CFD107" s="769"/>
      <c r="CFE107" s="769"/>
      <c r="CFF107" s="769"/>
      <c r="CFG107" s="769"/>
      <c r="CFH107" s="769"/>
      <c r="CFI107" s="769"/>
      <c r="CFJ107" s="769"/>
      <c r="CFK107" s="769"/>
      <c r="CFL107" s="769"/>
      <c r="CFM107" s="769"/>
      <c r="CFN107" s="769"/>
      <c r="CFO107" s="769"/>
      <c r="CFP107" s="769"/>
      <c r="CFQ107" s="769"/>
      <c r="CFR107" s="769"/>
      <c r="CFS107" s="769"/>
      <c r="CFT107" s="769"/>
      <c r="CFU107" s="769"/>
      <c r="CFV107" s="769"/>
      <c r="CFW107" s="769"/>
      <c r="CFX107" s="769"/>
      <c r="CFY107" s="769"/>
      <c r="CFZ107" s="769"/>
      <c r="CGA107" s="769"/>
      <c r="CGB107" s="769"/>
      <c r="CGC107" s="769"/>
      <c r="CGD107" s="769"/>
      <c r="CGE107" s="769"/>
      <c r="CGF107" s="769"/>
      <c r="CGG107" s="769"/>
      <c r="CGH107" s="769"/>
      <c r="CGI107" s="769"/>
      <c r="CGJ107" s="769"/>
      <c r="CGK107" s="769"/>
      <c r="CGL107" s="769"/>
      <c r="CGM107" s="769"/>
      <c r="CGN107" s="769"/>
      <c r="CGO107" s="769"/>
      <c r="CGP107" s="769"/>
      <c r="CGQ107" s="769"/>
      <c r="CGR107" s="769"/>
      <c r="CGS107" s="769"/>
      <c r="CGT107" s="769"/>
      <c r="CGU107" s="769"/>
      <c r="CGV107" s="769"/>
      <c r="CGW107" s="769"/>
      <c r="CGX107" s="769"/>
      <c r="CGY107" s="769"/>
      <c r="CGZ107" s="769"/>
      <c r="CHA107" s="769"/>
      <c r="CHB107" s="769"/>
      <c r="CHC107" s="769"/>
      <c r="CHD107" s="769"/>
      <c r="CHE107" s="769"/>
      <c r="CHF107" s="769"/>
      <c r="CHG107" s="769"/>
      <c r="CHH107" s="769"/>
      <c r="CHI107" s="769"/>
      <c r="CHJ107" s="769"/>
      <c r="CHK107" s="769"/>
      <c r="CHL107" s="769"/>
      <c r="CHM107" s="769"/>
      <c r="CHN107" s="769"/>
      <c r="CHO107" s="769"/>
      <c r="CHP107" s="769"/>
      <c r="CHQ107" s="769"/>
      <c r="CHR107" s="769"/>
      <c r="CHS107" s="769"/>
      <c r="CHT107" s="769"/>
      <c r="CHU107" s="769"/>
      <c r="CHV107" s="769"/>
      <c r="CHW107" s="769"/>
      <c r="CHX107" s="769"/>
      <c r="CHY107" s="769"/>
      <c r="CHZ107" s="769"/>
      <c r="CIA107" s="769"/>
      <c r="CIB107" s="769"/>
      <c r="CIC107" s="769"/>
      <c r="CID107" s="769"/>
      <c r="CIE107" s="769"/>
      <c r="CIF107" s="769"/>
      <c r="CIG107" s="769"/>
      <c r="CIH107" s="769"/>
      <c r="CII107" s="769"/>
      <c r="CIJ107" s="769"/>
      <c r="CIK107" s="769"/>
      <c r="CIL107" s="769"/>
      <c r="CIM107" s="769"/>
      <c r="CIN107" s="769"/>
      <c r="CIO107" s="769"/>
      <c r="CIP107" s="769"/>
      <c r="CIQ107" s="769"/>
      <c r="CIR107" s="769"/>
      <c r="CIS107" s="769"/>
      <c r="CIT107" s="769"/>
      <c r="CIU107" s="769"/>
      <c r="CIV107" s="769"/>
      <c r="CIW107" s="769"/>
      <c r="CIX107" s="769"/>
      <c r="CIY107" s="769"/>
      <c r="CIZ107" s="769"/>
      <c r="CJA107" s="769"/>
      <c r="CJB107" s="769"/>
      <c r="CJC107" s="769"/>
      <c r="CJD107" s="769"/>
      <c r="CJE107" s="769"/>
      <c r="CJF107" s="769"/>
      <c r="CJG107" s="769"/>
      <c r="CJH107" s="769"/>
      <c r="CJI107" s="769"/>
      <c r="CJJ107" s="769"/>
      <c r="CJK107" s="769"/>
      <c r="CJL107" s="769"/>
      <c r="CJM107" s="769"/>
      <c r="CJN107" s="769"/>
      <c r="CJO107" s="769"/>
      <c r="CJP107" s="769"/>
      <c r="CJQ107" s="769"/>
      <c r="CJR107" s="769"/>
      <c r="CJS107" s="769"/>
      <c r="CJT107" s="769"/>
      <c r="CJU107" s="769"/>
      <c r="CJV107" s="769"/>
      <c r="CJW107" s="769"/>
      <c r="CJX107" s="769"/>
      <c r="CJY107" s="769"/>
      <c r="CJZ107" s="769"/>
      <c r="CKA107" s="769"/>
      <c r="CKB107" s="769"/>
      <c r="CKC107" s="769"/>
      <c r="CKD107" s="769"/>
      <c r="CKE107" s="769"/>
      <c r="CKF107" s="769"/>
      <c r="CKG107" s="769"/>
      <c r="CKH107" s="769"/>
      <c r="CKI107" s="769"/>
      <c r="CKJ107" s="769"/>
      <c r="CKK107" s="769"/>
      <c r="CKL107" s="769"/>
      <c r="CKM107" s="769"/>
      <c r="CKN107" s="769"/>
      <c r="CKO107" s="769"/>
      <c r="CKP107" s="769"/>
      <c r="CKQ107" s="769"/>
      <c r="CKR107" s="769"/>
      <c r="CKS107" s="769"/>
      <c r="CKT107" s="769"/>
      <c r="CKU107" s="769"/>
      <c r="CKV107" s="769"/>
      <c r="CKW107" s="769"/>
      <c r="CKX107" s="769"/>
      <c r="CKY107" s="769"/>
      <c r="CKZ107" s="769"/>
      <c r="CLA107" s="769"/>
      <c r="CLB107" s="769"/>
      <c r="CLC107" s="769"/>
      <c r="CLD107" s="769"/>
      <c r="CLE107" s="769"/>
      <c r="CLF107" s="769"/>
      <c r="CLG107" s="769"/>
      <c r="CLH107" s="769"/>
      <c r="CLI107" s="769"/>
      <c r="CLJ107" s="769"/>
      <c r="CLK107" s="769"/>
      <c r="CLL107" s="769"/>
      <c r="CLM107" s="769"/>
      <c r="CLN107" s="769"/>
      <c r="CLO107" s="769"/>
      <c r="CLP107" s="769"/>
      <c r="CLQ107" s="769"/>
      <c r="CLR107" s="769"/>
      <c r="CLS107" s="769"/>
      <c r="CLT107" s="769"/>
      <c r="CLU107" s="769"/>
      <c r="CLV107" s="769"/>
      <c r="CLW107" s="769"/>
      <c r="CLX107" s="769"/>
      <c r="CLY107" s="769"/>
      <c r="CLZ107" s="769"/>
      <c r="CMA107" s="769"/>
      <c r="CMB107" s="769"/>
      <c r="CMC107" s="769"/>
      <c r="CMD107" s="769"/>
      <c r="CME107" s="769"/>
      <c r="CMF107" s="769"/>
      <c r="CMG107" s="769"/>
      <c r="CMH107" s="769"/>
      <c r="CMI107" s="769"/>
      <c r="CMJ107" s="769"/>
      <c r="CMK107" s="769"/>
      <c r="CML107" s="769"/>
      <c r="CMM107" s="769"/>
      <c r="CMN107" s="769"/>
      <c r="CMO107" s="769"/>
      <c r="CMP107" s="769"/>
      <c r="CMQ107" s="769"/>
      <c r="CMR107" s="769"/>
      <c r="CMS107" s="769"/>
      <c r="CMT107" s="769"/>
      <c r="CMU107" s="769"/>
      <c r="CMV107" s="769"/>
      <c r="CMW107" s="769"/>
      <c r="CMX107" s="769"/>
      <c r="CMY107" s="769"/>
      <c r="CMZ107" s="769"/>
      <c r="CNA107" s="769"/>
      <c r="CNB107" s="769"/>
      <c r="CNC107" s="769"/>
      <c r="CND107" s="769"/>
      <c r="CNE107" s="769"/>
      <c r="CNF107" s="769"/>
      <c r="CNG107" s="769"/>
      <c r="CNH107" s="769"/>
      <c r="CNI107" s="769"/>
      <c r="CNJ107" s="769"/>
      <c r="CNK107" s="769"/>
      <c r="CNL107" s="769"/>
      <c r="CNM107" s="769"/>
      <c r="CNN107" s="769"/>
      <c r="CNO107" s="769"/>
      <c r="CNP107" s="769"/>
      <c r="CNQ107" s="769"/>
      <c r="CNR107" s="769"/>
      <c r="CNS107" s="769"/>
      <c r="CNT107" s="769"/>
      <c r="CNU107" s="769"/>
      <c r="CNV107" s="769"/>
      <c r="CNW107" s="769"/>
      <c r="CNX107" s="769"/>
      <c r="CNY107" s="769"/>
      <c r="CNZ107" s="769"/>
      <c r="COA107" s="769"/>
      <c r="COB107" s="769"/>
      <c r="COC107" s="769"/>
      <c r="COD107" s="769"/>
      <c r="COE107" s="769"/>
      <c r="COF107" s="769"/>
      <c r="COG107" s="769"/>
      <c r="COH107" s="769"/>
      <c r="COI107" s="769"/>
      <c r="COJ107" s="769"/>
      <c r="COK107" s="769"/>
      <c r="COL107" s="769"/>
      <c r="COM107" s="769"/>
      <c r="CON107" s="769"/>
      <c r="COO107" s="769"/>
      <c r="COP107" s="769"/>
      <c r="COQ107" s="769"/>
      <c r="COR107" s="769"/>
      <c r="COS107" s="769"/>
      <c r="COT107" s="769"/>
      <c r="COU107" s="769"/>
      <c r="COV107" s="769"/>
      <c r="COW107" s="769"/>
      <c r="COX107" s="769"/>
      <c r="COY107" s="769"/>
      <c r="COZ107" s="769"/>
      <c r="CPA107" s="769"/>
      <c r="CPB107" s="769"/>
      <c r="CPC107" s="769"/>
      <c r="CPD107" s="769"/>
      <c r="CPE107" s="769"/>
      <c r="CPF107" s="769"/>
      <c r="CPG107" s="769"/>
      <c r="CPH107" s="769"/>
      <c r="CPI107" s="769"/>
      <c r="CPJ107" s="769"/>
      <c r="CPK107" s="769"/>
      <c r="CPL107" s="769"/>
      <c r="CPM107" s="769"/>
      <c r="CPN107" s="769"/>
      <c r="CPO107" s="769"/>
      <c r="CPP107" s="769"/>
      <c r="CPQ107" s="769"/>
      <c r="CPR107" s="769"/>
      <c r="CPS107" s="769"/>
      <c r="CPT107" s="769"/>
      <c r="CPU107" s="769"/>
      <c r="CPV107" s="769"/>
      <c r="CPW107" s="769"/>
      <c r="CPX107" s="769"/>
      <c r="CPY107" s="769"/>
      <c r="CPZ107" s="769"/>
      <c r="CQA107" s="769"/>
      <c r="CQB107" s="769"/>
      <c r="CQC107" s="769"/>
      <c r="CQD107" s="769"/>
      <c r="CQE107" s="769"/>
      <c r="CQF107" s="769"/>
      <c r="CQG107" s="769"/>
      <c r="CQH107" s="769"/>
      <c r="CQI107" s="769"/>
      <c r="CQJ107" s="769"/>
      <c r="CQK107" s="769"/>
      <c r="CQL107" s="769"/>
      <c r="CQM107" s="769"/>
      <c r="CQN107" s="769"/>
      <c r="CQO107" s="769"/>
      <c r="CQP107" s="769"/>
      <c r="CQQ107" s="769"/>
      <c r="CQR107" s="769"/>
      <c r="CQS107" s="769"/>
      <c r="CQT107" s="769"/>
      <c r="CQU107" s="769"/>
      <c r="CQV107" s="769"/>
      <c r="CQW107" s="769"/>
      <c r="CQX107" s="769"/>
      <c r="CQY107" s="769"/>
      <c r="CQZ107" s="769"/>
      <c r="CRA107" s="769"/>
      <c r="CRB107" s="769"/>
      <c r="CRC107" s="769"/>
      <c r="CRD107" s="769"/>
      <c r="CRE107" s="769"/>
      <c r="CRF107" s="769"/>
      <c r="CRG107" s="769"/>
      <c r="CRH107" s="769"/>
      <c r="CRI107" s="769"/>
      <c r="CRJ107" s="769"/>
      <c r="CRK107" s="769"/>
      <c r="CRL107" s="769"/>
      <c r="CRM107" s="769"/>
      <c r="CRN107" s="769"/>
      <c r="CRO107" s="769"/>
      <c r="CRP107" s="769"/>
      <c r="CRQ107" s="769"/>
      <c r="CRR107" s="769"/>
      <c r="CRS107" s="769"/>
      <c r="CRT107" s="769"/>
      <c r="CRU107" s="769"/>
      <c r="CRV107" s="769"/>
      <c r="CRW107" s="769"/>
      <c r="CRX107" s="769"/>
      <c r="CRY107" s="769"/>
      <c r="CRZ107" s="769"/>
      <c r="CSA107" s="769"/>
      <c r="CSB107" s="769"/>
      <c r="CSC107" s="769"/>
      <c r="CSD107" s="769"/>
      <c r="CSE107" s="769"/>
      <c r="CSF107" s="769"/>
      <c r="CSG107" s="769"/>
      <c r="CSH107" s="769"/>
      <c r="CSI107" s="769"/>
      <c r="CSJ107" s="769"/>
      <c r="CSK107" s="769"/>
      <c r="CSL107" s="769"/>
      <c r="CSM107" s="769"/>
      <c r="CSN107" s="769"/>
      <c r="CSO107" s="769"/>
      <c r="CSP107" s="769"/>
      <c r="CSQ107" s="769"/>
      <c r="CSR107" s="769"/>
      <c r="CSS107" s="769"/>
      <c r="CST107" s="769"/>
      <c r="CSU107" s="769"/>
      <c r="CSV107" s="769"/>
      <c r="CSW107" s="769"/>
      <c r="CSX107" s="769"/>
      <c r="CSY107" s="769"/>
      <c r="CSZ107" s="769"/>
      <c r="CTA107" s="769"/>
      <c r="CTB107" s="769"/>
      <c r="CTC107" s="769"/>
      <c r="CTD107" s="769"/>
      <c r="CTE107" s="769"/>
      <c r="CTF107" s="769"/>
      <c r="CTG107" s="769"/>
      <c r="CTH107" s="769"/>
      <c r="CTI107" s="769"/>
      <c r="CTJ107" s="769"/>
      <c r="CTK107" s="769"/>
      <c r="CTL107" s="769"/>
      <c r="CTM107" s="769"/>
      <c r="CTN107" s="769"/>
      <c r="CTO107" s="769"/>
      <c r="CTP107" s="769"/>
      <c r="CTQ107" s="769"/>
      <c r="CTR107" s="769"/>
      <c r="CTS107" s="769"/>
      <c r="CTT107" s="769"/>
      <c r="CTU107" s="769"/>
      <c r="CTV107" s="769"/>
      <c r="CTW107" s="769"/>
      <c r="CTX107" s="769"/>
      <c r="CTY107" s="769"/>
      <c r="CTZ107" s="769"/>
      <c r="CUA107" s="769"/>
      <c r="CUB107" s="769"/>
      <c r="CUC107" s="769"/>
      <c r="CUD107" s="769"/>
      <c r="CUE107" s="769"/>
      <c r="CUF107" s="769"/>
      <c r="CUG107" s="769"/>
      <c r="CUH107" s="769"/>
      <c r="CUI107" s="769"/>
      <c r="CUJ107" s="769"/>
      <c r="CUK107" s="769"/>
      <c r="CUL107" s="769"/>
      <c r="CUM107" s="769"/>
      <c r="CUN107" s="769"/>
      <c r="CUO107" s="769"/>
      <c r="CUP107" s="769"/>
      <c r="CUQ107" s="769"/>
      <c r="CUR107" s="769"/>
      <c r="CUS107" s="769"/>
      <c r="CUT107" s="769"/>
      <c r="CUU107" s="769"/>
      <c r="CUV107" s="769"/>
      <c r="CUW107" s="769"/>
      <c r="CUX107" s="769"/>
      <c r="CUY107" s="769"/>
      <c r="CUZ107" s="769"/>
      <c r="CVA107" s="769"/>
      <c r="CVB107" s="769"/>
      <c r="CVC107" s="769"/>
      <c r="CVD107" s="769"/>
      <c r="CVE107" s="769"/>
      <c r="CVF107" s="769"/>
      <c r="CVG107" s="769"/>
      <c r="CVH107" s="769"/>
      <c r="CVI107" s="769"/>
      <c r="CVJ107" s="769"/>
      <c r="CVK107" s="769"/>
      <c r="CVL107" s="769"/>
      <c r="CVM107" s="769"/>
      <c r="CVN107" s="769"/>
      <c r="CVO107" s="769"/>
      <c r="CVP107" s="769"/>
      <c r="CVQ107" s="769"/>
      <c r="CVR107" s="769"/>
      <c r="CVS107" s="769"/>
      <c r="CVT107" s="769"/>
      <c r="CVU107" s="769"/>
      <c r="CVV107" s="769"/>
      <c r="CVW107" s="769"/>
      <c r="CVX107" s="769"/>
      <c r="CVY107" s="769"/>
      <c r="CVZ107" s="769"/>
      <c r="CWA107" s="769"/>
      <c r="CWB107" s="769"/>
      <c r="CWC107" s="769"/>
      <c r="CWD107" s="769"/>
      <c r="CWE107" s="769"/>
      <c r="CWF107" s="769"/>
      <c r="CWG107" s="769"/>
      <c r="CWH107" s="769"/>
      <c r="CWI107" s="769"/>
      <c r="CWJ107" s="769"/>
      <c r="CWK107" s="769"/>
      <c r="CWL107" s="769"/>
      <c r="CWM107" s="769"/>
      <c r="CWN107" s="769"/>
      <c r="CWO107" s="769"/>
      <c r="CWP107" s="769"/>
      <c r="CWQ107" s="769"/>
      <c r="CWR107" s="769"/>
      <c r="CWS107" s="769"/>
      <c r="CWT107" s="769"/>
      <c r="CWU107" s="769"/>
      <c r="CWV107" s="769"/>
      <c r="CWW107" s="769"/>
      <c r="CWX107" s="769"/>
      <c r="CWY107" s="769"/>
      <c r="CWZ107" s="769"/>
      <c r="CXA107" s="769"/>
      <c r="CXB107" s="769"/>
      <c r="CXC107" s="769"/>
      <c r="CXD107" s="769"/>
      <c r="CXE107" s="769"/>
      <c r="CXF107" s="769"/>
      <c r="CXG107" s="769"/>
      <c r="CXH107" s="769"/>
      <c r="CXI107" s="769"/>
      <c r="CXJ107" s="769"/>
      <c r="CXK107" s="769"/>
      <c r="CXL107" s="769"/>
      <c r="CXM107" s="769"/>
      <c r="CXN107" s="769"/>
      <c r="CXO107" s="769"/>
      <c r="CXP107" s="769"/>
      <c r="CXQ107" s="769"/>
      <c r="CXR107" s="769"/>
      <c r="CXS107" s="769"/>
      <c r="CXT107" s="769"/>
      <c r="CXU107" s="769"/>
      <c r="CXV107" s="769"/>
      <c r="CXW107" s="769"/>
      <c r="CXX107" s="769"/>
      <c r="CXY107" s="769"/>
      <c r="CXZ107" s="769"/>
      <c r="CYA107" s="769"/>
      <c r="CYB107" s="769"/>
      <c r="CYC107" s="769"/>
      <c r="CYD107" s="769"/>
      <c r="CYE107" s="769"/>
      <c r="CYF107" s="769"/>
      <c r="CYG107" s="769"/>
      <c r="CYH107" s="769"/>
      <c r="CYI107" s="769"/>
      <c r="CYJ107" s="769"/>
      <c r="CYK107" s="769"/>
      <c r="CYL107" s="769"/>
      <c r="CYM107" s="769"/>
      <c r="CYN107" s="769"/>
      <c r="CYO107" s="769"/>
      <c r="CYP107" s="769"/>
      <c r="CYQ107" s="769"/>
      <c r="CYR107" s="769"/>
      <c r="CYS107" s="769"/>
      <c r="CYT107" s="769"/>
      <c r="CYU107" s="769"/>
      <c r="CYV107" s="769"/>
      <c r="CYW107" s="769"/>
      <c r="CYX107" s="769"/>
      <c r="CYY107" s="769"/>
      <c r="CYZ107" s="769"/>
      <c r="CZA107" s="769"/>
      <c r="CZB107" s="769"/>
      <c r="CZC107" s="769"/>
      <c r="CZD107" s="769"/>
      <c r="CZE107" s="769"/>
      <c r="CZF107" s="769"/>
      <c r="CZG107" s="769"/>
      <c r="CZH107" s="769"/>
      <c r="CZI107" s="769"/>
      <c r="CZJ107" s="769"/>
      <c r="CZK107" s="769"/>
      <c r="CZL107" s="769"/>
      <c r="CZM107" s="769"/>
      <c r="CZN107" s="769"/>
      <c r="CZO107" s="769"/>
      <c r="CZP107" s="769"/>
      <c r="CZQ107" s="769"/>
      <c r="CZR107" s="769"/>
      <c r="CZS107" s="769"/>
      <c r="CZT107" s="769"/>
      <c r="CZU107" s="769"/>
      <c r="CZV107" s="769"/>
      <c r="CZW107" s="769"/>
      <c r="CZX107" s="769"/>
      <c r="CZY107" s="769"/>
      <c r="CZZ107" s="769"/>
      <c r="DAA107" s="769"/>
      <c r="DAB107" s="769"/>
      <c r="DAC107" s="769"/>
      <c r="DAD107" s="769"/>
      <c r="DAE107" s="769"/>
      <c r="DAF107" s="769"/>
      <c r="DAG107" s="769"/>
      <c r="DAH107" s="769"/>
      <c r="DAI107" s="769"/>
      <c r="DAJ107" s="769"/>
      <c r="DAK107" s="769"/>
      <c r="DAL107" s="769"/>
      <c r="DAM107" s="769"/>
      <c r="DAN107" s="769"/>
      <c r="DAO107" s="769"/>
      <c r="DAP107" s="769"/>
      <c r="DAQ107" s="769"/>
      <c r="DAR107" s="769"/>
      <c r="DAS107" s="769"/>
      <c r="DAT107" s="769"/>
      <c r="DAU107" s="769"/>
      <c r="DAV107" s="769"/>
      <c r="DAW107" s="769"/>
      <c r="DAX107" s="769"/>
      <c r="DAY107" s="769"/>
      <c r="DAZ107" s="769"/>
      <c r="DBA107" s="769"/>
      <c r="DBB107" s="769"/>
      <c r="DBC107" s="769"/>
      <c r="DBD107" s="769"/>
      <c r="DBE107" s="769"/>
      <c r="DBF107" s="769"/>
      <c r="DBG107" s="769"/>
      <c r="DBH107" s="769"/>
      <c r="DBI107" s="769"/>
      <c r="DBJ107" s="769"/>
      <c r="DBK107" s="769"/>
      <c r="DBL107" s="769"/>
      <c r="DBM107" s="769"/>
      <c r="DBN107" s="769"/>
      <c r="DBO107" s="769"/>
      <c r="DBP107" s="769"/>
      <c r="DBQ107" s="769"/>
      <c r="DBR107" s="769"/>
      <c r="DBS107" s="769"/>
      <c r="DBT107" s="769"/>
      <c r="DBU107" s="769"/>
      <c r="DBV107" s="769"/>
      <c r="DBW107" s="769"/>
      <c r="DBX107" s="769"/>
      <c r="DBY107" s="769"/>
      <c r="DBZ107" s="769"/>
      <c r="DCA107" s="769"/>
      <c r="DCB107" s="769"/>
      <c r="DCC107" s="769"/>
      <c r="DCD107" s="769"/>
      <c r="DCE107" s="769"/>
      <c r="DCF107" s="769"/>
      <c r="DCG107" s="769"/>
      <c r="DCH107" s="769"/>
      <c r="DCI107" s="769"/>
      <c r="DCJ107" s="769"/>
      <c r="DCK107" s="769"/>
      <c r="DCL107" s="769"/>
      <c r="DCM107" s="769"/>
      <c r="DCN107" s="769"/>
      <c r="DCO107" s="769"/>
      <c r="DCP107" s="769"/>
      <c r="DCQ107" s="769"/>
      <c r="DCR107" s="769"/>
      <c r="DCS107" s="769"/>
      <c r="DCT107" s="769"/>
      <c r="DCU107" s="769"/>
      <c r="DCV107" s="769"/>
      <c r="DCW107" s="769"/>
      <c r="DCX107" s="769"/>
      <c r="DCY107" s="769"/>
      <c r="DCZ107" s="769"/>
      <c r="DDA107" s="769"/>
      <c r="DDB107" s="769"/>
      <c r="DDC107" s="769"/>
      <c r="DDD107" s="769"/>
      <c r="DDE107" s="769"/>
      <c r="DDF107" s="769"/>
      <c r="DDG107" s="769"/>
      <c r="DDH107" s="769"/>
      <c r="DDI107" s="769"/>
      <c r="DDJ107" s="769"/>
      <c r="DDK107" s="769"/>
      <c r="DDL107" s="769"/>
      <c r="DDM107" s="769"/>
      <c r="DDN107" s="769"/>
      <c r="DDO107" s="769"/>
      <c r="DDP107" s="769"/>
      <c r="DDQ107" s="769"/>
      <c r="DDR107" s="769"/>
      <c r="DDS107" s="769"/>
      <c r="DDT107" s="769"/>
      <c r="DDU107" s="769"/>
      <c r="DDV107" s="769"/>
      <c r="DDW107" s="769"/>
      <c r="DDX107" s="769"/>
      <c r="DDY107" s="769"/>
      <c r="DDZ107" s="769"/>
      <c r="DEA107" s="769"/>
      <c r="DEB107" s="769"/>
      <c r="DEC107" s="769"/>
      <c r="DED107" s="769"/>
      <c r="DEE107" s="769"/>
      <c r="DEF107" s="769"/>
      <c r="DEG107" s="769"/>
      <c r="DEH107" s="769"/>
      <c r="DEI107" s="769"/>
      <c r="DEJ107" s="769"/>
      <c r="DEK107" s="769"/>
      <c r="DEL107" s="769"/>
      <c r="DEM107" s="769"/>
      <c r="DEN107" s="769"/>
      <c r="DEO107" s="769"/>
      <c r="DEP107" s="769"/>
      <c r="DEQ107" s="769"/>
      <c r="DER107" s="769"/>
      <c r="DES107" s="769"/>
      <c r="DET107" s="769"/>
      <c r="DEU107" s="769"/>
      <c r="DEV107" s="769"/>
      <c r="DEW107" s="769"/>
      <c r="DEX107" s="769"/>
      <c r="DEY107" s="769"/>
      <c r="DEZ107" s="769"/>
      <c r="DFA107" s="769"/>
      <c r="DFB107" s="769"/>
      <c r="DFC107" s="769"/>
      <c r="DFD107" s="769"/>
      <c r="DFE107" s="769"/>
      <c r="DFF107" s="769"/>
      <c r="DFG107" s="769"/>
      <c r="DFH107" s="769"/>
      <c r="DFI107" s="769"/>
      <c r="DFJ107" s="769"/>
      <c r="DFK107" s="769"/>
      <c r="DFL107" s="769"/>
      <c r="DFM107" s="769"/>
      <c r="DFN107" s="769"/>
      <c r="DFO107" s="769"/>
      <c r="DFP107" s="769"/>
      <c r="DFQ107" s="769"/>
      <c r="DFR107" s="769"/>
      <c r="DFS107" s="769"/>
      <c r="DFT107" s="769"/>
      <c r="DFU107" s="769"/>
      <c r="DFV107" s="769"/>
      <c r="DFW107" s="769"/>
      <c r="DFX107" s="769"/>
      <c r="DFY107" s="769"/>
      <c r="DFZ107" s="769"/>
      <c r="DGA107" s="769"/>
      <c r="DGB107" s="769"/>
      <c r="DGC107" s="769"/>
      <c r="DGD107" s="769"/>
      <c r="DGE107" s="769"/>
      <c r="DGF107" s="769"/>
      <c r="DGG107" s="769"/>
      <c r="DGH107" s="769"/>
      <c r="DGI107" s="769"/>
      <c r="DGJ107" s="769"/>
      <c r="DGK107" s="769"/>
      <c r="DGL107" s="769"/>
      <c r="DGM107" s="769"/>
      <c r="DGN107" s="769"/>
      <c r="DGO107" s="769"/>
      <c r="DGP107" s="769"/>
      <c r="DGQ107" s="769"/>
      <c r="DGR107" s="769"/>
      <c r="DGS107" s="769"/>
      <c r="DGT107" s="769"/>
      <c r="DGU107" s="769"/>
      <c r="DGV107" s="769"/>
      <c r="DGW107" s="769"/>
      <c r="DGX107" s="769"/>
      <c r="DGY107" s="769"/>
      <c r="DGZ107" s="769"/>
      <c r="DHA107" s="769"/>
      <c r="DHB107" s="769"/>
      <c r="DHC107" s="769"/>
      <c r="DHD107" s="769"/>
      <c r="DHE107" s="769"/>
      <c r="DHF107" s="769"/>
      <c r="DHG107" s="769"/>
      <c r="DHH107" s="769"/>
      <c r="DHI107" s="769"/>
      <c r="DHJ107" s="769"/>
      <c r="DHK107" s="769"/>
      <c r="DHL107" s="769"/>
      <c r="DHM107" s="769"/>
      <c r="DHN107" s="769"/>
      <c r="DHO107" s="769"/>
      <c r="DHP107" s="769"/>
      <c r="DHQ107" s="769"/>
      <c r="DHR107" s="769"/>
      <c r="DHS107" s="769"/>
      <c r="DHT107" s="769"/>
      <c r="DHU107" s="769"/>
      <c r="DHV107" s="769"/>
      <c r="DHW107" s="769"/>
      <c r="DHX107" s="769"/>
      <c r="DHY107" s="769"/>
      <c r="DHZ107" s="769"/>
      <c r="DIA107" s="769"/>
      <c r="DIB107" s="769"/>
      <c r="DIC107" s="769"/>
      <c r="DID107" s="769"/>
      <c r="DIE107" s="769"/>
      <c r="DIF107" s="769"/>
      <c r="DIG107" s="769"/>
      <c r="DIH107" s="769"/>
      <c r="DII107" s="769"/>
      <c r="DIJ107" s="769"/>
      <c r="DIK107" s="769"/>
      <c r="DIL107" s="769"/>
      <c r="DIM107" s="769"/>
      <c r="DIN107" s="769"/>
      <c r="DIO107" s="769"/>
      <c r="DIP107" s="769"/>
      <c r="DIQ107" s="769"/>
      <c r="DIR107" s="769"/>
      <c r="DIS107" s="769"/>
      <c r="DIT107" s="769"/>
      <c r="DIU107" s="769"/>
      <c r="DIV107" s="769"/>
      <c r="DIW107" s="769"/>
      <c r="DIX107" s="769"/>
      <c r="DIY107" s="769"/>
      <c r="DIZ107" s="769"/>
      <c r="DJA107" s="769"/>
      <c r="DJB107" s="769"/>
      <c r="DJC107" s="769"/>
      <c r="DJD107" s="769"/>
      <c r="DJE107" s="769"/>
      <c r="DJF107" s="769"/>
      <c r="DJG107" s="769"/>
      <c r="DJH107" s="769"/>
      <c r="DJI107" s="769"/>
      <c r="DJJ107" s="769"/>
      <c r="DJK107" s="769"/>
      <c r="DJL107" s="769"/>
      <c r="DJM107" s="769"/>
      <c r="DJN107" s="769"/>
      <c r="DJO107" s="769"/>
      <c r="DJP107" s="769"/>
      <c r="DJQ107" s="769"/>
      <c r="DJR107" s="769"/>
      <c r="DJS107" s="769"/>
      <c r="DJT107" s="769"/>
      <c r="DJU107" s="769"/>
      <c r="DJV107" s="769"/>
      <c r="DJW107" s="769"/>
      <c r="DJX107" s="769"/>
      <c r="DJY107" s="769"/>
      <c r="DJZ107" s="769"/>
      <c r="DKA107" s="769"/>
      <c r="DKB107" s="769"/>
      <c r="DKC107" s="769"/>
      <c r="DKD107" s="769"/>
      <c r="DKE107" s="769"/>
      <c r="DKF107" s="769"/>
      <c r="DKG107" s="769"/>
      <c r="DKH107" s="769"/>
      <c r="DKI107" s="769"/>
      <c r="DKJ107" s="769"/>
      <c r="DKK107" s="769"/>
      <c r="DKL107" s="769"/>
      <c r="DKM107" s="769"/>
      <c r="DKN107" s="769"/>
      <c r="DKO107" s="769"/>
      <c r="DKP107" s="769"/>
      <c r="DKQ107" s="769"/>
      <c r="DKR107" s="769"/>
      <c r="DKS107" s="769"/>
      <c r="DKT107" s="769"/>
      <c r="DKU107" s="769"/>
      <c r="DKV107" s="769"/>
      <c r="DKW107" s="769"/>
      <c r="DKX107" s="769"/>
      <c r="DKY107" s="769"/>
      <c r="DKZ107" s="769"/>
      <c r="DLA107" s="769"/>
      <c r="DLB107" s="769"/>
      <c r="DLC107" s="769"/>
      <c r="DLD107" s="769"/>
      <c r="DLE107" s="769"/>
      <c r="DLF107" s="769"/>
      <c r="DLG107" s="769"/>
      <c r="DLH107" s="769"/>
      <c r="DLI107" s="769"/>
      <c r="DLJ107" s="769"/>
      <c r="DLK107" s="769"/>
      <c r="DLL107" s="769"/>
      <c r="DLM107" s="769"/>
      <c r="DLN107" s="769"/>
      <c r="DLO107" s="769"/>
      <c r="DLP107" s="769"/>
      <c r="DLQ107" s="769"/>
      <c r="DLR107" s="769"/>
      <c r="DLS107" s="769"/>
      <c r="DLT107" s="769"/>
      <c r="DLU107" s="769"/>
      <c r="DLV107" s="769"/>
      <c r="DLW107" s="769"/>
      <c r="DLX107" s="769"/>
      <c r="DLY107" s="769"/>
      <c r="DLZ107" s="769"/>
      <c r="DMA107" s="769"/>
      <c r="DMB107" s="769"/>
      <c r="DMC107" s="769"/>
      <c r="DMD107" s="769"/>
      <c r="DME107" s="769"/>
      <c r="DMF107" s="769"/>
      <c r="DMG107" s="769"/>
      <c r="DMH107" s="769"/>
      <c r="DMI107" s="769"/>
      <c r="DMJ107" s="769"/>
      <c r="DMK107" s="769"/>
      <c r="DML107" s="769"/>
      <c r="DMM107" s="769"/>
      <c r="DMN107" s="769"/>
      <c r="DMO107" s="769"/>
      <c r="DMP107" s="769"/>
      <c r="DMQ107" s="769"/>
      <c r="DMR107" s="769"/>
      <c r="DMS107" s="769"/>
      <c r="DMT107" s="769"/>
      <c r="DMU107" s="769"/>
      <c r="DMV107" s="769"/>
      <c r="DMW107" s="769"/>
      <c r="DMX107" s="769"/>
      <c r="DMY107" s="769"/>
      <c r="DMZ107" s="769"/>
      <c r="DNA107" s="769"/>
      <c r="DNB107" s="769"/>
      <c r="DNC107" s="769"/>
      <c r="DND107" s="769"/>
      <c r="DNE107" s="769"/>
      <c r="DNF107" s="769"/>
      <c r="DNG107" s="769"/>
      <c r="DNH107" s="769"/>
      <c r="DNI107" s="769"/>
      <c r="DNJ107" s="769"/>
      <c r="DNK107" s="769"/>
      <c r="DNL107" s="769"/>
      <c r="DNM107" s="769"/>
      <c r="DNN107" s="769"/>
      <c r="DNO107" s="769"/>
      <c r="DNP107" s="769"/>
      <c r="DNQ107" s="769"/>
      <c r="DNR107" s="769"/>
      <c r="DNS107" s="769"/>
      <c r="DNT107" s="769"/>
      <c r="DNU107" s="769"/>
      <c r="DNV107" s="769"/>
      <c r="DNW107" s="769"/>
      <c r="DNX107" s="769"/>
      <c r="DNY107" s="769"/>
      <c r="DNZ107" s="769"/>
      <c r="DOA107" s="769"/>
      <c r="DOB107" s="769"/>
      <c r="DOC107" s="769"/>
      <c r="DOD107" s="769"/>
      <c r="DOE107" s="769"/>
      <c r="DOF107" s="769"/>
      <c r="DOG107" s="769"/>
      <c r="DOH107" s="769"/>
      <c r="DOI107" s="769"/>
      <c r="DOJ107" s="769"/>
      <c r="DOK107" s="769"/>
      <c r="DOL107" s="769"/>
      <c r="DOM107" s="769"/>
      <c r="DON107" s="769"/>
      <c r="DOO107" s="769"/>
      <c r="DOP107" s="769"/>
      <c r="DOQ107" s="769"/>
      <c r="DOR107" s="769"/>
      <c r="DOS107" s="769"/>
      <c r="DOT107" s="769"/>
      <c r="DOU107" s="769"/>
      <c r="DOV107" s="769"/>
      <c r="DOW107" s="769"/>
      <c r="DOX107" s="769"/>
      <c r="DOY107" s="769"/>
      <c r="DOZ107" s="769"/>
      <c r="DPA107" s="769"/>
      <c r="DPB107" s="769"/>
      <c r="DPC107" s="769"/>
      <c r="DPD107" s="769"/>
      <c r="DPE107" s="769"/>
      <c r="DPF107" s="769"/>
      <c r="DPG107" s="769"/>
      <c r="DPH107" s="769"/>
      <c r="DPI107" s="769"/>
      <c r="DPJ107" s="769"/>
      <c r="DPK107" s="769"/>
      <c r="DPL107" s="769"/>
      <c r="DPM107" s="769"/>
      <c r="DPN107" s="769"/>
      <c r="DPO107" s="769"/>
      <c r="DPP107" s="769"/>
      <c r="DPQ107" s="769"/>
      <c r="DPR107" s="769"/>
      <c r="DPS107" s="769"/>
      <c r="DPT107" s="769"/>
      <c r="DPU107" s="769"/>
      <c r="DPV107" s="769"/>
      <c r="DPW107" s="769"/>
      <c r="DPX107" s="769"/>
      <c r="DPY107" s="769"/>
      <c r="DPZ107" s="769"/>
      <c r="DQA107" s="769"/>
      <c r="DQB107" s="769"/>
      <c r="DQC107" s="769"/>
      <c r="DQD107" s="769"/>
      <c r="DQE107" s="769"/>
      <c r="DQF107" s="769"/>
      <c r="DQG107" s="769"/>
      <c r="DQH107" s="769"/>
      <c r="DQI107" s="769"/>
      <c r="DQJ107" s="769"/>
      <c r="DQK107" s="769"/>
      <c r="DQL107" s="769"/>
      <c r="DQM107" s="769"/>
      <c r="DQN107" s="769"/>
      <c r="DQO107" s="769"/>
      <c r="DQP107" s="769"/>
      <c r="DQQ107" s="769"/>
      <c r="DQR107" s="769"/>
      <c r="DQS107" s="769"/>
      <c r="DQT107" s="769"/>
      <c r="DQU107" s="769"/>
      <c r="DQV107" s="769"/>
      <c r="DQW107" s="769"/>
      <c r="DQX107" s="769"/>
      <c r="DQY107" s="769"/>
      <c r="DQZ107" s="769"/>
      <c r="DRA107" s="769"/>
      <c r="DRB107" s="769"/>
      <c r="DRC107" s="769"/>
      <c r="DRD107" s="769"/>
      <c r="DRE107" s="769"/>
      <c r="DRF107" s="769"/>
      <c r="DRG107" s="769"/>
      <c r="DRH107" s="769"/>
      <c r="DRI107" s="769"/>
      <c r="DRJ107" s="769"/>
      <c r="DRK107" s="769"/>
      <c r="DRL107" s="769"/>
      <c r="DRM107" s="769"/>
      <c r="DRN107" s="769"/>
      <c r="DRO107" s="769"/>
      <c r="DRP107" s="769"/>
      <c r="DRQ107" s="769"/>
      <c r="DRR107" s="769"/>
      <c r="DRS107" s="769"/>
      <c r="DRT107" s="769"/>
      <c r="DRU107" s="769"/>
      <c r="DRV107" s="769"/>
      <c r="DRW107" s="769"/>
      <c r="DRX107" s="769"/>
      <c r="DRY107" s="769"/>
      <c r="DRZ107" s="769"/>
      <c r="DSA107" s="769"/>
      <c r="DSB107" s="769"/>
      <c r="DSC107" s="769"/>
      <c r="DSD107" s="769"/>
      <c r="DSE107" s="769"/>
      <c r="DSF107" s="769"/>
      <c r="DSG107" s="769"/>
      <c r="DSH107" s="769"/>
      <c r="DSI107" s="769"/>
      <c r="DSJ107" s="769"/>
      <c r="DSK107" s="769"/>
      <c r="DSL107" s="769"/>
      <c r="DSM107" s="769"/>
      <c r="DSN107" s="769"/>
      <c r="DSO107" s="769"/>
      <c r="DSP107" s="769"/>
      <c r="DSQ107" s="769"/>
      <c r="DSR107" s="769"/>
      <c r="DSS107" s="769"/>
      <c r="DST107" s="769"/>
      <c r="DSU107" s="769"/>
      <c r="DSV107" s="769"/>
      <c r="DSW107" s="769"/>
      <c r="DSX107" s="769"/>
      <c r="DSY107" s="769"/>
      <c r="DSZ107" s="769"/>
      <c r="DTA107" s="769"/>
      <c r="DTB107" s="769"/>
      <c r="DTC107" s="769"/>
      <c r="DTD107" s="769"/>
      <c r="DTE107" s="769"/>
      <c r="DTF107" s="769"/>
      <c r="DTG107" s="769"/>
      <c r="DTH107" s="769"/>
      <c r="DTI107" s="769"/>
      <c r="DTJ107" s="769"/>
      <c r="DTK107" s="769"/>
      <c r="DTL107" s="769"/>
      <c r="DTM107" s="769"/>
      <c r="DTN107" s="769"/>
      <c r="DTO107" s="769"/>
      <c r="DTP107" s="769"/>
      <c r="DTQ107" s="769"/>
      <c r="DTR107" s="769"/>
      <c r="DTS107" s="769"/>
      <c r="DTT107" s="769"/>
      <c r="DTU107" s="769"/>
      <c r="DTV107" s="769"/>
      <c r="DTW107" s="769"/>
      <c r="DTX107" s="769"/>
      <c r="DTY107" s="769"/>
      <c r="DTZ107" s="769"/>
      <c r="DUA107" s="769"/>
      <c r="DUB107" s="769"/>
      <c r="DUC107" s="769"/>
      <c r="DUD107" s="769"/>
      <c r="DUE107" s="769"/>
      <c r="DUF107" s="769"/>
      <c r="DUG107" s="769"/>
      <c r="DUH107" s="769"/>
      <c r="DUI107" s="769"/>
      <c r="DUJ107" s="769"/>
      <c r="DUK107" s="769"/>
      <c r="DUL107" s="769"/>
      <c r="DUM107" s="769"/>
      <c r="DUN107" s="769"/>
      <c r="DUO107" s="769"/>
      <c r="DUP107" s="769"/>
      <c r="DUQ107" s="769"/>
      <c r="DUR107" s="769"/>
      <c r="DUS107" s="769"/>
      <c r="DUT107" s="769"/>
      <c r="DUU107" s="769"/>
      <c r="DUV107" s="769"/>
      <c r="DUW107" s="769"/>
      <c r="DUX107" s="769"/>
      <c r="DUY107" s="769"/>
      <c r="DUZ107" s="769"/>
      <c r="DVA107" s="769"/>
      <c r="DVB107" s="769"/>
      <c r="DVC107" s="769"/>
      <c r="DVD107" s="769"/>
      <c r="DVE107" s="769"/>
      <c r="DVF107" s="769"/>
      <c r="DVG107" s="769"/>
      <c r="DVH107" s="769"/>
      <c r="DVI107" s="769"/>
      <c r="DVJ107" s="769"/>
      <c r="DVK107" s="769"/>
      <c r="DVL107" s="769"/>
      <c r="DVM107" s="769"/>
      <c r="DVN107" s="769"/>
      <c r="DVO107" s="769"/>
      <c r="DVP107" s="769"/>
      <c r="DVQ107" s="769"/>
      <c r="DVR107" s="769"/>
      <c r="DVS107" s="769"/>
      <c r="DVT107" s="769"/>
      <c r="DVU107" s="769"/>
      <c r="DVV107" s="769"/>
      <c r="DVW107" s="769"/>
      <c r="DVX107" s="769"/>
      <c r="DVY107" s="769"/>
      <c r="DVZ107" s="769"/>
      <c r="DWA107" s="769"/>
      <c r="DWB107" s="769"/>
      <c r="DWC107" s="769"/>
      <c r="DWD107" s="769"/>
      <c r="DWE107" s="769"/>
      <c r="DWF107" s="769"/>
      <c r="DWG107" s="769"/>
      <c r="DWH107" s="769"/>
      <c r="DWI107" s="769"/>
      <c r="DWJ107" s="769"/>
      <c r="DWK107" s="769"/>
      <c r="DWL107" s="769"/>
      <c r="DWM107" s="769"/>
      <c r="DWN107" s="769"/>
      <c r="DWO107" s="769"/>
      <c r="DWP107" s="769"/>
      <c r="DWQ107" s="769"/>
      <c r="DWR107" s="769"/>
      <c r="DWS107" s="769"/>
      <c r="DWT107" s="769"/>
      <c r="DWU107" s="769"/>
      <c r="DWV107" s="769"/>
      <c r="DWW107" s="769"/>
      <c r="DWX107" s="769"/>
      <c r="DWY107" s="769"/>
      <c r="DWZ107" s="769"/>
      <c r="DXA107" s="769"/>
      <c r="DXB107" s="769"/>
      <c r="DXC107" s="769"/>
      <c r="DXD107" s="769"/>
      <c r="DXE107" s="769"/>
      <c r="DXF107" s="769"/>
      <c r="DXG107" s="769"/>
      <c r="DXH107" s="769"/>
      <c r="DXI107" s="769"/>
      <c r="DXJ107" s="769"/>
      <c r="DXK107" s="769"/>
      <c r="DXL107" s="769"/>
      <c r="DXM107" s="769"/>
      <c r="DXN107" s="769"/>
      <c r="DXO107" s="769"/>
      <c r="DXP107" s="769"/>
      <c r="DXQ107" s="769"/>
      <c r="DXR107" s="769"/>
      <c r="DXS107" s="769"/>
      <c r="DXT107" s="769"/>
      <c r="DXU107" s="769"/>
      <c r="DXV107" s="769"/>
      <c r="DXW107" s="769"/>
      <c r="DXX107" s="769"/>
      <c r="DXY107" s="769"/>
      <c r="DXZ107" s="769"/>
      <c r="DYA107" s="769"/>
      <c r="DYB107" s="769"/>
      <c r="DYC107" s="769"/>
      <c r="DYD107" s="769"/>
      <c r="DYE107" s="769"/>
      <c r="DYF107" s="769"/>
      <c r="DYG107" s="769"/>
      <c r="DYH107" s="769"/>
      <c r="DYI107" s="769"/>
      <c r="DYJ107" s="769"/>
      <c r="DYK107" s="769"/>
      <c r="DYL107" s="769"/>
      <c r="DYM107" s="769"/>
      <c r="DYN107" s="769"/>
      <c r="DYO107" s="769"/>
      <c r="DYP107" s="769"/>
      <c r="DYQ107" s="769"/>
      <c r="DYR107" s="769"/>
      <c r="DYS107" s="769"/>
      <c r="DYT107" s="769"/>
      <c r="DYU107" s="769"/>
      <c r="DYV107" s="769"/>
      <c r="DYW107" s="769"/>
      <c r="DYX107" s="769"/>
      <c r="DYY107" s="769"/>
      <c r="DYZ107" s="769"/>
      <c r="DZA107" s="769"/>
      <c r="DZB107" s="769"/>
      <c r="DZC107" s="769"/>
      <c r="DZD107" s="769"/>
      <c r="DZE107" s="769"/>
      <c r="DZF107" s="769"/>
      <c r="DZG107" s="769"/>
      <c r="DZH107" s="769"/>
      <c r="DZI107" s="769"/>
      <c r="DZJ107" s="769"/>
      <c r="DZK107" s="769"/>
      <c r="DZL107" s="769"/>
      <c r="DZM107" s="769"/>
      <c r="DZN107" s="769"/>
      <c r="DZO107" s="769"/>
      <c r="DZP107" s="769"/>
      <c r="DZQ107" s="769"/>
      <c r="DZR107" s="769"/>
      <c r="DZS107" s="769"/>
      <c r="DZT107" s="769"/>
      <c r="DZU107" s="769"/>
      <c r="DZV107" s="769"/>
      <c r="DZW107" s="769"/>
      <c r="DZX107" s="769"/>
      <c r="DZY107" s="769"/>
      <c r="DZZ107" s="769"/>
      <c r="EAA107" s="769"/>
      <c r="EAB107" s="769"/>
      <c r="EAC107" s="769"/>
      <c r="EAD107" s="769"/>
      <c r="EAE107" s="769"/>
      <c r="EAF107" s="769"/>
      <c r="EAG107" s="769"/>
      <c r="EAH107" s="769"/>
      <c r="EAI107" s="769"/>
      <c r="EAJ107" s="769"/>
      <c r="EAK107" s="769"/>
      <c r="EAL107" s="769"/>
      <c r="EAM107" s="769"/>
      <c r="EAN107" s="769"/>
      <c r="EAO107" s="769"/>
      <c r="EAP107" s="769"/>
      <c r="EAQ107" s="769"/>
      <c r="EAR107" s="769"/>
      <c r="EAS107" s="769"/>
      <c r="EAT107" s="769"/>
      <c r="EAU107" s="769"/>
      <c r="EAV107" s="769"/>
      <c r="EAW107" s="769"/>
      <c r="EAX107" s="769"/>
      <c r="EAY107" s="769"/>
      <c r="EAZ107" s="769"/>
      <c r="EBA107" s="769"/>
      <c r="EBB107" s="769"/>
      <c r="EBC107" s="769"/>
      <c r="EBD107" s="769"/>
      <c r="EBE107" s="769"/>
      <c r="EBF107" s="769"/>
      <c r="EBG107" s="769"/>
      <c r="EBH107" s="769"/>
      <c r="EBI107" s="769"/>
      <c r="EBJ107" s="769"/>
      <c r="EBK107" s="769"/>
      <c r="EBL107" s="769"/>
      <c r="EBM107" s="769"/>
      <c r="EBN107" s="769"/>
      <c r="EBO107" s="769"/>
      <c r="EBP107" s="769"/>
      <c r="EBQ107" s="769"/>
      <c r="EBR107" s="769"/>
      <c r="EBS107" s="769"/>
      <c r="EBT107" s="769"/>
      <c r="EBU107" s="769"/>
      <c r="EBV107" s="769"/>
      <c r="EBW107" s="769"/>
      <c r="EBX107" s="769"/>
      <c r="EBY107" s="769"/>
      <c r="EBZ107" s="769"/>
      <c r="ECA107" s="769"/>
      <c r="ECB107" s="769"/>
      <c r="ECC107" s="769"/>
      <c r="ECD107" s="769"/>
      <c r="ECE107" s="769"/>
      <c r="ECF107" s="769"/>
      <c r="ECG107" s="769"/>
      <c r="ECH107" s="769"/>
      <c r="ECI107" s="769"/>
      <c r="ECJ107" s="769"/>
      <c r="ECK107" s="769"/>
      <c r="ECL107" s="769"/>
      <c r="ECM107" s="769"/>
      <c r="ECN107" s="769"/>
      <c r="ECO107" s="769"/>
      <c r="ECP107" s="769"/>
      <c r="ECQ107" s="769"/>
      <c r="ECR107" s="769"/>
      <c r="ECS107" s="769"/>
      <c r="ECT107" s="769"/>
      <c r="ECU107" s="769"/>
      <c r="ECV107" s="769"/>
      <c r="ECW107" s="769"/>
      <c r="ECX107" s="769"/>
      <c r="ECY107" s="769"/>
      <c r="ECZ107" s="769"/>
      <c r="EDA107" s="769"/>
      <c r="EDB107" s="769"/>
      <c r="EDC107" s="769"/>
      <c r="EDD107" s="769"/>
      <c r="EDE107" s="769"/>
      <c r="EDF107" s="769"/>
      <c r="EDG107" s="769"/>
      <c r="EDH107" s="769"/>
      <c r="EDI107" s="769"/>
      <c r="EDJ107" s="769"/>
      <c r="EDK107" s="769"/>
      <c r="EDL107" s="769"/>
      <c r="EDM107" s="769"/>
      <c r="EDN107" s="769"/>
      <c r="EDO107" s="769"/>
      <c r="EDP107" s="769"/>
      <c r="EDQ107" s="769"/>
      <c r="EDR107" s="769"/>
      <c r="EDS107" s="769"/>
      <c r="EDT107" s="769"/>
      <c r="EDU107" s="769"/>
      <c r="EDV107" s="769"/>
      <c r="EDW107" s="769"/>
      <c r="EDX107" s="769"/>
      <c r="EDY107" s="769"/>
      <c r="EDZ107" s="769"/>
      <c r="EEA107" s="769"/>
      <c r="EEB107" s="769"/>
      <c r="EEC107" s="769"/>
      <c r="EED107" s="769"/>
      <c r="EEE107" s="769"/>
      <c r="EEF107" s="769"/>
      <c r="EEG107" s="769"/>
      <c r="EEH107" s="769"/>
      <c r="EEI107" s="769"/>
      <c r="EEJ107" s="769"/>
      <c r="EEK107" s="769"/>
      <c r="EEL107" s="769"/>
      <c r="EEM107" s="769"/>
      <c r="EEN107" s="769"/>
      <c r="EEO107" s="769"/>
      <c r="EEP107" s="769"/>
      <c r="EEQ107" s="769"/>
      <c r="EER107" s="769"/>
      <c r="EES107" s="769"/>
      <c r="EET107" s="769"/>
      <c r="EEU107" s="769"/>
      <c r="EEV107" s="769"/>
      <c r="EEW107" s="769"/>
      <c r="EEX107" s="769"/>
      <c r="EEY107" s="769"/>
      <c r="EEZ107" s="769"/>
      <c r="EFA107" s="769"/>
      <c r="EFB107" s="769"/>
      <c r="EFC107" s="769"/>
      <c r="EFD107" s="769"/>
      <c r="EFE107" s="769"/>
      <c r="EFF107" s="769"/>
      <c r="EFG107" s="769"/>
      <c r="EFH107" s="769"/>
      <c r="EFI107" s="769"/>
      <c r="EFJ107" s="769"/>
      <c r="EFK107" s="769"/>
      <c r="EFL107" s="769"/>
      <c r="EFM107" s="769"/>
      <c r="EFN107" s="769"/>
      <c r="EFO107" s="769"/>
      <c r="EFP107" s="769"/>
      <c r="EFQ107" s="769"/>
      <c r="EFR107" s="769"/>
      <c r="EFS107" s="769"/>
      <c r="EFT107" s="769"/>
      <c r="EFU107" s="769"/>
      <c r="EFV107" s="769"/>
      <c r="EFW107" s="769"/>
      <c r="EFX107" s="769"/>
      <c r="EFY107" s="769"/>
      <c r="EFZ107" s="769"/>
      <c r="EGA107" s="769"/>
      <c r="EGB107" s="769"/>
      <c r="EGC107" s="769"/>
      <c r="EGD107" s="769"/>
      <c r="EGE107" s="769"/>
      <c r="EGF107" s="769"/>
      <c r="EGG107" s="769"/>
      <c r="EGH107" s="769"/>
      <c r="EGI107" s="769"/>
      <c r="EGJ107" s="769"/>
      <c r="EGK107" s="769"/>
      <c r="EGL107" s="769"/>
      <c r="EGM107" s="769"/>
      <c r="EGN107" s="769"/>
      <c r="EGO107" s="769"/>
      <c r="EGP107" s="769"/>
      <c r="EGQ107" s="769"/>
      <c r="EGR107" s="769"/>
      <c r="EGS107" s="769"/>
      <c r="EGT107" s="769"/>
      <c r="EGU107" s="769"/>
      <c r="EGV107" s="769"/>
      <c r="EGW107" s="769"/>
      <c r="EGX107" s="769"/>
      <c r="EGY107" s="769"/>
      <c r="EGZ107" s="769"/>
      <c r="EHA107" s="769"/>
      <c r="EHB107" s="769"/>
      <c r="EHC107" s="769"/>
      <c r="EHD107" s="769"/>
      <c r="EHE107" s="769"/>
      <c r="EHF107" s="769"/>
      <c r="EHG107" s="769"/>
      <c r="EHH107" s="769"/>
      <c r="EHI107" s="769"/>
      <c r="EHJ107" s="769"/>
      <c r="EHK107" s="769"/>
      <c r="EHL107" s="769"/>
      <c r="EHM107" s="769"/>
      <c r="EHN107" s="769"/>
      <c r="EHO107" s="769"/>
      <c r="EHP107" s="769"/>
      <c r="EHQ107" s="769"/>
      <c r="EHR107" s="769"/>
      <c r="EHS107" s="769"/>
      <c r="EHT107" s="769"/>
      <c r="EHU107" s="769"/>
      <c r="EHV107" s="769"/>
      <c r="EHW107" s="769"/>
      <c r="EHX107" s="769"/>
      <c r="EHY107" s="769"/>
      <c r="EHZ107" s="769"/>
      <c r="EIA107" s="769"/>
      <c r="EIB107" s="769"/>
      <c r="EIC107" s="769"/>
      <c r="EID107" s="769"/>
      <c r="EIE107" s="769"/>
      <c r="EIF107" s="769"/>
      <c r="EIG107" s="769"/>
      <c r="EIH107" s="769"/>
      <c r="EII107" s="769"/>
      <c r="EIJ107" s="769"/>
      <c r="EIK107" s="769"/>
      <c r="EIL107" s="769"/>
      <c r="EIM107" s="769"/>
      <c r="EIN107" s="769"/>
      <c r="EIO107" s="769"/>
      <c r="EIP107" s="769"/>
      <c r="EIQ107" s="769"/>
      <c r="EIR107" s="769"/>
      <c r="EIS107" s="769"/>
      <c r="EIT107" s="769"/>
      <c r="EIU107" s="769"/>
      <c r="EIV107" s="769"/>
      <c r="EIW107" s="769"/>
      <c r="EIX107" s="769"/>
      <c r="EIY107" s="769"/>
      <c r="EIZ107" s="769"/>
      <c r="EJA107" s="769"/>
      <c r="EJB107" s="769"/>
      <c r="EJC107" s="769"/>
      <c r="EJD107" s="769"/>
      <c r="EJE107" s="769"/>
      <c r="EJF107" s="769"/>
      <c r="EJG107" s="769"/>
      <c r="EJH107" s="769"/>
      <c r="EJI107" s="769"/>
      <c r="EJJ107" s="769"/>
      <c r="EJK107" s="769"/>
      <c r="EJL107" s="769"/>
      <c r="EJM107" s="769"/>
      <c r="EJN107" s="769"/>
      <c r="EJO107" s="769"/>
      <c r="EJP107" s="769"/>
      <c r="EJQ107" s="769"/>
      <c r="EJR107" s="769"/>
      <c r="EJS107" s="769"/>
      <c r="EJT107" s="769"/>
      <c r="EJU107" s="769"/>
      <c r="EJV107" s="769"/>
      <c r="EJW107" s="769"/>
      <c r="EJX107" s="769"/>
      <c r="EJY107" s="769"/>
      <c r="EJZ107" s="769"/>
      <c r="EKA107" s="769"/>
      <c r="EKB107" s="769"/>
      <c r="EKC107" s="769"/>
      <c r="EKD107" s="769"/>
      <c r="EKE107" s="769"/>
      <c r="EKF107" s="769"/>
      <c r="EKG107" s="769"/>
      <c r="EKH107" s="769"/>
      <c r="EKI107" s="769"/>
      <c r="EKJ107" s="769"/>
      <c r="EKK107" s="769"/>
      <c r="EKL107" s="769"/>
      <c r="EKM107" s="769"/>
      <c r="EKN107" s="769"/>
      <c r="EKO107" s="769"/>
      <c r="EKP107" s="769"/>
      <c r="EKQ107" s="769"/>
      <c r="EKR107" s="769"/>
      <c r="EKS107" s="769"/>
      <c r="EKT107" s="769"/>
      <c r="EKU107" s="769"/>
      <c r="EKV107" s="769"/>
      <c r="EKW107" s="769"/>
      <c r="EKX107" s="769"/>
      <c r="EKY107" s="769"/>
      <c r="EKZ107" s="769"/>
      <c r="ELA107" s="769"/>
      <c r="ELB107" s="769"/>
      <c r="ELC107" s="769"/>
      <c r="ELD107" s="769"/>
      <c r="ELE107" s="769"/>
      <c r="ELF107" s="769"/>
      <c r="ELG107" s="769"/>
      <c r="ELH107" s="769"/>
      <c r="ELI107" s="769"/>
      <c r="ELJ107" s="769"/>
      <c r="ELK107" s="769"/>
      <c r="ELL107" s="769"/>
      <c r="ELM107" s="769"/>
      <c r="ELN107" s="769"/>
      <c r="ELO107" s="769"/>
      <c r="ELP107" s="769"/>
      <c r="ELQ107" s="769"/>
      <c r="ELR107" s="769"/>
      <c r="ELS107" s="769"/>
      <c r="ELT107" s="769"/>
      <c r="ELU107" s="769"/>
      <c r="ELV107" s="769"/>
      <c r="ELW107" s="769"/>
      <c r="ELX107" s="769"/>
      <c r="ELY107" s="769"/>
      <c r="ELZ107" s="769"/>
      <c r="EMA107" s="769"/>
      <c r="EMB107" s="769"/>
      <c r="EMC107" s="769"/>
      <c r="EMD107" s="769"/>
      <c r="EME107" s="769"/>
      <c r="EMF107" s="769"/>
      <c r="EMG107" s="769"/>
      <c r="EMH107" s="769"/>
      <c r="EMI107" s="769"/>
      <c r="EMJ107" s="769"/>
      <c r="EMK107" s="769"/>
      <c r="EML107" s="769"/>
      <c r="EMM107" s="769"/>
      <c r="EMN107" s="769"/>
      <c r="EMO107" s="769"/>
      <c r="EMP107" s="769"/>
      <c r="EMQ107" s="769"/>
      <c r="EMR107" s="769"/>
      <c r="EMS107" s="769"/>
      <c r="EMT107" s="769"/>
      <c r="EMU107" s="769"/>
      <c r="EMV107" s="769"/>
      <c r="EMW107" s="769"/>
      <c r="EMX107" s="769"/>
      <c r="EMY107" s="769"/>
      <c r="EMZ107" s="769"/>
      <c r="ENA107" s="769"/>
      <c r="ENB107" s="769"/>
      <c r="ENC107" s="769"/>
      <c r="END107" s="769"/>
      <c r="ENE107" s="769"/>
      <c r="ENF107" s="769"/>
      <c r="ENG107" s="769"/>
      <c r="ENH107" s="769"/>
      <c r="ENI107" s="769"/>
      <c r="ENJ107" s="769"/>
      <c r="ENK107" s="769"/>
      <c r="ENL107" s="769"/>
      <c r="ENM107" s="769"/>
      <c r="ENN107" s="769"/>
      <c r="ENO107" s="769"/>
      <c r="ENP107" s="769"/>
      <c r="ENQ107" s="769"/>
      <c r="ENR107" s="769"/>
      <c r="ENS107" s="769"/>
      <c r="ENT107" s="769"/>
      <c r="ENU107" s="769"/>
      <c r="ENV107" s="769"/>
      <c r="ENW107" s="769"/>
      <c r="ENX107" s="769"/>
      <c r="ENY107" s="769"/>
      <c r="ENZ107" s="769"/>
      <c r="EOA107" s="769"/>
      <c r="EOB107" s="769"/>
      <c r="EOC107" s="769"/>
      <c r="EOD107" s="769"/>
      <c r="EOE107" s="769"/>
      <c r="EOF107" s="769"/>
      <c r="EOG107" s="769"/>
      <c r="EOH107" s="769"/>
      <c r="EOI107" s="769"/>
      <c r="EOJ107" s="769"/>
      <c r="EOK107" s="769"/>
      <c r="EOL107" s="769"/>
      <c r="EOM107" s="769"/>
      <c r="EON107" s="769"/>
      <c r="EOO107" s="769"/>
      <c r="EOP107" s="769"/>
      <c r="EOQ107" s="769"/>
      <c r="EOR107" s="769"/>
      <c r="EOS107" s="769"/>
      <c r="EOT107" s="769"/>
      <c r="EOU107" s="769"/>
      <c r="EOV107" s="769"/>
      <c r="EOW107" s="769"/>
      <c r="EOX107" s="769"/>
      <c r="EOY107" s="769"/>
      <c r="EOZ107" s="769"/>
      <c r="EPA107" s="769"/>
      <c r="EPB107" s="769"/>
      <c r="EPC107" s="769"/>
      <c r="EPD107" s="769"/>
      <c r="EPE107" s="769"/>
      <c r="EPF107" s="769"/>
      <c r="EPG107" s="769"/>
      <c r="EPH107" s="769"/>
      <c r="EPI107" s="769"/>
      <c r="EPJ107" s="769"/>
      <c r="EPK107" s="769"/>
      <c r="EPL107" s="769"/>
      <c r="EPM107" s="769"/>
      <c r="EPN107" s="769"/>
      <c r="EPO107" s="769"/>
      <c r="EPP107" s="769"/>
      <c r="EPQ107" s="769"/>
      <c r="EPR107" s="769"/>
      <c r="EPS107" s="769"/>
      <c r="EPT107" s="769"/>
      <c r="EPU107" s="769"/>
      <c r="EPV107" s="769"/>
      <c r="EPW107" s="769"/>
      <c r="EPX107" s="769"/>
      <c r="EPY107" s="769"/>
      <c r="EPZ107" s="769"/>
      <c r="EQA107" s="769"/>
      <c r="EQB107" s="769"/>
      <c r="EQC107" s="769"/>
      <c r="EQD107" s="769"/>
      <c r="EQE107" s="769"/>
      <c r="EQF107" s="769"/>
      <c r="EQG107" s="769"/>
      <c r="EQH107" s="769"/>
      <c r="EQI107" s="769"/>
      <c r="EQJ107" s="769"/>
      <c r="EQK107" s="769"/>
      <c r="EQL107" s="769"/>
      <c r="EQM107" s="769"/>
      <c r="EQN107" s="769"/>
      <c r="EQO107" s="769"/>
      <c r="EQP107" s="769"/>
      <c r="EQQ107" s="769"/>
      <c r="EQR107" s="769"/>
      <c r="EQS107" s="769"/>
      <c r="EQT107" s="769"/>
      <c r="EQU107" s="769"/>
      <c r="EQV107" s="769"/>
      <c r="EQW107" s="769"/>
      <c r="EQX107" s="769"/>
      <c r="EQY107" s="769"/>
      <c r="EQZ107" s="769"/>
      <c r="ERA107" s="769"/>
      <c r="ERB107" s="769"/>
      <c r="ERC107" s="769"/>
      <c r="ERD107" s="769"/>
      <c r="ERE107" s="769"/>
      <c r="ERF107" s="769"/>
      <c r="ERG107" s="769"/>
      <c r="ERH107" s="769"/>
      <c r="ERI107" s="769"/>
      <c r="ERJ107" s="769"/>
      <c r="ERK107" s="769"/>
      <c r="ERL107" s="769"/>
      <c r="ERM107" s="769"/>
      <c r="ERN107" s="769"/>
      <c r="ERO107" s="769"/>
      <c r="ERP107" s="769"/>
      <c r="ERQ107" s="769"/>
      <c r="ERR107" s="769"/>
      <c r="ERS107" s="769"/>
      <c r="ERT107" s="769"/>
      <c r="ERU107" s="769"/>
      <c r="ERV107" s="769"/>
      <c r="ERW107" s="769"/>
      <c r="ERX107" s="769"/>
      <c r="ERY107" s="769"/>
      <c r="ERZ107" s="769"/>
      <c r="ESA107" s="769"/>
      <c r="ESB107" s="769"/>
      <c r="ESC107" s="769"/>
      <c r="ESD107" s="769"/>
      <c r="ESE107" s="769"/>
      <c r="ESF107" s="769"/>
      <c r="ESG107" s="769"/>
      <c r="ESH107" s="769"/>
      <c r="ESI107" s="769"/>
      <c r="ESJ107" s="769"/>
      <c r="ESK107" s="769"/>
      <c r="ESL107" s="769"/>
      <c r="ESM107" s="769"/>
      <c r="ESN107" s="769"/>
      <c r="ESO107" s="769"/>
      <c r="ESP107" s="769"/>
      <c r="ESQ107" s="769"/>
      <c r="ESR107" s="769"/>
      <c r="ESS107" s="769"/>
      <c r="EST107" s="769"/>
      <c r="ESU107" s="769"/>
      <c r="ESV107" s="769"/>
      <c r="ESW107" s="769"/>
      <c r="ESX107" s="769"/>
      <c r="ESY107" s="769"/>
      <c r="ESZ107" s="769"/>
      <c r="ETA107" s="769"/>
      <c r="ETB107" s="769"/>
      <c r="ETC107" s="769"/>
      <c r="ETD107" s="769"/>
      <c r="ETE107" s="769"/>
      <c r="ETF107" s="769"/>
      <c r="ETG107" s="769"/>
      <c r="ETH107" s="769"/>
      <c r="ETI107" s="769"/>
      <c r="ETJ107" s="769"/>
      <c r="ETK107" s="769"/>
      <c r="ETL107" s="769"/>
      <c r="ETM107" s="769"/>
      <c r="ETN107" s="769"/>
      <c r="ETO107" s="769"/>
      <c r="ETP107" s="769"/>
      <c r="ETQ107" s="769"/>
      <c r="ETR107" s="769"/>
      <c r="ETS107" s="769"/>
      <c r="ETT107" s="769"/>
      <c r="ETU107" s="769"/>
      <c r="ETV107" s="769"/>
      <c r="ETW107" s="769"/>
      <c r="ETX107" s="769"/>
      <c r="ETY107" s="769"/>
      <c r="ETZ107" s="769"/>
      <c r="EUA107" s="769"/>
      <c r="EUB107" s="769"/>
      <c r="EUC107" s="769"/>
      <c r="EUD107" s="769"/>
      <c r="EUE107" s="769"/>
      <c r="EUF107" s="769"/>
      <c r="EUG107" s="769"/>
      <c r="EUH107" s="769"/>
      <c r="EUI107" s="769"/>
      <c r="EUJ107" s="769"/>
      <c r="EUK107" s="769"/>
      <c r="EUL107" s="769"/>
      <c r="EUM107" s="769"/>
      <c r="EUN107" s="769"/>
      <c r="EUO107" s="769"/>
      <c r="EUP107" s="769"/>
      <c r="EUQ107" s="769"/>
      <c r="EUR107" s="769"/>
      <c r="EUS107" s="769"/>
      <c r="EUT107" s="769"/>
      <c r="EUU107" s="769"/>
      <c r="EUV107" s="769"/>
      <c r="EUW107" s="769"/>
      <c r="EUX107" s="769"/>
      <c r="EUY107" s="769"/>
      <c r="EUZ107" s="769"/>
      <c r="EVA107" s="769"/>
      <c r="EVB107" s="769"/>
      <c r="EVC107" s="769"/>
      <c r="EVD107" s="769"/>
      <c r="EVE107" s="769"/>
      <c r="EVF107" s="769"/>
      <c r="EVG107" s="769"/>
      <c r="EVH107" s="769"/>
      <c r="EVI107" s="769"/>
      <c r="EVJ107" s="769"/>
      <c r="EVK107" s="769"/>
      <c r="EVL107" s="769"/>
      <c r="EVM107" s="769"/>
      <c r="EVN107" s="769"/>
      <c r="EVO107" s="769"/>
      <c r="EVP107" s="769"/>
      <c r="EVQ107" s="769"/>
      <c r="EVR107" s="769"/>
      <c r="EVS107" s="769"/>
      <c r="EVT107" s="769"/>
      <c r="EVU107" s="769"/>
      <c r="EVV107" s="769"/>
      <c r="EVW107" s="769"/>
      <c r="EVX107" s="769"/>
      <c r="EVY107" s="769"/>
      <c r="EVZ107" s="769"/>
      <c r="EWA107" s="769"/>
      <c r="EWB107" s="769"/>
      <c r="EWC107" s="769"/>
      <c r="EWD107" s="769"/>
      <c r="EWE107" s="769"/>
      <c r="EWF107" s="769"/>
      <c r="EWG107" s="769"/>
      <c r="EWH107" s="769"/>
      <c r="EWI107" s="769"/>
      <c r="EWJ107" s="769"/>
      <c r="EWK107" s="769"/>
      <c r="EWL107" s="769"/>
      <c r="EWM107" s="769"/>
      <c r="EWN107" s="769"/>
      <c r="EWO107" s="769"/>
      <c r="EWP107" s="769"/>
      <c r="EWQ107" s="769"/>
      <c r="EWR107" s="769"/>
      <c r="EWS107" s="769"/>
      <c r="EWT107" s="769"/>
      <c r="EWU107" s="769"/>
      <c r="EWV107" s="769"/>
      <c r="EWW107" s="769"/>
      <c r="EWX107" s="769"/>
      <c r="EWY107" s="769"/>
      <c r="EWZ107" s="769"/>
      <c r="EXA107" s="769"/>
      <c r="EXB107" s="769"/>
      <c r="EXC107" s="769"/>
      <c r="EXD107" s="769"/>
      <c r="EXE107" s="769"/>
      <c r="EXF107" s="769"/>
      <c r="EXG107" s="769"/>
      <c r="EXH107" s="769"/>
      <c r="EXI107" s="769"/>
      <c r="EXJ107" s="769"/>
      <c r="EXK107" s="769"/>
      <c r="EXL107" s="769"/>
      <c r="EXM107" s="769"/>
      <c r="EXN107" s="769"/>
      <c r="EXO107" s="769"/>
      <c r="EXP107" s="769"/>
      <c r="EXQ107" s="769"/>
      <c r="EXR107" s="769"/>
      <c r="EXS107" s="769"/>
      <c r="EXT107" s="769"/>
      <c r="EXU107" s="769"/>
      <c r="EXV107" s="769"/>
      <c r="EXW107" s="769"/>
      <c r="EXX107" s="769"/>
      <c r="EXY107" s="769"/>
      <c r="EXZ107" s="769"/>
      <c r="EYA107" s="769"/>
      <c r="EYB107" s="769"/>
      <c r="EYC107" s="769"/>
      <c r="EYD107" s="769"/>
      <c r="EYE107" s="769"/>
      <c r="EYF107" s="769"/>
      <c r="EYG107" s="769"/>
      <c r="EYH107" s="769"/>
      <c r="EYI107" s="769"/>
      <c r="EYJ107" s="769"/>
      <c r="EYK107" s="769"/>
      <c r="EYL107" s="769"/>
      <c r="EYM107" s="769"/>
      <c r="EYN107" s="769"/>
      <c r="EYO107" s="769"/>
      <c r="EYP107" s="769"/>
      <c r="EYQ107" s="769"/>
      <c r="EYR107" s="769"/>
      <c r="EYS107" s="769"/>
      <c r="EYT107" s="769"/>
      <c r="EYU107" s="769"/>
      <c r="EYV107" s="769"/>
      <c r="EYW107" s="769"/>
      <c r="EYX107" s="769"/>
      <c r="EYY107" s="769"/>
      <c r="EYZ107" s="769"/>
      <c r="EZA107" s="769"/>
      <c r="EZB107" s="769"/>
      <c r="EZC107" s="769"/>
      <c r="EZD107" s="769"/>
      <c r="EZE107" s="769"/>
      <c r="EZF107" s="769"/>
      <c r="EZG107" s="769"/>
      <c r="EZH107" s="769"/>
      <c r="EZI107" s="769"/>
      <c r="EZJ107" s="769"/>
      <c r="EZK107" s="769"/>
      <c r="EZL107" s="769"/>
      <c r="EZM107" s="769"/>
      <c r="EZN107" s="769"/>
      <c r="EZO107" s="769"/>
      <c r="EZP107" s="769"/>
      <c r="EZQ107" s="769"/>
      <c r="EZR107" s="769"/>
      <c r="EZS107" s="769"/>
      <c r="EZT107" s="769"/>
      <c r="EZU107" s="769"/>
      <c r="EZV107" s="769"/>
      <c r="EZW107" s="769"/>
      <c r="EZX107" s="769"/>
      <c r="EZY107" s="769"/>
      <c r="EZZ107" s="769"/>
      <c r="FAA107" s="769"/>
      <c r="FAB107" s="769"/>
      <c r="FAC107" s="769"/>
      <c r="FAD107" s="769"/>
      <c r="FAE107" s="769"/>
      <c r="FAF107" s="769"/>
      <c r="FAG107" s="769"/>
      <c r="FAH107" s="769"/>
      <c r="FAI107" s="769"/>
      <c r="FAJ107" s="769"/>
      <c r="FAK107" s="769"/>
      <c r="FAL107" s="769"/>
      <c r="FAM107" s="769"/>
      <c r="FAN107" s="769"/>
      <c r="FAO107" s="769"/>
      <c r="FAP107" s="769"/>
      <c r="FAQ107" s="769"/>
      <c r="FAR107" s="769"/>
      <c r="FAS107" s="769"/>
      <c r="FAT107" s="769"/>
      <c r="FAU107" s="769"/>
      <c r="FAV107" s="769"/>
      <c r="FAW107" s="769"/>
      <c r="FAX107" s="769"/>
      <c r="FAY107" s="769"/>
      <c r="FAZ107" s="769"/>
      <c r="FBA107" s="769"/>
      <c r="FBB107" s="769"/>
      <c r="FBC107" s="769"/>
      <c r="FBD107" s="769"/>
      <c r="FBE107" s="769"/>
      <c r="FBF107" s="769"/>
      <c r="FBG107" s="769"/>
      <c r="FBH107" s="769"/>
      <c r="FBI107" s="769"/>
      <c r="FBJ107" s="769"/>
      <c r="FBK107" s="769"/>
      <c r="FBL107" s="769"/>
      <c r="FBM107" s="769"/>
      <c r="FBN107" s="769"/>
      <c r="FBO107" s="769"/>
      <c r="FBP107" s="769"/>
      <c r="FBQ107" s="769"/>
      <c r="FBR107" s="769"/>
      <c r="FBS107" s="769"/>
      <c r="FBT107" s="769"/>
      <c r="FBU107" s="769"/>
      <c r="FBV107" s="769"/>
      <c r="FBW107" s="769"/>
      <c r="FBX107" s="769"/>
      <c r="FBY107" s="769"/>
      <c r="FBZ107" s="769"/>
      <c r="FCA107" s="769"/>
      <c r="FCB107" s="769"/>
      <c r="FCC107" s="769"/>
      <c r="FCD107" s="769"/>
      <c r="FCE107" s="769"/>
      <c r="FCF107" s="769"/>
      <c r="FCG107" s="769"/>
      <c r="FCH107" s="769"/>
      <c r="FCI107" s="769"/>
      <c r="FCJ107" s="769"/>
      <c r="FCK107" s="769"/>
      <c r="FCL107" s="769"/>
      <c r="FCM107" s="769"/>
      <c r="FCN107" s="769"/>
      <c r="FCO107" s="769"/>
      <c r="FCP107" s="769"/>
      <c r="FCQ107" s="769"/>
      <c r="FCR107" s="769"/>
      <c r="FCS107" s="769"/>
      <c r="FCT107" s="769"/>
      <c r="FCU107" s="769"/>
      <c r="FCV107" s="769"/>
      <c r="FCW107" s="769"/>
      <c r="FCX107" s="769"/>
      <c r="FCY107" s="769"/>
      <c r="FCZ107" s="769"/>
      <c r="FDA107" s="769"/>
      <c r="FDB107" s="769"/>
      <c r="FDC107" s="769"/>
      <c r="FDD107" s="769"/>
      <c r="FDE107" s="769"/>
      <c r="FDF107" s="769"/>
      <c r="FDG107" s="769"/>
      <c r="FDH107" s="769"/>
      <c r="FDI107" s="769"/>
      <c r="FDJ107" s="769"/>
      <c r="FDK107" s="769"/>
      <c r="FDL107" s="769"/>
      <c r="FDM107" s="769"/>
      <c r="FDN107" s="769"/>
      <c r="FDO107" s="769"/>
      <c r="FDP107" s="769"/>
      <c r="FDQ107" s="769"/>
      <c r="FDR107" s="769"/>
      <c r="FDS107" s="769"/>
      <c r="FDT107" s="769"/>
      <c r="FDU107" s="769"/>
      <c r="FDV107" s="769"/>
      <c r="FDW107" s="769"/>
      <c r="FDX107" s="769"/>
      <c r="FDY107" s="769"/>
      <c r="FDZ107" s="769"/>
      <c r="FEA107" s="769"/>
      <c r="FEB107" s="769"/>
      <c r="FEC107" s="769"/>
      <c r="FED107" s="769"/>
      <c r="FEE107" s="769"/>
      <c r="FEF107" s="769"/>
      <c r="FEG107" s="769"/>
      <c r="FEH107" s="769"/>
      <c r="FEI107" s="769"/>
      <c r="FEJ107" s="769"/>
      <c r="FEK107" s="769"/>
      <c r="FEL107" s="769"/>
      <c r="FEM107" s="769"/>
      <c r="FEN107" s="769"/>
      <c r="FEO107" s="769"/>
      <c r="FEP107" s="769"/>
      <c r="FEQ107" s="769"/>
      <c r="FER107" s="769"/>
      <c r="FES107" s="769"/>
      <c r="FET107" s="769"/>
      <c r="FEU107" s="769"/>
      <c r="FEV107" s="769"/>
      <c r="FEW107" s="769"/>
      <c r="FEX107" s="769"/>
      <c r="FEY107" s="769"/>
      <c r="FEZ107" s="769"/>
      <c r="FFA107" s="769"/>
      <c r="FFB107" s="769"/>
      <c r="FFC107" s="769"/>
      <c r="FFD107" s="769"/>
      <c r="FFE107" s="769"/>
      <c r="FFF107" s="769"/>
      <c r="FFG107" s="769"/>
      <c r="FFH107" s="769"/>
      <c r="FFI107" s="769"/>
      <c r="FFJ107" s="769"/>
      <c r="FFK107" s="769"/>
      <c r="FFL107" s="769"/>
      <c r="FFM107" s="769"/>
      <c r="FFN107" s="769"/>
      <c r="FFO107" s="769"/>
      <c r="FFP107" s="769"/>
      <c r="FFQ107" s="769"/>
      <c r="FFR107" s="769"/>
      <c r="FFS107" s="769"/>
      <c r="FFT107" s="769"/>
      <c r="FFU107" s="769"/>
      <c r="FFV107" s="769"/>
      <c r="FFW107" s="769"/>
      <c r="FFX107" s="769"/>
      <c r="FFY107" s="769"/>
      <c r="FFZ107" s="769"/>
      <c r="FGA107" s="769"/>
      <c r="FGB107" s="769"/>
      <c r="FGC107" s="769"/>
      <c r="FGD107" s="769"/>
      <c r="FGE107" s="769"/>
      <c r="FGF107" s="769"/>
      <c r="FGG107" s="769"/>
      <c r="FGH107" s="769"/>
      <c r="FGI107" s="769"/>
      <c r="FGJ107" s="769"/>
      <c r="FGK107" s="769"/>
      <c r="FGL107" s="769"/>
      <c r="FGM107" s="769"/>
      <c r="FGN107" s="769"/>
      <c r="FGO107" s="769"/>
      <c r="FGP107" s="769"/>
      <c r="FGQ107" s="769"/>
      <c r="FGR107" s="769"/>
      <c r="FGS107" s="769"/>
      <c r="FGT107" s="769"/>
      <c r="FGU107" s="769"/>
      <c r="FGV107" s="769"/>
      <c r="FGW107" s="769"/>
      <c r="FGX107" s="769"/>
      <c r="FGY107" s="769"/>
      <c r="FGZ107" s="769"/>
      <c r="FHA107" s="769"/>
      <c r="FHB107" s="769"/>
      <c r="FHC107" s="769"/>
      <c r="FHD107" s="769"/>
      <c r="FHE107" s="769"/>
      <c r="FHF107" s="769"/>
      <c r="FHG107" s="769"/>
      <c r="FHH107" s="769"/>
      <c r="FHI107" s="769"/>
      <c r="FHJ107" s="769"/>
      <c r="FHK107" s="769"/>
      <c r="FHL107" s="769"/>
      <c r="FHM107" s="769"/>
      <c r="FHN107" s="769"/>
      <c r="FHO107" s="769"/>
      <c r="FHP107" s="769"/>
      <c r="FHQ107" s="769"/>
      <c r="FHR107" s="769"/>
      <c r="FHS107" s="769"/>
      <c r="FHT107" s="769"/>
      <c r="FHU107" s="769"/>
      <c r="FHV107" s="769"/>
      <c r="FHW107" s="769"/>
      <c r="FHX107" s="769"/>
      <c r="FHY107" s="769"/>
      <c r="FHZ107" s="769"/>
      <c r="FIA107" s="769"/>
      <c r="FIB107" s="769"/>
      <c r="FIC107" s="769"/>
      <c r="FID107" s="769"/>
      <c r="FIE107" s="769"/>
      <c r="FIF107" s="769"/>
      <c r="FIG107" s="769"/>
      <c r="FIH107" s="769"/>
      <c r="FII107" s="769"/>
      <c r="FIJ107" s="769"/>
      <c r="FIK107" s="769"/>
      <c r="FIL107" s="769"/>
      <c r="FIM107" s="769"/>
      <c r="FIN107" s="769"/>
      <c r="FIO107" s="769"/>
      <c r="FIP107" s="769"/>
      <c r="FIQ107" s="769"/>
      <c r="FIR107" s="769"/>
      <c r="FIS107" s="769"/>
      <c r="FIT107" s="769"/>
      <c r="FIU107" s="769"/>
      <c r="FIV107" s="769"/>
      <c r="FIW107" s="769"/>
      <c r="FIX107" s="769"/>
      <c r="FIY107" s="769"/>
      <c r="FIZ107" s="769"/>
      <c r="FJA107" s="769"/>
      <c r="FJB107" s="769"/>
      <c r="FJC107" s="769"/>
      <c r="FJD107" s="769"/>
      <c r="FJE107" s="769"/>
      <c r="FJF107" s="769"/>
      <c r="FJG107" s="769"/>
      <c r="FJH107" s="769"/>
      <c r="FJI107" s="769"/>
      <c r="FJJ107" s="769"/>
      <c r="FJK107" s="769"/>
      <c r="FJL107" s="769"/>
      <c r="FJM107" s="769"/>
      <c r="FJN107" s="769"/>
      <c r="FJO107" s="769"/>
      <c r="FJP107" s="769"/>
      <c r="FJQ107" s="769"/>
      <c r="FJR107" s="769"/>
      <c r="FJS107" s="769"/>
      <c r="FJT107" s="769"/>
      <c r="FJU107" s="769"/>
      <c r="FJV107" s="769"/>
      <c r="FJW107" s="769"/>
      <c r="FJX107" s="769"/>
      <c r="FJY107" s="769"/>
      <c r="FJZ107" s="769"/>
      <c r="FKA107" s="769"/>
      <c r="FKB107" s="769"/>
      <c r="FKC107" s="769"/>
      <c r="FKD107" s="769"/>
      <c r="FKE107" s="769"/>
      <c r="FKF107" s="769"/>
      <c r="FKG107" s="769"/>
      <c r="FKH107" s="769"/>
      <c r="FKI107" s="769"/>
      <c r="FKJ107" s="769"/>
      <c r="FKK107" s="769"/>
      <c r="FKL107" s="769"/>
      <c r="FKM107" s="769"/>
      <c r="FKN107" s="769"/>
      <c r="FKO107" s="769"/>
      <c r="FKP107" s="769"/>
      <c r="FKQ107" s="769"/>
      <c r="FKR107" s="769"/>
      <c r="FKS107" s="769"/>
      <c r="FKT107" s="769"/>
      <c r="FKU107" s="769"/>
      <c r="FKV107" s="769"/>
      <c r="FKW107" s="769"/>
      <c r="FKX107" s="769"/>
      <c r="FKY107" s="769"/>
      <c r="FKZ107" s="769"/>
      <c r="FLA107" s="769"/>
      <c r="FLB107" s="769"/>
      <c r="FLC107" s="769"/>
      <c r="FLD107" s="769"/>
      <c r="FLE107" s="769"/>
      <c r="FLF107" s="769"/>
      <c r="FLG107" s="769"/>
      <c r="FLH107" s="769"/>
      <c r="FLI107" s="769"/>
      <c r="FLJ107" s="769"/>
      <c r="FLK107" s="769"/>
      <c r="FLL107" s="769"/>
      <c r="FLM107" s="769"/>
      <c r="FLN107" s="769"/>
      <c r="FLO107" s="769"/>
      <c r="FLP107" s="769"/>
      <c r="FLQ107" s="769"/>
      <c r="FLR107" s="769"/>
      <c r="FLS107" s="769"/>
      <c r="FLT107" s="769"/>
      <c r="FLU107" s="769"/>
      <c r="FLV107" s="769"/>
      <c r="FLW107" s="769"/>
      <c r="FLX107" s="769"/>
      <c r="FLY107" s="769"/>
      <c r="FLZ107" s="769"/>
      <c r="FMA107" s="769"/>
      <c r="FMB107" s="769"/>
      <c r="FMC107" s="769"/>
      <c r="FMD107" s="769"/>
      <c r="FME107" s="769"/>
      <c r="FMF107" s="769"/>
      <c r="FMG107" s="769"/>
      <c r="FMH107" s="769"/>
      <c r="FMI107" s="769"/>
      <c r="FMJ107" s="769"/>
      <c r="FMK107" s="769"/>
      <c r="FML107" s="769"/>
      <c r="FMM107" s="769"/>
      <c r="FMN107" s="769"/>
      <c r="FMO107" s="769"/>
      <c r="FMP107" s="769"/>
      <c r="FMQ107" s="769"/>
      <c r="FMR107" s="769"/>
      <c r="FMS107" s="769"/>
      <c r="FMT107" s="769"/>
      <c r="FMU107" s="769"/>
      <c r="FMV107" s="769"/>
      <c r="FMW107" s="769"/>
      <c r="FMX107" s="769"/>
      <c r="FMY107" s="769"/>
      <c r="FMZ107" s="769"/>
      <c r="FNA107" s="769"/>
      <c r="FNB107" s="769"/>
      <c r="FNC107" s="769"/>
      <c r="FND107" s="769"/>
      <c r="FNE107" s="769"/>
      <c r="FNF107" s="769"/>
      <c r="FNG107" s="769"/>
      <c r="FNH107" s="769"/>
      <c r="FNI107" s="769"/>
      <c r="FNJ107" s="769"/>
      <c r="FNK107" s="769"/>
      <c r="FNL107" s="769"/>
      <c r="FNM107" s="769"/>
      <c r="FNN107" s="769"/>
      <c r="FNO107" s="769"/>
      <c r="FNP107" s="769"/>
      <c r="FNQ107" s="769"/>
      <c r="FNR107" s="769"/>
      <c r="FNS107" s="769"/>
      <c r="FNT107" s="769"/>
      <c r="FNU107" s="769"/>
      <c r="FNV107" s="769"/>
      <c r="FNW107" s="769"/>
      <c r="FNX107" s="769"/>
      <c r="FNY107" s="769"/>
      <c r="FNZ107" s="769"/>
      <c r="FOA107" s="769"/>
      <c r="FOB107" s="769"/>
      <c r="FOC107" s="769"/>
      <c r="FOD107" s="769"/>
      <c r="FOE107" s="769"/>
      <c r="FOF107" s="769"/>
      <c r="FOG107" s="769"/>
      <c r="FOH107" s="769"/>
      <c r="FOI107" s="769"/>
      <c r="FOJ107" s="769"/>
      <c r="FOK107" s="769"/>
      <c r="FOL107" s="769"/>
      <c r="FOM107" s="769"/>
      <c r="FON107" s="769"/>
      <c r="FOO107" s="769"/>
      <c r="FOP107" s="769"/>
      <c r="FOQ107" s="769"/>
      <c r="FOR107" s="769"/>
      <c r="FOS107" s="769"/>
      <c r="FOT107" s="769"/>
      <c r="FOU107" s="769"/>
      <c r="FOV107" s="769"/>
      <c r="FOW107" s="769"/>
      <c r="FOX107" s="769"/>
      <c r="FOY107" s="769"/>
      <c r="FOZ107" s="769"/>
      <c r="FPA107" s="769"/>
      <c r="FPB107" s="769"/>
      <c r="FPC107" s="769"/>
      <c r="FPD107" s="769"/>
      <c r="FPE107" s="769"/>
      <c r="FPF107" s="769"/>
      <c r="FPG107" s="769"/>
      <c r="FPH107" s="769"/>
      <c r="FPI107" s="769"/>
      <c r="FPJ107" s="769"/>
      <c r="FPK107" s="769"/>
      <c r="FPL107" s="769"/>
      <c r="FPM107" s="769"/>
      <c r="FPN107" s="769"/>
      <c r="FPO107" s="769"/>
      <c r="FPP107" s="769"/>
      <c r="FPQ107" s="769"/>
      <c r="FPR107" s="769"/>
      <c r="FPS107" s="769"/>
      <c r="FPT107" s="769"/>
      <c r="FPU107" s="769"/>
      <c r="FPV107" s="769"/>
      <c r="FPW107" s="769"/>
      <c r="FPX107" s="769"/>
      <c r="FPY107" s="769"/>
      <c r="FPZ107" s="769"/>
      <c r="FQA107" s="769"/>
      <c r="FQB107" s="769"/>
      <c r="FQC107" s="769"/>
      <c r="FQD107" s="769"/>
      <c r="FQE107" s="769"/>
      <c r="FQF107" s="769"/>
      <c r="FQG107" s="769"/>
      <c r="FQH107" s="769"/>
      <c r="FQI107" s="769"/>
      <c r="FQJ107" s="769"/>
      <c r="FQK107" s="769"/>
      <c r="FQL107" s="769"/>
      <c r="FQM107" s="769"/>
      <c r="FQN107" s="769"/>
      <c r="FQO107" s="769"/>
      <c r="FQP107" s="769"/>
      <c r="FQQ107" s="769"/>
      <c r="FQR107" s="769"/>
      <c r="FQS107" s="769"/>
      <c r="FQT107" s="769"/>
      <c r="FQU107" s="769"/>
      <c r="FQV107" s="769"/>
      <c r="FQW107" s="769"/>
      <c r="FQX107" s="769"/>
      <c r="FQY107" s="769"/>
      <c r="FQZ107" s="769"/>
      <c r="FRA107" s="769"/>
      <c r="FRB107" s="769"/>
      <c r="FRC107" s="769"/>
      <c r="FRD107" s="769"/>
      <c r="FRE107" s="769"/>
      <c r="FRF107" s="769"/>
      <c r="FRG107" s="769"/>
      <c r="FRH107" s="769"/>
      <c r="FRI107" s="769"/>
      <c r="FRJ107" s="769"/>
      <c r="FRK107" s="769"/>
      <c r="FRL107" s="769"/>
      <c r="FRM107" s="769"/>
      <c r="FRN107" s="769"/>
      <c r="FRO107" s="769"/>
      <c r="FRP107" s="769"/>
      <c r="FRQ107" s="769"/>
      <c r="FRR107" s="769"/>
      <c r="FRS107" s="769"/>
      <c r="FRT107" s="769"/>
      <c r="FRU107" s="769"/>
      <c r="FRV107" s="769"/>
      <c r="FRW107" s="769"/>
      <c r="FRX107" s="769"/>
      <c r="FRY107" s="769"/>
      <c r="FRZ107" s="769"/>
      <c r="FSA107" s="769"/>
      <c r="FSB107" s="769"/>
      <c r="FSC107" s="769"/>
      <c r="FSD107" s="769"/>
      <c r="FSE107" s="769"/>
      <c r="FSF107" s="769"/>
      <c r="FSG107" s="769"/>
      <c r="FSH107" s="769"/>
      <c r="FSI107" s="769"/>
      <c r="FSJ107" s="769"/>
      <c r="FSK107" s="769"/>
      <c r="FSL107" s="769"/>
      <c r="FSM107" s="769"/>
      <c r="FSN107" s="769"/>
      <c r="FSO107" s="769"/>
      <c r="FSP107" s="769"/>
      <c r="FSQ107" s="769"/>
      <c r="FSR107" s="769"/>
      <c r="FSS107" s="769"/>
      <c r="FST107" s="769"/>
      <c r="FSU107" s="769"/>
      <c r="FSV107" s="769"/>
      <c r="FSW107" s="769"/>
      <c r="FSX107" s="769"/>
      <c r="FSY107" s="769"/>
      <c r="FSZ107" s="769"/>
      <c r="FTA107" s="769"/>
      <c r="FTB107" s="769"/>
      <c r="FTC107" s="769"/>
      <c r="FTD107" s="769"/>
      <c r="FTE107" s="769"/>
      <c r="FTF107" s="769"/>
      <c r="FTG107" s="769"/>
      <c r="FTH107" s="769"/>
      <c r="FTI107" s="769"/>
      <c r="FTJ107" s="769"/>
      <c r="FTK107" s="769"/>
      <c r="FTL107" s="769"/>
      <c r="FTM107" s="769"/>
      <c r="FTN107" s="769"/>
      <c r="FTO107" s="769"/>
      <c r="FTP107" s="769"/>
      <c r="FTQ107" s="769"/>
      <c r="FTR107" s="769"/>
      <c r="FTS107" s="769"/>
      <c r="FTT107" s="769"/>
      <c r="FTU107" s="769"/>
      <c r="FTV107" s="769"/>
      <c r="FTW107" s="769"/>
      <c r="FTX107" s="769"/>
      <c r="FTY107" s="769"/>
      <c r="FTZ107" s="769"/>
      <c r="FUA107" s="769"/>
      <c r="FUB107" s="769"/>
      <c r="FUC107" s="769"/>
      <c r="FUD107" s="769"/>
      <c r="FUE107" s="769"/>
      <c r="FUF107" s="769"/>
      <c r="FUG107" s="769"/>
      <c r="FUH107" s="769"/>
      <c r="FUI107" s="769"/>
      <c r="FUJ107" s="769"/>
      <c r="FUK107" s="769"/>
      <c r="FUL107" s="769"/>
      <c r="FUM107" s="769"/>
      <c r="FUN107" s="769"/>
      <c r="FUO107" s="769"/>
      <c r="FUP107" s="769"/>
      <c r="FUQ107" s="769"/>
      <c r="FUR107" s="769"/>
      <c r="FUS107" s="769"/>
      <c r="FUT107" s="769"/>
      <c r="FUU107" s="769"/>
      <c r="FUV107" s="769"/>
      <c r="FUW107" s="769"/>
      <c r="FUX107" s="769"/>
      <c r="FUY107" s="769"/>
      <c r="FUZ107" s="769"/>
      <c r="FVA107" s="769"/>
      <c r="FVB107" s="769"/>
      <c r="FVC107" s="769"/>
      <c r="FVD107" s="769"/>
      <c r="FVE107" s="769"/>
      <c r="FVF107" s="769"/>
      <c r="FVG107" s="769"/>
      <c r="FVH107" s="769"/>
      <c r="FVI107" s="769"/>
      <c r="FVJ107" s="769"/>
      <c r="FVK107" s="769"/>
      <c r="FVL107" s="769"/>
      <c r="FVM107" s="769"/>
      <c r="FVN107" s="769"/>
      <c r="FVO107" s="769"/>
      <c r="FVP107" s="769"/>
      <c r="FVQ107" s="769"/>
      <c r="FVR107" s="769"/>
      <c r="FVS107" s="769"/>
      <c r="FVT107" s="769"/>
      <c r="FVU107" s="769"/>
      <c r="FVV107" s="769"/>
      <c r="FVW107" s="769"/>
      <c r="FVX107" s="769"/>
      <c r="FVY107" s="769"/>
      <c r="FVZ107" s="769"/>
      <c r="FWA107" s="769"/>
      <c r="FWB107" s="769"/>
      <c r="FWC107" s="769"/>
      <c r="FWD107" s="769"/>
      <c r="FWE107" s="769"/>
      <c r="FWF107" s="769"/>
      <c r="FWG107" s="769"/>
      <c r="FWH107" s="769"/>
      <c r="FWI107" s="769"/>
      <c r="FWJ107" s="769"/>
      <c r="FWK107" s="769"/>
      <c r="FWL107" s="769"/>
      <c r="FWM107" s="769"/>
      <c r="FWN107" s="769"/>
      <c r="FWO107" s="769"/>
      <c r="FWP107" s="769"/>
      <c r="FWQ107" s="769"/>
      <c r="FWR107" s="769"/>
      <c r="FWS107" s="769"/>
      <c r="FWT107" s="769"/>
      <c r="FWU107" s="769"/>
      <c r="FWV107" s="769"/>
      <c r="FWW107" s="769"/>
      <c r="FWX107" s="769"/>
      <c r="FWY107" s="769"/>
      <c r="FWZ107" s="769"/>
      <c r="FXA107" s="769"/>
      <c r="FXB107" s="769"/>
      <c r="FXC107" s="769"/>
      <c r="FXD107" s="769"/>
      <c r="FXE107" s="769"/>
      <c r="FXF107" s="769"/>
      <c r="FXG107" s="769"/>
      <c r="FXH107" s="769"/>
      <c r="FXI107" s="769"/>
      <c r="FXJ107" s="769"/>
      <c r="FXK107" s="769"/>
      <c r="FXL107" s="769"/>
      <c r="FXM107" s="769"/>
      <c r="FXN107" s="769"/>
      <c r="FXO107" s="769"/>
      <c r="FXP107" s="769"/>
      <c r="FXQ107" s="769"/>
      <c r="FXR107" s="769"/>
      <c r="FXS107" s="769"/>
      <c r="FXT107" s="769"/>
      <c r="FXU107" s="769"/>
      <c r="FXV107" s="769"/>
      <c r="FXW107" s="769"/>
      <c r="FXX107" s="769"/>
      <c r="FXY107" s="769"/>
      <c r="FXZ107" s="769"/>
      <c r="FYA107" s="769"/>
      <c r="FYB107" s="769"/>
      <c r="FYC107" s="769"/>
      <c r="FYD107" s="769"/>
      <c r="FYE107" s="769"/>
      <c r="FYF107" s="769"/>
      <c r="FYG107" s="769"/>
      <c r="FYH107" s="769"/>
      <c r="FYI107" s="769"/>
      <c r="FYJ107" s="769"/>
      <c r="FYK107" s="769"/>
      <c r="FYL107" s="769"/>
      <c r="FYM107" s="769"/>
      <c r="FYN107" s="769"/>
      <c r="FYO107" s="769"/>
      <c r="FYP107" s="769"/>
      <c r="FYQ107" s="769"/>
      <c r="FYR107" s="769"/>
      <c r="FYS107" s="769"/>
      <c r="FYT107" s="769"/>
      <c r="FYU107" s="769"/>
      <c r="FYV107" s="769"/>
      <c r="FYW107" s="769"/>
      <c r="FYX107" s="769"/>
      <c r="FYY107" s="769"/>
      <c r="FYZ107" s="769"/>
      <c r="FZA107" s="769"/>
      <c r="FZB107" s="769"/>
      <c r="FZC107" s="769"/>
      <c r="FZD107" s="769"/>
      <c r="FZE107" s="769"/>
      <c r="FZF107" s="769"/>
      <c r="FZG107" s="769"/>
      <c r="FZH107" s="769"/>
      <c r="FZI107" s="769"/>
      <c r="FZJ107" s="769"/>
      <c r="FZK107" s="769"/>
      <c r="FZL107" s="769"/>
      <c r="FZM107" s="769"/>
      <c r="FZN107" s="769"/>
      <c r="FZO107" s="769"/>
      <c r="FZP107" s="769"/>
      <c r="FZQ107" s="769"/>
      <c r="FZR107" s="769"/>
      <c r="FZS107" s="769"/>
      <c r="FZT107" s="769"/>
      <c r="FZU107" s="769"/>
      <c r="FZV107" s="769"/>
      <c r="FZW107" s="769"/>
      <c r="FZX107" s="769"/>
      <c r="FZY107" s="769"/>
      <c r="FZZ107" s="769"/>
      <c r="GAA107" s="769"/>
      <c r="GAB107" s="769"/>
      <c r="GAC107" s="769"/>
      <c r="GAD107" s="769"/>
      <c r="GAE107" s="769"/>
      <c r="GAF107" s="769"/>
      <c r="GAG107" s="769"/>
      <c r="GAH107" s="769"/>
      <c r="GAI107" s="769"/>
      <c r="GAJ107" s="769"/>
      <c r="GAK107" s="769"/>
      <c r="GAL107" s="769"/>
      <c r="GAM107" s="769"/>
      <c r="GAN107" s="769"/>
      <c r="GAO107" s="769"/>
      <c r="GAP107" s="769"/>
      <c r="GAQ107" s="769"/>
      <c r="GAR107" s="769"/>
      <c r="GAS107" s="769"/>
      <c r="GAT107" s="769"/>
      <c r="GAU107" s="769"/>
      <c r="GAV107" s="769"/>
      <c r="GAW107" s="769"/>
      <c r="GAX107" s="769"/>
      <c r="GAY107" s="769"/>
      <c r="GAZ107" s="769"/>
      <c r="GBA107" s="769"/>
      <c r="GBB107" s="769"/>
      <c r="GBC107" s="769"/>
      <c r="GBD107" s="769"/>
      <c r="GBE107" s="769"/>
      <c r="GBF107" s="769"/>
      <c r="GBG107" s="769"/>
      <c r="GBH107" s="769"/>
      <c r="GBI107" s="769"/>
      <c r="GBJ107" s="769"/>
      <c r="GBK107" s="769"/>
      <c r="GBL107" s="769"/>
      <c r="GBM107" s="769"/>
      <c r="GBN107" s="769"/>
      <c r="GBO107" s="769"/>
      <c r="GBP107" s="769"/>
      <c r="GBQ107" s="769"/>
      <c r="GBR107" s="769"/>
      <c r="GBS107" s="769"/>
      <c r="GBT107" s="769"/>
      <c r="GBU107" s="769"/>
      <c r="GBV107" s="769"/>
      <c r="GBW107" s="769"/>
      <c r="GBX107" s="769"/>
      <c r="GBY107" s="769"/>
      <c r="GBZ107" s="769"/>
      <c r="GCA107" s="769"/>
      <c r="GCB107" s="769"/>
      <c r="GCC107" s="769"/>
      <c r="GCD107" s="769"/>
      <c r="GCE107" s="769"/>
      <c r="GCF107" s="769"/>
      <c r="GCG107" s="769"/>
      <c r="GCH107" s="769"/>
      <c r="GCI107" s="769"/>
      <c r="GCJ107" s="769"/>
      <c r="GCK107" s="769"/>
      <c r="GCL107" s="769"/>
      <c r="GCM107" s="769"/>
      <c r="GCN107" s="769"/>
      <c r="GCO107" s="769"/>
      <c r="GCP107" s="769"/>
      <c r="GCQ107" s="769"/>
      <c r="GCR107" s="769"/>
      <c r="GCS107" s="769"/>
      <c r="GCT107" s="769"/>
      <c r="GCU107" s="769"/>
      <c r="GCV107" s="769"/>
      <c r="GCW107" s="769"/>
      <c r="GCX107" s="769"/>
      <c r="GCY107" s="769"/>
      <c r="GCZ107" s="769"/>
      <c r="GDA107" s="769"/>
      <c r="GDB107" s="769"/>
      <c r="GDC107" s="769"/>
      <c r="GDD107" s="769"/>
      <c r="GDE107" s="769"/>
      <c r="GDF107" s="769"/>
      <c r="GDG107" s="769"/>
      <c r="GDH107" s="769"/>
      <c r="GDI107" s="769"/>
      <c r="GDJ107" s="769"/>
      <c r="GDK107" s="769"/>
      <c r="GDL107" s="769"/>
      <c r="GDM107" s="769"/>
      <c r="GDN107" s="769"/>
      <c r="GDO107" s="769"/>
      <c r="GDP107" s="769"/>
      <c r="GDQ107" s="769"/>
      <c r="GDR107" s="769"/>
      <c r="GDS107" s="769"/>
      <c r="GDT107" s="769"/>
      <c r="GDU107" s="769"/>
      <c r="GDV107" s="769"/>
      <c r="GDW107" s="769"/>
      <c r="GDX107" s="769"/>
      <c r="GDY107" s="769"/>
      <c r="GDZ107" s="769"/>
      <c r="GEA107" s="769"/>
      <c r="GEB107" s="769"/>
      <c r="GEC107" s="769"/>
      <c r="GED107" s="769"/>
      <c r="GEE107" s="769"/>
      <c r="GEF107" s="769"/>
      <c r="GEG107" s="769"/>
      <c r="GEH107" s="769"/>
      <c r="GEI107" s="769"/>
      <c r="GEJ107" s="769"/>
      <c r="GEK107" s="769"/>
      <c r="GEL107" s="769"/>
      <c r="GEM107" s="769"/>
      <c r="GEN107" s="769"/>
      <c r="GEO107" s="769"/>
      <c r="GEP107" s="769"/>
      <c r="GEQ107" s="769"/>
      <c r="GER107" s="769"/>
      <c r="GES107" s="769"/>
      <c r="GET107" s="769"/>
      <c r="GEU107" s="769"/>
      <c r="GEV107" s="769"/>
      <c r="GEW107" s="769"/>
      <c r="GEX107" s="769"/>
      <c r="GEY107" s="769"/>
      <c r="GEZ107" s="769"/>
      <c r="GFA107" s="769"/>
      <c r="GFB107" s="769"/>
      <c r="GFC107" s="769"/>
      <c r="GFD107" s="769"/>
      <c r="GFE107" s="769"/>
      <c r="GFF107" s="769"/>
      <c r="GFG107" s="769"/>
      <c r="GFH107" s="769"/>
      <c r="GFI107" s="769"/>
      <c r="GFJ107" s="769"/>
      <c r="GFK107" s="769"/>
      <c r="GFL107" s="769"/>
      <c r="GFM107" s="769"/>
      <c r="GFN107" s="769"/>
      <c r="GFO107" s="769"/>
      <c r="GFP107" s="769"/>
      <c r="GFQ107" s="769"/>
      <c r="GFR107" s="769"/>
      <c r="GFS107" s="769"/>
      <c r="GFT107" s="769"/>
      <c r="GFU107" s="769"/>
      <c r="GFV107" s="769"/>
      <c r="GFW107" s="769"/>
      <c r="GFX107" s="769"/>
      <c r="GFY107" s="769"/>
      <c r="GFZ107" s="769"/>
      <c r="GGA107" s="769"/>
      <c r="GGB107" s="769"/>
      <c r="GGC107" s="769"/>
      <c r="GGD107" s="769"/>
      <c r="GGE107" s="769"/>
      <c r="GGF107" s="769"/>
      <c r="GGG107" s="769"/>
      <c r="GGH107" s="769"/>
      <c r="GGI107" s="769"/>
      <c r="GGJ107" s="769"/>
      <c r="GGK107" s="769"/>
      <c r="GGL107" s="769"/>
      <c r="GGM107" s="769"/>
      <c r="GGN107" s="769"/>
      <c r="GGO107" s="769"/>
      <c r="GGP107" s="769"/>
      <c r="GGQ107" s="769"/>
      <c r="GGR107" s="769"/>
      <c r="GGS107" s="769"/>
      <c r="GGT107" s="769"/>
      <c r="GGU107" s="769"/>
      <c r="GGV107" s="769"/>
      <c r="GGW107" s="769"/>
      <c r="GGX107" s="769"/>
      <c r="GGY107" s="769"/>
      <c r="GGZ107" s="769"/>
      <c r="GHA107" s="769"/>
      <c r="GHB107" s="769"/>
      <c r="GHC107" s="769"/>
      <c r="GHD107" s="769"/>
      <c r="GHE107" s="769"/>
      <c r="GHF107" s="769"/>
      <c r="GHG107" s="769"/>
      <c r="GHH107" s="769"/>
      <c r="GHI107" s="769"/>
      <c r="GHJ107" s="769"/>
      <c r="GHK107" s="769"/>
      <c r="GHL107" s="769"/>
      <c r="GHM107" s="769"/>
      <c r="GHN107" s="769"/>
      <c r="GHO107" s="769"/>
      <c r="GHP107" s="769"/>
      <c r="GHQ107" s="769"/>
      <c r="GHR107" s="769"/>
      <c r="GHS107" s="769"/>
      <c r="GHT107" s="769"/>
      <c r="GHU107" s="769"/>
      <c r="GHV107" s="769"/>
      <c r="GHW107" s="769"/>
      <c r="GHX107" s="769"/>
      <c r="GHY107" s="769"/>
      <c r="GHZ107" s="769"/>
      <c r="GIA107" s="769"/>
      <c r="GIB107" s="769"/>
      <c r="GIC107" s="769"/>
      <c r="GID107" s="769"/>
      <c r="GIE107" s="769"/>
      <c r="GIF107" s="769"/>
      <c r="GIG107" s="769"/>
      <c r="GIH107" s="769"/>
      <c r="GII107" s="769"/>
      <c r="GIJ107" s="769"/>
      <c r="GIK107" s="769"/>
      <c r="GIL107" s="769"/>
      <c r="GIM107" s="769"/>
      <c r="GIN107" s="769"/>
      <c r="GIO107" s="769"/>
      <c r="GIP107" s="769"/>
      <c r="GIQ107" s="769"/>
      <c r="GIR107" s="769"/>
      <c r="GIS107" s="769"/>
      <c r="GIT107" s="769"/>
      <c r="GIU107" s="769"/>
      <c r="GIV107" s="769"/>
      <c r="GIW107" s="769"/>
      <c r="GIX107" s="769"/>
      <c r="GIY107" s="769"/>
      <c r="GIZ107" s="769"/>
      <c r="GJA107" s="769"/>
      <c r="GJB107" s="769"/>
      <c r="GJC107" s="769"/>
      <c r="GJD107" s="769"/>
      <c r="GJE107" s="769"/>
      <c r="GJF107" s="769"/>
      <c r="GJG107" s="769"/>
      <c r="GJH107" s="769"/>
      <c r="GJI107" s="769"/>
      <c r="GJJ107" s="769"/>
      <c r="GJK107" s="769"/>
      <c r="GJL107" s="769"/>
      <c r="GJM107" s="769"/>
      <c r="GJN107" s="769"/>
      <c r="GJO107" s="769"/>
      <c r="GJP107" s="769"/>
      <c r="GJQ107" s="769"/>
      <c r="GJR107" s="769"/>
      <c r="GJS107" s="769"/>
      <c r="GJT107" s="769"/>
      <c r="GJU107" s="769"/>
      <c r="GJV107" s="769"/>
      <c r="GJW107" s="769"/>
      <c r="GJX107" s="769"/>
      <c r="GJY107" s="769"/>
      <c r="GJZ107" s="769"/>
      <c r="GKA107" s="769"/>
      <c r="GKB107" s="769"/>
      <c r="GKC107" s="769"/>
      <c r="GKD107" s="769"/>
      <c r="GKE107" s="769"/>
      <c r="GKF107" s="769"/>
      <c r="GKG107" s="769"/>
      <c r="GKH107" s="769"/>
      <c r="GKI107" s="769"/>
      <c r="GKJ107" s="769"/>
      <c r="GKK107" s="769"/>
      <c r="GKL107" s="769"/>
      <c r="GKM107" s="769"/>
      <c r="GKN107" s="769"/>
      <c r="GKO107" s="769"/>
      <c r="GKP107" s="769"/>
      <c r="GKQ107" s="769"/>
      <c r="GKR107" s="769"/>
      <c r="GKS107" s="769"/>
      <c r="GKT107" s="769"/>
      <c r="GKU107" s="769"/>
      <c r="GKV107" s="769"/>
      <c r="GKW107" s="769"/>
      <c r="GKX107" s="769"/>
      <c r="GKY107" s="769"/>
      <c r="GKZ107" s="769"/>
      <c r="GLA107" s="769"/>
      <c r="GLB107" s="769"/>
      <c r="GLC107" s="769"/>
      <c r="GLD107" s="769"/>
      <c r="GLE107" s="769"/>
      <c r="GLF107" s="769"/>
      <c r="GLG107" s="769"/>
      <c r="GLH107" s="769"/>
      <c r="GLI107" s="769"/>
      <c r="GLJ107" s="769"/>
      <c r="GLK107" s="769"/>
      <c r="GLL107" s="769"/>
      <c r="GLM107" s="769"/>
      <c r="GLN107" s="769"/>
      <c r="GLO107" s="769"/>
      <c r="GLP107" s="769"/>
      <c r="GLQ107" s="769"/>
      <c r="GLR107" s="769"/>
      <c r="GLS107" s="769"/>
      <c r="GLT107" s="769"/>
      <c r="GLU107" s="769"/>
      <c r="GLV107" s="769"/>
      <c r="GLW107" s="769"/>
      <c r="GLX107" s="769"/>
      <c r="GLY107" s="769"/>
      <c r="GLZ107" s="769"/>
      <c r="GMA107" s="769"/>
      <c r="GMB107" s="769"/>
      <c r="GMC107" s="769"/>
      <c r="GMD107" s="769"/>
      <c r="GME107" s="769"/>
      <c r="GMF107" s="769"/>
      <c r="GMG107" s="769"/>
      <c r="GMH107" s="769"/>
      <c r="GMI107" s="769"/>
      <c r="GMJ107" s="769"/>
      <c r="GMK107" s="769"/>
      <c r="GML107" s="769"/>
      <c r="GMM107" s="769"/>
      <c r="GMN107" s="769"/>
      <c r="GMO107" s="769"/>
      <c r="GMP107" s="769"/>
      <c r="GMQ107" s="769"/>
      <c r="GMR107" s="769"/>
      <c r="GMS107" s="769"/>
      <c r="GMT107" s="769"/>
      <c r="GMU107" s="769"/>
      <c r="GMV107" s="769"/>
      <c r="GMW107" s="769"/>
      <c r="GMX107" s="769"/>
      <c r="GMY107" s="769"/>
      <c r="GMZ107" s="769"/>
      <c r="GNA107" s="769"/>
      <c r="GNB107" s="769"/>
      <c r="GNC107" s="769"/>
      <c r="GND107" s="769"/>
      <c r="GNE107" s="769"/>
      <c r="GNF107" s="769"/>
      <c r="GNG107" s="769"/>
      <c r="GNH107" s="769"/>
      <c r="GNI107" s="769"/>
      <c r="GNJ107" s="769"/>
      <c r="GNK107" s="769"/>
      <c r="GNL107" s="769"/>
      <c r="GNM107" s="769"/>
      <c r="GNN107" s="769"/>
      <c r="GNO107" s="769"/>
      <c r="GNP107" s="769"/>
      <c r="GNQ107" s="769"/>
      <c r="GNR107" s="769"/>
      <c r="GNS107" s="769"/>
      <c r="GNT107" s="769"/>
      <c r="GNU107" s="769"/>
      <c r="GNV107" s="769"/>
      <c r="GNW107" s="769"/>
      <c r="GNX107" s="769"/>
      <c r="GNY107" s="769"/>
      <c r="GNZ107" s="769"/>
      <c r="GOA107" s="769"/>
      <c r="GOB107" s="769"/>
      <c r="GOC107" s="769"/>
      <c r="GOD107" s="769"/>
      <c r="GOE107" s="769"/>
      <c r="GOF107" s="769"/>
      <c r="GOG107" s="769"/>
      <c r="GOH107" s="769"/>
      <c r="GOI107" s="769"/>
      <c r="GOJ107" s="769"/>
      <c r="GOK107" s="769"/>
      <c r="GOL107" s="769"/>
      <c r="GOM107" s="769"/>
      <c r="GON107" s="769"/>
      <c r="GOO107" s="769"/>
      <c r="GOP107" s="769"/>
      <c r="GOQ107" s="769"/>
      <c r="GOR107" s="769"/>
      <c r="GOS107" s="769"/>
      <c r="GOT107" s="769"/>
      <c r="GOU107" s="769"/>
      <c r="GOV107" s="769"/>
      <c r="GOW107" s="769"/>
      <c r="GOX107" s="769"/>
      <c r="GOY107" s="769"/>
      <c r="GOZ107" s="769"/>
      <c r="GPA107" s="769"/>
      <c r="GPB107" s="769"/>
      <c r="GPC107" s="769"/>
      <c r="GPD107" s="769"/>
      <c r="GPE107" s="769"/>
      <c r="GPF107" s="769"/>
      <c r="GPG107" s="769"/>
      <c r="GPH107" s="769"/>
      <c r="GPI107" s="769"/>
      <c r="GPJ107" s="769"/>
      <c r="GPK107" s="769"/>
      <c r="GPL107" s="769"/>
      <c r="GPM107" s="769"/>
      <c r="GPN107" s="769"/>
      <c r="GPO107" s="769"/>
      <c r="GPP107" s="769"/>
      <c r="GPQ107" s="769"/>
      <c r="GPR107" s="769"/>
      <c r="GPS107" s="769"/>
      <c r="GPT107" s="769"/>
      <c r="GPU107" s="769"/>
      <c r="GPV107" s="769"/>
      <c r="GPW107" s="769"/>
      <c r="GPX107" s="769"/>
      <c r="GPY107" s="769"/>
      <c r="GPZ107" s="769"/>
      <c r="GQA107" s="769"/>
      <c r="GQB107" s="769"/>
      <c r="GQC107" s="769"/>
      <c r="GQD107" s="769"/>
      <c r="GQE107" s="769"/>
      <c r="GQF107" s="769"/>
      <c r="GQG107" s="769"/>
      <c r="GQH107" s="769"/>
      <c r="GQI107" s="769"/>
      <c r="GQJ107" s="769"/>
      <c r="GQK107" s="769"/>
      <c r="GQL107" s="769"/>
      <c r="GQM107" s="769"/>
      <c r="GQN107" s="769"/>
      <c r="GQO107" s="769"/>
      <c r="GQP107" s="769"/>
      <c r="GQQ107" s="769"/>
      <c r="GQR107" s="769"/>
      <c r="GQS107" s="769"/>
      <c r="GQT107" s="769"/>
      <c r="GQU107" s="769"/>
      <c r="GQV107" s="769"/>
      <c r="GQW107" s="769"/>
      <c r="GQX107" s="769"/>
      <c r="GQY107" s="769"/>
      <c r="GQZ107" s="769"/>
      <c r="GRA107" s="769"/>
      <c r="GRB107" s="769"/>
      <c r="GRC107" s="769"/>
      <c r="GRD107" s="769"/>
      <c r="GRE107" s="769"/>
      <c r="GRF107" s="769"/>
      <c r="GRG107" s="769"/>
      <c r="GRH107" s="769"/>
      <c r="GRI107" s="769"/>
      <c r="GRJ107" s="769"/>
      <c r="GRK107" s="769"/>
      <c r="GRL107" s="769"/>
      <c r="GRM107" s="769"/>
      <c r="GRN107" s="769"/>
      <c r="GRO107" s="769"/>
      <c r="GRP107" s="769"/>
      <c r="GRQ107" s="769"/>
      <c r="GRR107" s="769"/>
      <c r="GRS107" s="769"/>
      <c r="GRT107" s="769"/>
      <c r="GRU107" s="769"/>
      <c r="GRV107" s="769"/>
      <c r="GRW107" s="769"/>
      <c r="GRX107" s="769"/>
      <c r="GRY107" s="769"/>
      <c r="GRZ107" s="769"/>
      <c r="GSA107" s="769"/>
      <c r="GSB107" s="769"/>
      <c r="GSC107" s="769"/>
      <c r="GSD107" s="769"/>
      <c r="GSE107" s="769"/>
      <c r="GSF107" s="769"/>
      <c r="GSG107" s="769"/>
      <c r="GSH107" s="769"/>
      <c r="GSI107" s="769"/>
      <c r="GSJ107" s="769"/>
      <c r="GSK107" s="769"/>
      <c r="GSL107" s="769"/>
      <c r="GSM107" s="769"/>
      <c r="GSN107" s="769"/>
      <c r="GSO107" s="769"/>
      <c r="GSP107" s="769"/>
      <c r="GSQ107" s="769"/>
      <c r="GSR107" s="769"/>
      <c r="GSS107" s="769"/>
      <c r="GST107" s="769"/>
      <c r="GSU107" s="769"/>
      <c r="GSV107" s="769"/>
      <c r="GSW107" s="769"/>
      <c r="GSX107" s="769"/>
      <c r="GSY107" s="769"/>
      <c r="GSZ107" s="769"/>
      <c r="GTA107" s="769"/>
      <c r="GTB107" s="769"/>
      <c r="GTC107" s="769"/>
      <c r="GTD107" s="769"/>
      <c r="GTE107" s="769"/>
      <c r="GTF107" s="769"/>
      <c r="GTG107" s="769"/>
      <c r="GTH107" s="769"/>
      <c r="GTI107" s="769"/>
      <c r="GTJ107" s="769"/>
      <c r="GTK107" s="769"/>
      <c r="GTL107" s="769"/>
      <c r="GTM107" s="769"/>
      <c r="GTN107" s="769"/>
      <c r="GTO107" s="769"/>
      <c r="GTP107" s="769"/>
      <c r="GTQ107" s="769"/>
      <c r="GTR107" s="769"/>
      <c r="GTS107" s="769"/>
      <c r="GTT107" s="769"/>
      <c r="GTU107" s="769"/>
      <c r="GTV107" s="769"/>
      <c r="GTW107" s="769"/>
      <c r="GTX107" s="769"/>
      <c r="GTY107" s="769"/>
      <c r="GTZ107" s="769"/>
      <c r="GUA107" s="769"/>
      <c r="GUB107" s="769"/>
      <c r="GUC107" s="769"/>
      <c r="GUD107" s="769"/>
      <c r="GUE107" s="769"/>
      <c r="GUF107" s="769"/>
      <c r="GUG107" s="769"/>
      <c r="GUH107" s="769"/>
      <c r="GUI107" s="769"/>
      <c r="GUJ107" s="769"/>
      <c r="GUK107" s="769"/>
      <c r="GUL107" s="769"/>
      <c r="GUM107" s="769"/>
      <c r="GUN107" s="769"/>
      <c r="GUO107" s="769"/>
      <c r="GUP107" s="769"/>
      <c r="GUQ107" s="769"/>
      <c r="GUR107" s="769"/>
      <c r="GUS107" s="769"/>
      <c r="GUT107" s="769"/>
      <c r="GUU107" s="769"/>
      <c r="GUV107" s="769"/>
      <c r="GUW107" s="769"/>
      <c r="GUX107" s="769"/>
      <c r="GUY107" s="769"/>
      <c r="GUZ107" s="769"/>
      <c r="GVA107" s="769"/>
      <c r="GVB107" s="769"/>
      <c r="GVC107" s="769"/>
      <c r="GVD107" s="769"/>
      <c r="GVE107" s="769"/>
      <c r="GVF107" s="769"/>
      <c r="GVG107" s="769"/>
      <c r="GVH107" s="769"/>
      <c r="GVI107" s="769"/>
      <c r="GVJ107" s="769"/>
      <c r="GVK107" s="769"/>
      <c r="GVL107" s="769"/>
      <c r="GVM107" s="769"/>
      <c r="GVN107" s="769"/>
      <c r="GVO107" s="769"/>
      <c r="GVP107" s="769"/>
      <c r="GVQ107" s="769"/>
      <c r="GVR107" s="769"/>
      <c r="GVS107" s="769"/>
      <c r="GVT107" s="769"/>
      <c r="GVU107" s="769"/>
      <c r="GVV107" s="769"/>
      <c r="GVW107" s="769"/>
      <c r="GVX107" s="769"/>
      <c r="GVY107" s="769"/>
      <c r="GVZ107" s="769"/>
      <c r="GWA107" s="769"/>
      <c r="GWB107" s="769"/>
      <c r="GWC107" s="769"/>
      <c r="GWD107" s="769"/>
      <c r="GWE107" s="769"/>
      <c r="GWF107" s="769"/>
      <c r="GWG107" s="769"/>
      <c r="GWH107" s="769"/>
      <c r="GWI107" s="769"/>
      <c r="GWJ107" s="769"/>
      <c r="GWK107" s="769"/>
      <c r="GWL107" s="769"/>
      <c r="GWM107" s="769"/>
      <c r="GWN107" s="769"/>
      <c r="GWO107" s="769"/>
      <c r="GWP107" s="769"/>
      <c r="GWQ107" s="769"/>
      <c r="GWR107" s="769"/>
      <c r="GWS107" s="769"/>
      <c r="GWT107" s="769"/>
      <c r="GWU107" s="769"/>
      <c r="GWV107" s="769"/>
      <c r="GWW107" s="769"/>
      <c r="GWX107" s="769"/>
      <c r="GWY107" s="769"/>
      <c r="GWZ107" s="769"/>
      <c r="GXA107" s="769"/>
      <c r="GXB107" s="769"/>
      <c r="GXC107" s="769"/>
      <c r="GXD107" s="769"/>
      <c r="GXE107" s="769"/>
      <c r="GXF107" s="769"/>
      <c r="GXG107" s="769"/>
      <c r="GXH107" s="769"/>
      <c r="GXI107" s="769"/>
      <c r="GXJ107" s="769"/>
      <c r="GXK107" s="769"/>
      <c r="GXL107" s="769"/>
      <c r="GXM107" s="769"/>
      <c r="GXN107" s="769"/>
      <c r="GXO107" s="769"/>
      <c r="GXP107" s="769"/>
      <c r="GXQ107" s="769"/>
      <c r="GXR107" s="769"/>
      <c r="GXS107" s="769"/>
      <c r="GXT107" s="769"/>
      <c r="GXU107" s="769"/>
      <c r="GXV107" s="769"/>
      <c r="GXW107" s="769"/>
      <c r="GXX107" s="769"/>
      <c r="GXY107" s="769"/>
      <c r="GXZ107" s="769"/>
      <c r="GYA107" s="769"/>
      <c r="GYB107" s="769"/>
      <c r="GYC107" s="769"/>
      <c r="GYD107" s="769"/>
      <c r="GYE107" s="769"/>
      <c r="GYF107" s="769"/>
      <c r="GYG107" s="769"/>
      <c r="GYH107" s="769"/>
      <c r="GYI107" s="769"/>
      <c r="GYJ107" s="769"/>
      <c r="GYK107" s="769"/>
      <c r="GYL107" s="769"/>
      <c r="GYM107" s="769"/>
      <c r="GYN107" s="769"/>
      <c r="GYO107" s="769"/>
      <c r="GYP107" s="769"/>
      <c r="GYQ107" s="769"/>
      <c r="GYR107" s="769"/>
      <c r="GYS107" s="769"/>
      <c r="GYT107" s="769"/>
      <c r="GYU107" s="769"/>
      <c r="GYV107" s="769"/>
      <c r="GYW107" s="769"/>
      <c r="GYX107" s="769"/>
      <c r="GYY107" s="769"/>
      <c r="GYZ107" s="769"/>
      <c r="GZA107" s="769"/>
      <c r="GZB107" s="769"/>
      <c r="GZC107" s="769"/>
      <c r="GZD107" s="769"/>
      <c r="GZE107" s="769"/>
      <c r="GZF107" s="769"/>
      <c r="GZG107" s="769"/>
      <c r="GZH107" s="769"/>
      <c r="GZI107" s="769"/>
      <c r="GZJ107" s="769"/>
      <c r="GZK107" s="769"/>
      <c r="GZL107" s="769"/>
      <c r="GZM107" s="769"/>
      <c r="GZN107" s="769"/>
      <c r="GZO107" s="769"/>
      <c r="GZP107" s="769"/>
      <c r="GZQ107" s="769"/>
      <c r="GZR107" s="769"/>
      <c r="GZS107" s="769"/>
      <c r="GZT107" s="769"/>
      <c r="GZU107" s="769"/>
      <c r="GZV107" s="769"/>
      <c r="GZW107" s="769"/>
      <c r="GZX107" s="769"/>
      <c r="GZY107" s="769"/>
      <c r="GZZ107" s="769"/>
      <c r="HAA107" s="769"/>
      <c r="HAB107" s="769"/>
      <c r="HAC107" s="769"/>
      <c r="HAD107" s="769"/>
      <c r="HAE107" s="769"/>
      <c r="HAF107" s="769"/>
      <c r="HAG107" s="769"/>
      <c r="HAH107" s="769"/>
      <c r="HAI107" s="769"/>
      <c r="HAJ107" s="769"/>
      <c r="HAK107" s="769"/>
      <c r="HAL107" s="769"/>
      <c r="HAM107" s="769"/>
      <c r="HAN107" s="769"/>
      <c r="HAO107" s="769"/>
      <c r="HAP107" s="769"/>
      <c r="HAQ107" s="769"/>
      <c r="HAR107" s="769"/>
      <c r="HAS107" s="769"/>
      <c r="HAT107" s="769"/>
      <c r="HAU107" s="769"/>
      <c r="HAV107" s="769"/>
      <c r="HAW107" s="769"/>
      <c r="HAX107" s="769"/>
      <c r="HAY107" s="769"/>
      <c r="HAZ107" s="769"/>
      <c r="HBA107" s="769"/>
      <c r="HBB107" s="769"/>
      <c r="HBC107" s="769"/>
      <c r="HBD107" s="769"/>
      <c r="HBE107" s="769"/>
      <c r="HBF107" s="769"/>
      <c r="HBG107" s="769"/>
      <c r="HBH107" s="769"/>
      <c r="HBI107" s="769"/>
      <c r="HBJ107" s="769"/>
      <c r="HBK107" s="769"/>
      <c r="HBL107" s="769"/>
      <c r="HBM107" s="769"/>
      <c r="HBN107" s="769"/>
      <c r="HBO107" s="769"/>
      <c r="HBP107" s="769"/>
      <c r="HBQ107" s="769"/>
      <c r="HBR107" s="769"/>
      <c r="HBS107" s="769"/>
      <c r="HBT107" s="769"/>
      <c r="HBU107" s="769"/>
      <c r="HBV107" s="769"/>
      <c r="HBW107" s="769"/>
      <c r="HBX107" s="769"/>
      <c r="HBY107" s="769"/>
      <c r="HBZ107" s="769"/>
      <c r="HCA107" s="769"/>
      <c r="HCB107" s="769"/>
      <c r="HCC107" s="769"/>
      <c r="HCD107" s="769"/>
      <c r="HCE107" s="769"/>
      <c r="HCF107" s="769"/>
      <c r="HCG107" s="769"/>
      <c r="HCH107" s="769"/>
      <c r="HCI107" s="769"/>
      <c r="HCJ107" s="769"/>
      <c r="HCK107" s="769"/>
      <c r="HCL107" s="769"/>
      <c r="HCM107" s="769"/>
      <c r="HCN107" s="769"/>
      <c r="HCO107" s="769"/>
      <c r="HCP107" s="769"/>
      <c r="HCQ107" s="769"/>
      <c r="HCR107" s="769"/>
      <c r="HCS107" s="769"/>
      <c r="HCT107" s="769"/>
      <c r="HCU107" s="769"/>
      <c r="HCV107" s="769"/>
      <c r="HCW107" s="769"/>
      <c r="HCX107" s="769"/>
      <c r="HCY107" s="769"/>
      <c r="HCZ107" s="769"/>
      <c r="HDA107" s="769"/>
      <c r="HDB107" s="769"/>
      <c r="HDC107" s="769"/>
      <c r="HDD107" s="769"/>
      <c r="HDE107" s="769"/>
      <c r="HDF107" s="769"/>
      <c r="HDG107" s="769"/>
      <c r="HDH107" s="769"/>
      <c r="HDI107" s="769"/>
      <c r="HDJ107" s="769"/>
      <c r="HDK107" s="769"/>
      <c r="HDL107" s="769"/>
      <c r="HDM107" s="769"/>
      <c r="HDN107" s="769"/>
      <c r="HDO107" s="769"/>
      <c r="HDP107" s="769"/>
      <c r="HDQ107" s="769"/>
      <c r="HDR107" s="769"/>
      <c r="HDS107" s="769"/>
      <c r="HDT107" s="769"/>
      <c r="HDU107" s="769"/>
      <c r="HDV107" s="769"/>
      <c r="HDW107" s="769"/>
      <c r="HDX107" s="769"/>
      <c r="HDY107" s="769"/>
      <c r="HDZ107" s="769"/>
      <c r="HEA107" s="769"/>
      <c r="HEB107" s="769"/>
      <c r="HEC107" s="769"/>
      <c r="HED107" s="769"/>
      <c r="HEE107" s="769"/>
      <c r="HEF107" s="769"/>
      <c r="HEG107" s="769"/>
      <c r="HEH107" s="769"/>
      <c r="HEI107" s="769"/>
      <c r="HEJ107" s="769"/>
      <c r="HEK107" s="769"/>
      <c r="HEL107" s="769"/>
      <c r="HEM107" s="769"/>
      <c r="HEN107" s="769"/>
      <c r="HEO107" s="769"/>
      <c r="HEP107" s="769"/>
      <c r="HEQ107" s="769"/>
      <c r="HER107" s="769"/>
      <c r="HES107" s="769"/>
      <c r="HET107" s="769"/>
      <c r="HEU107" s="769"/>
      <c r="HEV107" s="769"/>
      <c r="HEW107" s="769"/>
      <c r="HEX107" s="769"/>
      <c r="HEY107" s="769"/>
      <c r="HEZ107" s="769"/>
      <c r="HFA107" s="769"/>
      <c r="HFB107" s="769"/>
      <c r="HFC107" s="769"/>
      <c r="HFD107" s="769"/>
      <c r="HFE107" s="769"/>
      <c r="HFF107" s="769"/>
      <c r="HFG107" s="769"/>
      <c r="HFH107" s="769"/>
      <c r="HFI107" s="769"/>
      <c r="HFJ107" s="769"/>
      <c r="HFK107" s="769"/>
      <c r="HFL107" s="769"/>
      <c r="HFM107" s="769"/>
      <c r="HFN107" s="769"/>
      <c r="HFO107" s="769"/>
      <c r="HFP107" s="769"/>
      <c r="HFQ107" s="769"/>
      <c r="HFR107" s="769"/>
      <c r="HFS107" s="769"/>
      <c r="HFT107" s="769"/>
      <c r="HFU107" s="769"/>
      <c r="HFV107" s="769"/>
      <c r="HFW107" s="769"/>
      <c r="HFX107" s="769"/>
      <c r="HFY107" s="769"/>
      <c r="HFZ107" s="769"/>
      <c r="HGA107" s="769"/>
      <c r="HGB107" s="769"/>
      <c r="HGC107" s="769"/>
      <c r="HGD107" s="769"/>
      <c r="HGE107" s="769"/>
      <c r="HGF107" s="769"/>
      <c r="HGG107" s="769"/>
      <c r="HGH107" s="769"/>
      <c r="HGI107" s="769"/>
      <c r="HGJ107" s="769"/>
      <c r="HGK107" s="769"/>
      <c r="HGL107" s="769"/>
      <c r="HGM107" s="769"/>
      <c r="HGN107" s="769"/>
      <c r="HGO107" s="769"/>
      <c r="HGP107" s="769"/>
      <c r="HGQ107" s="769"/>
      <c r="HGR107" s="769"/>
      <c r="HGS107" s="769"/>
      <c r="HGT107" s="769"/>
      <c r="HGU107" s="769"/>
      <c r="HGV107" s="769"/>
      <c r="HGW107" s="769"/>
      <c r="HGX107" s="769"/>
      <c r="HGY107" s="769"/>
      <c r="HGZ107" s="769"/>
      <c r="HHA107" s="769"/>
      <c r="HHB107" s="769"/>
      <c r="HHC107" s="769"/>
      <c r="HHD107" s="769"/>
      <c r="HHE107" s="769"/>
      <c r="HHF107" s="769"/>
      <c r="HHG107" s="769"/>
      <c r="HHH107" s="769"/>
      <c r="HHI107" s="769"/>
      <c r="HHJ107" s="769"/>
      <c r="HHK107" s="769"/>
      <c r="HHL107" s="769"/>
      <c r="HHM107" s="769"/>
      <c r="HHN107" s="769"/>
      <c r="HHO107" s="769"/>
      <c r="HHP107" s="769"/>
      <c r="HHQ107" s="769"/>
      <c r="HHR107" s="769"/>
      <c r="HHS107" s="769"/>
      <c r="HHT107" s="769"/>
      <c r="HHU107" s="769"/>
      <c r="HHV107" s="769"/>
      <c r="HHW107" s="769"/>
      <c r="HHX107" s="769"/>
      <c r="HHY107" s="769"/>
      <c r="HHZ107" s="769"/>
      <c r="HIA107" s="769"/>
      <c r="HIB107" s="769"/>
      <c r="HIC107" s="769"/>
      <c r="HID107" s="769"/>
      <c r="HIE107" s="769"/>
      <c r="HIF107" s="769"/>
      <c r="HIG107" s="769"/>
      <c r="HIH107" s="769"/>
      <c r="HII107" s="769"/>
      <c r="HIJ107" s="769"/>
      <c r="HIK107" s="769"/>
      <c r="HIL107" s="769"/>
      <c r="HIM107" s="769"/>
      <c r="HIN107" s="769"/>
      <c r="HIO107" s="769"/>
      <c r="HIP107" s="769"/>
      <c r="HIQ107" s="769"/>
      <c r="HIR107" s="769"/>
      <c r="HIS107" s="769"/>
      <c r="HIT107" s="769"/>
      <c r="HIU107" s="769"/>
      <c r="HIV107" s="769"/>
      <c r="HIW107" s="769"/>
      <c r="HIX107" s="769"/>
      <c r="HIY107" s="769"/>
      <c r="HIZ107" s="769"/>
      <c r="HJA107" s="769"/>
      <c r="HJB107" s="769"/>
      <c r="HJC107" s="769"/>
      <c r="HJD107" s="769"/>
      <c r="HJE107" s="769"/>
      <c r="HJF107" s="769"/>
      <c r="HJG107" s="769"/>
      <c r="HJH107" s="769"/>
      <c r="HJI107" s="769"/>
      <c r="HJJ107" s="769"/>
      <c r="HJK107" s="769"/>
      <c r="HJL107" s="769"/>
      <c r="HJM107" s="769"/>
      <c r="HJN107" s="769"/>
      <c r="HJO107" s="769"/>
      <c r="HJP107" s="769"/>
      <c r="HJQ107" s="769"/>
      <c r="HJR107" s="769"/>
      <c r="HJS107" s="769"/>
      <c r="HJT107" s="769"/>
      <c r="HJU107" s="769"/>
      <c r="HJV107" s="769"/>
      <c r="HJW107" s="769"/>
      <c r="HJX107" s="769"/>
      <c r="HJY107" s="769"/>
      <c r="HJZ107" s="769"/>
      <c r="HKA107" s="769"/>
      <c r="HKB107" s="769"/>
      <c r="HKC107" s="769"/>
      <c r="HKD107" s="769"/>
      <c r="HKE107" s="769"/>
      <c r="HKF107" s="769"/>
      <c r="HKG107" s="769"/>
      <c r="HKH107" s="769"/>
      <c r="HKI107" s="769"/>
      <c r="HKJ107" s="769"/>
      <c r="HKK107" s="769"/>
      <c r="HKL107" s="769"/>
      <c r="HKM107" s="769"/>
      <c r="HKN107" s="769"/>
      <c r="HKO107" s="769"/>
      <c r="HKP107" s="769"/>
      <c r="HKQ107" s="769"/>
      <c r="HKR107" s="769"/>
      <c r="HKS107" s="769"/>
      <c r="HKT107" s="769"/>
      <c r="HKU107" s="769"/>
      <c r="HKV107" s="769"/>
      <c r="HKW107" s="769"/>
      <c r="HKX107" s="769"/>
      <c r="HKY107" s="769"/>
      <c r="HKZ107" s="769"/>
      <c r="HLA107" s="769"/>
      <c r="HLB107" s="769"/>
      <c r="HLC107" s="769"/>
      <c r="HLD107" s="769"/>
      <c r="HLE107" s="769"/>
      <c r="HLF107" s="769"/>
      <c r="HLG107" s="769"/>
      <c r="HLH107" s="769"/>
      <c r="HLI107" s="769"/>
      <c r="HLJ107" s="769"/>
      <c r="HLK107" s="769"/>
      <c r="HLL107" s="769"/>
      <c r="HLM107" s="769"/>
      <c r="HLN107" s="769"/>
      <c r="HLO107" s="769"/>
      <c r="HLP107" s="769"/>
      <c r="HLQ107" s="769"/>
      <c r="HLR107" s="769"/>
      <c r="HLS107" s="769"/>
      <c r="HLT107" s="769"/>
      <c r="HLU107" s="769"/>
      <c r="HLV107" s="769"/>
      <c r="HLW107" s="769"/>
      <c r="HLX107" s="769"/>
      <c r="HLY107" s="769"/>
      <c r="HLZ107" s="769"/>
      <c r="HMA107" s="769"/>
      <c r="HMB107" s="769"/>
      <c r="HMC107" s="769"/>
      <c r="HMD107" s="769"/>
      <c r="HME107" s="769"/>
      <c r="HMF107" s="769"/>
      <c r="HMG107" s="769"/>
      <c r="HMH107" s="769"/>
      <c r="HMI107" s="769"/>
      <c r="HMJ107" s="769"/>
      <c r="HMK107" s="769"/>
      <c r="HML107" s="769"/>
      <c r="HMM107" s="769"/>
      <c r="HMN107" s="769"/>
      <c r="HMO107" s="769"/>
      <c r="HMP107" s="769"/>
      <c r="HMQ107" s="769"/>
      <c r="HMR107" s="769"/>
      <c r="HMS107" s="769"/>
      <c r="HMT107" s="769"/>
      <c r="HMU107" s="769"/>
      <c r="HMV107" s="769"/>
      <c r="HMW107" s="769"/>
      <c r="HMX107" s="769"/>
      <c r="HMY107" s="769"/>
      <c r="HMZ107" s="769"/>
      <c r="HNA107" s="769"/>
      <c r="HNB107" s="769"/>
      <c r="HNC107" s="769"/>
      <c r="HND107" s="769"/>
      <c r="HNE107" s="769"/>
      <c r="HNF107" s="769"/>
      <c r="HNG107" s="769"/>
      <c r="HNH107" s="769"/>
      <c r="HNI107" s="769"/>
      <c r="HNJ107" s="769"/>
      <c r="HNK107" s="769"/>
      <c r="HNL107" s="769"/>
      <c r="HNM107" s="769"/>
      <c r="HNN107" s="769"/>
      <c r="HNO107" s="769"/>
      <c r="HNP107" s="769"/>
      <c r="HNQ107" s="769"/>
      <c r="HNR107" s="769"/>
      <c r="HNS107" s="769"/>
      <c r="HNT107" s="769"/>
      <c r="HNU107" s="769"/>
      <c r="HNV107" s="769"/>
      <c r="HNW107" s="769"/>
      <c r="HNX107" s="769"/>
      <c r="HNY107" s="769"/>
      <c r="HNZ107" s="769"/>
      <c r="HOA107" s="769"/>
      <c r="HOB107" s="769"/>
      <c r="HOC107" s="769"/>
      <c r="HOD107" s="769"/>
      <c r="HOE107" s="769"/>
      <c r="HOF107" s="769"/>
      <c r="HOG107" s="769"/>
      <c r="HOH107" s="769"/>
      <c r="HOI107" s="769"/>
      <c r="HOJ107" s="769"/>
      <c r="HOK107" s="769"/>
      <c r="HOL107" s="769"/>
      <c r="HOM107" s="769"/>
      <c r="HON107" s="769"/>
      <c r="HOO107" s="769"/>
      <c r="HOP107" s="769"/>
      <c r="HOQ107" s="769"/>
      <c r="HOR107" s="769"/>
      <c r="HOS107" s="769"/>
      <c r="HOT107" s="769"/>
      <c r="HOU107" s="769"/>
      <c r="HOV107" s="769"/>
      <c r="HOW107" s="769"/>
      <c r="HOX107" s="769"/>
      <c r="HOY107" s="769"/>
      <c r="HOZ107" s="769"/>
      <c r="HPA107" s="769"/>
      <c r="HPB107" s="769"/>
      <c r="HPC107" s="769"/>
      <c r="HPD107" s="769"/>
      <c r="HPE107" s="769"/>
      <c r="HPF107" s="769"/>
      <c r="HPG107" s="769"/>
      <c r="HPH107" s="769"/>
      <c r="HPI107" s="769"/>
      <c r="HPJ107" s="769"/>
      <c r="HPK107" s="769"/>
      <c r="HPL107" s="769"/>
      <c r="HPM107" s="769"/>
      <c r="HPN107" s="769"/>
      <c r="HPO107" s="769"/>
      <c r="HPP107" s="769"/>
      <c r="HPQ107" s="769"/>
      <c r="HPR107" s="769"/>
      <c r="HPS107" s="769"/>
      <c r="HPT107" s="769"/>
      <c r="HPU107" s="769"/>
      <c r="HPV107" s="769"/>
      <c r="HPW107" s="769"/>
      <c r="HPX107" s="769"/>
      <c r="HPY107" s="769"/>
      <c r="HPZ107" s="769"/>
      <c r="HQA107" s="769"/>
      <c r="HQB107" s="769"/>
      <c r="HQC107" s="769"/>
      <c r="HQD107" s="769"/>
      <c r="HQE107" s="769"/>
      <c r="HQF107" s="769"/>
      <c r="HQG107" s="769"/>
      <c r="HQH107" s="769"/>
      <c r="HQI107" s="769"/>
      <c r="HQJ107" s="769"/>
      <c r="HQK107" s="769"/>
      <c r="HQL107" s="769"/>
      <c r="HQM107" s="769"/>
      <c r="HQN107" s="769"/>
      <c r="HQO107" s="769"/>
      <c r="HQP107" s="769"/>
      <c r="HQQ107" s="769"/>
      <c r="HQR107" s="769"/>
      <c r="HQS107" s="769"/>
      <c r="HQT107" s="769"/>
      <c r="HQU107" s="769"/>
      <c r="HQV107" s="769"/>
      <c r="HQW107" s="769"/>
      <c r="HQX107" s="769"/>
      <c r="HQY107" s="769"/>
      <c r="HQZ107" s="769"/>
      <c r="HRA107" s="769"/>
      <c r="HRB107" s="769"/>
      <c r="HRC107" s="769"/>
      <c r="HRD107" s="769"/>
      <c r="HRE107" s="769"/>
      <c r="HRF107" s="769"/>
      <c r="HRG107" s="769"/>
      <c r="HRH107" s="769"/>
      <c r="HRI107" s="769"/>
      <c r="HRJ107" s="769"/>
      <c r="HRK107" s="769"/>
      <c r="HRL107" s="769"/>
      <c r="HRM107" s="769"/>
      <c r="HRN107" s="769"/>
      <c r="HRO107" s="769"/>
      <c r="HRP107" s="769"/>
      <c r="HRQ107" s="769"/>
      <c r="HRR107" s="769"/>
      <c r="HRS107" s="769"/>
      <c r="HRT107" s="769"/>
      <c r="HRU107" s="769"/>
      <c r="HRV107" s="769"/>
      <c r="HRW107" s="769"/>
      <c r="HRX107" s="769"/>
      <c r="HRY107" s="769"/>
      <c r="HRZ107" s="769"/>
      <c r="HSA107" s="769"/>
      <c r="HSB107" s="769"/>
      <c r="HSC107" s="769"/>
      <c r="HSD107" s="769"/>
      <c r="HSE107" s="769"/>
      <c r="HSF107" s="769"/>
      <c r="HSG107" s="769"/>
      <c r="HSH107" s="769"/>
      <c r="HSI107" s="769"/>
      <c r="HSJ107" s="769"/>
      <c r="HSK107" s="769"/>
      <c r="HSL107" s="769"/>
      <c r="HSM107" s="769"/>
      <c r="HSN107" s="769"/>
      <c r="HSO107" s="769"/>
      <c r="HSP107" s="769"/>
      <c r="HSQ107" s="769"/>
      <c r="HSR107" s="769"/>
      <c r="HSS107" s="769"/>
      <c r="HST107" s="769"/>
      <c r="HSU107" s="769"/>
      <c r="HSV107" s="769"/>
      <c r="HSW107" s="769"/>
      <c r="HSX107" s="769"/>
      <c r="HSY107" s="769"/>
      <c r="HSZ107" s="769"/>
      <c r="HTA107" s="769"/>
      <c r="HTB107" s="769"/>
      <c r="HTC107" s="769"/>
      <c r="HTD107" s="769"/>
      <c r="HTE107" s="769"/>
      <c r="HTF107" s="769"/>
      <c r="HTG107" s="769"/>
      <c r="HTH107" s="769"/>
      <c r="HTI107" s="769"/>
      <c r="HTJ107" s="769"/>
      <c r="HTK107" s="769"/>
      <c r="HTL107" s="769"/>
      <c r="HTM107" s="769"/>
      <c r="HTN107" s="769"/>
      <c r="HTO107" s="769"/>
      <c r="HTP107" s="769"/>
      <c r="HTQ107" s="769"/>
      <c r="HTR107" s="769"/>
      <c r="HTS107" s="769"/>
      <c r="HTT107" s="769"/>
      <c r="HTU107" s="769"/>
      <c r="HTV107" s="769"/>
      <c r="HTW107" s="769"/>
      <c r="HTX107" s="769"/>
      <c r="HTY107" s="769"/>
      <c r="HTZ107" s="769"/>
      <c r="HUA107" s="769"/>
      <c r="HUB107" s="769"/>
      <c r="HUC107" s="769"/>
      <c r="HUD107" s="769"/>
      <c r="HUE107" s="769"/>
      <c r="HUF107" s="769"/>
      <c r="HUG107" s="769"/>
      <c r="HUH107" s="769"/>
      <c r="HUI107" s="769"/>
      <c r="HUJ107" s="769"/>
      <c r="HUK107" s="769"/>
      <c r="HUL107" s="769"/>
      <c r="HUM107" s="769"/>
      <c r="HUN107" s="769"/>
      <c r="HUO107" s="769"/>
      <c r="HUP107" s="769"/>
      <c r="HUQ107" s="769"/>
      <c r="HUR107" s="769"/>
      <c r="HUS107" s="769"/>
      <c r="HUT107" s="769"/>
      <c r="HUU107" s="769"/>
      <c r="HUV107" s="769"/>
      <c r="HUW107" s="769"/>
      <c r="HUX107" s="769"/>
      <c r="HUY107" s="769"/>
      <c r="HUZ107" s="769"/>
      <c r="HVA107" s="769"/>
      <c r="HVB107" s="769"/>
      <c r="HVC107" s="769"/>
      <c r="HVD107" s="769"/>
      <c r="HVE107" s="769"/>
      <c r="HVF107" s="769"/>
      <c r="HVG107" s="769"/>
      <c r="HVH107" s="769"/>
      <c r="HVI107" s="769"/>
      <c r="HVJ107" s="769"/>
      <c r="HVK107" s="769"/>
      <c r="HVL107" s="769"/>
      <c r="HVM107" s="769"/>
      <c r="HVN107" s="769"/>
      <c r="HVO107" s="769"/>
      <c r="HVP107" s="769"/>
      <c r="HVQ107" s="769"/>
      <c r="HVR107" s="769"/>
      <c r="HVS107" s="769"/>
      <c r="HVT107" s="769"/>
      <c r="HVU107" s="769"/>
      <c r="HVV107" s="769"/>
      <c r="HVW107" s="769"/>
      <c r="HVX107" s="769"/>
      <c r="HVY107" s="769"/>
      <c r="HVZ107" s="769"/>
      <c r="HWA107" s="769"/>
      <c r="HWB107" s="769"/>
      <c r="HWC107" s="769"/>
      <c r="HWD107" s="769"/>
      <c r="HWE107" s="769"/>
      <c r="HWF107" s="769"/>
      <c r="HWG107" s="769"/>
      <c r="HWH107" s="769"/>
      <c r="HWI107" s="769"/>
      <c r="HWJ107" s="769"/>
      <c r="HWK107" s="769"/>
      <c r="HWL107" s="769"/>
      <c r="HWM107" s="769"/>
      <c r="HWN107" s="769"/>
      <c r="HWO107" s="769"/>
      <c r="HWP107" s="769"/>
      <c r="HWQ107" s="769"/>
      <c r="HWR107" s="769"/>
      <c r="HWS107" s="769"/>
      <c r="HWT107" s="769"/>
      <c r="HWU107" s="769"/>
      <c r="HWV107" s="769"/>
      <c r="HWW107" s="769"/>
      <c r="HWX107" s="769"/>
      <c r="HWY107" s="769"/>
      <c r="HWZ107" s="769"/>
      <c r="HXA107" s="769"/>
      <c r="HXB107" s="769"/>
      <c r="HXC107" s="769"/>
      <c r="HXD107" s="769"/>
      <c r="HXE107" s="769"/>
      <c r="HXF107" s="769"/>
      <c r="HXG107" s="769"/>
      <c r="HXH107" s="769"/>
      <c r="HXI107" s="769"/>
      <c r="HXJ107" s="769"/>
      <c r="HXK107" s="769"/>
      <c r="HXL107" s="769"/>
      <c r="HXM107" s="769"/>
      <c r="HXN107" s="769"/>
      <c r="HXO107" s="769"/>
      <c r="HXP107" s="769"/>
      <c r="HXQ107" s="769"/>
      <c r="HXR107" s="769"/>
      <c r="HXS107" s="769"/>
      <c r="HXT107" s="769"/>
      <c r="HXU107" s="769"/>
      <c r="HXV107" s="769"/>
      <c r="HXW107" s="769"/>
      <c r="HXX107" s="769"/>
      <c r="HXY107" s="769"/>
      <c r="HXZ107" s="769"/>
      <c r="HYA107" s="769"/>
      <c r="HYB107" s="769"/>
      <c r="HYC107" s="769"/>
      <c r="HYD107" s="769"/>
      <c r="HYE107" s="769"/>
      <c r="HYF107" s="769"/>
      <c r="HYG107" s="769"/>
      <c r="HYH107" s="769"/>
      <c r="HYI107" s="769"/>
      <c r="HYJ107" s="769"/>
      <c r="HYK107" s="769"/>
      <c r="HYL107" s="769"/>
      <c r="HYM107" s="769"/>
      <c r="HYN107" s="769"/>
      <c r="HYO107" s="769"/>
      <c r="HYP107" s="769"/>
      <c r="HYQ107" s="769"/>
      <c r="HYR107" s="769"/>
      <c r="HYS107" s="769"/>
      <c r="HYT107" s="769"/>
      <c r="HYU107" s="769"/>
      <c r="HYV107" s="769"/>
      <c r="HYW107" s="769"/>
      <c r="HYX107" s="769"/>
      <c r="HYY107" s="769"/>
      <c r="HYZ107" s="769"/>
      <c r="HZA107" s="769"/>
      <c r="HZB107" s="769"/>
      <c r="HZC107" s="769"/>
      <c r="HZD107" s="769"/>
      <c r="HZE107" s="769"/>
      <c r="HZF107" s="769"/>
      <c r="HZG107" s="769"/>
      <c r="HZH107" s="769"/>
      <c r="HZI107" s="769"/>
      <c r="HZJ107" s="769"/>
      <c r="HZK107" s="769"/>
      <c r="HZL107" s="769"/>
      <c r="HZM107" s="769"/>
      <c r="HZN107" s="769"/>
      <c r="HZO107" s="769"/>
      <c r="HZP107" s="769"/>
      <c r="HZQ107" s="769"/>
      <c r="HZR107" s="769"/>
      <c r="HZS107" s="769"/>
      <c r="HZT107" s="769"/>
      <c r="HZU107" s="769"/>
      <c r="HZV107" s="769"/>
      <c r="HZW107" s="769"/>
      <c r="HZX107" s="769"/>
      <c r="HZY107" s="769"/>
      <c r="HZZ107" s="769"/>
      <c r="IAA107" s="769"/>
      <c r="IAB107" s="769"/>
      <c r="IAC107" s="769"/>
      <c r="IAD107" s="769"/>
      <c r="IAE107" s="769"/>
      <c r="IAF107" s="769"/>
      <c r="IAG107" s="769"/>
      <c r="IAH107" s="769"/>
      <c r="IAI107" s="769"/>
      <c r="IAJ107" s="769"/>
      <c r="IAK107" s="769"/>
      <c r="IAL107" s="769"/>
      <c r="IAM107" s="769"/>
      <c r="IAN107" s="769"/>
      <c r="IAO107" s="769"/>
      <c r="IAP107" s="769"/>
      <c r="IAQ107" s="769"/>
      <c r="IAR107" s="769"/>
      <c r="IAS107" s="769"/>
      <c r="IAT107" s="769"/>
      <c r="IAU107" s="769"/>
      <c r="IAV107" s="769"/>
      <c r="IAW107" s="769"/>
      <c r="IAX107" s="769"/>
      <c r="IAY107" s="769"/>
      <c r="IAZ107" s="769"/>
      <c r="IBA107" s="769"/>
      <c r="IBB107" s="769"/>
      <c r="IBC107" s="769"/>
      <c r="IBD107" s="769"/>
      <c r="IBE107" s="769"/>
      <c r="IBF107" s="769"/>
      <c r="IBG107" s="769"/>
      <c r="IBH107" s="769"/>
      <c r="IBI107" s="769"/>
      <c r="IBJ107" s="769"/>
      <c r="IBK107" s="769"/>
      <c r="IBL107" s="769"/>
      <c r="IBM107" s="769"/>
      <c r="IBN107" s="769"/>
      <c r="IBO107" s="769"/>
      <c r="IBP107" s="769"/>
      <c r="IBQ107" s="769"/>
      <c r="IBR107" s="769"/>
      <c r="IBS107" s="769"/>
      <c r="IBT107" s="769"/>
      <c r="IBU107" s="769"/>
      <c r="IBV107" s="769"/>
      <c r="IBW107" s="769"/>
      <c r="IBX107" s="769"/>
      <c r="IBY107" s="769"/>
      <c r="IBZ107" s="769"/>
      <c r="ICA107" s="769"/>
      <c r="ICB107" s="769"/>
      <c r="ICC107" s="769"/>
      <c r="ICD107" s="769"/>
      <c r="ICE107" s="769"/>
      <c r="ICF107" s="769"/>
      <c r="ICG107" s="769"/>
      <c r="ICH107" s="769"/>
      <c r="ICI107" s="769"/>
      <c r="ICJ107" s="769"/>
      <c r="ICK107" s="769"/>
      <c r="ICL107" s="769"/>
      <c r="ICM107" s="769"/>
      <c r="ICN107" s="769"/>
      <c r="ICO107" s="769"/>
      <c r="ICP107" s="769"/>
      <c r="ICQ107" s="769"/>
      <c r="ICR107" s="769"/>
      <c r="ICS107" s="769"/>
      <c r="ICT107" s="769"/>
      <c r="ICU107" s="769"/>
      <c r="ICV107" s="769"/>
      <c r="ICW107" s="769"/>
      <c r="ICX107" s="769"/>
      <c r="ICY107" s="769"/>
      <c r="ICZ107" s="769"/>
      <c r="IDA107" s="769"/>
      <c r="IDB107" s="769"/>
      <c r="IDC107" s="769"/>
      <c r="IDD107" s="769"/>
      <c r="IDE107" s="769"/>
      <c r="IDF107" s="769"/>
      <c r="IDG107" s="769"/>
      <c r="IDH107" s="769"/>
      <c r="IDI107" s="769"/>
      <c r="IDJ107" s="769"/>
      <c r="IDK107" s="769"/>
      <c r="IDL107" s="769"/>
      <c r="IDM107" s="769"/>
      <c r="IDN107" s="769"/>
      <c r="IDO107" s="769"/>
      <c r="IDP107" s="769"/>
      <c r="IDQ107" s="769"/>
      <c r="IDR107" s="769"/>
      <c r="IDS107" s="769"/>
      <c r="IDT107" s="769"/>
      <c r="IDU107" s="769"/>
      <c r="IDV107" s="769"/>
      <c r="IDW107" s="769"/>
      <c r="IDX107" s="769"/>
      <c r="IDY107" s="769"/>
      <c r="IDZ107" s="769"/>
      <c r="IEA107" s="769"/>
      <c r="IEB107" s="769"/>
      <c r="IEC107" s="769"/>
      <c r="IED107" s="769"/>
      <c r="IEE107" s="769"/>
      <c r="IEF107" s="769"/>
      <c r="IEG107" s="769"/>
      <c r="IEH107" s="769"/>
      <c r="IEI107" s="769"/>
      <c r="IEJ107" s="769"/>
      <c r="IEK107" s="769"/>
      <c r="IEL107" s="769"/>
      <c r="IEM107" s="769"/>
      <c r="IEN107" s="769"/>
      <c r="IEO107" s="769"/>
      <c r="IEP107" s="769"/>
      <c r="IEQ107" s="769"/>
      <c r="IER107" s="769"/>
      <c r="IES107" s="769"/>
      <c r="IET107" s="769"/>
      <c r="IEU107" s="769"/>
      <c r="IEV107" s="769"/>
      <c r="IEW107" s="769"/>
      <c r="IEX107" s="769"/>
      <c r="IEY107" s="769"/>
      <c r="IEZ107" s="769"/>
      <c r="IFA107" s="769"/>
      <c r="IFB107" s="769"/>
      <c r="IFC107" s="769"/>
      <c r="IFD107" s="769"/>
      <c r="IFE107" s="769"/>
      <c r="IFF107" s="769"/>
      <c r="IFG107" s="769"/>
      <c r="IFH107" s="769"/>
      <c r="IFI107" s="769"/>
      <c r="IFJ107" s="769"/>
      <c r="IFK107" s="769"/>
      <c r="IFL107" s="769"/>
      <c r="IFM107" s="769"/>
      <c r="IFN107" s="769"/>
      <c r="IFO107" s="769"/>
      <c r="IFP107" s="769"/>
      <c r="IFQ107" s="769"/>
      <c r="IFR107" s="769"/>
      <c r="IFS107" s="769"/>
      <c r="IFT107" s="769"/>
      <c r="IFU107" s="769"/>
      <c r="IFV107" s="769"/>
      <c r="IFW107" s="769"/>
      <c r="IFX107" s="769"/>
      <c r="IFY107" s="769"/>
      <c r="IFZ107" s="769"/>
      <c r="IGA107" s="769"/>
      <c r="IGB107" s="769"/>
      <c r="IGC107" s="769"/>
      <c r="IGD107" s="769"/>
      <c r="IGE107" s="769"/>
      <c r="IGF107" s="769"/>
      <c r="IGG107" s="769"/>
      <c r="IGH107" s="769"/>
      <c r="IGI107" s="769"/>
      <c r="IGJ107" s="769"/>
      <c r="IGK107" s="769"/>
      <c r="IGL107" s="769"/>
      <c r="IGM107" s="769"/>
      <c r="IGN107" s="769"/>
      <c r="IGO107" s="769"/>
      <c r="IGP107" s="769"/>
      <c r="IGQ107" s="769"/>
      <c r="IGR107" s="769"/>
      <c r="IGS107" s="769"/>
      <c r="IGT107" s="769"/>
      <c r="IGU107" s="769"/>
      <c r="IGV107" s="769"/>
      <c r="IGW107" s="769"/>
      <c r="IGX107" s="769"/>
      <c r="IGY107" s="769"/>
      <c r="IGZ107" s="769"/>
      <c r="IHA107" s="769"/>
      <c r="IHB107" s="769"/>
      <c r="IHC107" s="769"/>
      <c r="IHD107" s="769"/>
      <c r="IHE107" s="769"/>
      <c r="IHF107" s="769"/>
      <c r="IHG107" s="769"/>
      <c r="IHH107" s="769"/>
      <c r="IHI107" s="769"/>
      <c r="IHJ107" s="769"/>
      <c r="IHK107" s="769"/>
      <c r="IHL107" s="769"/>
      <c r="IHM107" s="769"/>
      <c r="IHN107" s="769"/>
      <c r="IHO107" s="769"/>
      <c r="IHP107" s="769"/>
      <c r="IHQ107" s="769"/>
      <c r="IHR107" s="769"/>
      <c r="IHS107" s="769"/>
      <c r="IHT107" s="769"/>
      <c r="IHU107" s="769"/>
      <c r="IHV107" s="769"/>
      <c r="IHW107" s="769"/>
      <c r="IHX107" s="769"/>
      <c r="IHY107" s="769"/>
      <c r="IHZ107" s="769"/>
      <c r="IIA107" s="769"/>
      <c r="IIB107" s="769"/>
      <c r="IIC107" s="769"/>
      <c r="IID107" s="769"/>
      <c r="IIE107" s="769"/>
      <c r="IIF107" s="769"/>
      <c r="IIG107" s="769"/>
      <c r="IIH107" s="769"/>
      <c r="III107" s="769"/>
      <c r="IIJ107" s="769"/>
      <c r="IIK107" s="769"/>
      <c r="IIL107" s="769"/>
      <c r="IIM107" s="769"/>
      <c r="IIN107" s="769"/>
      <c r="IIO107" s="769"/>
      <c r="IIP107" s="769"/>
      <c r="IIQ107" s="769"/>
      <c r="IIR107" s="769"/>
      <c r="IIS107" s="769"/>
      <c r="IIT107" s="769"/>
      <c r="IIU107" s="769"/>
      <c r="IIV107" s="769"/>
      <c r="IIW107" s="769"/>
      <c r="IIX107" s="769"/>
      <c r="IIY107" s="769"/>
      <c r="IIZ107" s="769"/>
      <c r="IJA107" s="769"/>
      <c r="IJB107" s="769"/>
      <c r="IJC107" s="769"/>
      <c r="IJD107" s="769"/>
      <c r="IJE107" s="769"/>
      <c r="IJF107" s="769"/>
      <c r="IJG107" s="769"/>
      <c r="IJH107" s="769"/>
      <c r="IJI107" s="769"/>
      <c r="IJJ107" s="769"/>
      <c r="IJK107" s="769"/>
      <c r="IJL107" s="769"/>
      <c r="IJM107" s="769"/>
      <c r="IJN107" s="769"/>
      <c r="IJO107" s="769"/>
      <c r="IJP107" s="769"/>
      <c r="IJQ107" s="769"/>
      <c r="IJR107" s="769"/>
      <c r="IJS107" s="769"/>
      <c r="IJT107" s="769"/>
      <c r="IJU107" s="769"/>
      <c r="IJV107" s="769"/>
      <c r="IJW107" s="769"/>
      <c r="IJX107" s="769"/>
      <c r="IJY107" s="769"/>
      <c r="IJZ107" s="769"/>
      <c r="IKA107" s="769"/>
      <c r="IKB107" s="769"/>
      <c r="IKC107" s="769"/>
      <c r="IKD107" s="769"/>
      <c r="IKE107" s="769"/>
      <c r="IKF107" s="769"/>
      <c r="IKG107" s="769"/>
      <c r="IKH107" s="769"/>
      <c r="IKI107" s="769"/>
      <c r="IKJ107" s="769"/>
      <c r="IKK107" s="769"/>
      <c r="IKL107" s="769"/>
      <c r="IKM107" s="769"/>
      <c r="IKN107" s="769"/>
      <c r="IKO107" s="769"/>
      <c r="IKP107" s="769"/>
      <c r="IKQ107" s="769"/>
      <c r="IKR107" s="769"/>
      <c r="IKS107" s="769"/>
      <c r="IKT107" s="769"/>
      <c r="IKU107" s="769"/>
      <c r="IKV107" s="769"/>
      <c r="IKW107" s="769"/>
      <c r="IKX107" s="769"/>
      <c r="IKY107" s="769"/>
      <c r="IKZ107" s="769"/>
      <c r="ILA107" s="769"/>
      <c r="ILB107" s="769"/>
      <c r="ILC107" s="769"/>
      <c r="ILD107" s="769"/>
      <c r="ILE107" s="769"/>
      <c r="ILF107" s="769"/>
      <c r="ILG107" s="769"/>
      <c r="ILH107" s="769"/>
      <c r="ILI107" s="769"/>
      <c r="ILJ107" s="769"/>
      <c r="ILK107" s="769"/>
      <c r="ILL107" s="769"/>
      <c r="ILM107" s="769"/>
      <c r="ILN107" s="769"/>
      <c r="ILO107" s="769"/>
      <c r="ILP107" s="769"/>
      <c r="ILQ107" s="769"/>
      <c r="ILR107" s="769"/>
      <c r="ILS107" s="769"/>
      <c r="ILT107" s="769"/>
      <c r="ILU107" s="769"/>
      <c r="ILV107" s="769"/>
      <c r="ILW107" s="769"/>
      <c r="ILX107" s="769"/>
      <c r="ILY107" s="769"/>
      <c r="ILZ107" s="769"/>
      <c r="IMA107" s="769"/>
      <c r="IMB107" s="769"/>
      <c r="IMC107" s="769"/>
      <c r="IMD107" s="769"/>
      <c r="IME107" s="769"/>
      <c r="IMF107" s="769"/>
      <c r="IMG107" s="769"/>
      <c r="IMH107" s="769"/>
      <c r="IMI107" s="769"/>
      <c r="IMJ107" s="769"/>
      <c r="IMK107" s="769"/>
      <c r="IML107" s="769"/>
      <c r="IMM107" s="769"/>
      <c r="IMN107" s="769"/>
      <c r="IMO107" s="769"/>
      <c r="IMP107" s="769"/>
      <c r="IMQ107" s="769"/>
      <c r="IMR107" s="769"/>
      <c r="IMS107" s="769"/>
      <c r="IMT107" s="769"/>
      <c r="IMU107" s="769"/>
      <c r="IMV107" s="769"/>
      <c r="IMW107" s="769"/>
      <c r="IMX107" s="769"/>
      <c r="IMY107" s="769"/>
      <c r="IMZ107" s="769"/>
      <c r="INA107" s="769"/>
      <c r="INB107" s="769"/>
      <c r="INC107" s="769"/>
      <c r="IND107" s="769"/>
      <c r="INE107" s="769"/>
      <c r="INF107" s="769"/>
      <c r="ING107" s="769"/>
      <c r="INH107" s="769"/>
      <c r="INI107" s="769"/>
      <c r="INJ107" s="769"/>
      <c r="INK107" s="769"/>
      <c r="INL107" s="769"/>
      <c r="INM107" s="769"/>
      <c r="INN107" s="769"/>
      <c r="INO107" s="769"/>
      <c r="INP107" s="769"/>
      <c r="INQ107" s="769"/>
      <c r="INR107" s="769"/>
      <c r="INS107" s="769"/>
      <c r="INT107" s="769"/>
      <c r="INU107" s="769"/>
      <c r="INV107" s="769"/>
      <c r="INW107" s="769"/>
      <c r="INX107" s="769"/>
      <c r="INY107" s="769"/>
      <c r="INZ107" s="769"/>
      <c r="IOA107" s="769"/>
      <c r="IOB107" s="769"/>
      <c r="IOC107" s="769"/>
      <c r="IOD107" s="769"/>
      <c r="IOE107" s="769"/>
      <c r="IOF107" s="769"/>
      <c r="IOG107" s="769"/>
      <c r="IOH107" s="769"/>
      <c r="IOI107" s="769"/>
      <c r="IOJ107" s="769"/>
      <c r="IOK107" s="769"/>
      <c r="IOL107" s="769"/>
      <c r="IOM107" s="769"/>
      <c r="ION107" s="769"/>
      <c r="IOO107" s="769"/>
      <c r="IOP107" s="769"/>
      <c r="IOQ107" s="769"/>
      <c r="IOR107" s="769"/>
      <c r="IOS107" s="769"/>
      <c r="IOT107" s="769"/>
      <c r="IOU107" s="769"/>
      <c r="IOV107" s="769"/>
      <c r="IOW107" s="769"/>
      <c r="IOX107" s="769"/>
      <c r="IOY107" s="769"/>
      <c r="IOZ107" s="769"/>
      <c r="IPA107" s="769"/>
      <c r="IPB107" s="769"/>
      <c r="IPC107" s="769"/>
      <c r="IPD107" s="769"/>
      <c r="IPE107" s="769"/>
      <c r="IPF107" s="769"/>
      <c r="IPG107" s="769"/>
      <c r="IPH107" s="769"/>
      <c r="IPI107" s="769"/>
      <c r="IPJ107" s="769"/>
      <c r="IPK107" s="769"/>
      <c r="IPL107" s="769"/>
      <c r="IPM107" s="769"/>
      <c r="IPN107" s="769"/>
      <c r="IPO107" s="769"/>
      <c r="IPP107" s="769"/>
      <c r="IPQ107" s="769"/>
      <c r="IPR107" s="769"/>
      <c r="IPS107" s="769"/>
      <c r="IPT107" s="769"/>
      <c r="IPU107" s="769"/>
      <c r="IPV107" s="769"/>
      <c r="IPW107" s="769"/>
      <c r="IPX107" s="769"/>
      <c r="IPY107" s="769"/>
      <c r="IPZ107" s="769"/>
      <c r="IQA107" s="769"/>
      <c r="IQB107" s="769"/>
      <c r="IQC107" s="769"/>
      <c r="IQD107" s="769"/>
      <c r="IQE107" s="769"/>
      <c r="IQF107" s="769"/>
      <c r="IQG107" s="769"/>
      <c r="IQH107" s="769"/>
      <c r="IQI107" s="769"/>
      <c r="IQJ107" s="769"/>
      <c r="IQK107" s="769"/>
      <c r="IQL107" s="769"/>
      <c r="IQM107" s="769"/>
      <c r="IQN107" s="769"/>
      <c r="IQO107" s="769"/>
      <c r="IQP107" s="769"/>
      <c r="IQQ107" s="769"/>
      <c r="IQR107" s="769"/>
      <c r="IQS107" s="769"/>
      <c r="IQT107" s="769"/>
      <c r="IQU107" s="769"/>
      <c r="IQV107" s="769"/>
      <c r="IQW107" s="769"/>
      <c r="IQX107" s="769"/>
      <c r="IQY107" s="769"/>
      <c r="IQZ107" s="769"/>
      <c r="IRA107" s="769"/>
      <c r="IRB107" s="769"/>
      <c r="IRC107" s="769"/>
      <c r="IRD107" s="769"/>
      <c r="IRE107" s="769"/>
      <c r="IRF107" s="769"/>
      <c r="IRG107" s="769"/>
      <c r="IRH107" s="769"/>
      <c r="IRI107" s="769"/>
      <c r="IRJ107" s="769"/>
      <c r="IRK107" s="769"/>
      <c r="IRL107" s="769"/>
      <c r="IRM107" s="769"/>
      <c r="IRN107" s="769"/>
      <c r="IRO107" s="769"/>
      <c r="IRP107" s="769"/>
      <c r="IRQ107" s="769"/>
      <c r="IRR107" s="769"/>
      <c r="IRS107" s="769"/>
      <c r="IRT107" s="769"/>
      <c r="IRU107" s="769"/>
      <c r="IRV107" s="769"/>
      <c r="IRW107" s="769"/>
      <c r="IRX107" s="769"/>
      <c r="IRY107" s="769"/>
      <c r="IRZ107" s="769"/>
      <c r="ISA107" s="769"/>
      <c r="ISB107" s="769"/>
      <c r="ISC107" s="769"/>
      <c r="ISD107" s="769"/>
      <c r="ISE107" s="769"/>
      <c r="ISF107" s="769"/>
      <c r="ISG107" s="769"/>
      <c r="ISH107" s="769"/>
      <c r="ISI107" s="769"/>
      <c r="ISJ107" s="769"/>
      <c r="ISK107" s="769"/>
      <c r="ISL107" s="769"/>
      <c r="ISM107" s="769"/>
      <c r="ISN107" s="769"/>
      <c r="ISO107" s="769"/>
      <c r="ISP107" s="769"/>
      <c r="ISQ107" s="769"/>
      <c r="ISR107" s="769"/>
      <c r="ISS107" s="769"/>
      <c r="IST107" s="769"/>
      <c r="ISU107" s="769"/>
      <c r="ISV107" s="769"/>
      <c r="ISW107" s="769"/>
      <c r="ISX107" s="769"/>
      <c r="ISY107" s="769"/>
      <c r="ISZ107" s="769"/>
      <c r="ITA107" s="769"/>
      <c r="ITB107" s="769"/>
      <c r="ITC107" s="769"/>
      <c r="ITD107" s="769"/>
      <c r="ITE107" s="769"/>
      <c r="ITF107" s="769"/>
      <c r="ITG107" s="769"/>
      <c r="ITH107" s="769"/>
      <c r="ITI107" s="769"/>
      <c r="ITJ107" s="769"/>
      <c r="ITK107" s="769"/>
      <c r="ITL107" s="769"/>
      <c r="ITM107" s="769"/>
      <c r="ITN107" s="769"/>
      <c r="ITO107" s="769"/>
      <c r="ITP107" s="769"/>
      <c r="ITQ107" s="769"/>
      <c r="ITR107" s="769"/>
      <c r="ITS107" s="769"/>
      <c r="ITT107" s="769"/>
      <c r="ITU107" s="769"/>
      <c r="ITV107" s="769"/>
      <c r="ITW107" s="769"/>
      <c r="ITX107" s="769"/>
      <c r="ITY107" s="769"/>
      <c r="ITZ107" s="769"/>
      <c r="IUA107" s="769"/>
      <c r="IUB107" s="769"/>
      <c r="IUC107" s="769"/>
      <c r="IUD107" s="769"/>
      <c r="IUE107" s="769"/>
      <c r="IUF107" s="769"/>
      <c r="IUG107" s="769"/>
      <c r="IUH107" s="769"/>
      <c r="IUI107" s="769"/>
      <c r="IUJ107" s="769"/>
      <c r="IUK107" s="769"/>
      <c r="IUL107" s="769"/>
      <c r="IUM107" s="769"/>
      <c r="IUN107" s="769"/>
      <c r="IUO107" s="769"/>
      <c r="IUP107" s="769"/>
      <c r="IUQ107" s="769"/>
      <c r="IUR107" s="769"/>
      <c r="IUS107" s="769"/>
      <c r="IUT107" s="769"/>
      <c r="IUU107" s="769"/>
      <c r="IUV107" s="769"/>
      <c r="IUW107" s="769"/>
      <c r="IUX107" s="769"/>
      <c r="IUY107" s="769"/>
      <c r="IUZ107" s="769"/>
      <c r="IVA107" s="769"/>
      <c r="IVB107" s="769"/>
      <c r="IVC107" s="769"/>
      <c r="IVD107" s="769"/>
      <c r="IVE107" s="769"/>
      <c r="IVF107" s="769"/>
      <c r="IVG107" s="769"/>
      <c r="IVH107" s="769"/>
      <c r="IVI107" s="769"/>
      <c r="IVJ107" s="769"/>
      <c r="IVK107" s="769"/>
      <c r="IVL107" s="769"/>
      <c r="IVM107" s="769"/>
      <c r="IVN107" s="769"/>
      <c r="IVO107" s="769"/>
      <c r="IVP107" s="769"/>
      <c r="IVQ107" s="769"/>
      <c r="IVR107" s="769"/>
      <c r="IVS107" s="769"/>
      <c r="IVT107" s="769"/>
      <c r="IVU107" s="769"/>
      <c r="IVV107" s="769"/>
      <c r="IVW107" s="769"/>
      <c r="IVX107" s="769"/>
      <c r="IVY107" s="769"/>
      <c r="IVZ107" s="769"/>
      <c r="IWA107" s="769"/>
      <c r="IWB107" s="769"/>
      <c r="IWC107" s="769"/>
      <c r="IWD107" s="769"/>
      <c r="IWE107" s="769"/>
      <c r="IWF107" s="769"/>
      <c r="IWG107" s="769"/>
      <c r="IWH107" s="769"/>
      <c r="IWI107" s="769"/>
      <c r="IWJ107" s="769"/>
      <c r="IWK107" s="769"/>
      <c r="IWL107" s="769"/>
      <c r="IWM107" s="769"/>
      <c r="IWN107" s="769"/>
      <c r="IWO107" s="769"/>
      <c r="IWP107" s="769"/>
      <c r="IWQ107" s="769"/>
      <c r="IWR107" s="769"/>
      <c r="IWS107" s="769"/>
      <c r="IWT107" s="769"/>
      <c r="IWU107" s="769"/>
      <c r="IWV107" s="769"/>
      <c r="IWW107" s="769"/>
      <c r="IWX107" s="769"/>
      <c r="IWY107" s="769"/>
      <c r="IWZ107" s="769"/>
      <c r="IXA107" s="769"/>
      <c r="IXB107" s="769"/>
      <c r="IXC107" s="769"/>
      <c r="IXD107" s="769"/>
      <c r="IXE107" s="769"/>
      <c r="IXF107" s="769"/>
      <c r="IXG107" s="769"/>
      <c r="IXH107" s="769"/>
      <c r="IXI107" s="769"/>
      <c r="IXJ107" s="769"/>
      <c r="IXK107" s="769"/>
      <c r="IXL107" s="769"/>
      <c r="IXM107" s="769"/>
      <c r="IXN107" s="769"/>
      <c r="IXO107" s="769"/>
      <c r="IXP107" s="769"/>
      <c r="IXQ107" s="769"/>
      <c r="IXR107" s="769"/>
      <c r="IXS107" s="769"/>
      <c r="IXT107" s="769"/>
      <c r="IXU107" s="769"/>
      <c r="IXV107" s="769"/>
      <c r="IXW107" s="769"/>
      <c r="IXX107" s="769"/>
      <c r="IXY107" s="769"/>
      <c r="IXZ107" s="769"/>
      <c r="IYA107" s="769"/>
      <c r="IYB107" s="769"/>
      <c r="IYC107" s="769"/>
      <c r="IYD107" s="769"/>
      <c r="IYE107" s="769"/>
      <c r="IYF107" s="769"/>
      <c r="IYG107" s="769"/>
      <c r="IYH107" s="769"/>
      <c r="IYI107" s="769"/>
      <c r="IYJ107" s="769"/>
      <c r="IYK107" s="769"/>
      <c r="IYL107" s="769"/>
      <c r="IYM107" s="769"/>
      <c r="IYN107" s="769"/>
      <c r="IYO107" s="769"/>
      <c r="IYP107" s="769"/>
      <c r="IYQ107" s="769"/>
      <c r="IYR107" s="769"/>
      <c r="IYS107" s="769"/>
      <c r="IYT107" s="769"/>
      <c r="IYU107" s="769"/>
      <c r="IYV107" s="769"/>
      <c r="IYW107" s="769"/>
      <c r="IYX107" s="769"/>
      <c r="IYY107" s="769"/>
      <c r="IYZ107" s="769"/>
      <c r="IZA107" s="769"/>
      <c r="IZB107" s="769"/>
      <c r="IZC107" s="769"/>
      <c r="IZD107" s="769"/>
      <c r="IZE107" s="769"/>
      <c r="IZF107" s="769"/>
      <c r="IZG107" s="769"/>
      <c r="IZH107" s="769"/>
      <c r="IZI107" s="769"/>
      <c r="IZJ107" s="769"/>
      <c r="IZK107" s="769"/>
      <c r="IZL107" s="769"/>
      <c r="IZM107" s="769"/>
      <c r="IZN107" s="769"/>
      <c r="IZO107" s="769"/>
      <c r="IZP107" s="769"/>
      <c r="IZQ107" s="769"/>
      <c r="IZR107" s="769"/>
      <c r="IZS107" s="769"/>
      <c r="IZT107" s="769"/>
      <c r="IZU107" s="769"/>
      <c r="IZV107" s="769"/>
      <c r="IZW107" s="769"/>
      <c r="IZX107" s="769"/>
      <c r="IZY107" s="769"/>
      <c r="IZZ107" s="769"/>
      <c r="JAA107" s="769"/>
      <c r="JAB107" s="769"/>
      <c r="JAC107" s="769"/>
      <c r="JAD107" s="769"/>
      <c r="JAE107" s="769"/>
      <c r="JAF107" s="769"/>
      <c r="JAG107" s="769"/>
      <c r="JAH107" s="769"/>
      <c r="JAI107" s="769"/>
      <c r="JAJ107" s="769"/>
      <c r="JAK107" s="769"/>
      <c r="JAL107" s="769"/>
      <c r="JAM107" s="769"/>
      <c r="JAN107" s="769"/>
      <c r="JAO107" s="769"/>
      <c r="JAP107" s="769"/>
      <c r="JAQ107" s="769"/>
      <c r="JAR107" s="769"/>
      <c r="JAS107" s="769"/>
      <c r="JAT107" s="769"/>
      <c r="JAU107" s="769"/>
      <c r="JAV107" s="769"/>
      <c r="JAW107" s="769"/>
      <c r="JAX107" s="769"/>
      <c r="JAY107" s="769"/>
      <c r="JAZ107" s="769"/>
      <c r="JBA107" s="769"/>
      <c r="JBB107" s="769"/>
      <c r="JBC107" s="769"/>
      <c r="JBD107" s="769"/>
      <c r="JBE107" s="769"/>
      <c r="JBF107" s="769"/>
      <c r="JBG107" s="769"/>
      <c r="JBH107" s="769"/>
      <c r="JBI107" s="769"/>
      <c r="JBJ107" s="769"/>
      <c r="JBK107" s="769"/>
      <c r="JBL107" s="769"/>
      <c r="JBM107" s="769"/>
      <c r="JBN107" s="769"/>
      <c r="JBO107" s="769"/>
      <c r="JBP107" s="769"/>
      <c r="JBQ107" s="769"/>
      <c r="JBR107" s="769"/>
      <c r="JBS107" s="769"/>
      <c r="JBT107" s="769"/>
      <c r="JBU107" s="769"/>
      <c r="JBV107" s="769"/>
      <c r="JBW107" s="769"/>
      <c r="JBX107" s="769"/>
      <c r="JBY107" s="769"/>
      <c r="JBZ107" s="769"/>
      <c r="JCA107" s="769"/>
      <c r="JCB107" s="769"/>
      <c r="JCC107" s="769"/>
      <c r="JCD107" s="769"/>
      <c r="JCE107" s="769"/>
      <c r="JCF107" s="769"/>
      <c r="JCG107" s="769"/>
      <c r="JCH107" s="769"/>
      <c r="JCI107" s="769"/>
      <c r="JCJ107" s="769"/>
      <c r="JCK107" s="769"/>
      <c r="JCL107" s="769"/>
      <c r="JCM107" s="769"/>
      <c r="JCN107" s="769"/>
      <c r="JCO107" s="769"/>
      <c r="JCP107" s="769"/>
      <c r="JCQ107" s="769"/>
      <c r="JCR107" s="769"/>
      <c r="JCS107" s="769"/>
      <c r="JCT107" s="769"/>
      <c r="JCU107" s="769"/>
      <c r="JCV107" s="769"/>
      <c r="JCW107" s="769"/>
      <c r="JCX107" s="769"/>
      <c r="JCY107" s="769"/>
      <c r="JCZ107" s="769"/>
      <c r="JDA107" s="769"/>
      <c r="JDB107" s="769"/>
      <c r="JDC107" s="769"/>
      <c r="JDD107" s="769"/>
      <c r="JDE107" s="769"/>
      <c r="JDF107" s="769"/>
      <c r="JDG107" s="769"/>
      <c r="JDH107" s="769"/>
      <c r="JDI107" s="769"/>
      <c r="JDJ107" s="769"/>
      <c r="JDK107" s="769"/>
      <c r="JDL107" s="769"/>
      <c r="JDM107" s="769"/>
      <c r="JDN107" s="769"/>
      <c r="JDO107" s="769"/>
      <c r="JDP107" s="769"/>
      <c r="JDQ107" s="769"/>
      <c r="JDR107" s="769"/>
      <c r="JDS107" s="769"/>
      <c r="JDT107" s="769"/>
      <c r="JDU107" s="769"/>
      <c r="JDV107" s="769"/>
      <c r="JDW107" s="769"/>
      <c r="JDX107" s="769"/>
      <c r="JDY107" s="769"/>
      <c r="JDZ107" s="769"/>
      <c r="JEA107" s="769"/>
      <c r="JEB107" s="769"/>
      <c r="JEC107" s="769"/>
      <c r="JED107" s="769"/>
      <c r="JEE107" s="769"/>
      <c r="JEF107" s="769"/>
      <c r="JEG107" s="769"/>
      <c r="JEH107" s="769"/>
      <c r="JEI107" s="769"/>
      <c r="JEJ107" s="769"/>
      <c r="JEK107" s="769"/>
      <c r="JEL107" s="769"/>
      <c r="JEM107" s="769"/>
      <c r="JEN107" s="769"/>
      <c r="JEO107" s="769"/>
      <c r="JEP107" s="769"/>
      <c r="JEQ107" s="769"/>
      <c r="JER107" s="769"/>
      <c r="JES107" s="769"/>
      <c r="JET107" s="769"/>
      <c r="JEU107" s="769"/>
      <c r="JEV107" s="769"/>
      <c r="JEW107" s="769"/>
      <c r="JEX107" s="769"/>
      <c r="JEY107" s="769"/>
      <c r="JEZ107" s="769"/>
      <c r="JFA107" s="769"/>
      <c r="JFB107" s="769"/>
      <c r="JFC107" s="769"/>
      <c r="JFD107" s="769"/>
      <c r="JFE107" s="769"/>
      <c r="JFF107" s="769"/>
      <c r="JFG107" s="769"/>
      <c r="JFH107" s="769"/>
      <c r="JFI107" s="769"/>
      <c r="JFJ107" s="769"/>
      <c r="JFK107" s="769"/>
      <c r="JFL107" s="769"/>
      <c r="JFM107" s="769"/>
      <c r="JFN107" s="769"/>
      <c r="JFO107" s="769"/>
      <c r="JFP107" s="769"/>
      <c r="JFQ107" s="769"/>
      <c r="JFR107" s="769"/>
      <c r="JFS107" s="769"/>
      <c r="JFT107" s="769"/>
      <c r="JFU107" s="769"/>
      <c r="JFV107" s="769"/>
      <c r="JFW107" s="769"/>
      <c r="JFX107" s="769"/>
      <c r="JFY107" s="769"/>
      <c r="JFZ107" s="769"/>
      <c r="JGA107" s="769"/>
      <c r="JGB107" s="769"/>
      <c r="JGC107" s="769"/>
      <c r="JGD107" s="769"/>
      <c r="JGE107" s="769"/>
      <c r="JGF107" s="769"/>
      <c r="JGG107" s="769"/>
      <c r="JGH107" s="769"/>
      <c r="JGI107" s="769"/>
      <c r="JGJ107" s="769"/>
      <c r="JGK107" s="769"/>
      <c r="JGL107" s="769"/>
      <c r="JGM107" s="769"/>
      <c r="JGN107" s="769"/>
      <c r="JGO107" s="769"/>
      <c r="JGP107" s="769"/>
      <c r="JGQ107" s="769"/>
      <c r="JGR107" s="769"/>
      <c r="JGS107" s="769"/>
      <c r="JGT107" s="769"/>
      <c r="JGU107" s="769"/>
      <c r="JGV107" s="769"/>
      <c r="JGW107" s="769"/>
      <c r="JGX107" s="769"/>
      <c r="JGY107" s="769"/>
      <c r="JGZ107" s="769"/>
      <c r="JHA107" s="769"/>
      <c r="JHB107" s="769"/>
      <c r="JHC107" s="769"/>
      <c r="JHD107" s="769"/>
      <c r="JHE107" s="769"/>
      <c r="JHF107" s="769"/>
      <c r="JHG107" s="769"/>
      <c r="JHH107" s="769"/>
      <c r="JHI107" s="769"/>
      <c r="JHJ107" s="769"/>
      <c r="JHK107" s="769"/>
      <c r="JHL107" s="769"/>
      <c r="JHM107" s="769"/>
      <c r="JHN107" s="769"/>
      <c r="JHO107" s="769"/>
      <c r="JHP107" s="769"/>
      <c r="JHQ107" s="769"/>
      <c r="JHR107" s="769"/>
      <c r="JHS107" s="769"/>
      <c r="JHT107" s="769"/>
      <c r="JHU107" s="769"/>
      <c r="JHV107" s="769"/>
      <c r="JHW107" s="769"/>
      <c r="JHX107" s="769"/>
      <c r="JHY107" s="769"/>
      <c r="JHZ107" s="769"/>
      <c r="JIA107" s="769"/>
      <c r="JIB107" s="769"/>
      <c r="JIC107" s="769"/>
      <c r="JID107" s="769"/>
      <c r="JIE107" s="769"/>
      <c r="JIF107" s="769"/>
      <c r="JIG107" s="769"/>
      <c r="JIH107" s="769"/>
      <c r="JII107" s="769"/>
      <c r="JIJ107" s="769"/>
      <c r="JIK107" s="769"/>
      <c r="JIL107" s="769"/>
      <c r="JIM107" s="769"/>
      <c r="JIN107" s="769"/>
      <c r="JIO107" s="769"/>
      <c r="JIP107" s="769"/>
      <c r="JIQ107" s="769"/>
      <c r="JIR107" s="769"/>
      <c r="JIS107" s="769"/>
      <c r="JIT107" s="769"/>
      <c r="JIU107" s="769"/>
      <c r="JIV107" s="769"/>
      <c r="JIW107" s="769"/>
      <c r="JIX107" s="769"/>
      <c r="JIY107" s="769"/>
      <c r="JIZ107" s="769"/>
      <c r="JJA107" s="769"/>
      <c r="JJB107" s="769"/>
      <c r="JJC107" s="769"/>
      <c r="JJD107" s="769"/>
      <c r="JJE107" s="769"/>
      <c r="JJF107" s="769"/>
      <c r="JJG107" s="769"/>
      <c r="JJH107" s="769"/>
      <c r="JJI107" s="769"/>
      <c r="JJJ107" s="769"/>
      <c r="JJK107" s="769"/>
      <c r="JJL107" s="769"/>
      <c r="JJM107" s="769"/>
      <c r="JJN107" s="769"/>
      <c r="JJO107" s="769"/>
      <c r="JJP107" s="769"/>
      <c r="JJQ107" s="769"/>
      <c r="JJR107" s="769"/>
      <c r="JJS107" s="769"/>
      <c r="JJT107" s="769"/>
      <c r="JJU107" s="769"/>
      <c r="JJV107" s="769"/>
      <c r="JJW107" s="769"/>
      <c r="JJX107" s="769"/>
      <c r="JJY107" s="769"/>
      <c r="JJZ107" s="769"/>
      <c r="JKA107" s="769"/>
      <c r="JKB107" s="769"/>
      <c r="JKC107" s="769"/>
      <c r="JKD107" s="769"/>
      <c r="JKE107" s="769"/>
      <c r="JKF107" s="769"/>
      <c r="JKG107" s="769"/>
      <c r="JKH107" s="769"/>
      <c r="JKI107" s="769"/>
      <c r="JKJ107" s="769"/>
      <c r="JKK107" s="769"/>
      <c r="JKL107" s="769"/>
      <c r="JKM107" s="769"/>
      <c r="JKN107" s="769"/>
      <c r="JKO107" s="769"/>
      <c r="JKP107" s="769"/>
      <c r="JKQ107" s="769"/>
      <c r="JKR107" s="769"/>
      <c r="JKS107" s="769"/>
      <c r="JKT107" s="769"/>
      <c r="JKU107" s="769"/>
      <c r="JKV107" s="769"/>
      <c r="JKW107" s="769"/>
      <c r="JKX107" s="769"/>
      <c r="JKY107" s="769"/>
      <c r="JKZ107" s="769"/>
      <c r="JLA107" s="769"/>
      <c r="JLB107" s="769"/>
      <c r="JLC107" s="769"/>
      <c r="JLD107" s="769"/>
      <c r="JLE107" s="769"/>
      <c r="JLF107" s="769"/>
      <c r="JLG107" s="769"/>
      <c r="JLH107" s="769"/>
      <c r="JLI107" s="769"/>
      <c r="JLJ107" s="769"/>
      <c r="JLK107" s="769"/>
      <c r="JLL107" s="769"/>
      <c r="JLM107" s="769"/>
      <c r="JLN107" s="769"/>
      <c r="JLO107" s="769"/>
      <c r="JLP107" s="769"/>
      <c r="JLQ107" s="769"/>
      <c r="JLR107" s="769"/>
      <c r="JLS107" s="769"/>
      <c r="JLT107" s="769"/>
      <c r="JLU107" s="769"/>
      <c r="JLV107" s="769"/>
      <c r="JLW107" s="769"/>
      <c r="JLX107" s="769"/>
      <c r="JLY107" s="769"/>
      <c r="JLZ107" s="769"/>
      <c r="JMA107" s="769"/>
      <c r="JMB107" s="769"/>
      <c r="JMC107" s="769"/>
      <c r="JMD107" s="769"/>
      <c r="JME107" s="769"/>
      <c r="JMF107" s="769"/>
      <c r="JMG107" s="769"/>
      <c r="JMH107" s="769"/>
      <c r="JMI107" s="769"/>
      <c r="JMJ107" s="769"/>
      <c r="JMK107" s="769"/>
      <c r="JML107" s="769"/>
      <c r="JMM107" s="769"/>
      <c r="JMN107" s="769"/>
      <c r="JMO107" s="769"/>
      <c r="JMP107" s="769"/>
      <c r="JMQ107" s="769"/>
      <c r="JMR107" s="769"/>
      <c r="JMS107" s="769"/>
      <c r="JMT107" s="769"/>
      <c r="JMU107" s="769"/>
      <c r="JMV107" s="769"/>
      <c r="JMW107" s="769"/>
      <c r="JMX107" s="769"/>
      <c r="JMY107" s="769"/>
      <c r="JMZ107" s="769"/>
      <c r="JNA107" s="769"/>
      <c r="JNB107" s="769"/>
      <c r="JNC107" s="769"/>
      <c r="JND107" s="769"/>
      <c r="JNE107" s="769"/>
      <c r="JNF107" s="769"/>
      <c r="JNG107" s="769"/>
      <c r="JNH107" s="769"/>
      <c r="JNI107" s="769"/>
      <c r="JNJ107" s="769"/>
      <c r="JNK107" s="769"/>
      <c r="JNL107" s="769"/>
      <c r="JNM107" s="769"/>
      <c r="JNN107" s="769"/>
      <c r="JNO107" s="769"/>
      <c r="JNP107" s="769"/>
      <c r="JNQ107" s="769"/>
      <c r="JNR107" s="769"/>
      <c r="JNS107" s="769"/>
      <c r="JNT107" s="769"/>
      <c r="JNU107" s="769"/>
      <c r="JNV107" s="769"/>
      <c r="JNW107" s="769"/>
      <c r="JNX107" s="769"/>
      <c r="JNY107" s="769"/>
      <c r="JNZ107" s="769"/>
      <c r="JOA107" s="769"/>
      <c r="JOB107" s="769"/>
      <c r="JOC107" s="769"/>
      <c r="JOD107" s="769"/>
      <c r="JOE107" s="769"/>
      <c r="JOF107" s="769"/>
      <c r="JOG107" s="769"/>
      <c r="JOH107" s="769"/>
      <c r="JOI107" s="769"/>
      <c r="JOJ107" s="769"/>
      <c r="JOK107" s="769"/>
      <c r="JOL107" s="769"/>
      <c r="JOM107" s="769"/>
      <c r="JON107" s="769"/>
      <c r="JOO107" s="769"/>
      <c r="JOP107" s="769"/>
      <c r="JOQ107" s="769"/>
      <c r="JOR107" s="769"/>
      <c r="JOS107" s="769"/>
      <c r="JOT107" s="769"/>
      <c r="JOU107" s="769"/>
      <c r="JOV107" s="769"/>
      <c r="JOW107" s="769"/>
      <c r="JOX107" s="769"/>
      <c r="JOY107" s="769"/>
      <c r="JOZ107" s="769"/>
      <c r="JPA107" s="769"/>
      <c r="JPB107" s="769"/>
      <c r="JPC107" s="769"/>
      <c r="JPD107" s="769"/>
      <c r="JPE107" s="769"/>
      <c r="JPF107" s="769"/>
      <c r="JPG107" s="769"/>
      <c r="JPH107" s="769"/>
      <c r="JPI107" s="769"/>
      <c r="JPJ107" s="769"/>
      <c r="JPK107" s="769"/>
      <c r="JPL107" s="769"/>
      <c r="JPM107" s="769"/>
      <c r="JPN107" s="769"/>
      <c r="JPO107" s="769"/>
      <c r="JPP107" s="769"/>
      <c r="JPQ107" s="769"/>
      <c r="JPR107" s="769"/>
      <c r="JPS107" s="769"/>
      <c r="JPT107" s="769"/>
      <c r="JPU107" s="769"/>
      <c r="JPV107" s="769"/>
      <c r="JPW107" s="769"/>
      <c r="JPX107" s="769"/>
      <c r="JPY107" s="769"/>
      <c r="JPZ107" s="769"/>
      <c r="JQA107" s="769"/>
      <c r="JQB107" s="769"/>
      <c r="JQC107" s="769"/>
      <c r="JQD107" s="769"/>
      <c r="JQE107" s="769"/>
      <c r="JQF107" s="769"/>
      <c r="JQG107" s="769"/>
      <c r="JQH107" s="769"/>
      <c r="JQI107" s="769"/>
      <c r="JQJ107" s="769"/>
      <c r="JQK107" s="769"/>
      <c r="JQL107" s="769"/>
      <c r="JQM107" s="769"/>
      <c r="JQN107" s="769"/>
      <c r="JQO107" s="769"/>
      <c r="JQP107" s="769"/>
      <c r="JQQ107" s="769"/>
      <c r="JQR107" s="769"/>
      <c r="JQS107" s="769"/>
      <c r="JQT107" s="769"/>
      <c r="JQU107" s="769"/>
      <c r="JQV107" s="769"/>
      <c r="JQW107" s="769"/>
      <c r="JQX107" s="769"/>
      <c r="JQY107" s="769"/>
      <c r="JQZ107" s="769"/>
      <c r="JRA107" s="769"/>
      <c r="JRB107" s="769"/>
      <c r="JRC107" s="769"/>
      <c r="JRD107" s="769"/>
      <c r="JRE107" s="769"/>
      <c r="JRF107" s="769"/>
      <c r="JRG107" s="769"/>
      <c r="JRH107" s="769"/>
      <c r="JRI107" s="769"/>
      <c r="JRJ107" s="769"/>
      <c r="JRK107" s="769"/>
      <c r="JRL107" s="769"/>
      <c r="JRM107" s="769"/>
      <c r="JRN107" s="769"/>
      <c r="JRO107" s="769"/>
      <c r="JRP107" s="769"/>
      <c r="JRQ107" s="769"/>
      <c r="JRR107" s="769"/>
      <c r="JRS107" s="769"/>
      <c r="JRT107" s="769"/>
      <c r="JRU107" s="769"/>
      <c r="JRV107" s="769"/>
      <c r="JRW107" s="769"/>
      <c r="JRX107" s="769"/>
      <c r="JRY107" s="769"/>
      <c r="JRZ107" s="769"/>
      <c r="JSA107" s="769"/>
      <c r="JSB107" s="769"/>
      <c r="JSC107" s="769"/>
      <c r="JSD107" s="769"/>
      <c r="JSE107" s="769"/>
      <c r="JSF107" s="769"/>
      <c r="JSG107" s="769"/>
      <c r="JSH107" s="769"/>
      <c r="JSI107" s="769"/>
      <c r="JSJ107" s="769"/>
      <c r="JSK107" s="769"/>
      <c r="JSL107" s="769"/>
      <c r="JSM107" s="769"/>
      <c r="JSN107" s="769"/>
      <c r="JSO107" s="769"/>
      <c r="JSP107" s="769"/>
      <c r="JSQ107" s="769"/>
      <c r="JSR107" s="769"/>
      <c r="JSS107" s="769"/>
      <c r="JST107" s="769"/>
      <c r="JSU107" s="769"/>
      <c r="JSV107" s="769"/>
      <c r="JSW107" s="769"/>
      <c r="JSX107" s="769"/>
      <c r="JSY107" s="769"/>
      <c r="JSZ107" s="769"/>
      <c r="JTA107" s="769"/>
      <c r="JTB107" s="769"/>
      <c r="JTC107" s="769"/>
      <c r="JTD107" s="769"/>
      <c r="JTE107" s="769"/>
      <c r="JTF107" s="769"/>
      <c r="JTG107" s="769"/>
      <c r="JTH107" s="769"/>
      <c r="JTI107" s="769"/>
      <c r="JTJ107" s="769"/>
      <c r="JTK107" s="769"/>
      <c r="JTL107" s="769"/>
      <c r="JTM107" s="769"/>
      <c r="JTN107" s="769"/>
      <c r="JTO107" s="769"/>
      <c r="JTP107" s="769"/>
      <c r="JTQ107" s="769"/>
      <c r="JTR107" s="769"/>
      <c r="JTS107" s="769"/>
      <c r="JTT107" s="769"/>
      <c r="JTU107" s="769"/>
      <c r="JTV107" s="769"/>
      <c r="JTW107" s="769"/>
      <c r="JTX107" s="769"/>
      <c r="JTY107" s="769"/>
      <c r="JTZ107" s="769"/>
      <c r="JUA107" s="769"/>
      <c r="JUB107" s="769"/>
      <c r="JUC107" s="769"/>
      <c r="JUD107" s="769"/>
      <c r="JUE107" s="769"/>
      <c r="JUF107" s="769"/>
      <c r="JUG107" s="769"/>
      <c r="JUH107" s="769"/>
      <c r="JUI107" s="769"/>
      <c r="JUJ107" s="769"/>
      <c r="JUK107" s="769"/>
      <c r="JUL107" s="769"/>
      <c r="JUM107" s="769"/>
      <c r="JUN107" s="769"/>
      <c r="JUO107" s="769"/>
      <c r="JUP107" s="769"/>
      <c r="JUQ107" s="769"/>
      <c r="JUR107" s="769"/>
      <c r="JUS107" s="769"/>
      <c r="JUT107" s="769"/>
      <c r="JUU107" s="769"/>
      <c r="JUV107" s="769"/>
      <c r="JUW107" s="769"/>
      <c r="JUX107" s="769"/>
      <c r="JUY107" s="769"/>
      <c r="JUZ107" s="769"/>
      <c r="JVA107" s="769"/>
      <c r="JVB107" s="769"/>
      <c r="JVC107" s="769"/>
      <c r="JVD107" s="769"/>
      <c r="JVE107" s="769"/>
      <c r="JVF107" s="769"/>
      <c r="JVG107" s="769"/>
      <c r="JVH107" s="769"/>
      <c r="JVI107" s="769"/>
      <c r="JVJ107" s="769"/>
      <c r="JVK107" s="769"/>
      <c r="JVL107" s="769"/>
      <c r="JVM107" s="769"/>
      <c r="JVN107" s="769"/>
      <c r="JVO107" s="769"/>
      <c r="JVP107" s="769"/>
      <c r="JVQ107" s="769"/>
      <c r="JVR107" s="769"/>
      <c r="JVS107" s="769"/>
      <c r="JVT107" s="769"/>
      <c r="JVU107" s="769"/>
      <c r="JVV107" s="769"/>
      <c r="JVW107" s="769"/>
      <c r="JVX107" s="769"/>
      <c r="JVY107" s="769"/>
      <c r="JVZ107" s="769"/>
      <c r="JWA107" s="769"/>
      <c r="JWB107" s="769"/>
      <c r="JWC107" s="769"/>
      <c r="JWD107" s="769"/>
      <c r="JWE107" s="769"/>
      <c r="JWF107" s="769"/>
      <c r="JWG107" s="769"/>
      <c r="JWH107" s="769"/>
      <c r="JWI107" s="769"/>
      <c r="JWJ107" s="769"/>
      <c r="JWK107" s="769"/>
      <c r="JWL107" s="769"/>
      <c r="JWM107" s="769"/>
      <c r="JWN107" s="769"/>
      <c r="JWO107" s="769"/>
      <c r="JWP107" s="769"/>
      <c r="JWQ107" s="769"/>
      <c r="JWR107" s="769"/>
      <c r="JWS107" s="769"/>
      <c r="JWT107" s="769"/>
      <c r="JWU107" s="769"/>
      <c r="JWV107" s="769"/>
      <c r="JWW107" s="769"/>
      <c r="JWX107" s="769"/>
      <c r="JWY107" s="769"/>
      <c r="JWZ107" s="769"/>
      <c r="JXA107" s="769"/>
      <c r="JXB107" s="769"/>
      <c r="JXC107" s="769"/>
      <c r="JXD107" s="769"/>
      <c r="JXE107" s="769"/>
      <c r="JXF107" s="769"/>
      <c r="JXG107" s="769"/>
      <c r="JXH107" s="769"/>
      <c r="JXI107" s="769"/>
      <c r="JXJ107" s="769"/>
      <c r="JXK107" s="769"/>
      <c r="JXL107" s="769"/>
      <c r="JXM107" s="769"/>
      <c r="JXN107" s="769"/>
      <c r="JXO107" s="769"/>
      <c r="JXP107" s="769"/>
      <c r="JXQ107" s="769"/>
      <c r="JXR107" s="769"/>
      <c r="JXS107" s="769"/>
      <c r="JXT107" s="769"/>
      <c r="JXU107" s="769"/>
      <c r="JXV107" s="769"/>
      <c r="JXW107" s="769"/>
      <c r="JXX107" s="769"/>
      <c r="JXY107" s="769"/>
      <c r="JXZ107" s="769"/>
      <c r="JYA107" s="769"/>
      <c r="JYB107" s="769"/>
      <c r="JYC107" s="769"/>
      <c r="JYD107" s="769"/>
      <c r="JYE107" s="769"/>
      <c r="JYF107" s="769"/>
      <c r="JYG107" s="769"/>
      <c r="JYH107" s="769"/>
      <c r="JYI107" s="769"/>
      <c r="JYJ107" s="769"/>
      <c r="JYK107" s="769"/>
      <c r="JYL107" s="769"/>
      <c r="JYM107" s="769"/>
      <c r="JYN107" s="769"/>
      <c r="JYO107" s="769"/>
      <c r="JYP107" s="769"/>
      <c r="JYQ107" s="769"/>
      <c r="JYR107" s="769"/>
      <c r="JYS107" s="769"/>
      <c r="JYT107" s="769"/>
      <c r="JYU107" s="769"/>
      <c r="JYV107" s="769"/>
      <c r="JYW107" s="769"/>
      <c r="JYX107" s="769"/>
      <c r="JYY107" s="769"/>
      <c r="JYZ107" s="769"/>
      <c r="JZA107" s="769"/>
      <c r="JZB107" s="769"/>
      <c r="JZC107" s="769"/>
      <c r="JZD107" s="769"/>
      <c r="JZE107" s="769"/>
      <c r="JZF107" s="769"/>
      <c r="JZG107" s="769"/>
      <c r="JZH107" s="769"/>
      <c r="JZI107" s="769"/>
      <c r="JZJ107" s="769"/>
      <c r="JZK107" s="769"/>
      <c r="JZL107" s="769"/>
      <c r="JZM107" s="769"/>
      <c r="JZN107" s="769"/>
      <c r="JZO107" s="769"/>
      <c r="JZP107" s="769"/>
      <c r="JZQ107" s="769"/>
      <c r="JZR107" s="769"/>
      <c r="JZS107" s="769"/>
      <c r="JZT107" s="769"/>
      <c r="JZU107" s="769"/>
      <c r="JZV107" s="769"/>
      <c r="JZW107" s="769"/>
      <c r="JZX107" s="769"/>
      <c r="JZY107" s="769"/>
      <c r="JZZ107" s="769"/>
      <c r="KAA107" s="769"/>
      <c r="KAB107" s="769"/>
      <c r="KAC107" s="769"/>
      <c r="KAD107" s="769"/>
      <c r="KAE107" s="769"/>
      <c r="KAF107" s="769"/>
      <c r="KAG107" s="769"/>
      <c r="KAH107" s="769"/>
      <c r="KAI107" s="769"/>
      <c r="KAJ107" s="769"/>
      <c r="KAK107" s="769"/>
      <c r="KAL107" s="769"/>
      <c r="KAM107" s="769"/>
      <c r="KAN107" s="769"/>
      <c r="KAO107" s="769"/>
      <c r="KAP107" s="769"/>
      <c r="KAQ107" s="769"/>
      <c r="KAR107" s="769"/>
      <c r="KAS107" s="769"/>
      <c r="KAT107" s="769"/>
      <c r="KAU107" s="769"/>
      <c r="KAV107" s="769"/>
      <c r="KAW107" s="769"/>
      <c r="KAX107" s="769"/>
      <c r="KAY107" s="769"/>
      <c r="KAZ107" s="769"/>
      <c r="KBA107" s="769"/>
      <c r="KBB107" s="769"/>
      <c r="KBC107" s="769"/>
      <c r="KBD107" s="769"/>
      <c r="KBE107" s="769"/>
      <c r="KBF107" s="769"/>
      <c r="KBG107" s="769"/>
      <c r="KBH107" s="769"/>
      <c r="KBI107" s="769"/>
      <c r="KBJ107" s="769"/>
      <c r="KBK107" s="769"/>
      <c r="KBL107" s="769"/>
      <c r="KBM107" s="769"/>
      <c r="KBN107" s="769"/>
      <c r="KBO107" s="769"/>
      <c r="KBP107" s="769"/>
      <c r="KBQ107" s="769"/>
      <c r="KBR107" s="769"/>
      <c r="KBS107" s="769"/>
      <c r="KBT107" s="769"/>
      <c r="KBU107" s="769"/>
      <c r="KBV107" s="769"/>
      <c r="KBW107" s="769"/>
      <c r="KBX107" s="769"/>
      <c r="KBY107" s="769"/>
      <c r="KBZ107" s="769"/>
      <c r="KCA107" s="769"/>
      <c r="KCB107" s="769"/>
      <c r="KCC107" s="769"/>
      <c r="KCD107" s="769"/>
      <c r="KCE107" s="769"/>
      <c r="KCF107" s="769"/>
      <c r="KCG107" s="769"/>
      <c r="KCH107" s="769"/>
      <c r="KCI107" s="769"/>
      <c r="KCJ107" s="769"/>
      <c r="KCK107" s="769"/>
      <c r="KCL107" s="769"/>
      <c r="KCM107" s="769"/>
      <c r="KCN107" s="769"/>
      <c r="KCO107" s="769"/>
      <c r="KCP107" s="769"/>
      <c r="KCQ107" s="769"/>
      <c r="KCR107" s="769"/>
      <c r="KCS107" s="769"/>
      <c r="KCT107" s="769"/>
      <c r="KCU107" s="769"/>
      <c r="KCV107" s="769"/>
      <c r="KCW107" s="769"/>
      <c r="KCX107" s="769"/>
      <c r="KCY107" s="769"/>
      <c r="KCZ107" s="769"/>
      <c r="KDA107" s="769"/>
      <c r="KDB107" s="769"/>
      <c r="KDC107" s="769"/>
      <c r="KDD107" s="769"/>
      <c r="KDE107" s="769"/>
      <c r="KDF107" s="769"/>
      <c r="KDG107" s="769"/>
      <c r="KDH107" s="769"/>
      <c r="KDI107" s="769"/>
      <c r="KDJ107" s="769"/>
      <c r="KDK107" s="769"/>
      <c r="KDL107" s="769"/>
      <c r="KDM107" s="769"/>
      <c r="KDN107" s="769"/>
      <c r="KDO107" s="769"/>
      <c r="KDP107" s="769"/>
      <c r="KDQ107" s="769"/>
      <c r="KDR107" s="769"/>
      <c r="KDS107" s="769"/>
      <c r="KDT107" s="769"/>
      <c r="KDU107" s="769"/>
      <c r="KDV107" s="769"/>
      <c r="KDW107" s="769"/>
      <c r="KDX107" s="769"/>
      <c r="KDY107" s="769"/>
      <c r="KDZ107" s="769"/>
      <c r="KEA107" s="769"/>
      <c r="KEB107" s="769"/>
      <c r="KEC107" s="769"/>
      <c r="KED107" s="769"/>
      <c r="KEE107" s="769"/>
      <c r="KEF107" s="769"/>
      <c r="KEG107" s="769"/>
      <c r="KEH107" s="769"/>
      <c r="KEI107" s="769"/>
      <c r="KEJ107" s="769"/>
      <c r="KEK107" s="769"/>
      <c r="KEL107" s="769"/>
      <c r="KEM107" s="769"/>
      <c r="KEN107" s="769"/>
      <c r="KEO107" s="769"/>
      <c r="KEP107" s="769"/>
      <c r="KEQ107" s="769"/>
      <c r="KER107" s="769"/>
      <c r="KES107" s="769"/>
      <c r="KET107" s="769"/>
      <c r="KEU107" s="769"/>
      <c r="KEV107" s="769"/>
      <c r="KEW107" s="769"/>
      <c r="KEX107" s="769"/>
      <c r="KEY107" s="769"/>
      <c r="KEZ107" s="769"/>
      <c r="KFA107" s="769"/>
      <c r="KFB107" s="769"/>
      <c r="KFC107" s="769"/>
      <c r="KFD107" s="769"/>
      <c r="KFE107" s="769"/>
      <c r="KFF107" s="769"/>
      <c r="KFG107" s="769"/>
      <c r="KFH107" s="769"/>
      <c r="KFI107" s="769"/>
      <c r="KFJ107" s="769"/>
      <c r="KFK107" s="769"/>
      <c r="KFL107" s="769"/>
      <c r="KFM107" s="769"/>
      <c r="KFN107" s="769"/>
      <c r="KFO107" s="769"/>
      <c r="KFP107" s="769"/>
      <c r="KFQ107" s="769"/>
      <c r="KFR107" s="769"/>
      <c r="KFS107" s="769"/>
      <c r="KFT107" s="769"/>
      <c r="KFU107" s="769"/>
      <c r="KFV107" s="769"/>
      <c r="KFW107" s="769"/>
      <c r="KFX107" s="769"/>
      <c r="KFY107" s="769"/>
      <c r="KFZ107" s="769"/>
      <c r="KGA107" s="769"/>
      <c r="KGB107" s="769"/>
      <c r="KGC107" s="769"/>
      <c r="KGD107" s="769"/>
      <c r="KGE107" s="769"/>
      <c r="KGF107" s="769"/>
      <c r="KGG107" s="769"/>
      <c r="KGH107" s="769"/>
      <c r="KGI107" s="769"/>
      <c r="KGJ107" s="769"/>
      <c r="KGK107" s="769"/>
      <c r="KGL107" s="769"/>
      <c r="KGM107" s="769"/>
      <c r="KGN107" s="769"/>
      <c r="KGO107" s="769"/>
      <c r="KGP107" s="769"/>
      <c r="KGQ107" s="769"/>
      <c r="KGR107" s="769"/>
      <c r="KGS107" s="769"/>
      <c r="KGT107" s="769"/>
      <c r="KGU107" s="769"/>
      <c r="KGV107" s="769"/>
      <c r="KGW107" s="769"/>
      <c r="KGX107" s="769"/>
      <c r="KGY107" s="769"/>
      <c r="KGZ107" s="769"/>
      <c r="KHA107" s="769"/>
      <c r="KHB107" s="769"/>
      <c r="KHC107" s="769"/>
      <c r="KHD107" s="769"/>
      <c r="KHE107" s="769"/>
      <c r="KHF107" s="769"/>
      <c r="KHG107" s="769"/>
      <c r="KHH107" s="769"/>
      <c r="KHI107" s="769"/>
      <c r="KHJ107" s="769"/>
      <c r="KHK107" s="769"/>
      <c r="KHL107" s="769"/>
      <c r="KHM107" s="769"/>
      <c r="KHN107" s="769"/>
      <c r="KHO107" s="769"/>
      <c r="KHP107" s="769"/>
      <c r="KHQ107" s="769"/>
      <c r="KHR107" s="769"/>
      <c r="KHS107" s="769"/>
      <c r="KHT107" s="769"/>
      <c r="KHU107" s="769"/>
      <c r="KHV107" s="769"/>
      <c r="KHW107" s="769"/>
      <c r="KHX107" s="769"/>
      <c r="KHY107" s="769"/>
      <c r="KHZ107" s="769"/>
      <c r="KIA107" s="769"/>
      <c r="KIB107" s="769"/>
      <c r="KIC107" s="769"/>
      <c r="KID107" s="769"/>
      <c r="KIE107" s="769"/>
      <c r="KIF107" s="769"/>
      <c r="KIG107" s="769"/>
      <c r="KIH107" s="769"/>
      <c r="KII107" s="769"/>
      <c r="KIJ107" s="769"/>
      <c r="KIK107" s="769"/>
      <c r="KIL107" s="769"/>
      <c r="KIM107" s="769"/>
      <c r="KIN107" s="769"/>
      <c r="KIO107" s="769"/>
      <c r="KIP107" s="769"/>
      <c r="KIQ107" s="769"/>
      <c r="KIR107" s="769"/>
      <c r="KIS107" s="769"/>
      <c r="KIT107" s="769"/>
      <c r="KIU107" s="769"/>
      <c r="KIV107" s="769"/>
      <c r="KIW107" s="769"/>
      <c r="KIX107" s="769"/>
      <c r="KIY107" s="769"/>
      <c r="KIZ107" s="769"/>
      <c r="KJA107" s="769"/>
      <c r="KJB107" s="769"/>
      <c r="KJC107" s="769"/>
      <c r="KJD107" s="769"/>
      <c r="KJE107" s="769"/>
      <c r="KJF107" s="769"/>
      <c r="KJG107" s="769"/>
      <c r="KJH107" s="769"/>
      <c r="KJI107" s="769"/>
      <c r="KJJ107" s="769"/>
      <c r="KJK107" s="769"/>
      <c r="KJL107" s="769"/>
      <c r="KJM107" s="769"/>
      <c r="KJN107" s="769"/>
      <c r="KJO107" s="769"/>
      <c r="KJP107" s="769"/>
      <c r="KJQ107" s="769"/>
      <c r="KJR107" s="769"/>
      <c r="KJS107" s="769"/>
      <c r="KJT107" s="769"/>
      <c r="KJU107" s="769"/>
      <c r="KJV107" s="769"/>
      <c r="KJW107" s="769"/>
      <c r="KJX107" s="769"/>
      <c r="KJY107" s="769"/>
      <c r="KJZ107" s="769"/>
      <c r="KKA107" s="769"/>
      <c r="KKB107" s="769"/>
      <c r="KKC107" s="769"/>
      <c r="KKD107" s="769"/>
      <c r="KKE107" s="769"/>
      <c r="KKF107" s="769"/>
      <c r="KKG107" s="769"/>
      <c r="KKH107" s="769"/>
      <c r="KKI107" s="769"/>
      <c r="KKJ107" s="769"/>
      <c r="KKK107" s="769"/>
      <c r="KKL107" s="769"/>
      <c r="KKM107" s="769"/>
      <c r="KKN107" s="769"/>
      <c r="KKO107" s="769"/>
      <c r="KKP107" s="769"/>
      <c r="KKQ107" s="769"/>
      <c r="KKR107" s="769"/>
      <c r="KKS107" s="769"/>
      <c r="KKT107" s="769"/>
      <c r="KKU107" s="769"/>
      <c r="KKV107" s="769"/>
      <c r="KKW107" s="769"/>
      <c r="KKX107" s="769"/>
      <c r="KKY107" s="769"/>
      <c r="KKZ107" s="769"/>
      <c r="KLA107" s="769"/>
      <c r="KLB107" s="769"/>
      <c r="KLC107" s="769"/>
      <c r="KLD107" s="769"/>
      <c r="KLE107" s="769"/>
      <c r="KLF107" s="769"/>
      <c r="KLG107" s="769"/>
      <c r="KLH107" s="769"/>
      <c r="KLI107" s="769"/>
      <c r="KLJ107" s="769"/>
      <c r="KLK107" s="769"/>
      <c r="KLL107" s="769"/>
      <c r="KLM107" s="769"/>
      <c r="KLN107" s="769"/>
      <c r="KLO107" s="769"/>
      <c r="KLP107" s="769"/>
      <c r="KLQ107" s="769"/>
      <c r="KLR107" s="769"/>
      <c r="KLS107" s="769"/>
      <c r="KLT107" s="769"/>
      <c r="KLU107" s="769"/>
      <c r="KLV107" s="769"/>
      <c r="KLW107" s="769"/>
      <c r="KLX107" s="769"/>
      <c r="KLY107" s="769"/>
      <c r="KLZ107" s="769"/>
      <c r="KMA107" s="769"/>
      <c r="KMB107" s="769"/>
      <c r="KMC107" s="769"/>
      <c r="KMD107" s="769"/>
      <c r="KME107" s="769"/>
      <c r="KMF107" s="769"/>
      <c r="KMG107" s="769"/>
      <c r="KMH107" s="769"/>
      <c r="KMI107" s="769"/>
      <c r="KMJ107" s="769"/>
      <c r="KMK107" s="769"/>
      <c r="KML107" s="769"/>
      <c r="KMM107" s="769"/>
      <c r="KMN107" s="769"/>
      <c r="KMO107" s="769"/>
      <c r="KMP107" s="769"/>
      <c r="KMQ107" s="769"/>
      <c r="KMR107" s="769"/>
      <c r="KMS107" s="769"/>
      <c r="KMT107" s="769"/>
      <c r="KMU107" s="769"/>
      <c r="KMV107" s="769"/>
      <c r="KMW107" s="769"/>
      <c r="KMX107" s="769"/>
      <c r="KMY107" s="769"/>
      <c r="KMZ107" s="769"/>
      <c r="KNA107" s="769"/>
      <c r="KNB107" s="769"/>
      <c r="KNC107" s="769"/>
      <c r="KND107" s="769"/>
      <c r="KNE107" s="769"/>
      <c r="KNF107" s="769"/>
      <c r="KNG107" s="769"/>
      <c r="KNH107" s="769"/>
      <c r="KNI107" s="769"/>
      <c r="KNJ107" s="769"/>
      <c r="KNK107" s="769"/>
      <c r="KNL107" s="769"/>
      <c r="KNM107" s="769"/>
      <c r="KNN107" s="769"/>
      <c r="KNO107" s="769"/>
      <c r="KNP107" s="769"/>
      <c r="KNQ107" s="769"/>
      <c r="KNR107" s="769"/>
      <c r="KNS107" s="769"/>
      <c r="KNT107" s="769"/>
      <c r="KNU107" s="769"/>
      <c r="KNV107" s="769"/>
      <c r="KNW107" s="769"/>
      <c r="KNX107" s="769"/>
      <c r="KNY107" s="769"/>
      <c r="KNZ107" s="769"/>
      <c r="KOA107" s="769"/>
      <c r="KOB107" s="769"/>
      <c r="KOC107" s="769"/>
      <c r="KOD107" s="769"/>
      <c r="KOE107" s="769"/>
      <c r="KOF107" s="769"/>
      <c r="KOG107" s="769"/>
      <c r="KOH107" s="769"/>
      <c r="KOI107" s="769"/>
      <c r="KOJ107" s="769"/>
      <c r="KOK107" s="769"/>
      <c r="KOL107" s="769"/>
      <c r="KOM107" s="769"/>
      <c r="KON107" s="769"/>
      <c r="KOO107" s="769"/>
      <c r="KOP107" s="769"/>
      <c r="KOQ107" s="769"/>
      <c r="KOR107" s="769"/>
      <c r="KOS107" s="769"/>
      <c r="KOT107" s="769"/>
      <c r="KOU107" s="769"/>
      <c r="KOV107" s="769"/>
      <c r="KOW107" s="769"/>
      <c r="KOX107" s="769"/>
      <c r="KOY107" s="769"/>
      <c r="KOZ107" s="769"/>
      <c r="KPA107" s="769"/>
      <c r="KPB107" s="769"/>
      <c r="KPC107" s="769"/>
      <c r="KPD107" s="769"/>
      <c r="KPE107" s="769"/>
      <c r="KPF107" s="769"/>
      <c r="KPG107" s="769"/>
      <c r="KPH107" s="769"/>
      <c r="KPI107" s="769"/>
      <c r="KPJ107" s="769"/>
      <c r="KPK107" s="769"/>
      <c r="KPL107" s="769"/>
      <c r="KPM107" s="769"/>
      <c r="KPN107" s="769"/>
      <c r="KPO107" s="769"/>
      <c r="KPP107" s="769"/>
      <c r="KPQ107" s="769"/>
      <c r="KPR107" s="769"/>
      <c r="KPS107" s="769"/>
      <c r="KPT107" s="769"/>
      <c r="KPU107" s="769"/>
      <c r="KPV107" s="769"/>
      <c r="KPW107" s="769"/>
      <c r="KPX107" s="769"/>
      <c r="KPY107" s="769"/>
      <c r="KPZ107" s="769"/>
      <c r="KQA107" s="769"/>
      <c r="KQB107" s="769"/>
      <c r="KQC107" s="769"/>
      <c r="KQD107" s="769"/>
      <c r="KQE107" s="769"/>
      <c r="KQF107" s="769"/>
      <c r="KQG107" s="769"/>
      <c r="KQH107" s="769"/>
      <c r="KQI107" s="769"/>
      <c r="KQJ107" s="769"/>
      <c r="KQK107" s="769"/>
      <c r="KQL107" s="769"/>
      <c r="KQM107" s="769"/>
      <c r="KQN107" s="769"/>
      <c r="KQO107" s="769"/>
      <c r="KQP107" s="769"/>
      <c r="KQQ107" s="769"/>
      <c r="KQR107" s="769"/>
      <c r="KQS107" s="769"/>
      <c r="KQT107" s="769"/>
      <c r="KQU107" s="769"/>
      <c r="KQV107" s="769"/>
      <c r="KQW107" s="769"/>
      <c r="KQX107" s="769"/>
      <c r="KQY107" s="769"/>
      <c r="KQZ107" s="769"/>
      <c r="KRA107" s="769"/>
      <c r="KRB107" s="769"/>
      <c r="KRC107" s="769"/>
      <c r="KRD107" s="769"/>
      <c r="KRE107" s="769"/>
      <c r="KRF107" s="769"/>
      <c r="KRG107" s="769"/>
      <c r="KRH107" s="769"/>
      <c r="KRI107" s="769"/>
      <c r="KRJ107" s="769"/>
      <c r="KRK107" s="769"/>
      <c r="KRL107" s="769"/>
      <c r="KRM107" s="769"/>
      <c r="KRN107" s="769"/>
      <c r="KRO107" s="769"/>
      <c r="KRP107" s="769"/>
      <c r="KRQ107" s="769"/>
      <c r="KRR107" s="769"/>
      <c r="KRS107" s="769"/>
      <c r="KRT107" s="769"/>
      <c r="KRU107" s="769"/>
      <c r="KRV107" s="769"/>
      <c r="KRW107" s="769"/>
      <c r="KRX107" s="769"/>
      <c r="KRY107" s="769"/>
      <c r="KRZ107" s="769"/>
      <c r="KSA107" s="769"/>
      <c r="KSB107" s="769"/>
      <c r="KSC107" s="769"/>
      <c r="KSD107" s="769"/>
      <c r="KSE107" s="769"/>
      <c r="KSF107" s="769"/>
      <c r="KSG107" s="769"/>
      <c r="KSH107" s="769"/>
      <c r="KSI107" s="769"/>
      <c r="KSJ107" s="769"/>
      <c r="KSK107" s="769"/>
      <c r="KSL107" s="769"/>
      <c r="KSM107" s="769"/>
      <c r="KSN107" s="769"/>
      <c r="KSO107" s="769"/>
      <c r="KSP107" s="769"/>
      <c r="KSQ107" s="769"/>
      <c r="KSR107" s="769"/>
      <c r="KSS107" s="769"/>
      <c r="KST107" s="769"/>
      <c r="KSU107" s="769"/>
      <c r="KSV107" s="769"/>
      <c r="KSW107" s="769"/>
      <c r="KSX107" s="769"/>
      <c r="KSY107" s="769"/>
      <c r="KSZ107" s="769"/>
      <c r="KTA107" s="769"/>
      <c r="KTB107" s="769"/>
      <c r="KTC107" s="769"/>
      <c r="KTD107" s="769"/>
      <c r="KTE107" s="769"/>
      <c r="KTF107" s="769"/>
      <c r="KTG107" s="769"/>
      <c r="KTH107" s="769"/>
      <c r="KTI107" s="769"/>
      <c r="KTJ107" s="769"/>
      <c r="KTK107" s="769"/>
      <c r="KTL107" s="769"/>
      <c r="KTM107" s="769"/>
      <c r="KTN107" s="769"/>
      <c r="KTO107" s="769"/>
      <c r="KTP107" s="769"/>
      <c r="KTQ107" s="769"/>
      <c r="KTR107" s="769"/>
      <c r="KTS107" s="769"/>
      <c r="KTT107" s="769"/>
      <c r="KTU107" s="769"/>
      <c r="KTV107" s="769"/>
      <c r="KTW107" s="769"/>
      <c r="KTX107" s="769"/>
      <c r="KTY107" s="769"/>
      <c r="KTZ107" s="769"/>
      <c r="KUA107" s="769"/>
      <c r="KUB107" s="769"/>
      <c r="KUC107" s="769"/>
      <c r="KUD107" s="769"/>
      <c r="KUE107" s="769"/>
      <c r="KUF107" s="769"/>
      <c r="KUG107" s="769"/>
      <c r="KUH107" s="769"/>
      <c r="KUI107" s="769"/>
      <c r="KUJ107" s="769"/>
      <c r="KUK107" s="769"/>
      <c r="KUL107" s="769"/>
      <c r="KUM107" s="769"/>
      <c r="KUN107" s="769"/>
      <c r="KUO107" s="769"/>
      <c r="KUP107" s="769"/>
      <c r="KUQ107" s="769"/>
      <c r="KUR107" s="769"/>
      <c r="KUS107" s="769"/>
      <c r="KUT107" s="769"/>
      <c r="KUU107" s="769"/>
      <c r="KUV107" s="769"/>
      <c r="KUW107" s="769"/>
      <c r="KUX107" s="769"/>
      <c r="KUY107" s="769"/>
      <c r="KUZ107" s="769"/>
      <c r="KVA107" s="769"/>
      <c r="KVB107" s="769"/>
      <c r="KVC107" s="769"/>
      <c r="KVD107" s="769"/>
      <c r="KVE107" s="769"/>
      <c r="KVF107" s="769"/>
      <c r="KVG107" s="769"/>
      <c r="KVH107" s="769"/>
      <c r="KVI107" s="769"/>
      <c r="KVJ107" s="769"/>
      <c r="KVK107" s="769"/>
      <c r="KVL107" s="769"/>
      <c r="KVM107" s="769"/>
      <c r="KVN107" s="769"/>
      <c r="KVO107" s="769"/>
      <c r="KVP107" s="769"/>
      <c r="KVQ107" s="769"/>
      <c r="KVR107" s="769"/>
      <c r="KVS107" s="769"/>
      <c r="KVT107" s="769"/>
      <c r="KVU107" s="769"/>
      <c r="KVV107" s="769"/>
      <c r="KVW107" s="769"/>
      <c r="KVX107" s="769"/>
      <c r="KVY107" s="769"/>
      <c r="KVZ107" s="769"/>
      <c r="KWA107" s="769"/>
      <c r="KWB107" s="769"/>
      <c r="KWC107" s="769"/>
      <c r="KWD107" s="769"/>
      <c r="KWE107" s="769"/>
      <c r="KWF107" s="769"/>
      <c r="KWG107" s="769"/>
      <c r="KWH107" s="769"/>
      <c r="KWI107" s="769"/>
      <c r="KWJ107" s="769"/>
      <c r="KWK107" s="769"/>
      <c r="KWL107" s="769"/>
      <c r="KWM107" s="769"/>
      <c r="KWN107" s="769"/>
      <c r="KWO107" s="769"/>
      <c r="KWP107" s="769"/>
      <c r="KWQ107" s="769"/>
      <c r="KWR107" s="769"/>
      <c r="KWS107" s="769"/>
      <c r="KWT107" s="769"/>
      <c r="KWU107" s="769"/>
      <c r="KWV107" s="769"/>
      <c r="KWW107" s="769"/>
      <c r="KWX107" s="769"/>
      <c r="KWY107" s="769"/>
      <c r="KWZ107" s="769"/>
      <c r="KXA107" s="769"/>
      <c r="KXB107" s="769"/>
      <c r="KXC107" s="769"/>
      <c r="KXD107" s="769"/>
      <c r="KXE107" s="769"/>
      <c r="KXF107" s="769"/>
      <c r="KXG107" s="769"/>
      <c r="KXH107" s="769"/>
      <c r="KXI107" s="769"/>
      <c r="KXJ107" s="769"/>
      <c r="KXK107" s="769"/>
      <c r="KXL107" s="769"/>
      <c r="KXM107" s="769"/>
      <c r="KXN107" s="769"/>
      <c r="KXO107" s="769"/>
      <c r="KXP107" s="769"/>
      <c r="KXQ107" s="769"/>
      <c r="KXR107" s="769"/>
      <c r="KXS107" s="769"/>
      <c r="KXT107" s="769"/>
      <c r="KXU107" s="769"/>
      <c r="KXV107" s="769"/>
      <c r="KXW107" s="769"/>
      <c r="KXX107" s="769"/>
      <c r="KXY107" s="769"/>
      <c r="KXZ107" s="769"/>
      <c r="KYA107" s="769"/>
      <c r="KYB107" s="769"/>
      <c r="KYC107" s="769"/>
      <c r="KYD107" s="769"/>
      <c r="KYE107" s="769"/>
      <c r="KYF107" s="769"/>
      <c r="KYG107" s="769"/>
      <c r="KYH107" s="769"/>
      <c r="KYI107" s="769"/>
      <c r="KYJ107" s="769"/>
      <c r="KYK107" s="769"/>
      <c r="KYL107" s="769"/>
      <c r="KYM107" s="769"/>
      <c r="KYN107" s="769"/>
      <c r="KYO107" s="769"/>
      <c r="KYP107" s="769"/>
      <c r="KYQ107" s="769"/>
      <c r="KYR107" s="769"/>
      <c r="KYS107" s="769"/>
      <c r="KYT107" s="769"/>
      <c r="KYU107" s="769"/>
      <c r="KYV107" s="769"/>
      <c r="KYW107" s="769"/>
      <c r="KYX107" s="769"/>
      <c r="KYY107" s="769"/>
      <c r="KYZ107" s="769"/>
      <c r="KZA107" s="769"/>
      <c r="KZB107" s="769"/>
      <c r="KZC107" s="769"/>
      <c r="KZD107" s="769"/>
      <c r="KZE107" s="769"/>
      <c r="KZF107" s="769"/>
      <c r="KZG107" s="769"/>
      <c r="KZH107" s="769"/>
      <c r="KZI107" s="769"/>
      <c r="KZJ107" s="769"/>
      <c r="KZK107" s="769"/>
      <c r="KZL107" s="769"/>
      <c r="KZM107" s="769"/>
      <c r="KZN107" s="769"/>
      <c r="KZO107" s="769"/>
      <c r="KZP107" s="769"/>
      <c r="KZQ107" s="769"/>
      <c r="KZR107" s="769"/>
      <c r="KZS107" s="769"/>
      <c r="KZT107" s="769"/>
      <c r="KZU107" s="769"/>
      <c r="KZV107" s="769"/>
      <c r="KZW107" s="769"/>
      <c r="KZX107" s="769"/>
      <c r="KZY107" s="769"/>
      <c r="KZZ107" s="769"/>
      <c r="LAA107" s="769"/>
      <c r="LAB107" s="769"/>
      <c r="LAC107" s="769"/>
      <c r="LAD107" s="769"/>
      <c r="LAE107" s="769"/>
      <c r="LAF107" s="769"/>
      <c r="LAG107" s="769"/>
      <c r="LAH107" s="769"/>
      <c r="LAI107" s="769"/>
      <c r="LAJ107" s="769"/>
      <c r="LAK107" s="769"/>
      <c r="LAL107" s="769"/>
      <c r="LAM107" s="769"/>
      <c r="LAN107" s="769"/>
      <c r="LAO107" s="769"/>
      <c r="LAP107" s="769"/>
      <c r="LAQ107" s="769"/>
      <c r="LAR107" s="769"/>
      <c r="LAS107" s="769"/>
      <c r="LAT107" s="769"/>
      <c r="LAU107" s="769"/>
      <c r="LAV107" s="769"/>
      <c r="LAW107" s="769"/>
      <c r="LAX107" s="769"/>
      <c r="LAY107" s="769"/>
      <c r="LAZ107" s="769"/>
      <c r="LBA107" s="769"/>
      <c r="LBB107" s="769"/>
      <c r="LBC107" s="769"/>
      <c r="LBD107" s="769"/>
      <c r="LBE107" s="769"/>
      <c r="LBF107" s="769"/>
      <c r="LBG107" s="769"/>
      <c r="LBH107" s="769"/>
      <c r="LBI107" s="769"/>
      <c r="LBJ107" s="769"/>
      <c r="LBK107" s="769"/>
      <c r="LBL107" s="769"/>
      <c r="LBM107" s="769"/>
      <c r="LBN107" s="769"/>
      <c r="LBO107" s="769"/>
      <c r="LBP107" s="769"/>
      <c r="LBQ107" s="769"/>
      <c r="LBR107" s="769"/>
      <c r="LBS107" s="769"/>
      <c r="LBT107" s="769"/>
      <c r="LBU107" s="769"/>
      <c r="LBV107" s="769"/>
      <c r="LBW107" s="769"/>
      <c r="LBX107" s="769"/>
      <c r="LBY107" s="769"/>
      <c r="LBZ107" s="769"/>
      <c r="LCA107" s="769"/>
      <c r="LCB107" s="769"/>
      <c r="LCC107" s="769"/>
      <c r="LCD107" s="769"/>
      <c r="LCE107" s="769"/>
      <c r="LCF107" s="769"/>
      <c r="LCG107" s="769"/>
      <c r="LCH107" s="769"/>
      <c r="LCI107" s="769"/>
      <c r="LCJ107" s="769"/>
      <c r="LCK107" s="769"/>
      <c r="LCL107" s="769"/>
      <c r="LCM107" s="769"/>
      <c r="LCN107" s="769"/>
      <c r="LCO107" s="769"/>
      <c r="LCP107" s="769"/>
      <c r="LCQ107" s="769"/>
      <c r="LCR107" s="769"/>
      <c r="LCS107" s="769"/>
      <c r="LCT107" s="769"/>
      <c r="LCU107" s="769"/>
      <c r="LCV107" s="769"/>
      <c r="LCW107" s="769"/>
      <c r="LCX107" s="769"/>
      <c r="LCY107" s="769"/>
      <c r="LCZ107" s="769"/>
      <c r="LDA107" s="769"/>
      <c r="LDB107" s="769"/>
      <c r="LDC107" s="769"/>
      <c r="LDD107" s="769"/>
      <c r="LDE107" s="769"/>
      <c r="LDF107" s="769"/>
      <c r="LDG107" s="769"/>
      <c r="LDH107" s="769"/>
      <c r="LDI107" s="769"/>
      <c r="LDJ107" s="769"/>
      <c r="LDK107" s="769"/>
      <c r="LDL107" s="769"/>
      <c r="LDM107" s="769"/>
      <c r="LDN107" s="769"/>
      <c r="LDO107" s="769"/>
      <c r="LDP107" s="769"/>
      <c r="LDQ107" s="769"/>
      <c r="LDR107" s="769"/>
      <c r="LDS107" s="769"/>
      <c r="LDT107" s="769"/>
      <c r="LDU107" s="769"/>
      <c r="LDV107" s="769"/>
      <c r="LDW107" s="769"/>
      <c r="LDX107" s="769"/>
      <c r="LDY107" s="769"/>
      <c r="LDZ107" s="769"/>
      <c r="LEA107" s="769"/>
      <c r="LEB107" s="769"/>
      <c r="LEC107" s="769"/>
      <c r="LED107" s="769"/>
      <c r="LEE107" s="769"/>
      <c r="LEF107" s="769"/>
      <c r="LEG107" s="769"/>
      <c r="LEH107" s="769"/>
      <c r="LEI107" s="769"/>
      <c r="LEJ107" s="769"/>
      <c r="LEK107" s="769"/>
      <c r="LEL107" s="769"/>
      <c r="LEM107" s="769"/>
      <c r="LEN107" s="769"/>
      <c r="LEO107" s="769"/>
      <c r="LEP107" s="769"/>
      <c r="LEQ107" s="769"/>
      <c r="LER107" s="769"/>
      <c r="LES107" s="769"/>
      <c r="LET107" s="769"/>
      <c r="LEU107" s="769"/>
      <c r="LEV107" s="769"/>
      <c r="LEW107" s="769"/>
      <c r="LEX107" s="769"/>
      <c r="LEY107" s="769"/>
      <c r="LEZ107" s="769"/>
      <c r="LFA107" s="769"/>
      <c r="LFB107" s="769"/>
      <c r="LFC107" s="769"/>
      <c r="LFD107" s="769"/>
      <c r="LFE107" s="769"/>
      <c r="LFF107" s="769"/>
      <c r="LFG107" s="769"/>
      <c r="LFH107" s="769"/>
      <c r="LFI107" s="769"/>
      <c r="LFJ107" s="769"/>
      <c r="LFK107" s="769"/>
      <c r="LFL107" s="769"/>
      <c r="LFM107" s="769"/>
      <c r="LFN107" s="769"/>
      <c r="LFO107" s="769"/>
      <c r="LFP107" s="769"/>
      <c r="LFQ107" s="769"/>
      <c r="LFR107" s="769"/>
      <c r="LFS107" s="769"/>
      <c r="LFT107" s="769"/>
      <c r="LFU107" s="769"/>
      <c r="LFV107" s="769"/>
      <c r="LFW107" s="769"/>
      <c r="LFX107" s="769"/>
      <c r="LFY107" s="769"/>
      <c r="LFZ107" s="769"/>
      <c r="LGA107" s="769"/>
      <c r="LGB107" s="769"/>
      <c r="LGC107" s="769"/>
      <c r="LGD107" s="769"/>
      <c r="LGE107" s="769"/>
      <c r="LGF107" s="769"/>
      <c r="LGG107" s="769"/>
      <c r="LGH107" s="769"/>
      <c r="LGI107" s="769"/>
      <c r="LGJ107" s="769"/>
      <c r="LGK107" s="769"/>
      <c r="LGL107" s="769"/>
      <c r="LGM107" s="769"/>
      <c r="LGN107" s="769"/>
      <c r="LGO107" s="769"/>
      <c r="LGP107" s="769"/>
      <c r="LGQ107" s="769"/>
      <c r="LGR107" s="769"/>
      <c r="LGS107" s="769"/>
      <c r="LGT107" s="769"/>
      <c r="LGU107" s="769"/>
      <c r="LGV107" s="769"/>
      <c r="LGW107" s="769"/>
      <c r="LGX107" s="769"/>
      <c r="LGY107" s="769"/>
      <c r="LGZ107" s="769"/>
      <c r="LHA107" s="769"/>
      <c r="LHB107" s="769"/>
      <c r="LHC107" s="769"/>
      <c r="LHD107" s="769"/>
      <c r="LHE107" s="769"/>
      <c r="LHF107" s="769"/>
      <c r="LHG107" s="769"/>
      <c r="LHH107" s="769"/>
      <c r="LHI107" s="769"/>
      <c r="LHJ107" s="769"/>
      <c r="LHK107" s="769"/>
      <c r="LHL107" s="769"/>
      <c r="LHM107" s="769"/>
      <c r="LHN107" s="769"/>
      <c r="LHO107" s="769"/>
      <c r="LHP107" s="769"/>
      <c r="LHQ107" s="769"/>
      <c r="LHR107" s="769"/>
      <c r="LHS107" s="769"/>
      <c r="LHT107" s="769"/>
      <c r="LHU107" s="769"/>
      <c r="LHV107" s="769"/>
      <c r="LHW107" s="769"/>
      <c r="LHX107" s="769"/>
      <c r="LHY107" s="769"/>
      <c r="LHZ107" s="769"/>
      <c r="LIA107" s="769"/>
      <c r="LIB107" s="769"/>
      <c r="LIC107" s="769"/>
      <c r="LID107" s="769"/>
      <c r="LIE107" s="769"/>
      <c r="LIF107" s="769"/>
      <c r="LIG107" s="769"/>
      <c r="LIH107" s="769"/>
      <c r="LII107" s="769"/>
      <c r="LIJ107" s="769"/>
      <c r="LIK107" s="769"/>
      <c r="LIL107" s="769"/>
      <c r="LIM107" s="769"/>
      <c r="LIN107" s="769"/>
      <c r="LIO107" s="769"/>
      <c r="LIP107" s="769"/>
      <c r="LIQ107" s="769"/>
      <c r="LIR107" s="769"/>
      <c r="LIS107" s="769"/>
      <c r="LIT107" s="769"/>
      <c r="LIU107" s="769"/>
      <c r="LIV107" s="769"/>
      <c r="LIW107" s="769"/>
      <c r="LIX107" s="769"/>
      <c r="LIY107" s="769"/>
      <c r="LIZ107" s="769"/>
      <c r="LJA107" s="769"/>
      <c r="LJB107" s="769"/>
      <c r="LJC107" s="769"/>
      <c r="LJD107" s="769"/>
      <c r="LJE107" s="769"/>
      <c r="LJF107" s="769"/>
      <c r="LJG107" s="769"/>
      <c r="LJH107" s="769"/>
      <c r="LJI107" s="769"/>
      <c r="LJJ107" s="769"/>
      <c r="LJK107" s="769"/>
      <c r="LJL107" s="769"/>
      <c r="LJM107" s="769"/>
      <c r="LJN107" s="769"/>
      <c r="LJO107" s="769"/>
      <c r="LJP107" s="769"/>
      <c r="LJQ107" s="769"/>
      <c r="LJR107" s="769"/>
      <c r="LJS107" s="769"/>
      <c r="LJT107" s="769"/>
      <c r="LJU107" s="769"/>
      <c r="LJV107" s="769"/>
      <c r="LJW107" s="769"/>
      <c r="LJX107" s="769"/>
      <c r="LJY107" s="769"/>
      <c r="LJZ107" s="769"/>
      <c r="LKA107" s="769"/>
      <c r="LKB107" s="769"/>
      <c r="LKC107" s="769"/>
      <c r="LKD107" s="769"/>
      <c r="LKE107" s="769"/>
      <c r="LKF107" s="769"/>
      <c r="LKG107" s="769"/>
      <c r="LKH107" s="769"/>
      <c r="LKI107" s="769"/>
      <c r="LKJ107" s="769"/>
      <c r="LKK107" s="769"/>
      <c r="LKL107" s="769"/>
      <c r="LKM107" s="769"/>
      <c r="LKN107" s="769"/>
      <c r="LKO107" s="769"/>
      <c r="LKP107" s="769"/>
      <c r="LKQ107" s="769"/>
      <c r="LKR107" s="769"/>
      <c r="LKS107" s="769"/>
      <c r="LKT107" s="769"/>
      <c r="LKU107" s="769"/>
      <c r="LKV107" s="769"/>
      <c r="LKW107" s="769"/>
      <c r="LKX107" s="769"/>
      <c r="LKY107" s="769"/>
      <c r="LKZ107" s="769"/>
      <c r="LLA107" s="769"/>
      <c r="LLB107" s="769"/>
      <c r="LLC107" s="769"/>
      <c r="LLD107" s="769"/>
      <c r="LLE107" s="769"/>
      <c r="LLF107" s="769"/>
      <c r="LLG107" s="769"/>
      <c r="LLH107" s="769"/>
      <c r="LLI107" s="769"/>
      <c r="LLJ107" s="769"/>
      <c r="LLK107" s="769"/>
      <c r="LLL107" s="769"/>
      <c r="LLM107" s="769"/>
      <c r="LLN107" s="769"/>
      <c r="LLO107" s="769"/>
      <c r="LLP107" s="769"/>
      <c r="LLQ107" s="769"/>
      <c r="LLR107" s="769"/>
      <c r="LLS107" s="769"/>
      <c r="LLT107" s="769"/>
      <c r="LLU107" s="769"/>
      <c r="LLV107" s="769"/>
      <c r="LLW107" s="769"/>
      <c r="LLX107" s="769"/>
      <c r="LLY107" s="769"/>
      <c r="LLZ107" s="769"/>
      <c r="LMA107" s="769"/>
      <c r="LMB107" s="769"/>
      <c r="LMC107" s="769"/>
      <c r="LMD107" s="769"/>
      <c r="LME107" s="769"/>
      <c r="LMF107" s="769"/>
      <c r="LMG107" s="769"/>
      <c r="LMH107" s="769"/>
      <c r="LMI107" s="769"/>
      <c r="LMJ107" s="769"/>
      <c r="LMK107" s="769"/>
      <c r="LML107" s="769"/>
      <c r="LMM107" s="769"/>
      <c r="LMN107" s="769"/>
      <c r="LMO107" s="769"/>
      <c r="LMP107" s="769"/>
      <c r="LMQ107" s="769"/>
      <c r="LMR107" s="769"/>
      <c r="LMS107" s="769"/>
      <c r="LMT107" s="769"/>
      <c r="LMU107" s="769"/>
      <c r="LMV107" s="769"/>
      <c r="LMW107" s="769"/>
      <c r="LMX107" s="769"/>
      <c r="LMY107" s="769"/>
      <c r="LMZ107" s="769"/>
      <c r="LNA107" s="769"/>
      <c r="LNB107" s="769"/>
      <c r="LNC107" s="769"/>
      <c r="LND107" s="769"/>
      <c r="LNE107" s="769"/>
      <c r="LNF107" s="769"/>
      <c r="LNG107" s="769"/>
      <c r="LNH107" s="769"/>
      <c r="LNI107" s="769"/>
      <c r="LNJ107" s="769"/>
      <c r="LNK107" s="769"/>
      <c r="LNL107" s="769"/>
      <c r="LNM107" s="769"/>
      <c r="LNN107" s="769"/>
      <c r="LNO107" s="769"/>
      <c r="LNP107" s="769"/>
      <c r="LNQ107" s="769"/>
      <c r="LNR107" s="769"/>
      <c r="LNS107" s="769"/>
      <c r="LNT107" s="769"/>
      <c r="LNU107" s="769"/>
      <c r="LNV107" s="769"/>
      <c r="LNW107" s="769"/>
      <c r="LNX107" s="769"/>
      <c r="LNY107" s="769"/>
      <c r="LNZ107" s="769"/>
      <c r="LOA107" s="769"/>
      <c r="LOB107" s="769"/>
      <c r="LOC107" s="769"/>
      <c r="LOD107" s="769"/>
      <c r="LOE107" s="769"/>
      <c r="LOF107" s="769"/>
      <c r="LOG107" s="769"/>
      <c r="LOH107" s="769"/>
      <c r="LOI107" s="769"/>
      <c r="LOJ107" s="769"/>
      <c r="LOK107" s="769"/>
      <c r="LOL107" s="769"/>
      <c r="LOM107" s="769"/>
      <c r="LON107" s="769"/>
      <c r="LOO107" s="769"/>
      <c r="LOP107" s="769"/>
      <c r="LOQ107" s="769"/>
      <c r="LOR107" s="769"/>
      <c r="LOS107" s="769"/>
      <c r="LOT107" s="769"/>
      <c r="LOU107" s="769"/>
      <c r="LOV107" s="769"/>
      <c r="LOW107" s="769"/>
      <c r="LOX107" s="769"/>
      <c r="LOY107" s="769"/>
      <c r="LOZ107" s="769"/>
      <c r="LPA107" s="769"/>
      <c r="LPB107" s="769"/>
      <c r="LPC107" s="769"/>
      <c r="LPD107" s="769"/>
      <c r="LPE107" s="769"/>
      <c r="LPF107" s="769"/>
      <c r="LPG107" s="769"/>
      <c r="LPH107" s="769"/>
      <c r="LPI107" s="769"/>
      <c r="LPJ107" s="769"/>
      <c r="LPK107" s="769"/>
      <c r="LPL107" s="769"/>
      <c r="LPM107" s="769"/>
      <c r="LPN107" s="769"/>
      <c r="LPO107" s="769"/>
      <c r="LPP107" s="769"/>
      <c r="LPQ107" s="769"/>
      <c r="LPR107" s="769"/>
      <c r="LPS107" s="769"/>
      <c r="LPT107" s="769"/>
      <c r="LPU107" s="769"/>
      <c r="LPV107" s="769"/>
      <c r="LPW107" s="769"/>
      <c r="LPX107" s="769"/>
      <c r="LPY107" s="769"/>
      <c r="LPZ107" s="769"/>
      <c r="LQA107" s="769"/>
      <c r="LQB107" s="769"/>
      <c r="LQC107" s="769"/>
      <c r="LQD107" s="769"/>
      <c r="LQE107" s="769"/>
      <c r="LQF107" s="769"/>
      <c r="LQG107" s="769"/>
      <c r="LQH107" s="769"/>
      <c r="LQI107" s="769"/>
      <c r="LQJ107" s="769"/>
      <c r="LQK107" s="769"/>
      <c r="LQL107" s="769"/>
      <c r="LQM107" s="769"/>
      <c r="LQN107" s="769"/>
      <c r="LQO107" s="769"/>
      <c r="LQP107" s="769"/>
      <c r="LQQ107" s="769"/>
      <c r="LQR107" s="769"/>
      <c r="LQS107" s="769"/>
      <c r="LQT107" s="769"/>
      <c r="LQU107" s="769"/>
      <c r="LQV107" s="769"/>
      <c r="LQW107" s="769"/>
      <c r="LQX107" s="769"/>
      <c r="LQY107" s="769"/>
      <c r="LQZ107" s="769"/>
      <c r="LRA107" s="769"/>
      <c r="LRB107" s="769"/>
      <c r="LRC107" s="769"/>
      <c r="LRD107" s="769"/>
      <c r="LRE107" s="769"/>
      <c r="LRF107" s="769"/>
      <c r="LRG107" s="769"/>
      <c r="LRH107" s="769"/>
      <c r="LRI107" s="769"/>
      <c r="LRJ107" s="769"/>
      <c r="LRK107" s="769"/>
      <c r="LRL107" s="769"/>
      <c r="LRM107" s="769"/>
      <c r="LRN107" s="769"/>
      <c r="LRO107" s="769"/>
      <c r="LRP107" s="769"/>
      <c r="LRQ107" s="769"/>
      <c r="LRR107" s="769"/>
      <c r="LRS107" s="769"/>
      <c r="LRT107" s="769"/>
      <c r="LRU107" s="769"/>
      <c r="LRV107" s="769"/>
      <c r="LRW107" s="769"/>
      <c r="LRX107" s="769"/>
      <c r="LRY107" s="769"/>
      <c r="LRZ107" s="769"/>
      <c r="LSA107" s="769"/>
      <c r="LSB107" s="769"/>
      <c r="LSC107" s="769"/>
      <c r="LSD107" s="769"/>
      <c r="LSE107" s="769"/>
      <c r="LSF107" s="769"/>
      <c r="LSG107" s="769"/>
      <c r="LSH107" s="769"/>
      <c r="LSI107" s="769"/>
      <c r="LSJ107" s="769"/>
      <c r="LSK107" s="769"/>
      <c r="LSL107" s="769"/>
      <c r="LSM107" s="769"/>
      <c r="LSN107" s="769"/>
      <c r="LSO107" s="769"/>
      <c r="LSP107" s="769"/>
      <c r="LSQ107" s="769"/>
      <c r="LSR107" s="769"/>
      <c r="LSS107" s="769"/>
      <c r="LST107" s="769"/>
      <c r="LSU107" s="769"/>
      <c r="LSV107" s="769"/>
      <c r="LSW107" s="769"/>
      <c r="LSX107" s="769"/>
      <c r="LSY107" s="769"/>
      <c r="LSZ107" s="769"/>
      <c r="LTA107" s="769"/>
      <c r="LTB107" s="769"/>
      <c r="LTC107" s="769"/>
      <c r="LTD107" s="769"/>
      <c r="LTE107" s="769"/>
      <c r="LTF107" s="769"/>
      <c r="LTG107" s="769"/>
      <c r="LTH107" s="769"/>
      <c r="LTI107" s="769"/>
      <c r="LTJ107" s="769"/>
      <c r="LTK107" s="769"/>
      <c r="LTL107" s="769"/>
      <c r="LTM107" s="769"/>
      <c r="LTN107" s="769"/>
      <c r="LTO107" s="769"/>
      <c r="LTP107" s="769"/>
      <c r="LTQ107" s="769"/>
      <c r="LTR107" s="769"/>
      <c r="LTS107" s="769"/>
      <c r="LTT107" s="769"/>
      <c r="LTU107" s="769"/>
      <c r="LTV107" s="769"/>
      <c r="LTW107" s="769"/>
      <c r="LTX107" s="769"/>
      <c r="LTY107" s="769"/>
      <c r="LTZ107" s="769"/>
      <c r="LUA107" s="769"/>
      <c r="LUB107" s="769"/>
      <c r="LUC107" s="769"/>
      <c r="LUD107" s="769"/>
      <c r="LUE107" s="769"/>
      <c r="LUF107" s="769"/>
      <c r="LUG107" s="769"/>
      <c r="LUH107" s="769"/>
      <c r="LUI107" s="769"/>
      <c r="LUJ107" s="769"/>
      <c r="LUK107" s="769"/>
      <c r="LUL107" s="769"/>
      <c r="LUM107" s="769"/>
      <c r="LUN107" s="769"/>
      <c r="LUO107" s="769"/>
      <c r="LUP107" s="769"/>
      <c r="LUQ107" s="769"/>
      <c r="LUR107" s="769"/>
      <c r="LUS107" s="769"/>
      <c r="LUT107" s="769"/>
      <c r="LUU107" s="769"/>
      <c r="LUV107" s="769"/>
      <c r="LUW107" s="769"/>
      <c r="LUX107" s="769"/>
      <c r="LUY107" s="769"/>
      <c r="LUZ107" s="769"/>
      <c r="LVA107" s="769"/>
      <c r="LVB107" s="769"/>
      <c r="LVC107" s="769"/>
      <c r="LVD107" s="769"/>
      <c r="LVE107" s="769"/>
      <c r="LVF107" s="769"/>
      <c r="LVG107" s="769"/>
      <c r="LVH107" s="769"/>
      <c r="LVI107" s="769"/>
      <c r="LVJ107" s="769"/>
      <c r="LVK107" s="769"/>
      <c r="LVL107" s="769"/>
      <c r="LVM107" s="769"/>
      <c r="LVN107" s="769"/>
      <c r="LVO107" s="769"/>
      <c r="LVP107" s="769"/>
      <c r="LVQ107" s="769"/>
      <c r="LVR107" s="769"/>
      <c r="LVS107" s="769"/>
      <c r="LVT107" s="769"/>
      <c r="LVU107" s="769"/>
      <c r="LVV107" s="769"/>
      <c r="LVW107" s="769"/>
      <c r="LVX107" s="769"/>
      <c r="LVY107" s="769"/>
      <c r="LVZ107" s="769"/>
      <c r="LWA107" s="769"/>
      <c r="LWB107" s="769"/>
      <c r="LWC107" s="769"/>
      <c r="LWD107" s="769"/>
      <c r="LWE107" s="769"/>
      <c r="LWF107" s="769"/>
      <c r="LWG107" s="769"/>
      <c r="LWH107" s="769"/>
      <c r="LWI107" s="769"/>
      <c r="LWJ107" s="769"/>
      <c r="LWK107" s="769"/>
      <c r="LWL107" s="769"/>
      <c r="LWM107" s="769"/>
      <c r="LWN107" s="769"/>
      <c r="LWO107" s="769"/>
      <c r="LWP107" s="769"/>
      <c r="LWQ107" s="769"/>
      <c r="LWR107" s="769"/>
      <c r="LWS107" s="769"/>
      <c r="LWT107" s="769"/>
      <c r="LWU107" s="769"/>
      <c r="LWV107" s="769"/>
      <c r="LWW107" s="769"/>
      <c r="LWX107" s="769"/>
      <c r="LWY107" s="769"/>
      <c r="LWZ107" s="769"/>
      <c r="LXA107" s="769"/>
      <c r="LXB107" s="769"/>
      <c r="LXC107" s="769"/>
      <c r="LXD107" s="769"/>
      <c r="LXE107" s="769"/>
      <c r="LXF107" s="769"/>
      <c r="LXG107" s="769"/>
      <c r="LXH107" s="769"/>
      <c r="LXI107" s="769"/>
      <c r="LXJ107" s="769"/>
      <c r="LXK107" s="769"/>
      <c r="LXL107" s="769"/>
      <c r="LXM107" s="769"/>
      <c r="LXN107" s="769"/>
      <c r="LXO107" s="769"/>
      <c r="LXP107" s="769"/>
      <c r="LXQ107" s="769"/>
      <c r="LXR107" s="769"/>
      <c r="LXS107" s="769"/>
      <c r="LXT107" s="769"/>
      <c r="LXU107" s="769"/>
      <c r="LXV107" s="769"/>
      <c r="LXW107" s="769"/>
      <c r="LXX107" s="769"/>
      <c r="LXY107" s="769"/>
      <c r="LXZ107" s="769"/>
      <c r="LYA107" s="769"/>
      <c r="LYB107" s="769"/>
      <c r="LYC107" s="769"/>
      <c r="LYD107" s="769"/>
      <c r="LYE107" s="769"/>
      <c r="LYF107" s="769"/>
      <c r="LYG107" s="769"/>
      <c r="LYH107" s="769"/>
      <c r="LYI107" s="769"/>
      <c r="LYJ107" s="769"/>
      <c r="LYK107" s="769"/>
      <c r="LYL107" s="769"/>
      <c r="LYM107" s="769"/>
      <c r="LYN107" s="769"/>
      <c r="LYO107" s="769"/>
      <c r="LYP107" s="769"/>
      <c r="LYQ107" s="769"/>
      <c r="LYR107" s="769"/>
      <c r="LYS107" s="769"/>
      <c r="LYT107" s="769"/>
      <c r="LYU107" s="769"/>
      <c r="LYV107" s="769"/>
      <c r="LYW107" s="769"/>
      <c r="LYX107" s="769"/>
      <c r="LYY107" s="769"/>
      <c r="LYZ107" s="769"/>
      <c r="LZA107" s="769"/>
      <c r="LZB107" s="769"/>
      <c r="LZC107" s="769"/>
      <c r="LZD107" s="769"/>
      <c r="LZE107" s="769"/>
      <c r="LZF107" s="769"/>
      <c r="LZG107" s="769"/>
      <c r="LZH107" s="769"/>
      <c r="LZI107" s="769"/>
      <c r="LZJ107" s="769"/>
      <c r="LZK107" s="769"/>
      <c r="LZL107" s="769"/>
      <c r="LZM107" s="769"/>
      <c r="LZN107" s="769"/>
      <c r="LZO107" s="769"/>
      <c r="LZP107" s="769"/>
      <c r="LZQ107" s="769"/>
      <c r="LZR107" s="769"/>
      <c r="LZS107" s="769"/>
      <c r="LZT107" s="769"/>
      <c r="LZU107" s="769"/>
      <c r="LZV107" s="769"/>
      <c r="LZW107" s="769"/>
      <c r="LZX107" s="769"/>
      <c r="LZY107" s="769"/>
      <c r="LZZ107" s="769"/>
      <c r="MAA107" s="769"/>
      <c r="MAB107" s="769"/>
      <c r="MAC107" s="769"/>
      <c r="MAD107" s="769"/>
      <c r="MAE107" s="769"/>
      <c r="MAF107" s="769"/>
      <c r="MAG107" s="769"/>
      <c r="MAH107" s="769"/>
      <c r="MAI107" s="769"/>
      <c r="MAJ107" s="769"/>
      <c r="MAK107" s="769"/>
      <c r="MAL107" s="769"/>
      <c r="MAM107" s="769"/>
      <c r="MAN107" s="769"/>
      <c r="MAO107" s="769"/>
      <c r="MAP107" s="769"/>
      <c r="MAQ107" s="769"/>
      <c r="MAR107" s="769"/>
      <c r="MAS107" s="769"/>
      <c r="MAT107" s="769"/>
      <c r="MAU107" s="769"/>
      <c r="MAV107" s="769"/>
      <c r="MAW107" s="769"/>
      <c r="MAX107" s="769"/>
      <c r="MAY107" s="769"/>
      <c r="MAZ107" s="769"/>
      <c r="MBA107" s="769"/>
      <c r="MBB107" s="769"/>
      <c r="MBC107" s="769"/>
      <c r="MBD107" s="769"/>
      <c r="MBE107" s="769"/>
      <c r="MBF107" s="769"/>
      <c r="MBG107" s="769"/>
      <c r="MBH107" s="769"/>
      <c r="MBI107" s="769"/>
      <c r="MBJ107" s="769"/>
      <c r="MBK107" s="769"/>
      <c r="MBL107" s="769"/>
      <c r="MBM107" s="769"/>
      <c r="MBN107" s="769"/>
      <c r="MBO107" s="769"/>
      <c r="MBP107" s="769"/>
      <c r="MBQ107" s="769"/>
      <c r="MBR107" s="769"/>
      <c r="MBS107" s="769"/>
      <c r="MBT107" s="769"/>
      <c r="MBU107" s="769"/>
      <c r="MBV107" s="769"/>
      <c r="MBW107" s="769"/>
      <c r="MBX107" s="769"/>
      <c r="MBY107" s="769"/>
      <c r="MBZ107" s="769"/>
      <c r="MCA107" s="769"/>
      <c r="MCB107" s="769"/>
      <c r="MCC107" s="769"/>
      <c r="MCD107" s="769"/>
      <c r="MCE107" s="769"/>
      <c r="MCF107" s="769"/>
      <c r="MCG107" s="769"/>
      <c r="MCH107" s="769"/>
      <c r="MCI107" s="769"/>
      <c r="MCJ107" s="769"/>
      <c r="MCK107" s="769"/>
      <c r="MCL107" s="769"/>
      <c r="MCM107" s="769"/>
      <c r="MCN107" s="769"/>
      <c r="MCO107" s="769"/>
      <c r="MCP107" s="769"/>
      <c r="MCQ107" s="769"/>
      <c r="MCR107" s="769"/>
      <c r="MCS107" s="769"/>
      <c r="MCT107" s="769"/>
      <c r="MCU107" s="769"/>
      <c r="MCV107" s="769"/>
      <c r="MCW107" s="769"/>
      <c r="MCX107" s="769"/>
      <c r="MCY107" s="769"/>
      <c r="MCZ107" s="769"/>
      <c r="MDA107" s="769"/>
      <c r="MDB107" s="769"/>
      <c r="MDC107" s="769"/>
      <c r="MDD107" s="769"/>
      <c r="MDE107" s="769"/>
      <c r="MDF107" s="769"/>
      <c r="MDG107" s="769"/>
      <c r="MDH107" s="769"/>
      <c r="MDI107" s="769"/>
      <c r="MDJ107" s="769"/>
      <c r="MDK107" s="769"/>
      <c r="MDL107" s="769"/>
      <c r="MDM107" s="769"/>
      <c r="MDN107" s="769"/>
      <c r="MDO107" s="769"/>
      <c r="MDP107" s="769"/>
      <c r="MDQ107" s="769"/>
      <c r="MDR107" s="769"/>
      <c r="MDS107" s="769"/>
      <c r="MDT107" s="769"/>
      <c r="MDU107" s="769"/>
      <c r="MDV107" s="769"/>
      <c r="MDW107" s="769"/>
      <c r="MDX107" s="769"/>
      <c r="MDY107" s="769"/>
      <c r="MDZ107" s="769"/>
      <c r="MEA107" s="769"/>
      <c r="MEB107" s="769"/>
      <c r="MEC107" s="769"/>
      <c r="MED107" s="769"/>
      <c r="MEE107" s="769"/>
      <c r="MEF107" s="769"/>
      <c r="MEG107" s="769"/>
      <c r="MEH107" s="769"/>
      <c r="MEI107" s="769"/>
      <c r="MEJ107" s="769"/>
      <c r="MEK107" s="769"/>
      <c r="MEL107" s="769"/>
      <c r="MEM107" s="769"/>
      <c r="MEN107" s="769"/>
      <c r="MEO107" s="769"/>
      <c r="MEP107" s="769"/>
      <c r="MEQ107" s="769"/>
      <c r="MER107" s="769"/>
      <c r="MES107" s="769"/>
      <c r="MET107" s="769"/>
      <c r="MEU107" s="769"/>
      <c r="MEV107" s="769"/>
      <c r="MEW107" s="769"/>
      <c r="MEX107" s="769"/>
      <c r="MEY107" s="769"/>
      <c r="MEZ107" s="769"/>
      <c r="MFA107" s="769"/>
      <c r="MFB107" s="769"/>
      <c r="MFC107" s="769"/>
      <c r="MFD107" s="769"/>
      <c r="MFE107" s="769"/>
      <c r="MFF107" s="769"/>
      <c r="MFG107" s="769"/>
      <c r="MFH107" s="769"/>
      <c r="MFI107" s="769"/>
      <c r="MFJ107" s="769"/>
      <c r="MFK107" s="769"/>
      <c r="MFL107" s="769"/>
      <c r="MFM107" s="769"/>
      <c r="MFN107" s="769"/>
      <c r="MFO107" s="769"/>
      <c r="MFP107" s="769"/>
      <c r="MFQ107" s="769"/>
      <c r="MFR107" s="769"/>
      <c r="MFS107" s="769"/>
      <c r="MFT107" s="769"/>
      <c r="MFU107" s="769"/>
      <c r="MFV107" s="769"/>
      <c r="MFW107" s="769"/>
      <c r="MFX107" s="769"/>
      <c r="MFY107" s="769"/>
      <c r="MFZ107" s="769"/>
      <c r="MGA107" s="769"/>
      <c r="MGB107" s="769"/>
      <c r="MGC107" s="769"/>
      <c r="MGD107" s="769"/>
      <c r="MGE107" s="769"/>
      <c r="MGF107" s="769"/>
      <c r="MGG107" s="769"/>
      <c r="MGH107" s="769"/>
      <c r="MGI107" s="769"/>
      <c r="MGJ107" s="769"/>
      <c r="MGK107" s="769"/>
      <c r="MGL107" s="769"/>
      <c r="MGM107" s="769"/>
      <c r="MGN107" s="769"/>
      <c r="MGO107" s="769"/>
      <c r="MGP107" s="769"/>
      <c r="MGQ107" s="769"/>
      <c r="MGR107" s="769"/>
      <c r="MGS107" s="769"/>
      <c r="MGT107" s="769"/>
      <c r="MGU107" s="769"/>
      <c r="MGV107" s="769"/>
      <c r="MGW107" s="769"/>
      <c r="MGX107" s="769"/>
      <c r="MGY107" s="769"/>
      <c r="MGZ107" s="769"/>
      <c r="MHA107" s="769"/>
      <c r="MHB107" s="769"/>
      <c r="MHC107" s="769"/>
      <c r="MHD107" s="769"/>
      <c r="MHE107" s="769"/>
      <c r="MHF107" s="769"/>
      <c r="MHG107" s="769"/>
      <c r="MHH107" s="769"/>
      <c r="MHI107" s="769"/>
      <c r="MHJ107" s="769"/>
      <c r="MHK107" s="769"/>
      <c r="MHL107" s="769"/>
      <c r="MHM107" s="769"/>
      <c r="MHN107" s="769"/>
      <c r="MHO107" s="769"/>
      <c r="MHP107" s="769"/>
      <c r="MHQ107" s="769"/>
      <c r="MHR107" s="769"/>
      <c r="MHS107" s="769"/>
      <c r="MHT107" s="769"/>
      <c r="MHU107" s="769"/>
      <c r="MHV107" s="769"/>
      <c r="MHW107" s="769"/>
      <c r="MHX107" s="769"/>
      <c r="MHY107" s="769"/>
      <c r="MHZ107" s="769"/>
      <c r="MIA107" s="769"/>
      <c r="MIB107" s="769"/>
      <c r="MIC107" s="769"/>
      <c r="MID107" s="769"/>
      <c r="MIE107" s="769"/>
      <c r="MIF107" s="769"/>
      <c r="MIG107" s="769"/>
      <c r="MIH107" s="769"/>
      <c r="MII107" s="769"/>
      <c r="MIJ107" s="769"/>
      <c r="MIK107" s="769"/>
      <c r="MIL107" s="769"/>
      <c r="MIM107" s="769"/>
      <c r="MIN107" s="769"/>
      <c r="MIO107" s="769"/>
      <c r="MIP107" s="769"/>
      <c r="MIQ107" s="769"/>
      <c r="MIR107" s="769"/>
      <c r="MIS107" s="769"/>
      <c r="MIT107" s="769"/>
      <c r="MIU107" s="769"/>
      <c r="MIV107" s="769"/>
      <c r="MIW107" s="769"/>
      <c r="MIX107" s="769"/>
      <c r="MIY107" s="769"/>
      <c r="MIZ107" s="769"/>
      <c r="MJA107" s="769"/>
      <c r="MJB107" s="769"/>
      <c r="MJC107" s="769"/>
      <c r="MJD107" s="769"/>
      <c r="MJE107" s="769"/>
      <c r="MJF107" s="769"/>
      <c r="MJG107" s="769"/>
      <c r="MJH107" s="769"/>
      <c r="MJI107" s="769"/>
      <c r="MJJ107" s="769"/>
      <c r="MJK107" s="769"/>
      <c r="MJL107" s="769"/>
      <c r="MJM107" s="769"/>
      <c r="MJN107" s="769"/>
      <c r="MJO107" s="769"/>
      <c r="MJP107" s="769"/>
      <c r="MJQ107" s="769"/>
      <c r="MJR107" s="769"/>
      <c r="MJS107" s="769"/>
      <c r="MJT107" s="769"/>
      <c r="MJU107" s="769"/>
      <c r="MJV107" s="769"/>
      <c r="MJW107" s="769"/>
      <c r="MJX107" s="769"/>
      <c r="MJY107" s="769"/>
      <c r="MJZ107" s="769"/>
      <c r="MKA107" s="769"/>
      <c r="MKB107" s="769"/>
      <c r="MKC107" s="769"/>
      <c r="MKD107" s="769"/>
      <c r="MKE107" s="769"/>
      <c r="MKF107" s="769"/>
      <c r="MKG107" s="769"/>
      <c r="MKH107" s="769"/>
      <c r="MKI107" s="769"/>
      <c r="MKJ107" s="769"/>
      <c r="MKK107" s="769"/>
      <c r="MKL107" s="769"/>
      <c r="MKM107" s="769"/>
      <c r="MKN107" s="769"/>
      <c r="MKO107" s="769"/>
      <c r="MKP107" s="769"/>
      <c r="MKQ107" s="769"/>
      <c r="MKR107" s="769"/>
      <c r="MKS107" s="769"/>
      <c r="MKT107" s="769"/>
      <c r="MKU107" s="769"/>
      <c r="MKV107" s="769"/>
      <c r="MKW107" s="769"/>
      <c r="MKX107" s="769"/>
      <c r="MKY107" s="769"/>
      <c r="MKZ107" s="769"/>
      <c r="MLA107" s="769"/>
      <c r="MLB107" s="769"/>
      <c r="MLC107" s="769"/>
      <c r="MLD107" s="769"/>
      <c r="MLE107" s="769"/>
      <c r="MLF107" s="769"/>
      <c r="MLG107" s="769"/>
      <c r="MLH107" s="769"/>
      <c r="MLI107" s="769"/>
      <c r="MLJ107" s="769"/>
      <c r="MLK107" s="769"/>
      <c r="MLL107" s="769"/>
      <c r="MLM107" s="769"/>
      <c r="MLN107" s="769"/>
      <c r="MLO107" s="769"/>
      <c r="MLP107" s="769"/>
      <c r="MLQ107" s="769"/>
      <c r="MLR107" s="769"/>
      <c r="MLS107" s="769"/>
      <c r="MLT107" s="769"/>
      <c r="MLU107" s="769"/>
      <c r="MLV107" s="769"/>
      <c r="MLW107" s="769"/>
      <c r="MLX107" s="769"/>
      <c r="MLY107" s="769"/>
      <c r="MLZ107" s="769"/>
      <c r="MMA107" s="769"/>
      <c r="MMB107" s="769"/>
      <c r="MMC107" s="769"/>
      <c r="MMD107" s="769"/>
      <c r="MME107" s="769"/>
      <c r="MMF107" s="769"/>
      <c r="MMG107" s="769"/>
      <c r="MMH107" s="769"/>
      <c r="MMI107" s="769"/>
      <c r="MMJ107" s="769"/>
      <c r="MMK107" s="769"/>
      <c r="MML107" s="769"/>
      <c r="MMM107" s="769"/>
      <c r="MMN107" s="769"/>
      <c r="MMO107" s="769"/>
      <c r="MMP107" s="769"/>
      <c r="MMQ107" s="769"/>
      <c r="MMR107" s="769"/>
      <c r="MMS107" s="769"/>
      <c r="MMT107" s="769"/>
      <c r="MMU107" s="769"/>
      <c r="MMV107" s="769"/>
      <c r="MMW107" s="769"/>
      <c r="MMX107" s="769"/>
      <c r="MMY107" s="769"/>
      <c r="MMZ107" s="769"/>
      <c r="MNA107" s="769"/>
      <c r="MNB107" s="769"/>
      <c r="MNC107" s="769"/>
      <c r="MND107" s="769"/>
      <c r="MNE107" s="769"/>
      <c r="MNF107" s="769"/>
      <c r="MNG107" s="769"/>
      <c r="MNH107" s="769"/>
      <c r="MNI107" s="769"/>
      <c r="MNJ107" s="769"/>
      <c r="MNK107" s="769"/>
      <c r="MNL107" s="769"/>
      <c r="MNM107" s="769"/>
      <c r="MNN107" s="769"/>
      <c r="MNO107" s="769"/>
      <c r="MNP107" s="769"/>
      <c r="MNQ107" s="769"/>
      <c r="MNR107" s="769"/>
      <c r="MNS107" s="769"/>
      <c r="MNT107" s="769"/>
      <c r="MNU107" s="769"/>
      <c r="MNV107" s="769"/>
      <c r="MNW107" s="769"/>
      <c r="MNX107" s="769"/>
      <c r="MNY107" s="769"/>
      <c r="MNZ107" s="769"/>
      <c r="MOA107" s="769"/>
      <c r="MOB107" s="769"/>
      <c r="MOC107" s="769"/>
      <c r="MOD107" s="769"/>
      <c r="MOE107" s="769"/>
      <c r="MOF107" s="769"/>
      <c r="MOG107" s="769"/>
      <c r="MOH107" s="769"/>
      <c r="MOI107" s="769"/>
      <c r="MOJ107" s="769"/>
      <c r="MOK107" s="769"/>
      <c r="MOL107" s="769"/>
      <c r="MOM107" s="769"/>
      <c r="MON107" s="769"/>
      <c r="MOO107" s="769"/>
      <c r="MOP107" s="769"/>
      <c r="MOQ107" s="769"/>
      <c r="MOR107" s="769"/>
      <c r="MOS107" s="769"/>
      <c r="MOT107" s="769"/>
      <c r="MOU107" s="769"/>
      <c r="MOV107" s="769"/>
      <c r="MOW107" s="769"/>
      <c r="MOX107" s="769"/>
      <c r="MOY107" s="769"/>
      <c r="MOZ107" s="769"/>
      <c r="MPA107" s="769"/>
      <c r="MPB107" s="769"/>
      <c r="MPC107" s="769"/>
      <c r="MPD107" s="769"/>
      <c r="MPE107" s="769"/>
      <c r="MPF107" s="769"/>
      <c r="MPG107" s="769"/>
      <c r="MPH107" s="769"/>
      <c r="MPI107" s="769"/>
      <c r="MPJ107" s="769"/>
      <c r="MPK107" s="769"/>
      <c r="MPL107" s="769"/>
      <c r="MPM107" s="769"/>
      <c r="MPN107" s="769"/>
      <c r="MPO107" s="769"/>
      <c r="MPP107" s="769"/>
      <c r="MPQ107" s="769"/>
      <c r="MPR107" s="769"/>
      <c r="MPS107" s="769"/>
      <c r="MPT107" s="769"/>
      <c r="MPU107" s="769"/>
      <c r="MPV107" s="769"/>
      <c r="MPW107" s="769"/>
      <c r="MPX107" s="769"/>
      <c r="MPY107" s="769"/>
      <c r="MPZ107" s="769"/>
      <c r="MQA107" s="769"/>
      <c r="MQB107" s="769"/>
      <c r="MQC107" s="769"/>
      <c r="MQD107" s="769"/>
      <c r="MQE107" s="769"/>
      <c r="MQF107" s="769"/>
      <c r="MQG107" s="769"/>
      <c r="MQH107" s="769"/>
      <c r="MQI107" s="769"/>
      <c r="MQJ107" s="769"/>
      <c r="MQK107" s="769"/>
      <c r="MQL107" s="769"/>
      <c r="MQM107" s="769"/>
      <c r="MQN107" s="769"/>
      <c r="MQO107" s="769"/>
      <c r="MQP107" s="769"/>
      <c r="MQQ107" s="769"/>
      <c r="MQR107" s="769"/>
      <c r="MQS107" s="769"/>
      <c r="MQT107" s="769"/>
      <c r="MQU107" s="769"/>
      <c r="MQV107" s="769"/>
      <c r="MQW107" s="769"/>
      <c r="MQX107" s="769"/>
      <c r="MQY107" s="769"/>
      <c r="MQZ107" s="769"/>
      <c r="MRA107" s="769"/>
      <c r="MRB107" s="769"/>
      <c r="MRC107" s="769"/>
      <c r="MRD107" s="769"/>
      <c r="MRE107" s="769"/>
      <c r="MRF107" s="769"/>
      <c r="MRG107" s="769"/>
      <c r="MRH107" s="769"/>
      <c r="MRI107" s="769"/>
      <c r="MRJ107" s="769"/>
      <c r="MRK107" s="769"/>
      <c r="MRL107" s="769"/>
      <c r="MRM107" s="769"/>
      <c r="MRN107" s="769"/>
      <c r="MRO107" s="769"/>
      <c r="MRP107" s="769"/>
      <c r="MRQ107" s="769"/>
      <c r="MRR107" s="769"/>
      <c r="MRS107" s="769"/>
      <c r="MRT107" s="769"/>
      <c r="MRU107" s="769"/>
      <c r="MRV107" s="769"/>
      <c r="MRW107" s="769"/>
      <c r="MRX107" s="769"/>
      <c r="MRY107" s="769"/>
      <c r="MRZ107" s="769"/>
      <c r="MSA107" s="769"/>
      <c r="MSB107" s="769"/>
      <c r="MSC107" s="769"/>
      <c r="MSD107" s="769"/>
      <c r="MSE107" s="769"/>
      <c r="MSF107" s="769"/>
      <c r="MSG107" s="769"/>
      <c r="MSH107" s="769"/>
      <c r="MSI107" s="769"/>
      <c r="MSJ107" s="769"/>
      <c r="MSK107" s="769"/>
      <c r="MSL107" s="769"/>
      <c r="MSM107" s="769"/>
      <c r="MSN107" s="769"/>
      <c r="MSO107" s="769"/>
      <c r="MSP107" s="769"/>
      <c r="MSQ107" s="769"/>
      <c r="MSR107" s="769"/>
      <c r="MSS107" s="769"/>
      <c r="MST107" s="769"/>
      <c r="MSU107" s="769"/>
      <c r="MSV107" s="769"/>
      <c r="MSW107" s="769"/>
      <c r="MSX107" s="769"/>
      <c r="MSY107" s="769"/>
      <c r="MSZ107" s="769"/>
      <c r="MTA107" s="769"/>
      <c r="MTB107" s="769"/>
      <c r="MTC107" s="769"/>
      <c r="MTD107" s="769"/>
      <c r="MTE107" s="769"/>
      <c r="MTF107" s="769"/>
      <c r="MTG107" s="769"/>
      <c r="MTH107" s="769"/>
      <c r="MTI107" s="769"/>
      <c r="MTJ107" s="769"/>
      <c r="MTK107" s="769"/>
      <c r="MTL107" s="769"/>
      <c r="MTM107" s="769"/>
      <c r="MTN107" s="769"/>
      <c r="MTO107" s="769"/>
      <c r="MTP107" s="769"/>
      <c r="MTQ107" s="769"/>
      <c r="MTR107" s="769"/>
      <c r="MTS107" s="769"/>
      <c r="MTT107" s="769"/>
      <c r="MTU107" s="769"/>
      <c r="MTV107" s="769"/>
      <c r="MTW107" s="769"/>
      <c r="MTX107" s="769"/>
      <c r="MTY107" s="769"/>
      <c r="MTZ107" s="769"/>
      <c r="MUA107" s="769"/>
      <c r="MUB107" s="769"/>
      <c r="MUC107" s="769"/>
      <c r="MUD107" s="769"/>
      <c r="MUE107" s="769"/>
      <c r="MUF107" s="769"/>
      <c r="MUG107" s="769"/>
      <c r="MUH107" s="769"/>
      <c r="MUI107" s="769"/>
      <c r="MUJ107" s="769"/>
      <c r="MUK107" s="769"/>
      <c r="MUL107" s="769"/>
      <c r="MUM107" s="769"/>
      <c r="MUN107" s="769"/>
      <c r="MUO107" s="769"/>
      <c r="MUP107" s="769"/>
      <c r="MUQ107" s="769"/>
      <c r="MUR107" s="769"/>
      <c r="MUS107" s="769"/>
      <c r="MUT107" s="769"/>
      <c r="MUU107" s="769"/>
      <c r="MUV107" s="769"/>
      <c r="MUW107" s="769"/>
      <c r="MUX107" s="769"/>
      <c r="MUY107" s="769"/>
      <c r="MUZ107" s="769"/>
      <c r="MVA107" s="769"/>
      <c r="MVB107" s="769"/>
      <c r="MVC107" s="769"/>
      <c r="MVD107" s="769"/>
      <c r="MVE107" s="769"/>
      <c r="MVF107" s="769"/>
      <c r="MVG107" s="769"/>
      <c r="MVH107" s="769"/>
      <c r="MVI107" s="769"/>
      <c r="MVJ107" s="769"/>
      <c r="MVK107" s="769"/>
      <c r="MVL107" s="769"/>
      <c r="MVM107" s="769"/>
      <c r="MVN107" s="769"/>
      <c r="MVO107" s="769"/>
      <c r="MVP107" s="769"/>
      <c r="MVQ107" s="769"/>
      <c r="MVR107" s="769"/>
      <c r="MVS107" s="769"/>
      <c r="MVT107" s="769"/>
      <c r="MVU107" s="769"/>
      <c r="MVV107" s="769"/>
      <c r="MVW107" s="769"/>
      <c r="MVX107" s="769"/>
      <c r="MVY107" s="769"/>
      <c r="MVZ107" s="769"/>
      <c r="MWA107" s="769"/>
      <c r="MWB107" s="769"/>
      <c r="MWC107" s="769"/>
      <c r="MWD107" s="769"/>
      <c r="MWE107" s="769"/>
      <c r="MWF107" s="769"/>
      <c r="MWG107" s="769"/>
      <c r="MWH107" s="769"/>
      <c r="MWI107" s="769"/>
      <c r="MWJ107" s="769"/>
      <c r="MWK107" s="769"/>
      <c r="MWL107" s="769"/>
      <c r="MWM107" s="769"/>
      <c r="MWN107" s="769"/>
      <c r="MWO107" s="769"/>
      <c r="MWP107" s="769"/>
      <c r="MWQ107" s="769"/>
      <c r="MWR107" s="769"/>
      <c r="MWS107" s="769"/>
      <c r="MWT107" s="769"/>
      <c r="MWU107" s="769"/>
      <c r="MWV107" s="769"/>
      <c r="MWW107" s="769"/>
      <c r="MWX107" s="769"/>
      <c r="MWY107" s="769"/>
      <c r="MWZ107" s="769"/>
      <c r="MXA107" s="769"/>
      <c r="MXB107" s="769"/>
      <c r="MXC107" s="769"/>
      <c r="MXD107" s="769"/>
      <c r="MXE107" s="769"/>
      <c r="MXF107" s="769"/>
      <c r="MXG107" s="769"/>
      <c r="MXH107" s="769"/>
      <c r="MXI107" s="769"/>
      <c r="MXJ107" s="769"/>
      <c r="MXK107" s="769"/>
      <c r="MXL107" s="769"/>
      <c r="MXM107" s="769"/>
      <c r="MXN107" s="769"/>
      <c r="MXO107" s="769"/>
      <c r="MXP107" s="769"/>
      <c r="MXQ107" s="769"/>
      <c r="MXR107" s="769"/>
      <c r="MXS107" s="769"/>
      <c r="MXT107" s="769"/>
      <c r="MXU107" s="769"/>
      <c r="MXV107" s="769"/>
      <c r="MXW107" s="769"/>
      <c r="MXX107" s="769"/>
      <c r="MXY107" s="769"/>
      <c r="MXZ107" s="769"/>
      <c r="MYA107" s="769"/>
      <c r="MYB107" s="769"/>
      <c r="MYC107" s="769"/>
      <c r="MYD107" s="769"/>
      <c r="MYE107" s="769"/>
      <c r="MYF107" s="769"/>
      <c r="MYG107" s="769"/>
      <c r="MYH107" s="769"/>
      <c r="MYI107" s="769"/>
      <c r="MYJ107" s="769"/>
      <c r="MYK107" s="769"/>
      <c r="MYL107" s="769"/>
      <c r="MYM107" s="769"/>
      <c r="MYN107" s="769"/>
      <c r="MYO107" s="769"/>
      <c r="MYP107" s="769"/>
      <c r="MYQ107" s="769"/>
      <c r="MYR107" s="769"/>
      <c r="MYS107" s="769"/>
      <c r="MYT107" s="769"/>
      <c r="MYU107" s="769"/>
      <c r="MYV107" s="769"/>
      <c r="MYW107" s="769"/>
      <c r="MYX107" s="769"/>
      <c r="MYY107" s="769"/>
      <c r="MYZ107" s="769"/>
      <c r="MZA107" s="769"/>
      <c r="MZB107" s="769"/>
      <c r="MZC107" s="769"/>
      <c r="MZD107" s="769"/>
      <c r="MZE107" s="769"/>
      <c r="MZF107" s="769"/>
      <c r="MZG107" s="769"/>
      <c r="MZH107" s="769"/>
      <c r="MZI107" s="769"/>
      <c r="MZJ107" s="769"/>
      <c r="MZK107" s="769"/>
      <c r="MZL107" s="769"/>
      <c r="MZM107" s="769"/>
      <c r="MZN107" s="769"/>
      <c r="MZO107" s="769"/>
      <c r="MZP107" s="769"/>
      <c r="MZQ107" s="769"/>
      <c r="MZR107" s="769"/>
      <c r="MZS107" s="769"/>
      <c r="MZT107" s="769"/>
      <c r="MZU107" s="769"/>
      <c r="MZV107" s="769"/>
      <c r="MZW107" s="769"/>
      <c r="MZX107" s="769"/>
      <c r="MZY107" s="769"/>
      <c r="MZZ107" s="769"/>
      <c r="NAA107" s="769"/>
      <c r="NAB107" s="769"/>
      <c r="NAC107" s="769"/>
      <c r="NAD107" s="769"/>
      <c r="NAE107" s="769"/>
      <c r="NAF107" s="769"/>
      <c r="NAG107" s="769"/>
      <c r="NAH107" s="769"/>
      <c r="NAI107" s="769"/>
      <c r="NAJ107" s="769"/>
      <c r="NAK107" s="769"/>
      <c r="NAL107" s="769"/>
      <c r="NAM107" s="769"/>
      <c r="NAN107" s="769"/>
      <c r="NAO107" s="769"/>
      <c r="NAP107" s="769"/>
      <c r="NAQ107" s="769"/>
      <c r="NAR107" s="769"/>
      <c r="NAS107" s="769"/>
      <c r="NAT107" s="769"/>
      <c r="NAU107" s="769"/>
      <c r="NAV107" s="769"/>
      <c r="NAW107" s="769"/>
      <c r="NAX107" s="769"/>
      <c r="NAY107" s="769"/>
      <c r="NAZ107" s="769"/>
      <c r="NBA107" s="769"/>
      <c r="NBB107" s="769"/>
      <c r="NBC107" s="769"/>
      <c r="NBD107" s="769"/>
      <c r="NBE107" s="769"/>
      <c r="NBF107" s="769"/>
      <c r="NBG107" s="769"/>
      <c r="NBH107" s="769"/>
      <c r="NBI107" s="769"/>
      <c r="NBJ107" s="769"/>
      <c r="NBK107" s="769"/>
      <c r="NBL107" s="769"/>
      <c r="NBM107" s="769"/>
      <c r="NBN107" s="769"/>
      <c r="NBO107" s="769"/>
      <c r="NBP107" s="769"/>
      <c r="NBQ107" s="769"/>
      <c r="NBR107" s="769"/>
      <c r="NBS107" s="769"/>
      <c r="NBT107" s="769"/>
      <c r="NBU107" s="769"/>
      <c r="NBV107" s="769"/>
      <c r="NBW107" s="769"/>
      <c r="NBX107" s="769"/>
      <c r="NBY107" s="769"/>
      <c r="NBZ107" s="769"/>
      <c r="NCA107" s="769"/>
      <c r="NCB107" s="769"/>
      <c r="NCC107" s="769"/>
      <c r="NCD107" s="769"/>
      <c r="NCE107" s="769"/>
      <c r="NCF107" s="769"/>
      <c r="NCG107" s="769"/>
      <c r="NCH107" s="769"/>
      <c r="NCI107" s="769"/>
      <c r="NCJ107" s="769"/>
      <c r="NCK107" s="769"/>
      <c r="NCL107" s="769"/>
      <c r="NCM107" s="769"/>
      <c r="NCN107" s="769"/>
      <c r="NCO107" s="769"/>
      <c r="NCP107" s="769"/>
      <c r="NCQ107" s="769"/>
      <c r="NCR107" s="769"/>
      <c r="NCS107" s="769"/>
      <c r="NCT107" s="769"/>
      <c r="NCU107" s="769"/>
      <c r="NCV107" s="769"/>
      <c r="NCW107" s="769"/>
      <c r="NCX107" s="769"/>
      <c r="NCY107" s="769"/>
      <c r="NCZ107" s="769"/>
      <c r="NDA107" s="769"/>
      <c r="NDB107" s="769"/>
      <c r="NDC107" s="769"/>
      <c r="NDD107" s="769"/>
      <c r="NDE107" s="769"/>
      <c r="NDF107" s="769"/>
      <c r="NDG107" s="769"/>
      <c r="NDH107" s="769"/>
      <c r="NDI107" s="769"/>
      <c r="NDJ107" s="769"/>
      <c r="NDK107" s="769"/>
      <c r="NDL107" s="769"/>
      <c r="NDM107" s="769"/>
      <c r="NDN107" s="769"/>
      <c r="NDO107" s="769"/>
      <c r="NDP107" s="769"/>
      <c r="NDQ107" s="769"/>
      <c r="NDR107" s="769"/>
      <c r="NDS107" s="769"/>
      <c r="NDT107" s="769"/>
      <c r="NDU107" s="769"/>
      <c r="NDV107" s="769"/>
      <c r="NDW107" s="769"/>
      <c r="NDX107" s="769"/>
      <c r="NDY107" s="769"/>
      <c r="NDZ107" s="769"/>
      <c r="NEA107" s="769"/>
      <c r="NEB107" s="769"/>
      <c r="NEC107" s="769"/>
      <c r="NED107" s="769"/>
      <c r="NEE107" s="769"/>
      <c r="NEF107" s="769"/>
      <c r="NEG107" s="769"/>
      <c r="NEH107" s="769"/>
      <c r="NEI107" s="769"/>
      <c r="NEJ107" s="769"/>
      <c r="NEK107" s="769"/>
      <c r="NEL107" s="769"/>
      <c r="NEM107" s="769"/>
      <c r="NEN107" s="769"/>
      <c r="NEO107" s="769"/>
      <c r="NEP107" s="769"/>
      <c r="NEQ107" s="769"/>
      <c r="NER107" s="769"/>
      <c r="NES107" s="769"/>
      <c r="NET107" s="769"/>
      <c r="NEU107" s="769"/>
      <c r="NEV107" s="769"/>
      <c r="NEW107" s="769"/>
      <c r="NEX107" s="769"/>
      <c r="NEY107" s="769"/>
      <c r="NEZ107" s="769"/>
      <c r="NFA107" s="769"/>
      <c r="NFB107" s="769"/>
      <c r="NFC107" s="769"/>
      <c r="NFD107" s="769"/>
      <c r="NFE107" s="769"/>
      <c r="NFF107" s="769"/>
      <c r="NFG107" s="769"/>
      <c r="NFH107" s="769"/>
      <c r="NFI107" s="769"/>
      <c r="NFJ107" s="769"/>
      <c r="NFK107" s="769"/>
      <c r="NFL107" s="769"/>
      <c r="NFM107" s="769"/>
      <c r="NFN107" s="769"/>
      <c r="NFO107" s="769"/>
      <c r="NFP107" s="769"/>
      <c r="NFQ107" s="769"/>
      <c r="NFR107" s="769"/>
      <c r="NFS107" s="769"/>
      <c r="NFT107" s="769"/>
      <c r="NFU107" s="769"/>
      <c r="NFV107" s="769"/>
      <c r="NFW107" s="769"/>
      <c r="NFX107" s="769"/>
      <c r="NFY107" s="769"/>
      <c r="NFZ107" s="769"/>
      <c r="NGA107" s="769"/>
      <c r="NGB107" s="769"/>
      <c r="NGC107" s="769"/>
      <c r="NGD107" s="769"/>
      <c r="NGE107" s="769"/>
      <c r="NGF107" s="769"/>
      <c r="NGG107" s="769"/>
      <c r="NGH107" s="769"/>
      <c r="NGI107" s="769"/>
      <c r="NGJ107" s="769"/>
      <c r="NGK107" s="769"/>
      <c r="NGL107" s="769"/>
      <c r="NGM107" s="769"/>
      <c r="NGN107" s="769"/>
      <c r="NGO107" s="769"/>
      <c r="NGP107" s="769"/>
      <c r="NGQ107" s="769"/>
      <c r="NGR107" s="769"/>
      <c r="NGS107" s="769"/>
      <c r="NGT107" s="769"/>
      <c r="NGU107" s="769"/>
      <c r="NGV107" s="769"/>
      <c r="NGW107" s="769"/>
      <c r="NGX107" s="769"/>
      <c r="NGY107" s="769"/>
      <c r="NGZ107" s="769"/>
      <c r="NHA107" s="769"/>
      <c r="NHB107" s="769"/>
      <c r="NHC107" s="769"/>
      <c r="NHD107" s="769"/>
      <c r="NHE107" s="769"/>
      <c r="NHF107" s="769"/>
      <c r="NHG107" s="769"/>
      <c r="NHH107" s="769"/>
      <c r="NHI107" s="769"/>
      <c r="NHJ107" s="769"/>
      <c r="NHK107" s="769"/>
      <c r="NHL107" s="769"/>
      <c r="NHM107" s="769"/>
      <c r="NHN107" s="769"/>
      <c r="NHO107" s="769"/>
      <c r="NHP107" s="769"/>
      <c r="NHQ107" s="769"/>
      <c r="NHR107" s="769"/>
      <c r="NHS107" s="769"/>
      <c r="NHT107" s="769"/>
      <c r="NHU107" s="769"/>
      <c r="NHV107" s="769"/>
      <c r="NHW107" s="769"/>
      <c r="NHX107" s="769"/>
      <c r="NHY107" s="769"/>
      <c r="NHZ107" s="769"/>
      <c r="NIA107" s="769"/>
      <c r="NIB107" s="769"/>
      <c r="NIC107" s="769"/>
      <c r="NID107" s="769"/>
      <c r="NIE107" s="769"/>
      <c r="NIF107" s="769"/>
      <c r="NIG107" s="769"/>
      <c r="NIH107" s="769"/>
      <c r="NII107" s="769"/>
      <c r="NIJ107" s="769"/>
      <c r="NIK107" s="769"/>
      <c r="NIL107" s="769"/>
      <c r="NIM107" s="769"/>
      <c r="NIN107" s="769"/>
      <c r="NIO107" s="769"/>
      <c r="NIP107" s="769"/>
      <c r="NIQ107" s="769"/>
      <c r="NIR107" s="769"/>
      <c r="NIS107" s="769"/>
      <c r="NIT107" s="769"/>
      <c r="NIU107" s="769"/>
      <c r="NIV107" s="769"/>
      <c r="NIW107" s="769"/>
      <c r="NIX107" s="769"/>
      <c r="NIY107" s="769"/>
      <c r="NIZ107" s="769"/>
      <c r="NJA107" s="769"/>
      <c r="NJB107" s="769"/>
      <c r="NJC107" s="769"/>
      <c r="NJD107" s="769"/>
      <c r="NJE107" s="769"/>
      <c r="NJF107" s="769"/>
      <c r="NJG107" s="769"/>
      <c r="NJH107" s="769"/>
      <c r="NJI107" s="769"/>
      <c r="NJJ107" s="769"/>
      <c r="NJK107" s="769"/>
      <c r="NJL107" s="769"/>
      <c r="NJM107" s="769"/>
      <c r="NJN107" s="769"/>
      <c r="NJO107" s="769"/>
      <c r="NJP107" s="769"/>
      <c r="NJQ107" s="769"/>
      <c r="NJR107" s="769"/>
      <c r="NJS107" s="769"/>
      <c r="NJT107" s="769"/>
      <c r="NJU107" s="769"/>
      <c r="NJV107" s="769"/>
      <c r="NJW107" s="769"/>
      <c r="NJX107" s="769"/>
      <c r="NJY107" s="769"/>
      <c r="NJZ107" s="769"/>
      <c r="NKA107" s="769"/>
      <c r="NKB107" s="769"/>
      <c r="NKC107" s="769"/>
      <c r="NKD107" s="769"/>
      <c r="NKE107" s="769"/>
      <c r="NKF107" s="769"/>
      <c r="NKG107" s="769"/>
      <c r="NKH107" s="769"/>
      <c r="NKI107" s="769"/>
      <c r="NKJ107" s="769"/>
      <c r="NKK107" s="769"/>
      <c r="NKL107" s="769"/>
      <c r="NKM107" s="769"/>
      <c r="NKN107" s="769"/>
      <c r="NKO107" s="769"/>
      <c r="NKP107" s="769"/>
      <c r="NKQ107" s="769"/>
      <c r="NKR107" s="769"/>
      <c r="NKS107" s="769"/>
      <c r="NKT107" s="769"/>
      <c r="NKU107" s="769"/>
      <c r="NKV107" s="769"/>
      <c r="NKW107" s="769"/>
      <c r="NKX107" s="769"/>
      <c r="NKY107" s="769"/>
      <c r="NKZ107" s="769"/>
      <c r="NLA107" s="769"/>
      <c r="NLB107" s="769"/>
      <c r="NLC107" s="769"/>
      <c r="NLD107" s="769"/>
      <c r="NLE107" s="769"/>
      <c r="NLF107" s="769"/>
      <c r="NLG107" s="769"/>
      <c r="NLH107" s="769"/>
      <c r="NLI107" s="769"/>
      <c r="NLJ107" s="769"/>
      <c r="NLK107" s="769"/>
      <c r="NLL107" s="769"/>
      <c r="NLM107" s="769"/>
      <c r="NLN107" s="769"/>
      <c r="NLO107" s="769"/>
      <c r="NLP107" s="769"/>
      <c r="NLQ107" s="769"/>
      <c r="NLR107" s="769"/>
      <c r="NLS107" s="769"/>
      <c r="NLT107" s="769"/>
      <c r="NLU107" s="769"/>
      <c r="NLV107" s="769"/>
      <c r="NLW107" s="769"/>
      <c r="NLX107" s="769"/>
      <c r="NLY107" s="769"/>
      <c r="NLZ107" s="769"/>
      <c r="NMA107" s="769"/>
      <c r="NMB107" s="769"/>
      <c r="NMC107" s="769"/>
      <c r="NMD107" s="769"/>
      <c r="NME107" s="769"/>
      <c r="NMF107" s="769"/>
      <c r="NMG107" s="769"/>
      <c r="NMH107" s="769"/>
      <c r="NMI107" s="769"/>
      <c r="NMJ107" s="769"/>
      <c r="NMK107" s="769"/>
      <c r="NML107" s="769"/>
      <c r="NMM107" s="769"/>
      <c r="NMN107" s="769"/>
      <c r="NMO107" s="769"/>
      <c r="NMP107" s="769"/>
      <c r="NMQ107" s="769"/>
      <c r="NMR107" s="769"/>
      <c r="NMS107" s="769"/>
      <c r="NMT107" s="769"/>
      <c r="NMU107" s="769"/>
      <c r="NMV107" s="769"/>
      <c r="NMW107" s="769"/>
      <c r="NMX107" s="769"/>
      <c r="NMY107" s="769"/>
      <c r="NMZ107" s="769"/>
      <c r="NNA107" s="769"/>
      <c r="NNB107" s="769"/>
      <c r="NNC107" s="769"/>
      <c r="NND107" s="769"/>
      <c r="NNE107" s="769"/>
      <c r="NNF107" s="769"/>
      <c r="NNG107" s="769"/>
      <c r="NNH107" s="769"/>
      <c r="NNI107" s="769"/>
      <c r="NNJ107" s="769"/>
      <c r="NNK107" s="769"/>
      <c r="NNL107" s="769"/>
      <c r="NNM107" s="769"/>
      <c r="NNN107" s="769"/>
      <c r="NNO107" s="769"/>
      <c r="NNP107" s="769"/>
      <c r="NNQ107" s="769"/>
      <c r="NNR107" s="769"/>
      <c r="NNS107" s="769"/>
      <c r="NNT107" s="769"/>
      <c r="NNU107" s="769"/>
      <c r="NNV107" s="769"/>
      <c r="NNW107" s="769"/>
      <c r="NNX107" s="769"/>
      <c r="NNY107" s="769"/>
      <c r="NNZ107" s="769"/>
      <c r="NOA107" s="769"/>
      <c r="NOB107" s="769"/>
      <c r="NOC107" s="769"/>
      <c r="NOD107" s="769"/>
      <c r="NOE107" s="769"/>
      <c r="NOF107" s="769"/>
      <c r="NOG107" s="769"/>
      <c r="NOH107" s="769"/>
      <c r="NOI107" s="769"/>
      <c r="NOJ107" s="769"/>
      <c r="NOK107" s="769"/>
      <c r="NOL107" s="769"/>
      <c r="NOM107" s="769"/>
      <c r="NON107" s="769"/>
      <c r="NOO107" s="769"/>
      <c r="NOP107" s="769"/>
      <c r="NOQ107" s="769"/>
      <c r="NOR107" s="769"/>
      <c r="NOS107" s="769"/>
      <c r="NOT107" s="769"/>
      <c r="NOU107" s="769"/>
      <c r="NOV107" s="769"/>
      <c r="NOW107" s="769"/>
      <c r="NOX107" s="769"/>
      <c r="NOY107" s="769"/>
      <c r="NOZ107" s="769"/>
      <c r="NPA107" s="769"/>
      <c r="NPB107" s="769"/>
      <c r="NPC107" s="769"/>
      <c r="NPD107" s="769"/>
      <c r="NPE107" s="769"/>
      <c r="NPF107" s="769"/>
      <c r="NPG107" s="769"/>
      <c r="NPH107" s="769"/>
      <c r="NPI107" s="769"/>
      <c r="NPJ107" s="769"/>
      <c r="NPK107" s="769"/>
      <c r="NPL107" s="769"/>
      <c r="NPM107" s="769"/>
      <c r="NPN107" s="769"/>
      <c r="NPO107" s="769"/>
      <c r="NPP107" s="769"/>
      <c r="NPQ107" s="769"/>
      <c r="NPR107" s="769"/>
      <c r="NPS107" s="769"/>
      <c r="NPT107" s="769"/>
      <c r="NPU107" s="769"/>
      <c r="NPV107" s="769"/>
      <c r="NPW107" s="769"/>
      <c r="NPX107" s="769"/>
      <c r="NPY107" s="769"/>
      <c r="NPZ107" s="769"/>
      <c r="NQA107" s="769"/>
      <c r="NQB107" s="769"/>
      <c r="NQC107" s="769"/>
      <c r="NQD107" s="769"/>
      <c r="NQE107" s="769"/>
      <c r="NQF107" s="769"/>
      <c r="NQG107" s="769"/>
      <c r="NQH107" s="769"/>
      <c r="NQI107" s="769"/>
      <c r="NQJ107" s="769"/>
      <c r="NQK107" s="769"/>
      <c r="NQL107" s="769"/>
      <c r="NQM107" s="769"/>
      <c r="NQN107" s="769"/>
      <c r="NQO107" s="769"/>
      <c r="NQP107" s="769"/>
      <c r="NQQ107" s="769"/>
      <c r="NQR107" s="769"/>
      <c r="NQS107" s="769"/>
      <c r="NQT107" s="769"/>
      <c r="NQU107" s="769"/>
      <c r="NQV107" s="769"/>
      <c r="NQW107" s="769"/>
      <c r="NQX107" s="769"/>
      <c r="NQY107" s="769"/>
      <c r="NQZ107" s="769"/>
      <c r="NRA107" s="769"/>
      <c r="NRB107" s="769"/>
      <c r="NRC107" s="769"/>
      <c r="NRD107" s="769"/>
      <c r="NRE107" s="769"/>
      <c r="NRF107" s="769"/>
      <c r="NRG107" s="769"/>
      <c r="NRH107" s="769"/>
      <c r="NRI107" s="769"/>
      <c r="NRJ107" s="769"/>
      <c r="NRK107" s="769"/>
      <c r="NRL107" s="769"/>
      <c r="NRM107" s="769"/>
      <c r="NRN107" s="769"/>
      <c r="NRO107" s="769"/>
      <c r="NRP107" s="769"/>
      <c r="NRQ107" s="769"/>
      <c r="NRR107" s="769"/>
      <c r="NRS107" s="769"/>
      <c r="NRT107" s="769"/>
      <c r="NRU107" s="769"/>
      <c r="NRV107" s="769"/>
      <c r="NRW107" s="769"/>
      <c r="NRX107" s="769"/>
      <c r="NRY107" s="769"/>
      <c r="NRZ107" s="769"/>
      <c r="NSA107" s="769"/>
      <c r="NSB107" s="769"/>
      <c r="NSC107" s="769"/>
      <c r="NSD107" s="769"/>
      <c r="NSE107" s="769"/>
      <c r="NSF107" s="769"/>
      <c r="NSG107" s="769"/>
      <c r="NSH107" s="769"/>
      <c r="NSI107" s="769"/>
      <c r="NSJ107" s="769"/>
      <c r="NSK107" s="769"/>
      <c r="NSL107" s="769"/>
      <c r="NSM107" s="769"/>
      <c r="NSN107" s="769"/>
      <c r="NSO107" s="769"/>
      <c r="NSP107" s="769"/>
      <c r="NSQ107" s="769"/>
      <c r="NSR107" s="769"/>
      <c r="NSS107" s="769"/>
      <c r="NST107" s="769"/>
      <c r="NSU107" s="769"/>
      <c r="NSV107" s="769"/>
      <c r="NSW107" s="769"/>
      <c r="NSX107" s="769"/>
      <c r="NSY107" s="769"/>
      <c r="NSZ107" s="769"/>
      <c r="NTA107" s="769"/>
      <c r="NTB107" s="769"/>
      <c r="NTC107" s="769"/>
      <c r="NTD107" s="769"/>
      <c r="NTE107" s="769"/>
      <c r="NTF107" s="769"/>
      <c r="NTG107" s="769"/>
      <c r="NTH107" s="769"/>
      <c r="NTI107" s="769"/>
      <c r="NTJ107" s="769"/>
      <c r="NTK107" s="769"/>
      <c r="NTL107" s="769"/>
      <c r="NTM107" s="769"/>
      <c r="NTN107" s="769"/>
      <c r="NTO107" s="769"/>
      <c r="NTP107" s="769"/>
      <c r="NTQ107" s="769"/>
      <c r="NTR107" s="769"/>
      <c r="NTS107" s="769"/>
      <c r="NTT107" s="769"/>
      <c r="NTU107" s="769"/>
      <c r="NTV107" s="769"/>
      <c r="NTW107" s="769"/>
      <c r="NTX107" s="769"/>
      <c r="NTY107" s="769"/>
      <c r="NTZ107" s="769"/>
      <c r="NUA107" s="769"/>
      <c r="NUB107" s="769"/>
      <c r="NUC107" s="769"/>
      <c r="NUD107" s="769"/>
      <c r="NUE107" s="769"/>
      <c r="NUF107" s="769"/>
      <c r="NUG107" s="769"/>
      <c r="NUH107" s="769"/>
      <c r="NUI107" s="769"/>
      <c r="NUJ107" s="769"/>
      <c r="NUK107" s="769"/>
      <c r="NUL107" s="769"/>
      <c r="NUM107" s="769"/>
      <c r="NUN107" s="769"/>
      <c r="NUO107" s="769"/>
      <c r="NUP107" s="769"/>
      <c r="NUQ107" s="769"/>
      <c r="NUR107" s="769"/>
      <c r="NUS107" s="769"/>
      <c r="NUT107" s="769"/>
      <c r="NUU107" s="769"/>
      <c r="NUV107" s="769"/>
      <c r="NUW107" s="769"/>
      <c r="NUX107" s="769"/>
      <c r="NUY107" s="769"/>
      <c r="NUZ107" s="769"/>
      <c r="NVA107" s="769"/>
      <c r="NVB107" s="769"/>
      <c r="NVC107" s="769"/>
      <c r="NVD107" s="769"/>
      <c r="NVE107" s="769"/>
      <c r="NVF107" s="769"/>
      <c r="NVG107" s="769"/>
      <c r="NVH107" s="769"/>
      <c r="NVI107" s="769"/>
      <c r="NVJ107" s="769"/>
      <c r="NVK107" s="769"/>
      <c r="NVL107" s="769"/>
      <c r="NVM107" s="769"/>
      <c r="NVN107" s="769"/>
      <c r="NVO107" s="769"/>
      <c r="NVP107" s="769"/>
      <c r="NVQ107" s="769"/>
      <c r="NVR107" s="769"/>
      <c r="NVS107" s="769"/>
      <c r="NVT107" s="769"/>
      <c r="NVU107" s="769"/>
      <c r="NVV107" s="769"/>
      <c r="NVW107" s="769"/>
      <c r="NVX107" s="769"/>
      <c r="NVY107" s="769"/>
      <c r="NVZ107" s="769"/>
      <c r="NWA107" s="769"/>
      <c r="NWB107" s="769"/>
      <c r="NWC107" s="769"/>
      <c r="NWD107" s="769"/>
      <c r="NWE107" s="769"/>
      <c r="NWF107" s="769"/>
      <c r="NWG107" s="769"/>
      <c r="NWH107" s="769"/>
      <c r="NWI107" s="769"/>
      <c r="NWJ107" s="769"/>
      <c r="NWK107" s="769"/>
      <c r="NWL107" s="769"/>
      <c r="NWM107" s="769"/>
      <c r="NWN107" s="769"/>
      <c r="NWO107" s="769"/>
      <c r="NWP107" s="769"/>
      <c r="NWQ107" s="769"/>
      <c r="NWR107" s="769"/>
      <c r="NWS107" s="769"/>
      <c r="NWT107" s="769"/>
      <c r="NWU107" s="769"/>
      <c r="NWV107" s="769"/>
      <c r="NWW107" s="769"/>
      <c r="NWX107" s="769"/>
      <c r="NWY107" s="769"/>
      <c r="NWZ107" s="769"/>
      <c r="NXA107" s="769"/>
      <c r="NXB107" s="769"/>
      <c r="NXC107" s="769"/>
      <c r="NXD107" s="769"/>
      <c r="NXE107" s="769"/>
      <c r="NXF107" s="769"/>
      <c r="NXG107" s="769"/>
      <c r="NXH107" s="769"/>
      <c r="NXI107" s="769"/>
      <c r="NXJ107" s="769"/>
      <c r="NXK107" s="769"/>
      <c r="NXL107" s="769"/>
      <c r="NXM107" s="769"/>
      <c r="NXN107" s="769"/>
      <c r="NXO107" s="769"/>
      <c r="NXP107" s="769"/>
      <c r="NXQ107" s="769"/>
      <c r="NXR107" s="769"/>
      <c r="NXS107" s="769"/>
      <c r="NXT107" s="769"/>
      <c r="NXU107" s="769"/>
      <c r="NXV107" s="769"/>
      <c r="NXW107" s="769"/>
      <c r="NXX107" s="769"/>
      <c r="NXY107" s="769"/>
      <c r="NXZ107" s="769"/>
      <c r="NYA107" s="769"/>
      <c r="NYB107" s="769"/>
      <c r="NYC107" s="769"/>
      <c r="NYD107" s="769"/>
      <c r="NYE107" s="769"/>
      <c r="NYF107" s="769"/>
      <c r="NYG107" s="769"/>
      <c r="NYH107" s="769"/>
      <c r="NYI107" s="769"/>
      <c r="NYJ107" s="769"/>
      <c r="NYK107" s="769"/>
      <c r="NYL107" s="769"/>
      <c r="NYM107" s="769"/>
      <c r="NYN107" s="769"/>
      <c r="NYO107" s="769"/>
      <c r="NYP107" s="769"/>
      <c r="NYQ107" s="769"/>
      <c r="NYR107" s="769"/>
      <c r="NYS107" s="769"/>
      <c r="NYT107" s="769"/>
      <c r="NYU107" s="769"/>
      <c r="NYV107" s="769"/>
      <c r="NYW107" s="769"/>
      <c r="NYX107" s="769"/>
      <c r="NYY107" s="769"/>
      <c r="NYZ107" s="769"/>
      <c r="NZA107" s="769"/>
      <c r="NZB107" s="769"/>
      <c r="NZC107" s="769"/>
      <c r="NZD107" s="769"/>
      <c r="NZE107" s="769"/>
      <c r="NZF107" s="769"/>
      <c r="NZG107" s="769"/>
      <c r="NZH107" s="769"/>
      <c r="NZI107" s="769"/>
      <c r="NZJ107" s="769"/>
      <c r="NZK107" s="769"/>
      <c r="NZL107" s="769"/>
      <c r="NZM107" s="769"/>
      <c r="NZN107" s="769"/>
      <c r="NZO107" s="769"/>
      <c r="NZP107" s="769"/>
      <c r="NZQ107" s="769"/>
      <c r="NZR107" s="769"/>
      <c r="NZS107" s="769"/>
      <c r="NZT107" s="769"/>
      <c r="NZU107" s="769"/>
      <c r="NZV107" s="769"/>
      <c r="NZW107" s="769"/>
      <c r="NZX107" s="769"/>
      <c r="NZY107" s="769"/>
      <c r="NZZ107" s="769"/>
      <c r="OAA107" s="769"/>
      <c r="OAB107" s="769"/>
      <c r="OAC107" s="769"/>
      <c r="OAD107" s="769"/>
      <c r="OAE107" s="769"/>
      <c r="OAF107" s="769"/>
      <c r="OAG107" s="769"/>
      <c r="OAH107" s="769"/>
      <c r="OAI107" s="769"/>
      <c r="OAJ107" s="769"/>
      <c r="OAK107" s="769"/>
      <c r="OAL107" s="769"/>
      <c r="OAM107" s="769"/>
      <c r="OAN107" s="769"/>
      <c r="OAO107" s="769"/>
      <c r="OAP107" s="769"/>
      <c r="OAQ107" s="769"/>
      <c r="OAR107" s="769"/>
      <c r="OAS107" s="769"/>
      <c r="OAT107" s="769"/>
      <c r="OAU107" s="769"/>
      <c r="OAV107" s="769"/>
      <c r="OAW107" s="769"/>
      <c r="OAX107" s="769"/>
      <c r="OAY107" s="769"/>
      <c r="OAZ107" s="769"/>
      <c r="OBA107" s="769"/>
      <c r="OBB107" s="769"/>
      <c r="OBC107" s="769"/>
      <c r="OBD107" s="769"/>
      <c r="OBE107" s="769"/>
      <c r="OBF107" s="769"/>
      <c r="OBG107" s="769"/>
      <c r="OBH107" s="769"/>
      <c r="OBI107" s="769"/>
      <c r="OBJ107" s="769"/>
      <c r="OBK107" s="769"/>
      <c r="OBL107" s="769"/>
      <c r="OBM107" s="769"/>
      <c r="OBN107" s="769"/>
      <c r="OBO107" s="769"/>
      <c r="OBP107" s="769"/>
      <c r="OBQ107" s="769"/>
      <c r="OBR107" s="769"/>
      <c r="OBS107" s="769"/>
      <c r="OBT107" s="769"/>
      <c r="OBU107" s="769"/>
      <c r="OBV107" s="769"/>
      <c r="OBW107" s="769"/>
      <c r="OBX107" s="769"/>
      <c r="OBY107" s="769"/>
      <c r="OBZ107" s="769"/>
      <c r="OCA107" s="769"/>
      <c r="OCB107" s="769"/>
      <c r="OCC107" s="769"/>
      <c r="OCD107" s="769"/>
      <c r="OCE107" s="769"/>
      <c r="OCF107" s="769"/>
      <c r="OCG107" s="769"/>
      <c r="OCH107" s="769"/>
      <c r="OCI107" s="769"/>
      <c r="OCJ107" s="769"/>
      <c r="OCK107" s="769"/>
      <c r="OCL107" s="769"/>
      <c r="OCM107" s="769"/>
      <c r="OCN107" s="769"/>
      <c r="OCO107" s="769"/>
      <c r="OCP107" s="769"/>
      <c r="OCQ107" s="769"/>
      <c r="OCR107" s="769"/>
      <c r="OCS107" s="769"/>
      <c r="OCT107" s="769"/>
      <c r="OCU107" s="769"/>
      <c r="OCV107" s="769"/>
      <c r="OCW107" s="769"/>
      <c r="OCX107" s="769"/>
      <c r="OCY107" s="769"/>
      <c r="OCZ107" s="769"/>
      <c r="ODA107" s="769"/>
      <c r="ODB107" s="769"/>
      <c r="ODC107" s="769"/>
      <c r="ODD107" s="769"/>
      <c r="ODE107" s="769"/>
      <c r="ODF107" s="769"/>
      <c r="ODG107" s="769"/>
      <c r="ODH107" s="769"/>
      <c r="ODI107" s="769"/>
      <c r="ODJ107" s="769"/>
      <c r="ODK107" s="769"/>
      <c r="ODL107" s="769"/>
      <c r="ODM107" s="769"/>
      <c r="ODN107" s="769"/>
      <c r="ODO107" s="769"/>
      <c r="ODP107" s="769"/>
      <c r="ODQ107" s="769"/>
      <c r="ODR107" s="769"/>
      <c r="ODS107" s="769"/>
      <c r="ODT107" s="769"/>
      <c r="ODU107" s="769"/>
      <c r="ODV107" s="769"/>
      <c r="ODW107" s="769"/>
      <c r="ODX107" s="769"/>
      <c r="ODY107" s="769"/>
      <c r="ODZ107" s="769"/>
      <c r="OEA107" s="769"/>
      <c r="OEB107" s="769"/>
      <c r="OEC107" s="769"/>
      <c r="OED107" s="769"/>
      <c r="OEE107" s="769"/>
      <c r="OEF107" s="769"/>
      <c r="OEG107" s="769"/>
      <c r="OEH107" s="769"/>
      <c r="OEI107" s="769"/>
      <c r="OEJ107" s="769"/>
      <c r="OEK107" s="769"/>
      <c r="OEL107" s="769"/>
      <c r="OEM107" s="769"/>
      <c r="OEN107" s="769"/>
      <c r="OEO107" s="769"/>
      <c r="OEP107" s="769"/>
      <c r="OEQ107" s="769"/>
      <c r="OER107" s="769"/>
      <c r="OES107" s="769"/>
      <c r="OET107" s="769"/>
      <c r="OEU107" s="769"/>
      <c r="OEV107" s="769"/>
      <c r="OEW107" s="769"/>
      <c r="OEX107" s="769"/>
      <c r="OEY107" s="769"/>
      <c r="OEZ107" s="769"/>
      <c r="OFA107" s="769"/>
      <c r="OFB107" s="769"/>
      <c r="OFC107" s="769"/>
      <c r="OFD107" s="769"/>
      <c r="OFE107" s="769"/>
      <c r="OFF107" s="769"/>
      <c r="OFG107" s="769"/>
      <c r="OFH107" s="769"/>
      <c r="OFI107" s="769"/>
      <c r="OFJ107" s="769"/>
      <c r="OFK107" s="769"/>
      <c r="OFL107" s="769"/>
      <c r="OFM107" s="769"/>
      <c r="OFN107" s="769"/>
      <c r="OFO107" s="769"/>
      <c r="OFP107" s="769"/>
      <c r="OFQ107" s="769"/>
      <c r="OFR107" s="769"/>
      <c r="OFS107" s="769"/>
      <c r="OFT107" s="769"/>
      <c r="OFU107" s="769"/>
      <c r="OFV107" s="769"/>
      <c r="OFW107" s="769"/>
      <c r="OFX107" s="769"/>
      <c r="OFY107" s="769"/>
      <c r="OFZ107" s="769"/>
      <c r="OGA107" s="769"/>
      <c r="OGB107" s="769"/>
      <c r="OGC107" s="769"/>
      <c r="OGD107" s="769"/>
      <c r="OGE107" s="769"/>
      <c r="OGF107" s="769"/>
      <c r="OGG107" s="769"/>
      <c r="OGH107" s="769"/>
      <c r="OGI107" s="769"/>
      <c r="OGJ107" s="769"/>
      <c r="OGK107" s="769"/>
      <c r="OGL107" s="769"/>
      <c r="OGM107" s="769"/>
      <c r="OGN107" s="769"/>
      <c r="OGO107" s="769"/>
      <c r="OGP107" s="769"/>
      <c r="OGQ107" s="769"/>
      <c r="OGR107" s="769"/>
      <c r="OGS107" s="769"/>
      <c r="OGT107" s="769"/>
      <c r="OGU107" s="769"/>
      <c r="OGV107" s="769"/>
      <c r="OGW107" s="769"/>
      <c r="OGX107" s="769"/>
      <c r="OGY107" s="769"/>
      <c r="OGZ107" s="769"/>
      <c r="OHA107" s="769"/>
      <c r="OHB107" s="769"/>
      <c r="OHC107" s="769"/>
      <c r="OHD107" s="769"/>
      <c r="OHE107" s="769"/>
      <c r="OHF107" s="769"/>
      <c r="OHG107" s="769"/>
      <c r="OHH107" s="769"/>
      <c r="OHI107" s="769"/>
      <c r="OHJ107" s="769"/>
      <c r="OHK107" s="769"/>
      <c r="OHL107" s="769"/>
      <c r="OHM107" s="769"/>
      <c r="OHN107" s="769"/>
      <c r="OHO107" s="769"/>
      <c r="OHP107" s="769"/>
      <c r="OHQ107" s="769"/>
      <c r="OHR107" s="769"/>
      <c r="OHS107" s="769"/>
      <c r="OHT107" s="769"/>
      <c r="OHU107" s="769"/>
      <c r="OHV107" s="769"/>
      <c r="OHW107" s="769"/>
      <c r="OHX107" s="769"/>
      <c r="OHY107" s="769"/>
      <c r="OHZ107" s="769"/>
      <c r="OIA107" s="769"/>
      <c r="OIB107" s="769"/>
      <c r="OIC107" s="769"/>
      <c r="OID107" s="769"/>
      <c r="OIE107" s="769"/>
      <c r="OIF107" s="769"/>
      <c r="OIG107" s="769"/>
      <c r="OIH107" s="769"/>
      <c r="OII107" s="769"/>
      <c r="OIJ107" s="769"/>
      <c r="OIK107" s="769"/>
      <c r="OIL107" s="769"/>
      <c r="OIM107" s="769"/>
      <c r="OIN107" s="769"/>
      <c r="OIO107" s="769"/>
      <c r="OIP107" s="769"/>
      <c r="OIQ107" s="769"/>
      <c r="OIR107" s="769"/>
      <c r="OIS107" s="769"/>
      <c r="OIT107" s="769"/>
      <c r="OIU107" s="769"/>
      <c r="OIV107" s="769"/>
      <c r="OIW107" s="769"/>
      <c r="OIX107" s="769"/>
      <c r="OIY107" s="769"/>
      <c r="OIZ107" s="769"/>
      <c r="OJA107" s="769"/>
      <c r="OJB107" s="769"/>
      <c r="OJC107" s="769"/>
      <c r="OJD107" s="769"/>
      <c r="OJE107" s="769"/>
      <c r="OJF107" s="769"/>
      <c r="OJG107" s="769"/>
      <c r="OJH107" s="769"/>
      <c r="OJI107" s="769"/>
      <c r="OJJ107" s="769"/>
      <c r="OJK107" s="769"/>
      <c r="OJL107" s="769"/>
      <c r="OJM107" s="769"/>
      <c r="OJN107" s="769"/>
      <c r="OJO107" s="769"/>
      <c r="OJP107" s="769"/>
      <c r="OJQ107" s="769"/>
      <c r="OJR107" s="769"/>
      <c r="OJS107" s="769"/>
      <c r="OJT107" s="769"/>
      <c r="OJU107" s="769"/>
      <c r="OJV107" s="769"/>
      <c r="OJW107" s="769"/>
      <c r="OJX107" s="769"/>
      <c r="OJY107" s="769"/>
      <c r="OJZ107" s="769"/>
      <c r="OKA107" s="769"/>
      <c r="OKB107" s="769"/>
      <c r="OKC107" s="769"/>
      <c r="OKD107" s="769"/>
      <c r="OKE107" s="769"/>
      <c r="OKF107" s="769"/>
      <c r="OKG107" s="769"/>
      <c r="OKH107" s="769"/>
      <c r="OKI107" s="769"/>
      <c r="OKJ107" s="769"/>
      <c r="OKK107" s="769"/>
      <c r="OKL107" s="769"/>
      <c r="OKM107" s="769"/>
      <c r="OKN107" s="769"/>
      <c r="OKO107" s="769"/>
      <c r="OKP107" s="769"/>
      <c r="OKQ107" s="769"/>
      <c r="OKR107" s="769"/>
      <c r="OKS107" s="769"/>
      <c r="OKT107" s="769"/>
      <c r="OKU107" s="769"/>
      <c r="OKV107" s="769"/>
      <c r="OKW107" s="769"/>
      <c r="OKX107" s="769"/>
      <c r="OKY107" s="769"/>
      <c r="OKZ107" s="769"/>
      <c r="OLA107" s="769"/>
      <c r="OLB107" s="769"/>
      <c r="OLC107" s="769"/>
      <c r="OLD107" s="769"/>
      <c r="OLE107" s="769"/>
      <c r="OLF107" s="769"/>
      <c r="OLG107" s="769"/>
      <c r="OLH107" s="769"/>
      <c r="OLI107" s="769"/>
      <c r="OLJ107" s="769"/>
      <c r="OLK107" s="769"/>
      <c r="OLL107" s="769"/>
      <c r="OLM107" s="769"/>
      <c r="OLN107" s="769"/>
      <c r="OLO107" s="769"/>
      <c r="OLP107" s="769"/>
      <c r="OLQ107" s="769"/>
      <c r="OLR107" s="769"/>
      <c r="OLS107" s="769"/>
      <c r="OLT107" s="769"/>
      <c r="OLU107" s="769"/>
      <c r="OLV107" s="769"/>
      <c r="OLW107" s="769"/>
      <c r="OLX107" s="769"/>
      <c r="OLY107" s="769"/>
      <c r="OLZ107" s="769"/>
      <c r="OMA107" s="769"/>
      <c r="OMB107" s="769"/>
      <c r="OMC107" s="769"/>
      <c r="OMD107" s="769"/>
      <c r="OME107" s="769"/>
      <c r="OMF107" s="769"/>
      <c r="OMG107" s="769"/>
      <c r="OMH107" s="769"/>
      <c r="OMI107" s="769"/>
      <c r="OMJ107" s="769"/>
      <c r="OMK107" s="769"/>
      <c r="OML107" s="769"/>
      <c r="OMM107" s="769"/>
      <c r="OMN107" s="769"/>
      <c r="OMO107" s="769"/>
      <c r="OMP107" s="769"/>
      <c r="OMQ107" s="769"/>
      <c r="OMR107" s="769"/>
      <c r="OMS107" s="769"/>
      <c r="OMT107" s="769"/>
      <c r="OMU107" s="769"/>
      <c r="OMV107" s="769"/>
      <c r="OMW107" s="769"/>
      <c r="OMX107" s="769"/>
      <c r="OMY107" s="769"/>
      <c r="OMZ107" s="769"/>
      <c r="ONA107" s="769"/>
      <c r="ONB107" s="769"/>
      <c r="ONC107" s="769"/>
      <c r="OND107" s="769"/>
      <c r="ONE107" s="769"/>
      <c r="ONF107" s="769"/>
      <c r="ONG107" s="769"/>
      <c r="ONH107" s="769"/>
      <c r="ONI107" s="769"/>
      <c r="ONJ107" s="769"/>
      <c r="ONK107" s="769"/>
      <c r="ONL107" s="769"/>
      <c r="ONM107" s="769"/>
      <c r="ONN107" s="769"/>
      <c r="ONO107" s="769"/>
      <c r="ONP107" s="769"/>
      <c r="ONQ107" s="769"/>
      <c r="ONR107" s="769"/>
      <c r="ONS107" s="769"/>
      <c r="ONT107" s="769"/>
      <c r="ONU107" s="769"/>
      <c r="ONV107" s="769"/>
      <c r="ONW107" s="769"/>
      <c r="ONX107" s="769"/>
      <c r="ONY107" s="769"/>
      <c r="ONZ107" s="769"/>
      <c r="OOA107" s="769"/>
      <c r="OOB107" s="769"/>
      <c r="OOC107" s="769"/>
      <c r="OOD107" s="769"/>
      <c r="OOE107" s="769"/>
      <c r="OOF107" s="769"/>
      <c r="OOG107" s="769"/>
      <c r="OOH107" s="769"/>
      <c r="OOI107" s="769"/>
      <c r="OOJ107" s="769"/>
      <c r="OOK107" s="769"/>
      <c r="OOL107" s="769"/>
      <c r="OOM107" s="769"/>
      <c r="OON107" s="769"/>
      <c r="OOO107" s="769"/>
      <c r="OOP107" s="769"/>
      <c r="OOQ107" s="769"/>
      <c r="OOR107" s="769"/>
      <c r="OOS107" s="769"/>
      <c r="OOT107" s="769"/>
      <c r="OOU107" s="769"/>
      <c r="OOV107" s="769"/>
      <c r="OOW107" s="769"/>
      <c r="OOX107" s="769"/>
      <c r="OOY107" s="769"/>
      <c r="OOZ107" s="769"/>
      <c r="OPA107" s="769"/>
      <c r="OPB107" s="769"/>
      <c r="OPC107" s="769"/>
      <c r="OPD107" s="769"/>
      <c r="OPE107" s="769"/>
      <c r="OPF107" s="769"/>
      <c r="OPG107" s="769"/>
      <c r="OPH107" s="769"/>
      <c r="OPI107" s="769"/>
      <c r="OPJ107" s="769"/>
      <c r="OPK107" s="769"/>
      <c r="OPL107" s="769"/>
      <c r="OPM107" s="769"/>
      <c r="OPN107" s="769"/>
      <c r="OPO107" s="769"/>
      <c r="OPP107" s="769"/>
      <c r="OPQ107" s="769"/>
      <c r="OPR107" s="769"/>
      <c r="OPS107" s="769"/>
      <c r="OPT107" s="769"/>
      <c r="OPU107" s="769"/>
      <c r="OPV107" s="769"/>
      <c r="OPW107" s="769"/>
      <c r="OPX107" s="769"/>
      <c r="OPY107" s="769"/>
      <c r="OPZ107" s="769"/>
      <c r="OQA107" s="769"/>
      <c r="OQB107" s="769"/>
      <c r="OQC107" s="769"/>
      <c r="OQD107" s="769"/>
      <c r="OQE107" s="769"/>
      <c r="OQF107" s="769"/>
      <c r="OQG107" s="769"/>
      <c r="OQH107" s="769"/>
      <c r="OQI107" s="769"/>
      <c r="OQJ107" s="769"/>
      <c r="OQK107" s="769"/>
      <c r="OQL107" s="769"/>
      <c r="OQM107" s="769"/>
      <c r="OQN107" s="769"/>
      <c r="OQO107" s="769"/>
      <c r="OQP107" s="769"/>
      <c r="OQQ107" s="769"/>
      <c r="OQR107" s="769"/>
      <c r="OQS107" s="769"/>
      <c r="OQT107" s="769"/>
      <c r="OQU107" s="769"/>
      <c r="OQV107" s="769"/>
      <c r="OQW107" s="769"/>
      <c r="OQX107" s="769"/>
      <c r="OQY107" s="769"/>
      <c r="OQZ107" s="769"/>
      <c r="ORA107" s="769"/>
      <c r="ORB107" s="769"/>
      <c r="ORC107" s="769"/>
      <c r="ORD107" s="769"/>
      <c r="ORE107" s="769"/>
      <c r="ORF107" s="769"/>
      <c r="ORG107" s="769"/>
      <c r="ORH107" s="769"/>
      <c r="ORI107" s="769"/>
      <c r="ORJ107" s="769"/>
      <c r="ORK107" s="769"/>
      <c r="ORL107" s="769"/>
      <c r="ORM107" s="769"/>
      <c r="ORN107" s="769"/>
      <c r="ORO107" s="769"/>
      <c r="ORP107" s="769"/>
      <c r="ORQ107" s="769"/>
      <c r="ORR107" s="769"/>
      <c r="ORS107" s="769"/>
      <c r="ORT107" s="769"/>
      <c r="ORU107" s="769"/>
      <c r="ORV107" s="769"/>
      <c r="ORW107" s="769"/>
      <c r="ORX107" s="769"/>
      <c r="ORY107" s="769"/>
      <c r="ORZ107" s="769"/>
      <c r="OSA107" s="769"/>
      <c r="OSB107" s="769"/>
      <c r="OSC107" s="769"/>
      <c r="OSD107" s="769"/>
      <c r="OSE107" s="769"/>
      <c r="OSF107" s="769"/>
      <c r="OSG107" s="769"/>
      <c r="OSH107" s="769"/>
      <c r="OSI107" s="769"/>
      <c r="OSJ107" s="769"/>
      <c r="OSK107" s="769"/>
      <c r="OSL107" s="769"/>
      <c r="OSM107" s="769"/>
      <c r="OSN107" s="769"/>
      <c r="OSO107" s="769"/>
      <c r="OSP107" s="769"/>
      <c r="OSQ107" s="769"/>
      <c r="OSR107" s="769"/>
      <c r="OSS107" s="769"/>
      <c r="OST107" s="769"/>
      <c r="OSU107" s="769"/>
      <c r="OSV107" s="769"/>
      <c r="OSW107" s="769"/>
      <c r="OSX107" s="769"/>
      <c r="OSY107" s="769"/>
      <c r="OSZ107" s="769"/>
      <c r="OTA107" s="769"/>
      <c r="OTB107" s="769"/>
      <c r="OTC107" s="769"/>
      <c r="OTD107" s="769"/>
      <c r="OTE107" s="769"/>
      <c r="OTF107" s="769"/>
      <c r="OTG107" s="769"/>
      <c r="OTH107" s="769"/>
      <c r="OTI107" s="769"/>
      <c r="OTJ107" s="769"/>
      <c r="OTK107" s="769"/>
      <c r="OTL107" s="769"/>
      <c r="OTM107" s="769"/>
      <c r="OTN107" s="769"/>
      <c r="OTO107" s="769"/>
      <c r="OTP107" s="769"/>
      <c r="OTQ107" s="769"/>
      <c r="OTR107" s="769"/>
      <c r="OTS107" s="769"/>
      <c r="OTT107" s="769"/>
      <c r="OTU107" s="769"/>
      <c r="OTV107" s="769"/>
      <c r="OTW107" s="769"/>
      <c r="OTX107" s="769"/>
      <c r="OTY107" s="769"/>
      <c r="OTZ107" s="769"/>
      <c r="OUA107" s="769"/>
      <c r="OUB107" s="769"/>
      <c r="OUC107" s="769"/>
      <c r="OUD107" s="769"/>
      <c r="OUE107" s="769"/>
      <c r="OUF107" s="769"/>
      <c r="OUG107" s="769"/>
      <c r="OUH107" s="769"/>
      <c r="OUI107" s="769"/>
      <c r="OUJ107" s="769"/>
      <c r="OUK107" s="769"/>
      <c r="OUL107" s="769"/>
      <c r="OUM107" s="769"/>
      <c r="OUN107" s="769"/>
      <c r="OUO107" s="769"/>
      <c r="OUP107" s="769"/>
      <c r="OUQ107" s="769"/>
      <c r="OUR107" s="769"/>
      <c r="OUS107" s="769"/>
      <c r="OUT107" s="769"/>
      <c r="OUU107" s="769"/>
      <c r="OUV107" s="769"/>
      <c r="OUW107" s="769"/>
      <c r="OUX107" s="769"/>
      <c r="OUY107" s="769"/>
      <c r="OUZ107" s="769"/>
      <c r="OVA107" s="769"/>
      <c r="OVB107" s="769"/>
      <c r="OVC107" s="769"/>
      <c r="OVD107" s="769"/>
      <c r="OVE107" s="769"/>
      <c r="OVF107" s="769"/>
      <c r="OVG107" s="769"/>
      <c r="OVH107" s="769"/>
      <c r="OVI107" s="769"/>
      <c r="OVJ107" s="769"/>
      <c r="OVK107" s="769"/>
      <c r="OVL107" s="769"/>
      <c r="OVM107" s="769"/>
      <c r="OVN107" s="769"/>
      <c r="OVO107" s="769"/>
      <c r="OVP107" s="769"/>
      <c r="OVQ107" s="769"/>
      <c r="OVR107" s="769"/>
      <c r="OVS107" s="769"/>
      <c r="OVT107" s="769"/>
      <c r="OVU107" s="769"/>
      <c r="OVV107" s="769"/>
      <c r="OVW107" s="769"/>
      <c r="OVX107" s="769"/>
      <c r="OVY107" s="769"/>
      <c r="OVZ107" s="769"/>
      <c r="OWA107" s="769"/>
      <c r="OWB107" s="769"/>
      <c r="OWC107" s="769"/>
      <c r="OWD107" s="769"/>
      <c r="OWE107" s="769"/>
      <c r="OWF107" s="769"/>
      <c r="OWG107" s="769"/>
      <c r="OWH107" s="769"/>
      <c r="OWI107" s="769"/>
      <c r="OWJ107" s="769"/>
      <c r="OWK107" s="769"/>
      <c r="OWL107" s="769"/>
      <c r="OWM107" s="769"/>
      <c r="OWN107" s="769"/>
      <c r="OWO107" s="769"/>
      <c r="OWP107" s="769"/>
      <c r="OWQ107" s="769"/>
      <c r="OWR107" s="769"/>
      <c r="OWS107" s="769"/>
      <c r="OWT107" s="769"/>
      <c r="OWU107" s="769"/>
      <c r="OWV107" s="769"/>
      <c r="OWW107" s="769"/>
      <c r="OWX107" s="769"/>
      <c r="OWY107" s="769"/>
      <c r="OWZ107" s="769"/>
      <c r="OXA107" s="769"/>
      <c r="OXB107" s="769"/>
      <c r="OXC107" s="769"/>
      <c r="OXD107" s="769"/>
      <c r="OXE107" s="769"/>
      <c r="OXF107" s="769"/>
      <c r="OXG107" s="769"/>
      <c r="OXH107" s="769"/>
      <c r="OXI107" s="769"/>
      <c r="OXJ107" s="769"/>
      <c r="OXK107" s="769"/>
      <c r="OXL107" s="769"/>
      <c r="OXM107" s="769"/>
      <c r="OXN107" s="769"/>
      <c r="OXO107" s="769"/>
      <c r="OXP107" s="769"/>
      <c r="OXQ107" s="769"/>
      <c r="OXR107" s="769"/>
      <c r="OXS107" s="769"/>
      <c r="OXT107" s="769"/>
      <c r="OXU107" s="769"/>
      <c r="OXV107" s="769"/>
      <c r="OXW107" s="769"/>
      <c r="OXX107" s="769"/>
      <c r="OXY107" s="769"/>
      <c r="OXZ107" s="769"/>
      <c r="OYA107" s="769"/>
      <c r="OYB107" s="769"/>
      <c r="OYC107" s="769"/>
      <c r="OYD107" s="769"/>
      <c r="OYE107" s="769"/>
      <c r="OYF107" s="769"/>
      <c r="OYG107" s="769"/>
      <c r="OYH107" s="769"/>
      <c r="OYI107" s="769"/>
      <c r="OYJ107" s="769"/>
      <c r="OYK107" s="769"/>
      <c r="OYL107" s="769"/>
      <c r="OYM107" s="769"/>
      <c r="OYN107" s="769"/>
      <c r="OYO107" s="769"/>
      <c r="OYP107" s="769"/>
      <c r="OYQ107" s="769"/>
      <c r="OYR107" s="769"/>
      <c r="OYS107" s="769"/>
      <c r="OYT107" s="769"/>
      <c r="OYU107" s="769"/>
      <c r="OYV107" s="769"/>
      <c r="OYW107" s="769"/>
      <c r="OYX107" s="769"/>
      <c r="OYY107" s="769"/>
      <c r="OYZ107" s="769"/>
      <c r="OZA107" s="769"/>
      <c r="OZB107" s="769"/>
      <c r="OZC107" s="769"/>
      <c r="OZD107" s="769"/>
      <c r="OZE107" s="769"/>
      <c r="OZF107" s="769"/>
      <c r="OZG107" s="769"/>
      <c r="OZH107" s="769"/>
      <c r="OZI107" s="769"/>
      <c r="OZJ107" s="769"/>
      <c r="OZK107" s="769"/>
      <c r="OZL107" s="769"/>
      <c r="OZM107" s="769"/>
      <c r="OZN107" s="769"/>
      <c r="OZO107" s="769"/>
      <c r="OZP107" s="769"/>
      <c r="OZQ107" s="769"/>
      <c r="OZR107" s="769"/>
      <c r="OZS107" s="769"/>
      <c r="OZT107" s="769"/>
      <c r="OZU107" s="769"/>
      <c r="OZV107" s="769"/>
      <c r="OZW107" s="769"/>
      <c r="OZX107" s="769"/>
      <c r="OZY107" s="769"/>
      <c r="OZZ107" s="769"/>
      <c r="PAA107" s="769"/>
      <c r="PAB107" s="769"/>
      <c r="PAC107" s="769"/>
      <c r="PAD107" s="769"/>
      <c r="PAE107" s="769"/>
      <c r="PAF107" s="769"/>
      <c r="PAG107" s="769"/>
      <c r="PAH107" s="769"/>
      <c r="PAI107" s="769"/>
      <c r="PAJ107" s="769"/>
      <c r="PAK107" s="769"/>
      <c r="PAL107" s="769"/>
      <c r="PAM107" s="769"/>
      <c r="PAN107" s="769"/>
      <c r="PAO107" s="769"/>
      <c r="PAP107" s="769"/>
      <c r="PAQ107" s="769"/>
      <c r="PAR107" s="769"/>
      <c r="PAS107" s="769"/>
      <c r="PAT107" s="769"/>
      <c r="PAU107" s="769"/>
      <c r="PAV107" s="769"/>
      <c r="PAW107" s="769"/>
      <c r="PAX107" s="769"/>
      <c r="PAY107" s="769"/>
      <c r="PAZ107" s="769"/>
      <c r="PBA107" s="769"/>
      <c r="PBB107" s="769"/>
      <c r="PBC107" s="769"/>
      <c r="PBD107" s="769"/>
      <c r="PBE107" s="769"/>
      <c r="PBF107" s="769"/>
      <c r="PBG107" s="769"/>
      <c r="PBH107" s="769"/>
      <c r="PBI107" s="769"/>
      <c r="PBJ107" s="769"/>
      <c r="PBK107" s="769"/>
      <c r="PBL107" s="769"/>
      <c r="PBM107" s="769"/>
      <c r="PBN107" s="769"/>
      <c r="PBO107" s="769"/>
      <c r="PBP107" s="769"/>
      <c r="PBQ107" s="769"/>
      <c r="PBR107" s="769"/>
      <c r="PBS107" s="769"/>
      <c r="PBT107" s="769"/>
      <c r="PBU107" s="769"/>
      <c r="PBV107" s="769"/>
      <c r="PBW107" s="769"/>
      <c r="PBX107" s="769"/>
      <c r="PBY107" s="769"/>
      <c r="PBZ107" s="769"/>
      <c r="PCA107" s="769"/>
      <c r="PCB107" s="769"/>
      <c r="PCC107" s="769"/>
      <c r="PCD107" s="769"/>
      <c r="PCE107" s="769"/>
      <c r="PCF107" s="769"/>
      <c r="PCG107" s="769"/>
      <c r="PCH107" s="769"/>
      <c r="PCI107" s="769"/>
      <c r="PCJ107" s="769"/>
      <c r="PCK107" s="769"/>
      <c r="PCL107" s="769"/>
      <c r="PCM107" s="769"/>
      <c r="PCN107" s="769"/>
      <c r="PCO107" s="769"/>
      <c r="PCP107" s="769"/>
      <c r="PCQ107" s="769"/>
      <c r="PCR107" s="769"/>
      <c r="PCS107" s="769"/>
      <c r="PCT107" s="769"/>
      <c r="PCU107" s="769"/>
      <c r="PCV107" s="769"/>
      <c r="PCW107" s="769"/>
      <c r="PCX107" s="769"/>
      <c r="PCY107" s="769"/>
      <c r="PCZ107" s="769"/>
      <c r="PDA107" s="769"/>
      <c r="PDB107" s="769"/>
      <c r="PDC107" s="769"/>
      <c r="PDD107" s="769"/>
      <c r="PDE107" s="769"/>
      <c r="PDF107" s="769"/>
      <c r="PDG107" s="769"/>
      <c r="PDH107" s="769"/>
      <c r="PDI107" s="769"/>
      <c r="PDJ107" s="769"/>
      <c r="PDK107" s="769"/>
      <c r="PDL107" s="769"/>
      <c r="PDM107" s="769"/>
      <c r="PDN107" s="769"/>
      <c r="PDO107" s="769"/>
      <c r="PDP107" s="769"/>
      <c r="PDQ107" s="769"/>
      <c r="PDR107" s="769"/>
      <c r="PDS107" s="769"/>
      <c r="PDT107" s="769"/>
      <c r="PDU107" s="769"/>
      <c r="PDV107" s="769"/>
      <c r="PDW107" s="769"/>
      <c r="PDX107" s="769"/>
      <c r="PDY107" s="769"/>
      <c r="PDZ107" s="769"/>
      <c r="PEA107" s="769"/>
      <c r="PEB107" s="769"/>
      <c r="PEC107" s="769"/>
      <c r="PED107" s="769"/>
      <c r="PEE107" s="769"/>
      <c r="PEF107" s="769"/>
      <c r="PEG107" s="769"/>
      <c r="PEH107" s="769"/>
      <c r="PEI107" s="769"/>
      <c r="PEJ107" s="769"/>
      <c r="PEK107" s="769"/>
      <c r="PEL107" s="769"/>
      <c r="PEM107" s="769"/>
      <c r="PEN107" s="769"/>
      <c r="PEO107" s="769"/>
      <c r="PEP107" s="769"/>
      <c r="PEQ107" s="769"/>
      <c r="PER107" s="769"/>
      <c r="PES107" s="769"/>
      <c r="PET107" s="769"/>
      <c r="PEU107" s="769"/>
      <c r="PEV107" s="769"/>
      <c r="PEW107" s="769"/>
      <c r="PEX107" s="769"/>
      <c r="PEY107" s="769"/>
      <c r="PEZ107" s="769"/>
      <c r="PFA107" s="769"/>
      <c r="PFB107" s="769"/>
      <c r="PFC107" s="769"/>
      <c r="PFD107" s="769"/>
      <c r="PFE107" s="769"/>
      <c r="PFF107" s="769"/>
      <c r="PFG107" s="769"/>
      <c r="PFH107" s="769"/>
      <c r="PFI107" s="769"/>
      <c r="PFJ107" s="769"/>
      <c r="PFK107" s="769"/>
      <c r="PFL107" s="769"/>
      <c r="PFM107" s="769"/>
      <c r="PFN107" s="769"/>
      <c r="PFO107" s="769"/>
      <c r="PFP107" s="769"/>
      <c r="PFQ107" s="769"/>
      <c r="PFR107" s="769"/>
      <c r="PFS107" s="769"/>
      <c r="PFT107" s="769"/>
      <c r="PFU107" s="769"/>
      <c r="PFV107" s="769"/>
      <c r="PFW107" s="769"/>
      <c r="PFX107" s="769"/>
      <c r="PFY107" s="769"/>
      <c r="PFZ107" s="769"/>
      <c r="PGA107" s="769"/>
      <c r="PGB107" s="769"/>
      <c r="PGC107" s="769"/>
      <c r="PGD107" s="769"/>
      <c r="PGE107" s="769"/>
      <c r="PGF107" s="769"/>
      <c r="PGG107" s="769"/>
      <c r="PGH107" s="769"/>
      <c r="PGI107" s="769"/>
      <c r="PGJ107" s="769"/>
      <c r="PGK107" s="769"/>
      <c r="PGL107" s="769"/>
      <c r="PGM107" s="769"/>
      <c r="PGN107" s="769"/>
      <c r="PGO107" s="769"/>
      <c r="PGP107" s="769"/>
      <c r="PGQ107" s="769"/>
      <c r="PGR107" s="769"/>
      <c r="PGS107" s="769"/>
      <c r="PGT107" s="769"/>
      <c r="PGU107" s="769"/>
      <c r="PGV107" s="769"/>
      <c r="PGW107" s="769"/>
      <c r="PGX107" s="769"/>
      <c r="PGY107" s="769"/>
      <c r="PGZ107" s="769"/>
      <c r="PHA107" s="769"/>
      <c r="PHB107" s="769"/>
      <c r="PHC107" s="769"/>
      <c r="PHD107" s="769"/>
      <c r="PHE107" s="769"/>
      <c r="PHF107" s="769"/>
      <c r="PHG107" s="769"/>
      <c r="PHH107" s="769"/>
      <c r="PHI107" s="769"/>
      <c r="PHJ107" s="769"/>
      <c r="PHK107" s="769"/>
      <c r="PHL107" s="769"/>
      <c r="PHM107" s="769"/>
      <c r="PHN107" s="769"/>
      <c r="PHO107" s="769"/>
      <c r="PHP107" s="769"/>
      <c r="PHQ107" s="769"/>
      <c r="PHR107" s="769"/>
      <c r="PHS107" s="769"/>
      <c r="PHT107" s="769"/>
      <c r="PHU107" s="769"/>
      <c r="PHV107" s="769"/>
      <c r="PHW107" s="769"/>
      <c r="PHX107" s="769"/>
      <c r="PHY107" s="769"/>
      <c r="PHZ107" s="769"/>
      <c r="PIA107" s="769"/>
      <c r="PIB107" s="769"/>
      <c r="PIC107" s="769"/>
      <c r="PID107" s="769"/>
      <c r="PIE107" s="769"/>
      <c r="PIF107" s="769"/>
      <c r="PIG107" s="769"/>
      <c r="PIH107" s="769"/>
      <c r="PII107" s="769"/>
      <c r="PIJ107" s="769"/>
      <c r="PIK107" s="769"/>
      <c r="PIL107" s="769"/>
      <c r="PIM107" s="769"/>
      <c r="PIN107" s="769"/>
      <c r="PIO107" s="769"/>
      <c r="PIP107" s="769"/>
      <c r="PIQ107" s="769"/>
      <c r="PIR107" s="769"/>
      <c r="PIS107" s="769"/>
      <c r="PIT107" s="769"/>
      <c r="PIU107" s="769"/>
      <c r="PIV107" s="769"/>
      <c r="PIW107" s="769"/>
      <c r="PIX107" s="769"/>
      <c r="PIY107" s="769"/>
      <c r="PIZ107" s="769"/>
      <c r="PJA107" s="769"/>
      <c r="PJB107" s="769"/>
      <c r="PJC107" s="769"/>
      <c r="PJD107" s="769"/>
      <c r="PJE107" s="769"/>
      <c r="PJF107" s="769"/>
      <c r="PJG107" s="769"/>
      <c r="PJH107" s="769"/>
      <c r="PJI107" s="769"/>
      <c r="PJJ107" s="769"/>
      <c r="PJK107" s="769"/>
      <c r="PJL107" s="769"/>
      <c r="PJM107" s="769"/>
      <c r="PJN107" s="769"/>
      <c r="PJO107" s="769"/>
      <c r="PJP107" s="769"/>
      <c r="PJQ107" s="769"/>
      <c r="PJR107" s="769"/>
      <c r="PJS107" s="769"/>
      <c r="PJT107" s="769"/>
      <c r="PJU107" s="769"/>
      <c r="PJV107" s="769"/>
      <c r="PJW107" s="769"/>
      <c r="PJX107" s="769"/>
      <c r="PJY107" s="769"/>
      <c r="PJZ107" s="769"/>
      <c r="PKA107" s="769"/>
      <c r="PKB107" s="769"/>
      <c r="PKC107" s="769"/>
      <c r="PKD107" s="769"/>
      <c r="PKE107" s="769"/>
      <c r="PKF107" s="769"/>
      <c r="PKG107" s="769"/>
      <c r="PKH107" s="769"/>
      <c r="PKI107" s="769"/>
      <c r="PKJ107" s="769"/>
      <c r="PKK107" s="769"/>
      <c r="PKL107" s="769"/>
      <c r="PKM107" s="769"/>
      <c r="PKN107" s="769"/>
      <c r="PKO107" s="769"/>
      <c r="PKP107" s="769"/>
      <c r="PKQ107" s="769"/>
      <c r="PKR107" s="769"/>
      <c r="PKS107" s="769"/>
      <c r="PKT107" s="769"/>
      <c r="PKU107" s="769"/>
      <c r="PKV107" s="769"/>
      <c r="PKW107" s="769"/>
      <c r="PKX107" s="769"/>
      <c r="PKY107" s="769"/>
      <c r="PKZ107" s="769"/>
      <c r="PLA107" s="769"/>
      <c r="PLB107" s="769"/>
      <c r="PLC107" s="769"/>
      <c r="PLD107" s="769"/>
      <c r="PLE107" s="769"/>
      <c r="PLF107" s="769"/>
      <c r="PLG107" s="769"/>
      <c r="PLH107" s="769"/>
      <c r="PLI107" s="769"/>
      <c r="PLJ107" s="769"/>
      <c r="PLK107" s="769"/>
      <c r="PLL107" s="769"/>
      <c r="PLM107" s="769"/>
      <c r="PLN107" s="769"/>
      <c r="PLO107" s="769"/>
      <c r="PLP107" s="769"/>
      <c r="PLQ107" s="769"/>
      <c r="PLR107" s="769"/>
      <c r="PLS107" s="769"/>
      <c r="PLT107" s="769"/>
      <c r="PLU107" s="769"/>
      <c r="PLV107" s="769"/>
      <c r="PLW107" s="769"/>
      <c r="PLX107" s="769"/>
      <c r="PLY107" s="769"/>
      <c r="PLZ107" s="769"/>
      <c r="PMA107" s="769"/>
      <c r="PMB107" s="769"/>
      <c r="PMC107" s="769"/>
      <c r="PMD107" s="769"/>
      <c r="PME107" s="769"/>
      <c r="PMF107" s="769"/>
      <c r="PMG107" s="769"/>
      <c r="PMH107" s="769"/>
      <c r="PMI107" s="769"/>
      <c r="PMJ107" s="769"/>
      <c r="PMK107" s="769"/>
      <c r="PML107" s="769"/>
      <c r="PMM107" s="769"/>
      <c r="PMN107" s="769"/>
      <c r="PMO107" s="769"/>
      <c r="PMP107" s="769"/>
      <c r="PMQ107" s="769"/>
      <c r="PMR107" s="769"/>
      <c r="PMS107" s="769"/>
      <c r="PMT107" s="769"/>
      <c r="PMU107" s="769"/>
      <c r="PMV107" s="769"/>
      <c r="PMW107" s="769"/>
      <c r="PMX107" s="769"/>
      <c r="PMY107" s="769"/>
      <c r="PMZ107" s="769"/>
      <c r="PNA107" s="769"/>
      <c r="PNB107" s="769"/>
      <c r="PNC107" s="769"/>
      <c r="PND107" s="769"/>
      <c r="PNE107" s="769"/>
      <c r="PNF107" s="769"/>
      <c r="PNG107" s="769"/>
      <c r="PNH107" s="769"/>
      <c r="PNI107" s="769"/>
      <c r="PNJ107" s="769"/>
      <c r="PNK107" s="769"/>
      <c r="PNL107" s="769"/>
      <c r="PNM107" s="769"/>
      <c r="PNN107" s="769"/>
      <c r="PNO107" s="769"/>
      <c r="PNP107" s="769"/>
      <c r="PNQ107" s="769"/>
      <c r="PNR107" s="769"/>
      <c r="PNS107" s="769"/>
      <c r="PNT107" s="769"/>
      <c r="PNU107" s="769"/>
      <c r="PNV107" s="769"/>
      <c r="PNW107" s="769"/>
      <c r="PNX107" s="769"/>
      <c r="PNY107" s="769"/>
      <c r="PNZ107" s="769"/>
      <c r="POA107" s="769"/>
      <c r="POB107" s="769"/>
      <c r="POC107" s="769"/>
      <c r="POD107" s="769"/>
      <c r="POE107" s="769"/>
      <c r="POF107" s="769"/>
      <c r="POG107" s="769"/>
      <c r="POH107" s="769"/>
      <c r="POI107" s="769"/>
      <c r="POJ107" s="769"/>
      <c r="POK107" s="769"/>
      <c r="POL107" s="769"/>
      <c r="POM107" s="769"/>
      <c r="PON107" s="769"/>
      <c r="POO107" s="769"/>
      <c r="POP107" s="769"/>
      <c r="POQ107" s="769"/>
      <c r="POR107" s="769"/>
      <c r="POS107" s="769"/>
      <c r="POT107" s="769"/>
      <c r="POU107" s="769"/>
      <c r="POV107" s="769"/>
      <c r="POW107" s="769"/>
      <c r="POX107" s="769"/>
      <c r="POY107" s="769"/>
      <c r="POZ107" s="769"/>
      <c r="PPA107" s="769"/>
      <c r="PPB107" s="769"/>
      <c r="PPC107" s="769"/>
      <c r="PPD107" s="769"/>
      <c r="PPE107" s="769"/>
      <c r="PPF107" s="769"/>
      <c r="PPG107" s="769"/>
      <c r="PPH107" s="769"/>
      <c r="PPI107" s="769"/>
      <c r="PPJ107" s="769"/>
      <c r="PPK107" s="769"/>
      <c r="PPL107" s="769"/>
      <c r="PPM107" s="769"/>
      <c r="PPN107" s="769"/>
      <c r="PPO107" s="769"/>
      <c r="PPP107" s="769"/>
      <c r="PPQ107" s="769"/>
      <c r="PPR107" s="769"/>
      <c r="PPS107" s="769"/>
      <c r="PPT107" s="769"/>
      <c r="PPU107" s="769"/>
      <c r="PPV107" s="769"/>
      <c r="PPW107" s="769"/>
      <c r="PPX107" s="769"/>
      <c r="PPY107" s="769"/>
      <c r="PPZ107" s="769"/>
      <c r="PQA107" s="769"/>
      <c r="PQB107" s="769"/>
      <c r="PQC107" s="769"/>
      <c r="PQD107" s="769"/>
      <c r="PQE107" s="769"/>
      <c r="PQF107" s="769"/>
      <c r="PQG107" s="769"/>
      <c r="PQH107" s="769"/>
      <c r="PQI107" s="769"/>
      <c r="PQJ107" s="769"/>
      <c r="PQK107" s="769"/>
      <c r="PQL107" s="769"/>
      <c r="PQM107" s="769"/>
      <c r="PQN107" s="769"/>
      <c r="PQO107" s="769"/>
      <c r="PQP107" s="769"/>
      <c r="PQQ107" s="769"/>
      <c r="PQR107" s="769"/>
      <c r="PQS107" s="769"/>
      <c r="PQT107" s="769"/>
      <c r="PQU107" s="769"/>
      <c r="PQV107" s="769"/>
      <c r="PQW107" s="769"/>
      <c r="PQX107" s="769"/>
      <c r="PQY107" s="769"/>
      <c r="PQZ107" s="769"/>
      <c r="PRA107" s="769"/>
      <c r="PRB107" s="769"/>
      <c r="PRC107" s="769"/>
      <c r="PRD107" s="769"/>
      <c r="PRE107" s="769"/>
      <c r="PRF107" s="769"/>
      <c r="PRG107" s="769"/>
      <c r="PRH107" s="769"/>
      <c r="PRI107" s="769"/>
      <c r="PRJ107" s="769"/>
      <c r="PRK107" s="769"/>
      <c r="PRL107" s="769"/>
      <c r="PRM107" s="769"/>
      <c r="PRN107" s="769"/>
      <c r="PRO107" s="769"/>
      <c r="PRP107" s="769"/>
      <c r="PRQ107" s="769"/>
      <c r="PRR107" s="769"/>
      <c r="PRS107" s="769"/>
      <c r="PRT107" s="769"/>
      <c r="PRU107" s="769"/>
      <c r="PRV107" s="769"/>
      <c r="PRW107" s="769"/>
      <c r="PRX107" s="769"/>
      <c r="PRY107" s="769"/>
      <c r="PRZ107" s="769"/>
      <c r="PSA107" s="769"/>
      <c r="PSB107" s="769"/>
      <c r="PSC107" s="769"/>
      <c r="PSD107" s="769"/>
      <c r="PSE107" s="769"/>
      <c r="PSF107" s="769"/>
      <c r="PSG107" s="769"/>
      <c r="PSH107" s="769"/>
      <c r="PSI107" s="769"/>
      <c r="PSJ107" s="769"/>
      <c r="PSK107" s="769"/>
      <c r="PSL107" s="769"/>
      <c r="PSM107" s="769"/>
      <c r="PSN107" s="769"/>
      <c r="PSO107" s="769"/>
      <c r="PSP107" s="769"/>
      <c r="PSQ107" s="769"/>
      <c r="PSR107" s="769"/>
      <c r="PSS107" s="769"/>
      <c r="PST107" s="769"/>
      <c r="PSU107" s="769"/>
      <c r="PSV107" s="769"/>
      <c r="PSW107" s="769"/>
      <c r="PSX107" s="769"/>
      <c r="PSY107" s="769"/>
      <c r="PSZ107" s="769"/>
      <c r="PTA107" s="769"/>
      <c r="PTB107" s="769"/>
      <c r="PTC107" s="769"/>
      <c r="PTD107" s="769"/>
      <c r="PTE107" s="769"/>
      <c r="PTF107" s="769"/>
      <c r="PTG107" s="769"/>
      <c r="PTH107" s="769"/>
      <c r="PTI107" s="769"/>
      <c r="PTJ107" s="769"/>
      <c r="PTK107" s="769"/>
      <c r="PTL107" s="769"/>
      <c r="PTM107" s="769"/>
      <c r="PTN107" s="769"/>
      <c r="PTO107" s="769"/>
      <c r="PTP107" s="769"/>
      <c r="PTQ107" s="769"/>
      <c r="PTR107" s="769"/>
      <c r="PTS107" s="769"/>
      <c r="PTT107" s="769"/>
      <c r="PTU107" s="769"/>
      <c r="PTV107" s="769"/>
      <c r="PTW107" s="769"/>
      <c r="PTX107" s="769"/>
      <c r="PTY107" s="769"/>
      <c r="PTZ107" s="769"/>
      <c r="PUA107" s="769"/>
      <c r="PUB107" s="769"/>
      <c r="PUC107" s="769"/>
      <c r="PUD107" s="769"/>
      <c r="PUE107" s="769"/>
      <c r="PUF107" s="769"/>
      <c r="PUG107" s="769"/>
      <c r="PUH107" s="769"/>
      <c r="PUI107" s="769"/>
      <c r="PUJ107" s="769"/>
      <c r="PUK107" s="769"/>
      <c r="PUL107" s="769"/>
      <c r="PUM107" s="769"/>
      <c r="PUN107" s="769"/>
      <c r="PUO107" s="769"/>
      <c r="PUP107" s="769"/>
      <c r="PUQ107" s="769"/>
      <c r="PUR107" s="769"/>
      <c r="PUS107" s="769"/>
      <c r="PUT107" s="769"/>
      <c r="PUU107" s="769"/>
      <c r="PUV107" s="769"/>
      <c r="PUW107" s="769"/>
      <c r="PUX107" s="769"/>
      <c r="PUY107" s="769"/>
      <c r="PUZ107" s="769"/>
      <c r="PVA107" s="769"/>
      <c r="PVB107" s="769"/>
      <c r="PVC107" s="769"/>
      <c r="PVD107" s="769"/>
      <c r="PVE107" s="769"/>
      <c r="PVF107" s="769"/>
      <c r="PVG107" s="769"/>
      <c r="PVH107" s="769"/>
      <c r="PVI107" s="769"/>
      <c r="PVJ107" s="769"/>
      <c r="PVK107" s="769"/>
      <c r="PVL107" s="769"/>
      <c r="PVM107" s="769"/>
      <c r="PVN107" s="769"/>
      <c r="PVO107" s="769"/>
      <c r="PVP107" s="769"/>
      <c r="PVQ107" s="769"/>
      <c r="PVR107" s="769"/>
      <c r="PVS107" s="769"/>
      <c r="PVT107" s="769"/>
      <c r="PVU107" s="769"/>
      <c r="PVV107" s="769"/>
      <c r="PVW107" s="769"/>
      <c r="PVX107" s="769"/>
      <c r="PVY107" s="769"/>
      <c r="PVZ107" s="769"/>
      <c r="PWA107" s="769"/>
      <c r="PWB107" s="769"/>
      <c r="PWC107" s="769"/>
      <c r="PWD107" s="769"/>
      <c r="PWE107" s="769"/>
      <c r="PWF107" s="769"/>
      <c r="PWG107" s="769"/>
      <c r="PWH107" s="769"/>
      <c r="PWI107" s="769"/>
      <c r="PWJ107" s="769"/>
      <c r="PWK107" s="769"/>
      <c r="PWL107" s="769"/>
      <c r="PWM107" s="769"/>
      <c r="PWN107" s="769"/>
      <c r="PWO107" s="769"/>
      <c r="PWP107" s="769"/>
      <c r="PWQ107" s="769"/>
      <c r="PWR107" s="769"/>
      <c r="PWS107" s="769"/>
      <c r="PWT107" s="769"/>
      <c r="PWU107" s="769"/>
      <c r="PWV107" s="769"/>
      <c r="PWW107" s="769"/>
      <c r="PWX107" s="769"/>
      <c r="PWY107" s="769"/>
      <c r="PWZ107" s="769"/>
      <c r="PXA107" s="769"/>
      <c r="PXB107" s="769"/>
      <c r="PXC107" s="769"/>
      <c r="PXD107" s="769"/>
      <c r="PXE107" s="769"/>
      <c r="PXF107" s="769"/>
      <c r="PXG107" s="769"/>
      <c r="PXH107" s="769"/>
      <c r="PXI107" s="769"/>
      <c r="PXJ107" s="769"/>
      <c r="PXK107" s="769"/>
      <c r="PXL107" s="769"/>
      <c r="PXM107" s="769"/>
      <c r="PXN107" s="769"/>
      <c r="PXO107" s="769"/>
      <c r="PXP107" s="769"/>
      <c r="PXQ107" s="769"/>
      <c r="PXR107" s="769"/>
      <c r="PXS107" s="769"/>
      <c r="PXT107" s="769"/>
      <c r="PXU107" s="769"/>
      <c r="PXV107" s="769"/>
      <c r="PXW107" s="769"/>
      <c r="PXX107" s="769"/>
      <c r="PXY107" s="769"/>
      <c r="PXZ107" s="769"/>
      <c r="PYA107" s="769"/>
      <c r="PYB107" s="769"/>
      <c r="PYC107" s="769"/>
      <c r="PYD107" s="769"/>
      <c r="PYE107" s="769"/>
      <c r="PYF107" s="769"/>
      <c r="PYG107" s="769"/>
      <c r="PYH107" s="769"/>
      <c r="PYI107" s="769"/>
      <c r="PYJ107" s="769"/>
      <c r="PYK107" s="769"/>
      <c r="PYL107" s="769"/>
      <c r="PYM107" s="769"/>
      <c r="PYN107" s="769"/>
      <c r="PYO107" s="769"/>
      <c r="PYP107" s="769"/>
      <c r="PYQ107" s="769"/>
      <c r="PYR107" s="769"/>
      <c r="PYS107" s="769"/>
      <c r="PYT107" s="769"/>
      <c r="PYU107" s="769"/>
      <c r="PYV107" s="769"/>
      <c r="PYW107" s="769"/>
      <c r="PYX107" s="769"/>
      <c r="PYY107" s="769"/>
      <c r="PYZ107" s="769"/>
      <c r="PZA107" s="769"/>
      <c r="PZB107" s="769"/>
      <c r="PZC107" s="769"/>
      <c r="PZD107" s="769"/>
      <c r="PZE107" s="769"/>
      <c r="PZF107" s="769"/>
      <c r="PZG107" s="769"/>
      <c r="PZH107" s="769"/>
      <c r="PZI107" s="769"/>
      <c r="PZJ107" s="769"/>
      <c r="PZK107" s="769"/>
      <c r="PZL107" s="769"/>
      <c r="PZM107" s="769"/>
      <c r="PZN107" s="769"/>
      <c r="PZO107" s="769"/>
      <c r="PZP107" s="769"/>
      <c r="PZQ107" s="769"/>
      <c r="PZR107" s="769"/>
      <c r="PZS107" s="769"/>
      <c r="PZT107" s="769"/>
      <c r="PZU107" s="769"/>
      <c r="PZV107" s="769"/>
      <c r="PZW107" s="769"/>
      <c r="PZX107" s="769"/>
      <c r="PZY107" s="769"/>
      <c r="PZZ107" s="769"/>
      <c r="QAA107" s="769"/>
      <c r="QAB107" s="769"/>
      <c r="QAC107" s="769"/>
      <c r="QAD107" s="769"/>
      <c r="QAE107" s="769"/>
      <c r="QAF107" s="769"/>
      <c r="QAG107" s="769"/>
      <c r="QAH107" s="769"/>
      <c r="QAI107" s="769"/>
      <c r="QAJ107" s="769"/>
      <c r="QAK107" s="769"/>
      <c r="QAL107" s="769"/>
      <c r="QAM107" s="769"/>
      <c r="QAN107" s="769"/>
      <c r="QAO107" s="769"/>
      <c r="QAP107" s="769"/>
      <c r="QAQ107" s="769"/>
      <c r="QAR107" s="769"/>
      <c r="QAS107" s="769"/>
      <c r="QAT107" s="769"/>
      <c r="QAU107" s="769"/>
      <c r="QAV107" s="769"/>
      <c r="QAW107" s="769"/>
      <c r="QAX107" s="769"/>
      <c r="QAY107" s="769"/>
      <c r="QAZ107" s="769"/>
      <c r="QBA107" s="769"/>
      <c r="QBB107" s="769"/>
      <c r="QBC107" s="769"/>
      <c r="QBD107" s="769"/>
      <c r="QBE107" s="769"/>
      <c r="QBF107" s="769"/>
      <c r="QBG107" s="769"/>
      <c r="QBH107" s="769"/>
      <c r="QBI107" s="769"/>
      <c r="QBJ107" s="769"/>
      <c r="QBK107" s="769"/>
      <c r="QBL107" s="769"/>
      <c r="QBM107" s="769"/>
      <c r="QBN107" s="769"/>
      <c r="QBO107" s="769"/>
      <c r="QBP107" s="769"/>
      <c r="QBQ107" s="769"/>
      <c r="QBR107" s="769"/>
      <c r="QBS107" s="769"/>
      <c r="QBT107" s="769"/>
      <c r="QBU107" s="769"/>
      <c r="QBV107" s="769"/>
      <c r="QBW107" s="769"/>
      <c r="QBX107" s="769"/>
      <c r="QBY107" s="769"/>
      <c r="QBZ107" s="769"/>
      <c r="QCA107" s="769"/>
      <c r="QCB107" s="769"/>
      <c r="QCC107" s="769"/>
      <c r="QCD107" s="769"/>
      <c r="QCE107" s="769"/>
      <c r="QCF107" s="769"/>
      <c r="QCG107" s="769"/>
      <c r="QCH107" s="769"/>
      <c r="QCI107" s="769"/>
      <c r="QCJ107" s="769"/>
      <c r="QCK107" s="769"/>
      <c r="QCL107" s="769"/>
      <c r="QCM107" s="769"/>
      <c r="QCN107" s="769"/>
      <c r="QCO107" s="769"/>
      <c r="QCP107" s="769"/>
      <c r="QCQ107" s="769"/>
      <c r="QCR107" s="769"/>
      <c r="QCS107" s="769"/>
      <c r="QCT107" s="769"/>
      <c r="QCU107" s="769"/>
      <c r="QCV107" s="769"/>
      <c r="QCW107" s="769"/>
      <c r="QCX107" s="769"/>
      <c r="QCY107" s="769"/>
      <c r="QCZ107" s="769"/>
      <c r="QDA107" s="769"/>
      <c r="QDB107" s="769"/>
      <c r="QDC107" s="769"/>
      <c r="QDD107" s="769"/>
      <c r="QDE107" s="769"/>
      <c r="QDF107" s="769"/>
      <c r="QDG107" s="769"/>
      <c r="QDH107" s="769"/>
      <c r="QDI107" s="769"/>
      <c r="QDJ107" s="769"/>
      <c r="QDK107" s="769"/>
      <c r="QDL107" s="769"/>
      <c r="QDM107" s="769"/>
      <c r="QDN107" s="769"/>
      <c r="QDO107" s="769"/>
      <c r="QDP107" s="769"/>
      <c r="QDQ107" s="769"/>
      <c r="QDR107" s="769"/>
      <c r="QDS107" s="769"/>
      <c r="QDT107" s="769"/>
      <c r="QDU107" s="769"/>
      <c r="QDV107" s="769"/>
      <c r="QDW107" s="769"/>
      <c r="QDX107" s="769"/>
      <c r="QDY107" s="769"/>
      <c r="QDZ107" s="769"/>
      <c r="QEA107" s="769"/>
      <c r="QEB107" s="769"/>
      <c r="QEC107" s="769"/>
      <c r="QED107" s="769"/>
      <c r="QEE107" s="769"/>
      <c r="QEF107" s="769"/>
      <c r="QEG107" s="769"/>
      <c r="QEH107" s="769"/>
      <c r="QEI107" s="769"/>
      <c r="QEJ107" s="769"/>
      <c r="QEK107" s="769"/>
      <c r="QEL107" s="769"/>
      <c r="QEM107" s="769"/>
      <c r="QEN107" s="769"/>
      <c r="QEO107" s="769"/>
      <c r="QEP107" s="769"/>
      <c r="QEQ107" s="769"/>
      <c r="QER107" s="769"/>
      <c r="QES107" s="769"/>
      <c r="QET107" s="769"/>
      <c r="QEU107" s="769"/>
      <c r="QEV107" s="769"/>
      <c r="QEW107" s="769"/>
      <c r="QEX107" s="769"/>
      <c r="QEY107" s="769"/>
      <c r="QEZ107" s="769"/>
      <c r="QFA107" s="769"/>
      <c r="QFB107" s="769"/>
      <c r="QFC107" s="769"/>
      <c r="QFD107" s="769"/>
      <c r="QFE107" s="769"/>
      <c r="QFF107" s="769"/>
      <c r="QFG107" s="769"/>
      <c r="QFH107" s="769"/>
      <c r="QFI107" s="769"/>
      <c r="QFJ107" s="769"/>
      <c r="QFK107" s="769"/>
      <c r="QFL107" s="769"/>
      <c r="QFM107" s="769"/>
      <c r="QFN107" s="769"/>
      <c r="QFO107" s="769"/>
      <c r="QFP107" s="769"/>
      <c r="QFQ107" s="769"/>
      <c r="QFR107" s="769"/>
      <c r="QFS107" s="769"/>
      <c r="QFT107" s="769"/>
      <c r="QFU107" s="769"/>
      <c r="QFV107" s="769"/>
      <c r="QFW107" s="769"/>
      <c r="QFX107" s="769"/>
      <c r="QFY107" s="769"/>
      <c r="QFZ107" s="769"/>
      <c r="QGA107" s="769"/>
      <c r="QGB107" s="769"/>
      <c r="QGC107" s="769"/>
      <c r="QGD107" s="769"/>
      <c r="QGE107" s="769"/>
      <c r="QGF107" s="769"/>
      <c r="QGG107" s="769"/>
      <c r="QGH107" s="769"/>
      <c r="QGI107" s="769"/>
      <c r="QGJ107" s="769"/>
      <c r="QGK107" s="769"/>
      <c r="QGL107" s="769"/>
      <c r="QGM107" s="769"/>
      <c r="QGN107" s="769"/>
      <c r="QGO107" s="769"/>
      <c r="QGP107" s="769"/>
      <c r="QGQ107" s="769"/>
      <c r="QGR107" s="769"/>
      <c r="QGS107" s="769"/>
      <c r="QGT107" s="769"/>
      <c r="QGU107" s="769"/>
      <c r="QGV107" s="769"/>
      <c r="QGW107" s="769"/>
      <c r="QGX107" s="769"/>
      <c r="QGY107" s="769"/>
      <c r="QGZ107" s="769"/>
      <c r="QHA107" s="769"/>
      <c r="QHB107" s="769"/>
      <c r="QHC107" s="769"/>
      <c r="QHD107" s="769"/>
      <c r="QHE107" s="769"/>
      <c r="QHF107" s="769"/>
      <c r="QHG107" s="769"/>
      <c r="QHH107" s="769"/>
      <c r="QHI107" s="769"/>
      <c r="QHJ107" s="769"/>
      <c r="QHK107" s="769"/>
      <c r="QHL107" s="769"/>
      <c r="QHM107" s="769"/>
      <c r="QHN107" s="769"/>
      <c r="QHO107" s="769"/>
      <c r="QHP107" s="769"/>
      <c r="QHQ107" s="769"/>
      <c r="QHR107" s="769"/>
      <c r="QHS107" s="769"/>
      <c r="QHT107" s="769"/>
      <c r="QHU107" s="769"/>
      <c r="QHV107" s="769"/>
      <c r="QHW107" s="769"/>
      <c r="QHX107" s="769"/>
      <c r="QHY107" s="769"/>
      <c r="QHZ107" s="769"/>
      <c r="QIA107" s="769"/>
      <c r="QIB107" s="769"/>
      <c r="QIC107" s="769"/>
      <c r="QID107" s="769"/>
      <c r="QIE107" s="769"/>
      <c r="QIF107" s="769"/>
      <c r="QIG107" s="769"/>
      <c r="QIH107" s="769"/>
      <c r="QII107" s="769"/>
      <c r="QIJ107" s="769"/>
      <c r="QIK107" s="769"/>
      <c r="QIL107" s="769"/>
      <c r="QIM107" s="769"/>
      <c r="QIN107" s="769"/>
      <c r="QIO107" s="769"/>
      <c r="QIP107" s="769"/>
      <c r="QIQ107" s="769"/>
      <c r="QIR107" s="769"/>
      <c r="QIS107" s="769"/>
      <c r="QIT107" s="769"/>
      <c r="QIU107" s="769"/>
      <c r="QIV107" s="769"/>
      <c r="QIW107" s="769"/>
      <c r="QIX107" s="769"/>
      <c r="QIY107" s="769"/>
      <c r="QIZ107" s="769"/>
      <c r="QJA107" s="769"/>
      <c r="QJB107" s="769"/>
      <c r="QJC107" s="769"/>
      <c r="QJD107" s="769"/>
      <c r="QJE107" s="769"/>
      <c r="QJF107" s="769"/>
      <c r="QJG107" s="769"/>
      <c r="QJH107" s="769"/>
      <c r="QJI107" s="769"/>
      <c r="QJJ107" s="769"/>
      <c r="QJK107" s="769"/>
      <c r="QJL107" s="769"/>
      <c r="QJM107" s="769"/>
      <c r="QJN107" s="769"/>
      <c r="QJO107" s="769"/>
      <c r="QJP107" s="769"/>
      <c r="QJQ107" s="769"/>
      <c r="QJR107" s="769"/>
      <c r="QJS107" s="769"/>
      <c r="QJT107" s="769"/>
      <c r="QJU107" s="769"/>
      <c r="QJV107" s="769"/>
      <c r="QJW107" s="769"/>
      <c r="QJX107" s="769"/>
      <c r="QJY107" s="769"/>
      <c r="QJZ107" s="769"/>
      <c r="QKA107" s="769"/>
      <c r="QKB107" s="769"/>
      <c r="QKC107" s="769"/>
      <c r="QKD107" s="769"/>
      <c r="QKE107" s="769"/>
      <c r="QKF107" s="769"/>
      <c r="QKG107" s="769"/>
      <c r="QKH107" s="769"/>
      <c r="QKI107" s="769"/>
      <c r="QKJ107" s="769"/>
      <c r="QKK107" s="769"/>
      <c r="QKL107" s="769"/>
      <c r="QKM107" s="769"/>
      <c r="QKN107" s="769"/>
      <c r="QKO107" s="769"/>
      <c r="QKP107" s="769"/>
      <c r="QKQ107" s="769"/>
      <c r="QKR107" s="769"/>
      <c r="QKS107" s="769"/>
      <c r="QKT107" s="769"/>
      <c r="QKU107" s="769"/>
      <c r="QKV107" s="769"/>
      <c r="QKW107" s="769"/>
      <c r="QKX107" s="769"/>
      <c r="QKY107" s="769"/>
      <c r="QKZ107" s="769"/>
      <c r="QLA107" s="769"/>
      <c r="QLB107" s="769"/>
      <c r="QLC107" s="769"/>
      <c r="QLD107" s="769"/>
      <c r="QLE107" s="769"/>
      <c r="QLF107" s="769"/>
      <c r="QLG107" s="769"/>
      <c r="QLH107" s="769"/>
      <c r="QLI107" s="769"/>
      <c r="QLJ107" s="769"/>
      <c r="QLK107" s="769"/>
      <c r="QLL107" s="769"/>
      <c r="QLM107" s="769"/>
      <c r="QLN107" s="769"/>
      <c r="QLO107" s="769"/>
      <c r="QLP107" s="769"/>
      <c r="QLQ107" s="769"/>
      <c r="QLR107" s="769"/>
      <c r="QLS107" s="769"/>
      <c r="QLT107" s="769"/>
      <c r="QLU107" s="769"/>
      <c r="QLV107" s="769"/>
      <c r="QLW107" s="769"/>
      <c r="QLX107" s="769"/>
      <c r="QLY107" s="769"/>
      <c r="QLZ107" s="769"/>
      <c r="QMA107" s="769"/>
      <c r="QMB107" s="769"/>
      <c r="QMC107" s="769"/>
      <c r="QMD107" s="769"/>
      <c r="QME107" s="769"/>
      <c r="QMF107" s="769"/>
      <c r="QMG107" s="769"/>
      <c r="QMH107" s="769"/>
      <c r="QMI107" s="769"/>
      <c r="QMJ107" s="769"/>
      <c r="QMK107" s="769"/>
      <c r="QML107" s="769"/>
      <c r="QMM107" s="769"/>
      <c r="QMN107" s="769"/>
      <c r="QMO107" s="769"/>
      <c r="QMP107" s="769"/>
      <c r="QMQ107" s="769"/>
      <c r="QMR107" s="769"/>
      <c r="QMS107" s="769"/>
      <c r="QMT107" s="769"/>
      <c r="QMU107" s="769"/>
      <c r="QMV107" s="769"/>
      <c r="QMW107" s="769"/>
      <c r="QMX107" s="769"/>
      <c r="QMY107" s="769"/>
      <c r="QMZ107" s="769"/>
      <c r="QNA107" s="769"/>
      <c r="QNB107" s="769"/>
      <c r="QNC107" s="769"/>
      <c r="QND107" s="769"/>
      <c r="QNE107" s="769"/>
      <c r="QNF107" s="769"/>
      <c r="QNG107" s="769"/>
      <c r="QNH107" s="769"/>
      <c r="QNI107" s="769"/>
      <c r="QNJ107" s="769"/>
      <c r="QNK107" s="769"/>
      <c r="QNL107" s="769"/>
      <c r="QNM107" s="769"/>
      <c r="QNN107" s="769"/>
      <c r="QNO107" s="769"/>
      <c r="QNP107" s="769"/>
      <c r="QNQ107" s="769"/>
      <c r="QNR107" s="769"/>
      <c r="QNS107" s="769"/>
      <c r="QNT107" s="769"/>
      <c r="QNU107" s="769"/>
      <c r="QNV107" s="769"/>
      <c r="QNW107" s="769"/>
      <c r="QNX107" s="769"/>
      <c r="QNY107" s="769"/>
      <c r="QNZ107" s="769"/>
      <c r="QOA107" s="769"/>
      <c r="QOB107" s="769"/>
      <c r="QOC107" s="769"/>
      <c r="QOD107" s="769"/>
      <c r="QOE107" s="769"/>
      <c r="QOF107" s="769"/>
      <c r="QOG107" s="769"/>
      <c r="QOH107" s="769"/>
      <c r="QOI107" s="769"/>
      <c r="QOJ107" s="769"/>
      <c r="QOK107" s="769"/>
      <c r="QOL107" s="769"/>
      <c r="QOM107" s="769"/>
      <c r="QON107" s="769"/>
      <c r="QOO107" s="769"/>
      <c r="QOP107" s="769"/>
      <c r="QOQ107" s="769"/>
      <c r="QOR107" s="769"/>
      <c r="QOS107" s="769"/>
      <c r="QOT107" s="769"/>
      <c r="QOU107" s="769"/>
      <c r="QOV107" s="769"/>
      <c r="QOW107" s="769"/>
      <c r="QOX107" s="769"/>
      <c r="QOY107" s="769"/>
      <c r="QOZ107" s="769"/>
      <c r="QPA107" s="769"/>
      <c r="QPB107" s="769"/>
      <c r="QPC107" s="769"/>
      <c r="QPD107" s="769"/>
      <c r="QPE107" s="769"/>
      <c r="QPF107" s="769"/>
      <c r="QPG107" s="769"/>
      <c r="QPH107" s="769"/>
      <c r="QPI107" s="769"/>
      <c r="QPJ107" s="769"/>
      <c r="QPK107" s="769"/>
      <c r="QPL107" s="769"/>
      <c r="QPM107" s="769"/>
      <c r="QPN107" s="769"/>
      <c r="QPO107" s="769"/>
      <c r="QPP107" s="769"/>
      <c r="QPQ107" s="769"/>
      <c r="QPR107" s="769"/>
      <c r="QPS107" s="769"/>
      <c r="QPT107" s="769"/>
      <c r="QPU107" s="769"/>
      <c r="QPV107" s="769"/>
      <c r="QPW107" s="769"/>
      <c r="QPX107" s="769"/>
      <c r="QPY107" s="769"/>
      <c r="QPZ107" s="769"/>
      <c r="QQA107" s="769"/>
      <c r="QQB107" s="769"/>
      <c r="QQC107" s="769"/>
      <c r="QQD107" s="769"/>
      <c r="QQE107" s="769"/>
      <c r="QQF107" s="769"/>
      <c r="QQG107" s="769"/>
      <c r="QQH107" s="769"/>
      <c r="QQI107" s="769"/>
      <c r="QQJ107" s="769"/>
      <c r="QQK107" s="769"/>
      <c r="QQL107" s="769"/>
      <c r="QQM107" s="769"/>
      <c r="QQN107" s="769"/>
      <c r="QQO107" s="769"/>
      <c r="QQP107" s="769"/>
      <c r="QQQ107" s="769"/>
      <c r="QQR107" s="769"/>
      <c r="QQS107" s="769"/>
      <c r="QQT107" s="769"/>
      <c r="QQU107" s="769"/>
      <c r="QQV107" s="769"/>
      <c r="QQW107" s="769"/>
      <c r="QQX107" s="769"/>
      <c r="QQY107" s="769"/>
      <c r="QQZ107" s="769"/>
      <c r="QRA107" s="769"/>
      <c r="QRB107" s="769"/>
      <c r="QRC107" s="769"/>
      <c r="QRD107" s="769"/>
      <c r="QRE107" s="769"/>
      <c r="QRF107" s="769"/>
      <c r="QRG107" s="769"/>
      <c r="QRH107" s="769"/>
      <c r="QRI107" s="769"/>
      <c r="QRJ107" s="769"/>
      <c r="QRK107" s="769"/>
      <c r="QRL107" s="769"/>
      <c r="QRM107" s="769"/>
      <c r="QRN107" s="769"/>
      <c r="QRO107" s="769"/>
      <c r="QRP107" s="769"/>
      <c r="QRQ107" s="769"/>
      <c r="QRR107" s="769"/>
      <c r="QRS107" s="769"/>
      <c r="QRT107" s="769"/>
      <c r="QRU107" s="769"/>
      <c r="QRV107" s="769"/>
      <c r="QRW107" s="769"/>
      <c r="QRX107" s="769"/>
      <c r="QRY107" s="769"/>
      <c r="QRZ107" s="769"/>
      <c r="QSA107" s="769"/>
      <c r="QSB107" s="769"/>
      <c r="QSC107" s="769"/>
      <c r="QSD107" s="769"/>
      <c r="QSE107" s="769"/>
      <c r="QSF107" s="769"/>
      <c r="QSG107" s="769"/>
      <c r="QSH107" s="769"/>
      <c r="QSI107" s="769"/>
      <c r="QSJ107" s="769"/>
      <c r="QSK107" s="769"/>
      <c r="QSL107" s="769"/>
      <c r="QSM107" s="769"/>
      <c r="QSN107" s="769"/>
      <c r="QSO107" s="769"/>
      <c r="QSP107" s="769"/>
      <c r="QSQ107" s="769"/>
      <c r="QSR107" s="769"/>
      <c r="QSS107" s="769"/>
      <c r="QST107" s="769"/>
      <c r="QSU107" s="769"/>
      <c r="QSV107" s="769"/>
      <c r="QSW107" s="769"/>
      <c r="QSX107" s="769"/>
      <c r="QSY107" s="769"/>
      <c r="QSZ107" s="769"/>
      <c r="QTA107" s="769"/>
      <c r="QTB107" s="769"/>
      <c r="QTC107" s="769"/>
      <c r="QTD107" s="769"/>
      <c r="QTE107" s="769"/>
      <c r="QTF107" s="769"/>
      <c r="QTG107" s="769"/>
      <c r="QTH107" s="769"/>
      <c r="QTI107" s="769"/>
      <c r="QTJ107" s="769"/>
      <c r="QTK107" s="769"/>
      <c r="QTL107" s="769"/>
      <c r="QTM107" s="769"/>
      <c r="QTN107" s="769"/>
      <c r="QTO107" s="769"/>
      <c r="QTP107" s="769"/>
      <c r="QTQ107" s="769"/>
      <c r="QTR107" s="769"/>
      <c r="QTS107" s="769"/>
      <c r="QTT107" s="769"/>
      <c r="QTU107" s="769"/>
      <c r="QTV107" s="769"/>
      <c r="QTW107" s="769"/>
      <c r="QTX107" s="769"/>
      <c r="QTY107" s="769"/>
      <c r="QTZ107" s="769"/>
      <c r="QUA107" s="769"/>
      <c r="QUB107" s="769"/>
      <c r="QUC107" s="769"/>
      <c r="QUD107" s="769"/>
      <c r="QUE107" s="769"/>
      <c r="QUF107" s="769"/>
      <c r="QUG107" s="769"/>
      <c r="QUH107" s="769"/>
      <c r="QUI107" s="769"/>
      <c r="QUJ107" s="769"/>
      <c r="QUK107" s="769"/>
      <c r="QUL107" s="769"/>
      <c r="QUM107" s="769"/>
      <c r="QUN107" s="769"/>
      <c r="QUO107" s="769"/>
      <c r="QUP107" s="769"/>
      <c r="QUQ107" s="769"/>
      <c r="QUR107" s="769"/>
      <c r="QUS107" s="769"/>
      <c r="QUT107" s="769"/>
      <c r="QUU107" s="769"/>
      <c r="QUV107" s="769"/>
      <c r="QUW107" s="769"/>
      <c r="QUX107" s="769"/>
      <c r="QUY107" s="769"/>
      <c r="QUZ107" s="769"/>
      <c r="QVA107" s="769"/>
      <c r="QVB107" s="769"/>
      <c r="QVC107" s="769"/>
      <c r="QVD107" s="769"/>
      <c r="QVE107" s="769"/>
      <c r="QVF107" s="769"/>
      <c r="QVG107" s="769"/>
      <c r="QVH107" s="769"/>
      <c r="QVI107" s="769"/>
      <c r="QVJ107" s="769"/>
      <c r="QVK107" s="769"/>
      <c r="QVL107" s="769"/>
      <c r="QVM107" s="769"/>
      <c r="QVN107" s="769"/>
      <c r="QVO107" s="769"/>
      <c r="QVP107" s="769"/>
      <c r="QVQ107" s="769"/>
      <c r="QVR107" s="769"/>
      <c r="QVS107" s="769"/>
      <c r="QVT107" s="769"/>
      <c r="QVU107" s="769"/>
      <c r="QVV107" s="769"/>
      <c r="QVW107" s="769"/>
      <c r="QVX107" s="769"/>
      <c r="QVY107" s="769"/>
      <c r="QVZ107" s="769"/>
      <c r="QWA107" s="769"/>
      <c r="QWB107" s="769"/>
      <c r="QWC107" s="769"/>
      <c r="QWD107" s="769"/>
      <c r="QWE107" s="769"/>
      <c r="QWF107" s="769"/>
      <c r="QWG107" s="769"/>
      <c r="QWH107" s="769"/>
      <c r="QWI107" s="769"/>
      <c r="QWJ107" s="769"/>
      <c r="QWK107" s="769"/>
      <c r="QWL107" s="769"/>
      <c r="QWM107" s="769"/>
      <c r="QWN107" s="769"/>
      <c r="QWO107" s="769"/>
      <c r="QWP107" s="769"/>
      <c r="QWQ107" s="769"/>
      <c r="QWR107" s="769"/>
      <c r="QWS107" s="769"/>
      <c r="QWT107" s="769"/>
      <c r="QWU107" s="769"/>
      <c r="QWV107" s="769"/>
      <c r="QWW107" s="769"/>
      <c r="QWX107" s="769"/>
      <c r="QWY107" s="769"/>
      <c r="QWZ107" s="769"/>
      <c r="QXA107" s="769"/>
      <c r="QXB107" s="769"/>
      <c r="QXC107" s="769"/>
      <c r="QXD107" s="769"/>
      <c r="QXE107" s="769"/>
      <c r="QXF107" s="769"/>
      <c r="QXG107" s="769"/>
      <c r="QXH107" s="769"/>
      <c r="QXI107" s="769"/>
      <c r="QXJ107" s="769"/>
      <c r="QXK107" s="769"/>
      <c r="QXL107" s="769"/>
      <c r="QXM107" s="769"/>
      <c r="QXN107" s="769"/>
      <c r="QXO107" s="769"/>
      <c r="QXP107" s="769"/>
      <c r="QXQ107" s="769"/>
      <c r="QXR107" s="769"/>
      <c r="QXS107" s="769"/>
      <c r="QXT107" s="769"/>
      <c r="QXU107" s="769"/>
      <c r="QXV107" s="769"/>
      <c r="QXW107" s="769"/>
      <c r="QXX107" s="769"/>
      <c r="QXY107" s="769"/>
      <c r="QXZ107" s="769"/>
      <c r="QYA107" s="769"/>
      <c r="QYB107" s="769"/>
      <c r="QYC107" s="769"/>
      <c r="QYD107" s="769"/>
      <c r="QYE107" s="769"/>
      <c r="QYF107" s="769"/>
      <c r="QYG107" s="769"/>
      <c r="QYH107" s="769"/>
      <c r="QYI107" s="769"/>
      <c r="QYJ107" s="769"/>
      <c r="QYK107" s="769"/>
      <c r="QYL107" s="769"/>
      <c r="QYM107" s="769"/>
      <c r="QYN107" s="769"/>
      <c r="QYO107" s="769"/>
      <c r="QYP107" s="769"/>
      <c r="QYQ107" s="769"/>
      <c r="QYR107" s="769"/>
      <c r="QYS107" s="769"/>
      <c r="QYT107" s="769"/>
      <c r="QYU107" s="769"/>
      <c r="QYV107" s="769"/>
      <c r="QYW107" s="769"/>
      <c r="QYX107" s="769"/>
      <c r="QYY107" s="769"/>
      <c r="QYZ107" s="769"/>
      <c r="QZA107" s="769"/>
      <c r="QZB107" s="769"/>
      <c r="QZC107" s="769"/>
      <c r="QZD107" s="769"/>
      <c r="QZE107" s="769"/>
      <c r="QZF107" s="769"/>
      <c r="QZG107" s="769"/>
      <c r="QZH107" s="769"/>
      <c r="QZI107" s="769"/>
      <c r="QZJ107" s="769"/>
      <c r="QZK107" s="769"/>
      <c r="QZL107" s="769"/>
      <c r="QZM107" s="769"/>
      <c r="QZN107" s="769"/>
      <c r="QZO107" s="769"/>
      <c r="QZP107" s="769"/>
      <c r="QZQ107" s="769"/>
      <c r="QZR107" s="769"/>
      <c r="QZS107" s="769"/>
      <c r="QZT107" s="769"/>
      <c r="QZU107" s="769"/>
      <c r="QZV107" s="769"/>
      <c r="QZW107" s="769"/>
      <c r="QZX107" s="769"/>
      <c r="QZY107" s="769"/>
      <c r="QZZ107" s="769"/>
      <c r="RAA107" s="769"/>
      <c r="RAB107" s="769"/>
      <c r="RAC107" s="769"/>
      <c r="RAD107" s="769"/>
      <c r="RAE107" s="769"/>
      <c r="RAF107" s="769"/>
      <c r="RAG107" s="769"/>
      <c r="RAH107" s="769"/>
      <c r="RAI107" s="769"/>
      <c r="RAJ107" s="769"/>
      <c r="RAK107" s="769"/>
      <c r="RAL107" s="769"/>
      <c r="RAM107" s="769"/>
      <c r="RAN107" s="769"/>
      <c r="RAO107" s="769"/>
      <c r="RAP107" s="769"/>
      <c r="RAQ107" s="769"/>
      <c r="RAR107" s="769"/>
      <c r="RAS107" s="769"/>
      <c r="RAT107" s="769"/>
      <c r="RAU107" s="769"/>
      <c r="RAV107" s="769"/>
      <c r="RAW107" s="769"/>
      <c r="RAX107" s="769"/>
      <c r="RAY107" s="769"/>
      <c r="RAZ107" s="769"/>
      <c r="RBA107" s="769"/>
      <c r="RBB107" s="769"/>
      <c r="RBC107" s="769"/>
      <c r="RBD107" s="769"/>
      <c r="RBE107" s="769"/>
      <c r="RBF107" s="769"/>
      <c r="RBG107" s="769"/>
      <c r="RBH107" s="769"/>
      <c r="RBI107" s="769"/>
      <c r="RBJ107" s="769"/>
      <c r="RBK107" s="769"/>
      <c r="RBL107" s="769"/>
      <c r="RBM107" s="769"/>
      <c r="RBN107" s="769"/>
      <c r="RBO107" s="769"/>
      <c r="RBP107" s="769"/>
      <c r="RBQ107" s="769"/>
      <c r="RBR107" s="769"/>
      <c r="RBS107" s="769"/>
      <c r="RBT107" s="769"/>
      <c r="RBU107" s="769"/>
      <c r="RBV107" s="769"/>
      <c r="RBW107" s="769"/>
      <c r="RBX107" s="769"/>
      <c r="RBY107" s="769"/>
      <c r="RBZ107" s="769"/>
      <c r="RCA107" s="769"/>
      <c r="RCB107" s="769"/>
      <c r="RCC107" s="769"/>
      <c r="RCD107" s="769"/>
      <c r="RCE107" s="769"/>
      <c r="RCF107" s="769"/>
      <c r="RCG107" s="769"/>
      <c r="RCH107" s="769"/>
      <c r="RCI107" s="769"/>
      <c r="RCJ107" s="769"/>
      <c r="RCK107" s="769"/>
      <c r="RCL107" s="769"/>
      <c r="RCM107" s="769"/>
      <c r="RCN107" s="769"/>
      <c r="RCO107" s="769"/>
      <c r="RCP107" s="769"/>
      <c r="RCQ107" s="769"/>
      <c r="RCR107" s="769"/>
      <c r="RCS107" s="769"/>
      <c r="RCT107" s="769"/>
      <c r="RCU107" s="769"/>
      <c r="RCV107" s="769"/>
      <c r="RCW107" s="769"/>
      <c r="RCX107" s="769"/>
      <c r="RCY107" s="769"/>
      <c r="RCZ107" s="769"/>
      <c r="RDA107" s="769"/>
      <c r="RDB107" s="769"/>
      <c r="RDC107" s="769"/>
      <c r="RDD107" s="769"/>
      <c r="RDE107" s="769"/>
      <c r="RDF107" s="769"/>
      <c r="RDG107" s="769"/>
      <c r="RDH107" s="769"/>
      <c r="RDI107" s="769"/>
      <c r="RDJ107" s="769"/>
      <c r="RDK107" s="769"/>
      <c r="RDL107" s="769"/>
      <c r="RDM107" s="769"/>
      <c r="RDN107" s="769"/>
      <c r="RDO107" s="769"/>
      <c r="RDP107" s="769"/>
      <c r="RDQ107" s="769"/>
      <c r="RDR107" s="769"/>
      <c r="RDS107" s="769"/>
      <c r="RDT107" s="769"/>
      <c r="RDU107" s="769"/>
      <c r="RDV107" s="769"/>
      <c r="RDW107" s="769"/>
      <c r="RDX107" s="769"/>
      <c r="RDY107" s="769"/>
      <c r="RDZ107" s="769"/>
      <c r="REA107" s="769"/>
      <c r="REB107" s="769"/>
      <c r="REC107" s="769"/>
      <c r="RED107" s="769"/>
      <c r="REE107" s="769"/>
      <c r="REF107" s="769"/>
      <c r="REG107" s="769"/>
      <c r="REH107" s="769"/>
      <c r="REI107" s="769"/>
      <c r="REJ107" s="769"/>
      <c r="REK107" s="769"/>
      <c r="REL107" s="769"/>
      <c r="REM107" s="769"/>
      <c r="REN107" s="769"/>
      <c r="REO107" s="769"/>
      <c r="REP107" s="769"/>
      <c r="REQ107" s="769"/>
      <c r="RER107" s="769"/>
      <c r="RES107" s="769"/>
      <c r="RET107" s="769"/>
      <c r="REU107" s="769"/>
      <c r="REV107" s="769"/>
      <c r="REW107" s="769"/>
      <c r="REX107" s="769"/>
      <c r="REY107" s="769"/>
      <c r="REZ107" s="769"/>
      <c r="RFA107" s="769"/>
      <c r="RFB107" s="769"/>
      <c r="RFC107" s="769"/>
      <c r="RFD107" s="769"/>
      <c r="RFE107" s="769"/>
      <c r="RFF107" s="769"/>
      <c r="RFG107" s="769"/>
      <c r="RFH107" s="769"/>
      <c r="RFI107" s="769"/>
      <c r="RFJ107" s="769"/>
      <c r="RFK107" s="769"/>
      <c r="RFL107" s="769"/>
      <c r="RFM107" s="769"/>
      <c r="RFN107" s="769"/>
      <c r="RFO107" s="769"/>
      <c r="RFP107" s="769"/>
      <c r="RFQ107" s="769"/>
      <c r="RFR107" s="769"/>
      <c r="RFS107" s="769"/>
      <c r="RFT107" s="769"/>
      <c r="RFU107" s="769"/>
      <c r="RFV107" s="769"/>
      <c r="RFW107" s="769"/>
      <c r="RFX107" s="769"/>
      <c r="RFY107" s="769"/>
      <c r="RFZ107" s="769"/>
      <c r="RGA107" s="769"/>
      <c r="RGB107" s="769"/>
      <c r="RGC107" s="769"/>
      <c r="RGD107" s="769"/>
      <c r="RGE107" s="769"/>
      <c r="RGF107" s="769"/>
      <c r="RGG107" s="769"/>
      <c r="RGH107" s="769"/>
      <c r="RGI107" s="769"/>
      <c r="RGJ107" s="769"/>
      <c r="RGK107" s="769"/>
      <c r="RGL107" s="769"/>
      <c r="RGM107" s="769"/>
      <c r="RGN107" s="769"/>
      <c r="RGO107" s="769"/>
      <c r="RGP107" s="769"/>
      <c r="RGQ107" s="769"/>
      <c r="RGR107" s="769"/>
      <c r="RGS107" s="769"/>
      <c r="RGT107" s="769"/>
      <c r="RGU107" s="769"/>
      <c r="RGV107" s="769"/>
      <c r="RGW107" s="769"/>
      <c r="RGX107" s="769"/>
      <c r="RGY107" s="769"/>
      <c r="RGZ107" s="769"/>
      <c r="RHA107" s="769"/>
      <c r="RHB107" s="769"/>
      <c r="RHC107" s="769"/>
      <c r="RHD107" s="769"/>
      <c r="RHE107" s="769"/>
      <c r="RHF107" s="769"/>
      <c r="RHG107" s="769"/>
      <c r="RHH107" s="769"/>
      <c r="RHI107" s="769"/>
      <c r="RHJ107" s="769"/>
      <c r="RHK107" s="769"/>
      <c r="RHL107" s="769"/>
      <c r="RHM107" s="769"/>
      <c r="RHN107" s="769"/>
      <c r="RHO107" s="769"/>
      <c r="RHP107" s="769"/>
      <c r="RHQ107" s="769"/>
      <c r="RHR107" s="769"/>
      <c r="RHS107" s="769"/>
      <c r="RHT107" s="769"/>
      <c r="RHU107" s="769"/>
      <c r="RHV107" s="769"/>
      <c r="RHW107" s="769"/>
      <c r="RHX107" s="769"/>
      <c r="RHY107" s="769"/>
      <c r="RHZ107" s="769"/>
      <c r="RIA107" s="769"/>
      <c r="RIB107" s="769"/>
      <c r="RIC107" s="769"/>
      <c r="RID107" s="769"/>
      <c r="RIE107" s="769"/>
      <c r="RIF107" s="769"/>
      <c r="RIG107" s="769"/>
      <c r="RIH107" s="769"/>
      <c r="RII107" s="769"/>
      <c r="RIJ107" s="769"/>
      <c r="RIK107" s="769"/>
      <c r="RIL107" s="769"/>
      <c r="RIM107" s="769"/>
      <c r="RIN107" s="769"/>
      <c r="RIO107" s="769"/>
      <c r="RIP107" s="769"/>
      <c r="RIQ107" s="769"/>
      <c r="RIR107" s="769"/>
      <c r="RIS107" s="769"/>
      <c r="RIT107" s="769"/>
      <c r="RIU107" s="769"/>
      <c r="RIV107" s="769"/>
      <c r="RIW107" s="769"/>
      <c r="RIX107" s="769"/>
      <c r="RIY107" s="769"/>
      <c r="RIZ107" s="769"/>
      <c r="RJA107" s="769"/>
      <c r="RJB107" s="769"/>
      <c r="RJC107" s="769"/>
      <c r="RJD107" s="769"/>
      <c r="RJE107" s="769"/>
      <c r="RJF107" s="769"/>
      <c r="RJG107" s="769"/>
      <c r="RJH107" s="769"/>
      <c r="RJI107" s="769"/>
      <c r="RJJ107" s="769"/>
      <c r="RJK107" s="769"/>
      <c r="RJL107" s="769"/>
      <c r="RJM107" s="769"/>
      <c r="RJN107" s="769"/>
      <c r="RJO107" s="769"/>
      <c r="RJP107" s="769"/>
      <c r="RJQ107" s="769"/>
      <c r="RJR107" s="769"/>
      <c r="RJS107" s="769"/>
      <c r="RJT107" s="769"/>
      <c r="RJU107" s="769"/>
      <c r="RJV107" s="769"/>
      <c r="RJW107" s="769"/>
      <c r="RJX107" s="769"/>
      <c r="RJY107" s="769"/>
      <c r="RJZ107" s="769"/>
      <c r="RKA107" s="769"/>
      <c r="RKB107" s="769"/>
      <c r="RKC107" s="769"/>
      <c r="RKD107" s="769"/>
      <c r="RKE107" s="769"/>
      <c r="RKF107" s="769"/>
      <c r="RKG107" s="769"/>
      <c r="RKH107" s="769"/>
      <c r="RKI107" s="769"/>
      <c r="RKJ107" s="769"/>
      <c r="RKK107" s="769"/>
      <c r="RKL107" s="769"/>
      <c r="RKM107" s="769"/>
      <c r="RKN107" s="769"/>
      <c r="RKO107" s="769"/>
      <c r="RKP107" s="769"/>
      <c r="RKQ107" s="769"/>
      <c r="RKR107" s="769"/>
      <c r="RKS107" s="769"/>
      <c r="RKT107" s="769"/>
      <c r="RKU107" s="769"/>
      <c r="RKV107" s="769"/>
      <c r="RKW107" s="769"/>
      <c r="RKX107" s="769"/>
      <c r="RKY107" s="769"/>
      <c r="RKZ107" s="769"/>
      <c r="RLA107" s="769"/>
      <c r="RLB107" s="769"/>
      <c r="RLC107" s="769"/>
      <c r="RLD107" s="769"/>
      <c r="RLE107" s="769"/>
      <c r="RLF107" s="769"/>
      <c r="RLG107" s="769"/>
      <c r="RLH107" s="769"/>
      <c r="RLI107" s="769"/>
      <c r="RLJ107" s="769"/>
      <c r="RLK107" s="769"/>
      <c r="RLL107" s="769"/>
      <c r="RLM107" s="769"/>
      <c r="RLN107" s="769"/>
      <c r="RLO107" s="769"/>
      <c r="RLP107" s="769"/>
      <c r="RLQ107" s="769"/>
      <c r="RLR107" s="769"/>
      <c r="RLS107" s="769"/>
      <c r="RLT107" s="769"/>
      <c r="RLU107" s="769"/>
      <c r="RLV107" s="769"/>
      <c r="RLW107" s="769"/>
      <c r="RLX107" s="769"/>
      <c r="RLY107" s="769"/>
      <c r="RLZ107" s="769"/>
      <c r="RMA107" s="769"/>
      <c r="RMB107" s="769"/>
      <c r="RMC107" s="769"/>
      <c r="RMD107" s="769"/>
      <c r="RME107" s="769"/>
      <c r="RMF107" s="769"/>
      <c r="RMG107" s="769"/>
      <c r="RMH107" s="769"/>
      <c r="RMI107" s="769"/>
      <c r="RMJ107" s="769"/>
      <c r="RMK107" s="769"/>
      <c r="RML107" s="769"/>
      <c r="RMM107" s="769"/>
      <c r="RMN107" s="769"/>
      <c r="RMO107" s="769"/>
      <c r="RMP107" s="769"/>
      <c r="RMQ107" s="769"/>
      <c r="RMR107" s="769"/>
      <c r="RMS107" s="769"/>
      <c r="RMT107" s="769"/>
      <c r="RMU107" s="769"/>
      <c r="RMV107" s="769"/>
      <c r="RMW107" s="769"/>
      <c r="RMX107" s="769"/>
      <c r="RMY107" s="769"/>
      <c r="RMZ107" s="769"/>
      <c r="RNA107" s="769"/>
      <c r="RNB107" s="769"/>
      <c r="RNC107" s="769"/>
      <c r="RND107" s="769"/>
      <c r="RNE107" s="769"/>
      <c r="RNF107" s="769"/>
      <c r="RNG107" s="769"/>
      <c r="RNH107" s="769"/>
      <c r="RNI107" s="769"/>
      <c r="RNJ107" s="769"/>
      <c r="RNK107" s="769"/>
      <c r="RNL107" s="769"/>
      <c r="RNM107" s="769"/>
      <c r="RNN107" s="769"/>
      <c r="RNO107" s="769"/>
      <c r="RNP107" s="769"/>
      <c r="RNQ107" s="769"/>
      <c r="RNR107" s="769"/>
      <c r="RNS107" s="769"/>
      <c r="RNT107" s="769"/>
      <c r="RNU107" s="769"/>
      <c r="RNV107" s="769"/>
      <c r="RNW107" s="769"/>
      <c r="RNX107" s="769"/>
      <c r="RNY107" s="769"/>
      <c r="RNZ107" s="769"/>
      <c r="ROA107" s="769"/>
      <c r="ROB107" s="769"/>
      <c r="ROC107" s="769"/>
      <c r="ROD107" s="769"/>
      <c r="ROE107" s="769"/>
      <c r="ROF107" s="769"/>
      <c r="ROG107" s="769"/>
      <c r="ROH107" s="769"/>
      <c r="ROI107" s="769"/>
      <c r="ROJ107" s="769"/>
      <c r="ROK107" s="769"/>
      <c r="ROL107" s="769"/>
      <c r="ROM107" s="769"/>
      <c r="RON107" s="769"/>
      <c r="ROO107" s="769"/>
      <c r="ROP107" s="769"/>
      <c r="ROQ107" s="769"/>
      <c r="ROR107" s="769"/>
      <c r="ROS107" s="769"/>
      <c r="ROT107" s="769"/>
      <c r="ROU107" s="769"/>
      <c r="ROV107" s="769"/>
      <c r="ROW107" s="769"/>
      <c r="ROX107" s="769"/>
      <c r="ROY107" s="769"/>
      <c r="ROZ107" s="769"/>
      <c r="RPA107" s="769"/>
      <c r="RPB107" s="769"/>
      <c r="RPC107" s="769"/>
      <c r="RPD107" s="769"/>
      <c r="RPE107" s="769"/>
      <c r="RPF107" s="769"/>
      <c r="RPG107" s="769"/>
      <c r="RPH107" s="769"/>
      <c r="RPI107" s="769"/>
      <c r="RPJ107" s="769"/>
      <c r="RPK107" s="769"/>
      <c r="RPL107" s="769"/>
      <c r="RPM107" s="769"/>
      <c r="RPN107" s="769"/>
      <c r="RPO107" s="769"/>
      <c r="RPP107" s="769"/>
      <c r="RPQ107" s="769"/>
      <c r="RPR107" s="769"/>
      <c r="RPS107" s="769"/>
      <c r="RPT107" s="769"/>
      <c r="RPU107" s="769"/>
      <c r="RPV107" s="769"/>
      <c r="RPW107" s="769"/>
      <c r="RPX107" s="769"/>
      <c r="RPY107" s="769"/>
      <c r="RPZ107" s="769"/>
      <c r="RQA107" s="769"/>
      <c r="RQB107" s="769"/>
      <c r="RQC107" s="769"/>
      <c r="RQD107" s="769"/>
      <c r="RQE107" s="769"/>
      <c r="RQF107" s="769"/>
      <c r="RQG107" s="769"/>
      <c r="RQH107" s="769"/>
      <c r="RQI107" s="769"/>
      <c r="RQJ107" s="769"/>
      <c r="RQK107" s="769"/>
      <c r="RQL107" s="769"/>
      <c r="RQM107" s="769"/>
      <c r="RQN107" s="769"/>
      <c r="RQO107" s="769"/>
      <c r="RQP107" s="769"/>
      <c r="RQQ107" s="769"/>
      <c r="RQR107" s="769"/>
      <c r="RQS107" s="769"/>
      <c r="RQT107" s="769"/>
      <c r="RQU107" s="769"/>
      <c r="RQV107" s="769"/>
      <c r="RQW107" s="769"/>
      <c r="RQX107" s="769"/>
      <c r="RQY107" s="769"/>
      <c r="RQZ107" s="769"/>
      <c r="RRA107" s="769"/>
      <c r="RRB107" s="769"/>
      <c r="RRC107" s="769"/>
      <c r="RRD107" s="769"/>
      <c r="RRE107" s="769"/>
      <c r="RRF107" s="769"/>
      <c r="RRG107" s="769"/>
      <c r="RRH107" s="769"/>
      <c r="RRI107" s="769"/>
      <c r="RRJ107" s="769"/>
      <c r="RRK107" s="769"/>
      <c r="RRL107" s="769"/>
      <c r="RRM107" s="769"/>
      <c r="RRN107" s="769"/>
      <c r="RRO107" s="769"/>
      <c r="RRP107" s="769"/>
      <c r="RRQ107" s="769"/>
      <c r="RRR107" s="769"/>
      <c r="RRS107" s="769"/>
      <c r="RRT107" s="769"/>
      <c r="RRU107" s="769"/>
      <c r="RRV107" s="769"/>
      <c r="RRW107" s="769"/>
      <c r="RRX107" s="769"/>
      <c r="RRY107" s="769"/>
      <c r="RRZ107" s="769"/>
      <c r="RSA107" s="769"/>
      <c r="RSB107" s="769"/>
      <c r="RSC107" s="769"/>
      <c r="RSD107" s="769"/>
      <c r="RSE107" s="769"/>
      <c r="RSF107" s="769"/>
      <c r="RSG107" s="769"/>
      <c r="RSH107" s="769"/>
      <c r="RSI107" s="769"/>
      <c r="RSJ107" s="769"/>
      <c r="RSK107" s="769"/>
      <c r="RSL107" s="769"/>
      <c r="RSM107" s="769"/>
      <c r="RSN107" s="769"/>
      <c r="RSO107" s="769"/>
      <c r="RSP107" s="769"/>
      <c r="RSQ107" s="769"/>
      <c r="RSR107" s="769"/>
      <c r="RSS107" s="769"/>
      <c r="RST107" s="769"/>
      <c r="RSU107" s="769"/>
      <c r="RSV107" s="769"/>
      <c r="RSW107" s="769"/>
      <c r="RSX107" s="769"/>
      <c r="RSY107" s="769"/>
      <c r="RSZ107" s="769"/>
      <c r="RTA107" s="769"/>
      <c r="RTB107" s="769"/>
      <c r="RTC107" s="769"/>
      <c r="RTD107" s="769"/>
      <c r="RTE107" s="769"/>
      <c r="RTF107" s="769"/>
      <c r="RTG107" s="769"/>
      <c r="RTH107" s="769"/>
      <c r="RTI107" s="769"/>
      <c r="RTJ107" s="769"/>
      <c r="RTK107" s="769"/>
      <c r="RTL107" s="769"/>
      <c r="RTM107" s="769"/>
      <c r="RTN107" s="769"/>
      <c r="RTO107" s="769"/>
      <c r="RTP107" s="769"/>
      <c r="RTQ107" s="769"/>
      <c r="RTR107" s="769"/>
      <c r="RTS107" s="769"/>
      <c r="RTT107" s="769"/>
      <c r="RTU107" s="769"/>
      <c r="RTV107" s="769"/>
      <c r="RTW107" s="769"/>
      <c r="RTX107" s="769"/>
      <c r="RTY107" s="769"/>
      <c r="RTZ107" s="769"/>
      <c r="RUA107" s="769"/>
      <c r="RUB107" s="769"/>
      <c r="RUC107" s="769"/>
      <c r="RUD107" s="769"/>
      <c r="RUE107" s="769"/>
      <c r="RUF107" s="769"/>
      <c r="RUG107" s="769"/>
      <c r="RUH107" s="769"/>
      <c r="RUI107" s="769"/>
      <c r="RUJ107" s="769"/>
      <c r="RUK107" s="769"/>
      <c r="RUL107" s="769"/>
      <c r="RUM107" s="769"/>
      <c r="RUN107" s="769"/>
      <c r="RUO107" s="769"/>
      <c r="RUP107" s="769"/>
      <c r="RUQ107" s="769"/>
      <c r="RUR107" s="769"/>
      <c r="RUS107" s="769"/>
      <c r="RUT107" s="769"/>
      <c r="RUU107" s="769"/>
      <c r="RUV107" s="769"/>
      <c r="RUW107" s="769"/>
      <c r="RUX107" s="769"/>
      <c r="RUY107" s="769"/>
      <c r="RUZ107" s="769"/>
      <c r="RVA107" s="769"/>
      <c r="RVB107" s="769"/>
      <c r="RVC107" s="769"/>
      <c r="RVD107" s="769"/>
      <c r="RVE107" s="769"/>
      <c r="RVF107" s="769"/>
      <c r="RVG107" s="769"/>
      <c r="RVH107" s="769"/>
      <c r="RVI107" s="769"/>
      <c r="RVJ107" s="769"/>
      <c r="RVK107" s="769"/>
      <c r="RVL107" s="769"/>
      <c r="RVM107" s="769"/>
      <c r="RVN107" s="769"/>
      <c r="RVO107" s="769"/>
      <c r="RVP107" s="769"/>
      <c r="RVQ107" s="769"/>
      <c r="RVR107" s="769"/>
      <c r="RVS107" s="769"/>
      <c r="RVT107" s="769"/>
      <c r="RVU107" s="769"/>
      <c r="RVV107" s="769"/>
      <c r="RVW107" s="769"/>
      <c r="RVX107" s="769"/>
      <c r="RVY107" s="769"/>
      <c r="RVZ107" s="769"/>
      <c r="RWA107" s="769"/>
      <c r="RWB107" s="769"/>
      <c r="RWC107" s="769"/>
      <c r="RWD107" s="769"/>
      <c r="RWE107" s="769"/>
      <c r="RWF107" s="769"/>
      <c r="RWG107" s="769"/>
      <c r="RWH107" s="769"/>
      <c r="RWI107" s="769"/>
      <c r="RWJ107" s="769"/>
      <c r="RWK107" s="769"/>
      <c r="RWL107" s="769"/>
      <c r="RWM107" s="769"/>
      <c r="RWN107" s="769"/>
      <c r="RWO107" s="769"/>
      <c r="RWP107" s="769"/>
      <c r="RWQ107" s="769"/>
      <c r="RWR107" s="769"/>
      <c r="RWS107" s="769"/>
      <c r="RWT107" s="769"/>
      <c r="RWU107" s="769"/>
      <c r="RWV107" s="769"/>
      <c r="RWW107" s="769"/>
      <c r="RWX107" s="769"/>
      <c r="RWY107" s="769"/>
      <c r="RWZ107" s="769"/>
      <c r="RXA107" s="769"/>
      <c r="RXB107" s="769"/>
      <c r="RXC107" s="769"/>
      <c r="RXD107" s="769"/>
      <c r="RXE107" s="769"/>
      <c r="RXF107" s="769"/>
      <c r="RXG107" s="769"/>
      <c r="RXH107" s="769"/>
      <c r="RXI107" s="769"/>
      <c r="RXJ107" s="769"/>
      <c r="RXK107" s="769"/>
      <c r="RXL107" s="769"/>
      <c r="RXM107" s="769"/>
      <c r="RXN107" s="769"/>
      <c r="RXO107" s="769"/>
      <c r="RXP107" s="769"/>
      <c r="RXQ107" s="769"/>
      <c r="RXR107" s="769"/>
      <c r="RXS107" s="769"/>
      <c r="RXT107" s="769"/>
      <c r="RXU107" s="769"/>
      <c r="RXV107" s="769"/>
      <c r="RXW107" s="769"/>
      <c r="RXX107" s="769"/>
      <c r="RXY107" s="769"/>
      <c r="RXZ107" s="769"/>
      <c r="RYA107" s="769"/>
      <c r="RYB107" s="769"/>
      <c r="RYC107" s="769"/>
      <c r="RYD107" s="769"/>
      <c r="RYE107" s="769"/>
      <c r="RYF107" s="769"/>
      <c r="RYG107" s="769"/>
      <c r="RYH107" s="769"/>
      <c r="RYI107" s="769"/>
      <c r="RYJ107" s="769"/>
      <c r="RYK107" s="769"/>
      <c r="RYL107" s="769"/>
      <c r="RYM107" s="769"/>
      <c r="RYN107" s="769"/>
      <c r="RYO107" s="769"/>
      <c r="RYP107" s="769"/>
      <c r="RYQ107" s="769"/>
      <c r="RYR107" s="769"/>
      <c r="RYS107" s="769"/>
      <c r="RYT107" s="769"/>
      <c r="RYU107" s="769"/>
      <c r="RYV107" s="769"/>
      <c r="RYW107" s="769"/>
      <c r="RYX107" s="769"/>
      <c r="RYY107" s="769"/>
      <c r="RYZ107" s="769"/>
      <c r="RZA107" s="769"/>
      <c r="RZB107" s="769"/>
      <c r="RZC107" s="769"/>
      <c r="RZD107" s="769"/>
      <c r="RZE107" s="769"/>
      <c r="RZF107" s="769"/>
      <c r="RZG107" s="769"/>
      <c r="RZH107" s="769"/>
      <c r="RZI107" s="769"/>
      <c r="RZJ107" s="769"/>
      <c r="RZK107" s="769"/>
      <c r="RZL107" s="769"/>
      <c r="RZM107" s="769"/>
      <c r="RZN107" s="769"/>
      <c r="RZO107" s="769"/>
      <c r="RZP107" s="769"/>
      <c r="RZQ107" s="769"/>
      <c r="RZR107" s="769"/>
      <c r="RZS107" s="769"/>
      <c r="RZT107" s="769"/>
      <c r="RZU107" s="769"/>
      <c r="RZV107" s="769"/>
      <c r="RZW107" s="769"/>
      <c r="RZX107" s="769"/>
      <c r="RZY107" s="769"/>
      <c r="RZZ107" s="769"/>
      <c r="SAA107" s="769"/>
      <c r="SAB107" s="769"/>
      <c r="SAC107" s="769"/>
      <c r="SAD107" s="769"/>
      <c r="SAE107" s="769"/>
      <c r="SAF107" s="769"/>
      <c r="SAG107" s="769"/>
      <c r="SAH107" s="769"/>
      <c r="SAI107" s="769"/>
      <c r="SAJ107" s="769"/>
      <c r="SAK107" s="769"/>
      <c r="SAL107" s="769"/>
      <c r="SAM107" s="769"/>
      <c r="SAN107" s="769"/>
      <c r="SAO107" s="769"/>
      <c r="SAP107" s="769"/>
      <c r="SAQ107" s="769"/>
      <c r="SAR107" s="769"/>
      <c r="SAS107" s="769"/>
      <c r="SAT107" s="769"/>
      <c r="SAU107" s="769"/>
      <c r="SAV107" s="769"/>
      <c r="SAW107" s="769"/>
      <c r="SAX107" s="769"/>
      <c r="SAY107" s="769"/>
      <c r="SAZ107" s="769"/>
      <c r="SBA107" s="769"/>
      <c r="SBB107" s="769"/>
      <c r="SBC107" s="769"/>
      <c r="SBD107" s="769"/>
      <c r="SBE107" s="769"/>
      <c r="SBF107" s="769"/>
      <c r="SBG107" s="769"/>
      <c r="SBH107" s="769"/>
      <c r="SBI107" s="769"/>
      <c r="SBJ107" s="769"/>
      <c r="SBK107" s="769"/>
      <c r="SBL107" s="769"/>
      <c r="SBM107" s="769"/>
      <c r="SBN107" s="769"/>
      <c r="SBO107" s="769"/>
      <c r="SBP107" s="769"/>
      <c r="SBQ107" s="769"/>
      <c r="SBR107" s="769"/>
      <c r="SBS107" s="769"/>
      <c r="SBT107" s="769"/>
      <c r="SBU107" s="769"/>
      <c r="SBV107" s="769"/>
      <c r="SBW107" s="769"/>
      <c r="SBX107" s="769"/>
      <c r="SBY107" s="769"/>
      <c r="SBZ107" s="769"/>
      <c r="SCA107" s="769"/>
      <c r="SCB107" s="769"/>
      <c r="SCC107" s="769"/>
      <c r="SCD107" s="769"/>
      <c r="SCE107" s="769"/>
      <c r="SCF107" s="769"/>
      <c r="SCG107" s="769"/>
      <c r="SCH107" s="769"/>
      <c r="SCI107" s="769"/>
      <c r="SCJ107" s="769"/>
      <c r="SCK107" s="769"/>
      <c r="SCL107" s="769"/>
      <c r="SCM107" s="769"/>
      <c r="SCN107" s="769"/>
      <c r="SCO107" s="769"/>
      <c r="SCP107" s="769"/>
      <c r="SCQ107" s="769"/>
      <c r="SCR107" s="769"/>
      <c r="SCS107" s="769"/>
      <c r="SCT107" s="769"/>
      <c r="SCU107" s="769"/>
      <c r="SCV107" s="769"/>
      <c r="SCW107" s="769"/>
      <c r="SCX107" s="769"/>
      <c r="SCY107" s="769"/>
      <c r="SCZ107" s="769"/>
      <c r="SDA107" s="769"/>
      <c r="SDB107" s="769"/>
      <c r="SDC107" s="769"/>
      <c r="SDD107" s="769"/>
      <c r="SDE107" s="769"/>
      <c r="SDF107" s="769"/>
      <c r="SDG107" s="769"/>
      <c r="SDH107" s="769"/>
      <c r="SDI107" s="769"/>
      <c r="SDJ107" s="769"/>
      <c r="SDK107" s="769"/>
      <c r="SDL107" s="769"/>
      <c r="SDM107" s="769"/>
      <c r="SDN107" s="769"/>
      <c r="SDO107" s="769"/>
      <c r="SDP107" s="769"/>
      <c r="SDQ107" s="769"/>
      <c r="SDR107" s="769"/>
      <c r="SDS107" s="769"/>
      <c r="SDT107" s="769"/>
      <c r="SDU107" s="769"/>
      <c r="SDV107" s="769"/>
      <c r="SDW107" s="769"/>
      <c r="SDX107" s="769"/>
      <c r="SDY107" s="769"/>
      <c r="SDZ107" s="769"/>
      <c r="SEA107" s="769"/>
      <c r="SEB107" s="769"/>
      <c r="SEC107" s="769"/>
      <c r="SED107" s="769"/>
      <c r="SEE107" s="769"/>
      <c r="SEF107" s="769"/>
      <c r="SEG107" s="769"/>
      <c r="SEH107" s="769"/>
      <c r="SEI107" s="769"/>
      <c r="SEJ107" s="769"/>
      <c r="SEK107" s="769"/>
      <c r="SEL107" s="769"/>
      <c r="SEM107" s="769"/>
      <c r="SEN107" s="769"/>
      <c r="SEO107" s="769"/>
      <c r="SEP107" s="769"/>
      <c r="SEQ107" s="769"/>
      <c r="SER107" s="769"/>
      <c r="SES107" s="769"/>
      <c r="SET107" s="769"/>
      <c r="SEU107" s="769"/>
      <c r="SEV107" s="769"/>
      <c r="SEW107" s="769"/>
      <c r="SEX107" s="769"/>
      <c r="SEY107" s="769"/>
      <c r="SEZ107" s="769"/>
      <c r="SFA107" s="769"/>
      <c r="SFB107" s="769"/>
      <c r="SFC107" s="769"/>
      <c r="SFD107" s="769"/>
      <c r="SFE107" s="769"/>
      <c r="SFF107" s="769"/>
      <c r="SFG107" s="769"/>
      <c r="SFH107" s="769"/>
      <c r="SFI107" s="769"/>
      <c r="SFJ107" s="769"/>
      <c r="SFK107" s="769"/>
      <c r="SFL107" s="769"/>
      <c r="SFM107" s="769"/>
      <c r="SFN107" s="769"/>
      <c r="SFO107" s="769"/>
      <c r="SFP107" s="769"/>
      <c r="SFQ107" s="769"/>
      <c r="SFR107" s="769"/>
      <c r="SFS107" s="769"/>
      <c r="SFT107" s="769"/>
      <c r="SFU107" s="769"/>
      <c r="SFV107" s="769"/>
      <c r="SFW107" s="769"/>
      <c r="SFX107" s="769"/>
      <c r="SFY107" s="769"/>
      <c r="SFZ107" s="769"/>
      <c r="SGA107" s="769"/>
      <c r="SGB107" s="769"/>
      <c r="SGC107" s="769"/>
      <c r="SGD107" s="769"/>
      <c r="SGE107" s="769"/>
      <c r="SGF107" s="769"/>
      <c r="SGG107" s="769"/>
      <c r="SGH107" s="769"/>
      <c r="SGI107" s="769"/>
      <c r="SGJ107" s="769"/>
      <c r="SGK107" s="769"/>
      <c r="SGL107" s="769"/>
      <c r="SGM107" s="769"/>
      <c r="SGN107" s="769"/>
      <c r="SGO107" s="769"/>
      <c r="SGP107" s="769"/>
      <c r="SGQ107" s="769"/>
      <c r="SGR107" s="769"/>
      <c r="SGS107" s="769"/>
      <c r="SGT107" s="769"/>
      <c r="SGU107" s="769"/>
      <c r="SGV107" s="769"/>
      <c r="SGW107" s="769"/>
      <c r="SGX107" s="769"/>
      <c r="SGY107" s="769"/>
      <c r="SGZ107" s="769"/>
      <c r="SHA107" s="769"/>
      <c r="SHB107" s="769"/>
      <c r="SHC107" s="769"/>
      <c r="SHD107" s="769"/>
      <c r="SHE107" s="769"/>
      <c r="SHF107" s="769"/>
      <c r="SHG107" s="769"/>
      <c r="SHH107" s="769"/>
      <c r="SHI107" s="769"/>
      <c r="SHJ107" s="769"/>
      <c r="SHK107" s="769"/>
      <c r="SHL107" s="769"/>
      <c r="SHM107" s="769"/>
      <c r="SHN107" s="769"/>
      <c r="SHO107" s="769"/>
      <c r="SHP107" s="769"/>
      <c r="SHQ107" s="769"/>
      <c r="SHR107" s="769"/>
      <c r="SHS107" s="769"/>
      <c r="SHT107" s="769"/>
      <c r="SHU107" s="769"/>
      <c r="SHV107" s="769"/>
      <c r="SHW107" s="769"/>
      <c r="SHX107" s="769"/>
      <c r="SHY107" s="769"/>
      <c r="SHZ107" s="769"/>
      <c r="SIA107" s="769"/>
      <c r="SIB107" s="769"/>
      <c r="SIC107" s="769"/>
      <c r="SID107" s="769"/>
      <c r="SIE107" s="769"/>
      <c r="SIF107" s="769"/>
      <c r="SIG107" s="769"/>
      <c r="SIH107" s="769"/>
      <c r="SII107" s="769"/>
      <c r="SIJ107" s="769"/>
      <c r="SIK107" s="769"/>
      <c r="SIL107" s="769"/>
      <c r="SIM107" s="769"/>
      <c r="SIN107" s="769"/>
      <c r="SIO107" s="769"/>
      <c r="SIP107" s="769"/>
      <c r="SIQ107" s="769"/>
      <c r="SIR107" s="769"/>
      <c r="SIS107" s="769"/>
      <c r="SIT107" s="769"/>
      <c r="SIU107" s="769"/>
      <c r="SIV107" s="769"/>
      <c r="SIW107" s="769"/>
      <c r="SIX107" s="769"/>
      <c r="SIY107" s="769"/>
      <c r="SIZ107" s="769"/>
      <c r="SJA107" s="769"/>
      <c r="SJB107" s="769"/>
      <c r="SJC107" s="769"/>
      <c r="SJD107" s="769"/>
      <c r="SJE107" s="769"/>
      <c r="SJF107" s="769"/>
      <c r="SJG107" s="769"/>
      <c r="SJH107" s="769"/>
      <c r="SJI107" s="769"/>
      <c r="SJJ107" s="769"/>
      <c r="SJK107" s="769"/>
      <c r="SJL107" s="769"/>
      <c r="SJM107" s="769"/>
      <c r="SJN107" s="769"/>
      <c r="SJO107" s="769"/>
      <c r="SJP107" s="769"/>
      <c r="SJQ107" s="769"/>
      <c r="SJR107" s="769"/>
      <c r="SJS107" s="769"/>
      <c r="SJT107" s="769"/>
      <c r="SJU107" s="769"/>
      <c r="SJV107" s="769"/>
      <c r="SJW107" s="769"/>
      <c r="SJX107" s="769"/>
      <c r="SJY107" s="769"/>
      <c r="SJZ107" s="769"/>
      <c r="SKA107" s="769"/>
      <c r="SKB107" s="769"/>
      <c r="SKC107" s="769"/>
      <c r="SKD107" s="769"/>
      <c r="SKE107" s="769"/>
      <c r="SKF107" s="769"/>
      <c r="SKG107" s="769"/>
      <c r="SKH107" s="769"/>
      <c r="SKI107" s="769"/>
      <c r="SKJ107" s="769"/>
      <c r="SKK107" s="769"/>
      <c r="SKL107" s="769"/>
      <c r="SKM107" s="769"/>
      <c r="SKN107" s="769"/>
      <c r="SKO107" s="769"/>
      <c r="SKP107" s="769"/>
      <c r="SKQ107" s="769"/>
      <c r="SKR107" s="769"/>
      <c r="SKS107" s="769"/>
      <c r="SKT107" s="769"/>
      <c r="SKU107" s="769"/>
      <c r="SKV107" s="769"/>
      <c r="SKW107" s="769"/>
      <c r="SKX107" s="769"/>
      <c r="SKY107" s="769"/>
      <c r="SKZ107" s="769"/>
      <c r="SLA107" s="769"/>
      <c r="SLB107" s="769"/>
      <c r="SLC107" s="769"/>
      <c r="SLD107" s="769"/>
      <c r="SLE107" s="769"/>
      <c r="SLF107" s="769"/>
      <c r="SLG107" s="769"/>
      <c r="SLH107" s="769"/>
      <c r="SLI107" s="769"/>
      <c r="SLJ107" s="769"/>
      <c r="SLK107" s="769"/>
      <c r="SLL107" s="769"/>
      <c r="SLM107" s="769"/>
      <c r="SLN107" s="769"/>
      <c r="SLO107" s="769"/>
      <c r="SLP107" s="769"/>
      <c r="SLQ107" s="769"/>
      <c r="SLR107" s="769"/>
      <c r="SLS107" s="769"/>
      <c r="SLT107" s="769"/>
      <c r="SLU107" s="769"/>
      <c r="SLV107" s="769"/>
      <c r="SLW107" s="769"/>
      <c r="SLX107" s="769"/>
      <c r="SLY107" s="769"/>
      <c r="SLZ107" s="769"/>
      <c r="SMA107" s="769"/>
      <c r="SMB107" s="769"/>
      <c r="SMC107" s="769"/>
      <c r="SMD107" s="769"/>
      <c r="SME107" s="769"/>
      <c r="SMF107" s="769"/>
      <c r="SMG107" s="769"/>
      <c r="SMH107" s="769"/>
      <c r="SMI107" s="769"/>
      <c r="SMJ107" s="769"/>
      <c r="SMK107" s="769"/>
      <c r="SML107" s="769"/>
      <c r="SMM107" s="769"/>
      <c r="SMN107" s="769"/>
      <c r="SMO107" s="769"/>
      <c r="SMP107" s="769"/>
      <c r="SMQ107" s="769"/>
      <c r="SMR107" s="769"/>
      <c r="SMS107" s="769"/>
      <c r="SMT107" s="769"/>
      <c r="SMU107" s="769"/>
      <c r="SMV107" s="769"/>
      <c r="SMW107" s="769"/>
      <c r="SMX107" s="769"/>
      <c r="SMY107" s="769"/>
      <c r="SMZ107" s="769"/>
      <c r="SNA107" s="769"/>
      <c r="SNB107" s="769"/>
      <c r="SNC107" s="769"/>
      <c r="SND107" s="769"/>
      <c r="SNE107" s="769"/>
      <c r="SNF107" s="769"/>
      <c r="SNG107" s="769"/>
      <c r="SNH107" s="769"/>
      <c r="SNI107" s="769"/>
      <c r="SNJ107" s="769"/>
      <c r="SNK107" s="769"/>
      <c r="SNL107" s="769"/>
      <c r="SNM107" s="769"/>
      <c r="SNN107" s="769"/>
      <c r="SNO107" s="769"/>
      <c r="SNP107" s="769"/>
      <c r="SNQ107" s="769"/>
      <c r="SNR107" s="769"/>
      <c r="SNS107" s="769"/>
      <c r="SNT107" s="769"/>
      <c r="SNU107" s="769"/>
      <c r="SNV107" s="769"/>
      <c r="SNW107" s="769"/>
      <c r="SNX107" s="769"/>
      <c r="SNY107" s="769"/>
      <c r="SNZ107" s="769"/>
      <c r="SOA107" s="769"/>
      <c r="SOB107" s="769"/>
      <c r="SOC107" s="769"/>
      <c r="SOD107" s="769"/>
      <c r="SOE107" s="769"/>
      <c r="SOF107" s="769"/>
      <c r="SOG107" s="769"/>
      <c r="SOH107" s="769"/>
      <c r="SOI107" s="769"/>
      <c r="SOJ107" s="769"/>
      <c r="SOK107" s="769"/>
      <c r="SOL107" s="769"/>
      <c r="SOM107" s="769"/>
      <c r="SON107" s="769"/>
      <c r="SOO107" s="769"/>
      <c r="SOP107" s="769"/>
      <c r="SOQ107" s="769"/>
      <c r="SOR107" s="769"/>
      <c r="SOS107" s="769"/>
      <c r="SOT107" s="769"/>
      <c r="SOU107" s="769"/>
      <c r="SOV107" s="769"/>
      <c r="SOW107" s="769"/>
      <c r="SOX107" s="769"/>
      <c r="SOY107" s="769"/>
      <c r="SOZ107" s="769"/>
      <c r="SPA107" s="769"/>
      <c r="SPB107" s="769"/>
      <c r="SPC107" s="769"/>
      <c r="SPD107" s="769"/>
      <c r="SPE107" s="769"/>
      <c r="SPF107" s="769"/>
      <c r="SPG107" s="769"/>
      <c r="SPH107" s="769"/>
      <c r="SPI107" s="769"/>
      <c r="SPJ107" s="769"/>
      <c r="SPK107" s="769"/>
      <c r="SPL107" s="769"/>
      <c r="SPM107" s="769"/>
      <c r="SPN107" s="769"/>
      <c r="SPO107" s="769"/>
      <c r="SPP107" s="769"/>
      <c r="SPQ107" s="769"/>
      <c r="SPR107" s="769"/>
      <c r="SPS107" s="769"/>
      <c r="SPT107" s="769"/>
      <c r="SPU107" s="769"/>
      <c r="SPV107" s="769"/>
      <c r="SPW107" s="769"/>
      <c r="SPX107" s="769"/>
      <c r="SPY107" s="769"/>
      <c r="SPZ107" s="769"/>
      <c r="SQA107" s="769"/>
      <c r="SQB107" s="769"/>
      <c r="SQC107" s="769"/>
      <c r="SQD107" s="769"/>
      <c r="SQE107" s="769"/>
      <c r="SQF107" s="769"/>
      <c r="SQG107" s="769"/>
      <c r="SQH107" s="769"/>
      <c r="SQI107" s="769"/>
      <c r="SQJ107" s="769"/>
      <c r="SQK107" s="769"/>
      <c r="SQL107" s="769"/>
      <c r="SQM107" s="769"/>
      <c r="SQN107" s="769"/>
      <c r="SQO107" s="769"/>
      <c r="SQP107" s="769"/>
      <c r="SQQ107" s="769"/>
      <c r="SQR107" s="769"/>
      <c r="SQS107" s="769"/>
      <c r="SQT107" s="769"/>
      <c r="SQU107" s="769"/>
      <c r="SQV107" s="769"/>
      <c r="SQW107" s="769"/>
      <c r="SQX107" s="769"/>
      <c r="SQY107" s="769"/>
      <c r="SQZ107" s="769"/>
      <c r="SRA107" s="769"/>
      <c r="SRB107" s="769"/>
      <c r="SRC107" s="769"/>
      <c r="SRD107" s="769"/>
      <c r="SRE107" s="769"/>
      <c r="SRF107" s="769"/>
      <c r="SRG107" s="769"/>
      <c r="SRH107" s="769"/>
      <c r="SRI107" s="769"/>
      <c r="SRJ107" s="769"/>
      <c r="SRK107" s="769"/>
      <c r="SRL107" s="769"/>
      <c r="SRM107" s="769"/>
      <c r="SRN107" s="769"/>
      <c r="SRO107" s="769"/>
      <c r="SRP107" s="769"/>
      <c r="SRQ107" s="769"/>
      <c r="SRR107" s="769"/>
      <c r="SRS107" s="769"/>
      <c r="SRT107" s="769"/>
      <c r="SRU107" s="769"/>
      <c r="SRV107" s="769"/>
      <c r="SRW107" s="769"/>
      <c r="SRX107" s="769"/>
      <c r="SRY107" s="769"/>
      <c r="SRZ107" s="769"/>
      <c r="SSA107" s="769"/>
      <c r="SSB107" s="769"/>
      <c r="SSC107" s="769"/>
      <c r="SSD107" s="769"/>
      <c r="SSE107" s="769"/>
      <c r="SSF107" s="769"/>
      <c r="SSG107" s="769"/>
      <c r="SSH107" s="769"/>
      <c r="SSI107" s="769"/>
      <c r="SSJ107" s="769"/>
      <c r="SSK107" s="769"/>
      <c r="SSL107" s="769"/>
      <c r="SSM107" s="769"/>
      <c r="SSN107" s="769"/>
      <c r="SSO107" s="769"/>
      <c r="SSP107" s="769"/>
      <c r="SSQ107" s="769"/>
      <c r="SSR107" s="769"/>
      <c r="SSS107" s="769"/>
      <c r="SST107" s="769"/>
      <c r="SSU107" s="769"/>
      <c r="SSV107" s="769"/>
      <c r="SSW107" s="769"/>
      <c r="SSX107" s="769"/>
      <c r="SSY107" s="769"/>
      <c r="SSZ107" s="769"/>
      <c r="STA107" s="769"/>
      <c r="STB107" s="769"/>
      <c r="STC107" s="769"/>
      <c r="STD107" s="769"/>
      <c r="STE107" s="769"/>
      <c r="STF107" s="769"/>
      <c r="STG107" s="769"/>
      <c r="STH107" s="769"/>
      <c r="STI107" s="769"/>
      <c r="STJ107" s="769"/>
      <c r="STK107" s="769"/>
      <c r="STL107" s="769"/>
      <c r="STM107" s="769"/>
      <c r="STN107" s="769"/>
      <c r="STO107" s="769"/>
      <c r="STP107" s="769"/>
      <c r="STQ107" s="769"/>
      <c r="STR107" s="769"/>
      <c r="STS107" s="769"/>
      <c r="STT107" s="769"/>
      <c r="STU107" s="769"/>
      <c r="STV107" s="769"/>
      <c r="STW107" s="769"/>
      <c r="STX107" s="769"/>
      <c r="STY107" s="769"/>
      <c r="STZ107" s="769"/>
      <c r="SUA107" s="769"/>
      <c r="SUB107" s="769"/>
      <c r="SUC107" s="769"/>
      <c r="SUD107" s="769"/>
      <c r="SUE107" s="769"/>
      <c r="SUF107" s="769"/>
      <c r="SUG107" s="769"/>
      <c r="SUH107" s="769"/>
      <c r="SUI107" s="769"/>
      <c r="SUJ107" s="769"/>
      <c r="SUK107" s="769"/>
      <c r="SUL107" s="769"/>
      <c r="SUM107" s="769"/>
      <c r="SUN107" s="769"/>
      <c r="SUO107" s="769"/>
      <c r="SUP107" s="769"/>
      <c r="SUQ107" s="769"/>
      <c r="SUR107" s="769"/>
      <c r="SUS107" s="769"/>
      <c r="SUT107" s="769"/>
      <c r="SUU107" s="769"/>
      <c r="SUV107" s="769"/>
      <c r="SUW107" s="769"/>
      <c r="SUX107" s="769"/>
      <c r="SUY107" s="769"/>
      <c r="SUZ107" s="769"/>
      <c r="SVA107" s="769"/>
      <c r="SVB107" s="769"/>
      <c r="SVC107" s="769"/>
      <c r="SVD107" s="769"/>
      <c r="SVE107" s="769"/>
      <c r="SVF107" s="769"/>
      <c r="SVG107" s="769"/>
      <c r="SVH107" s="769"/>
      <c r="SVI107" s="769"/>
      <c r="SVJ107" s="769"/>
      <c r="SVK107" s="769"/>
      <c r="SVL107" s="769"/>
      <c r="SVM107" s="769"/>
      <c r="SVN107" s="769"/>
      <c r="SVO107" s="769"/>
      <c r="SVP107" s="769"/>
      <c r="SVQ107" s="769"/>
      <c r="SVR107" s="769"/>
      <c r="SVS107" s="769"/>
      <c r="SVT107" s="769"/>
      <c r="SVU107" s="769"/>
      <c r="SVV107" s="769"/>
      <c r="SVW107" s="769"/>
      <c r="SVX107" s="769"/>
      <c r="SVY107" s="769"/>
      <c r="SVZ107" s="769"/>
      <c r="SWA107" s="769"/>
      <c r="SWB107" s="769"/>
      <c r="SWC107" s="769"/>
      <c r="SWD107" s="769"/>
      <c r="SWE107" s="769"/>
      <c r="SWF107" s="769"/>
      <c r="SWG107" s="769"/>
      <c r="SWH107" s="769"/>
      <c r="SWI107" s="769"/>
      <c r="SWJ107" s="769"/>
      <c r="SWK107" s="769"/>
      <c r="SWL107" s="769"/>
      <c r="SWM107" s="769"/>
      <c r="SWN107" s="769"/>
      <c r="SWO107" s="769"/>
      <c r="SWP107" s="769"/>
      <c r="SWQ107" s="769"/>
      <c r="SWR107" s="769"/>
      <c r="SWS107" s="769"/>
      <c r="SWT107" s="769"/>
      <c r="SWU107" s="769"/>
      <c r="SWV107" s="769"/>
      <c r="SWW107" s="769"/>
      <c r="SWX107" s="769"/>
      <c r="SWY107" s="769"/>
      <c r="SWZ107" s="769"/>
      <c r="SXA107" s="769"/>
      <c r="SXB107" s="769"/>
      <c r="SXC107" s="769"/>
      <c r="SXD107" s="769"/>
      <c r="SXE107" s="769"/>
      <c r="SXF107" s="769"/>
      <c r="SXG107" s="769"/>
      <c r="SXH107" s="769"/>
      <c r="SXI107" s="769"/>
      <c r="SXJ107" s="769"/>
      <c r="SXK107" s="769"/>
      <c r="SXL107" s="769"/>
      <c r="SXM107" s="769"/>
      <c r="SXN107" s="769"/>
      <c r="SXO107" s="769"/>
      <c r="SXP107" s="769"/>
      <c r="SXQ107" s="769"/>
      <c r="SXR107" s="769"/>
      <c r="SXS107" s="769"/>
      <c r="SXT107" s="769"/>
      <c r="SXU107" s="769"/>
      <c r="SXV107" s="769"/>
      <c r="SXW107" s="769"/>
      <c r="SXX107" s="769"/>
      <c r="SXY107" s="769"/>
      <c r="SXZ107" s="769"/>
      <c r="SYA107" s="769"/>
      <c r="SYB107" s="769"/>
      <c r="SYC107" s="769"/>
      <c r="SYD107" s="769"/>
      <c r="SYE107" s="769"/>
      <c r="SYF107" s="769"/>
      <c r="SYG107" s="769"/>
      <c r="SYH107" s="769"/>
      <c r="SYI107" s="769"/>
      <c r="SYJ107" s="769"/>
      <c r="SYK107" s="769"/>
      <c r="SYL107" s="769"/>
      <c r="SYM107" s="769"/>
      <c r="SYN107" s="769"/>
      <c r="SYO107" s="769"/>
      <c r="SYP107" s="769"/>
      <c r="SYQ107" s="769"/>
      <c r="SYR107" s="769"/>
      <c r="SYS107" s="769"/>
      <c r="SYT107" s="769"/>
      <c r="SYU107" s="769"/>
      <c r="SYV107" s="769"/>
      <c r="SYW107" s="769"/>
      <c r="SYX107" s="769"/>
      <c r="SYY107" s="769"/>
      <c r="SYZ107" s="769"/>
      <c r="SZA107" s="769"/>
      <c r="SZB107" s="769"/>
      <c r="SZC107" s="769"/>
      <c r="SZD107" s="769"/>
      <c r="SZE107" s="769"/>
      <c r="SZF107" s="769"/>
      <c r="SZG107" s="769"/>
      <c r="SZH107" s="769"/>
      <c r="SZI107" s="769"/>
      <c r="SZJ107" s="769"/>
      <c r="SZK107" s="769"/>
      <c r="SZL107" s="769"/>
      <c r="SZM107" s="769"/>
      <c r="SZN107" s="769"/>
      <c r="SZO107" s="769"/>
      <c r="SZP107" s="769"/>
      <c r="SZQ107" s="769"/>
      <c r="SZR107" s="769"/>
      <c r="SZS107" s="769"/>
      <c r="SZT107" s="769"/>
      <c r="SZU107" s="769"/>
      <c r="SZV107" s="769"/>
      <c r="SZW107" s="769"/>
      <c r="SZX107" s="769"/>
      <c r="SZY107" s="769"/>
      <c r="SZZ107" s="769"/>
      <c r="TAA107" s="769"/>
      <c r="TAB107" s="769"/>
      <c r="TAC107" s="769"/>
      <c r="TAD107" s="769"/>
      <c r="TAE107" s="769"/>
      <c r="TAF107" s="769"/>
      <c r="TAG107" s="769"/>
      <c r="TAH107" s="769"/>
      <c r="TAI107" s="769"/>
      <c r="TAJ107" s="769"/>
      <c r="TAK107" s="769"/>
      <c r="TAL107" s="769"/>
      <c r="TAM107" s="769"/>
      <c r="TAN107" s="769"/>
      <c r="TAO107" s="769"/>
      <c r="TAP107" s="769"/>
      <c r="TAQ107" s="769"/>
      <c r="TAR107" s="769"/>
      <c r="TAS107" s="769"/>
      <c r="TAT107" s="769"/>
      <c r="TAU107" s="769"/>
      <c r="TAV107" s="769"/>
      <c r="TAW107" s="769"/>
      <c r="TAX107" s="769"/>
      <c r="TAY107" s="769"/>
      <c r="TAZ107" s="769"/>
      <c r="TBA107" s="769"/>
      <c r="TBB107" s="769"/>
      <c r="TBC107" s="769"/>
      <c r="TBD107" s="769"/>
      <c r="TBE107" s="769"/>
      <c r="TBF107" s="769"/>
      <c r="TBG107" s="769"/>
      <c r="TBH107" s="769"/>
      <c r="TBI107" s="769"/>
      <c r="TBJ107" s="769"/>
      <c r="TBK107" s="769"/>
      <c r="TBL107" s="769"/>
      <c r="TBM107" s="769"/>
      <c r="TBN107" s="769"/>
      <c r="TBO107" s="769"/>
      <c r="TBP107" s="769"/>
      <c r="TBQ107" s="769"/>
      <c r="TBR107" s="769"/>
      <c r="TBS107" s="769"/>
      <c r="TBT107" s="769"/>
      <c r="TBU107" s="769"/>
      <c r="TBV107" s="769"/>
      <c r="TBW107" s="769"/>
      <c r="TBX107" s="769"/>
      <c r="TBY107" s="769"/>
      <c r="TBZ107" s="769"/>
      <c r="TCA107" s="769"/>
      <c r="TCB107" s="769"/>
      <c r="TCC107" s="769"/>
      <c r="TCD107" s="769"/>
      <c r="TCE107" s="769"/>
      <c r="TCF107" s="769"/>
      <c r="TCG107" s="769"/>
      <c r="TCH107" s="769"/>
      <c r="TCI107" s="769"/>
      <c r="TCJ107" s="769"/>
      <c r="TCK107" s="769"/>
      <c r="TCL107" s="769"/>
      <c r="TCM107" s="769"/>
      <c r="TCN107" s="769"/>
      <c r="TCO107" s="769"/>
      <c r="TCP107" s="769"/>
      <c r="TCQ107" s="769"/>
      <c r="TCR107" s="769"/>
      <c r="TCS107" s="769"/>
      <c r="TCT107" s="769"/>
      <c r="TCU107" s="769"/>
      <c r="TCV107" s="769"/>
      <c r="TCW107" s="769"/>
      <c r="TCX107" s="769"/>
      <c r="TCY107" s="769"/>
      <c r="TCZ107" s="769"/>
      <c r="TDA107" s="769"/>
      <c r="TDB107" s="769"/>
      <c r="TDC107" s="769"/>
      <c r="TDD107" s="769"/>
      <c r="TDE107" s="769"/>
      <c r="TDF107" s="769"/>
      <c r="TDG107" s="769"/>
      <c r="TDH107" s="769"/>
      <c r="TDI107" s="769"/>
      <c r="TDJ107" s="769"/>
      <c r="TDK107" s="769"/>
      <c r="TDL107" s="769"/>
      <c r="TDM107" s="769"/>
      <c r="TDN107" s="769"/>
      <c r="TDO107" s="769"/>
      <c r="TDP107" s="769"/>
      <c r="TDQ107" s="769"/>
      <c r="TDR107" s="769"/>
      <c r="TDS107" s="769"/>
      <c r="TDT107" s="769"/>
      <c r="TDU107" s="769"/>
      <c r="TDV107" s="769"/>
      <c r="TDW107" s="769"/>
      <c r="TDX107" s="769"/>
      <c r="TDY107" s="769"/>
      <c r="TDZ107" s="769"/>
      <c r="TEA107" s="769"/>
      <c r="TEB107" s="769"/>
      <c r="TEC107" s="769"/>
      <c r="TED107" s="769"/>
      <c r="TEE107" s="769"/>
      <c r="TEF107" s="769"/>
      <c r="TEG107" s="769"/>
      <c r="TEH107" s="769"/>
      <c r="TEI107" s="769"/>
      <c r="TEJ107" s="769"/>
      <c r="TEK107" s="769"/>
      <c r="TEL107" s="769"/>
      <c r="TEM107" s="769"/>
      <c r="TEN107" s="769"/>
      <c r="TEO107" s="769"/>
      <c r="TEP107" s="769"/>
      <c r="TEQ107" s="769"/>
      <c r="TER107" s="769"/>
      <c r="TES107" s="769"/>
      <c r="TET107" s="769"/>
      <c r="TEU107" s="769"/>
      <c r="TEV107" s="769"/>
      <c r="TEW107" s="769"/>
      <c r="TEX107" s="769"/>
      <c r="TEY107" s="769"/>
      <c r="TEZ107" s="769"/>
      <c r="TFA107" s="769"/>
      <c r="TFB107" s="769"/>
      <c r="TFC107" s="769"/>
      <c r="TFD107" s="769"/>
      <c r="TFE107" s="769"/>
      <c r="TFF107" s="769"/>
      <c r="TFG107" s="769"/>
      <c r="TFH107" s="769"/>
      <c r="TFI107" s="769"/>
      <c r="TFJ107" s="769"/>
      <c r="TFK107" s="769"/>
      <c r="TFL107" s="769"/>
      <c r="TFM107" s="769"/>
      <c r="TFN107" s="769"/>
      <c r="TFO107" s="769"/>
      <c r="TFP107" s="769"/>
      <c r="TFQ107" s="769"/>
      <c r="TFR107" s="769"/>
      <c r="TFS107" s="769"/>
      <c r="TFT107" s="769"/>
      <c r="TFU107" s="769"/>
      <c r="TFV107" s="769"/>
      <c r="TFW107" s="769"/>
      <c r="TFX107" s="769"/>
      <c r="TFY107" s="769"/>
      <c r="TFZ107" s="769"/>
      <c r="TGA107" s="769"/>
      <c r="TGB107" s="769"/>
      <c r="TGC107" s="769"/>
      <c r="TGD107" s="769"/>
      <c r="TGE107" s="769"/>
      <c r="TGF107" s="769"/>
      <c r="TGG107" s="769"/>
      <c r="TGH107" s="769"/>
      <c r="TGI107" s="769"/>
      <c r="TGJ107" s="769"/>
      <c r="TGK107" s="769"/>
      <c r="TGL107" s="769"/>
      <c r="TGM107" s="769"/>
      <c r="TGN107" s="769"/>
      <c r="TGO107" s="769"/>
      <c r="TGP107" s="769"/>
      <c r="TGQ107" s="769"/>
      <c r="TGR107" s="769"/>
      <c r="TGS107" s="769"/>
      <c r="TGT107" s="769"/>
      <c r="TGU107" s="769"/>
      <c r="TGV107" s="769"/>
      <c r="TGW107" s="769"/>
      <c r="TGX107" s="769"/>
      <c r="TGY107" s="769"/>
      <c r="TGZ107" s="769"/>
      <c r="THA107" s="769"/>
      <c r="THB107" s="769"/>
      <c r="THC107" s="769"/>
      <c r="THD107" s="769"/>
      <c r="THE107" s="769"/>
      <c r="THF107" s="769"/>
      <c r="THG107" s="769"/>
      <c r="THH107" s="769"/>
      <c r="THI107" s="769"/>
      <c r="THJ107" s="769"/>
      <c r="THK107" s="769"/>
      <c r="THL107" s="769"/>
      <c r="THM107" s="769"/>
      <c r="THN107" s="769"/>
      <c r="THO107" s="769"/>
      <c r="THP107" s="769"/>
      <c r="THQ107" s="769"/>
      <c r="THR107" s="769"/>
      <c r="THS107" s="769"/>
      <c r="THT107" s="769"/>
      <c r="THU107" s="769"/>
      <c r="THV107" s="769"/>
      <c r="THW107" s="769"/>
      <c r="THX107" s="769"/>
      <c r="THY107" s="769"/>
      <c r="THZ107" s="769"/>
      <c r="TIA107" s="769"/>
      <c r="TIB107" s="769"/>
      <c r="TIC107" s="769"/>
      <c r="TID107" s="769"/>
      <c r="TIE107" s="769"/>
      <c r="TIF107" s="769"/>
      <c r="TIG107" s="769"/>
      <c r="TIH107" s="769"/>
      <c r="TII107" s="769"/>
      <c r="TIJ107" s="769"/>
      <c r="TIK107" s="769"/>
      <c r="TIL107" s="769"/>
      <c r="TIM107" s="769"/>
      <c r="TIN107" s="769"/>
      <c r="TIO107" s="769"/>
      <c r="TIP107" s="769"/>
      <c r="TIQ107" s="769"/>
      <c r="TIR107" s="769"/>
      <c r="TIS107" s="769"/>
      <c r="TIT107" s="769"/>
      <c r="TIU107" s="769"/>
      <c r="TIV107" s="769"/>
      <c r="TIW107" s="769"/>
      <c r="TIX107" s="769"/>
      <c r="TIY107" s="769"/>
      <c r="TIZ107" s="769"/>
      <c r="TJA107" s="769"/>
      <c r="TJB107" s="769"/>
      <c r="TJC107" s="769"/>
      <c r="TJD107" s="769"/>
      <c r="TJE107" s="769"/>
      <c r="TJF107" s="769"/>
      <c r="TJG107" s="769"/>
      <c r="TJH107" s="769"/>
      <c r="TJI107" s="769"/>
      <c r="TJJ107" s="769"/>
      <c r="TJK107" s="769"/>
      <c r="TJL107" s="769"/>
      <c r="TJM107" s="769"/>
      <c r="TJN107" s="769"/>
      <c r="TJO107" s="769"/>
      <c r="TJP107" s="769"/>
      <c r="TJQ107" s="769"/>
      <c r="TJR107" s="769"/>
      <c r="TJS107" s="769"/>
      <c r="TJT107" s="769"/>
      <c r="TJU107" s="769"/>
      <c r="TJV107" s="769"/>
      <c r="TJW107" s="769"/>
      <c r="TJX107" s="769"/>
      <c r="TJY107" s="769"/>
      <c r="TJZ107" s="769"/>
      <c r="TKA107" s="769"/>
      <c r="TKB107" s="769"/>
      <c r="TKC107" s="769"/>
      <c r="TKD107" s="769"/>
      <c r="TKE107" s="769"/>
      <c r="TKF107" s="769"/>
      <c r="TKG107" s="769"/>
      <c r="TKH107" s="769"/>
      <c r="TKI107" s="769"/>
      <c r="TKJ107" s="769"/>
      <c r="TKK107" s="769"/>
      <c r="TKL107" s="769"/>
      <c r="TKM107" s="769"/>
      <c r="TKN107" s="769"/>
      <c r="TKO107" s="769"/>
      <c r="TKP107" s="769"/>
      <c r="TKQ107" s="769"/>
      <c r="TKR107" s="769"/>
      <c r="TKS107" s="769"/>
      <c r="TKT107" s="769"/>
      <c r="TKU107" s="769"/>
      <c r="TKV107" s="769"/>
      <c r="TKW107" s="769"/>
      <c r="TKX107" s="769"/>
      <c r="TKY107" s="769"/>
      <c r="TKZ107" s="769"/>
      <c r="TLA107" s="769"/>
      <c r="TLB107" s="769"/>
      <c r="TLC107" s="769"/>
      <c r="TLD107" s="769"/>
      <c r="TLE107" s="769"/>
      <c r="TLF107" s="769"/>
      <c r="TLG107" s="769"/>
      <c r="TLH107" s="769"/>
      <c r="TLI107" s="769"/>
      <c r="TLJ107" s="769"/>
      <c r="TLK107" s="769"/>
      <c r="TLL107" s="769"/>
      <c r="TLM107" s="769"/>
      <c r="TLN107" s="769"/>
      <c r="TLO107" s="769"/>
      <c r="TLP107" s="769"/>
      <c r="TLQ107" s="769"/>
      <c r="TLR107" s="769"/>
      <c r="TLS107" s="769"/>
      <c r="TLT107" s="769"/>
      <c r="TLU107" s="769"/>
      <c r="TLV107" s="769"/>
      <c r="TLW107" s="769"/>
      <c r="TLX107" s="769"/>
      <c r="TLY107" s="769"/>
      <c r="TLZ107" s="769"/>
      <c r="TMA107" s="769"/>
      <c r="TMB107" s="769"/>
      <c r="TMC107" s="769"/>
      <c r="TMD107" s="769"/>
      <c r="TME107" s="769"/>
      <c r="TMF107" s="769"/>
      <c r="TMG107" s="769"/>
      <c r="TMH107" s="769"/>
      <c r="TMI107" s="769"/>
      <c r="TMJ107" s="769"/>
      <c r="TMK107" s="769"/>
      <c r="TML107" s="769"/>
      <c r="TMM107" s="769"/>
      <c r="TMN107" s="769"/>
      <c r="TMO107" s="769"/>
      <c r="TMP107" s="769"/>
      <c r="TMQ107" s="769"/>
      <c r="TMR107" s="769"/>
      <c r="TMS107" s="769"/>
      <c r="TMT107" s="769"/>
      <c r="TMU107" s="769"/>
      <c r="TMV107" s="769"/>
      <c r="TMW107" s="769"/>
      <c r="TMX107" s="769"/>
      <c r="TMY107" s="769"/>
      <c r="TMZ107" s="769"/>
      <c r="TNA107" s="769"/>
      <c r="TNB107" s="769"/>
      <c r="TNC107" s="769"/>
      <c r="TND107" s="769"/>
      <c r="TNE107" s="769"/>
      <c r="TNF107" s="769"/>
      <c r="TNG107" s="769"/>
      <c r="TNH107" s="769"/>
      <c r="TNI107" s="769"/>
      <c r="TNJ107" s="769"/>
      <c r="TNK107" s="769"/>
      <c r="TNL107" s="769"/>
      <c r="TNM107" s="769"/>
      <c r="TNN107" s="769"/>
      <c r="TNO107" s="769"/>
      <c r="TNP107" s="769"/>
      <c r="TNQ107" s="769"/>
      <c r="TNR107" s="769"/>
      <c r="TNS107" s="769"/>
      <c r="TNT107" s="769"/>
      <c r="TNU107" s="769"/>
      <c r="TNV107" s="769"/>
      <c r="TNW107" s="769"/>
      <c r="TNX107" s="769"/>
      <c r="TNY107" s="769"/>
      <c r="TNZ107" s="769"/>
      <c r="TOA107" s="769"/>
      <c r="TOB107" s="769"/>
      <c r="TOC107" s="769"/>
      <c r="TOD107" s="769"/>
      <c r="TOE107" s="769"/>
      <c r="TOF107" s="769"/>
      <c r="TOG107" s="769"/>
      <c r="TOH107" s="769"/>
      <c r="TOI107" s="769"/>
      <c r="TOJ107" s="769"/>
      <c r="TOK107" s="769"/>
      <c r="TOL107" s="769"/>
      <c r="TOM107" s="769"/>
      <c r="TON107" s="769"/>
      <c r="TOO107" s="769"/>
      <c r="TOP107" s="769"/>
      <c r="TOQ107" s="769"/>
      <c r="TOR107" s="769"/>
      <c r="TOS107" s="769"/>
      <c r="TOT107" s="769"/>
      <c r="TOU107" s="769"/>
      <c r="TOV107" s="769"/>
      <c r="TOW107" s="769"/>
      <c r="TOX107" s="769"/>
      <c r="TOY107" s="769"/>
      <c r="TOZ107" s="769"/>
      <c r="TPA107" s="769"/>
      <c r="TPB107" s="769"/>
      <c r="TPC107" s="769"/>
      <c r="TPD107" s="769"/>
      <c r="TPE107" s="769"/>
      <c r="TPF107" s="769"/>
      <c r="TPG107" s="769"/>
      <c r="TPH107" s="769"/>
      <c r="TPI107" s="769"/>
      <c r="TPJ107" s="769"/>
      <c r="TPK107" s="769"/>
      <c r="TPL107" s="769"/>
      <c r="TPM107" s="769"/>
      <c r="TPN107" s="769"/>
      <c r="TPO107" s="769"/>
      <c r="TPP107" s="769"/>
      <c r="TPQ107" s="769"/>
      <c r="TPR107" s="769"/>
      <c r="TPS107" s="769"/>
      <c r="TPT107" s="769"/>
      <c r="TPU107" s="769"/>
      <c r="TPV107" s="769"/>
      <c r="TPW107" s="769"/>
      <c r="TPX107" s="769"/>
      <c r="TPY107" s="769"/>
      <c r="TPZ107" s="769"/>
      <c r="TQA107" s="769"/>
      <c r="TQB107" s="769"/>
      <c r="TQC107" s="769"/>
      <c r="TQD107" s="769"/>
      <c r="TQE107" s="769"/>
      <c r="TQF107" s="769"/>
      <c r="TQG107" s="769"/>
      <c r="TQH107" s="769"/>
      <c r="TQI107" s="769"/>
      <c r="TQJ107" s="769"/>
      <c r="TQK107" s="769"/>
      <c r="TQL107" s="769"/>
      <c r="TQM107" s="769"/>
      <c r="TQN107" s="769"/>
      <c r="TQO107" s="769"/>
      <c r="TQP107" s="769"/>
      <c r="TQQ107" s="769"/>
      <c r="TQR107" s="769"/>
      <c r="TQS107" s="769"/>
      <c r="TQT107" s="769"/>
      <c r="TQU107" s="769"/>
      <c r="TQV107" s="769"/>
      <c r="TQW107" s="769"/>
      <c r="TQX107" s="769"/>
      <c r="TQY107" s="769"/>
      <c r="TQZ107" s="769"/>
      <c r="TRA107" s="769"/>
      <c r="TRB107" s="769"/>
      <c r="TRC107" s="769"/>
      <c r="TRD107" s="769"/>
      <c r="TRE107" s="769"/>
      <c r="TRF107" s="769"/>
      <c r="TRG107" s="769"/>
      <c r="TRH107" s="769"/>
      <c r="TRI107" s="769"/>
      <c r="TRJ107" s="769"/>
      <c r="TRK107" s="769"/>
      <c r="TRL107" s="769"/>
      <c r="TRM107" s="769"/>
      <c r="TRN107" s="769"/>
      <c r="TRO107" s="769"/>
      <c r="TRP107" s="769"/>
      <c r="TRQ107" s="769"/>
      <c r="TRR107" s="769"/>
      <c r="TRS107" s="769"/>
      <c r="TRT107" s="769"/>
      <c r="TRU107" s="769"/>
      <c r="TRV107" s="769"/>
      <c r="TRW107" s="769"/>
      <c r="TRX107" s="769"/>
      <c r="TRY107" s="769"/>
      <c r="TRZ107" s="769"/>
      <c r="TSA107" s="769"/>
      <c r="TSB107" s="769"/>
      <c r="TSC107" s="769"/>
      <c r="TSD107" s="769"/>
      <c r="TSE107" s="769"/>
      <c r="TSF107" s="769"/>
      <c r="TSG107" s="769"/>
      <c r="TSH107" s="769"/>
      <c r="TSI107" s="769"/>
      <c r="TSJ107" s="769"/>
      <c r="TSK107" s="769"/>
      <c r="TSL107" s="769"/>
      <c r="TSM107" s="769"/>
      <c r="TSN107" s="769"/>
      <c r="TSO107" s="769"/>
      <c r="TSP107" s="769"/>
      <c r="TSQ107" s="769"/>
      <c r="TSR107" s="769"/>
      <c r="TSS107" s="769"/>
      <c r="TST107" s="769"/>
      <c r="TSU107" s="769"/>
      <c r="TSV107" s="769"/>
      <c r="TSW107" s="769"/>
      <c r="TSX107" s="769"/>
      <c r="TSY107" s="769"/>
      <c r="TSZ107" s="769"/>
      <c r="TTA107" s="769"/>
      <c r="TTB107" s="769"/>
      <c r="TTC107" s="769"/>
      <c r="TTD107" s="769"/>
      <c r="TTE107" s="769"/>
      <c r="TTF107" s="769"/>
      <c r="TTG107" s="769"/>
      <c r="TTH107" s="769"/>
      <c r="TTI107" s="769"/>
      <c r="TTJ107" s="769"/>
      <c r="TTK107" s="769"/>
      <c r="TTL107" s="769"/>
      <c r="TTM107" s="769"/>
      <c r="TTN107" s="769"/>
      <c r="TTO107" s="769"/>
      <c r="TTP107" s="769"/>
      <c r="TTQ107" s="769"/>
      <c r="TTR107" s="769"/>
      <c r="TTS107" s="769"/>
      <c r="TTT107" s="769"/>
      <c r="TTU107" s="769"/>
      <c r="TTV107" s="769"/>
      <c r="TTW107" s="769"/>
      <c r="TTX107" s="769"/>
      <c r="TTY107" s="769"/>
      <c r="TTZ107" s="769"/>
      <c r="TUA107" s="769"/>
      <c r="TUB107" s="769"/>
      <c r="TUC107" s="769"/>
      <c r="TUD107" s="769"/>
      <c r="TUE107" s="769"/>
      <c r="TUF107" s="769"/>
      <c r="TUG107" s="769"/>
      <c r="TUH107" s="769"/>
      <c r="TUI107" s="769"/>
      <c r="TUJ107" s="769"/>
      <c r="TUK107" s="769"/>
      <c r="TUL107" s="769"/>
      <c r="TUM107" s="769"/>
      <c r="TUN107" s="769"/>
      <c r="TUO107" s="769"/>
      <c r="TUP107" s="769"/>
      <c r="TUQ107" s="769"/>
      <c r="TUR107" s="769"/>
      <c r="TUS107" s="769"/>
      <c r="TUT107" s="769"/>
      <c r="TUU107" s="769"/>
      <c r="TUV107" s="769"/>
      <c r="TUW107" s="769"/>
      <c r="TUX107" s="769"/>
      <c r="TUY107" s="769"/>
      <c r="TUZ107" s="769"/>
      <c r="TVA107" s="769"/>
      <c r="TVB107" s="769"/>
      <c r="TVC107" s="769"/>
      <c r="TVD107" s="769"/>
      <c r="TVE107" s="769"/>
      <c r="TVF107" s="769"/>
      <c r="TVG107" s="769"/>
      <c r="TVH107" s="769"/>
      <c r="TVI107" s="769"/>
      <c r="TVJ107" s="769"/>
      <c r="TVK107" s="769"/>
      <c r="TVL107" s="769"/>
      <c r="TVM107" s="769"/>
      <c r="TVN107" s="769"/>
      <c r="TVO107" s="769"/>
      <c r="TVP107" s="769"/>
      <c r="TVQ107" s="769"/>
      <c r="TVR107" s="769"/>
      <c r="TVS107" s="769"/>
      <c r="TVT107" s="769"/>
      <c r="TVU107" s="769"/>
      <c r="TVV107" s="769"/>
      <c r="TVW107" s="769"/>
      <c r="TVX107" s="769"/>
      <c r="TVY107" s="769"/>
      <c r="TVZ107" s="769"/>
      <c r="TWA107" s="769"/>
      <c r="TWB107" s="769"/>
      <c r="TWC107" s="769"/>
      <c r="TWD107" s="769"/>
      <c r="TWE107" s="769"/>
      <c r="TWF107" s="769"/>
      <c r="TWG107" s="769"/>
      <c r="TWH107" s="769"/>
      <c r="TWI107" s="769"/>
      <c r="TWJ107" s="769"/>
      <c r="TWK107" s="769"/>
      <c r="TWL107" s="769"/>
      <c r="TWM107" s="769"/>
      <c r="TWN107" s="769"/>
      <c r="TWO107" s="769"/>
      <c r="TWP107" s="769"/>
      <c r="TWQ107" s="769"/>
      <c r="TWR107" s="769"/>
      <c r="TWS107" s="769"/>
      <c r="TWT107" s="769"/>
      <c r="TWU107" s="769"/>
      <c r="TWV107" s="769"/>
      <c r="TWW107" s="769"/>
      <c r="TWX107" s="769"/>
      <c r="TWY107" s="769"/>
      <c r="TWZ107" s="769"/>
      <c r="TXA107" s="769"/>
      <c r="TXB107" s="769"/>
      <c r="TXC107" s="769"/>
      <c r="TXD107" s="769"/>
      <c r="TXE107" s="769"/>
      <c r="TXF107" s="769"/>
      <c r="TXG107" s="769"/>
      <c r="TXH107" s="769"/>
      <c r="TXI107" s="769"/>
      <c r="TXJ107" s="769"/>
      <c r="TXK107" s="769"/>
      <c r="TXL107" s="769"/>
      <c r="TXM107" s="769"/>
      <c r="TXN107" s="769"/>
      <c r="TXO107" s="769"/>
      <c r="TXP107" s="769"/>
      <c r="TXQ107" s="769"/>
      <c r="TXR107" s="769"/>
      <c r="TXS107" s="769"/>
      <c r="TXT107" s="769"/>
      <c r="TXU107" s="769"/>
      <c r="TXV107" s="769"/>
      <c r="TXW107" s="769"/>
      <c r="TXX107" s="769"/>
      <c r="TXY107" s="769"/>
      <c r="TXZ107" s="769"/>
      <c r="TYA107" s="769"/>
      <c r="TYB107" s="769"/>
      <c r="TYC107" s="769"/>
      <c r="TYD107" s="769"/>
      <c r="TYE107" s="769"/>
      <c r="TYF107" s="769"/>
      <c r="TYG107" s="769"/>
      <c r="TYH107" s="769"/>
      <c r="TYI107" s="769"/>
      <c r="TYJ107" s="769"/>
      <c r="TYK107" s="769"/>
      <c r="TYL107" s="769"/>
      <c r="TYM107" s="769"/>
      <c r="TYN107" s="769"/>
      <c r="TYO107" s="769"/>
      <c r="TYP107" s="769"/>
      <c r="TYQ107" s="769"/>
      <c r="TYR107" s="769"/>
      <c r="TYS107" s="769"/>
      <c r="TYT107" s="769"/>
      <c r="TYU107" s="769"/>
      <c r="TYV107" s="769"/>
      <c r="TYW107" s="769"/>
      <c r="TYX107" s="769"/>
      <c r="TYY107" s="769"/>
      <c r="TYZ107" s="769"/>
      <c r="TZA107" s="769"/>
      <c r="TZB107" s="769"/>
      <c r="TZC107" s="769"/>
      <c r="TZD107" s="769"/>
      <c r="TZE107" s="769"/>
      <c r="TZF107" s="769"/>
      <c r="TZG107" s="769"/>
      <c r="TZH107" s="769"/>
      <c r="TZI107" s="769"/>
      <c r="TZJ107" s="769"/>
      <c r="TZK107" s="769"/>
      <c r="TZL107" s="769"/>
      <c r="TZM107" s="769"/>
      <c r="TZN107" s="769"/>
      <c r="TZO107" s="769"/>
      <c r="TZP107" s="769"/>
      <c r="TZQ107" s="769"/>
      <c r="TZR107" s="769"/>
      <c r="TZS107" s="769"/>
      <c r="TZT107" s="769"/>
      <c r="TZU107" s="769"/>
      <c r="TZV107" s="769"/>
      <c r="TZW107" s="769"/>
      <c r="TZX107" s="769"/>
      <c r="TZY107" s="769"/>
      <c r="TZZ107" s="769"/>
      <c r="UAA107" s="769"/>
      <c r="UAB107" s="769"/>
      <c r="UAC107" s="769"/>
      <c r="UAD107" s="769"/>
      <c r="UAE107" s="769"/>
      <c r="UAF107" s="769"/>
      <c r="UAG107" s="769"/>
      <c r="UAH107" s="769"/>
      <c r="UAI107" s="769"/>
      <c r="UAJ107" s="769"/>
      <c r="UAK107" s="769"/>
      <c r="UAL107" s="769"/>
      <c r="UAM107" s="769"/>
      <c r="UAN107" s="769"/>
      <c r="UAO107" s="769"/>
      <c r="UAP107" s="769"/>
      <c r="UAQ107" s="769"/>
      <c r="UAR107" s="769"/>
      <c r="UAS107" s="769"/>
      <c r="UAT107" s="769"/>
      <c r="UAU107" s="769"/>
      <c r="UAV107" s="769"/>
      <c r="UAW107" s="769"/>
      <c r="UAX107" s="769"/>
      <c r="UAY107" s="769"/>
      <c r="UAZ107" s="769"/>
      <c r="UBA107" s="769"/>
      <c r="UBB107" s="769"/>
      <c r="UBC107" s="769"/>
      <c r="UBD107" s="769"/>
      <c r="UBE107" s="769"/>
      <c r="UBF107" s="769"/>
      <c r="UBG107" s="769"/>
      <c r="UBH107" s="769"/>
      <c r="UBI107" s="769"/>
      <c r="UBJ107" s="769"/>
      <c r="UBK107" s="769"/>
      <c r="UBL107" s="769"/>
      <c r="UBM107" s="769"/>
      <c r="UBN107" s="769"/>
      <c r="UBO107" s="769"/>
      <c r="UBP107" s="769"/>
      <c r="UBQ107" s="769"/>
      <c r="UBR107" s="769"/>
      <c r="UBS107" s="769"/>
      <c r="UBT107" s="769"/>
      <c r="UBU107" s="769"/>
      <c r="UBV107" s="769"/>
      <c r="UBW107" s="769"/>
      <c r="UBX107" s="769"/>
      <c r="UBY107" s="769"/>
      <c r="UBZ107" s="769"/>
      <c r="UCA107" s="769"/>
      <c r="UCB107" s="769"/>
      <c r="UCC107" s="769"/>
      <c r="UCD107" s="769"/>
      <c r="UCE107" s="769"/>
      <c r="UCF107" s="769"/>
      <c r="UCG107" s="769"/>
      <c r="UCH107" s="769"/>
      <c r="UCI107" s="769"/>
      <c r="UCJ107" s="769"/>
      <c r="UCK107" s="769"/>
      <c r="UCL107" s="769"/>
      <c r="UCM107" s="769"/>
      <c r="UCN107" s="769"/>
      <c r="UCO107" s="769"/>
      <c r="UCP107" s="769"/>
      <c r="UCQ107" s="769"/>
      <c r="UCR107" s="769"/>
      <c r="UCS107" s="769"/>
      <c r="UCT107" s="769"/>
      <c r="UCU107" s="769"/>
      <c r="UCV107" s="769"/>
      <c r="UCW107" s="769"/>
      <c r="UCX107" s="769"/>
      <c r="UCY107" s="769"/>
      <c r="UCZ107" s="769"/>
      <c r="UDA107" s="769"/>
      <c r="UDB107" s="769"/>
      <c r="UDC107" s="769"/>
      <c r="UDD107" s="769"/>
      <c r="UDE107" s="769"/>
      <c r="UDF107" s="769"/>
      <c r="UDG107" s="769"/>
      <c r="UDH107" s="769"/>
      <c r="UDI107" s="769"/>
      <c r="UDJ107" s="769"/>
      <c r="UDK107" s="769"/>
      <c r="UDL107" s="769"/>
      <c r="UDM107" s="769"/>
      <c r="UDN107" s="769"/>
      <c r="UDO107" s="769"/>
      <c r="UDP107" s="769"/>
      <c r="UDQ107" s="769"/>
      <c r="UDR107" s="769"/>
      <c r="UDS107" s="769"/>
      <c r="UDT107" s="769"/>
      <c r="UDU107" s="769"/>
      <c r="UDV107" s="769"/>
      <c r="UDW107" s="769"/>
      <c r="UDX107" s="769"/>
      <c r="UDY107" s="769"/>
      <c r="UDZ107" s="769"/>
      <c r="UEA107" s="769"/>
      <c r="UEB107" s="769"/>
      <c r="UEC107" s="769"/>
      <c r="UED107" s="769"/>
      <c r="UEE107" s="769"/>
      <c r="UEF107" s="769"/>
      <c r="UEG107" s="769"/>
      <c r="UEH107" s="769"/>
      <c r="UEI107" s="769"/>
      <c r="UEJ107" s="769"/>
      <c r="UEK107" s="769"/>
      <c r="UEL107" s="769"/>
      <c r="UEM107" s="769"/>
      <c r="UEN107" s="769"/>
      <c r="UEO107" s="769"/>
      <c r="UEP107" s="769"/>
      <c r="UEQ107" s="769"/>
      <c r="UER107" s="769"/>
      <c r="UES107" s="769"/>
      <c r="UET107" s="769"/>
      <c r="UEU107" s="769"/>
      <c r="UEV107" s="769"/>
      <c r="UEW107" s="769"/>
      <c r="UEX107" s="769"/>
      <c r="UEY107" s="769"/>
      <c r="UEZ107" s="769"/>
      <c r="UFA107" s="769"/>
      <c r="UFB107" s="769"/>
      <c r="UFC107" s="769"/>
      <c r="UFD107" s="769"/>
      <c r="UFE107" s="769"/>
      <c r="UFF107" s="769"/>
      <c r="UFG107" s="769"/>
      <c r="UFH107" s="769"/>
      <c r="UFI107" s="769"/>
      <c r="UFJ107" s="769"/>
      <c r="UFK107" s="769"/>
      <c r="UFL107" s="769"/>
      <c r="UFM107" s="769"/>
      <c r="UFN107" s="769"/>
      <c r="UFO107" s="769"/>
      <c r="UFP107" s="769"/>
      <c r="UFQ107" s="769"/>
      <c r="UFR107" s="769"/>
      <c r="UFS107" s="769"/>
      <c r="UFT107" s="769"/>
      <c r="UFU107" s="769"/>
      <c r="UFV107" s="769"/>
      <c r="UFW107" s="769"/>
      <c r="UFX107" s="769"/>
      <c r="UFY107" s="769"/>
      <c r="UFZ107" s="769"/>
      <c r="UGA107" s="769"/>
      <c r="UGB107" s="769"/>
      <c r="UGC107" s="769"/>
      <c r="UGD107" s="769"/>
      <c r="UGE107" s="769"/>
      <c r="UGF107" s="769"/>
      <c r="UGG107" s="769"/>
      <c r="UGH107" s="769"/>
      <c r="UGI107" s="769"/>
      <c r="UGJ107" s="769"/>
      <c r="UGK107" s="769"/>
      <c r="UGL107" s="769"/>
      <c r="UGM107" s="769"/>
      <c r="UGN107" s="769"/>
      <c r="UGO107" s="769"/>
      <c r="UGP107" s="769"/>
      <c r="UGQ107" s="769"/>
      <c r="UGR107" s="769"/>
      <c r="UGS107" s="769"/>
      <c r="UGT107" s="769"/>
      <c r="UGU107" s="769"/>
      <c r="UGV107" s="769"/>
      <c r="UGW107" s="769"/>
      <c r="UGX107" s="769"/>
      <c r="UGY107" s="769"/>
      <c r="UGZ107" s="769"/>
      <c r="UHA107" s="769"/>
      <c r="UHB107" s="769"/>
      <c r="UHC107" s="769"/>
      <c r="UHD107" s="769"/>
      <c r="UHE107" s="769"/>
      <c r="UHF107" s="769"/>
      <c r="UHG107" s="769"/>
      <c r="UHH107" s="769"/>
      <c r="UHI107" s="769"/>
      <c r="UHJ107" s="769"/>
      <c r="UHK107" s="769"/>
      <c r="UHL107" s="769"/>
      <c r="UHM107" s="769"/>
      <c r="UHN107" s="769"/>
      <c r="UHO107" s="769"/>
      <c r="UHP107" s="769"/>
      <c r="UHQ107" s="769"/>
      <c r="UHR107" s="769"/>
      <c r="UHS107" s="769"/>
      <c r="UHT107" s="769"/>
      <c r="UHU107" s="769"/>
      <c r="UHV107" s="769"/>
      <c r="UHW107" s="769"/>
      <c r="UHX107" s="769"/>
      <c r="UHY107" s="769"/>
      <c r="UHZ107" s="769"/>
      <c r="UIA107" s="769"/>
      <c r="UIB107" s="769"/>
      <c r="UIC107" s="769"/>
      <c r="UID107" s="769"/>
      <c r="UIE107" s="769"/>
      <c r="UIF107" s="769"/>
      <c r="UIG107" s="769"/>
      <c r="UIH107" s="769"/>
      <c r="UII107" s="769"/>
      <c r="UIJ107" s="769"/>
      <c r="UIK107" s="769"/>
      <c r="UIL107" s="769"/>
      <c r="UIM107" s="769"/>
      <c r="UIN107" s="769"/>
      <c r="UIO107" s="769"/>
      <c r="UIP107" s="769"/>
      <c r="UIQ107" s="769"/>
      <c r="UIR107" s="769"/>
      <c r="UIS107" s="769"/>
      <c r="UIT107" s="769"/>
      <c r="UIU107" s="769"/>
      <c r="UIV107" s="769"/>
      <c r="UIW107" s="769"/>
      <c r="UIX107" s="769"/>
      <c r="UIY107" s="769"/>
      <c r="UIZ107" s="769"/>
      <c r="UJA107" s="769"/>
      <c r="UJB107" s="769"/>
      <c r="UJC107" s="769"/>
      <c r="UJD107" s="769"/>
      <c r="UJE107" s="769"/>
      <c r="UJF107" s="769"/>
      <c r="UJG107" s="769"/>
      <c r="UJH107" s="769"/>
      <c r="UJI107" s="769"/>
      <c r="UJJ107" s="769"/>
      <c r="UJK107" s="769"/>
      <c r="UJL107" s="769"/>
      <c r="UJM107" s="769"/>
      <c r="UJN107" s="769"/>
      <c r="UJO107" s="769"/>
      <c r="UJP107" s="769"/>
      <c r="UJQ107" s="769"/>
      <c r="UJR107" s="769"/>
      <c r="UJS107" s="769"/>
      <c r="UJT107" s="769"/>
      <c r="UJU107" s="769"/>
      <c r="UJV107" s="769"/>
      <c r="UJW107" s="769"/>
      <c r="UJX107" s="769"/>
      <c r="UJY107" s="769"/>
      <c r="UJZ107" s="769"/>
      <c r="UKA107" s="769"/>
      <c r="UKB107" s="769"/>
      <c r="UKC107" s="769"/>
      <c r="UKD107" s="769"/>
      <c r="UKE107" s="769"/>
      <c r="UKF107" s="769"/>
      <c r="UKG107" s="769"/>
      <c r="UKH107" s="769"/>
      <c r="UKI107" s="769"/>
      <c r="UKJ107" s="769"/>
      <c r="UKK107" s="769"/>
      <c r="UKL107" s="769"/>
      <c r="UKM107" s="769"/>
      <c r="UKN107" s="769"/>
      <c r="UKO107" s="769"/>
      <c r="UKP107" s="769"/>
      <c r="UKQ107" s="769"/>
      <c r="UKR107" s="769"/>
      <c r="UKS107" s="769"/>
      <c r="UKT107" s="769"/>
      <c r="UKU107" s="769"/>
      <c r="UKV107" s="769"/>
      <c r="UKW107" s="769"/>
      <c r="UKX107" s="769"/>
      <c r="UKY107" s="769"/>
      <c r="UKZ107" s="769"/>
      <c r="ULA107" s="769"/>
      <c r="ULB107" s="769"/>
      <c r="ULC107" s="769"/>
      <c r="ULD107" s="769"/>
      <c r="ULE107" s="769"/>
      <c r="ULF107" s="769"/>
      <c r="ULG107" s="769"/>
      <c r="ULH107" s="769"/>
      <c r="ULI107" s="769"/>
      <c r="ULJ107" s="769"/>
      <c r="ULK107" s="769"/>
      <c r="ULL107" s="769"/>
      <c r="ULM107" s="769"/>
      <c r="ULN107" s="769"/>
      <c r="ULO107" s="769"/>
      <c r="ULP107" s="769"/>
      <c r="ULQ107" s="769"/>
      <c r="ULR107" s="769"/>
      <c r="ULS107" s="769"/>
      <c r="ULT107" s="769"/>
      <c r="ULU107" s="769"/>
      <c r="ULV107" s="769"/>
      <c r="ULW107" s="769"/>
      <c r="ULX107" s="769"/>
      <c r="ULY107" s="769"/>
      <c r="ULZ107" s="769"/>
      <c r="UMA107" s="769"/>
      <c r="UMB107" s="769"/>
      <c r="UMC107" s="769"/>
      <c r="UMD107" s="769"/>
      <c r="UME107" s="769"/>
      <c r="UMF107" s="769"/>
      <c r="UMG107" s="769"/>
      <c r="UMH107" s="769"/>
      <c r="UMI107" s="769"/>
      <c r="UMJ107" s="769"/>
      <c r="UMK107" s="769"/>
      <c r="UML107" s="769"/>
      <c r="UMM107" s="769"/>
      <c r="UMN107" s="769"/>
      <c r="UMO107" s="769"/>
      <c r="UMP107" s="769"/>
      <c r="UMQ107" s="769"/>
      <c r="UMR107" s="769"/>
      <c r="UMS107" s="769"/>
      <c r="UMT107" s="769"/>
      <c r="UMU107" s="769"/>
      <c r="UMV107" s="769"/>
      <c r="UMW107" s="769"/>
      <c r="UMX107" s="769"/>
      <c r="UMY107" s="769"/>
      <c r="UMZ107" s="769"/>
      <c r="UNA107" s="769"/>
      <c r="UNB107" s="769"/>
      <c r="UNC107" s="769"/>
      <c r="UND107" s="769"/>
      <c r="UNE107" s="769"/>
      <c r="UNF107" s="769"/>
      <c r="UNG107" s="769"/>
      <c r="UNH107" s="769"/>
      <c r="UNI107" s="769"/>
      <c r="UNJ107" s="769"/>
      <c r="UNK107" s="769"/>
      <c r="UNL107" s="769"/>
      <c r="UNM107" s="769"/>
      <c r="UNN107" s="769"/>
      <c r="UNO107" s="769"/>
      <c r="UNP107" s="769"/>
      <c r="UNQ107" s="769"/>
      <c r="UNR107" s="769"/>
      <c r="UNS107" s="769"/>
      <c r="UNT107" s="769"/>
      <c r="UNU107" s="769"/>
      <c r="UNV107" s="769"/>
      <c r="UNW107" s="769"/>
      <c r="UNX107" s="769"/>
      <c r="UNY107" s="769"/>
      <c r="UNZ107" s="769"/>
      <c r="UOA107" s="769"/>
      <c r="UOB107" s="769"/>
      <c r="UOC107" s="769"/>
      <c r="UOD107" s="769"/>
      <c r="UOE107" s="769"/>
      <c r="UOF107" s="769"/>
      <c r="UOG107" s="769"/>
      <c r="UOH107" s="769"/>
      <c r="UOI107" s="769"/>
      <c r="UOJ107" s="769"/>
      <c r="UOK107" s="769"/>
      <c r="UOL107" s="769"/>
      <c r="UOM107" s="769"/>
      <c r="UON107" s="769"/>
      <c r="UOO107" s="769"/>
      <c r="UOP107" s="769"/>
      <c r="UOQ107" s="769"/>
      <c r="UOR107" s="769"/>
      <c r="UOS107" s="769"/>
      <c r="UOT107" s="769"/>
      <c r="UOU107" s="769"/>
      <c r="UOV107" s="769"/>
      <c r="UOW107" s="769"/>
      <c r="UOX107" s="769"/>
      <c r="UOY107" s="769"/>
      <c r="UOZ107" s="769"/>
      <c r="UPA107" s="769"/>
      <c r="UPB107" s="769"/>
      <c r="UPC107" s="769"/>
      <c r="UPD107" s="769"/>
      <c r="UPE107" s="769"/>
      <c r="UPF107" s="769"/>
      <c r="UPG107" s="769"/>
      <c r="UPH107" s="769"/>
      <c r="UPI107" s="769"/>
      <c r="UPJ107" s="769"/>
      <c r="UPK107" s="769"/>
      <c r="UPL107" s="769"/>
      <c r="UPM107" s="769"/>
      <c r="UPN107" s="769"/>
      <c r="UPO107" s="769"/>
      <c r="UPP107" s="769"/>
      <c r="UPQ107" s="769"/>
      <c r="UPR107" s="769"/>
      <c r="UPS107" s="769"/>
      <c r="UPT107" s="769"/>
      <c r="UPU107" s="769"/>
      <c r="UPV107" s="769"/>
      <c r="UPW107" s="769"/>
      <c r="UPX107" s="769"/>
      <c r="UPY107" s="769"/>
      <c r="UPZ107" s="769"/>
      <c r="UQA107" s="769"/>
      <c r="UQB107" s="769"/>
      <c r="UQC107" s="769"/>
      <c r="UQD107" s="769"/>
      <c r="UQE107" s="769"/>
      <c r="UQF107" s="769"/>
      <c r="UQG107" s="769"/>
      <c r="UQH107" s="769"/>
      <c r="UQI107" s="769"/>
      <c r="UQJ107" s="769"/>
      <c r="UQK107" s="769"/>
      <c r="UQL107" s="769"/>
      <c r="UQM107" s="769"/>
      <c r="UQN107" s="769"/>
      <c r="UQO107" s="769"/>
      <c r="UQP107" s="769"/>
      <c r="UQQ107" s="769"/>
      <c r="UQR107" s="769"/>
      <c r="UQS107" s="769"/>
      <c r="UQT107" s="769"/>
      <c r="UQU107" s="769"/>
      <c r="UQV107" s="769"/>
      <c r="UQW107" s="769"/>
      <c r="UQX107" s="769"/>
      <c r="UQY107" s="769"/>
      <c r="UQZ107" s="769"/>
      <c r="URA107" s="769"/>
      <c r="URB107" s="769"/>
      <c r="URC107" s="769"/>
      <c r="URD107" s="769"/>
      <c r="URE107" s="769"/>
      <c r="URF107" s="769"/>
      <c r="URG107" s="769"/>
      <c r="URH107" s="769"/>
      <c r="URI107" s="769"/>
      <c r="URJ107" s="769"/>
      <c r="URK107" s="769"/>
      <c r="URL107" s="769"/>
      <c r="URM107" s="769"/>
      <c r="URN107" s="769"/>
      <c r="URO107" s="769"/>
      <c r="URP107" s="769"/>
      <c r="URQ107" s="769"/>
      <c r="URR107" s="769"/>
      <c r="URS107" s="769"/>
      <c r="URT107" s="769"/>
      <c r="URU107" s="769"/>
      <c r="URV107" s="769"/>
      <c r="URW107" s="769"/>
      <c r="URX107" s="769"/>
      <c r="URY107" s="769"/>
      <c r="URZ107" s="769"/>
      <c r="USA107" s="769"/>
      <c r="USB107" s="769"/>
      <c r="USC107" s="769"/>
      <c r="USD107" s="769"/>
      <c r="USE107" s="769"/>
      <c r="USF107" s="769"/>
      <c r="USG107" s="769"/>
      <c r="USH107" s="769"/>
      <c r="USI107" s="769"/>
      <c r="USJ107" s="769"/>
      <c r="USK107" s="769"/>
      <c r="USL107" s="769"/>
      <c r="USM107" s="769"/>
      <c r="USN107" s="769"/>
      <c r="USO107" s="769"/>
      <c r="USP107" s="769"/>
      <c r="USQ107" s="769"/>
      <c r="USR107" s="769"/>
      <c r="USS107" s="769"/>
      <c r="UST107" s="769"/>
      <c r="USU107" s="769"/>
      <c r="USV107" s="769"/>
      <c r="USW107" s="769"/>
      <c r="USX107" s="769"/>
      <c r="USY107" s="769"/>
      <c r="USZ107" s="769"/>
      <c r="UTA107" s="769"/>
      <c r="UTB107" s="769"/>
      <c r="UTC107" s="769"/>
      <c r="UTD107" s="769"/>
      <c r="UTE107" s="769"/>
      <c r="UTF107" s="769"/>
      <c r="UTG107" s="769"/>
      <c r="UTH107" s="769"/>
      <c r="UTI107" s="769"/>
      <c r="UTJ107" s="769"/>
      <c r="UTK107" s="769"/>
      <c r="UTL107" s="769"/>
      <c r="UTM107" s="769"/>
      <c r="UTN107" s="769"/>
      <c r="UTO107" s="769"/>
      <c r="UTP107" s="769"/>
      <c r="UTQ107" s="769"/>
      <c r="UTR107" s="769"/>
      <c r="UTS107" s="769"/>
      <c r="UTT107" s="769"/>
      <c r="UTU107" s="769"/>
      <c r="UTV107" s="769"/>
      <c r="UTW107" s="769"/>
      <c r="UTX107" s="769"/>
      <c r="UTY107" s="769"/>
      <c r="UTZ107" s="769"/>
      <c r="UUA107" s="769"/>
      <c r="UUB107" s="769"/>
      <c r="UUC107" s="769"/>
      <c r="UUD107" s="769"/>
      <c r="UUE107" s="769"/>
      <c r="UUF107" s="769"/>
      <c r="UUG107" s="769"/>
      <c r="UUH107" s="769"/>
      <c r="UUI107" s="769"/>
      <c r="UUJ107" s="769"/>
      <c r="UUK107" s="769"/>
      <c r="UUL107" s="769"/>
      <c r="UUM107" s="769"/>
      <c r="UUN107" s="769"/>
      <c r="UUO107" s="769"/>
      <c r="UUP107" s="769"/>
      <c r="UUQ107" s="769"/>
      <c r="UUR107" s="769"/>
      <c r="UUS107" s="769"/>
      <c r="UUT107" s="769"/>
      <c r="UUU107" s="769"/>
      <c r="UUV107" s="769"/>
      <c r="UUW107" s="769"/>
      <c r="UUX107" s="769"/>
      <c r="UUY107" s="769"/>
      <c r="UUZ107" s="769"/>
      <c r="UVA107" s="769"/>
      <c r="UVB107" s="769"/>
      <c r="UVC107" s="769"/>
      <c r="UVD107" s="769"/>
      <c r="UVE107" s="769"/>
      <c r="UVF107" s="769"/>
      <c r="UVG107" s="769"/>
      <c r="UVH107" s="769"/>
      <c r="UVI107" s="769"/>
      <c r="UVJ107" s="769"/>
      <c r="UVK107" s="769"/>
      <c r="UVL107" s="769"/>
      <c r="UVM107" s="769"/>
      <c r="UVN107" s="769"/>
      <c r="UVO107" s="769"/>
      <c r="UVP107" s="769"/>
      <c r="UVQ107" s="769"/>
      <c r="UVR107" s="769"/>
      <c r="UVS107" s="769"/>
      <c r="UVT107" s="769"/>
      <c r="UVU107" s="769"/>
      <c r="UVV107" s="769"/>
      <c r="UVW107" s="769"/>
      <c r="UVX107" s="769"/>
      <c r="UVY107" s="769"/>
      <c r="UVZ107" s="769"/>
      <c r="UWA107" s="769"/>
      <c r="UWB107" s="769"/>
      <c r="UWC107" s="769"/>
      <c r="UWD107" s="769"/>
      <c r="UWE107" s="769"/>
      <c r="UWF107" s="769"/>
      <c r="UWG107" s="769"/>
      <c r="UWH107" s="769"/>
      <c r="UWI107" s="769"/>
      <c r="UWJ107" s="769"/>
      <c r="UWK107" s="769"/>
      <c r="UWL107" s="769"/>
      <c r="UWM107" s="769"/>
      <c r="UWN107" s="769"/>
      <c r="UWO107" s="769"/>
      <c r="UWP107" s="769"/>
      <c r="UWQ107" s="769"/>
      <c r="UWR107" s="769"/>
      <c r="UWS107" s="769"/>
      <c r="UWT107" s="769"/>
      <c r="UWU107" s="769"/>
      <c r="UWV107" s="769"/>
      <c r="UWW107" s="769"/>
      <c r="UWX107" s="769"/>
      <c r="UWY107" s="769"/>
      <c r="UWZ107" s="769"/>
      <c r="UXA107" s="769"/>
      <c r="UXB107" s="769"/>
      <c r="UXC107" s="769"/>
      <c r="UXD107" s="769"/>
      <c r="UXE107" s="769"/>
      <c r="UXF107" s="769"/>
      <c r="UXG107" s="769"/>
      <c r="UXH107" s="769"/>
      <c r="UXI107" s="769"/>
      <c r="UXJ107" s="769"/>
      <c r="UXK107" s="769"/>
      <c r="UXL107" s="769"/>
      <c r="UXM107" s="769"/>
      <c r="UXN107" s="769"/>
      <c r="UXO107" s="769"/>
      <c r="UXP107" s="769"/>
      <c r="UXQ107" s="769"/>
      <c r="UXR107" s="769"/>
      <c r="UXS107" s="769"/>
      <c r="UXT107" s="769"/>
      <c r="UXU107" s="769"/>
      <c r="UXV107" s="769"/>
      <c r="UXW107" s="769"/>
      <c r="UXX107" s="769"/>
      <c r="UXY107" s="769"/>
      <c r="UXZ107" s="769"/>
      <c r="UYA107" s="769"/>
      <c r="UYB107" s="769"/>
      <c r="UYC107" s="769"/>
      <c r="UYD107" s="769"/>
      <c r="UYE107" s="769"/>
      <c r="UYF107" s="769"/>
      <c r="UYG107" s="769"/>
      <c r="UYH107" s="769"/>
      <c r="UYI107" s="769"/>
      <c r="UYJ107" s="769"/>
      <c r="UYK107" s="769"/>
      <c r="UYL107" s="769"/>
      <c r="UYM107" s="769"/>
      <c r="UYN107" s="769"/>
      <c r="UYO107" s="769"/>
      <c r="UYP107" s="769"/>
      <c r="UYQ107" s="769"/>
      <c r="UYR107" s="769"/>
      <c r="UYS107" s="769"/>
      <c r="UYT107" s="769"/>
      <c r="UYU107" s="769"/>
      <c r="UYV107" s="769"/>
      <c r="UYW107" s="769"/>
      <c r="UYX107" s="769"/>
      <c r="UYY107" s="769"/>
      <c r="UYZ107" s="769"/>
      <c r="UZA107" s="769"/>
      <c r="UZB107" s="769"/>
      <c r="UZC107" s="769"/>
      <c r="UZD107" s="769"/>
      <c r="UZE107" s="769"/>
      <c r="UZF107" s="769"/>
      <c r="UZG107" s="769"/>
      <c r="UZH107" s="769"/>
      <c r="UZI107" s="769"/>
      <c r="UZJ107" s="769"/>
      <c r="UZK107" s="769"/>
      <c r="UZL107" s="769"/>
      <c r="UZM107" s="769"/>
      <c r="UZN107" s="769"/>
      <c r="UZO107" s="769"/>
      <c r="UZP107" s="769"/>
      <c r="UZQ107" s="769"/>
      <c r="UZR107" s="769"/>
      <c r="UZS107" s="769"/>
      <c r="UZT107" s="769"/>
      <c r="UZU107" s="769"/>
      <c r="UZV107" s="769"/>
      <c r="UZW107" s="769"/>
      <c r="UZX107" s="769"/>
      <c r="UZY107" s="769"/>
      <c r="UZZ107" s="769"/>
      <c r="VAA107" s="769"/>
      <c r="VAB107" s="769"/>
      <c r="VAC107" s="769"/>
      <c r="VAD107" s="769"/>
      <c r="VAE107" s="769"/>
      <c r="VAF107" s="769"/>
      <c r="VAG107" s="769"/>
      <c r="VAH107" s="769"/>
      <c r="VAI107" s="769"/>
      <c r="VAJ107" s="769"/>
      <c r="VAK107" s="769"/>
      <c r="VAL107" s="769"/>
      <c r="VAM107" s="769"/>
      <c r="VAN107" s="769"/>
      <c r="VAO107" s="769"/>
      <c r="VAP107" s="769"/>
      <c r="VAQ107" s="769"/>
      <c r="VAR107" s="769"/>
      <c r="VAS107" s="769"/>
      <c r="VAT107" s="769"/>
      <c r="VAU107" s="769"/>
      <c r="VAV107" s="769"/>
      <c r="VAW107" s="769"/>
      <c r="VAX107" s="769"/>
      <c r="VAY107" s="769"/>
      <c r="VAZ107" s="769"/>
      <c r="VBA107" s="769"/>
      <c r="VBB107" s="769"/>
      <c r="VBC107" s="769"/>
      <c r="VBD107" s="769"/>
      <c r="VBE107" s="769"/>
      <c r="VBF107" s="769"/>
      <c r="VBG107" s="769"/>
      <c r="VBH107" s="769"/>
      <c r="VBI107" s="769"/>
      <c r="VBJ107" s="769"/>
      <c r="VBK107" s="769"/>
      <c r="VBL107" s="769"/>
      <c r="VBM107" s="769"/>
      <c r="VBN107" s="769"/>
      <c r="VBO107" s="769"/>
      <c r="VBP107" s="769"/>
      <c r="VBQ107" s="769"/>
      <c r="VBR107" s="769"/>
      <c r="VBS107" s="769"/>
      <c r="VBT107" s="769"/>
      <c r="VBU107" s="769"/>
      <c r="VBV107" s="769"/>
      <c r="VBW107" s="769"/>
      <c r="VBX107" s="769"/>
      <c r="VBY107" s="769"/>
      <c r="VBZ107" s="769"/>
      <c r="VCA107" s="769"/>
      <c r="VCB107" s="769"/>
      <c r="VCC107" s="769"/>
      <c r="VCD107" s="769"/>
      <c r="VCE107" s="769"/>
      <c r="VCF107" s="769"/>
      <c r="VCG107" s="769"/>
      <c r="VCH107" s="769"/>
      <c r="VCI107" s="769"/>
      <c r="VCJ107" s="769"/>
      <c r="VCK107" s="769"/>
      <c r="VCL107" s="769"/>
      <c r="VCM107" s="769"/>
      <c r="VCN107" s="769"/>
      <c r="VCO107" s="769"/>
      <c r="VCP107" s="769"/>
      <c r="VCQ107" s="769"/>
      <c r="VCR107" s="769"/>
      <c r="VCS107" s="769"/>
      <c r="VCT107" s="769"/>
      <c r="VCU107" s="769"/>
      <c r="VCV107" s="769"/>
      <c r="VCW107" s="769"/>
      <c r="VCX107" s="769"/>
      <c r="VCY107" s="769"/>
      <c r="VCZ107" s="769"/>
      <c r="VDA107" s="769"/>
      <c r="VDB107" s="769"/>
      <c r="VDC107" s="769"/>
      <c r="VDD107" s="769"/>
      <c r="VDE107" s="769"/>
      <c r="VDF107" s="769"/>
      <c r="VDG107" s="769"/>
      <c r="VDH107" s="769"/>
      <c r="VDI107" s="769"/>
      <c r="VDJ107" s="769"/>
      <c r="VDK107" s="769"/>
      <c r="VDL107" s="769"/>
      <c r="VDM107" s="769"/>
      <c r="VDN107" s="769"/>
      <c r="VDO107" s="769"/>
      <c r="VDP107" s="769"/>
      <c r="VDQ107" s="769"/>
      <c r="VDR107" s="769"/>
      <c r="VDS107" s="769"/>
      <c r="VDT107" s="769"/>
      <c r="VDU107" s="769"/>
      <c r="VDV107" s="769"/>
      <c r="VDW107" s="769"/>
      <c r="VDX107" s="769"/>
      <c r="VDY107" s="769"/>
      <c r="VDZ107" s="769"/>
      <c r="VEA107" s="769"/>
      <c r="VEB107" s="769"/>
      <c r="VEC107" s="769"/>
      <c r="VED107" s="769"/>
      <c r="VEE107" s="769"/>
      <c r="VEF107" s="769"/>
      <c r="VEG107" s="769"/>
      <c r="VEH107" s="769"/>
      <c r="VEI107" s="769"/>
      <c r="VEJ107" s="769"/>
      <c r="VEK107" s="769"/>
      <c r="VEL107" s="769"/>
      <c r="VEM107" s="769"/>
      <c r="VEN107" s="769"/>
      <c r="VEO107" s="769"/>
      <c r="VEP107" s="769"/>
      <c r="VEQ107" s="769"/>
      <c r="VER107" s="769"/>
      <c r="VES107" s="769"/>
      <c r="VET107" s="769"/>
      <c r="VEU107" s="769"/>
      <c r="VEV107" s="769"/>
      <c r="VEW107" s="769"/>
      <c r="VEX107" s="769"/>
      <c r="VEY107" s="769"/>
      <c r="VEZ107" s="769"/>
      <c r="VFA107" s="769"/>
      <c r="VFB107" s="769"/>
      <c r="VFC107" s="769"/>
      <c r="VFD107" s="769"/>
      <c r="VFE107" s="769"/>
      <c r="VFF107" s="769"/>
      <c r="VFG107" s="769"/>
      <c r="VFH107" s="769"/>
      <c r="VFI107" s="769"/>
      <c r="VFJ107" s="769"/>
      <c r="VFK107" s="769"/>
      <c r="VFL107" s="769"/>
      <c r="VFM107" s="769"/>
      <c r="VFN107" s="769"/>
      <c r="VFO107" s="769"/>
      <c r="VFP107" s="769"/>
      <c r="VFQ107" s="769"/>
      <c r="VFR107" s="769"/>
      <c r="VFS107" s="769"/>
      <c r="VFT107" s="769"/>
      <c r="VFU107" s="769"/>
      <c r="VFV107" s="769"/>
      <c r="VFW107" s="769"/>
      <c r="VFX107" s="769"/>
      <c r="VFY107" s="769"/>
      <c r="VFZ107" s="769"/>
      <c r="VGA107" s="769"/>
      <c r="VGB107" s="769"/>
      <c r="VGC107" s="769"/>
      <c r="VGD107" s="769"/>
      <c r="VGE107" s="769"/>
      <c r="VGF107" s="769"/>
      <c r="VGG107" s="769"/>
      <c r="VGH107" s="769"/>
      <c r="VGI107" s="769"/>
      <c r="VGJ107" s="769"/>
      <c r="VGK107" s="769"/>
      <c r="VGL107" s="769"/>
      <c r="VGM107" s="769"/>
      <c r="VGN107" s="769"/>
      <c r="VGO107" s="769"/>
      <c r="VGP107" s="769"/>
      <c r="VGQ107" s="769"/>
      <c r="VGR107" s="769"/>
      <c r="VGS107" s="769"/>
      <c r="VGT107" s="769"/>
      <c r="VGU107" s="769"/>
      <c r="VGV107" s="769"/>
      <c r="VGW107" s="769"/>
      <c r="VGX107" s="769"/>
      <c r="VGY107" s="769"/>
      <c r="VGZ107" s="769"/>
      <c r="VHA107" s="769"/>
      <c r="VHB107" s="769"/>
      <c r="VHC107" s="769"/>
      <c r="VHD107" s="769"/>
      <c r="VHE107" s="769"/>
      <c r="VHF107" s="769"/>
      <c r="VHG107" s="769"/>
      <c r="VHH107" s="769"/>
      <c r="VHI107" s="769"/>
      <c r="VHJ107" s="769"/>
      <c r="VHK107" s="769"/>
      <c r="VHL107" s="769"/>
      <c r="VHM107" s="769"/>
      <c r="VHN107" s="769"/>
      <c r="VHO107" s="769"/>
      <c r="VHP107" s="769"/>
      <c r="VHQ107" s="769"/>
      <c r="VHR107" s="769"/>
      <c r="VHS107" s="769"/>
      <c r="VHT107" s="769"/>
      <c r="VHU107" s="769"/>
      <c r="VHV107" s="769"/>
      <c r="VHW107" s="769"/>
      <c r="VHX107" s="769"/>
      <c r="VHY107" s="769"/>
      <c r="VHZ107" s="769"/>
      <c r="VIA107" s="769"/>
      <c r="VIB107" s="769"/>
      <c r="VIC107" s="769"/>
      <c r="VID107" s="769"/>
      <c r="VIE107" s="769"/>
      <c r="VIF107" s="769"/>
      <c r="VIG107" s="769"/>
      <c r="VIH107" s="769"/>
      <c r="VII107" s="769"/>
      <c r="VIJ107" s="769"/>
      <c r="VIK107" s="769"/>
      <c r="VIL107" s="769"/>
      <c r="VIM107" s="769"/>
      <c r="VIN107" s="769"/>
      <c r="VIO107" s="769"/>
      <c r="VIP107" s="769"/>
      <c r="VIQ107" s="769"/>
      <c r="VIR107" s="769"/>
      <c r="VIS107" s="769"/>
      <c r="VIT107" s="769"/>
      <c r="VIU107" s="769"/>
      <c r="VIV107" s="769"/>
      <c r="VIW107" s="769"/>
      <c r="VIX107" s="769"/>
      <c r="VIY107" s="769"/>
      <c r="VIZ107" s="769"/>
      <c r="VJA107" s="769"/>
      <c r="VJB107" s="769"/>
      <c r="VJC107" s="769"/>
      <c r="VJD107" s="769"/>
      <c r="VJE107" s="769"/>
      <c r="VJF107" s="769"/>
      <c r="VJG107" s="769"/>
      <c r="VJH107" s="769"/>
      <c r="VJI107" s="769"/>
      <c r="VJJ107" s="769"/>
      <c r="VJK107" s="769"/>
      <c r="VJL107" s="769"/>
      <c r="VJM107" s="769"/>
      <c r="VJN107" s="769"/>
      <c r="VJO107" s="769"/>
      <c r="VJP107" s="769"/>
      <c r="VJQ107" s="769"/>
      <c r="VJR107" s="769"/>
      <c r="VJS107" s="769"/>
      <c r="VJT107" s="769"/>
      <c r="VJU107" s="769"/>
      <c r="VJV107" s="769"/>
      <c r="VJW107" s="769"/>
      <c r="VJX107" s="769"/>
      <c r="VJY107" s="769"/>
      <c r="VJZ107" s="769"/>
      <c r="VKA107" s="769"/>
      <c r="VKB107" s="769"/>
      <c r="VKC107" s="769"/>
      <c r="VKD107" s="769"/>
      <c r="VKE107" s="769"/>
      <c r="VKF107" s="769"/>
      <c r="VKG107" s="769"/>
      <c r="VKH107" s="769"/>
      <c r="VKI107" s="769"/>
      <c r="VKJ107" s="769"/>
      <c r="VKK107" s="769"/>
      <c r="VKL107" s="769"/>
      <c r="VKM107" s="769"/>
      <c r="VKN107" s="769"/>
      <c r="VKO107" s="769"/>
      <c r="VKP107" s="769"/>
      <c r="VKQ107" s="769"/>
      <c r="VKR107" s="769"/>
      <c r="VKS107" s="769"/>
      <c r="VKT107" s="769"/>
      <c r="VKU107" s="769"/>
      <c r="VKV107" s="769"/>
      <c r="VKW107" s="769"/>
      <c r="VKX107" s="769"/>
      <c r="VKY107" s="769"/>
      <c r="VKZ107" s="769"/>
      <c r="VLA107" s="769"/>
      <c r="VLB107" s="769"/>
      <c r="VLC107" s="769"/>
      <c r="VLD107" s="769"/>
      <c r="VLE107" s="769"/>
      <c r="VLF107" s="769"/>
      <c r="VLG107" s="769"/>
      <c r="VLH107" s="769"/>
      <c r="VLI107" s="769"/>
      <c r="VLJ107" s="769"/>
      <c r="VLK107" s="769"/>
      <c r="VLL107" s="769"/>
      <c r="VLM107" s="769"/>
      <c r="VLN107" s="769"/>
      <c r="VLO107" s="769"/>
      <c r="VLP107" s="769"/>
      <c r="VLQ107" s="769"/>
      <c r="VLR107" s="769"/>
      <c r="VLS107" s="769"/>
      <c r="VLT107" s="769"/>
      <c r="VLU107" s="769"/>
      <c r="VLV107" s="769"/>
      <c r="VLW107" s="769"/>
      <c r="VLX107" s="769"/>
      <c r="VLY107" s="769"/>
      <c r="VLZ107" s="769"/>
      <c r="VMA107" s="769"/>
      <c r="VMB107" s="769"/>
      <c r="VMC107" s="769"/>
      <c r="VMD107" s="769"/>
      <c r="VME107" s="769"/>
      <c r="VMF107" s="769"/>
      <c r="VMG107" s="769"/>
      <c r="VMH107" s="769"/>
      <c r="VMI107" s="769"/>
      <c r="VMJ107" s="769"/>
      <c r="VMK107" s="769"/>
      <c r="VML107" s="769"/>
      <c r="VMM107" s="769"/>
      <c r="VMN107" s="769"/>
      <c r="VMO107" s="769"/>
      <c r="VMP107" s="769"/>
      <c r="VMQ107" s="769"/>
      <c r="VMR107" s="769"/>
      <c r="VMS107" s="769"/>
      <c r="VMT107" s="769"/>
      <c r="VMU107" s="769"/>
      <c r="VMV107" s="769"/>
      <c r="VMW107" s="769"/>
      <c r="VMX107" s="769"/>
      <c r="VMY107" s="769"/>
      <c r="VMZ107" s="769"/>
      <c r="VNA107" s="769"/>
      <c r="VNB107" s="769"/>
      <c r="VNC107" s="769"/>
      <c r="VND107" s="769"/>
      <c r="VNE107" s="769"/>
      <c r="VNF107" s="769"/>
      <c r="VNG107" s="769"/>
      <c r="VNH107" s="769"/>
      <c r="VNI107" s="769"/>
      <c r="VNJ107" s="769"/>
      <c r="VNK107" s="769"/>
      <c r="VNL107" s="769"/>
      <c r="VNM107" s="769"/>
      <c r="VNN107" s="769"/>
      <c r="VNO107" s="769"/>
      <c r="VNP107" s="769"/>
      <c r="VNQ107" s="769"/>
      <c r="VNR107" s="769"/>
      <c r="VNS107" s="769"/>
      <c r="VNT107" s="769"/>
      <c r="VNU107" s="769"/>
      <c r="VNV107" s="769"/>
      <c r="VNW107" s="769"/>
      <c r="VNX107" s="769"/>
      <c r="VNY107" s="769"/>
      <c r="VNZ107" s="769"/>
      <c r="VOA107" s="769"/>
      <c r="VOB107" s="769"/>
      <c r="VOC107" s="769"/>
      <c r="VOD107" s="769"/>
      <c r="VOE107" s="769"/>
      <c r="VOF107" s="769"/>
      <c r="VOG107" s="769"/>
      <c r="VOH107" s="769"/>
      <c r="VOI107" s="769"/>
      <c r="VOJ107" s="769"/>
      <c r="VOK107" s="769"/>
      <c r="VOL107" s="769"/>
      <c r="VOM107" s="769"/>
      <c r="VON107" s="769"/>
      <c r="VOO107" s="769"/>
      <c r="VOP107" s="769"/>
      <c r="VOQ107" s="769"/>
      <c r="VOR107" s="769"/>
      <c r="VOS107" s="769"/>
      <c r="VOT107" s="769"/>
      <c r="VOU107" s="769"/>
      <c r="VOV107" s="769"/>
      <c r="VOW107" s="769"/>
      <c r="VOX107" s="769"/>
      <c r="VOY107" s="769"/>
      <c r="VOZ107" s="769"/>
      <c r="VPA107" s="769"/>
      <c r="VPB107" s="769"/>
      <c r="VPC107" s="769"/>
      <c r="VPD107" s="769"/>
      <c r="VPE107" s="769"/>
      <c r="VPF107" s="769"/>
      <c r="VPG107" s="769"/>
      <c r="VPH107" s="769"/>
      <c r="VPI107" s="769"/>
      <c r="VPJ107" s="769"/>
      <c r="VPK107" s="769"/>
      <c r="VPL107" s="769"/>
      <c r="VPM107" s="769"/>
      <c r="VPN107" s="769"/>
      <c r="VPO107" s="769"/>
      <c r="VPP107" s="769"/>
      <c r="VPQ107" s="769"/>
      <c r="VPR107" s="769"/>
      <c r="VPS107" s="769"/>
      <c r="VPT107" s="769"/>
      <c r="VPU107" s="769"/>
      <c r="VPV107" s="769"/>
      <c r="VPW107" s="769"/>
      <c r="VPX107" s="769"/>
      <c r="VPY107" s="769"/>
      <c r="VPZ107" s="769"/>
      <c r="VQA107" s="769"/>
      <c r="VQB107" s="769"/>
      <c r="VQC107" s="769"/>
      <c r="VQD107" s="769"/>
      <c r="VQE107" s="769"/>
      <c r="VQF107" s="769"/>
      <c r="VQG107" s="769"/>
      <c r="VQH107" s="769"/>
      <c r="VQI107" s="769"/>
      <c r="VQJ107" s="769"/>
      <c r="VQK107" s="769"/>
      <c r="VQL107" s="769"/>
      <c r="VQM107" s="769"/>
      <c r="VQN107" s="769"/>
      <c r="VQO107" s="769"/>
      <c r="VQP107" s="769"/>
      <c r="VQQ107" s="769"/>
      <c r="VQR107" s="769"/>
      <c r="VQS107" s="769"/>
      <c r="VQT107" s="769"/>
      <c r="VQU107" s="769"/>
      <c r="VQV107" s="769"/>
      <c r="VQW107" s="769"/>
      <c r="VQX107" s="769"/>
      <c r="VQY107" s="769"/>
      <c r="VQZ107" s="769"/>
      <c r="VRA107" s="769"/>
      <c r="VRB107" s="769"/>
      <c r="VRC107" s="769"/>
      <c r="VRD107" s="769"/>
      <c r="VRE107" s="769"/>
      <c r="VRF107" s="769"/>
      <c r="VRG107" s="769"/>
      <c r="VRH107" s="769"/>
      <c r="VRI107" s="769"/>
      <c r="VRJ107" s="769"/>
      <c r="VRK107" s="769"/>
      <c r="VRL107" s="769"/>
      <c r="VRM107" s="769"/>
      <c r="VRN107" s="769"/>
      <c r="VRO107" s="769"/>
      <c r="VRP107" s="769"/>
      <c r="VRQ107" s="769"/>
      <c r="VRR107" s="769"/>
      <c r="VRS107" s="769"/>
      <c r="VRT107" s="769"/>
      <c r="VRU107" s="769"/>
      <c r="VRV107" s="769"/>
      <c r="VRW107" s="769"/>
      <c r="VRX107" s="769"/>
      <c r="VRY107" s="769"/>
      <c r="VRZ107" s="769"/>
      <c r="VSA107" s="769"/>
      <c r="VSB107" s="769"/>
      <c r="VSC107" s="769"/>
      <c r="VSD107" s="769"/>
      <c r="VSE107" s="769"/>
      <c r="VSF107" s="769"/>
      <c r="VSG107" s="769"/>
      <c r="VSH107" s="769"/>
      <c r="VSI107" s="769"/>
      <c r="VSJ107" s="769"/>
      <c r="VSK107" s="769"/>
      <c r="VSL107" s="769"/>
      <c r="VSM107" s="769"/>
      <c r="VSN107" s="769"/>
      <c r="VSO107" s="769"/>
      <c r="VSP107" s="769"/>
      <c r="VSQ107" s="769"/>
      <c r="VSR107" s="769"/>
      <c r="VSS107" s="769"/>
      <c r="VST107" s="769"/>
      <c r="VSU107" s="769"/>
      <c r="VSV107" s="769"/>
      <c r="VSW107" s="769"/>
      <c r="VSX107" s="769"/>
      <c r="VSY107" s="769"/>
      <c r="VSZ107" s="769"/>
      <c r="VTA107" s="769"/>
      <c r="VTB107" s="769"/>
      <c r="VTC107" s="769"/>
      <c r="VTD107" s="769"/>
      <c r="VTE107" s="769"/>
      <c r="VTF107" s="769"/>
      <c r="VTG107" s="769"/>
      <c r="VTH107" s="769"/>
      <c r="VTI107" s="769"/>
      <c r="VTJ107" s="769"/>
      <c r="VTK107" s="769"/>
      <c r="VTL107" s="769"/>
      <c r="VTM107" s="769"/>
      <c r="VTN107" s="769"/>
      <c r="VTO107" s="769"/>
      <c r="VTP107" s="769"/>
      <c r="VTQ107" s="769"/>
      <c r="VTR107" s="769"/>
      <c r="VTS107" s="769"/>
      <c r="VTT107" s="769"/>
      <c r="VTU107" s="769"/>
      <c r="VTV107" s="769"/>
      <c r="VTW107" s="769"/>
      <c r="VTX107" s="769"/>
      <c r="VTY107" s="769"/>
      <c r="VTZ107" s="769"/>
      <c r="VUA107" s="769"/>
      <c r="VUB107" s="769"/>
      <c r="VUC107" s="769"/>
      <c r="VUD107" s="769"/>
      <c r="VUE107" s="769"/>
      <c r="VUF107" s="769"/>
      <c r="VUG107" s="769"/>
      <c r="VUH107" s="769"/>
      <c r="VUI107" s="769"/>
      <c r="VUJ107" s="769"/>
      <c r="VUK107" s="769"/>
      <c r="VUL107" s="769"/>
      <c r="VUM107" s="769"/>
      <c r="VUN107" s="769"/>
      <c r="VUO107" s="769"/>
      <c r="VUP107" s="769"/>
      <c r="VUQ107" s="769"/>
      <c r="VUR107" s="769"/>
      <c r="VUS107" s="769"/>
      <c r="VUT107" s="769"/>
      <c r="VUU107" s="769"/>
      <c r="VUV107" s="769"/>
      <c r="VUW107" s="769"/>
      <c r="VUX107" s="769"/>
      <c r="VUY107" s="769"/>
      <c r="VUZ107" s="769"/>
      <c r="VVA107" s="769"/>
      <c r="VVB107" s="769"/>
      <c r="VVC107" s="769"/>
      <c r="VVD107" s="769"/>
      <c r="VVE107" s="769"/>
      <c r="VVF107" s="769"/>
      <c r="VVG107" s="769"/>
      <c r="VVH107" s="769"/>
      <c r="VVI107" s="769"/>
      <c r="VVJ107" s="769"/>
      <c r="VVK107" s="769"/>
      <c r="VVL107" s="769"/>
      <c r="VVM107" s="769"/>
      <c r="VVN107" s="769"/>
      <c r="VVO107" s="769"/>
      <c r="VVP107" s="769"/>
      <c r="VVQ107" s="769"/>
      <c r="VVR107" s="769"/>
      <c r="VVS107" s="769"/>
      <c r="VVT107" s="769"/>
      <c r="VVU107" s="769"/>
      <c r="VVV107" s="769"/>
      <c r="VVW107" s="769"/>
      <c r="VVX107" s="769"/>
      <c r="VVY107" s="769"/>
      <c r="VVZ107" s="769"/>
      <c r="VWA107" s="769"/>
      <c r="VWB107" s="769"/>
      <c r="VWC107" s="769"/>
      <c r="VWD107" s="769"/>
      <c r="VWE107" s="769"/>
      <c r="VWF107" s="769"/>
      <c r="VWG107" s="769"/>
      <c r="VWH107" s="769"/>
      <c r="VWI107" s="769"/>
      <c r="VWJ107" s="769"/>
      <c r="VWK107" s="769"/>
      <c r="VWL107" s="769"/>
      <c r="VWM107" s="769"/>
      <c r="VWN107" s="769"/>
      <c r="VWO107" s="769"/>
      <c r="VWP107" s="769"/>
      <c r="VWQ107" s="769"/>
      <c r="VWR107" s="769"/>
      <c r="VWS107" s="769"/>
      <c r="VWT107" s="769"/>
      <c r="VWU107" s="769"/>
      <c r="VWV107" s="769"/>
      <c r="VWW107" s="769"/>
      <c r="VWX107" s="769"/>
      <c r="VWY107" s="769"/>
      <c r="VWZ107" s="769"/>
      <c r="VXA107" s="769"/>
      <c r="VXB107" s="769"/>
      <c r="VXC107" s="769"/>
      <c r="VXD107" s="769"/>
      <c r="VXE107" s="769"/>
      <c r="VXF107" s="769"/>
      <c r="VXG107" s="769"/>
      <c r="VXH107" s="769"/>
      <c r="VXI107" s="769"/>
      <c r="VXJ107" s="769"/>
      <c r="VXK107" s="769"/>
      <c r="VXL107" s="769"/>
      <c r="VXM107" s="769"/>
      <c r="VXN107" s="769"/>
      <c r="VXO107" s="769"/>
      <c r="VXP107" s="769"/>
      <c r="VXQ107" s="769"/>
      <c r="VXR107" s="769"/>
      <c r="VXS107" s="769"/>
      <c r="VXT107" s="769"/>
      <c r="VXU107" s="769"/>
      <c r="VXV107" s="769"/>
      <c r="VXW107" s="769"/>
      <c r="VXX107" s="769"/>
      <c r="VXY107" s="769"/>
      <c r="VXZ107" s="769"/>
      <c r="VYA107" s="769"/>
      <c r="VYB107" s="769"/>
      <c r="VYC107" s="769"/>
      <c r="VYD107" s="769"/>
      <c r="VYE107" s="769"/>
      <c r="VYF107" s="769"/>
      <c r="VYG107" s="769"/>
      <c r="VYH107" s="769"/>
      <c r="VYI107" s="769"/>
      <c r="VYJ107" s="769"/>
      <c r="VYK107" s="769"/>
      <c r="VYL107" s="769"/>
      <c r="VYM107" s="769"/>
      <c r="VYN107" s="769"/>
      <c r="VYO107" s="769"/>
      <c r="VYP107" s="769"/>
      <c r="VYQ107" s="769"/>
      <c r="VYR107" s="769"/>
      <c r="VYS107" s="769"/>
      <c r="VYT107" s="769"/>
      <c r="VYU107" s="769"/>
      <c r="VYV107" s="769"/>
      <c r="VYW107" s="769"/>
      <c r="VYX107" s="769"/>
      <c r="VYY107" s="769"/>
      <c r="VYZ107" s="769"/>
      <c r="VZA107" s="769"/>
      <c r="VZB107" s="769"/>
      <c r="VZC107" s="769"/>
      <c r="VZD107" s="769"/>
      <c r="VZE107" s="769"/>
      <c r="VZF107" s="769"/>
      <c r="VZG107" s="769"/>
      <c r="VZH107" s="769"/>
      <c r="VZI107" s="769"/>
      <c r="VZJ107" s="769"/>
      <c r="VZK107" s="769"/>
      <c r="VZL107" s="769"/>
      <c r="VZM107" s="769"/>
      <c r="VZN107" s="769"/>
      <c r="VZO107" s="769"/>
      <c r="VZP107" s="769"/>
      <c r="VZQ107" s="769"/>
      <c r="VZR107" s="769"/>
      <c r="VZS107" s="769"/>
      <c r="VZT107" s="769"/>
      <c r="VZU107" s="769"/>
      <c r="VZV107" s="769"/>
      <c r="VZW107" s="769"/>
      <c r="VZX107" s="769"/>
      <c r="VZY107" s="769"/>
      <c r="VZZ107" s="769"/>
      <c r="WAA107" s="769"/>
      <c r="WAB107" s="769"/>
      <c r="WAC107" s="769"/>
      <c r="WAD107" s="769"/>
      <c r="WAE107" s="769"/>
      <c r="WAF107" s="769"/>
      <c r="WAG107" s="769"/>
      <c r="WAH107" s="769"/>
      <c r="WAI107" s="769"/>
      <c r="WAJ107" s="769"/>
      <c r="WAK107" s="769"/>
      <c r="WAL107" s="769"/>
      <c r="WAM107" s="769"/>
      <c r="WAN107" s="769"/>
      <c r="WAO107" s="769"/>
      <c r="WAP107" s="769"/>
      <c r="WAQ107" s="769"/>
      <c r="WAR107" s="769"/>
      <c r="WAS107" s="769"/>
      <c r="WAT107" s="769"/>
      <c r="WAU107" s="769"/>
      <c r="WAV107" s="769"/>
      <c r="WAW107" s="769"/>
      <c r="WAX107" s="769"/>
      <c r="WAY107" s="769"/>
      <c r="WAZ107" s="769"/>
      <c r="WBA107" s="769"/>
      <c r="WBB107" s="769"/>
      <c r="WBC107" s="769"/>
      <c r="WBD107" s="769"/>
      <c r="WBE107" s="769"/>
      <c r="WBF107" s="769"/>
      <c r="WBG107" s="769"/>
      <c r="WBH107" s="769"/>
      <c r="WBI107" s="769"/>
      <c r="WBJ107" s="769"/>
      <c r="WBK107" s="769"/>
      <c r="WBL107" s="769"/>
      <c r="WBM107" s="769"/>
      <c r="WBN107" s="769"/>
      <c r="WBO107" s="769"/>
      <c r="WBP107" s="769"/>
      <c r="WBQ107" s="769"/>
      <c r="WBR107" s="769"/>
      <c r="WBS107" s="769"/>
      <c r="WBT107" s="769"/>
      <c r="WBU107" s="769"/>
      <c r="WBV107" s="769"/>
      <c r="WBW107" s="769"/>
      <c r="WBX107" s="769"/>
      <c r="WBY107" s="769"/>
      <c r="WBZ107" s="769"/>
      <c r="WCA107" s="769"/>
      <c r="WCB107" s="769"/>
      <c r="WCC107" s="769"/>
      <c r="WCD107" s="769"/>
      <c r="WCE107" s="769"/>
      <c r="WCF107" s="769"/>
      <c r="WCG107" s="769"/>
      <c r="WCH107" s="769"/>
      <c r="WCI107" s="769"/>
      <c r="WCJ107" s="769"/>
      <c r="WCK107" s="769"/>
      <c r="WCL107" s="769"/>
      <c r="WCM107" s="769"/>
      <c r="WCN107" s="769"/>
      <c r="WCO107" s="769"/>
      <c r="WCP107" s="769"/>
      <c r="WCQ107" s="769"/>
      <c r="WCR107" s="769"/>
      <c r="WCS107" s="769"/>
      <c r="WCT107" s="769"/>
      <c r="WCU107" s="769"/>
      <c r="WCV107" s="769"/>
      <c r="WCW107" s="769"/>
      <c r="WCX107" s="769"/>
      <c r="WCY107" s="769"/>
      <c r="WCZ107" s="769"/>
      <c r="WDA107" s="769"/>
      <c r="WDB107" s="769"/>
      <c r="WDC107" s="769"/>
      <c r="WDD107" s="769"/>
      <c r="WDE107" s="769"/>
      <c r="WDF107" s="769"/>
      <c r="WDG107" s="769"/>
      <c r="WDH107" s="769"/>
      <c r="WDI107" s="769"/>
      <c r="WDJ107" s="769"/>
      <c r="WDK107" s="769"/>
      <c r="WDL107" s="769"/>
      <c r="WDM107" s="769"/>
      <c r="WDN107" s="769"/>
      <c r="WDO107" s="769"/>
      <c r="WDP107" s="769"/>
      <c r="WDQ107" s="769"/>
      <c r="WDR107" s="769"/>
      <c r="WDS107" s="769"/>
      <c r="WDT107" s="769"/>
      <c r="WDU107" s="769"/>
      <c r="WDV107" s="769"/>
      <c r="WDW107" s="769"/>
      <c r="WDX107" s="769"/>
      <c r="WDY107" s="769"/>
      <c r="WDZ107" s="769"/>
      <c r="WEA107" s="769"/>
      <c r="WEB107" s="769"/>
      <c r="WEC107" s="769"/>
      <c r="WED107" s="769"/>
      <c r="WEE107" s="769"/>
      <c r="WEF107" s="769"/>
      <c r="WEG107" s="769"/>
      <c r="WEH107" s="769"/>
      <c r="WEI107" s="769"/>
      <c r="WEJ107" s="769"/>
      <c r="WEK107" s="769"/>
      <c r="WEL107" s="769"/>
      <c r="WEM107" s="769"/>
      <c r="WEN107" s="769"/>
      <c r="WEO107" s="769"/>
      <c r="WEP107" s="769"/>
      <c r="WEQ107" s="769"/>
      <c r="WER107" s="769"/>
      <c r="WES107" s="769"/>
      <c r="WET107" s="769"/>
      <c r="WEU107" s="769"/>
      <c r="WEV107" s="769"/>
      <c r="WEW107" s="769"/>
      <c r="WEX107" s="769"/>
      <c r="WEY107" s="769"/>
      <c r="WEZ107" s="769"/>
      <c r="WFA107" s="769"/>
      <c r="WFB107" s="769"/>
      <c r="WFC107" s="769"/>
      <c r="WFD107" s="769"/>
      <c r="WFE107" s="769"/>
      <c r="WFF107" s="769"/>
      <c r="WFG107" s="769"/>
      <c r="WFH107" s="769"/>
      <c r="WFI107" s="769"/>
      <c r="WFJ107" s="769"/>
      <c r="WFK107" s="769"/>
      <c r="WFL107" s="769"/>
      <c r="WFM107" s="769"/>
      <c r="WFN107" s="769"/>
      <c r="WFO107" s="769"/>
      <c r="WFP107" s="769"/>
      <c r="WFQ107" s="769"/>
      <c r="WFR107" s="769"/>
      <c r="WFS107" s="769"/>
      <c r="WFT107" s="769"/>
      <c r="WFU107" s="769"/>
      <c r="WFV107" s="769"/>
      <c r="WFW107" s="769"/>
      <c r="WFX107" s="769"/>
      <c r="WFY107" s="769"/>
      <c r="WFZ107" s="769"/>
      <c r="WGA107" s="769"/>
      <c r="WGB107" s="769"/>
      <c r="WGC107" s="769"/>
      <c r="WGD107" s="769"/>
      <c r="WGE107" s="769"/>
      <c r="WGF107" s="769"/>
      <c r="WGG107" s="769"/>
      <c r="WGH107" s="769"/>
      <c r="WGI107" s="769"/>
      <c r="WGJ107" s="769"/>
      <c r="WGK107" s="769"/>
      <c r="WGL107" s="769"/>
      <c r="WGM107" s="769"/>
      <c r="WGN107" s="769"/>
      <c r="WGO107" s="769"/>
      <c r="WGP107" s="769"/>
      <c r="WGQ107" s="769"/>
      <c r="WGR107" s="769"/>
      <c r="WGS107" s="769"/>
      <c r="WGT107" s="769"/>
      <c r="WGU107" s="769"/>
      <c r="WGV107" s="769"/>
      <c r="WGW107" s="769"/>
      <c r="WGX107" s="769"/>
      <c r="WGY107" s="769"/>
      <c r="WGZ107" s="769"/>
      <c r="WHA107" s="769"/>
      <c r="WHB107" s="769"/>
      <c r="WHC107" s="769"/>
      <c r="WHD107" s="769"/>
      <c r="WHE107" s="769"/>
      <c r="WHF107" s="769"/>
      <c r="WHG107" s="769"/>
      <c r="WHH107" s="769"/>
      <c r="WHI107" s="769"/>
      <c r="WHJ107" s="769"/>
      <c r="WHK107" s="769"/>
      <c r="WHL107" s="769"/>
      <c r="WHM107" s="769"/>
      <c r="WHN107" s="769"/>
      <c r="WHO107" s="769"/>
      <c r="WHP107" s="769"/>
      <c r="WHQ107" s="769"/>
      <c r="WHR107" s="769"/>
      <c r="WHS107" s="769"/>
      <c r="WHT107" s="769"/>
      <c r="WHU107" s="769"/>
      <c r="WHV107" s="769"/>
      <c r="WHW107" s="769"/>
      <c r="WHX107" s="769"/>
      <c r="WHY107" s="769"/>
      <c r="WHZ107" s="769"/>
      <c r="WIA107" s="769"/>
      <c r="WIB107" s="769"/>
      <c r="WIC107" s="769"/>
      <c r="WID107" s="769"/>
      <c r="WIE107" s="769"/>
      <c r="WIF107" s="769"/>
      <c r="WIG107" s="769"/>
      <c r="WIH107" s="769"/>
      <c r="WII107" s="769"/>
      <c r="WIJ107" s="769"/>
      <c r="WIK107" s="769"/>
      <c r="WIL107" s="769"/>
      <c r="WIM107" s="769"/>
      <c r="WIN107" s="769"/>
      <c r="WIO107" s="769"/>
      <c r="WIP107" s="769"/>
      <c r="WIQ107" s="769"/>
      <c r="WIR107" s="769"/>
      <c r="WIS107" s="769"/>
      <c r="WIT107" s="769"/>
      <c r="WIU107" s="769"/>
      <c r="WIV107" s="769"/>
      <c r="WIW107" s="769"/>
      <c r="WIX107" s="769"/>
      <c r="WIY107" s="769"/>
      <c r="WIZ107" s="769"/>
      <c r="WJA107" s="769"/>
      <c r="WJB107" s="769"/>
      <c r="WJC107" s="769"/>
      <c r="WJD107" s="769"/>
      <c r="WJE107" s="769"/>
      <c r="WJF107" s="769"/>
      <c r="WJG107" s="769"/>
      <c r="WJH107" s="769"/>
      <c r="WJI107" s="769"/>
      <c r="WJJ107" s="769"/>
      <c r="WJK107" s="769"/>
      <c r="WJL107" s="769"/>
      <c r="WJM107" s="769"/>
      <c r="WJN107" s="769"/>
      <c r="WJO107" s="769"/>
      <c r="WJP107" s="769"/>
      <c r="WJQ107" s="769"/>
      <c r="WJR107" s="769"/>
      <c r="WJS107" s="769"/>
      <c r="WJT107" s="769"/>
      <c r="WJU107" s="769"/>
      <c r="WJV107" s="769"/>
      <c r="WJW107" s="769"/>
      <c r="WJX107" s="769"/>
      <c r="WJY107" s="769"/>
      <c r="WJZ107" s="769"/>
      <c r="WKA107" s="769"/>
      <c r="WKB107" s="769"/>
      <c r="WKC107" s="769"/>
      <c r="WKD107" s="769"/>
      <c r="WKE107" s="769"/>
      <c r="WKF107" s="769"/>
      <c r="WKG107" s="769"/>
      <c r="WKH107" s="769"/>
      <c r="WKI107" s="769"/>
      <c r="WKJ107" s="769"/>
      <c r="WKK107" s="769"/>
      <c r="WKL107" s="769"/>
      <c r="WKM107" s="769"/>
      <c r="WKN107" s="769"/>
      <c r="WKO107" s="769"/>
      <c r="WKP107" s="769"/>
      <c r="WKQ107" s="769"/>
      <c r="WKR107" s="769"/>
      <c r="WKS107" s="769"/>
      <c r="WKT107" s="769"/>
      <c r="WKU107" s="769"/>
      <c r="WKV107" s="769"/>
      <c r="WKW107" s="769"/>
      <c r="WKX107" s="769"/>
      <c r="WKY107" s="769"/>
      <c r="WKZ107" s="769"/>
      <c r="WLA107" s="769"/>
      <c r="WLB107" s="769"/>
      <c r="WLC107" s="769"/>
      <c r="WLD107" s="769"/>
      <c r="WLE107" s="769"/>
      <c r="WLF107" s="769"/>
      <c r="WLG107" s="769"/>
      <c r="WLH107" s="769"/>
      <c r="WLI107" s="769"/>
      <c r="WLJ107" s="769"/>
      <c r="WLK107" s="769"/>
      <c r="WLL107" s="769"/>
      <c r="WLM107" s="769"/>
      <c r="WLN107" s="769"/>
      <c r="WLO107" s="769"/>
      <c r="WLP107" s="769"/>
      <c r="WLQ107" s="769"/>
      <c r="WLR107" s="769"/>
      <c r="WLS107" s="769"/>
      <c r="WLT107" s="769"/>
      <c r="WLU107" s="769"/>
      <c r="WLV107" s="769"/>
      <c r="WLW107" s="769"/>
      <c r="WLX107" s="769"/>
      <c r="WLY107" s="769"/>
      <c r="WLZ107" s="769"/>
      <c r="WMA107" s="769"/>
      <c r="WMB107" s="769"/>
      <c r="WMC107" s="769"/>
      <c r="WMD107" s="769"/>
      <c r="WME107" s="769"/>
      <c r="WMF107" s="769"/>
      <c r="WMG107" s="769"/>
      <c r="WMH107" s="769"/>
      <c r="WMI107" s="769"/>
      <c r="WMJ107" s="769"/>
      <c r="WMK107" s="769"/>
      <c r="WML107" s="769"/>
      <c r="WMM107" s="769"/>
      <c r="WMN107" s="769"/>
      <c r="WMO107" s="769"/>
      <c r="WMP107" s="769"/>
      <c r="WMQ107" s="769"/>
      <c r="WMR107" s="769"/>
      <c r="WMS107" s="769"/>
      <c r="WMT107" s="769"/>
      <c r="WMU107" s="769"/>
      <c r="WMV107" s="769"/>
      <c r="WMW107" s="769"/>
      <c r="WMX107" s="769"/>
      <c r="WMY107" s="769"/>
      <c r="WMZ107" s="769"/>
      <c r="WNA107" s="769"/>
      <c r="WNB107" s="769"/>
      <c r="WNC107" s="769"/>
      <c r="WND107" s="769"/>
      <c r="WNE107" s="769"/>
      <c r="WNF107" s="769"/>
      <c r="WNG107" s="769"/>
      <c r="WNH107" s="769"/>
      <c r="WNI107" s="769"/>
      <c r="WNJ107" s="769"/>
      <c r="WNK107" s="769"/>
      <c r="WNL107" s="769"/>
      <c r="WNM107" s="769"/>
      <c r="WNN107" s="769"/>
      <c r="WNO107" s="769"/>
      <c r="WNP107" s="769"/>
      <c r="WNQ107" s="769"/>
      <c r="WNR107" s="769"/>
      <c r="WNS107" s="769"/>
      <c r="WNT107" s="769"/>
      <c r="WNU107" s="769"/>
      <c r="WNV107" s="769"/>
      <c r="WNW107" s="769"/>
      <c r="WNX107" s="769"/>
      <c r="WNY107" s="769"/>
      <c r="WNZ107" s="769"/>
      <c r="WOA107" s="769"/>
      <c r="WOB107" s="769"/>
      <c r="WOC107" s="769"/>
      <c r="WOD107" s="769"/>
      <c r="WOE107" s="769"/>
      <c r="WOF107" s="769"/>
      <c r="WOG107" s="769"/>
      <c r="WOH107" s="769"/>
      <c r="WOI107" s="769"/>
      <c r="WOJ107" s="769"/>
      <c r="WOK107" s="769"/>
      <c r="WOL107" s="769"/>
      <c r="WOM107" s="769"/>
      <c r="WON107" s="769"/>
      <c r="WOO107" s="769"/>
      <c r="WOP107" s="769"/>
      <c r="WOQ107" s="769"/>
      <c r="WOR107" s="769"/>
      <c r="WOS107" s="769"/>
      <c r="WOT107" s="769"/>
      <c r="WOU107" s="769"/>
      <c r="WOV107" s="769"/>
      <c r="WOW107" s="769"/>
      <c r="WOX107" s="769"/>
      <c r="WOY107" s="769"/>
      <c r="WOZ107" s="769"/>
      <c r="WPA107" s="769"/>
      <c r="WPB107" s="769"/>
      <c r="WPC107" s="769"/>
      <c r="WPD107" s="769"/>
      <c r="WPE107" s="769"/>
      <c r="WPF107" s="769"/>
      <c r="WPG107" s="769"/>
      <c r="WPH107" s="769"/>
      <c r="WPI107" s="769"/>
      <c r="WPJ107" s="769"/>
      <c r="WPK107" s="769"/>
      <c r="WPL107" s="769"/>
      <c r="WPM107" s="769"/>
      <c r="WPN107" s="769"/>
      <c r="WPO107" s="769"/>
      <c r="WPP107" s="769"/>
      <c r="WPQ107" s="769"/>
      <c r="WPR107" s="769"/>
      <c r="WPS107" s="769"/>
      <c r="WPT107" s="769"/>
      <c r="WPU107" s="769"/>
      <c r="WPV107" s="769"/>
      <c r="WPW107" s="769"/>
      <c r="WPX107" s="769"/>
      <c r="WPY107" s="769"/>
      <c r="WPZ107" s="769"/>
      <c r="WQA107" s="769"/>
      <c r="WQB107" s="769"/>
      <c r="WQC107" s="769"/>
      <c r="WQD107" s="769"/>
      <c r="WQE107" s="769"/>
      <c r="WQF107" s="769"/>
      <c r="WQG107" s="769"/>
      <c r="WQH107" s="769"/>
      <c r="WQI107" s="769"/>
      <c r="WQJ107" s="769"/>
      <c r="WQK107" s="769"/>
      <c r="WQL107" s="769"/>
      <c r="WQM107" s="769"/>
      <c r="WQN107" s="769"/>
      <c r="WQO107" s="769"/>
      <c r="WQP107" s="769"/>
      <c r="WQQ107" s="769"/>
      <c r="WQR107" s="769"/>
      <c r="WQS107" s="769"/>
      <c r="WQT107" s="769"/>
      <c r="WQU107" s="769"/>
      <c r="WQV107" s="769"/>
      <c r="WQW107" s="769"/>
      <c r="WQX107" s="769"/>
      <c r="WQY107" s="769"/>
      <c r="WQZ107" s="769"/>
      <c r="WRA107" s="769"/>
      <c r="WRB107" s="769"/>
      <c r="WRC107" s="769"/>
      <c r="WRD107" s="769"/>
      <c r="WRE107" s="769"/>
      <c r="WRF107" s="769"/>
      <c r="WRG107" s="769"/>
      <c r="WRH107" s="769"/>
      <c r="WRI107" s="769"/>
      <c r="WRJ107" s="769"/>
      <c r="WRK107" s="769"/>
      <c r="WRL107" s="769"/>
      <c r="WRM107" s="769"/>
      <c r="WRN107" s="769"/>
      <c r="WRO107" s="769"/>
      <c r="WRP107" s="769"/>
      <c r="WRQ107" s="769"/>
      <c r="WRR107" s="769"/>
      <c r="WRS107" s="769"/>
      <c r="WRT107" s="769"/>
      <c r="WRU107" s="769"/>
      <c r="WRV107" s="769"/>
      <c r="WRW107" s="769"/>
      <c r="WRX107" s="769"/>
      <c r="WRY107" s="769"/>
      <c r="WRZ107" s="769"/>
      <c r="WSA107" s="769"/>
      <c r="WSB107" s="769"/>
      <c r="WSC107" s="769"/>
      <c r="WSD107" s="769"/>
      <c r="WSE107" s="769"/>
      <c r="WSF107" s="769"/>
      <c r="WSG107" s="769"/>
      <c r="WSH107" s="769"/>
      <c r="WSI107" s="769"/>
      <c r="WSJ107" s="769"/>
      <c r="WSK107" s="769"/>
      <c r="WSL107" s="769"/>
      <c r="WSM107" s="769"/>
      <c r="WSN107" s="769"/>
      <c r="WSO107" s="769"/>
      <c r="WSP107" s="769"/>
      <c r="WSQ107" s="769"/>
      <c r="WSR107" s="769"/>
      <c r="WSS107" s="769"/>
      <c r="WST107" s="769"/>
      <c r="WSU107" s="769"/>
      <c r="WSV107" s="769"/>
      <c r="WSW107" s="769"/>
      <c r="WSX107" s="769"/>
      <c r="WSY107" s="769"/>
      <c r="WSZ107" s="769"/>
      <c r="WTA107" s="769"/>
      <c r="WTB107" s="769"/>
      <c r="WTC107" s="769"/>
      <c r="WTD107" s="769"/>
      <c r="WTE107" s="769"/>
      <c r="WTF107" s="769"/>
      <c r="WTG107" s="769"/>
      <c r="WTH107" s="769"/>
      <c r="WTI107" s="769"/>
      <c r="WTJ107" s="769"/>
      <c r="WTK107" s="769"/>
      <c r="WTL107" s="769"/>
      <c r="WTM107" s="769"/>
      <c r="WTN107" s="769"/>
      <c r="WTO107" s="769"/>
      <c r="WTP107" s="769"/>
      <c r="WTQ107" s="769"/>
      <c r="WTR107" s="769"/>
      <c r="WTS107" s="769"/>
      <c r="WTT107" s="769"/>
      <c r="WTU107" s="769"/>
      <c r="WTV107" s="769"/>
      <c r="WTW107" s="769"/>
      <c r="WTX107" s="769"/>
      <c r="WTY107" s="769"/>
      <c r="WTZ107" s="769"/>
      <c r="WUA107" s="769"/>
      <c r="WUB107" s="769"/>
      <c r="WUC107" s="769"/>
      <c r="WUD107" s="769"/>
      <c r="WUE107" s="769"/>
      <c r="WUF107" s="769"/>
      <c r="WUG107" s="769"/>
      <c r="WUH107" s="769"/>
      <c r="WUI107" s="769"/>
      <c r="WUJ107" s="769"/>
      <c r="WUK107" s="769"/>
      <c r="WUL107" s="769"/>
      <c r="WUM107" s="769"/>
      <c r="WUN107" s="769"/>
      <c r="WUO107" s="769"/>
      <c r="WUP107" s="769"/>
      <c r="WUQ107" s="769"/>
      <c r="WUR107" s="769"/>
      <c r="WUS107" s="769"/>
      <c r="WUT107" s="769"/>
      <c r="WUU107" s="769"/>
      <c r="WUV107" s="769"/>
      <c r="WUW107" s="769"/>
      <c r="WUX107" s="769"/>
      <c r="WUY107" s="769"/>
      <c r="WUZ107" s="769"/>
      <c r="WVA107" s="769"/>
      <c r="WVB107" s="769"/>
      <c r="WVC107" s="769"/>
      <c r="WVD107" s="769"/>
      <c r="WVE107" s="769"/>
      <c r="WVF107" s="769"/>
      <c r="WVG107" s="769"/>
      <c r="WVH107" s="769"/>
      <c r="WVI107" s="769"/>
      <c r="WVJ107" s="769"/>
      <c r="WVK107" s="769"/>
      <c r="WVL107" s="769"/>
      <c r="WVM107" s="769"/>
      <c r="WVN107" s="769"/>
      <c r="WVO107" s="769"/>
      <c r="WVP107" s="769"/>
      <c r="WVQ107" s="769"/>
      <c r="WVR107" s="769"/>
      <c r="WVS107" s="769"/>
      <c r="WVT107" s="769"/>
      <c r="WVU107" s="769"/>
      <c r="WVV107" s="769"/>
      <c r="WVW107" s="769"/>
      <c r="WVX107" s="769"/>
      <c r="WVY107" s="769"/>
      <c r="WVZ107" s="769"/>
      <c r="WWA107" s="769"/>
      <c r="WWB107" s="769"/>
      <c r="WWC107" s="769"/>
      <c r="WWD107" s="769"/>
      <c r="WWE107" s="769"/>
      <c r="WWF107" s="769"/>
      <c r="WWG107" s="769"/>
      <c r="WWH107" s="769"/>
      <c r="WWI107" s="769"/>
      <c r="WWJ107" s="769"/>
      <c r="WWK107" s="769"/>
      <c r="WWL107" s="769"/>
      <c r="WWM107" s="769"/>
      <c r="WWN107" s="769"/>
      <c r="WWO107" s="769"/>
      <c r="WWP107" s="769"/>
      <c r="WWQ107" s="769"/>
      <c r="WWR107" s="769"/>
      <c r="WWS107" s="769"/>
      <c r="WWT107" s="769"/>
      <c r="WWU107" s="769"/>
      <c r="WWV107" s="769"/>
      <c r="WWW107" s="769"/>
      <c r="WWX107" s="769"/>
      <c r="WWY107" s="769"/>
      <c r="WWZ107" s="769"/>
      <c r="WXA107" s="769"/>
      <c r="WXB107" s="769"/>
      <c r="WXC107" s="769"/>
      <c r="WXD107" s="769"/>
      <c r="WXE107" s="769"/>
      <c r="WXF107" s="769"/>
      <c r="WXG107" s="769"/>
      <c r="WXH107" s="769"/>
      <c r="WXI107" s="769"/>
      <c r="WXJ107" s="769"/>
      <c r="WXK107" s="769"/>
      <c r="WXL107" s="769"/>
      <c r="WXM107" s="769"/>
      <c r="WXN107" s="769"/>
      <c r="WXO107" s="769"/>
      <c r="WXP107" s="769"/>
      <c r="WXQ107" s="769"/>
      <c r="WXR107" s="769"/>
      <c r="WXS107" s="769"/>
      <c r="WXT107" s="769"/>
      <c r="WXU107" s="769"/>
      <c r="WXV107" s="769"/>
      <c r="WXW107" s="769"/>
      <c r="WXX107" s="769"/>
      <c r="WXY107" s="769"/>
      <c r="WXZ107" s="769"/>
      <c r="WYA107" s="769"/>
      <c r="WYB107" s="769"/>
      <c r="WYC107" s="769"/>
      <c r="WYD107" s="769"/>
      <c r="WYE107" s="769"/>
      <c r="WYF107" s="769"/>
      <c r="WYG107" s="769"/>
      <c r="WYH107" s="769"/>
      <c r="WYI107" s="769"/>
      <c r="WYJ107" s="769"/>
      <c r="WYK107" s="769"/>
      <c r="WYL107" s="769"/>
      <c r="WYM107" s="769"/>
      <c r="WYN107" s="769"/>
      <c r="WYO107" s="769"/>
      <c r="WYP107" s="769"/>
      <c r="WYQ107" s="769"/>
      <c r="WYR107" s="769"/>
      <c r="WYS107" s="769"/>
      <c r="WYT107" s="769"/>
      <c r="WYU107" s="769"/>
      <c r="WYV107" s="769"/>
      <c r="WYW107" s="769"/>
      <c r="WYX107" s="769"/>
      <c r="WYY107" s="769"/>
      <c r="WYZ107" s="769"/>
      <c r="WZA107" s="769"/>
      <c r="WZB107" s="769"/>
      <c r="WZC107" s="769"/>
      <c r="WZD107" s="769"/>
      <c r="WZE107" s="769"/>
      <c r="WZF107" s="769"/>
      <c r="WZG107" s="769"/>
      <c r="WZH107" s="769"/>
      <c r="WZI107" s="769"/>
      <c r="WZJ107" s="769"/>
      <c r="WZK107" s="769"/>
      <c r="WZL107" s="769"/>
      <c r="WZM107" s="769"/>
      <c r="WZN107" s="769"/>
      <c r="WZO107" s="769"/>
      <c r="WZP107" s="769"/>
      <c r="WZQ107" s="769"/>
      <c r="WZR107" s="769"/>
      <c r="WZS107" s="769"/>
      <c r="WZT107" s="769"/>
      <c r="WZU107" s="769"/>
      <c r="WZV107" s="769"/>
      <c r="WZW107" s="769"/>
      <c r="WZX107" s="769"/>
      <c r="WZY107" s="769"/>
      <c r="WZZ107" s="769"/>
      <c r="XAA107" s="769"/>
      <c r="XAB107" s="769"/>
      <c r="XAC107" s="769"/>
      <c r="XAD107" s="769"/>
      <c r="XAE107" s="769"/>
      <c r="XAF107" s="769"/>
      <c r="XAG107" s="769"/>
      <c r="XAH107" s="769"/>
      <c r="XAI107" s="769"/>
      <c r="XAJ107" s="769"/>
      <c r="XAK107" s="769"/>
      <c r="XAL107" s="769"/>
      <c r="XAM107" s="769"/>
      <c r="XAN107" s="769"/>
      <c r="XAO107" s="769"/>
      <c r="XAP107" s="769"/>
      <c r="XAQ107" s="769"/>
      <c r="XAR107" s="769"/>
      <c r="XAS107" s="769"/>
      <c r="XAT107" s="769"/>
      <c r="XAU107" s="769"/>
      <c r="XAV107" s="769"/>
      <c r="XAW107" s="769"/>
      <c r="XAX107" s="769"/>
      <c r="XAY107" s="769"/>
      <c r="XAZ107" s="769"/>
      <c r="XBA107" s="769"/>
      <c r="XBB107" s="769"/>
      <c r="XBC107" s="769"/>
      <c r="XBD107" s="769"/>
      <c r="XBE107" s="769"/>
      <c r="XBF107" s="769"/>
      <c r="XBG107" s="769"/>
      <c r="XBH107" s="769"/>
      <c r="XBI107" s="769"/>
      <c r="XBJ107" s="769"/>
      <c r="XBK107" s="769"/>
      <c r="XBL107" s="769"/>
      <c r="XBM107" s="769"/>
      <c r="XBN107" s="769"/>
      <c r="XBO107" s="769"/>
      <c r="XBP107" s="769"/>
      <c r="XBQ107" s="769"/>
      <c r="XBR107" s="769"/>
      <c r="XBS107" s="769"/>
      <c r="XBT107" s="769"/>
      <c r="XBU107" s="769"/>
      <c r="XBV107" s="769"/>
      <c r="XBW107" s="769"/>
      <c r="XBX107" s="769"/>
      <c r="XBY107" s="769"/>
      <c r="XBZ107" s="769"/>
      <c r="XCA107" s="769"/>
      <c r="XCB107" s="769"/>
      <c r="XCC107" s="769"/>
      <c r="XCD107" s="769"/>
      <c r="XCE107" s="769"/>
      <c r="XCF107" s="769"/>
      <c r="XCG107" s="769"/>
      <c r="XCH107" s="769"/>
      <c r="XCI107" s="769"/>
      <c r="XCJ107" s="769"/>
      <c r="XCK107" s="769"/>
      <c r="XCL107" s="769"/>
      <c r="XCM107" s="769"/>
      <c r="XCN107" s="769"/>
      <c r="XCO107" s="769"/>
      <c r="XCP107" s="769"/>
      <c r="XCQ107" s="769"/>
      <c r="XCR107" s="769"/>
      <c r="XCS107" s="769"/>
      <c r="XCT107" s="769"/>
      <c r="XCU107" s="769"/>
      <c r="XCV107" s="769"/>
      <c r="XCW107" s="769"/>
      <c r="XCX107" s="769"/>
      <c r="XCY107" s="769"/>
      <c r="XCZ107" s="769"/>
      <c r="XDA107" s="769"/>
      <c r="XDB107" s="769"/>
      <c r="XDC107" s="769"/>
      <c r="XDD107" s="769"/>
      <c r="XDE107" s="769"/>
      <c r="XDF107" s="769"/>
      <c r="XDG107" s="769"/>
      <c r="XDH107" s="769"/>
      <c r="XDI107" s="769"/>
      <c r="XDJ107" s="769"/>
      <c r="XDK107" s="769"/>
      <c r="XDL107" s="769"/>
      <c r="XDM107" s="769"/>
      <c r="XDN107" s="769"/>
      <c r="XDO107" s="769"/>
      <c r="XDP107" s="769"/>
      <c r="XDQ107" s="769"/>
      <c r="XDR107" s="769"/>
      <c r="XDS107" s="769"/>
      <c r="XDT107" s="769"/>
      <c r="XDU107" s="769"/>
      <c r="XDV107" s="769"/>
      <c r="XDW107" s="769"/>
      <c r="XDX107" s="769"/>
      <c r="XDY107" s="769"/>
      <c r="XDZ107" s="769"/>
      <c r="XEA107" s="769"/>
      <c r="XEB107" s="769"/>
      <c r="XEC107" s="769"/>
      <c r="XED107" s="769"/>
      <c r="XEE107" s="769"/>
      <c r="XEF107" s="769"/>
      <c r="XEG107" s="769"/>
      <c r="XEH107" s="769"/>
      <c r="XEI107" s="769"/>
      <c r="XEJ107" s="769"/>
      <c r="XEK107" s="769"/>
      <c r="XEL107" s="769"/>
      <c r="XEM107" s="769"/>
      <c r="XEN107" s="769"/>
      <c r="XEO107" s="769"/>
      <c r="XEP107" s="769"/>
      <c r="XEQ107" s="769"/>
      <c r="XER107" s="769"/>
      <c r="XES107" s="769"/>
      <c r="XET107" s="769"/>
      <c r="XEU107" s="769"/>
      <c r="XEV107" s="769"/>
      <c r="XEW107" s="769"/>
      <c r="XEX107" s="769"/>
      <c r="XEY107" s="769"/>
      <c r="XEZ107" s="769"/>
      <c r="XFA107" s="769"/>
      <c r="XFB107" s="769"/>
    </row>
    <row r="108" spans="1:16382" ht="15.75" hidden="1" thickBot="1" x14ac:dyDescent="0.3">
      <c r="A108" s="769"/>
      <c r="B108" s="2188"/>
      <c r="C108" s="2207"/>
      <c r="D108" s="2200" t="s">
        <v>5509</v>
      </c>
      <c r="E108" s="2201"/>
      <c r="F108" s="2201"/>
      <c r="G108" s="2201"/>
      <c r="H108" s="2201"/>
      <c r="I108" s="2201"/>
      <c r="J108" s="2201"/>
      <c r="K108" s="2201"/>
      <c r="L108" s="2201"/>
      <c r="M108" s="2201"/>
      <c r="N108" s="2201"/>
      <c r="O108" s="2202"/>
      <c r="P108" s="2203">
        <f>SUM(P103:Q107)</f>
        <v>0</v>
      </c>
      <c r="Q108" s="2204"/>
      <c r="R108" s="769"/>
      <c r="S108" s="769"/>
      <c r="T108" s="769"/>
      <c r="U108" s="769"/>
      <c r="V108" s="769"/>
      <c r="W108" s="769"/>
      <c r="X108" s="769"/>
      <c r="Y108" s="769"/>
      <c r="Z108" s="769"/>
      <c r="AA108" s="769"/>
      <c r="AB108" s="769"/>
      <c r="AC108" s="769"/>
      <c r="AD108" s="769"/>
      <c r="AE108" s="769"/>
      <c r="AF108" s="769"/>
      <c r="AG108" s="769"/>
      <c r="AH108" s="769"/>
      <c r="AI108" s="769"/>
      <c r="AJ108" s="769"/>
      <c r="AK108" s="769"/>
      <c r="AL108" s="769"/>
      <c r="AM108" s="769"/>
      <c r="AN108" s="769"/>
      <c r="AO108" s="769"/>
      <c r="AP108" s="769"/>
      <c r="AQ108" s="769"/>
      <c r="AR108" s="769"/>
      <c r="AS108" s="769"/>
      <c r="AT108" s="769"/>
      <c r="AU108" s="769"/>
      <c r="AV108" s="769"/>
      <c r="AW108" s="769"/>
      <c r="AX108" s="769"/>
      <c r="AY108" s="769"/>
      <c r="AZ108" s="769"/>
      <c r="BA108" s="769"/>
      <c r="BB108" s="769"/>
      <c r="BC108" s="769"/>
      <c r="BD108" s="769"/>
      <c r="BE108" s="769"/>
      <c r="BF108" s="769"/>
      <c r="BG108" s="769"/>
      <c r="BH108" s="769"/>
      <c r="BI108" s="769"/>
      <c r="BJ108" s="769"/>
      <c r="BK108" s="769"/>
      <c r="BL108" s="769"/>
      <c r="BM108" s="769"/>
      <c r="BN108" s="769"/>
      <c r="BO108" s="769"/>
      <c r="BP108" s="769"/>
      <c r="BQ108" s="769"/>
      <c r="BR108" s="769"/>
      <c r="BS108" s="769"/>
      <c r="BT108" s="769"/>
      <c r="BU108" s="769"/>
      <c r="BV108" s="769"/>
      <c r="BW108" s="769"/>
      <c r="BX108" s="769"/>
      <c r="BY108" s="769"/>
      <c r="BZ108" s="769"/>
      <c r="CA108" s="769"/>
      <c r="CB108" s="769"/>
      <c r="CC108" s="769"/>
      <c r="CD108" s="769"/>
      <c r="CE108" s="769"/>
      <c r="CF108" s="769"/>
      <c r="CG108" s="769"/>
      <c r="CH108" s="769"/>
      <c r="CI108" s="769"/>
      <c r="CJ108" s="769"/>
      <c r="CK108" s="769"/>
      <c r="CL108" s="769"/>
      <c r="CM108" s="769"/>
      <c r="CN108" s="769"/>
      <c r="CO108" s="769"/>
      <c r="CP108" s="769"/>
      <c r="CQ108" s="769"/>
      <c r="CR108" s="769"/>
      <c r="CS108" s="769"/>
      <c r="CT108" s="769"/>
      <c r="CU108" s="769"/>
      <c r="CV108" s="769"/>
      <c r="CW108" s="769"/>
      <c r="CX108" s="769"/>
      <c r="CY108" s="769"/>
      <c r="CZ108" s="769"/>
      <c r="DA108" s="769"/>
      <c r="DB108" s="769"/>
      <c r="DC108" s="769"/>
      <c r="DD108" s="769"/>
      <c r="DE108" s="769"/>
      <c r="DF108" s="769"/>
      <c r="DG108" s="769"/>
      <c r="DH108" s="769"/>
      <c r="DI108" s="769"/>
      <c r="DJ108" s="769"/>
      <c r="DK108" s="769"/>
      <c r="DL108" s="769"/>
      <c r="DM108" s="769"/>
      <c r="DN108" s="769"/>
      <c r="DO108" s="769"/>
      <c r="DP108" s="769"/>
      <c r="DQ108" s="769"/>
      <c r="DR108" s="769"/>
      <c r="DS108" s="769"/>
      <c r="DT108" s="769"/>
      <c r="DU108" s="769"/>
      <c r="DV108" s="769"/>
      <c r="DW108" s="769"/>
      <c r="DX108" s="769"/>
      <c r="DY108" s="769"/>
      <c r="DZ108" s="769"/>
      <c r="EA108" s="769"/>
      <c r="EB108" s="769"/>
      <c r="EC108" s="769"/>
      <c r="ED108" s="769"/>
      <c r="EE108" s="769"/>
      <c r="EF108" s="769"/>
      <c r="EG108" s="769"/>
      <c r="EH108" s="769"/>
      <c r="EI108" s="769"/>
      <c r="EJ108" s="769"/>
      <c r="EK108" s="769"/>
      <c r="EL108" s="769"/>
      <c r="EM108" s="769"/>
      <c r="EN108" s="769"/>
      <c r="EO108" s="769"/>
      <c r="EP108" s="769"/>
      <c r="EQ108" s="769"/>
      <c r="ER108" s="769"/>
      <c r="ES108" s="769"/>
      <c r="ET108" s="769"/>
      <c r="EU108" s="769"/>
      <c r="EV108" s="769"/>
      <c r="EW108" s="769"/>
      <c r="EX108" s="769"/>
      <c r="EY108" s="769"/>
      <c r="EZ108" s="769"/>
      <c r="FA108" s="769"/>
      <c r="FB108" s="769"/>
      <c r="FC108" s="769"/>
      <c r="FD108" s="769"/>
      <c r="FE108" s="769"/>
      <c r="FF108" s="769"/>
      <c r="FG108" s="769"/>
      <c r="FH108" s="769"/>
      <c r="FI108" s="769"/>
      <c r="FJ108" s="769"/>
      <c r="FK108" s="769"/>
      <c r="FL108" s="769"/>
      <c r="FM108" s="769"/>
      <c r="FN108" s="769"/>
      <c r="FO108" s="769"/>
      <c r="FP108" s="769"/>
      <c r="FQ108" s="769"/>
      <c r="FR108" s="769"/>
      <c r="FS108" s="769"/>
      <c r="FT108" s="769"/>
      <c r="FU108" s="769"/>
      <c r="FV108" s="769"/>
      <c r="FW108" s="769"/>
      <c r="FX108" s="769"/>
      <c r="FY108" s="769"/>
      <c r="FZ108" s="769"/>
      <c r="GA108" s="769"/>
      <c r="GB108" s="769"/>
      <c r="GC108" s="769"/>
      <c r="GD108" s="769"/>
      <c r="GE108" s="769"/>
      <c r="GF108" s="769"/>
      <c r="GG108" s="769"/>
      <c r="GH108" s="769"/>
      <c r="GI108" s="769"/>
      <c r="GJ108" s="769"/>
      <c r="GK108" s="769"/>
      <c r="GL108" s="769"/>
      <c r="GM108" s="769"/>
      <c r="GN108" s="769"/>
      <c r="GO108" s="769"/>
      <c r="GP108" s="769"/>
      <c r="GQ108" s="769"/>
      <c r="GR108" s="769"/>
      <c r="GS108" s="769"/>
      <c r="GT108" s="769"/>
      <c r="GU108" s="769"/>
      <c r="GV108" s="769"/>
      <c r="GW108" s="769"/>
      <c r="GX108" s="769"/>
      <c r="GY108" s="769"/>
      <c r="GZ108" s="769"/>
      <c r="HA108" s="769"/>
      <c r="HB108" s="769"/>
      <c r="HC108" s="769"/>
      <c r="HD108" s="769"/>
      <c r="HE108" s="769"/>
      <c r="HF108" s="769"/>
      <c r="HG108" s="769"/>
      <c r="HH108" s="769"/>
      <c r="HI108" s="769"/>
      <c r="HJ108" s="769"/>
      <c r="HK108" s="769"/>
      <c r="HL108" s="769"/>
      <c r="HM108" s="769"/>
      <c r="HN108" s="769"/>
      <c r="HO108" s="769"/>
      <c r="HP108" s="769"/>
      <c r="HQ108" s="769"/>
      <c r="HR108" s="769"/>
      <c r="HS108" s="769"/>
      <c r="HT108" s="769"/>
      <c r="HU108" s="769"/>
      <c r="HV108" s="769"/>
      <c r="HW108" s="769"/>
      <c r="HX108" s="769"/>
      <c r="HY108" s="769"/>
      <c r="HZ108" s="769"/>
      <c r="IA108" s="769"/>
      <c r="IB108" s="769"/>
      <c r="IC108" s="769"/>
      <c r="ID108" s="769"/>
      <c r="IE108" s="769"/>
      <c r="IF108" s="769"/>
      <c r="IG108" s="769"/>
      <c r="IH108" s="769"/>
      <c r="II108" s="769"/>
      <c r="IJ108" s="769"/>
      <c r="IK108" s="769"/>
      <c r="IL108" s="769"/>
      <c r="IM108" s="769"/>
      <c r="IN108" s="769"/>
      <c r="IO108" s="769"/>
      <c r="IP108" s="769"/>
      <c r="IQ108" s="769"/>
      <c r="IR108" s="769"/>
      <c r="IS108" s="769"/>
      <c r="IT108" s="769"/>
      <c r="IU108" s="769"/>
      <c r="IV108" s="769"/>
      <c r="IW108" s="769"/>
      <c r="IX108" s="769"/>
      <c r="IY108" s="769"/>
      <c r="IZ108" s="769"/>
      <c r="JA108" s="769"/>
      <c r="JB108" s="769"/>
      <c r="JC108" s="769"/>
      <c r="JD108" s="769"/>
      <c r="JE108" s="769"/>
      <c r="JF108" s="769"/>
      <c r="JG108" s="769"/>
      <c r="JH108" s="769"/>
      <c r="JI108" s="769"/>
      <c r="JJ108" s="769"/>
      <c r="JK108" s="769"/>
      <c r="JL108" s="769"/>
      <c r="JM108" s="769"/>
      <c r="JN108" s="769"/>
      <c r="JO108" s="769"/>
      <c r="JP108" s="769"/>
      <c r="JQ108" s="769"/>
      <c r="JR108" s="769"/>
      <c r="JS108" s="769"/>
      <c r="JT108" s="769"/>
      <c r="JU108" s="769"/>
      <c r="JV108" s="769"/>
      <c r="JW108" s="769"/>
      <c r="JX108" s="769"/>
      <c r="JY108" s="769"/>
      <c r="JZ108" s="769"/>
      <c r="KA108" s="769"/>
      <c r="KB108" s="769"/>
      <c r="KC108" s="769"/>
      <c r="KD108" s="769"/>
      <c r="KE108" s="769"/>
      <c r="KF108" s="769"/>
      <c r="KG108" s="769"/>
      <c r="KH108" s="769"/>
      <c r="KI108" s="769"/>
      <c r="KJ108" s="769"/>
      <c r="KK108" s="769"/>
      <c r="KL108" s="769"/>
      <c r="KM108" s="769"/>
      <c r="KN108" s="769"/>
      <c r="KO108" s="769"/>
      <c r="KP108" s="769"/>
      <c r="KQ108" s="769"/>
      <c r="KR108" s="769"/>
      <c r="KS108" s="769"/>
      <c r="KT108" s="769"/>
      <c r="KU108" s="769"/>
      <c r="KV108" s="769"/>
      <c r="KW108" s="769"/>
      <c r="KX108" s="769"/>
      <c r="KY108" s="769"/>
      <c r="KZ108" s="769"/>
      <c r="LA108" s="769"/>
      <c r="LB108" s="769"/>
      <c r="LC108" s="769"/>
      <c r="LD108" s="769"/>
      <c r="LE108" s="769"/>
      <c r="LF108" s="769"/>
      <c r="LG108" s="769"/>
      <c r="LH108" s="769"/>
      <c r="LI108" s="769"/>
      <c r="LJ108" s="769"/>
      <c r="LK108" s="769"/>
      <c r="LL108" s="769"/>
      <c r="LM108" s="769"/>
      <c r="LN108" s="769"/>
      <c r="LO108" s="769"/>
      <c r="LP108" s="769"/>
      <c r="LQ108" s="769"/>
      <c r="LR108" s="769"/>
      <c r="LS108" s="769"/>
      <c r="LT108" s="769"/>
      <c r="LU108" s="769"/>
      <c r="LV108" s="769"/>
      <c r="LW108" s="769"/>
      <c r="LX108" s="769"/>
      <c r="LY108" s="769"/>
      <c r="LZ108" s="769"/>
      <c r="MA108" s="769"/>
      <c r="MB108" s="769"/>
      <c r="MC108" s="769"/>
      <c r="MD108" s="769"/>
      <c r="ME108" s="769"/>
      <c r="MF108" s="769"/>
      <c r="MG108" s="769"/>
      <c r="MH108" s="769"/>
      <c r="MI108" s="769"/>
      <c r="MJ108" s="769"/>
      <c r="MK108" s="769"/>
      <c r="ML108" s="769"/>
      <c r="MM108" s="769"/>
      <c r="MN108" s="769"/>
      <c r="MO108" s="769"/>
      <c r="MP108" s="769"/>
      <c r="MQ108" s="769"/>
      <c r="MR108" s="769"/>
      <c r="MS108" s="769"/>
      <c r="MT108" s="769"/>
      <c r="MU108" s="769"/>
      <c r="MV108" s="769"/>
      <c r="MW108" s="769"/>
      <c r="MX108" s="769"/>
      <c r="MY108" s="769"/>
      <c r="MZ108" s="769"/>
      <c r="NA108" s="769"/>
      <c r="NB108" s="769"/>
      <c r="NC108" s="769"/>
      <c r="ND108" s="769"/>
      <c r="NE108" s="769"/>
      <c r="NF108" s="769"/>
      <c r="NG108" s="769"/>
      <c r="NH108" s="769"/>
      <c r="NI108" s="769"/>
      <c r="NJ108" s="769"/>
      <c r="NK108" s="769"/>
      <c r="NL108" s="769"/>
      <c r="NM108" s="769"/>
      <c r="NN108" s="769"/>
      <c r="NO108" s="769"/>
      <c r="NP108" s="769"/>
      <c r="NQ108" s="769"/>
      <c r="NR108" s="769"/>
      <c r="NS108" s="769"/>
      <c r="NT108" s="769"/>
      <c r="NU108" s="769"/>
      <c r="NV108" s="769"/>
      <c r="NW108" s="769"/>
      <c r="NX108" s="769"/>
      <c r="NY108" s="769"/>
      <c r="NZ108" s="769"/>
      <c r="OA108" s="769"/>
      <c r="OB108" s="769"/>
      <c r="OC108" s="769"/>
      <c r="OD108" s="769"/>
      <c r="OE108" s="769"/>
      <c r="OF108" s="769"/>
      <c r="OG108" s="769"/>
      <c r="OH108" s="769"/>
      <c r="OI108" s="769"/>
      <c r="OJ108" s="769"/>
      <c r="OK108" s="769"/>
      <c r="OL108" s="769"/>
      <c r="OM108" s="769"/>
      <c r="ON108" s="769"/>
      <c r="OO108" s="769"/>
      <c r="OP108" s="769"/>
      <c r="OQ108" s="769"/>
      <c r="OR108" s="769"/>
      <c r="OS108" s="769"/>
      <c r="OT108" s="769"/>
      <c r="OU108" s="769"/>
      <c r="OV108" s="769"/>
      <c r="OW108" s="769"/>
      <c r="OX108" s="769"/>
      <c r="OY108" s="769"/>
      <c r="OZ108" s="769"/>
      <c r="PA108" s="769"/>
      <c r="PB108" s="769"/>
      <c r="PC108" s="769"/>
      <c r="PD108" s="769"/>
      <c r="PE108" s="769"/>
      <c r="PF108" s="769"/>
      <c r="PG108" s="769"/>
      <c r="PH108" s="769"/>
      <c r="PI108" s="769"/>
      <c r="PJ108" s="769"/>
      <c r="PK108" s="769"/>
      <c r="PL108" s="769"/>
      <c r="PM108" s="769"/>
      <c r="PN108" s="769"/>
      <c r="PO108" s="769"/>
      <c r="PP108" s="769"/>
      <c r="PQ108" s="769"/>
      <c r="PR108" s="769"/>
      <c r="PS108" s="769"/>
      <c r="PT108" s="769"/>
      <c r="PU108" s="769"/>
      <c r="PV108" s="769"/>
      <c r="PW108" s="769"/>
      <c r="PX108" s="769"/>
      <c r="PY108" s="769"/>
      <c r="PZ108" s="769"/>
      <c r="QA108" s="769"/>
      <c r="QB108" s="769"/>
      <c r="QC108" s="769"/>
      <c r="QD108" s="769"/>
      <c r="QE108" s="769"/>
      <c r="QF108" s="769"/>
      <c r="QG108" s="769"/>
      <c r="QH108" s="769"/>
      <c r="QI108" s="769"/>
      <c r="QJ108" s="769"/>
      <c r="QK108" s="769"/>
      <c r="QL108" s="769"/>
      <c r="QM108" s="769"/>
      <c r="QN108" s="769"/>
      <c r="QO108" s="769"/>
      <c r="QP108" s="769"/>
      <c r="QQ108" s="769"/>
      <c r="QR108" s="769"/>
      <c r="QS108" s="769"/>
      <c r="QT108" s="769"/>
      <c r="QU108" s="769"/>
      <c r="QV108" s="769"/>
      <c r="QW108" s="769"/>
      <c r="QX108" s="769"/>
      <c r="QY108" s="769"/>
      <c r="QZ108" s="769"/>
      <c r="RA108" s="769"/>
      <c r="RB108" s="769"/>
      <c r="RC108" s="769"/>
      <c r="RD108" s="769"/>
      <c r="RE108" s="769"/>
      <c r="RF108" s="769"/>
      <c r="RG108" s="769"/>
      <c r="RH108" s="769"/>
      <c r="RI108" s="769"/>
      <c r="RJ108" s="769"/>
      <c r="RK108" s="769"/>
      <c r="RL108" s="769"/>
      <c r="RM108" s="769"/>
      <c r="RN108" s="769"/>
      <c r="RO108" s="769"/>
      <c r="RP108" s="769"/>
      <c r="RQ108" s="769"/>
      <c r="RR108" s="769"/>
      <c r="RS108" s="769"/>
      <c r="RT108" s="769"/>
      <c r="RU108" s="769"/>
      <c r="RV108" s="769"/>
      <c r="RW108" s="769"/>
      <c r="RX108" s="769"/>
      <c r="RY108" s="769"/>
      <c r="RZ108" s="769"/>
      <c r="SA108" s="769"/>
      <c r="SB108" s="769"/>
      <c r="SC108" s="769"/>
      <c r="SD108" s="769"/>
      <c r="SE108" s="769"/>
      <c r="SF108" s="769"/>
      <c r="SG108" s="769"/>
      <c r="SH108" s="769"/>
      <c r="SI108" s="769"/>
      <c r="SJ108" s="769"/>
      <c r="SK108" s="769"/>
      <c r="SL108" s="769"/>
      <c r="SM108" s="769"/>
      <c r="SN108" s="769"/>
      <c r="SO108" s="769"/>
      <c r="SP108" s="769"/>
      <c r="SQ108" s="769"/>
      <c r="SR108" s="769"/>
      <c r="SS108" s="769"/>
      <c r="ST108" s="769"/>
      <c r="SU108" s="769"/>
      <c r="SV108" s="769"/>
      <c r="SW108" s="769"/>
      <c r="SX108" s="769"/>
      <c r="SY108" s="769"/>
      <c r="SZ108" s="769"/>
      <c r="TA108" s="769"/>
      <c r="TB108" s="769"/>
      <c r="TC108" s="769"/>
      <c r="TD108" s="769"/>
      <c r="TE108" s="769"/>
      <c r="TF108" s="769"/>
      <c r="TG108" s="769"/>
      <c r="TH108" s="769"/>
      <c r="TI108" s="769"/>
      <c r="TJ108" s="769"/>
      <c r="TK108" s="769"/>
      <c r="TL108" s="769"/>
      <c r="TM108" s="769"/>
      <c r="TN108" s="769"/>
      <c r="TO108" s="769"/>
      <c r="TP108" s="769"/>
      <c r="TQ108" s="769"/>
      <c r="TR108" s="769"/>
      <c r="TS108" s="769"/>
      <c r="TT108" s="769"/>
      <c r="TU108" s="769"/>
      <c r="TV108" s="769"/>
      <c r="TW108" s="769"/>
      <c r="TX108" s="769"/>
      <c r="TY108" s="769"/>
      <c r="TZ108" s="769"/>
      <c r="UA108" s="769"/>
      <c r="UB108" s="769"/>
      <c r="UC108" s="769"/>
      <c r="UD108" s="769"/>
      <c r="UE108" s="769"/>
      <c r="UF108" s="769"/>
      <c r="UG108" s="769"/>
      <c r="UH108" s="769"/>
      <c r="UI108" s="769"/>
      <c r="UJ108" s="769"/>
      <c r="UK108" s="769"/>
      <c r="UL108" s="769"/>
      <c r="UM108" s="769"/>
      <c r="UN108" s="769"/>
      <c r="UO108" s="769"/>
      <c r="UP108" s="769"/>
      <c r="UQ108" s="769"/>
      <c r="UR108" s="769"/>
      <c r="US108" s="769"/>
      <c r="UT108" s="769"/>
      <c r="UU108" s="769"/>
      <c r="UV108" s="769"/>
      <c r="UW108" s="769"/>
      <c r="UX108" s="769"/>
      <c r="UY108" s="769"/>
      <c r="UZ108" s="769"/>
      <c r="VA108" s="769"/>
      <c r="VB108" s="769"/>
      <c r="VC108" s="769"/>
      <c r="VD108" s="769"/>
      <c r="VE108" s="769"/>
      <c r="VF108" s="769"/>
      <c r="VG108" s="769"/>
      <c r="VH108" s="769"/>
      <c r="VI108" s="769"/>
      <c r="VJ108" s="769"/>
      <c r="VK108" s="769"/>
      <c r="VL108" s="769"/>
      <c r="VM108" s="769"/>
      <c r="VN108" s="769"/>
      <c r="VO108" s="769"/>
      <c r="VP108" s="769"/>
      <c r="VQ108" s="769"/>
      <c r="VR108" s="769"/>
      <c r="VS108" s="769"/>
      <c r="VT108" s="769"/>
      <c r="VU108" s="769"/>
      <c r="VV108" s="769"/>
      <c r="VW108" s="769"/>
      <c r="VX108" s="769"/>
      <c r="VY108" s="769"/>
      <c r="VZ108" s="769"/>
      <c r="WA108" s="769"/>
      <c r="WB108" s="769"/>
      <c r="WC108" s="769"/>
      <c r="WD108" s="769"/>
      <c r="WE108" s="769"/>
      <c r="WF108" s="769"/>
      <c r="WG108" s="769"/>
      <c r="WH108" s="769"/>
      <c r="WI108" s="769"/>
      <c r="WJ108" s="769"/>
      <c r="WK108" s="769"/>
      <c r="WL108" s="769"/>
      <c r="WM108" s="769"/>
      <c r="WN108" s="769"/>
      <c r="WO108" s="769"/>
      <c r="WP108" s="769"/>
      <c r="WQ108" s="769"/>
      <c r="WR108" s="769"/>
      <c r="WS108" s="769"/>
      <c r="WT108" s="769"/>
      <c r="WU108" s="769"/>
      <c r="WV108" s="769"/>
      <c r="WW108" s="769"/>
      <c r="WX108" s="769"/>
      <c r="WY108" s="769"/>
      <c r="WZ108" s="769"/>
      <c r="XA108" s="769"/>
      <c r="XB108" s="769"/>
      <c r="XC108" s="769"/>
      <c r="XD108" s="769"/>
      <c r="XE108" s="769"/>
      <c r="XF108" s="769"/>
      <c r="XG108" s="769"/>
      <c r="XH108" s="769"/>
      <c r="XI108" s="769"/>
      <c r="XJ108" s="769"/>
      <c r="XK108" s="769"/>
      <c r="XL108" s="769"/>
      <c r="XM108" s="769"/>
      <c r="XN108" s="769"/>
      <c r="XO108" s="769"/>
      <c r="XP108" s="769"/>
      <c r="XQ108" s="769"/>
      <c r="XR108" s="769"/>
      <c r="XS108" s="769"/>
      <c r="XT108" s="769"/>
      <c r="XU108" s="769"/>
      <c r="XV108" s="769"/>
      <c r="XW108" s="769"/>
      <c r="XX108" s="769"/>
      <c r="XY108" s="769"/>
      <c r="XZ108" s="769"/>
      <c r="YA108" s="769"/>
      <c r="YB108" s="769"/>
      <c r="YC108" s="769"/>
      <c r="YD108" s="769"/>
      <c r="YE108" s="769"/>
      <c r="YF108" s="769"/>
      <c r="YG108" s="769"/>
      <c r="YH108" s="769"/>
      <c r="YI108" s="769"/>
      <c r="YJ108" s="769"/>
      <c r="YK108" s="769"/>
      <c r="YL108" s="769"/>
      <c r="YM108" s="769"/>
      <c r="YN108" s="769"/>
      <c r="YO108" s="769"/>
      <c r="YP108" s="769"/>
      <c r="YQ108" s="769"/>
      <c r="YR108" s="769"/>
      <c r="YS108" s="769"/>
      <c r="YT108" s="769"/>
      <c r="YU108" s="769"/>
      <c r="YV108" s="769"/>
      <c r="YW108" s="769"/>
      <c r="YX108" s="769"/>
      <c r="YY108" s="769"/>
      <c r="YZ108" s="769"/>
      <c r="ZA108" s="769"/>
      <c r="ZB108" s="769"/>
      <c r="ZC108" s="769"/>
      <c r="ZD108" s="769"/>
      <c r="ZE108" s="769"/>
      <c r="ZF108" s="769"/>
      <c r="ZG108" s="769"/>
      <c r="ZH108" s="769"/>
      <c r="ZI108" s="769"/>
      <c r="ZJ108" s="769"/>
      <c r="ZK108" s="769"/>
      <c r="ZL108" s="769"/>
      <c r="ZM108" s="769"/>
      <c r="ZN108" s="769"/>
      <c r="ZO108" s="769"/>
      <c r="ZP108" s="769"/>
      <c r="ZQ108" s="769"/>
      <c r="ZR108" s="769"/>
      <c r="ZS108" s="769"/>
      <c r="ZT108" s="769"/>
      <c r="ZU108" s="769"/>
      <c r="ZV108" s="769"/>
      <c r="ZW108" s="769"/>
      <c r="ZX108" s="769"/>
      <c r="ZY108" s="769"/>
      <c r="ZZ108" s="769"/>
      <c r="AAA108" s="769"/>
      <c r="AAB108" s="769"/>
      <c r="AAC108" s="769"/>
      <c r="AAD108" s="769"/>
      <c r="AAE108" s="769"/>
      <c r="AAF108" s="769"/>
      <c r="AAG108" s="769"/>
      <c r="AAH108" s="769"/>
      <c r="AAI108" s="769"/>
      <c r="AAJ108" s="769"/>
      <c r="AAK108" s="769"/>
      <c r="AAL108" s="769"/>
      <c r="AAM108" s="769"/>
      <c r="AAN108" s="769"/>
      <c r="AAO108" s="769"/>
      <c r="AAP108" s="769"/>
      <c r="AAQ108" s="769"/>
      <c r="AAR108" s="769"/>
      <c r="AAS108" s="769"/>
      <c r="AAT108" s="769"/>
      <c r="AAU108" s="769"/>
      <c r="AAV108" s="769"/>
      <c r="AAW108" s="769"/>
      <c r="AAX108" s="769"/>
      <c r="AAY108" s="769"/>
      <c r="AAZ108" s="769"/>
      <c r="ABA108" s="769"/>
      <c r="ABB108" s="769"/>
      <c r="ABC108" s="769"/>
      <c r="ABD108" s="769"/>
      <c r="ABE108" s="769"/>
      <c r="ABF108" s="769"/>
      <c r="ABG108" s="769"/>
      <c r="ABH108" s="769"/>
      <c r="ABI108" s="769"/>
      <c r="ABJ108" s="769"/>
      <c r="ABK108" s="769"/>
      <c r="ABL108" s="769"/>
      <c r="ABM108" s="769"/>
      <c r="ABN108" s="769"/>
      <c r="ABO108" s="769"/>
      <c r="ABP108" s="769"/>
      <c r="ABQ108" s="769"/>
      <c r="ABR108" s="769"/>
      <c r="ABS108" s="769"/>
      <c r="ABT108" s="769"/>
      <c r="ABU108" s="769"/>
      <c r="ABV108" s="769"/>
      <c r="ABW108" s="769"/>
      <c r="ABX108" s="769"/>
      <c r="ABY108" s="769"/>
      <c r="ABZ108" s="769"/>
      <c r="ACA108" s="769"/>
      <c r="ACB108" s="769"/>
      <c r="ACC108" s="769"/>
      <c r="ACD108" s="769"/>
      <c r="ACE108" s="769"/>
      <c r="ACF108" s="769"/>
      <c r="ACG108" s="769"/>
      <c r="ACH108" s="769"/>
      <c r="ACI108" s="769"/>
      <c r="ACJ108" s="769"/>
      <c r="ACK108" s="769"/>
      <c r="ACL108" s="769"/>
      <c r="ACM108" s="769"/>
      <c r="ACN108" s="769"/>
      <c r="ACO108" s="769"/>
      <c r="ACP108" s="769"/>
      <c r="ACQ108" s="769"/>
      <c r="ACR108" s="769"/>
      <c r="ACS108" s="769"/>
      <c r="ACT108" s="769"/>
      <c r="ACU108" s="769"/>
      <c r="ACV108" s="769"/>
      <c r="ACW108" s="769"/>
      <c r="ACX108" s="769"/>
      <c r="ACY108" s="769"/>
      <c r="ACZ108" s="769"/>
      <c r="ADA108" s="769"/>
      <c r="ADB108" s="769"/>
      <c r="ADC108" s="769"/>
      <c r="ADD108" s="769"/>
      <c r="ADE108" s="769"/>
      <c r="ADF108" s="769"/>
      <c r="ADG108" s="769"/>
      <c r="ADH108" s="769"/>
      <c r="ADI108" s="769"/>
      <c r="ADJ108" s="769"/>
      <c r="ADK108" s="769"/>
      <c r="ADL108" s="769"/>
      <c r="ADM108" s="769"/>
      <c r="ADN108" s="769"/>
      <c r="ADO108" s="769"/>
      <c r="ADP108" s="769"/>
      <c r="ADQ108" s="769"/>
      <c r="ADR108" s="769"/>
      <c r="ADS108" s="769"/>
      <c r="ADT108" s="769"/>
      <c r="ADU108" s="769"/>
      <c r="ADV108" s="769"/>
      <c r="ADW108" s="769"/>
      <c r="ADX108" s="769"/>
      <c r="ADY108" s="769"/>
      <c r="ADZ108" s="769"/>
      <c r="AEA108" s="769"/>
      <c r="AEB108" s="769"/>
      <c r="AEC108" s="769"/>
      <c r="AED108" s="769"/>
      <c r="AEE108" s="769"/>
      <c r="AEF108" s="769"/>
      <c r="AEG108" s="769"/>
      <c r="AEH108" s="769"/>
      <c r="AEI108" s="769"/>
      <c r="AEJ108" s="769"/>
      <c r="AEK108" s="769"/>
      <c r="AEL108" s="769"/>
      <c r="AEM108" s="769"/>
      <c r="AEN108" s="769"/>
      <c r="AEO108" s="769"/>
      <c r="AEP108" s="769"/>
      <c r="AEQ108" s="769"/>
      <c r="AER108" s="769"/>
      <c r="AES108" s="769"/>
      <c r="AET108" s="769"/>
      <c r="AEU108" s="769"/>
      <c r="AEV108" s="769"/>
      <c r="AEW108" s="769"/>
      <c r="AEX108" s="769"/>
      <c r="AEY108" s="769"/>
      <c r="AEZ108" s="769"/>
      <c r="AFA108" s="769"/>
      <c r="AFB108" s="769"/>
      <c r="AFC108" s="769"/>
      <c r="AFD108" s="769"/>
      <c r="AFE108" s="769"/>
      <c r="AFF108" s="769"/>
      <c r="AFG108" s="769"/>
      <c r="AFH108" s="769"/>
      <c r="AFI108" s="769"/>
      <c r="AFJ108" s="769"/>
      <c r="AFK108" s="769"/>
      <c r="AFL108" s="769"/>
      <c r="AFM108" s="769"/>
      <c r="AFN108" s="769"/>
      <c r="AFO108" s="769"/>
      <c r="AFP108" s="769"/>
      <c r="AFQ108" s="769"/>
      <c r="AFR108" s="769"/>
      <c r="AFS108" s="769"/>
      <c r="AFT108" s="769"/>
      <c r="AFU108" s="769"/>
      <c r="AFV108" s="769"/>
      <c r="AFW108" s="769"/>
      <c r="AFX108" s="769"/>
      <c r="AFY108" s="769"/>
      <c r="AFZ108" s="769"/>
      <c r="AGA108" s="769"/>
      <c r="AGB108" s="769"/>
      <c r="AGC108" s="769"/>
      <c r="AGD108" s="769"/>
      <c r="AGE108" s="769"/>
      <c r="AGF108" s="769"/>
      <c r="AGG108" s="769"/>
      <c r="AGH108" s="769"/>
      <c r="AGI108" s="769"/>
      <c r="AGJ108" s="769"/>
      <c r="AGK108" s="769"/>
      <c r="AGL108" s="769"/>
      <c r="AGM108" s="769"/>
      <c r="AGN108" s="769"/>
      <c r="AGO108" s="769"/>
      <c r="AGP108" s="769"/>
      <c r="AGQ108" s="769"/>
      <c r="AGR108" s="769"/>
      <c r="AGS108" s="769"/>
      <c r="AGT108" s="769"/>
      <c r="AGU108" s="769"/>
      <c r="AGV108" s="769"/>
      <c r="AGW108" s="769"/>
      <c r="AGX108" s="769"/>
      <c r="AGY108" s="769"/>
      <c r="AGZ108" s="769"/>
      <c r="AHA108" s="769"/>
      <c r="AHB108" s="769"/>
      <c r="AHC108" s="769"/>
      <c r="AHD108" s="769"/>
      <c r="AHE108" s="769"/>
      <c r="AHF108" s="769"/>
      <c r="AHG108" s="769"/>
      <c r="AHH108" s="769"/>
      <c r="AHI108" s="769"/>
      <c r="AHJ108" s="769"/>
      <c r="AHK108" s="769"/>
      <c r="AHL108" s="769"/>
      <c r="AHM108" s="769"/>
      <c r="AHN108" s="769"/>
      <c r="AHO108" s="769"/>
      <c r="AHP108" s="769"/>
      <c r="AHQ108" s="769"/>
      <c r="AHR108" s="769"/>
      <c r="AHS108" s="769"/>
      <c r="AHT108" s="769"/>
      <c r="AHU108" s="769"/>
      <c r="AHV108" s="769"/>
      <c r="AHW108" s="769"/>
      <c r="AHX108" s="769"/>
      <c r="AHY108" s="769"/>
      <c r="AHZ108" s="769"/>
      <c r="AIA108" s="769"/>
      <c r="AIB108" s="769"/>
      <c r="AIC108" s="769"/>
      <c r="AID108" s="769"/>
      <c r="AIE108" s="769"/>
      <c r="AIF108" s="769"/>
      <c r="AIG108" s="769"/>
      <c r="AIH108" s="769"/>
      <c r="AII108" s="769"/>
      <c r="AIJ108" s="769"/>
      <c r="AIK108" s="769"/>
      <c r="AIL108" s="769"/>
      <c r="AIM108" s="769"/>
      <c r="AIN108" s="769"/>
      <c r="AIO108" s="769"/>
      <c r="AIP108" s="769"/>
      <c r="AIQ108" s="769"/>
      <c r="AIR108" s="769"/>
      <c r="AIS108" s="769"/>
      <c r="AIT108" s="769"/>
      <c r="AIU108" s="769"/>
      <c r="AIV108" s="769"/>
      <c r="AIW108" s="769"/>
      <c r="AIX108" s="769"/>
      <c r="AIY108" s="769"/>
      <c r="AIZ108" s="769"/>
      <c r="AJA108" s="769"/>
      <c r="AJB108" s="769"/>
      <c r="AJC108" s="769"/>
      <c r="AJD108" s="769"/>
      <c r="AJE108" s="769"/>
      <c r="AJF108" s="769"/>
      <c r="AJG108" s="769"/>
      <c r="AJH108" s="769"/>
      <c r="AJI108" s="769"/>
      <c r="AJJ108" s="769"/>
      <c r="AJK108" s="769"/>
      <c r="AJL108" s="769"/>
      <c r="AJM108" s="769"/>
      <c r="AJN108" s="769"/>
      <c r="AJO108" s="769"/>
      <c r="AJP108" s="769"/>
      <c r="AJQ108" s="769"/>
      <c r="AJR108" s="769"/>
      <c r="AJS108" s="769"/>
      <c r="AJT108" s="769"/>
      <c r="AJU108" s="769"/>
      <c r="AJV108" s="769"/>
      <c r="AJW108" s="769"/>
      <c r="AJX108" s="769"/>
      <c r="AJY108" s="769"/>
      <c r="AJZ108" s="769"/>
      <c r="AKA108" s="769"/>
      <c r="AKB108" s="769"/>
      <c r="AKC108" s="769"/>
      <c r="AKD108" s="769"/>
      <c r="AKE108" s="769"/>
      <c r="AKF108" s="769"/>
      <c r="AKG108" s="769"/>
      <c r="AKH108" s="769"/>
      <c r="AKI108" s="769"/>
      <c r="AKJ108" s="769"/>
      <c r="AKK108" s="769"/>
      <c r="AKL108" s="769"/>
      <c r="AKM108" s="769"/>
      <c r="AKN108" s="769"/>
      <c r="AKO108" s="769"/>
      <c r="AKP108" s="769"/>
      <c r="AKQ108" s="769"/>
      <c r="AKR108" s="769"/>
      <c r="AKS108" s="769"/>
      <c r="AKT108" s="769"/>
      <c r="AKU108" s="769"/>
      <c r="AKV108" s="769"/>
      <c r="AKW108" s="769"/>
      <c r="AKX108" s="769"/>
      <c r="AKY108" s="769"/>
      <c r="AKZ108" s="769"/>
      <c r="ALA108" s="769"/>
      <c r="ALB108" s="769"/>
      <c r="ALC108" s="769"/>
      <c r="ALD108" s="769"/>
      <c r="ALE108" s="769"/>
      <c r="ALF108" s="769"/>
      <c r="ALG108" s="769"/>
      <c r="ALH108" s="769"/>
      <c r="ALI108" s="769"/>
      <c r="ALJ108" s="769"/>
      <c r="ALK108" s="769"/>
      <c r="ALL108" s="769"/>
      <c r="ALM108" s="769"/>
      <c r="ALN108" s="769"/>
      <c r="ALO108" s="769"/>
      <c r="ALP108" s="769"/>
      <c r="ALQ108" s="769"/>
      <c r="ALR108" s="769"/>
      <c r="ALS108" s="769"/>
      <c r="ALT108" s="769"/>
      <c r="ALU108" s="769"/>
      <c r="ALV108" s="769"/>
      <c r="ALW108" s="769"/>
      <c r="ALX108" s="769"/>
      <c r="ALY108" s="769"/>
      <c r="ALZ108" s="769"/>
      <c r="AMA108" s="769"/>
      <c r="AMB108" s="769"/>
      <c r="AMC108" s="769"/>
      <c r="AMD108" s="769"/>
      <c r="AME108" s="769"/>
      <c r="AMF108" s="769"/>
      <c r="AMG108" s="769"/>
      <c r="AMH108" s="769"/>
      <c r="AMI108" s="769"/>
      <c r="AMJ108" s="769"/>
      <c r="AMK108" s="769"/>
      <c r="AML108" s="769"/>
      <c r="AMM108" s="769"/>
      <c r="AMN108" s="769"/>
      <c r="AMO108" s="769"/>
      <c r="AMP108" s="769"/>
      <c r="AMQ108" s="769"/>
      <c r="AMR108" s="769"/>
      <c r="AMS108" s="769"/>
      <c r="AMT108" s="769"/>
      <c r="AMU108" s="769"/>
      <c r="AMV108" s="769"/>
      <c r="AMW108" s="769"/>
      <c r="AMX108" s="769"/>
      <c r="AMY108" s="769"/>
      <c r="AMZ108" s="769"/>
      <c r="ANA108" s="769"/>
      <c r="ANB108" s="769"/>
      <c r="ANC108" s="769"/>
      <c r="AND108" s="769"/>
      <c r="ANE108" s="769"/>
      <c r="ANF108" s="769"/>
      <c r="ANG108" s="769"/>
      <c r="ANH108" s="769"/>
      <c r="ANI108" s="769"/>
      <c r="ANJ108" s="769"/>
      <c r="ANK108" s="769"/>
      <c r="ANL108" s="769"/>
      <c r="ANM108" s="769"/>
      <c r="ANN108" s="769"/>
      <c r="ANO108" s="769"/>
      <c r="ANP108" s="769"/>
      <c r="ANQ108" s="769"/>
      <c r="ANR108" s="769"/>
      <c r="ANS108" s="769"/>
      <c r="ANT108" s="769"/>
      <c r="ANU108" s="769"/>
      <c r="ANV108" s="769"/>
      <c r="ANW108" s="769"/>
      <c r="ANX108" s="769"/>
      <c r="ANY108" s="769"/>
      <c r="ANZ108" s="769"/>
      <c r="AOA108" s="769"/>
      <c r="AOB108" s="769"/>
      <c r="AOC108" s="769"/>
      <c r="AOD108" s="769"/>
      <c r="AOE108" s="769"/>
      <c r="AOF108" s="769"/>
      <c r="AOG108" s="769"/>
      <c r="AOH108" s="769"/>
      <c r="AOI108" s="769"/>
      <c r="AOJ108" s="769"/>
      <c r="AOK108" s="769"/>
      <c r="AOL108" s="769"/>
      <c r="AOM108" s="769"/>
      <c r="AON108" s="769"/>
      <c r="AOO108" s="769"/>
      <c r="AOP108" s="769"/>
      <c r="AOQ108" s="769"/>
      <c r="AOR108" s="769"/>
      <c r="AOS108" s="769"/>
      <c r="AOT108" s="769"/>
      <c r="AOU108" s="769"/>
      <c r="AOV108" s="769"/>
      <c r="AOW108" s="769"/>
      <c r="AOX108" s="769"/>
      <c r="AOY108" s="769"/>
      <c r="AOZ108" s="769"/>
      <c r="APA108" s="769"/>
      <c r="APB108" s="769"/>
      <c r="APC108" s="769"/>
      <c r="APD108" s="769"/>
      <c r="APE108" s="769"/>
      <c r="APF108" s="769"/>
      <c r="APG108" s="769"/>
      <c r="APH108" s="769"/>
      <c r="API108" s="769"/>
      <c r="APJ108" s="769"/>
      <c r="APK108" s="769"/>
      <c r="APL108" s="769"/>
      <c r="APM108" s="769"/>
      <c r="APN108" s="769"/>
      <c r="APO108" s="769"/>
      <c r="APP108" s="769"/>
      <c r="APQ108" s="769"/>
      <c r="APR108" s="769"/>
      <c r="APS108" s="769"/>
      <c r="APT108" s="769"/>
      <c r="APU108" s="769"/>
      <c r="APV108" s="769"/>
      <c r="APW108" s="769"/>
      <c r="APX108" s="769"/>
      <c r="APY108" s="769"/>
      <c r="APZ108" s="769"/>
      <c r="AQA108" s="769"/>
      <c r="AQB108" s="769"/>
      <c r="AQC108" s="769"/>
      <c r="AQD108" s="769"/>
      <c r="AQE108" s="769"/>
      <c r="AQF108" s="769"/>
      <c r="AQG108" s="769"/>
      <c r="AQH108" s="769"/>
      <c r="AQI108" s="769"/>
      <c r="AQJ108" s="769"/>
      <c r="AQK108" s="769"/>
      <c r="AQL108" s="769"/>
      <c r="AQM108" s="769"/>
      <c r="AQN108" s="769"/>
      <c r="AQO108" s="769"/>
      <c r="AQP108" s="769"/>
      <c r="AQQ108" s="769"/>
      <c r="AQR108" s="769"/>
      <c r="AQS108" s="769"/>
      <c r="AQT108" s="769"/>
      <c r="AQU108" s="769"/>
      <c r="AQV108" s="769"/>
      <c r="AQW108" s="769"/>
      <c r="AQX108" s="769"/>
      <c r="AQY108" s="769"/>
      <c r="AQZ108" s="769"/>
      <c r="ARA108" s="769"/>
      <c r="ARB108" s="769"/>
      <c r="ARC108" s="769"/>
      <c r="ARD108" s="769"/>
      <c r="ARE108" s="769"/>
      <c r="ARF108" s="769"/>
      <c r="ARG108" s="769"/>
      <c r="ARH108" s="769"/>
      <c r="ARI108" s="769"/>
      <c r="ARJ108" s="769"/>
      <c r="ARK108" s="769"/>
      <c r="ARL108" s="769"/>
      <c r="ARM108" s="769"/>
      <c r="ARN108" s="769"/>
      <c r="ARO108" s="769"/>
      <c r="ARP108" s="769"/>
      <c r="ARQ108" s="769"/>
      <c r="ARR108" s="769"/>
      <c r="ARS108" s="769"/>
      <c r="ART108" s="769"/>
      <c r="ARU108" s="769"/>
      <c r="ARV108" s="769"/>
      <c r="ARW108" s="769"/>
      <c r="ARX108" s="769"/>
      <c r="ARY108" s="769"/>
      <c r="ARZ108" s="769"/>
      <c r="ASA108" s="769"/>
      <c r="ASB108" s="769"/>
      <c r="ASC108" s="769"/>
      <c r="ASD108" s="769"/>
      <c r="ASE108" s="769"/>
      <c r="ASF108" s="769"/>
      <c r="ASG108" s="769"/>
      <c r="ASH108" s="769"/>
      <c r="ASI108" s="769"/>
      <c r="ASJ108" s="769"/>
      <c r="ASK108" s="769"/>
      <c r="ASL108" s="769"/>
      <c r="ASM108" s="769"/>
      <c r="ASN108" s="769"/>
      <c r="ASO108" s="769"/>
      <c r="ASP108" s="769"/>
      <c r="ASQ108" s="769"/>
      <c r="ASR108" s="769"/>
      <c r="ASS108" s="769"/>
      <c r="AST108" s="769"/>
      <c r="ASU108" s="769"/>
      <c r="ASV108" s="769"/>
      <c r="ASW108" s="769"/>
      <c r="ASX108" s="769"/>
      <c r="ASY108" s="769"/>
      <c r="ASZ108" s="769"/>
      <c r="ATA108" s="769"/>
      <c r="ATB108" s="769"/>
      <c r="ATC108" s="769"/>
      <c r="ATD108" s="769"/>
      <c r="ATE108" s="769"/>
      <c r="ATF108" s="769"/>
      <c r="ATG108" s="769"/>
      <c r="ATH108" s="769"/>
      <c r="ATI108" s="769"/>
      <c r="ATJ108" s="769"/>
      <c r="ATK108" s="769"/>
      <c r="ATL108" s="769"/>
      <c r="ATM108" s="769"/>
      <c r="ATN108" s="769"/>
      <c r="ATO108" s="769"/>
      <c r="ATP108" s="769"/>
      <c r="ATQ108" s="769"/>
      <c r="ATR108" s="769"/>
      <c r="ATS108" s="769"/>
      <c r="ATT108" s="769"/>
      <c r="ATU108" s="769"/>
      <c r="ATV108" s="769"/>
      <c r="ATW108" s="769"/>
      <c r="ATX108" s="769"/>
      <c r="ATY108" s="769"/>
      <c r="ATZ108" s="769"/>
      <c r="AUA108" s="769"/>
      <c r="AUB108" s="769"/>
      <c r="AUC108" s="769"/>
      <c r="AUD108" s="769"/>
      <c r="AUE108" s="769"/>
      <c r="AUF108" s="769"/>
      <c r="AUG108" s="769"/>
      <c r="AUH108" s="769"/>
      <c r="AUI108" s="769"/>
      <c r="AUJ108" s="769"/>
      <c r="AUK108" s="769"/>
      <c r="AUL108" s="769"/>
      <c r="AUM108" s="769"/>
      <c r="AUN108" s="769"/>
      <c r="AUO108" s="769"/>
      <c r="AUP108" s="769"/>
      <c r="AUQ108" s="769"/>
      <c r="AUR108" s="769"/>
      <c r="AUS108" s="769"/>
      <c r="AUT108" s="769"/>
      <c r="AUU108" s="769"/>
      <c r="AUV108" s="769"/>
      <c r="AUW108" s="769"/>
      <c r="AUX108" s="769"/>
      <c r="AUY108" s="769"/>
      <c r="AUZ108" s="769"/>
      <c r="AVA108" s="769"/>
      <c r="AVB108" s="769"/>
      <c r="AVC108" s="769"/>
      <c r="AVD108" s="769"/>
      <c r="AVE108" s="769"/>
      <c r="AVF108" s="769"/>
      <c r="AVG108" s="769"/>
      <c r="AVH108" s="769"/>
      <c r="AVI108" s="769"/>
      <c r="AVJ108" s="769"/>
      <c r="AVK108" s="769"/>
      <c r="AVL108" s="769"/>
      <c r="AVM108" s="769"/>
      <c r="AVN108" s="769"/>
      <c r="AVO108" s="769"/>
      <c r="AVP108" s="769"/>
      <c r="AVQ108" s="769"/>
      <c r="AVR108" s="769"/>
      <c r="AVS108" s="769"/>
      <c r="AVT108" s="769"/>
      <c r="AVU108" s="769"/>
      <c r="AVV108" s="769"/>
      <c r="AVW108" s="769"/>
      <c r="AVX108" s="769"/>
      <c r="AVY108" s="769"/>
      <c r="AVZ108" s="769"/>
      <c r="AWA108" s="769"/>
      <c r="AWB108" s="769"/>
      <c r="AWC108" s="769"/>
      <c r="AWD108" s="769"/>
      <c r="AWE108" s="769"/>
      <c r="AWF108" s="769"/>
      <c r="AWG108" s="769"/>
      <c r="AWH108" s="769"/>
      <c r="AWI108" s="769"/>
      <c r="AWJ108" s="769"/>
      <c r="AWK108" s="769"/>
      <c r="AWL108" s="769"/>
      <c r="AWM108" s="769"/>
      <c r="AWN108" s="769"/>
      <c r="AWO108" s="769"/>
      <c r="AWP108" s="769"/>
      <c r="AWQ108" s="769"/>
      <c r="AWR108" s="769"/>
      <c r="AWS108" s="769"/>
      <c r="AWT108" s="769"/>
      <c r="AWU108" s="769"/>
      <c r="AWV108" s="769"/>
      <c r="AWW108" s="769"/>
      <c r="AWX108" s="769"/>
      <c r="AWY108" s="769"/>
      <c r="AWZ108" s="769"/>
      <c r="AXA108" s="769"/>
      <c r="AXB108" s="769"/>
      <c r="AXC108" s="769"/>
      <c r="AXD108" s="769"/>
      <c r="AXE108" s="769"/>
      <c r="AXF108" s="769"/>
      <c r="AXG108" s="769"/>
      <c r="AXH108" s="769"/>
      <c r="AXI108" s="769"/>
      <c r="AXJ108" s="769"/>
      <c r="AXK108" s="769"/>
      <c r="AXL108" s="769"/>
      <c r="AXM108" s="769"/>
      <c r="AXN108" s="769"/>
      <c r="AXO108" s="769"/>
      <c r="AXP108" s="769"/>
      <c r="AXQ108" s="769"/>
      <c r="AXR108" s="769"/>
      <c r="AXS108" s="769"/>
      <c r="AXT108" s="769"/>
      <c r="AXU108" s="769"/>
      <c r="AXV108" s="769"/>
      <c r="AXW108" s="769"/>
      <c r="AXX108" s="769"/>
      <c r="AXY108" s="769"/>
      <c r="AXZ108" s="769"/>
      <c r="AYA108" s="769"/>
      <c r="AYB108" s="769"/>
      <c r="AYC108" s="769"/>
      <c r="AYD108" s="769"/>
      <c r="AYE108" s="769"/>
      <c r="AYF108" s="769"/>
      <c r="AYG108" s="769"/>
      <c r="AYH108" s="769"/>
      <c r="AYI108" s="769"/>
      <c r="AYJ108" s="769"/>
      <c r="AYK108" s="769"/>
      <c r="AYL108" s="769"/>
      <c r="AYM108" s="769"/>
      <c r="AYN108" s="769"/>
      <c r="AYO108" s="769"/>
      <c r="AYP108" s="769"/>
      <c r="AYQ108" s="769"/>
      <c r="AYR108" s="769"/>
      <c r="AYS108" s="769"/>
      <c r="AYT108" s="769"/>
      <c r="AYU108" s="769"/>
      <c r="AYV108" s="769"/>
      <c r="AYW108" s="769"/>
      <c r="AYX108" s="769"/>
      <c r="AYY108" s="769"/>
      <c r="AYZ108" s="769"/>
      <c r="AZA108" s="769"/>
      <c r="AZB108" s="769"/>
      <c r="AZC108" s="769"/>
      <c r="AZD108" s="769"/>
      <c r="AZE108" s="769"/>
      <c r="AZF108" s="769"/>
      <c r="AZG108" s="769"/>
      <c r="AZH108" s="769"/>
      <c r="AZI108" s="769"/>
      <c r="AZJ108" s="769"/>
      <c r="AZK108" s="769"/>
      <c r="AZL108" s="769"/>
      <c r="AZM108" s="769"/>
      <c r="AZN108" s="769"/>
      <c r="AZO108" s="769"/>
      <c r="AZP108" s="769"/>
      <c r="AZQ108" s="769"/>
      <c r="AZR108" s="769"/>
      <c r="AZS108" s="769"/>
      <c r="AZT108" s="769"/>
      <c r="AZU108" s="769"/>
      <c r="AZV108" s="769"/>
      <c r="AZW108" s="769"/>
      <c r="AZX108" s="769"/>
      <c r="AZY108" s="769"/>
      <c r="AZZ108" s="769"/>
      <c r="BAA108" s="769"/>
      <c r="BAB108" s="769"/>
      <c r="BAC108" s="769"/>
      <c r="BAD108" s="769"/>
      <c r="BAE108" s="769"/>
      <c r="BAF108" s="769"/>
      <c r="BAG108" s="769"/>
      <c r="BAH108" s="769"/>
      <c r="BAI108" s="769"/>
      <c r="BAJ108" s="769"/>
      <c r="BAK108" s="769"/>
      <c r="BAL108" s="769"/>
      <c r="BAM108" s="769"/>
      <c r="BAN108" s="769"/>
      <c r="BAO108" s="769"/>
      <c r="BAP108" s="769"/>
      <c r="BAQ108" s="769"/>
      <c r="BAR108" s="769"/>
      <c r="BAS108" s="769"/>
      <c r="BAT108" s="769"/>
      <c r="BAU108" s="769"/>
      <c r="BAV108" s="769"/>
      <c r="BAW108" s="769"/>
      <c r="BAX108" s="769"/>
      <c r="BAY108" s="769"/>
      <c r="BAZ108" s="769"/>
      <c r="BBA108" s="769"/>
      <c r="BBB108" s="769"/>
      <c r="BBC108" s="769"/>
      <c r="BBD108" s="769"/>
      <c r="BBE108" s="769"/>
      <c r="BBF108" s="769"/>
      <c r="BBG108" s="769"/>
      <c r="BBH108" s="769"/>
      <c r="BBI108" s="769"/>
      <c r="BBJ108" s="769"/>
      <c r="BBK108" s="769"/>
      <c r="BBL108" s="769"/>
      <c r="BBM108" s="769"/>
      <c r="BBN108" s="769"/>
      <c r="BBO108" s="769"/>
      <c r="BBP108" s="769"/>
      <c r="BBQ108" s="769"/>
      <c r="BBR108" s="769"/>
      <c r="BBS108" s="769"/>
      <c r="BBT108" s="769"/>
      <c r="BBU108" s="769"/>
      <c r="BBV108" s="769"/>
      <c r="BBW108" s="769"/>
      <c r="BBX108" s="769"/>
      <c r="BBY108" s="769"/>
      <c r="BBZ108" s="769"/>
      <c r="BCA108" s="769"/>
      <c r="BCB108" s="769"/>
      <c r="BCC108" s="769"/>
      <c r="BCD108" s="769"/>
      <c r="BCE108" s="769"/>
      <c r="BCF108" s="769"/>
      <c r="BCG108" s="769"/>
      <c r="BCH108" s="769"/>
      <c r="BCI108" s="769"/>
      <c r="BCJ108" s="769"/>
      <c r="BCK108" s="769"/>
      <c r="BCL108" s="769"/>
      <c r="BCM108" s="769"/>
      <c r="BCN108" s="769"/>
      <c r="BCO108" s="769"/>
      <c r="BCP108" s="769"/>
      <c r="BCQ108" s="769"/>
      <c r="BCR108" s="769"/>
      <c r="BCS108" s="769"/>
      <c r="BCT108" s="769"/>
      <c r="BCU108" s="769"/>
      <c r="BCV108" s="769"/>
      <c r="BCW108" s="769"/>
      <c r="BCX108" s="769"/>
      <c r="BCY108" s="769"/>
      <c r="BCZ108" s="769"/>
      <c r="BDA108" s="769"/>
      <c r="BDB108" s="769"/>
      <c r="BDC108" s="769"/>
      <c r="BDD108" s="769"/>
      <c r="BDE108" s="769"/>
      <c r="BDF108" s="769"/>
      <c r="BDG108" s="769"/>
      <c r="BDH108" s="769"/>
      <c r="BDI108" s="769"/>
      <c r="BDJ108" s="769"/>
      <c r="BDK108" s="769"/>
      <c r="BDL108" s="769"/>
      <c r="BDM108" s="769"/>
      <c r="BDN108" s="769"/>
      <c r="BDO108" s="769"/>
      <c r="BDP108" s="769"/>
      <c r="BDQ108" s="769"/>
      <c r="BDR108" s="769"/>
      <c r="BDS108" s="769"/>
      <c r="BDT108" s="769"/>
      <c r="BDU108" s="769"/>
      <c r="BDV108" s="769"/>
      <c r="BDW108" s="769"/>
      <c r="BDX108" s="769"/>
      <c r="BDY108" s="769"/>
      <c r="BDZ108" s="769"/>
      <c r="BEA108" s="769"/>
      <c r="BEB108" s="769"/>
      <c r="BEC108" s="769"/>
      <c r="BED108" s="769"/>
      <c r="BEE108" s="769"/>
      <c r="BEF108" s="769"/>
      <c r="BEG108" s="769"/>
      <c r="BEH108" s="769"/>
      <c r="BEI108" s="769"/>
      <c r="BEJ108" s="769"/>
      <c r="BEK108" s="769"/>
      <c r="BEL108" s="769"/>
      <c r="BEM108" s="769"/>
      <c r="BEN108" s="769"/>
      <c r="BEO108" s="769"/>
      <c r="BEP108" s="769"/>
      <c r="BEQ108" s="769"/>
      <c r="BER108" s="769"/>
      <c r="BES108" s="769"/>
      <c r="BET108" s="769"/>
      <c r="BEU108" s="769"/>
      <c r="BEV108" s="769"/>
      <c r="BEW108" s="769"/>
      <c r="BEX108" s="769"/>
      <c r="BEY108" s="769"/>
      <c r="BEZ108" s="769"/>
      <c r="BFA108" s="769"/>
      <c r="BFB108" s="769"/>
      <c r="BFC108" s="769"/>
      <c r="BFD108" s="769"/>
      <c r="BFE108" s="769"/>
      <c r="BFF108" s="769"/>
      <c r="BFG108" s="769"/>
      <c r="BFH108" s="769"/>
      <c r="BFI108" s="769"/>
      <c r="BFJ108" s="769"/>
      <c r="BFK108" s="769"/>
      <c r="BFL108" s="769"/>
      <c r="BFM108" s="769"/>
      <c r="BFN108" s="769"/>
      <c r="BFO108" s="769"/>
      <c r="BFP108" s="769"/>
      <c r="BFQ108" s="769"/>
      <c r="BFR108" s="769"/>
      <c r="BFS108" s="769"/>
      <c r="BFT108" s="769"/>
      <c r="BFU108" s="769"/>
      <c r="BFV108" s="769"/>
      <c r="BFW108" s="769"/>
      <c r="BFX108" s="769"/>
      <c r="BFY108" s="769"/>
      <c r="BFZ108" s="769"/>
      <c r="BGA108" s="769"/>
      <c r="BGB108" s="769"/>
      <c r="BGC108" s="769"/>
      <c r="BGD108" s="769"/>
      <c r="BGE108" s="769"/>
      <c r="BGF108" s="769"/>
      <c r="BGG108" s="769"/>
      <c r="BGH108" s="769"/>
      <c r="BGI108" s="769"/>
      <c r="BGJ108" s="769"/>
      <c r="BGK108" s="769"/>
      <c r="BGL108" s="769"/>
      <c r="BGM108" s="769"/>
      <c r="BGN108" s="769"/>
      <c r="BGO108" s="769"/>
      <c r="BGP108" s="769"/>
      <c r="BGQ108" s="769"/>
      <c r="BGR108" s="769"/>
      <c r="BGS108" s="769"/>
      <c r="BGT108" s="769"/>
      <c r="BGU108" s="769"/>
      <c r="BGV108" s="769"/>
      <c r="BGW108" s="769"/>
      <c r="BGX108" s="769"/>
      <c r="BGY108" s="769"/>
      <c r="BGZ108" s="769"/>
      <c r="BHA108" s="769"/>
      <c r="BHB108" s="769"/>
      <c r="BHC108" s="769"/>
      <c r="BHD108" s="769"/>
      <c r="BHE108" s="769"/>
      <c r="BHF108" s="769"/>
      <c r="BHG108" s="769"/>
      <c r="BHH108" s="769"/>
      <c r="BHI108" s="769"/>
      <c r="BHJ108" s="769"/>
      <c r="BHK108" s="769"/>
      <c r="BHL108" s="769"/>
      <c r="BHM108" s="769"/>
      <c r="BHN108" s="769"/>
      <c r="BHO108" s="769"/>
      <c r="BHP108" s="769"/>
      <c r="BHQ108" s="769"/>
      <c r="BHR108" s="769"/>
      <c r="BHS108" s="769"/>
      <c r="BHT108" s="769"/>
      <c r="BHU108" s="769"/>
      <c r="BHV108" s="769"/>
      <c r="BHW108" s="769"/>
      <c r="BHX108" s="769"/>
      <c r="BHY108" s="769"/>
      <c r="BHZ108" s="769"/>
      <c r="BIA108" s="769"/>
      <c r="BIB108" s="769"/>
      <c r="BIC108" s="769"/>
      <c r="BID108" s="769"/>
      <c r="BIE108" s="769"/>
      <c r="BIF108" s="769"/>
      <c r="BIG108" s="769"/>
      <c r="BIH108" s="769"/>
      <c r="BII108" s="769"/>
      <c r="BIJ108" s="769"/>
      <c r="BIK108" s="769"/>
      <c r="BIL108" s="769"/>
      <c r="BIM108" s="769"/>
      <c r="BIN108" s="769"/>
      <c r="BIO108" s="769"/>
      <c r="BIP108" s="769"/>
      <c r="BIQ108" s="769"/>
      <c r="BIR108" s="769"/>
      <c r="BIS108" s="769"/>
      <c r="BIT108" s="769"/>
      <c r="BIU108" s="769"/>
      <c r="BIV108" s="769"/>
      <c r="BIW108" s="769"/>
      <c r="BIX108" s="769"/>
      <c r="BIY108" s="769"/>
      <c r="BIZ108" s="769"/>
      <c r="BJA108" s="769"/>
      <c r="BJB108" s="769"/>
      <c r="BJC108" s="769"/>
      <c r="BJD108" s="769"/>
      <c r="BJE108" s="769"/>
      <c r="BJF108" s="769"/>
      <c r="BJG108" s="769"/>
      <c r="BJH108" s="769"/>
      <c r="BJI108" s="769"/>
      <c r="BJJ108" s="769"/>
      <c r="BJK108" s="769"/>
      <c r="BJL108" s="769"/>
      <c r="BJM108" s="769"/>
      <c r="BJN108" s="769"/>
      <c r="BJO108" s="769"/>
      <c r="BJP108" s="769"/>
      <c r="BJQ108" s="769"/>
      <c r="BJR108" s="769"/>
      <c r="BJS108" s="769"/>
      <c r="BJT108" s="769"/>
      <c r="BJU108" s="769"/>
      <c r="BJV108" s="769"/>
      <c r="BJW108" s="769"/>
      <c r="BJX108" s="769"/>
      <c r="BJY108" s="769"/>
      <c r="BJZ108" s="769"/>
      <c r="BKA108" s="769"/>
      <c r="BKB108" s="769"/>
      <c r="BKC108" s="769"/>
      <c r="BKD108" s="769"/>
      <c r="BKE108" s="769"/>
      <c r="BKF108" s="769"/>
      <c r="BKG108" s="769"/>
      <c r="BKH108" s="769"/>
      <c r="BKI108" s="769"/>
      <c r="BKJ108" s="769"/>
      <c r="BKK108" s="769"/>
      <c r="BKL108" s="769"/>
      <c r="BKM108" s="769"/>
      <c r="BKN108" s="769"/>
      <c r="BKO108" s="769"/>
      <c r="BKP108" s="769"/>
      <c r="BKQ108" s="769"/>
      <c r="BKR108" s="769"/>
      <c r="BKS108" s="769"/>
      <c r="BKT108" s="769"/>
      <c r="BKU108" s="769"/>
      <c r="BKV108" s="769"/>
      <c r="BKW108" s="769"/>
      <c r="BKX108" s="769"/>
      <c r="BKY108" s="769"/>
      <c r="BKZ108" s="769"/>
      <c r="BLA108" s="769"/>
      <c r="BLB108" s="769"/>
      <c r="BLC108" s="769"/>
      <c r="BLD108" s="769"/>
      <c r="BLE108" s="769"/>
      <c r="BLF108" s="769"/>
      <c r="BLG108" s="769"/>
      <c r="BLH108" s="769"/>
      <c r="BLI108" s="769"/>
      <c r="BLJ108" s="769"/>
      <c r="BLK108" s="769"/>
      <c r="BLL108" s="769"/>
      <c r="BLM108" s="769"/>
      <c r="BLN108" s="769"/>
      <c r="BLO108" s="769"/>
      <c r="BLP108" s="769"/>
      <c r="BLQ108" s="769"/>
      <c r="BLR108" s="769"/>
      <c r="BLS108" s="769"/>
      <c r="BLT108" s="769"/>
      <c r="BLU108" s="769"/>
      <c r="BLV108" s="769"/>
      <c r="BLW108" s="769"/>
      <c r="BLX108" s="769"/>
      <c r="BLY108" s="769"/>
      <c r="BLZ108" s="769"/>
      <c r="BMA108" s="769"/>
      <c r="BMB108" s="769"/>
      <c r="BMC108" s="769"/>
      <c r="BMD108" s="769"/>
      <c r="BME108" s="769"/>
      <c r="BMF108" s="769"/>
      <c r="BMG108" s="769"/>
      <c r="BMH108" s="769"/>
      <c r="BMI108" s="769"/>
      <c r="BMJ108" s="769"/>
      <c r="BMK108" s="769"/>
      <c r="BML108" s="769"/>
      <c r="BMM108" s="769"/>
      <c r="BMN108" s="769"/>
      <c r="BMO108" s="769"/>
      <c r="BMP108" s="769"/>
      <c r="BMQ108" s="769"/>
      <c r="BMR108" s="769"/>
      <c r="BMS108" s="769"/>
      <c r="BMT108" s="769"/>
      <c r="BMU108" s="769"/>
      <c r="BMV108" s="769"/>
      <c r="BMW108" s="769"/>
      <c r="BMX108" s="769"/>
      <c r="BMY108" s="769"/>
      <c r="BMZ108" s="769"/>
      <c r="BNA108" s="769"/>
      <c r="BNB108" s="769"/>
      <c r="BNC108" s="769"/>
      <c r="BND108" s="769"/>
      <c r="BNE108" s="769"/>
      <c r="BNF108" s="769"/>
      <c r="BNG108" s="769"/>
      <c r="BNH108" s="769"/>
      <c r="BNI108" s="769"/>
      <c r="BNJ108" s="769"/>
      <c r="BNK108" s="769"/>
      <c r="BNL108" s="769"/>
      <c r="BNM108" s="769"/>
      <c r="BNN108" s="769"/>
      <c r="BNO108" s="769"/>
      <c r="BNP108" s="769"/>
      <c r="BNQ108" s="769"/>
      <c r="BNR108" s="769"/>
      <c r="BNS108" s="769"/>
      <c r="BNT108" s="769"/>
      <c r="BNU108" s="769"/>
      <c r="BNV108" s="769"/>
      <c r="BNW108" s="769"/>
      <c r="BNX108" s="769"/>
      <c r="BNY108" s="769"/>
      <c r="BNZ108" s="769"/>
      <c r="BOA108" s="769"/>
      <c r="BOB108" s="769"/>
      <c r="BOC108" s="769"/>
      <c r="BOD108" s="769"/>
      <c r="BOE108" s="769"/>
      <c r="BOF108" s="769"/>
      <c r="BOG108" s="769"/>
      <c r="BOH108" s="769"/>
      <c r="BOI108" s="769"/>
      <c r="BOJ108" s="769"/>
      <c r="BOK108" s="769"/>
      <c r="BOL108" s="769"/>
      <c r="BOM108" s="769"/>
      <c r="BON108" s="769"/>
      <c r="BOO108" s="769"/>
      <c r="BOP108" s="769"/>
      <c r="BOQ108" s="769"/>
      <c r="BOR108" s="769"/>
      <c r="BOS108" s="769"/>
      <c r="BOT108" s="769"/>
      <c r="BOU108" s="769"/>
      <c r="BOV108" s="769"/>
      <c r="BOW108" s="769"/>
      <c r="BOX108" s="769"/>
      <c r="BOY108" s="769"/>
      <c r="BOZ108" s="769"/>
      <c r="BPA108" s="769"/>
      <c r="BPB108" s="769"/>
      <c r="BPC108" s="769"/>
      <c r="BPD108" s="769"/>
      <c r="BPE108" s="769"/>
      <c r="BPF108" s="769"/>
      <c r="BPG108" s="769"/>
      <c r="BPH108" s="769"/>
      <c r="BPI108" s="769"/>
      <c r="BPJ108" s="769"/>
      <c r="BPK108" s="769"/>
      <c r="BPL108" s="769"/>
      <c r="BPM108" s="769"/>
      <c r="BPN108" s="769"/>
      <c r="BPO108" s="769"/>
      <c r="BPP108" s="769"/>
      <c r="BPQ108" s="769"/>
      <c r="BPR108" s="769"/>
      <c r="BPS108" s="769"/>
      <c r="BPT108" s="769"/>
      <c r="BPU108" s="769"/>
      <c r="BPV108" s="769"/>
      <c r="BPW108" s="769"/>
      <c r="BPX108" s="769"/>
      <c r="BPY108" s="769"/>
      <c r="BPZ108" s="769"/>
      <c r="BQA108" s="769"/>
      <c r="BQB108" s="769"/>
      <c r="BQC108" s="769"/>
      <c r="BQD108" s="769"/>
      <c r="BQE108" s="769"/>
      <c r="BQF108" s="769"/>
      <c r="BQG108" s="769"/>
      <c r="BQH108" s="769"/>
      <c r="BQI108" s="769"/>
      <c r="BQJ108" s="769"/>
      <c r="BQK108" s="769"/>
      <c r="BQL108" s="769"/>
      <c r="BQM108" s="769"/>
      <c r="BQN108" s="769"/>
      <c r="BQO108" s="769"/>
      <c r="BQP108" s="769"/>
      <c r="BQQ108" s="769"/>
      <c r="BQR108" s="769"/>
      <c r="BQS108" s="769"/>
      <c r="BQT108" s="769"/>
      <c r="BQU108" s="769"/>
      <c r="BQV108" s="769"/>
      <c r="BQW108" s="769"/>
      <c r="BQX108" s="769"/>
      <c r="BQY108" s="769"/>
      <c r="BQZ108" s="769"/>
      <c r="BRA108" s="769"/>
      <c r="BRB108" s="769"/>
      <c r="BRC108" s="769"/>
      <c r="BRD108" s="769"/>
      <c r="BRE108" s="769"/>
      <c r="BRF108" s="769"/>
      <c r="BRG108" s="769"/>
      <c r="BRH108" s="769"/>
      <c r="BRI108" s="769"/>
      <c r="BRJ108" s="769"/>
      <c r="BRK108" s="769"/>
      <c r="BRL108" s="769"/>
      <c r="BRM108" s="769"/>
      <c r="BRN108" s="769"/>
      <c r="BRO108" s="769"/>
      <c r="BRP108" s="769"/>
      <c r="BRQ108" s="769"/>
      <c r="BRR108" s="769"/>
      <c r="BRS108" s="769"/>
      <c r="BRT108" s="769"/>
      <c r="BRU108" s="769"/>
      <c r="BRV108" s="769"/>
      <c r="BRW108" s="769"/>
      <c r="BRX108" s="769"/>
      <c r="BRY108" s="769"/>
      <c r="BRZ108" s="769"/>
      <c r="BSA108" s="769"/>
      <c r="BSB108" s="769"/>
      <c r="BSC108" s="769"/>
      <c r="BSD108" s="769"/>
      <c r="BSE108" s="769"/>
      <c r="BSF108" s="769"/>
      <c r="BSG108" s="769"/>
      <c r="BSH108" s="769"/>
      <c r="BSI108" s="769"/>
      <c r="BSJ108" s="769"/>
      <c r="BSK108" s="769"/>
      <c r="BSL108" s="769"/>
      <c r="BSM108" s="769"/>
      <c r="BSN108" s="769"/>
      <c r="BSO108" s="769"/>
      <c r="BSP108" s="769"/>
      <c r="BSQ108" s="769"/>
      <c r="BSR108" s="769"/>
      <c r="BSS108" s="769"/>
      <c r="BST108" s="769"/>
      <c r="BSU108" s="769"/>
      <c r="BSV108" s="769"/>
      <c r="BSW108" s="769"/>
      <c r="BSX108" s="769"/>
      <c r="BSY108" s="769"/>
      <c r="BSZ108" s="769"/>
      <c r="BTA108" s="769"/>
      <c r="BTB108" s="769"/>
      <c r="BTC108" s="769"/>
      <c r="BTD108" s="769"/>
      <c r="BTE108" s="769"/>
      <c r="BTF108" s="769"/>
      <c r="BTG108" s="769"/>
      <c r="BTH108" s="769"/>
      <c r="BTI108" s="769"/>
      <c r="BTJ108" s="769"/>
      <c r="BTK108" s="769"/>
      <c r="BTL108" s="769"/>
      <c r="BTM108" s="769"/>
      <c r="BTN108" s="769"/>
      <c r="BTO108" s="769"/>
      <c r="BTP108" s="769"/>
      <c r="BTQ108" s="769"/>
      <c r="BTR108" s="769"/>
      <c r="BTS108" s="769"/>
      <c r="BTT108" s="769"/>
      <c r="BTU108" s="769"/>
      <c r="BTV108" s="769"/>
      <c r="BTW108" s="769"/>
      <c r="BTX108" s="769"/>
      <c r="BTY108" s="769"/>
      <c r="BTZ108" s="769"/>
      <c r="BUA108" s="769"/>
      <c r="BUB108" s="769"/>
      <c r="BUC108" s="769"/>
      <c r="BUD108" s="769"/>
      <c r="BUE108" s="769"/>
      <c r="BUF108" s="769"/>
      <c r="BUG108" s="769"/>
      <c r="BUH108" s="769"/>
      <c r="BUI108" s="769"/>
      <c r="BUJ108" s="769"/>
      <c r="BUK108" s="769"/>
      <c r="BUL108" s="769"/>
      <c r="BUM108" s="769"/>
      <c r="BUN108" s="769"/>
      <c r="BUO108" s="769"/>
      <c r="BUP108" s="769"/>
      <c r="BUQ108" s="769"/>
      <c r="BUR108" s="769"/>
      <c r="BUS108" s="769"/>
      <c r="BUT108" s="769"/>
      <c r="BUU108" s="769"/>
      <c r="BUV108" s="769"/>
      <c r="BUW108" s="769"/>
      <c r="BUX108" s="769"/>
      <c r="BUY108" s="769"/>
      <c r="BUZ108" s="769"/>
      <c r="BVA108" s="769"/>
      <c r="BVB108" s="769"/>
      <c r="BVC108" s="769"/>
      <c r="BVD108" s="769"/>
      <c r="BVE108" s="769"/>
      <c r="BVF108" s="769"/>
      <c r="BVG108" s="769"/>
      <c r="BVH108" s="769"/>
      <c r="BVI108" s="769"/>
      <c r="BVJ108" s="769"/>
      <c r="BVK108" s="769"/>
      <c r="BVL108" s="769"/>
      <c r="BVM108" s="769"/>
      <c r="BVN108" s="769"/>
      <c r="BVO108" s="769"/>
      <c r="BVP108" s="769"/>
      <c r="BVQ108" s="769"/>
      <c r="BVR108" s="769"/>
      <c r="BVS108" s="769"/>
      <c r="BVT108" s="769"/>
      <c r="BVU108" s="769"/>
      <c r="BVV108" s="769"/>
      <c r="BVW108" s="769"/>
      <c r="BVX108" s="769"/>
      <c r="BVY108" s="769"/>
      <c r="BVZ108" s="769"/>
      <c r="BWA108" s="769"/>
      <c r="BWB108" s="769"/>
      <c r="BWC108" s="769"/>
      <c r="BWD108" s="769"/>
      <c r="BWE108" s="769"/>
      <c r="BWF108" s="769"/>
      <c r="BWG108" s="769"/>
      <c r="BWH108" s="769"/>
      <c r="BWI108" s="769"/>
      <c r="BWJ108" s="769"/>
      <c r="BWK108" s="769"/>
      <c r="BWL108" s="769"/>
      <c r="BWM108" s="769"/>
      <c r="BWN108" s="769"/>
      <c r="BWO108" s="769"/>
      <c r="BWP108" s="769"/>
      <c r="BWQ108" s="769"/>
      <c r="BWR108" s="769"/>
      <c r="BWS108" s="769"/>
      <c r="BWT108" s="769"/>
      <c r="BWU108" s="769"/>
      <c r="BWV108" s="769"/>
      <c r="BWW108" s="769"/>
      <c r="BWX108" s="769"/>
      <c r="BWY108" s="769"/>
      <c r="BWZ108" s="769"/>
      <c r="BXA108" s="769"/>
      <c r="BXB108" s="769"/>
      <c r="BXC108" s="769"/>
      <c r="BXD108" s="769"/>
      <c r="BXE108" s="769"/>
      <c r="BXF108" s="769"/>
      <c r="BXG108" s="769"/>
      <c r="BXH108" s="769"/>
      <c r="BXI108" s="769"/>
      <c r="BXJ108" s="769"/>
      <c r="BXK108" s="769"/>
      <c r="BXL108" s="769"/>
      <c r="BXM108" s="769"/>
      <c r="BXN108" s="769"/>
      <c r="BXO108" s="769"/>
      <c r="BXP108" s="769"/>
      <c r="BXQ108" s="769"/>
      <c r="BXR108" s="769"/>
      <c r="BXS108" s="769"/>
      <c r="BXT108" s="769"/>
      <c r="BXU108" s="769"/>
      <c r="BXV108" s="769"/>
      <c r="BXW108" s="769"/>
      <c r="BXX108" s="769"/>
      <c r="BXY108" s="769"/>
      <c r="BXZ108" s="769"/>
      <c r="BYA108" s="769"/>
      <c r="BYB108" s="769"/>
      <c r="BYC108" s="769"/>
      <c r="BYD108" s="769"/>
      <c r="BYE108" s="769"/>
      <c r="BYF108" s="769"/>
      <c r="BYG108" s="769"/>
      <c r="BYH108" s="769"/>
      <c r="BYI108" s="769"/>
      <c r="BYJ108" s="769"/>
      <c r="BYK108" s="769"/>
      <c r="BYL108" s="769"/>
      <c r="BYM108" s="769"/>
      <c r="BYN108" s="769"/>
      <c r="BYO108" s="769"/>
      <c r="BYP108" s="769"/>
      <c r="BYQ108" s="769"/>
      <c r="BYR108" s="769"/>
      <c r="BYS108" s="769"/>
      <c r="BYT108" s="769"/>
      <c r="BYU108" s="769"/>
      <c r="BYV108" s="769"/>
      <c r="BYW108" s="769"/>
      <c r="BYX108" s="769"/>
      <c r="BYY108" s="769"/>
      <c r="BYZ108" s="769"/>
      <c r="BZA108" s="769"/>
      <c r="BZB108" s="769"/>
      <c r="BZC108" s="769"/>
      <c r="BZD108" s="769"/>
      <c r="BZE108" s="769"/>
      <c r="BZF108" s="769"/>
      <c r="BZG108" s="769"/>
      <c r="BZH108" s="769"/>
      <c r="BZI108" s="769"/>
      <c r="BZJ108" s="769"/>
      <c r="BZK108" s="769"/>
      <c r="BZL108" s="769"/>
      <c r="BZM108" s="769"/>
      <c r="BZN108" s="769"/>
      <c r="BZO108" s="769"/>
      <c r="BZP108" s="769"/>
      <c r="BZQ108" s="769"/>
      <c r="BZR108" s="769"/>
      <c r="BZS108" s="769"/>
      <c r="BZT108" s="769"/>
      <c r="BZU108" s="769"/>
      <c r="BZV108" s="769"/>
      <c r="BZW108" s="769"/>
      <c r="BZX108" s="769"/>
      <c r="BZY108" s="769"/>
      <c r="BZZ108" s="769"/>
      <c r="CAA108" s="769"/>
      <c r="CAB108" s="769"/>
      <c r="CAC108" s="769"/>
      <c r="CAD108" s="769"/>
      <c r="CAE108" s="769"/>
      <c r="CAF108" s="769"/>
      <c r="CAG108" s="769"/>
      <c r="CAH108" s="769"/>
      <c r="CAI108" s="769"/>
      <c r="CAJ108" s="769"/>
      <c r="CAK108" s="769"/>
      <c r="CAL108" s="769"/>
      <c r="CAM108" s="769"/>
      <c r="CAN108" s="769"/>
      <c r="CAO108" s="769"/>
      <c r="CAP108" s="769"/>
      <c r="CAQ108" s="769"/>
      <c r="CAR108" s="769"/>
      <c r="CAS108" s="769"/>
      <c r="CAT108" s="769"/>
      <c r="CAU108" s="769"/>
      <c r="CAV108" s="769"/>
      <c r="CAW108" s="769"/>
      <c r="CAX108" s="769"/>
      <c r="CAY108" s="769"/>
      <c r="CAZ108" s="769"/>
      <c r="CBA108" s="769"/>
      <c r="CBB108" s="769"/>
      <c r="CBC108" s="769"/>
      <c r="CBD108" s="769"/>
      <c r="CBE108" s="769"/>
      <c r="CBF108" s="769"/>
      <c r="CBG108" s="769"/>
      <c r="CBH108" s="769"/>
      <c r="CBI108" s="769"/>
      <c r="CBJ108" s="769"/>
      <c r="CBK108" s="769"/>
      <c r="CBL108" s="769"/>
      <c r="CBM108" s="769"/>
      <c r="CBN108" s="769"/>
      <c r="CBO108" s="769"/>
      <c r="CBP108" s="769"/>
      <c r="CBQ108" s="769"/>
      <c r="CBR108" s="769"/>
      <c r="CBS108" s="769"/>
      <c r="CBT108" s="769"/>
      <c r="CBU108" s="769"/>
      <c r="CBV108" s="769"/>
      <c r="CBW108" s="769"/>
      <c r="CBX108" s="769"/>
      <c r="CBY108" s="769"/>
      <c r="CBZ108" s="769"/>
      <c r="CCA108" s="769"/>
      <c r="CCB108" s="769"/>
      <c r="CCC108" s="769"/>
      <c r="CCD108" s="769"/>
      <c r="CCE108" s="769"/>
      <c r="CCF108" s="769"/>
      <c r="CCG108" s="769"/>
      <c r="CCH108" s="769"/>
      <c r="CCI108" s="769"/>
      <c r="CCJ108" s="769"/>
      <c r="CCK108" s="769"/>
      <c r="CCL108" s="769"/>
      <c r="CCM108" s="769"/>
      <c r="CCN108" s="769"/>
      <c r="CCO108" s="769"/>
      <c r="CCP108" s="769"/>
      <c r="CCQ108" s="769"/>
      <c r="CCR108" s="769"/>
      <c r="CCS108" s="769"/>
      <c r="CCT108" s="769"/>
      <c r="CCU108" s="769"/>
      <c r="CCV108" s="769"/>
      <c r="CCW108" s="769"/>
      <c r="CCX108" s="769"/>
      <c r="CCY108" s="769"/>
      <c r="CCZ108" s="769"/>
      <c r="CDA108" s="769"/>
      <c r="CDB108" s="769"/>
      <c r="CDC108" s="769"/>
      <c r="CDD108" s="769"/>
      <c r="CDE108" s="769"/>
      <c r="CDF108" s="769"/>
      <c r="CDG108" s="769"/>
      <c r="CDH108" s="769"/>
      <c r="CDI108" s="769"/>
      <c r="CDJ108" s="769"/>
      <c r="CDK108" s="769"/>
      <c r="CDL108" s="769"/>
      <c r="CDM108" s="769"/>
      <c r="CDN108" s="769"/>
      <c r="CDO108" s="769"/>
      <c r="CDP108" s="769"/>
      <c r="CDQ108" s="769"/>
      <c r="CDR108" s="769"/>
      <c r="CDS108" s="769"/>
      <c r="CDT108" s="769"/>
      <c r="CDU108" s="769"/>
      <c r="CDV108" s="769"/>
      <c r="CDW108" s="769"/>
      <c r="CDX108" s="769"/>
      <c r="CDY108" s="769"/>
      <c r="CDZ108" s="769"/>
      <c r="CEA108" s="769"/>
      <c r="CEB108" s="769"/>
      <c r="CEC108" s="769"/>
      <c r="CED108" s="769"/>
      <c r="CEE108" s="769"/>
      <c r="CEF108" s="769"/>
      <c r="CEG108" s="769"/>
      <c r="CEH108" s="769"/>
      <c r="CEI108" s="769"/>
      <c r="CEJ108" s="769"/>
      <c r="CEK108" s="769"/>
      <c r="CEL108" s="769"/>
      <c r="CEM108" s="769"/>
      <c r="CEN108" s="769"/>
      <c r="CEO108" s="769"/>
      <c r="CEP108" s="769"/>
      <c r="CEQ108" s="769"/>
      <c r="CER108" s="769"/>
      <c r="CES108" s="769"/>
      <c r="CET108" s="769"/>
      <c r="CEU108" s="769"/>
      <c r="CEV108" s="769"/>
      <c r="CEW108" s="769"/>
      <c r="CEX108" s="769"/>
      <c r="CEY108" s="769"/>
      <c r="CEZ108" s="769"/>
      <c r="CFA108" s="769"/>
      <c r="CFB108" s="769"/>
      <c r="CFC108" s="769"/>
      <c r="CFD108" s="769"/>
      <c r="CFE108" s="769"/>
      <c r="CFF108" s="769"/>
      <c r="CFG108" s="769"/>
      <c r="CFH108" s="769"/>
      <c r="CFI108" s="769"/>
      <c r="CFJ108" s="769"/>
      <c r="CFK108" s="769"/>
      <c r="CFL108" s="769"/>
      <c r="CFM108" s="769"/>
      <c r="CFN108" s="769"/>
      <c r="CFO108" s="769"/>
      <c r="CFP108" s="769"/>
      <c r="CFQ108" s="769"/>
      <c r="CFR108" s="769"/>
      <c r="CFS108" s="769"/>
      <c r="CFT108" s="769"/>
      <c r="CFU108" s="769"/>
      <c r="CFV108" s="769"/>
      <c r="CFW108" s="769"/>
      <c r="CFX108" s="769"/>
      <c r="CFY108" s="769"/>
      <c r="CFZ108" s="769"/>
      <c r="CGA108" s="769"/>
      <c r="CGB108" s="769"/>
      <c r="CGC108" s="769"/>
      <c r="CGD108" s="769"/>
      <c r="CGE108" s="769"/>
      <c r="CGF108" s="769"/>
      <c r="CGG108" s="769"/>
      <c r="CGH108" s="769"/>
      <c r="CGI108" s="769"/>
      <c r="CGJ108" s="769"/>
      <c r="CGK108" s="769"/>
      <c r="CGL108" s="769"/>
      <c r="CGM108" s="769"/>
      <c r="CGN108" s="769"/>
      <c r="CGO108" s="769"/>
      <c r="CGP108" s="769"/>
      <c r="CGQ108" s="769"/>
      <c r="CGR108" s="769"/>
      <c r="CGS108" s="769"/>
      <c r="CGT108" s="769"/>
      <c r="CGU108" s="769"/>
      <c r="CGV108" s="769"/>
      <c r="CGW108" s="769"/>
      <c r="CGX108" s="769"/>
      <c r="CGY108" s="769"/>
      <c r="CGZ108" s="769"/>
      <c r="CHA108" s="769"/>
      <c r="CHB108" s="769"/>
      <c r="CHC108" s="769"/>
      <c r="CHD108" s="769"/>
      <c r="CHE108" s="769"/>
      <c r="CHF108" s="769"/>
      <c r="CHG108" s="769"/>
      <c r="CHH108" s="769"/>
      <c r="CHI108" s="769"/>
      <c r="CHJ108" s="769"/>
      <c r="CHK108" s="769"/>
      <c r="CHL108" s="769"/>
      <c r="CHM108" s="769"/>
      <c r="CHN108" s="769"/>
      <c r="CHO108" s="769"/>
      <c r="CHP108" s="769"/>
      <c r="CHQ108" s="769"/>
      <c r="CHR108" s="769"/>
      <c r="CHS108" s="769"/>
      <c r="CHT108" s="769"/>
      <c r="CHU108" s="769"/>
      <c r="CHV108" s="769"/>
      <c r="CHW108" s="769"/>
      <c r="CHX108" s="769"/>
      <c r="CHY108" s="769"/>
      <c r="CHZ108" s="769"/>
      <c r="CIA108" s="769"/>
      <c r="CIB108" s="769"/>
      <c r="CIC108" s="769"/>
      <c r="CID108" s="769"/>
      <c r="CIE108" s="769"/>
      <c r="CIF108" s="769"/>
      <c r="CIG108" s="769"/>
      <c r="CIH108" s="769"/>
      <c r="CII108" s="769"/>
      <c r="CIJ108" s="769"/>
      <c r="CIK108" s="769"/>
      <c r="CIL108" s="769"/>
      <c r="CIM108" s="769"/>
      <c r="CIN108" s="769"/>
      <c r="CIO108" s="769"/>
      <c r="CIP108" s="769"/>
      <c r="CIQ108" s="769"/>
      <c r="CIR108" s="769"/>
      <c r="CIS108" s="769"/>
      <c r="CIT108" s="769"/>
      <c r="CIU108" s="769"/>
      <c r="CIV108" s="769"/>
      <c r="CIW108" s="769"/>
      <c r="CIX108" s="769"/>
      <c r="CIY108" s="769"/>
      <c r="CIZ108" s="769"/>
      <c r="CJA108" s="769"/>
      <c r="CJB108" s="769"/>
      <c r="CJC108" s="769"/>
      <c r="CJD108" s="769"/>
      <c r="CJE108" s="769"/>
      <c r="CJF108" s="769"/>
      <c r="CJG108" s="769"/>
      <c r="CJH108" s="769"/>
      <c r="CJI108" s="769"/>
      <c r="CJJ108" s="769"/>
      <c r="CJK108" s="769"/>
      <c r="CJL108" s="769"/>
      <c r="CJM108" s="769"/>
      <c r="CJN108" s="769"/>
      <c r="CJO108" s="769"/>
      <c r="CJP108" s="769"/>
      <c r="CJQ108" s="769"/>
      <c r="CJR108" s="769"/>
      <c r="CJS108" s="769"/>
      <c r="CJT108" s="769"/>
      <c r="CJU108" s="769"/>
      <c r="CJV108" s="769"/>
      <c r="CJW108" s="769"/>
      <c r="CJX108" s="769"/>
      <c r="CJY108" s="769"/>
      <c r="CJZ108" s="769"/>
      <c r="CKA108" s="769"/>
      <c r="CKB108" s="769"/>
      <c r="CKC108" s="769"/>
      <c r="CKD108" s="769"/>
      <c r="CKE108" s="769"/>
      <c r="CKF108" s="769"/>
      <c r="CKG108" s="769"/>
      <c r="CKH108" s="769"/>
      <c r="CKI108" s="769"/>
      <c r="CKJ108" s="769"/>
      <c r="CKK108" s="769"/>
      <c r="CKL108" s="769"/>
      <c r="CKM108" s="769"/>
      <c r="CKN108" s="769"/>
      <c r="CKO108" s="769"/>
      <c r="CKP108" s="769"/>
      <c r="CKQ108" s="769"/>
      <c r="CKR108" s="769"/>
      <c r="CKS108" s="769"/>
      <c r="CKT108" s="769"/>
      <c r="CKU108" s="769"/>
      <c r="CKV108" s="769"/>
      <c r="CKW108" s="769"/>
      <c r="CKX108" s="769"/>
      <c r="CKY108" s="769"/>
      <c r="CKZ108" s="769"/>
      <c r="CLA108" s="769"/>
      <c r="CLB108" s="769"/>
      <c r="CLC108" s="769"/>
      <c r="CLD108" s="769"/>
      <c r="CLE108" s="769"/>
      <c r="CLF108" s="769"/>
      <c r="CLG108" s="769"/>
      <c r="CLH108" s="769"/>
      <c r="CLI108" s="769"/>
      <c r="CLJ108" s="769"/>
      <c r="CLK108" s="769"/>
      <c r="CLL108" s="769"/>
      <c r="CLM108" s="769"/>
      <c r="CLN108" s="769"/>
      <c r="CLO108" s="769"/>
      <c r="CLP108" s="769"/>
      <c r="CLQ108" s="769"/>
      <c r="CLR108" s="769"/>
      <c r="CLS108" s="769"/>
      <c r="CLT108" s="769"/>
      <c r="CLU108" s="769"/>
      <c r="CLV108" s="769"/>
      <c r="CLW108" s="769"/>
      <c r="CLX108" s="769"/>
      <c r="CLY108" s="769"/>
      <c r="CLZ108" s="769"/>
      <c r="CMA108" s="769"/>
      <c r="CMB108" s="769"/>
      <c r="CMC108" s="769"/>
      <c r="CMD108" s="769"/>
      <c r="CME108" s="769"/>
      <c r="CMF108" s="769"/>
      <c r="CMG108" s="769"/>
      <c r="CMH108" s="769"/>
      <c r="CMI108" s="769"/>
      <c r="CMJ108" s="769"/>
      <c r="CMK108" s="769"/>
      <c r="CML108" s="769"/>
      <c r="CMM108" s="769"/>
      <c r="CMN108" s="769"/>
      <c r="CMO108" s="769"/>
      <c r="CMP108" s="769"/>
      <c r="CMQ108" s="769"/>
      <c r="CMR108" s="769"/>
      <c r="CMS108" s="769"/>
      <c r="CMT108" s="769"/>
      <c r="CMU108" s="769"/>
      <c r="CMV108" s="769"/>
      <c r="CMW108" s="769"/>
      <c r="CMX108" s="769"/>
      <c r="CMY108" s="769"/>
      <c r="CMZ108" s="769"/>
      <c r="CNA108" s="769"/>
      <c r="CNB108" s="769"/>
      <c r="CNC108" s="769"/>
      <c r="CND108" s="769"/>
      <c r="CNE108" s="769"/>
      <c r="CNF108" s="769"/>
      <c r="CNG108" s="769"/>
      <c r="CNH108" s="769"/>
      <c r="CNI108" s="769"/>
      <c r="CNJ108" s="769"/>
      <c r="CNK108" s="769"/>
      <c r="CNL108" s="769"/>
      <c r="CNM108" s="769"/>
      <c r="CNN108" s="769"/>
      <c r="CNO108" s="769"/>
      <c r="CNP108" s="769"/>
      <c r="CNQ108" s="769"/>
      <c r="CNR108" s="769"/>
      <c r="CNS108" s="769"/>
      <c r="CNT108" s="769"/>
      <c r="CNU108" s="769"/>
      <c r="CNV108" s="769"/>
      <c r="CNW108" s="769"/>
      <c r="CNX108" s="769"/>
      <c r="CNY108" s="769"/>
      <c r="CNZ108" s="769"/>
      <c r="COA108" s="769"/>
      <c r="COB108" s="769"/>
      <c r="COC108" s="769"/>
      <c r="COD108" s="769"/>
      <c r="COE108" s="769"/>
      <c r="COF108" s="769"/>
      <c r="COG108" s="769"/>
      <c r="COH108" s="769"/>
      <c r="COI108" s="769"/>
      <c r="COJ108" s="769"/>
      <c r="COK108" s="769"/>
      <c r="COL108" s="769"/>
      <c r="COM108" s="769"/>
      <c r="CON108" s="769"/>
      <c r="COO108" s="769"/>
      <c r="COP108" s="769"/>
      <c r="COQ108" s="769"/>
      <c r="COR108" s="769"/>
      <c r="COS108" s="769"/>
      <c r="COT108" s="769"/>
      <c r="COU108" s="769"/>
      <c r="COV108" s="769"/>
      <c r="COW108" s="769"/>
      <c r="COX108" s="769"/>
      <c r="COY108" s="769"/>
      <c r="COZ108" s="769"/>
      <c r="CPA108" s="769"/>
      <c r="CPB108" s="769"/>
      <c r="CPC108" s="769"/>
      <c r="CPD108" s="769"/>
      <c r="CPE108" s="769"/>
      <c r="CPF108" s="769"/>
      <c r="CPG108" s="769"/>
      <c r="CPH108" s="769"/>
      <c r="CPI108" s="769"/>
      <c r="CPJ108" s="769"/>
      <c r="CPK108" s="769"/>
      <c r="CPL108" s="769"/>
      <c r="CPM108" s="769"/>
      <c r="CPN108" s="769"/>
      <c r="CPO108" s="769"/>
      <c r="CPP108" s="769"/>
      <c r="CPQ108" s="769"/>
      <c r="CPR108" s="769"/>
      <c r="CPS108" s="769"/>
      <c r="CPT108" s="769"/>
      <c r="CPU108" s="769"/>
      <c r="CPV108" s="769"/>
      <c r="CPW108" s="769"/>
      <c r="CPX108" s="769"/>
      <c r="CPY108" s="769"/>
      <c r="CPZ108" s="769"/>
      <c r="CQA108" s="769"/>
      <c r="CQB108" s="769"/>
      <c r="CQC108" s="769"/>
      <c r="CQD108" s="769"/>
      <c r="CQE108" s="769"/>
      <c r="CQF108" s="769"/>
      <c r="CQG108" s="769"/>
      <c r="CQH108" s="769"/>
      <c r="CQI108" s="769"/>
      <c r="CQJ108" s="769"/>
      <c r="CQK108" s="769"/>
      <c r="CQL108" s="769"/>
      <c r="CQM108" s="769"/>
      <c r="CQN108" s="769"/>
      <c r="CQO108" s="769"/>
      <c r="CQP108" s="769"/>
      <c r="CQQ108" s="769"/>
      <c r="CQR108" s="769"/>
      <c r="CQS108" s="769"/>
      <c r="CQT108" s="769"/>
      <c r="CQU108" s="769"/>
      <c r="CQV108" s="769"/>
      <c r="CQW108" s="769"/>
      <c r="CQX108" s="769"/>
      <c r="CQY108" s="769"/>
      <c r="CQZ108" s="769"/>
      <c r="CRA108" s="769"/>
      <c r="CRB108" s="769"/>
      <c r="CRC108" s="769"/>
      <c r="CRD108" s="769"/>
      <c r="CRE108" s="769"/>
      <c r="CRF108" s="769"/>
      <c r="CRG108" s="769"/>
      <c r="CRH108" s="769"/>
      <c r="CRI108" s="769"/>
      <c r="CRJ108" s="769"/>
      <c r="CRK108" s="769"/>
      <c r="CRL108" s="769"/>
      <c r="CRM108" s="769"/>
      <c r="CRN108" s="769"/>
      <c r="CRO108" s="769"/>
      <c r="CRP108" s="769"/>
      <c r="CRQ108" s="769"/>
      <c r="CRR108" s="769"/>
      <c r="CRS108" s="769"/>
      <c r="CRT108" s="769"/>
      <c r="CRU108" s="769"/>
      <c r="CRV108" s="769"/>
      <c r="CRW108" s="769"/>
      <c r="CRX108" s="769"/>
      <c r="CRY108" s="769"/>
      <c r="CRZ108" s="769"/>
      <c r="CSA108" s="769"/>
      <c r="CSB108" s="769"/>
      <c r="CSC108" s="769"/>
      <c r="CSD108" s="769"/>
      <c r="CSE108" s="769"/>
      <c r="CSF108" s="769"/>
      <c r="CSG108" s="769"/>
      <c r="CSH108" s="769"/>
      <c r="CSI108" s="769"/>
      <c r="CSJ108" s="769"/>
      <c r="CSK108" s="769"/>
      <c r="CSL108" s="769"/>
      <c r="CSM108" s="769"/>
      <c r="CSN108" s="769"/>
      <c r="CSO108" s="769"/>
      <c r="CSP108" s="769"/>
      <c r="CSQ108" s="769"/>
      <c r="CSR108" s="769"/>
      <c r="CSS108" s="769"/>
      <c r="CST108" s="769"/>
      <c r="CSU108" s="769"/>
      <c r="CSV108" s="769"/>
      <c r="CSW108" s="769"/>
      <c r="CSX108" s="769"/>
      <c r="CSY108" s="769"/>
      <c r="CSZ108" s="769"/>
      <c r="CTA108" s="769"/>
      <c r="CTB108" s="769"/>
      <c r="CTC108" s="769"/>
      <c r="CTD108" s="769"/>
      <c r="CTE108" s="769"/>
      <c r="CTF108" s="769"/>
      <c r="CTG108" s="769"/>
      <c r="CTH108" s="769"/>
      <c r="CTI108" s="769"/>
      <c r="CTJ108" s="769"/>
      <c r="CTK108" s="769"/>
      <c r="CTL108" s="769"/>
      <c r="CTM108" s="769"/>
      <c r="CTN108" s="769"/>
      <c r="CTO108" s="769"/>
      <c r="CTP108" s="769"/>
      <c r="CTQ108" s="769"/>
      <c r="CTR108" s="769"/>
      <c r="CTS108" s="769"/>
      <c r="CTT108" s="769"/>
      <c r="CTU108" s="769"/>
      <c r="CTV108" s="769"/>
      <c r="CTW108" s="769"/>
      <c r="CTX108" s="769"/>
      <c r="CTY108" s="769"/>
      <c r="CTZ108" s="769"/>
      <c r="CUA108" s="769"/>
      <c r="CUB108" s="769"/>
      <c r="CUC108" s="769"/>
      <c r="CUD108" s="769"/>
      <c r="CUE108" s="769"/>
      <c r="CUF108" s="769"/>
      <c r="CUG108" s="769"/>
      <c r="CUH108" s="769"/>
      <c r="CUI108" s="769"/>
      <c r="CUJ108" s="769"/>
      <c r="CUK108" s="769"/>
      <c r="CUL108" s="769"/>
      <c r="CUM108" s="769"/>
      <c r="CUN108" s="769"/>
      <c r="CUO108" s="769"/>
      <c r="CUP108" s="769"/>
      <c r="CUQ108" s="769"/>
      <c r="CUR108" s="769"/>
      <c r="CUS108" s="769"/>
      <c r="CUT108" s="769"/>
      <c r="CUU108" s="769"/>
      <c r="CUV108" s="769"/>
      <c r="CUW108" s="769"/>
      <c r="CUX108" s="769"/>
      <c r="CUY108" s="769"/>
      <c r="CUZ108" s="769"/>
      <c r="CVA108" s="769"/>
      <c r="CVB108" s="769"/>
      <c r="CVC108" s="769"/>
      <c r="CVD108" s="769"/>
      <c r="CVE108" s="769"/>
      <c r="CVF108" s="769"/>
      <c r="CVG108" s="769"/>
      <c r="CVH108" s="769"/>
      <c r="CVI108" s="769"/>
      <c r="CVJ108" s="769"/>
      <c r="CVK108" s="769"/>
      <c r="CVL108" s="769"/>
      <c r="CVM108" s="769"/>
      <c r="CVN108" s="769"/>
      <c r="CVO108" s="769"/>
      <c r="CVP108" s="769"/>
      <c r="CVQ108" s="769"/>
      <c r="CVR108" s="769"/>
      <c r="CVS108" s="769"/>
      <c r="CVT108" s="769"/>
      <c r="CVU108" s="769"/>
      <c r="CVV108" s="769"/>
      <c r="CVW108" s="769"/>
      <c r="CVX108" s="769"/>
      <c r="CVY108" s="769"/>
      <c r="CVZ108" s="769"/>
      <c r="CWA108" s="769"/>
      <c r="CWB108" s="769"/>
      <c r="CWC108" s="769"/>
      <c r="CWD108" s="769"/>
      <c r="CWE108" s="769"/>
      <c r="CWF108" s="769"/>
      <c r="CWG108" s="769"/>
      <c r="CWH108" s="769"/>
      <c r="CWI108" s="769"/>
      <c r="CWJ108" s="769"/>
      <c r="CWK108" s="769"/>
      <c r="CWL108" s="769"/>
      <c r="CWM108" s="769"/>
      <c r="CWN108" s="769"/>
      <c r="CWO108" s="769"/>
      <c r="CWP108" s="769"/>
      <c r="CWQ108" s="769"/>
      <c r="CWR108" s="769"/>
      <c r="CWS108" s="769"/>
      <c r="CWT108" s="769"/>
      <c r="CWU108" s="769"/>
      <c r="CWV108" s="769"/>
      <c r="CWW108" s="769"/>
      <c r="CWX108" s="769"/>
      <c r="CWY108" s="769"/>
      <c r="CWZ108" s="769"/>
      <c r="CXA108" s="769"/>
      <c r="CXB108" s="769"/>
      <c r="CXC108" s="769"/>
      <c r="CXD108" s="769"/>
      <c r="CXE108" s="769"/>
      <c r="CXF108" s="769"/>
      <c r="CXG108" s="769"/>
      <c r="CXH108" s="769"/>
      <c r="CXI108" s="769"/>
      <c r="CXJ108" s="769"/>
      <c r="CXK108" s="769"/>
      <c r="CXL108" s="769"/>
      <c r="CXM108" s="769"/>
      <c r="CXN108" s="769"/>
      <c r="CXO108" s="769"/>
      <c r="CXP108" s="769"/>
      <c r="CXQ108" s="769"/>
      <c r="CXR108" s="769"/>
      <c r="CXS108" s="769"/>
      <c r="CXT108" s="769"/>
      <c r="CXU108" s="769"/>
      <c r="CXV108" s="769"/>
      <c r="CXW108" s="769"/>
      <c r="CXX108" s="769"/>
      <c r="CXY108" s="769"/>
      <c r="CXZ108" s="769"/>
      <c r="CYA108" s="769"/>
      <c r="CYB108" s="769"/>
      <c r="CYC108" s="769"/>
      <c r="CYD108" s="769"/>
      <c r="CYE108" s="769"/>
      <c r="CYF108" s="769"/>
      <c r="CYG108" s="769"/>
      <c r="CYH108" s="769"/>
      <c r="CYI108" s="769"/>
      <c r="CYJ108" s="769"/>
      <c r="CYK108" s="769"/>
      <c r="CYL108" s="769"/>
      <c r="CYM108" s="769"/>
      <c r="CYN108" s="769"/>
      <c r="CYO108" s="769"/>
      <c r="CYP108" s="769"/>
      <c r="CYQ108" s="769"/>
      <c r="CYR108" s="769"/>
      <c r="CYS108" s="769"/>
      <c r="CYT108" s="769"/>
      <c r="CYU108" s="769"/>
      <c r="CYV108" s="769"/>
      <c r="CYW108" s="769"/>
      <c r="CYX108" s="769"/>
      <c r="CYY108" s="769"/>
      <c r="CYZ108" s="769"/>
      <c r="CZA108" s="769"/>
      <c r="CZB108" s="769"/>
      <c r="CZC108" s="769"/>
      <c r="CZD108" s="769"/>
      <c r="CZE108" s="769"/>
      <c r="CZF108" s="769"/>
      <c r="CZG108" s="769"/>
      <c r="CZH108" s="769"/>
      <c r="CZI108" s="769"/>
      <c r="CZJ108" s="769"/>
      <c r="CZK108" s="769"/>
      <c r="CZL108" s="769"/>
      <c r="CZM108" s="769"/>
      <c r="CZN108" s="769"/>
      <c r="CZO108" s="769"/>
      <c r="CZP108" s="769"/>
      <c r="CZQ108" s="769"/>
      <c r="CZR108" s="769"/>
      <c r="CZS108" s="769"/>
      <c r="CZT108" s="769"/>
      <c r="CZU108" s="769"/>
      <c r="CZV108" s="769"/>
      <c r="CZW108" s="769"/>
      <c r="CZX108" s="769"/>
      <c r="CZY108" s="769"/>
      <c r="CZZ108" s="769"/>
      <c r="DAA108" s="769"/>
      <c r="DAB108" s="769"/>
      <c r="DAC108" s="769"/>
      <c r="DAD108" s="769"/>
      <c r="DAE108" s="769"/>
      <c r="DAF108" s="769"/>
      <c r="DAG108" s="769"/>
      <c r="DAH108" s="769"/>
      <c r="DAI108" s="769"/>
      <c r="DAJ108" s="769"/>
      <c r="DAK108" s="769"/>
      <c r="DAL108" s="769"/>
      <c r="DAM108" s="769"/>
      <c r="DAN108" s="769"/>
      <c r="DAO108" s="769"/>
      <c r="DAP108" s="769"/>
      <c r="DAQ108" s="769"/>
      <c r="DAR108" s="769"/>
      <c r="DAS108" s="769"/>
      <c r="DAT108" s="769"/>
      <c r="DAU108" s="769"/>
      <c r="DAV108" s="769"/>
      <c r="DAW108" s="769"/>
      <c r="DAX108" s="769"/>
      <c r="DAY108" s="769"/>
      <c r="DAZ108" s="769"/>
      <c r="DBA108" s="769"/>
      <c r="DBB108" s="769"/>
      <c r="DBC108" s="769"/>
      <c r="DBD108" s="769"/>
      <c r="DBE108" s="769"/>
      <c r="DBF108" s="769"/>
      <c r="DBG108" s="769"/>
      <c r="DBH108" s="769"/>
      <c r="DBI108" s="769"/>
      <c r="DBJ108" s="769"/>
      <c r="DBK108" s="769"/>
      <c r="DBL108" s="769"/>
      <c r="DBM108" s="769"/>
      <c r="DBN108" s="769"/>
      <c r="DBO108" s="769"/>
      <c r="DBP108" s="769"/>
      <c r="DBQ108" s="769"/>
      <c r="DBR108" s="769"/>
      <c r="DBS108" s="769"/>
      <c r="DBT108" s="769"/>
      <c r="DBU108" s="769"/>
      <c r="DBV108" s="769"/>
      <c r="DBW108" s="769"/>
      <c r="DBX108" s="769"/>
      <c r="DBY108" s="769"/>
      <c r="DBZ108" s="769"/>
      <c r="DCA108" s="769"/>
      <c r="DCB108" s="769"/>
      <c r="DCC108" s="769"/>
      <c r="DCD108" s="769"/>
      <c r="DCE108" s="769"/>
      <c r="DCF108" s="769"/>
      <c r="DCG108" s="769"/>
      <c r="DCH108" s="769"/>
      <c r="DCI108" s="769"/>
      <c r="DCJ108" s="769"/>
      <c r="DCK108" s="769"/>
      <c r="DCL108" s="769"/>
      <c r="DCM108" s="769"/>
      <c r="DCN108" s="769"/>
      <c r="DCO108" s="769"/>
      <c r="DCP108" s="769"/>
      <c r="DCQ108" s="769"/>
      <c r="DCR108" s="769"/>
      <c r="DCS108" s="769"/>
      <c r="DCT108" s="769"/>
      <c r="DCU108" s="769"/>
      <c r="DCV108" s="769"/>
      <c r="DCW108" s="769"/>
      <c r="DCX108" s="769"/>
      <c r="DCY108" s="769"/>
      <c r="DCZ108" s="769"/>
      <c r="DDA108" s="769"/>
      <c r="DDB108" s="769"/>
      <c r="DDC108" s="769"/>
      <c r="DDD108" s="769"/>
      <c r="DDE108" s="769"/>
      <c r="DDF108" s="769"/>
      <c r="DDG108" s="769"/>
      <c r="DDH108" s="769"/>
      <c r="DDI108" s="769"/>
      <c r="DDJ108" s="769"/>
      <c r="DDK108" s="769"/>
      <c r="DDL108" s="769"/>
      <c r="DDM108" s="769"/>
      <c r="DDN108" s="769"/>
      <c r="DDO108" s="769"/>
      <c r="DDP108" s="769"/>
      <c r="DDQ108" s="769"/>
      <c r="DDR108" s="769"/>
      <c r="DDS108" s="769"/>
      <c r="DDT108" s="769"/>
      <c r="DDU108" s="769"/>
      <c r="DDV108" s="769"/>
      <c r="DDW108" s="769"/>
      <c r="DDX108" s="769"/>
      <c r="DDY108" s="769"/>
      <c r="DDZ108" s="769"/>
      <c r="DEA108" s="769"/>
      <c r="DEB108" s="769"/>
      <c r="DEC108" s="769"/>
      <c r="DED108" s="769"/>
      <c r="DEE108" s="769"/>
      <c r="DEF108" s="769"/>
      <c r="DEG108" s="769"/>
      <c r="DEH108" s="769"/>
      <c r="DEI108" s="769"/>
      <c r="DEJ108" s="769"/>
      <c r="DEK108" s="769"/>
      <c r="DEL108" s="769"/>
      <c r="DEM108" s="769"/>
      <c r="DEN108" s="769"/>
      <c r="DEO108" s="769"/>
      <c r="DEP108" s="769"/>
      <c r="DEQ108" s="769"/>
      <c r="DER108" s="769"/>
      <c r="DES108" s="769"/>
      <c r="DET108" s="769"/>
      <c r="DEU108" s="769"/>
      <c r="DEV108" s="769"/>
      <c r="DEW108" s="769"/>
      <c r="DEX108" s="769"/>
      <c r="DEY108" s="769"/>
      <c r="DEZ108" s="769"/>
      <c r="DFA108" s="769"/>
      <c r="DFB108" s="769"/>
      <c r="DFC108" s="769"/>
      <c r="DFD108" s="769"/>
      <c r="DFE108" s="769"/>
      <c r="DFF108" s="769"/>
      <c r="DFG108" s="769"/>
      <c r="DFH108" s="769"/>
      <c r="DFI108" s="769"/>
      <c r="DFJ108" s="769"/>
      <c r="DFK108" s="769"/>
      <c r="DFL108" s="769"/>
      <c r="DFM108" s="769"/>
      <c r="DFN108" s="769"/>
      <c r="DFO108" s="769"/>
      <c r="DFP108" s="769"/>
      <c r="DFQ108" s="769"/>
      <c r="DFR108" s="769"/>
      <c r="DFS108" s="769"/>
      <c r="DFT108" s="769"/>
      <c r="DFU108" s="769"/>
      <c r="DFV108" s="769"/>
      <c r="DFW108" s="769"/>
      <c r="DFX108" s="769"/>
      <c r="DFY108" s="769"/>
      <c r="DFZ108" s="769"/>
      <c r="DGA108" s="769"/>
      <c r="DGB108" s="769"/>
      <c r="DGC108" s="769"/>
      <c r="DGD108" s="769"/>
      <c r="DGE108" s="769"/>
      <c r="DGF108" s="769"/>
      <c r="DGG108" s="769"/>
      <c r="DGH108" s="769"/>
      <c r="DGI108" s="769"/>
      <c r="DGJ108" s="769"/>
      <c r="DGK108" s="769"/>
      <c r="DGL108" s="769"/>
      <c r="DGM108" s="769"/>
      <c r="DGN108" s="769"/>
      <c r="DGO108" s="769"/>
      <c r="DGP108" s="769"/>
      <c r="DGQ108" s="769"/>
      <c r="DGR108" s="769"/>
      <c r="DGS108" s="769"/>
      <c r="DGT108" s="769"/>
      <c r="DGU108" s="769"/>
      <c r="DGV108" s="769"/>
      <c r="DGW108" s="769"/>
      <c r="DGX108" s="769"/>
      <c r="DGY108" s="769"/>
      <c r="DGZ108" s="769"/>
      <c r="DHA108" s="769"/>
      <c r="DHB108" s="769"/>
      <c r="DHC108" s="769"/>
      <c r="DHD108" s="769"/>
      <c r="DHE108" s="769"/>
      <c r="DHF108" s="769"/>
      <c r="DHG108" s="769"/>
      <c r="DHH108" s="769"/>
      <c r="DHI108" s="769"/>
      <c r="DHJ108" s="769"/>
      <c r="DHK108" s="769"/>
      <c r="DHL108" s="769"/>
      <c r="DHM108" s="769"/>
      <c r="DHN108" s="769"/>
      <c r="DHO108" s="769"/>
      <c r="DHP108" s="769"/>
      <c r="DHQ108" s="769"/>
      <c r="DHR108" s="769"/>
      <c r="DHS108" s="769"/>
      <c r="DHT108" s="769"/>
      <c r="DHU108" s="769"/>
      <c r="DHV108" s="769"/>
      <c r="DHW108" s="769"/>
      <c r="DHX108" s="769"/>
      <c r="DHY108" s="769"/>
      <c r="DHZ108" s="769"/>
      <c r="DIA108" s="769"/>
      <c r="DIB108" s="769"/>
      <c r="DIC108" s="769"/>
      <c r="DID108" s="769"/>
      <c r="DIE108" s="769"/>
      <c r="DIF108" s="769"/>
      <c r="DIG108" s="769"/>
      <c r="DIH108" s="769"/>
      <c r="DII108" s="769"/>
      <c r="DIJ108" s="769"/>
      <c r="DIK108" s="769"/>
      <c r="DIL108" s="769"/>
      <c r="DIM108" s="769"/>
      <c r="DIN108" s="769"/>
      <c r="DIO108" s="769"/>
      <c r="DIP108" s="769"/>
      <c r="DIQ108" s="769"/>
      <c r="DIR108" s="769"/>
      <c r="DIS108" s="769"/>
      <c r="DIT108" s="769"/>
      <c r="DIU108" s="769"/>
      <c r="DIV108" s="769"/>
      <c r="DIW108" s="769"/>
      <c r="DIX108" s="769"/>
      <c r="DIY108" s="769"/>
      <c r="DIZ108" s="769"/>
      <c r="DJA108" s="769"/>
      <c r="DJB108" s="769"/>
      <c r="DJC108" s="769"/>
      <c r="DJD108" s="769"/>
      <c r="DJE108" s="769"/>
      <c r="DJF108" s="769"/>
      <c r="DJG108" s="769"/>
      <c r="DJH108" s="769"/>
      <c r="DJI108" s="769"/>
      <c r="DJJ108" s="769"/>
      <c r="DJK108" s="769"/>
      <c r="DJL108" s="769"/>
      <c r="DJM108" s="769"/>
      <c r="DJN108" s="769"/>
      <c r="DJO108" s="769"/>
      <c r="DJP108" s="769"/>
      <c r="DJQ108" s="769"/>
      <c r="DJR108" s="769"/>
      <c r="DJS108" s="769"/>
      <c r="DJT108" s="769"/>
      <c r="DJU108" s="769"/>
      <c r="DJV108" s="769"/>
      <c r="DJW108" s="769"/>
      <c r="DJX108" s="769"/>
      <c r="DJY108" s="769"/>
      <c r="DJZ108" s="769"/>
      <c r="DKA108" s="769"/>
      <c r="DKB108" s="769"/>
      <c r="DKC108" s="769"/>
      <c r="DKD108" s="769"/>
      <c r="DKE108" s="769"/>
      <c r="DKF108" s="769"/>
      <c r="DKG108" s="769"/>
      <c r="DKH108" s="769"/>
      <c r="DKI108" s="769"/>
      <c r="DKJ108" s="769"/>
      <c r="DKK108" s="769"/>
      <c r="DKL108" s="769"/>
      <c r="DKM108" s="769"/>
      <c r="DKN108" s="769"/>
      <c r="DKO108" s="769"/>
      <c r="DKP108" s="769"/>
      <c r="DKQ108" s="769"/>
      <c r="DKR108" s="769"/>
      <c r="DKS108" s="769"/>
      <c r="DKT108" s="769"/>
      <c r="DKU108" s="769"/>
      <c r="DKV108" s="769"/>
      <c r="DKW108" s="769"/>
      <c r="DKX108" s="769"/>
      <c r="DKY108" s="769"/>
      <c r="DKZ108" s="769"/>
      <c r="DLA108" s="769"/>
      <c r="DLB108" s="769"/>
      <c r="DLC108" s="769"/>
      <c r="DLD108" s="769"/>
      <c r="DLE108" s="769"/>
      <c r="DLF108" s="769"/>
      <c r="DLG108" s="769"/>
      <c r="DLH108" s="769"/>
      <c r="DLI108" s="769"/>
      <c r="DLJ108" s="769"/>
      <c r="DLK108" s="769"/>
      <c r="DLL108" s="769"/>
      <c r="DLM108" s="769"/>
      <c r="DLN108" s="769"/>
      <c r="DLO108" s="769"/>
      <c r="DLP108" s="769"/>
      <c r="DLQ108" s="769"/>
      <c r="DLR108" s="769"/>
      <c r="DLS108" s="769"/>
      <c r="DLT108" s="769"/>
      <c r="DLU108" s="769"/>
      <c r="DLV108" s="769"/>
      <c r="DLW108" s="769"/>
      <c r="DLX108" s="769"/>
      <c r="DLY108" s="769"/>
      <c r="DLZ108" s="769"/>
      <c r="DMA108" s="769"/>
      <c r="DMB108" s="769"/>
      <c r="DMC108" s="769"/>
      <c r="DMD108" s="769"/>
      <c r="DME108" s="769"/>
      <c r="DMF108" s="769"/>
      <c r="DMG108" s="769"/>
      <c r="DMH108" s="769"/>
      <c r="DMI108" s="769"/>
      <c r="DMJ108" s="769"/>
      <c r="DMK108" s="769"/>
      <c r="DML108" s="769"/>
      <c r="DMM108" s="769"/>
      <c r="DMN108" s="769"/>
      <c r="DMO108" s="769"/>
      <c r="DMP108" s="769"/>
      <c r="DMQ108" s="769"/>
      <c r="DMR108" s="769"/>
      <c r="DMS108" s="769"/>
      <c r="DMT108" s="769"/>
      <c r="DMU108" s="769"/>
      <c r="DMV108" s="769"/>
      <c r="DMW108" s="769"/>
      <c r="DMX108" s="769"/>
      <c r="DMY108" s="769"/>
      <c r="DMZ108" s="769"/>
      <c r="DNA108" s="769"/>
      <c r="DNB108" s="769"/>
      <c r="DNC108" s="769"/>
      <c r="DND108" s="769"/>
      <c r="DNE108" s="769"/>
      <c r="DNF108" s="769"/>
      <c r="DNG108" s="769"/>
      <c r="DNH108" s="769"/>
      <c r="DNI108" s="769"/>
      <c r="DNJ108" s="769"/>
      <c r="DNK108" s="769"/>
      <c r="DNL108" s="769"/>
      <c r="DNM108" s="769"/>
      <c r="DNN108" s="769"/>
      <c r="DNO108" s="769"/>
      <c r="DNP108" s="769"/>
      <c r="DNQ108" s="769"/>
      <c r="DNR108" s="769"/>
      <c r="DNS108" s="769"/>
      <c r="DNT108" s="769"/>
      <c r="DNU108" s="769"/>
      <c r="DNV108" s="769"/>
      <c r="DNW108" s="769"/>
      <c r="DNX108" s="769"/>
      <c r="DNY108" s="769"/>
      <c r="DNZ108" s="769"/>
      <c r="DOA108" s="769"/>
      <c r="DOB108" s="769"/>
      <c r="DOC108" s="769"/>
      <c r="DOD108" s="769"/>
      <c r="DOE108" s="769"/>
      <c r="DOF108" s="769"/>
      <c r="DOG108" s="769"/>
      <c r="DOH108" s="769"/>
      <c r="DOI108" s="769"/>
      <c r="DOJ108" s="769"/>
      <c r="DOK108" s="769"/>
      <c r="DOL108" s="769"/>
      <c r="DOM108" s="769"/>
      <c r="DON108" s="769"/>
      <c r="DOO108" s="769"/>
      <c r="DOP108" s="769"/>
      <c r="DOQ108" s="769"/>
      <c r="DOR108" s="769"/>
      <c r="DOS108" s="769"/>
      <c r="DOT108" s="769"/>
      <c r="DOU108" s="769"/>
      <c r="DOV108" s="769"/>
      <c r="DOW108" s="769"/>
      <c r="DOX108" s="769"/>
      <c r="DOY108" s="769"/>
      <c r="DOZ108" s="769"/>
      <c r="DPA108" s="769"/>
      <c r="DPB108" s="769"/>
      <c r="DPC108" s="769"/>
      <c r="DPD108" s="769"/>
      <c r="DPE108" s="769"/>
      <c r="DPF108" s="769"/>
      <c r="DPG108" s="769"/>
      <c r="DPH108" s="769"/>
      <c r="DPI108" s="769"/>
      <c r="DPJ108" s="769"/>
      <c r="DPK108" s="769"/>
      <c r="DPL108" s="769"/>
      <c r="DPM108" s="769"/>
      <c r="DPN108" s="769"/>
      <c r="DPO108" s="769"/>
      <c r="DPP108" s="769"/>
      <c r="DPQ108" s="769"/>
      <c r="DPR108" s="769"/>
      <c r="DPS108" s="769"/>
      <c r="DPT108" s="769"/>
      <c r="DPU108" s="769"/>
      <c r="DPV108" s="769"/>
      <c r="DPW108" s="769"/>
      <c r="DPX108" s="769"/>
      <c r="DPY108" s="769"/>
      <c r="DPZ108" s="769"/>
      <c r="DQA108" s="769"/>
      <c r="DQB108" s="769"/>
      <c r="DQC108" s="769"/>
      <c r="DQD108" s="769"/>
      <c r="DQE108" s="769"/>
      <c r="DQF108" s="769"/>
      <c r="DQG108" s="769"/>
      <c r="DQH108" s="769"/>
      <c r="DQI108" s="769"/>
      <c r="DQJ108" s="769"/>
      <c r="DQK108" s="769"/>
      <c r="DQL108" s="769"/>
      <c r="DQM108" s="769"/>
      <c r="DQN108" s="769"/>
      <c r="DQO108" s="769"/>
      <c r="DQP108" s="769"/>
      <c r="DQQ108" s="769"/>
      <c r="DQR108" s="769"/>
      <c r="DQS108" s="769"/>
      <c r="DQT108" s="769"/>
      <c r="DQU108" s="769"/>
      <c r="DQV108" s="769"/>
      <c r="DQW108" s="769"/>
      <c r="DQX108" s="769"/>
      <c r="DQY108" s="769"/>
      <c r="DQZ108" s="769"/>
      <c r="DRA108" s="769"/>
      <c r="DRB108" s="769"/>
      <c r="DRC108" s="769"/>
      <c r="DRD108" s="769"/>
      <c r="DRE108" s="769"/>
      <c r="DRF108" s="769"/>
      <c r="DRG108" s="769"/>
      <c r="DRH108" s="769"/>
      <c r="DRI108" s="769"/>
      <c r="DRJ108" s="769"/>
      <c r="DRK108" s="769"/>
      <c r="DRL108" s="769"/>
      <c r="DRM108" s="769"/>
      <c r="DRN108" s="769"/>
      <c r="DRO108" s="769"/>
      <c r="DRP108" s="769"/>
      <c r="DRQ108" s="769"/>
      <c r="DRR108" s="769"/>
      <c r="DRS108" s="769"/>
      <c r="DRT108" s="769"/>
      <c r="DRU108" s="769"/>
      <c r="DRV108" s="769"/>
      <c r="DRW108" s="769"/>
      <c r="DRX108" s="769"/>
      <c r="DRY108" s="769"/>
      <c r="DRZ108" s="769"/>
      <c r="DSA108" s="769"/>
      <c r="DSB108" s="769"/>
      <c r="DSC108" s="769"/>
      <c r="DSD108" s="769"/>
      <c r="DSE108" s="769"/>
      <c r="DSF108" s="769"/>
      <c r="DSG108" s="769"/>
      <c r="DSH108" s="769"/>
      <c r="DSI108" s="769"/>
      <c r="DSJ108" s="769"/>
      <c r="DSK108" s="769"/>
      <c r="DSL108" s="769"/>
      <c r="DSM108" s="769"/>
      <c r="DSN108" s="769"/>
      <c r="DSO108" s="769"/>
      <c r="DSP108" s="769"/>
      <c r="DSQ108" s="769"/>
      <c r="DSR108" s="769"/>
      <c r="DSS108" s="769"/>
      <c r="DST108" s="769"/>
      <c r="DSU108" s="769"/>
      <c r="DSV108" s="769"/>
      <c r="DSW108" s="769"/>
      <c r="DSX108" s="769"/>
      <c r="DSY108" s="769"/>
      <c r="DSZ108" s="769"/>
      <c r="DTA108" s="769"/>
      <c r="DTB108" s="769"/>
      <c r="DTC108" s="769"/>
      <c r="DTD108" s="769"/>
      <c r="DTE108" s="769"/>
      <c r="DTF108" s="769"/>
      <c r="DTG108" s="769"/>
      <c r="DTH108" s="769"/>
      <c r="DTI108" s="769"/>
      <c r="DTJ108" s="769"/>
      <c r="DTK108" s="769"/>
      <c r="DTL108" s="769"/>
      <c r="DTM108" s="769"/>
      <c r="DTN108" s="769"/>
      <c r="DTO108" s="769"/>
      <c r="DTP108" s="769"/>
      <c r="DTQ108" s="769"/>
      <c r="DTR108" s="769"/>
      <c r="DTS108" s="769"/>
      <c r="DTT108" s="769"/>
      <c r="DTU108" s="769"/>
      <c r="DTV108" s="769"/>
      <c r="DTW108" s="769"/>
      <c r="DTX108" s="769"/>
      <c r="DTY108" s="769"/>
      <c r="DTZ108" s="769"/>
      <c r="DUA108" s="769"/>
      <c r="DUB108" s="769"/>
      <c r="DUC108" s="769"/>
      <c r="DUD108" s="769"/>
      <c r="DUE108" s="769"/>
      <c r="DUF108" s="769"/>
      <c r="DUG108" s="769"/>
      <c r="DUH108" s="769"/>
      <c r="DUI108" s="769"/>
      <c r="DUJ108" s="769"/>
      <c r="DUK108" s="769"/>
      <c r="DUL108" s="769"/>
      <c r="DUM108" s="769"/>
      <c r="DUN108" s="769"/>
      <c r="DUO108" s="769"/>
      <c r="DUP108" s="769"/>
      <c r="DUQ108" s="769"/>
      <c r="DUR108" s="769"/>
      <c r="DUS108" s="769"/>
      <c r="DUT108" s="769"/>
      <c r="DUU108" s="769"/>
      <c r="DUV108" s="769"/>
      <c r="DUW108" s="769"/>
      <c r="DUX108" s="769"/>
      <c r="DUY108" s="769"/>
      <c r="DUZ108" s="769"/>
      <c r="DVA108" s="769"/>
      <c r="DVB108" s="769"/>
      <c r="DVC108" s="769"/>
      <c r="DVD108" s="769"/>
      <c r="DVE108" s="769"/>
      <c r="DVF108" s="769"/>
      <c r="DVG108" s="769"/>
      <c r="DVH108" s="769"/>
      <c r="DVI108" s="769"/>
      <c r="DVJ108" s="769"/>
      <c r="DVK108" s="769"/>
      <c r="DVL108" s="769"/>
      <c r="DVM108" s="769"/>
      <c r="DVN108" s="769"/>
      <c r="DVO108" s="769"/>
      <c r="DVP108" s="769"/>
      <c r="DVQ108" s="769"/>
      <c r="DVR108" s="769"/>
      <c r="DVS108" s="769"/>
      <c r="DVT108" s="769"/>
      <c r="DVU108" s="769"/>
      <c r="DVV108" s="769"/>
      <c r="DVW108" s="769"/>
      <c r="DVX108" s="769"/>
      <c r="DVY108" s="769"/>
      <c r="DVZ108" s="769"/>
      <c r="DWA108" s="769"/>
      <c r="DWB108" s="769"/>
      <c r="DWC108" s="769"/>
      <c r="DWD108" s="769"/>
      <c r="DWE108" s="769"/>
      <c r="DWF108" s="769"/>
      <c r="DWG108" s="769"/>
      <c r="DWH108" s="769"/>
      <c r="DWI108" s="769"/>
      <c r="DWJ108" s="769"/>
      <c r="DWK108" s="769"/>
      <c r="DWL108" s="769"/>
      <c r="DWM108" s="769"/>
      <c r="DWN108" s="769"/>
      <c r="DWO108" s="769"/>
      <c r="DWP108" s="769"/>
      <c r="DWQ108" s="769"/>
      <c r="DWR108" s="769"/>
      <c r="DWS108" s="769"/>
      <c r="DWT108" s="769"/>
      <c r="DWU108" s="769"/>
      <c r="DWV108" s="769"/>
      <c r="DWW108" s="769"/>
      <c r="DWX108" s="769"/>
      <c r="DWY108" s="769"/>
      <c r="DWZ108" s="769"/>
      <c r="DXA108" s="769"/>
      <c r="DXB108" s="769"/>
      <c r="DXC108" s="769"/>
      <c r="DXD108" s="769"/>
      <c r="DXE108" s="769"/>
      <c r="DXF108" s="769"/>
      <c r="DXG108" s="769"/>
      <c r="DXH108" s="769"/>
      <c r="DXI108" s="769"/>
      <c r="DXJ108" s="769"/>
      <c r="DXK108" s="769"/>
      <c r="DXL108" s="769"/>
      <c r="DXM108" s="769"/>
      <c r="DXN108" s="769"/>
      <c r="DXO108" s="769"/>
      <c r="DXP108" s="769"/>
      <c r="DXQ108" s="769"/>
      <c r="DXR108" s="769"/>
      <c r="DXS108" s="769"/>
      <c r="DXT108" s="769"/>
      <c r="DXU108" s="769"/>
      <c r="DXV108" s="769"/>
      <c r="DXW108" s="769"/>
      <c r="DXX108" s="769"/>
      <c r="DXY108" s="769"/>
      <c r="DXZ108" s="769"/>
      <c r="DYA108" s="769"/>
      <c r="DYB108" s="769"/>
      <c r="DYC108" s="769"/>
      <c r="DYD108" s="769"/>
      <c r="DYE108" s="769"/>
      <c r="DYF108" s="769"/>
      <c r="DYG108" s="769"/>
      <c r="DYH108" s="769"/>
      <c r="DYI108" s="769"/>
      <c r="DYJ108" s="769"/>
      <c r="DYK108" s="769"/>
      <c r="DYL108" s="769"/>
      <c r="DYM108" s="769"/>
      <c r="DYN108" s="769"/>
      <c r="DYO108" s="769"/>
      <c r="DYP108" s="769"/>
      <c r="DYQ108" s="769"/>
      <c r="DYR108" s="769"/>
      <c r="DYS108" s="769"/>
      <c r="DYT108" s="769"/>
      <c r="DYU108" s="769"/>
      <c r="DYV108" s="769"/>
      <c r="DYW108" s="769"/>
      <c r="DYX108" s="769"/>
      <c r="DYY108" s="769"/>
      <c r="DYZ108" s="769"/>
      <c r="DZA108" s="769"/>
      <c r="DZB108" s="769"/>
      <c r="DZC108" s="769"/>
      <c r="DZD108" s="769"/>
      <c r="DZE108" s="769"/>
      <c r="DZF108" s="769"/>
      <c r="DZG108" s="769"/>
      <c r="DZH108" s="769"/>
      <c r="DZI108" s="769"/>
      <c r="DZJ108" s="769"/>
      <c r="DZK108" s="769"/>
      <c r="DZL108" s="769"/>
      <c r="DZM108" s="769"/>
      <c r="DZN108" s="769"/>
      <c r="DZO108" s="769"/>
      <c r="DZP108" s="769"/>
      <c r="DZQ108" s="769"/>
      <c r="DZR108" s="769"/>
      <c r="DZS108" s="769"/>
      <c r="DZT108" s="769"/>
      <c r="DZU108" s="769"/>
      <c r="DZV108" s="769"/>
      <c r="DZW108" s="769"/>
      <c r="DZX108" s="769"/>
      <c r="DZY108" s="769"/>
      <c r="DZZ108" s="769"/>
      <c r="EAA108" s="769"/>
      <c r="EAB108" s="769"/>
      <c r="EAC108" s="769"/>
      <c r="EAD108" s="769"/>
      <c r="EAE108" s="769"/>
      <c r="EAF108" s="769"/>
      <c r="EAG108" s="769"/>
      <c r="EAH108" s="769"/>
      <c r="EAI108" s="769"/>
      <c r="EAJ108" s="769"/>
      <c r="EAK108" s="769"/>
      <c r="EAL108" s="769"/>
      <c r="EAM108" s="769"/>
      <c r="EAN108" s="769"/>
      <c r="EAO108" s="769"/>
      <c r="EAP108" s="769"/>
      <c r="EAQ108" s="769"/>
      <c r="EAR108" s="769"/>
      <c r="EAS108" s="769"/>
      <c r="EAT108" s="769"/>
      <c r="EAU108" s="769"/>
      <c r="EAV108" s="769"/>
      <c r="EAW108" s="769"/>
      <c r="EAX108" s="769"/>
      <c r="EAY108" s="769"/>
      <c r="EAZ108" s="769"/>
      <c r="EBA108" s="769"/>
      <c r="EBB108" s="769"/>
      <c r="EBC108" s="769"/>
      <c r="EBD108" s="769"/>
      <c r="EBE108" s="769"/>
      <c r="EBF108" s="769"/>
      <c r="EBG108" s="769"/>
      <c r="EBH108" s="769"/>
      <c r="EBI108" s="769"/>
      <c r="EBJ108" s="769"/>
      <c r="EBK108" s="769"/>
      <c r="EBL108" s="769"/>
      <c r="EBM108" s="769"/>
      <c r="EBN108" s="769"/>
      <c r="EBO108" s="769"/>
      <c r="EBP108" s="769"/>
      <c r="EBQ108" s="769"/>
      <c r="EBR108" s="769"/>
      <c r="EBS108" s="769"/>
      <c r="EBT108" s="769"/>
      <c r="EBU108" s="769"/>
      <c r="EBV108" s="769"/>
      <c r="EBW108" s="769"/>
      <c r="EBX108" s="769"/>
      <c r="EBY108" s="769"/>
      <c r="EBZ108" s="769"/>
      <c r="ECA108" s="769"/>
      <c r="ECB108" s="769"/>
      <c r="ECC108" s="769"/>
      <c r="ECD108" s="769"/>
      <c r="ECE108" s="769"/>
      <c r="ECF108" s="769"/>
      <c r="ECG108" s="769"/>
      <c r="ECH108" s="769"/>
      <c r="ECI108" s="769"/>
      <c r="ECJ108" s="769"/>
      <c r="ECK108" s="769"/>
      <c r="ECL108" s="769"/>
      <c r="ECM108" s="769"/>
      <c r="ECN108" s="769"/>
      <c r="ECO108" s="769"/>
      <c r="ECP108" s="769"/>
      <c r="ECQ108" s="769"/>
      <c r="ECR108" s="769"/>
      <c r="ECS108" s="769"/>
      <c r="ECT108" s="769"/>
      <c r="ECU108" s="769"/>
      <c r="ECV108" s="769"/>
      <c r="ECW108" s="769"/>
      <c r="ECX108" s="769"/>
      <c r="ECY108" s="769"/>
      <c r="ECZ108" s="769"/>
      <c r="EDA108" s="769"/>
      <c r="EDB108" s="769"/>
      <c r="EDC108" s="769"/>
      <c r="EDD108" s="769"/>
      <c r="EDE108" s="769"/>
      <c r="EDF108" s="769"/>
      <c r="EDG108" s="769"/>
      <c r="EDH108" s="769"/>
      <c r="EDI108" s="769"/>
      <c r="EDJ108" s="769"/>
      <c r="EDK108" s="769"/>
      <c r="EDL108" s="769"/>
      <c r="EDM108" s="769"/>
      <c r="EDN108" s="769"/>
      <c r="EDO108" s="769"/>
      <c r="EDP108" s="769"/>
      <c r="EDQ108" s="769"/>
      <c r="EDR108" s="769"/>
      <c r="EDS108" s="769"/>
      <c r="EDT108" s="769"/>
      <c r="EDU108" s="769"/>
      <c r="EDV108" s="769"/>
      <c r="EDW108" s="769"/>
      <c r="EDX108" s="769"/>
      <c r="EDY108" s="769"/>
      <c r="EDZ108" s="769"/>
      <c r="EEA108" s="769"/>
      <c r="EEB108" s="769"/>
      <c r="EEC108" s="769"/>
      <c r="EED108" s="769"/>
      <c r="EEE108" s="769"/>
      <c r="EEF108" s="769"/>
      <c r="EEG108" s="769"/>
      <c r="EEH108" s="769"/>
      <c r="EEI108" s="769"/>
      <c r="EEJ108" s="769"/>
      <c r="EEK108" s="769"/>
      <c r="EEL108" s="769"/>
      <c r="EEM108" s="769"/>
      <c r="EEN108" s="769"/>
      <c r="EEO108" s="769"/>
      <c r="EEP108" s="769"/>
      <c r="EEQ108" s="769"/>
      <c r="EER108" s="769"/>
      <c r="EES108" s="769"/>
      <c r="EET108" s="769"/>
      <c r="EEU108" s="769"/>
      <c r="EEV108" s="769"/>
      <c r="EEW108" s="769"/>
      <c r="EEX108" s="769"/>
      <c r="EEY108" s="769"/>
      <c r="EEZ108" s="769"/>
      <c r="EFA108" s="769"/>
      <c r="EFB108" s="769"/>
      <c r="EFC108" s="769"/>
      <c r="EFD108" s="769"/>
      <c r="EFE108" s="769"/>
      <c r="EFF108" s="769"/>
      <c r="EFG108" s="769"/>
      <c r="EFH108" s="769"/>
      <c r="EFI108" s="769"/>
      <c r="EFJ108" s="769"/>
      <c r="EFK108" s="769"/>
      <c r="EFL108" s="769"/>
      <c r="EFM108" s="769"/>
      <c r="EFN108" s="769"/>
      <c r="EFO108" s="769"/>
      <c r="EFP108" s="769"/>
      <c r="EFQ108" s="769"/>
      <c r="EFR108" s="769"/>
      <c r="EFS108" s="769"/>
      <c r="EFT108" s="769"/>
      <c r="EFU108" s="769"/>
      <c r="EFV108" s="769"/>
      <c r="EFW108" s="769"/>
      <c r="EFX108" s="769"/>
      <c r="EFY108" s="769"/>
      <c r="EFZ108" s="769"/>
      <c r="EGA108" s="769"/>
      <c r="EGB108" s="769"/>
      <c r="EGC108" s="769"/>
      <c r="EGD108" s="769"/>
      <c r="EGE108" s="769"/>
      <c r="EGF108" s="769"/>
      <c r="EGG108" s="769"/>
      <c r="EGH108" s="769"/>
      <c r="EGI108" s="769"/>
      <c r="EGJ108" s="769"/>
      <c r="EGK108" s="769"/>
      <c r="EGL108" s="769"/>
      <c r="EGM108" s="769"/>
      <c r="EGN108" s="769"/>
      <c r="EGO108" s="769"/>
      <c r="EGP108" s="769"/>
      <c r="EGQ108" s="769"/>
      <c r="EGR108" s="769"/>
      <c r="EGS108" s="769"/>
      <c r="EGT108" s="769"/>
      <c r="EGU108" s="769"/>
      <c r="EGV108" s="769"/>
      <c r="EGW108" s="769"/>
      <c r="EGX108" s="769"/>
      <c r="EGY108" s="769"/>
      <c r="EGZ108" s="769"/>
      <c r="EHA108" s="769"/>
      <c r="EHB108" s="769"/>
      <c r="EHC108" s="769"/>
      <c r="EHD108" s="769"/>
      <c r="EHE108" s="769"/>
      <c r="EHF108" s="769"/>
      <c r="EHG108" s="769"/>
      <c r="EHH108" s="769"/>
      <c r="EHI108" s="769"/>
      <c r="EHJ108" s="769"/>
      <c r="EHK108" s="769"/>
      <c r="EHL108" s="769"/>
      <c r="EHM108" s="769"/>
      <c r="EHN108" s="769"/>
      <c r="EHO108" s="769"/>
      <c r="EHP108" s="769"/>
      <c r="EHQ108" s="769"/>
      <c r="EHR108" s="769"/>
      <c r="EHS108" s="769"/>
      <c r="EHT108" s="769"/>
      <c r="EHU108" s="769"/>
      <c r="EHV108" s="769"/>
      <c r="EHW108" s="769"/>
      <c r="EHX108" s="769"/>
      <c r="EHY108" s="769"/>
      <c r="EHZ108" s="769"/>
      <c r="EIA108" s="769"/>
      <c r="EIB108" s="769"/>
      <c r="EIC108" s="769"/>
      <c r="EID108" s="769"/>
      <c r="EIE108" s="769"/>
      <c r="EIF108" s="769"/>
      <c r="EIG108" s="769"/>
      <c r="EIH108" s="769"/>
      <c r="EII108" s="769"/>
      <c r="EIJ108" s="769"/>
      <c r="EIK108" s="769"/>
      <c r="EIL108" s="769"/>
      <c r="EIM108" s="769"/>
      <c r="EIN108" s="769"/>
      <c r="EIO108" s="769"/>
      <c r="EIP108" s="769"/>
      <c r="EIQ108" s="769"/>
      <c r="EIR108" s="769"/>
      <c r="EIS108" s="769"/>
      <c r="EIT108" s="769"/>
      <c r="EIU108" s="769"/>
      <c r="EIV108" s="769"/>
      <c r="EIW108" s="769"/>
      <c r="EIX108" s="769"/>
      <c r="EIY108" s="769"/>
      <c r="EIZ108" s="769"/>
      <c r="EJA108" s="769"/>
      <c r="EJB108" s="769"/>
      <c r="EJC108" s="769"/>
      <c r="EJD108" s="769"/>
      <c r="EJE108" s="769"/>
      <c r="EJF108" s="769"/>
      <c r="EJG108" s="769"/>
      <c r="EJH108" s="769"/>
      <c r="EJI108" s="769"/>
      <c r="EJJ108" s="769"/>
      <c r="EJK108" s="769"/>
      <c r="EJL108" s="769"/>
      <c r="EJM108" s="769"/>
      <c r="EJN108" s="769"/>
      <c r="EJO108" s="769"/>
      <c r="EJP108" s="769"/>
      <c r="EJQ108" s="769"/>
      <c r="EJR108" s="769"/>
      <c r="EJS108" s="769"/>
      <c r="EJT108" s="769"/>
      <c r="EJU108" s="769"/>
      <c r="EJV108" s="769"/>
      <c r="EJW108" s="769"/>
      <c r="EJX108" s="769"/>
      <c r="EJY108" s="769"/>
      <c r="EJZ108" s="769"/>
      <c r="EKA108" s="769"/>
      <c r="EKB108" s="769"/>
      <c r="EKC108" s="769"/>
      <c r="EKD108" s="769"/>
      <c r="EKE108" s="769"/>
      <c r="EKF108" s="769"/>
      <c r="EKG108" s="769"/>
      <c r="EKH108" s="769"/>
      <c r="EKI108" s="769"/>
      <c r="EKJ108" s="769"/>
      <c r="EKK108" s="769"/>
      <c r="EKL108" s="769"/>
      <c r="EKM108" s="769"/>
      <c r="EKN108" s="769"/>
      <c r="EKO108" s="769"/>
      <c r="EKP108" s="769"/>
      <c r="EKQ108" s="769"/>
      <c r="EKR108" s="769"/>
      <c r="EKS108" s="769"/>
      <c r="EKT108" s="769"/>
      <c r="EKU108" s="769"/>
      <c r="EKV108" s="769"/>
      <c r="EKW108" s="769"/>
      <c r="EKX108" s="769"/>
      <c r="EKY108" s="769"/>
      <c r="EKZ108" s="769"/>
      <c r="ELA108" s="769"/>
      <c r="ELB108" s="769"/>
      <c r="ELC108" s="769"/>
      <c r="ELD108" s="769"/>
      <c r="ELE108" s="769"/>
      <c r="ELF108" s="769"/>
      <c r="ELG108" s="769"/>
      <c r="ELH108" s="769"/>
      <c r="ELI108" s="769"/>
      <c r="ELJ108" s="769"/>
      <c r="ELK108" s="769"/>
      <c r="ELL108" s="769"/>
      <c r="ELM108" s="769"/>
      <c r="ELN108" s="769"/>
      <c r="ELO108" s="769"/>
      <c r="ELP108" s="769"/>
      <c r="ELQ108" s="769"/>
      <c r="ELR108" s="769"/>
      <c r="ELS108" s="769"/>
      <c r="ELT108" s="769"/>
      <c r="ELU108" s="769"/>
      <c r="ELV108" s="769"/>
      <c r="ELW108" s="769"/>
      <c r="ELX108" s="769"/>
      <c r="ELY108" s="769"/>
      <c r="ELZ108" s="769"/>
      <c r="EMA108" s="769"/>
      <c r="EMB108" s="769"/>
      <c r="EMC108" s="769"/>
      <c r="EMD108" s="769"/>
      <c r="EME108" s="769"/>
      <c r="EMF108" s="769"/>
      <c r="EMG108" s="769"/>
      <c r="EMH108" s="769"/>
      <c r="EMI108" s="769"/>
      <c r="EMJ108" s="769"/>
      <c r="EMK108" s="769"/>
      <c r="EML108" s="769"/>
      <c r="EMM108" s="769"/>
      <c r="EMN108" s="769"/>
      <c r="EMO108" s="769"/>
      <c r="EMP108" s="769"/>
      <c r="EMQ108" s="769"/>
      <c r="EMR108" s="769"/>
      <c r="EMS108" s="769"/>
      <c r="EMT108" s="769"/>
      <c r="EMU108" s="769"/>
      <c r="EMV108" s="769"/>
      <c r="EMW108" s="769"/>
      <c r="EMX108" s="769"/>
      <c r="EMY108" s="769"/>
      <c r="EMZ108" s="769"/>
      <c r="ENA108" s="769"/>
      <c r="ENB108" s="769"/>
      <c r="ENC108" s="769"/>
      <c r="END108" s="769"/>
      <c r="ENE108" s="769"/>
      <c r="ENF108" s="769"/>
      <c r="ENG108" s="769"/>
      <c r="ENH108" s="769"/>
      <c r="ENI108" s="769"/>
      <c r="ENJ108" s="769"/>
      <c r="ENK108" s="769"/>
      <c r="ENL108" s="769"/>
      <c r="ENM108" s="769"/>
      <c r="ENN108" s="769"/>
      <c r="ENO108" s="769"/>
      <c r="ENP108" s="769"/>
      <c r="ENQ108" s="769"/>
      <c r="ENR108" s="769"/>
      <c r="ENS108" s="769"/>
      <c r="ENT108" s="769"/>
      <c r="ENU108" s="769"/>
      <c r="ENV108" s="769"/>
      <c r="ENW108" s="769"/>
      <c r="ENX108" s="769"/>
      <c r="ENY108" s="769"/>
      <c r="ENZ108" s="769"/>
      <c r="EOA108" s="769"/>
      <c r="EOB108" s="769"/>
      <c r="EOC108" s="769"/>
      <c r="EOD108" s="769"/>
      <c r="EOE108" s="769"/>
      <c r="EOF108" s="769"/>
      <c r="EOG108" s="769"/>
      <c r="EOH108" s="769"/>
      <c r="EOI108" s="769"/>
      <c r="EOJ108" s="769"/>
      <c r="EOK108" s="769"/>
      <c r="EOL108" s="769"/>
      <c r="EOM108" s="769"/>
      <c r="EON108" s="769"/>
      <c r="EOO108" s="769"/>
      <c r="EOP108" s="769"/>
      <c r="EOQ108" s="769"/>
      <c r="EOR108" s="769"/>
      <c r="EOS108" s="769"/>
      <c r="EOT108" s="769"/>
      <c r="EOU108" s="769"/>
      <c r="EOV108" s="769"/>
      <c r="EOW108" s="769"/>
      <c r="EOX108" s="769"/>
      <c r="EOY108" s="769"/>
      <c r="EOZ108" s="769"/>
      <c r="EPA108" s="769"/>
      <c r="EPB108" s="769"/>
      <c r="EPC108" s="769"/>
      <c r="EPD108" s="769"/>
      <c r="EPE108" s="769"/>
      <c r="EPF108" s="769"/>
      <c r="EPG108" s="769"/>
      <c r="EPH108" s="769"/>
      <c r="EPI108" s="769"/>
      <c r="EPJ108" s="769"/>
      <c r="EPK108" s="769"/>
      <c r="EPL108" s="769"/>
      <c r="EPM108" s="769"/>
      <c r="EPN108" s="769"/>
      <c r="EPO108" s="769"/>
      <c r="EPP108" s="769"/>
      <c r="EPQ108" s="769"/>
      <c r="EPR108" s="769"/>
      <c r="EPS108" s="769"/>
      <c r="EPT108" s="769"/>
      <c r="EPU108" s="769"/>
      <c r="EPV108" s="769"/>
      <c r="EPW108" s="769"/>
      <c r="EPX108" s="769"/>
      <c r="EPY108" s="769"/>
      <c r="EPZ108" s="769"/>
      <c r="EQA108" s="769"/>
      <c r="EQB108" s="769"/>
      <c r="EQC108" s="769"/>
      <c r="EQD108" s="769"/>
      <c r="EQE108" s="769"/>
      <c r="EQF108" s="769"/>
      <c r="EQG108" s="769"/>
      <c r="EQH108" s="769"/>
      <c r="EQI108" s="769"/>
      <c r="EQJ108" s="769"/>
      <c r="EQK108" s="769"/>
      <c r="EQL108" s="769"/>
      <c r="EQM108" s="769"/>
      <c r="EQN108" s="769"/>
      <c r="EQO108" s="769"/>
      <c r="EQP108" s="769"/>
      <c r="EQQ108" s="769"/>
      <c r="EQR108" s="769"/>
      <c r="EQS108" s="769"/>
      <c r="EQT108" s="769"/>
      <c r="EQU108" s="769"/>
      <c r="EQV108" s="769"/>
      <c r="EQW108" s="769"/>
      <c r="EQX108" s="769"/>
      <c r="EQY108" s="769"/>
      <c r="EQZ108" s="769"/>
      <c r="ERA108" s="769"/>
      <c r="ERB108" s="769"/>
      <c r="ERC108" s="769"/>
      <c r="ERD108" s="769"/>
      <c r="ERE108" s="769"/>
      <c r="ERF108" s="769"/>
      <c r="ERG108" s="769"/>
      <c r="ERH108" s="769"/>
      <c r="ERI108" s="769"/>
      <c r="ERJ108" s="769"/>
      <c r="ERK108" s="769"/>
      <c r="ERL108" s="769"/>
      <c r="ERM108" s="769"/>
      <c r="ERN108" s="769"/>
      <c r="ERO108" s="769"/>
      <c r="ERP108" s="769"/>
      <c r="ERQ108" s="769"/>
      <c r="ERR108" s="769"/>
      <c r="ERS108" s="769"/>
      <c r="ERT108" s="769"/>
      <c r="ERU108" s="769"/>
      <c r="ERV108" s="769"/>
      <c r="ERW108" s="769"/>
      <c r="ERX108" s="769"/>
      <c r="ERY108" s="769"/>
      <c r="ERZ108" s="769"/>
      <c r="ESA108" s="769"/>
      <c r="ESB108" s="769"/>
      <c r="ESC108" s="769"/>
      <c r="ESD108" s="769"/>
      <c r="ESE108" s="769"/>
      <c r="ESF108" s="769"/>
      <c r="ESG108" s="769"/>
      <c r="ESH108" s="769"/>
      <c r="ESI108" s="769"/>
      <c r="ESJ108" s="769"/>
      <c r="ESK108" s="769"/>
      <c r="ESL108" s="769"/>
      <c r="ESM108" s="769"/>
      <c r="ESN108" s="769"/>
      <c r="ESO108" s="769"/>
      <c r="ESP108" s="769"/>
      <c r="ESQ108" s="769"/>
      <c r="ESR108" s="769"/>
      <c r="ESS108" s="769"/>
      <c r="EST108" s="769"/>
      <c r="ESU108" s="769"/>
      <c r="ESV108" s="769"/>
      <c r="ESW108" s="769"/>
      <c r="ESX108" s="769"/>
      <c r="ESY108" s="769"/>
      <c r="ESZ108" s="769"/>
      <c r="ETA108" s="769"/>
      <c r="ETB108" s="769"/>
      <c r="ETC108" s="769"/>
      <c r="ETD108" s="769"/>
      <c r="ETE108" s="769"/>
      <c r="ETF108" s="769"/>
      <c r="ETG108" s="769"/>
      <c r="ETH108" s="769"/>
      <c r="ETI108" s="769"/>
      <c r="ETJ108" s="769"/>
      <c r="ETK108" s="769"/>
      <c r="ETL108" s="769"/>
      <c r="ETM108" s="769"/>
      <c r="ETN108" s="769"/>
      <c r="ETO108" s="769"/>
      <c r="ETP108" s="769"/>
      <c r="ETQ108" s="769"/>
      <c r="ETR108" s="769"/>
      <c r="ETS108" s="769"/>
      <c r="ETT108" s="769"/>
      <c r="ETU108" s="769"/>
      <c r="ETV108" s="769"/>
      <c r="ETW108" s="769"/>
      <c r="ETX108" s="769"/>
      <c r="ETY108" s="769"/>
      <c r="ETZ108" s="769"/>
      <c r="EUA108" s="769"/>
      <c r="EUB108" s="769"/>
      <c r="EUC108" s="769"/>
      <c r="EUD108" s="769"/>
      <c r="EUE108" s="769"/>
      <c r="EUF108" s="769"/>
      <c r="EUG108" s="769"/>
      <c r="EUH108" s="769"/>
      <c r="EUI108" s="769"/>
      <c r="EUJ108" s="769"/>
      <c r="EUK108" s="769"/>
      <c r="EUL108" s="769"/>
      <c r="EUM108" s="769"/>
      <c r="EUN108" s="769"/>
      <c r="EUO108" s="769"/>
      <c r="EUP108" s="769"/>
      <c r="EUQ108" s="769"/>
      <c r="EUR108" s="769"/>
      <c r="EUS108" s="769"/>
      <c r="EUT108" s="769"/>
      <c r="EUU108" s="769"/>
      <c r="EUV108" s="769"/>
      <c r="EUW108" s="769"/>
      <c r="EUX108" s="769"/>
      <c r="EUY108" s="769"/>
      <c r="EUZ108" s="769"/>
      <c r="EVA108" s="769"/>
      <c r="EVB108" s="769"/>
      <c r="EVC108" s="769"/>
      <c r="EVD108" s="769"/>
      <c r="EVE108" s="769"/>
      <c r="EVF108" s="769"/>
      <c r="EVG108" s="769"/>
      <c r="EVH108" s="769"/>
      <c r="EVI108" s="769"/>
      <c r="EVJ108" s="769"/>
      <c r="EVK108" s="769"/>
      <c r="EVL108" s="769"/>
      <c r="EVM108" s="769"/>
      <c r="EVN108" s="769"/>
      <c r="EVO108" s="769"/>
      <c r="EVP108" s="769"/>
      <c r="EVQ108" s="769"/>
      <c r="EVR108" s="769"/>
      <c r="EVS108" s="769"/>
      <c r="EVT108" s="769"/>
      <c r="EVU108" s="769"/>
      <c r="EVV108" s="769"/>
      <c r="EVW108" s="769"/>
      <c r="EVX108" s="769"/>
      <c r="EVY108" s="769"/>
      <c r="EVZ108" s="769"/>
      <c r="EWA108" s="769"/>
      <c r="EWB108" s="769"/>
      <c r="EWC108" s="769"/>
      <c r="EWD108" s="769"/>
      <c r="EWE108" s="769"/>
      <c r="EWF108" s="769"/>
      <c r="EWG108" s="769"/>
      <c r="EWH108" s="769"/>
      <c r="EWI108" s="769"/>
      <c r="EWJ108" s="769"/>
      <c r="EWK108" s="769"/>
      <c r="EWL108" s="769"/>
      <c r="EWM108" s="769"/>
      <c r="EWN108" s="769"/>
      <c r="EWO108" s="769"/>
      <c r="EWP108" s="769"/>
      <c r="EWQ108" s="769"/>
      <c r="EWR108" s="769"/>
      <c r="EWS108" s="769"/>
      <c r="EWT108" s="769"/>
      <c r="EWU108" s="769"/>
      <c r="EWV108" s="769"/>
      <c r="EWW108" s="769"/>
      <c r="EWX108" s="769"/>
      <c r="EWY108" s="769"/>
      <c r="EWZ108" s="769"/>
      <c r="EXA108" s="769"/>
      <c r="EXB108" s="769"/>
      <c r="EXC108" s="769"/>
      <c r="EXD108" s="769"/>
      <c r="EXE108" s="769"/>
      <c r="EXF108" s="769"/>
      <c r="EXG108" s="769"/>
      <c r="EXH108" s="769"/>
      <c r="EXI108" s="769"/>
      <c r="EXJ108" s="769"/>
      <c r="EXK108" s="769"/>
      <c r="EXL108" s="769"/>
      <c r="EXM108" s="769"/>
      <c r="EXN108" s="769"/>
      <c r="EXO108" s="769"/>
      <c r="EXP108" s="769"/>
      <c r="EXQ108" s="769"/>
      <c r="EXR108" s="769"/>
      <c r="EXS108" s="769"/>
      <c r="EXT108" s="769"/>
      <c r="EXU108" s="769"/>
      <c r="EXV108" s="769"/>
      <c r="EXW108" s="769"/>
      <c r="EXX108" s="769"/>
      <c r="EXY108" s="769"/>
      <c r="EXZ108" s="769"/>
      <c r="EYA108" s="769"/>
      <c r="EYB108" s="769"/>
      <c r="EYC108" s="769"/>
      <c r="EYD108" s="769"/>
      <c r="EYE108" s="769"/>
      <c r="EYF108" s="769"/>
      <c r="EYG108" s="769"/>
      <c r="EYH108" s="769"/>
      <c r="EYI108" s="769"/>
      <c r="EYJ108" s="769"/>
      <c r="EYK108" s="769"/>
      <c r="EYL108" s="769"/>
      <c r="EYM108" s="769"/>
      <c r="EYN108" s="769"/>
      <c r="EYO108" s="769"/>
      <c r="EYP108" s="769"/>
      <c r="EYQ108" s="769"/>
      <c r="EYR108" s="769"/>
      <c r="EYS108" s="769"/>
      <c r="EYT108" s="769"/>
      <c r="EYU108" s="769"/>
      <c r="EYV108" s="769"/>
      <c r="EYW108" s="769"/>
      <c r="EYX108" s="769"/>
      <c r="EYY108" s="769"/>
      <c r="EYZ108" s="769"/>
      <c r="EZA108" s="769"/>
      <c r="EZB108" s="769"/>
      <c r="EZC108" s="769"/>
      <c r="EZD108" s="769"/>
      <c r="EZE108" s="769"/>
      <c r="EZF108" s="769"/>
      <c r="EZG108" s="769"/>
      <c r="EZH108" s="769"/>
      <c r="EZI108" s="769"/>
      <c r="EZJ108" s="769"/>
      <c r="EZK108" s="769"/>
      <c r="EZL108" s="769"/>
      <c r="EZM108" s="769"/>
      <c r="EZN108" s="769"/>
      <c r="EZO108" s="769"/>
      <c r="EZP108" s="769"/>
      <c r="EZQ108" s="769"/>
      <c r="EZR108" s="769"/>
      <c r="EZS108" s="769"/>
      <c r="EZT108" s="769"/>
      <c r="EZU108" s="769"/>
      <c r="EZV108" s="769"/>
      <c r="EZW108" s="769"/>
      <c r="EZX108" s="769"/>
      <c r="EZY108" s="769"/>
      <c r="EZZ108" s="769"/>
      <c r="FAA108" s="769"/>
      <c r="FAB108" s="769"/>
      <c r="FAC108" s="769"/>
      <c r="FAD108" s="769"/>
      <c r="FAE108" s="769"/>
      <c r="FAF108" s="769"/>
      <c r="FAG108" s="769"/>
      <c r="FAH108" s="769"/>
      <c r="FAI108" s="769"/>
      <c r="FAJ108" s="769"/>
      <c r="FAK108" s="769"/>
      <c r="FAL108" s="769"/>
      <c r="FAM108" s="769"/>
      <c r="FAN108" s="769"/>
      <c r="FAO108" s="769"/>
      <c r="FAP108" s="769"/>
      <c r="FAQ108" s="769"/>
      <c r="FAR108" s="769"/>
      <c r="FAS108" s="769"/>
      <c r="FAT108" s="769"/>
      <c r="FAU108" s="769"/>
      <c r="FAV108" s="769"/>
      <c r="FAW108" s="769"/>
      <c r="FAX108" s="769"/>
      <c r="FAY108" s="769"/>
      <c r="FAZ108" s="769"/>
      <c r="FBA108" s="769"/>
      <c r="FBB108" s="769"/>
      <c r="FBC108" s="769"/>
      <c r="FBD108" s="769"/>
      <c r="FBE108" s="769"/>
      <c r="FBF108" s="769"/>
      <c r="FBG108" s="769"/>
      <c r="FBH108" s="769"/>
      <c r="FBI108" s="769"/>
      <c r="FBJ108" s="769"/>
      <c r="FBK108" s="769"/>
      <c r="FBL108" s="769"/>
      <c r="FBM108" s="769"/>
      <c r="FBN108" s="769"/>
      <c r="FBO108" s="769"/>
      <c r="FBP108" s="769"/>
      <c r="FBQ108" s="769"/>
      <c r="FBR108" s="769"/>
      <c r="FBS108" s="769"/>
      <c r="FBT108" s="769"/>
      <c r="FBU108" s="769"/>
      <c r="FBV108" s="769"/>
      <c r="FBW108" s="769"/>
      <c r="FBX108" s="769"/>
      <c r="FBY108" s="769"/>
      <c r="FBZ108" s="769"/>
      <c r="FCA108" s="769"/>
      <c r="FCB108" s="769"/>
      <c r="FCC108" s="769"/>
      <c r="FCD108" s="769"/>
      <c r="FCE108" s="769"/>
      <c r="FCF108" s="769"/>
      <c r="FCG108" s="769"/>
      <c r="FCH108" s="769"/>
      <c r="FCI108" s="769"/>
      <c r="FCJ108" s="769"/>
      <c r="FCK108" s="769"/>
      <c r="FCL108" s="769"/>
      <c r="FCM108" s="769"/>
      <c r="FCN108" s="769"/>
      <c r="FCO108" s="769"/>
      <c r="FCP108" s="769"/>
      <c r="FCQ108" s="769"/>
      <c r="FCR108" s="769"/>
      <c r="FCS108" s="769"/>
      <c r="FCT108" s="769"/>
      <c r="FCU108" s="769"/>
      <c r="FCV108" s="769"/>
      <c r="FCW108" s="769"/>
      <c r="FCX108" s="769"/>
      <c r="FCY108" s="769"/>
      <c r="FCZ108" s="769"/>
      <c r="FDA108" s="769"/>
      <c r="FDB108" s="769"/>
      <c r="FDC108" s="769"/>
      <c r="FDD108" s="769"/>
      <c r="FDE108" s="769"/>
      <c r="FDF108" s="769"/>
      <c r="FDG108" s="769"/>
      <c r="FDH108" s="769"/>
      <c r="FDI108" s="769"/>
      <c r="FDJ108" s="769"/>
      <c r="FDK108" s="769"/>
      <c r="FDL108" s="769"/>
      <c r="FDM108" s="769"/>
      <c r="FDN108" s="769"/>
      <c r="FDO108" s="769"/>
      <c r="FDP108" s="769"/>
      <c r="FDQ108" s="769"/>
      <c r="FDR108" s="769"/>
      <c r="FDS108" s="769"/>
      <c r="FDT108" s="769"/>
      <c r="FDU108" s="769"/>
      <c r="FDV108" s="769"/>
      <c r="FDW108" s="769"/>
      <c r="FDX108" s="769"/>
      <c r="FDY108" s="769"/>
      <c r="FDZ108" s="769"/>
      <c r="FEA108" s="769"/>
      <c r="FEB108" s="769"/>
      <c r="FEC108" s="769"/>
      <c r="FED108" s="769"/>
      <c r="FEE108" s="769"/>
      <c r="FEF108" s="769"/>
      <c r="FEG108" s="769"/>
      <c r="FEH108" s="769"/>
      <c r="FEI108" s="769"/>
      <c r="FEJ108" s="769"/>
      <c r="FEK108" s="769"/>
      <c r="FEL108" s="769"/>
      <c r="FEM108" s="769"/>
      <c r="FEN108" s="769"/>
      <c r="FEO108" s="769"/>
      <c r="FEP108" s="769"/>
      <c r="FEQ108" s="769"/>
      <c r="FER108" s="769"/>
      <c r="FES108" s="769"/>
      <c r="FET108" s="769"/>
      <c r="FEU108" s="769"/>
      <c r="FEV108" s="769"/>
      <c r="FEW108" s="769"/>
      <c r="FEX108" s="769"/>
      <c r="FEY108" s="769"/>
      <c r="FEZ108" s="769"/>
      <c r="FFA108" s="769"/>
      <c r="FFB108" s="769"/>
      <c r="FFC108" s="769"/>
      <c r="FFD108" s="769"/>
      <c r="FFE108" s="769"/>
      <c r="FFF108" s="769"/>
      <c r="FFG108" s="769"/>
      <c r="FFH108" s="769"/>
      <c r="FFI108" s="769"/>
      <c r="FFJ108" s="769"/>
      <c r="FFK108" s="769"/>
      <c r="FFL108" s="769"/>
      <c r="FFM108" s="769"/>
      <c r="FFN108" s="769"/>
      <c r="FFO108" s="769"/>
      <c r="FFP108" s="769"/>
      <c r="FFQ108" s="769"/>
      <c r="FFR108" s="769"/>
      <c r="FFS108" s="769"/>
      <c r="FFT108" s="769"/>
      <c r="FFU108" s="769"/>
      <c r="FFV108" s="769"/>
      <c r="FFW108" s="769"/>
      <c r="FFX108" s="769"/>
      <c r="FFY108" s="769"/>
      <c r="FFZ108" s="769"/>
      <c r="FGA108" s="769"/>
      <c r="FGB108" s="769"/>
      <c r="FGC108" s="769"/>
      <c r="FGD108" s="769"/>
      <c r="FGE108" s="769"/>
      <c r="FGF108" s="769"/>
      <c r="FGG108" s="769"/>
      <c r="FGH108" s="769"/>
      <c r="FGI108" s="769"/>
      <c r="FGJ108" s="769"/>
      <c r="FGK108" s="769"/>
      <c r="FGL108" s="769"/>
      <c r="FGM108" s="769"/>
      <c r="FGN108" s="769"/>
      <c r="FGO108" s="769"/>
      <c r="FGP108" s="769"/>
      <c r="FGQ108" s="769"/>
      <c r="FGR108" s="769"/>
      <c r="FGS108" s="769"/>
      <c r="FGT108" s="769"/>
      <c r="FGU108" s="769"/>
      <c r="FGV108" s="769"/>
      <c r="FGW108" s="769"/>
      <c r="FGX108" s="769"/>
      <c r="FGY108" s="769"/>
      <c r="FGZ108" s="769"/>
      <c r="FHA108" s="769"/>
      <c r="FHB108" s="769"/>
      <c r="FHC108" s="769"/>
      <c r="FHD108" s="769"/>
      <c r="FHE108" s="769"/>
      <c r="FHF108" s="769"/>
      <c r="FHG108" s="769"/>
      <c r="FHH108" s="769"/>
      <c r="FHI108" s="769"/>
      <c r="FHJ108" s="769"/>
      <c r="FHK108" s="769"/>
      <c r="FHL108" s="769"/>
      <c r="FHM108" s="769"/>
      <c r="FHN108" s="769"/>
      <c r="FHO108" s="769"/>
      <c r="FHP108" s="769"/>
      <c r="FHQ108" s="769"/>
      <c r="FHR108" s="769"/>
      <c r="FHS108" s="769"/>
      <c r="FHT108" s="769"/>
      <c r="FHU108" s="769"/>
      <c r="FHV108" s="769"/>
      <c r="FHW108" s="769"/>
      <c r="FHX108" s="769"/>
      <c r="FHY108" s="769"/>
      <c r="FHZ108" s="769"/>
      <c r="FIA108" s="769"/>
      <c r="FIB108" s="769"/>
      <c r="FIC108" s="769"/>
      <c r="FID108" s="769"/>
      <c r="FIE108" s="769"/>
      <c r="FIF108" s="769"/>
      <c r="FIG108" s="769"/>
      <c r="FIH108" s="769"/>
      <c r="FII108" s="769"/>
      <c r="FIJ108" s="769"/>
      <c r="FIK108" s="769"/>
      <c r="FIL108" s="769"/>
      <c r="FIM108" s="769"/>
      <c r="FIN108" s="769"/>
      <c r="FIO108" s="769"/>
      <c r="FIP108" s="769"/>
      <c r="FIQ108" s="769"/>
      <c r="FIR108" s="769"/>
      <c r="FIS108" s="769"/>
      <c r="FIT108" s="769"/>
      <c r="FIU108" s="769"/>
      <c r="FIV108" s="769"/>
      <c r="FIW108" s="769"/>
      <c r="FIX108" s="769"/>
      <c r="FIY108" s="769"/>
      <c r="FIZ108" s="769"/>
      <c r="FJA108" s="769"/>
      <c r="FJB108" s="769"/>
      <c r="FJC108" s="769"/>
      <c r="FJD108" s="769"/>
      <c r="FJE108" s="769"/>
      <c r="FJF108" s="769"/>
      <c r="FJG108" s="769"/>
      <c r="FJH108" s="769"/>
      <c r="FJI108" s="769"/>
      <c r="FJJ108" s="769"/>
      <c r="FJK108" s="769"/>
      <c r="FJL108" s="769"/>
      <c r="FJM108" s="769"/>
      <c r="FJN108" s="769"/>
      <c r="FJO108" s="769"/>
      <c r="FJP108" s="769"/>
      <c r="FJQ108" s="769"/>
      <c r="FJR108" s="769"/>
      <c r="FJS108" s="769"/>
      <c r="FJT108" s="769"/>
      <c r="FJU108" s="769"/>
      <c r="FJV108" s="769"/>
      <c r="FJW108" s="769"/>
      <c r="FJX108" s="769"/>
      <c r="FJY108" s="769"/>
      <c r="FJZ108" s="769"/>
      <c r="FKA108" s="769"/>
      <c r="FKB108" s="769"/>
      <c r="FKC108" s="769"/>
      <c r="FKD108" s="769"/>
      <c r="FKE108" s="769"/>
      <c r="FKF108" s="769"/>
      <c r="FKG108" s="769"/>
      <c r="FKH108" s="769"/>
      <c r="FKI108" s="769"/>
      <c r="FKJ108" s="769"/>
      <c r="FKK108" s="769"/>
      <c r="FKL108" s="769"/>
      <c r="FKM108" s="769"/>
      <c r="FKN108" s="769"/>
      <c r="FKO108" s="769"/>
      <c r="FKP108" s="769"/>
      <c r="FKQ108" s="769"/>
      <c r="FKR108" s="769"/>
      <c r="FKS108" s="769"/>
      <c r="FKT108" s="769"/>
      <c r="FKU108" s="769"/>
      <c r="FKV108" s="769"/>
      <c r="FKW108" s="769"/>
      <c r="FKX108" s="769"/>
      <c r="FKY108" s="769"/>
      <c r="FKZ108" s="769"/>
      <c r="FLA108" s="769"/>
      <c r="FLB108" s="769"/>
      <c r="FLC108" s="769"/>
      <c r="FLD108" s="769"/>
      <c r="FLE108" s="769"/>
      <c r="FLF108" s="769"/>
      <c r="FLG108" s="769"/>
      <c r="FLH108" s="769"/>
      <c r="FLI108" s="769"/>
      <c r="FLJ108" s="769"/>
      <c r="FLK108" s="769"/>
      <c r="FLL108" s="769"/>
      <c r="FLM108" s="769"/>
      <c r="FLN108" s="769"/>
      <c r="FLO108" s="769"/>
      <c r="FLP108" s="769"/>
      <c r="FLQ108" s="769"/>
      <c r="FLR108" s="769"/>
      <c r="FLS108" s="769"/>
      <c r="FLT108" s="769"/>
      <c r="FLU108" s="769"/>
      <c r="FLV108" s="769"/>
      <c r="FLW108" s="769"/>
      <c r="FLX108" s="769"/>
      <c r="FLY108" s="769"/>
      <c r="FLZ108" s="769"/>
      <c r="FMA108" s="769"/>
      <c r="FMB108" s="769"/>
      <c r="FMC108" s="769"/>
      <c r="FMD108" s="769"/>
      <c r="FME108" s="769"/>
      <c r="FMF108" s="769"/>
      <c r="FMG108" s="769"/>
      <c r="FMH108" s="769"/>
      <c r="FMI108" s="769"/>
      <c r="FMJ108" s="769"/>
      <c r="FMK108" s="769"/>
      <c r="FML108" s="769"/>
      <c r="FMM108" s="769"/>
      <c r="FMN108" s="769"/>
      <c r="FMO108" s="769"/>
      <c r="FMP108" s="769"/>
      <c r="FMQ108" s="769"/>
      <c r="FMR108" s="769"/>
      <c r="FMS108" s="769"/>
      <c r="FMT108" s="769"/>
      <c r="FMU108" s="769"/>
      <c r="FMV108" s="769"/>
      <c r="FMW108" s="769"/>
      <c r="FMX108" s="769"/>
      <c r="FMY108" s="769"/>
      <c r="FMZ108" s="769"/>
      <c r="FNA108" s="769"/>
      <c r="FNB108" s="769"/>
      <c r="FNC108" s="769"/>
      <c r="FND108" s="769"/>
      <c r="FNE108" s="769"/>
      <c r="FNF108" s="769"/>
      <c r="FNG108" s="769"/>
      <c r="FNH108" s="769"/>
      <c r="FNI108" s="769"/>
      <c r="FNJ108" s="769"/>
      <c r="FNK108" s="769"/>
      <c r="FNL108" s="769"/>
      <c r="FNM108" s="769"/>
      <c r="FNN108" s="769"/>
      <c r="FNO108" s="769"/>
      <c r="FNP108" s="769"/>
      <c r="FNQ108" s="769"/>
      <c r="FNR108" s="769"/>
      <c r="FNS108" s="769"/>
      <c r="FNT108" s="769"/>
      <c r="FNU108" s="769"/>
      <c r="FNV108" s="769"/>
      <c r="FNW108" s="769"/>
      <c r="FNX108" s="769"/>
      <c r="FNY108" s="769"/>
      <c r="FNZ108" s="769"/>
      <c r="FOA108" s="769"/>
      <c r="FOB108" s="769"/>
      <c r="FOC108" s="769"/>
      <c r="FOD108" s="769"/>
      <c r="FOE108" s="769"/>
      <c r="FOF108" s="769"/>
      <c r="FOG108" s="769"/>
      <c r="FOH108" s="769"/>
      <c r="FOI108" s="769"/>
      <c r="FOJ108" s="769"/>
      <c r="FOK108" s="769"/>
      <c r="FOL108" s="769"/>
      <c r="FOM108" s="769"/>
      <c r="FON108" s="769"/>
      <c r="FOO108" s="769"/>
      <c r="FOP108" s="769"/>
      <c r="FOQ108" s="769"/>
      <c r="FOR108" s="769"/>
      <c r="FOS108" s="769"/>
      <c r="FOT108" s="769"/>
      <c r="FOU108" s="769"/>
      <c r="FOV108" s="769"/>
      <c r="FOW108" s="769"/>
      <c r="FOX108" s="769"/>
      <c r="FOY108" s="769"/>
      <c r="FOZ108" s="769"/>
      <c r="FPA108" s="769"/>
      <c r="FPB108" s="769"/>
      <c r="FPC108" s="769"/>
      <c r="FPD108" s="769"/>
      <c r="FPE108" s="769"/>
      <c r="FPF108" s="769"/>
      <c r="FPG108" s="769"/>
      <c r="FPH108" s="769"/>
      <c r="FPI108" s="769"/>
      <c r="FPJ108" s="769"/>
      <c r="FPK108" s="769"/>
      <c r="FPL108" s="769"/>
      <c r="FPM108" s="769"/>
      <c r="FPN108" s="769"/>
      <c r="FPO108" s="769"/>
      <c r="FPP108" s="769"/>
      <c r="FPQ108" s="769"/>
      <c r="FPR108" s="769"/>
      <c r="FPS108" s="769"/>
      <c r="FPT108" s="769"/>
      <c r="FPU108" s="769"/>
      <c r="FPV108" s="769"/>
      <c r="FPW108" s="769"/>
      <c r="FPX108" s="769"/>
      <c r="FPY108" s="769"/>
      <c r="FPZ108" s="769"/>
      <c r="FQA108" s="769"/>
      <c r="FQB108" s="769"/>
      <c r="FQC108" s="769"/>
      <c r="FQD108" s="769"/>
      <c r="FQE108" s="769"/>
      <c r="FQF108" s="769"/>
      <c r="FQG108" s="769"/>
      <c r="FQH108" s="769"/>
      <c r="FQI108" s="769"/>
      <c r="FQJ108" s="769"/>
      <c r="FQK108" s="769"/>
      <c r="FQL108" s="769"/>
      <c r="FQM108" s="769"/>
      <c r="FQN108" s="769"/>
      <c r="FQO108" s="769"/>
      <c r="FQP108" s="769"/>
      <c r="FQQ108" s="769"/>
      <c r="FQR108" s="769"/>
      <c r="FQS108" s="769"/>
      <c r="FQT108" s="769"/>
      <c r="FQU108" s="769"/>
      <c r="FQV108" s="769"/>
      <c r="FQW108" s="769"/>
      <c r="FQX108" s="769"/>
      <c r="FQY108" s="769"/>
      <c r="FQZ108" s="769"/>
      <c r="FRA108" s="769"/>
      <c r="FRB108" s="769"/>
      <c r="FRC108" s="769"/>
      <c r="FRD108" s="769"/>
      <c r="FRE108" s="769"/>
      <c r="FRF108" s="769"/>
      <c r="FRG108" s="769"/>
      <c r="FRH108" s="769"/>
      <c r="FRI108" s="769"/>
      <c r="FRJ108" s="769"/>
      <c r="FRK108" s="769"/>
      <c r="FRL108" s="769"/>
      <c r="FRM108" s="769"/>
      <c r="FRN108" s="769"/>
      <c r="FRO108" s="769"/>
      <c r="FRP108" s="769"/>
      <c r="FRQ108" s="769"/>
      <c r="FRR108" s="769"/>
      <c r="FRS108" s="769"/>
      <c r="FRT108" s="769"/>
      <c r="FRU108" s="769"/>
      <c r="FRV108" s="769"/>
      <c r="FRW108" s="769"/>
      <c r="FRX108" s="769"/>
      <c r="FRY108" s="769"/>
      <c r="FRZ108" s="769"/>
      <c r="FSA108" s="769"/>
      <c r="FSB108" s="769"/>
      <c r="FSC108" s="769"/>
      <c r="FSD108" s="769"/>
      <c r="FSE108" s="769"/>
      <c r="FSF108" s="769"/>
      <c r="FSG108" s="769"/>
      <c r="FSH108" s="769"/>
      <c r="FSI108" s="769"/>
      <c r="FSJ108" s="769"/>
      <c r="FSK108" s="769"/>
      <c r="FSL108" s="769"/>
      <c r="FSM108" s="769"/>
      <c r="FSN108" s="769"/>
      <c r="FSO108" s="769"/>
      <c r="FSP108" s="769"/>
      <c r="FSQ108" s="769"/>
      <c r="FSR108" s="769"/>
      <c r="FSS108" s="769"/>
      <c r="FST108" s="769"/>
      <c r="FSU108" s="769"/>
      <c r="FSV108" s="769"/>
      <c r="FSW108" s="769"/>
      <c r="FSX108" s="769"/>
      <c r="FSY108" s="769"/>
      <c r="FSZ108" s="769"/>
      <c r="FTA108" s="769"/>
      <c r="FTB108" s="769"/>
      <c r="FTC108" s="769"/>
      <c r="FTD108" s="769"/>
      <c r="FTE108" s="769"/>
      <c r="FTF108" s="769"/>
      <c r="FTG108" s="769"/>
      <c r="FTH108" s="769"/>
      <c r="FTI108" s="769"/>
      <c r="FTJ108" s="769"/>
      <c r="FTK108" s="769"/>
      <c r="FTL108" s="769"/>
      <c r="FTM108" s="769"/>
      <c r="FTN108" s="769"/>
      <c r="FTO108" s="769"/>
      <c r="FTP108" s="769"/>
      <c r="FTQ108" s="769"/>
      <c r="FTR108" s="769"/>
      <c r="FTS108" s="769"/>
      <c r="FTT108" s="769"/>
      <c r="FTU108" s="769"/>
      <c r="FTV108" s="769"/>
      <c r="FTW108" s="769"/>
      <c r="FTX108" s="769"/>
      <c r="FTY108" s="769"/>
      <c r="FTZ108" s="769"/>
      <c r="FUA108" s="769"/>
      <c r="FUB108" s="769"/>
      <c r="FUC108" s="769"/>
      <c r="FUD108" s="769"/>
      <c r="FUE108" s="769"/>
      <c r="FUF108" s="769"/>
      <c r="FUG108" s="769"/>
      <c r="FUH108" s="769"/>
      <c r="FUI108" s="769"/>
      <c r="FUJ108" s="769"/>
      <c r="FUK108" s="769"/>
      <c r="FUL108" s="769"/>
      <c r="FUM108" s="769"/>
      <c r="FUN108" s="769"/>
      <c r="FUO108" s="769"/>
      <c r="FUP108" s="769"/>
      <c r="FUQ108" s="769"/>
      <c r="FUR108" s="769"/>
      <c r="FUS108" s="769"/>
      <c r="FUT108" s="769"/>
      <c r="FUU108" s="769"/>
      <c r="FUV108" s="769"/>
      <c r="FUW108" s="769"/>
      <c r="FUX108" s="769"/>
      <c r="FUY108" s="769"/>
      <c r="FUZ108" s="769"/>
      <c r="FVA108" s="769"/>
      <c r="FVB108" s="769"/>
      <c r="FVC108" s="769"/>
      <c r="FVD108" s="769"/>
      <c r="FVE108" s="769"/>
      <c r="FVF108" s="769"/>
      <c r="FVG108" s="769"/>
      <c r="FVH108" s="769"/>
      <c r="FVI108" s="769"/>
      <c r="FVJ108" s="769"/>
      <c r="FVK108" s="769"/>
      <c r="FVL108" s="769"/>
      <c r="FVM108" s="769"/>
      <c r="FVN108" s="769"/>
      <c r="FVO108" s="769"/>
      <c r="FVP108" s="769"/>
      <c r="FVQ108" s="769"/>
      <c r="FVR108" s="769"/>
      <c r="FVS108" s="769"/>
      <c r="FVT108" s="769"/>
      <c r="FVU108" s="769"/>
      <c r="FVV108" s="769"/>
      <c r="FVW108" s="769"/>
      <c r="FVX108" s="769"/>
      <c r="FVY108" s="769"/>
      <c r="FVZ108" s="769"/>
      <c r="FWA108" s="769"/>
      <c r="FWB108" s="769"/>
      <c r="FWC108" s="769"/>
      <c r="FWD108" s="769"/>
      <c r="FWE108" s="769"/>
      <c r="FWF108" s="769"/>
      <c r="FWG108" s="769"/>
      <c r="FWH108" s="769"/>
      <c r="FWI108" s="769"/>
      <c r="FWJ108" s="769"/>
      <c r="FWK108" s="769"/>
      <c r="FWL108" s="769"/>
      <c r="FWM108" s="769"/>
      <c r="FWN108" s="769"/>
      <c r="FWO108" s="769"/>
      <c r="FWP108" s="769"/>
      <c r="FWQ108" s="769"/>
      <c r="FWR108" s="769"/>
      <c r="FWS108" s="769"/>
      <c r="FWT108" s="769"/>
      <c r="FWU108" s="769"/>
      <c r="FWV108" s="769"/>
      <c r="FWW108" s="769"/>
      <c r="FWX108" s="769"/>
      <c r="FWY108" s="769"/>
      <c r="FWZ108" s="769"/>
      <c r="FXA108" s="769"/>
      <c r="FXB108" s="769"/>
      <c r="FXC108" s="769"/>
      <c r="FXD108" s="769"/>
      <c r="FXE108" s="769"/>
      <c r="FXF108" s="769"/>
      <c r="FXG108" s="769"/>
      <c r="FXH108" s="769"/>
      <c r="FXI108" s="769"/>
      <c r="FXJ108" s="769"/>
      <c r="FXK108" s="769"/>
      <c r="FXL108" s="769"/>
      <c r="FXM108" s="769"/>
      <c r="FXN108" s="769"/>
      <c r="FXO108" s="769"/>
      <c r="FXP108" s="769"/>
      <c r="FXQ108" s="769"/>
      <c r="FXR108" s="769"/>
      <c r="FXS108" s="769"/>
      <c r="FXT108" s="769"/>
      <c r="FXU108" s="769"/>
      <c r="FXV108" s="769"/>
      <c r="FXW108" s="769"/>
      <c r="FXX108" s="769"/>
      <c r="FXY108" s="769"/>
      <c r="FXZ108" s="769"/>
      <c r="FYA108" s="769"/>
      <c r="FYB108" s="769"/>
      <c r="FYC108" s="769"/>
      <c r="FYD108" s="769"/>
      <c r="FYE108" s="769"/>
      <c r="FYF108" s="769"/>
      <c r="FYG108" s="769"/>
      <c r="FYH108" s="769"/>
      <c r="FYI108" s="769"/>
      <c r="FYJ108" s="769"/>
      <c r="FYK108" s="769"/>
      <c r="FYL108" s="769"/>
      <c r="FYM108" s="769"/>
      <c r="FYN108" s="769"/>
      <c r="FYO108" s="769"/>
      <c r="FYP108" s="769"/>
      <c r="FYQ108" s="769"/>
      <c r="FYR108" s="769"/>
      <c r="FYS108" s="769"/>
      <c r="FYT108" s="769"/>
      <c r="FYU108" s="769"/>
      <c r="FYV108" s="769"/>
      <c r="FYW108" s="769"/>
      <c r="FYX108" s="769"/>
      <c r="FYY108" s="769"/>
      <c r="FYZ108" s="769"/>
      <c r="FZA108" s="769"/>
      <c r="FZB108" s="769"/>
      <c r="FZC108" s="769"/>
      <c r="FZD108" s="769"/>
      <c r="FZE108" s="769"/>
      <c r="FZF108" s="769"/>
      <c r="FZG108" s="769"/>
      <c r="FZH108" s="769"/>
      <c r="FZI108" s="769"/>
      <c r="FZJ108" s="769"/>
      <c r="FZK108" s="769"/>
      <c r="FZL108" s="769"/>
      <c r="FZM108" s="769"/>
      <c r="FZN108" s="769"/>
      <c r="FZO108" s="769"/>
      <c r="FZP108" s="769"/>
      <c r="FZQ108" s="769"/>
      <c r="FZR108" s="769"/>
      <c r="FZS108" s="769"/>
      <c r="FZT108" s="769"/>
      <c r="FZU108" s="769"/>
      <c r="FZV108" s="769"/>
      <c r="FZW108" s="769"/>
      <c r="FZX108" s="769"/>
      <c r="FZY108" s="769"/>
      <c r="FZZ108" s="769"/>
      <c r="GAA108" s="769"/>
      <c r="GAB108" s="769"/>
      <c r="GAC108" s="769"/>
      <c r="GAD108" s="769"/>
      <c r="GAE108" s="769"/>
      <c r="GAF108" s="769"/>
      <c r="GAG108" s="769"/>
      <c r="GAH108" s="769"/>
      <c r="GAI108" s="769"/>
      <c r="GAJ108" s="769"/>
      <c r="GAK108" s="769"/>
      <c r="GAL108" s="769"/>
      <c r="GAM108" s="769"/>
      <c r="GAN108" s="769"/>
      <c r="GAO108" s="769"/>
      <c r="GAP108" s="769"/>
      <c r="GAQ108" s="769"/>
      <c r="GAR108" s="769"/>
      <c r="GAS108" s="769"/>
      <c r="GAT108" s="769"/>
      <c r="GAU108" s="769"/>
      <c r="GAV108" s="769"/>
      <c r="GAW108" s="769"/>
      <c r="GAX108" s="769"/>
      <c r="GAY108" s="769"/>
      <c r="GAZ108" s="769"/>
      <c r="GBA108" s="769"/>
      <c r="GBB108" s="769"/>
      <c r="GBC108" s="769"/>
      <c r="GBD108" s="769"/>
      <c r="GBE108" s="769"/>
      <c r="GBF108" s="769"/>
      <c r="GBG108" s="769"/>
      <c r="GBH108" s="769"/>
      <c r="GBI108" s="769"/>
      <c r="GBJ108" s="769"/>
      <c r="GBK108" s="769"/>
      <c r="GBL108" s="769"/>
      <c r="GBM108" s="769"/>
      <c r="GBN108" s="769"/>
      <c r="GBO108" s="769"/>
      <c r="GBP108" s="769"/>
      <c r="GBQ108" s="769"/>
      <c r="GBR108" s="769"/>
      <c r="GBS108" s="769"/>
      <c r="GBT108" s="769"/>
      <c r="GBU108" s="769"/>
      <c r="GBV108" s="769"/>
      <c r="GBW108" s="769"/>
      <c r="GBX108" s="769"/>
      <c r="GBY108" s="769"/>
      <c r="GBZ108" s="769"/>
      <c r="GCA108" s="769"/>
      <c r="GCB108" s="769"/>
      <c r="GCC108" s="769"/>
      <c r="GCD108" s="769"/>
      <c r="GCE108" s="769"/>
      <c r="GCF108" s="769"/>
      <c r="GCG108" s="769"/>
      <c r="GCH108" s="769"/>
      <c r="GCI108" s="769"/>
      <c r="GCJ108" s="769"/>
      <c r="GCK108" s="769"/>
      <c r="GCL108" s="769"/>
      <c r="GCM108" s="769"/>
      <c r="GCN108" s="769"/>
      <c r="GCO108" s="769"/>
      <c r="GCP108" s="769"/>
      <c r="GCQ108" s="769"/>
      <c r="GCR108" s="769"/>
      <c r="GCS108" s="769"/>
      <c r="GCT108" s="769"/>
      <c r="GCU108" s="769"/>
      <c r="GCV108" s="769"/>
      <c r="GCW108" s="769"/>
      <c r="GCX108" s="769"/>
      <c r="GCY108" s="769"/>
      <c r="GCZ108" s="769"/>
      <c r="GDA108" s="769"/>
      <c r="GDB108" s="769"/>
      <c r="GDC108" s="769"/>
      <c r="GDD108" s="769"/>
      <c r="GDE108" s="769"/>
      <c r="GDF108" s="769"/>
      <c r="GDG108" s="769"/>
      <c r="GDH108" s="769"/>
      <c r="GDI108" s="769"/>
      <c r="GDJ108" s="769"/>
      <c r="GDK108" s="769"/>
      <c r="GDL108" s="769"/>
      <c r="GDM108" s="769"/>
      <c r="GDN108" s="769"/>
      <c r="GDO108" s="769"/>
      <c r="GDP108" s="769"/>
      <c r="GDQ108" s="769"/>
      <c r="GDR108" s="769"/>
      <c r="GDS108" s="769"/>
      <c r="GDT108" s="769"/>
      <c r="GDU108" s="769"/>
      <c r="GDV108" s="769"/>
      <c r="GDW108" s="769"/>
      <c r="GDX108" s="769"/>
      <c r="GDY108" s="769"/>
      <c r="GDZ108" s="769"/>
      <c r="GEA108" s="769"/>
      <c r="GEB108" s="769"/>
      <c r="GEC108" s="769"/>
      <c r="GED108" s="769"/>
      <c r="GEE108" s="769"/>
      <c r="GEF108" s="769"/>
      <c r="GEG108" s="769"/>
      <c r="GEH108" s="769"/>
      <c r="GEI108" s="769"/>
      <c r="GEJ108" s="769"/>
      <c r="GEK108" s="769"/>
      <c r="GEL108" s="769"/>
      <c r="GEM108" s="769"/>
      <c r="GEN108" s="769"/>
      <c r="GEO108" s="769"/>
      <c r="GEP108" s="769"/>
      <c r="GEQ108" s="769"/>
      <c r="GER108" s="769"/>
      <c r="GES108" s="769"/>
      <c r="GET108" s="769"/>
      <c r="GEU108" s="769"/>
      <c r="GEV108" s="769"/>
      <c r="GEW108" s="769"/>
      <c r="GEX108" s="769"/>
      <c r="GEY108" s="769"/>
      <c r="GEZ108" s="769"/>
      <c r="GFA108" s="769"/>
      <c r="GFB108" s="769"/>
      <c r="GFC108" s="769"/>
      <c r="GFD108" s="769"/>
      <c r="GFE108" s="769"/>
      <c r="GFF108" s="769"/>
      <c r="GFG108" s="769"/>
      <c r="GFH108" s="769"/>
      <c r="GFI108" s="769"/>
      <c r="GFJ108" s="769"/>
      <c r="GFK108" s="769"/>
      <c r="GFL108" s="769"/>
      <c r="GFM108" s="769"/>
      <c r="GFN108" s="769"/>
      <c r="GFO108" s="769"/>
      <c r="GFP108" s="769"/>
      <c r="GFQ108" s="769"/>
      <c r="GFR108" s="769"/>
      <c r="GFS108" s="769"/>
      <c r="GFT108" s="769"/>
      <c r="GFU108" s="769"/>
      <c r="GFV108" s="769"/>
      <c r="GFW108" s="769"/>
      <c r="GFX108" s="769"/>
      <c r="GFY108" s="769"/>
      <c r="GFZ108" s="769"/>
      <c r="GGA108" s="769"/>
      <c r="GGB108" s="769"/>
      <c r="GGC108" s="769"/>
      <c r="GGD108" s="769"/>
      <c r="GGE108" s="769"/>
      <c r="GGF108" s="769"/>
      <c r="GGG108" s="769"/>
      <c r="GGH108" s="769"/>
      <c r="GGI108" s="769"/>
      <c r="GGJ108" s="769"/>
      <c r="GGK108" s="769"/>
      <c r="GGL108" s="769"/>
      <c r="GGM108" s="769"/>
      <c r="GGN108" s="769"/>
      <c r="GGO108" s="769"/>
      <c r="GGP108" s="769"/>
      <c r="GGQ108" s="769"/>
      <c r="GGR108" s="769"/>
      <c r="GGS108" s="769"/>
      <c r="GGT108" s="769"/>
      <c r="GGU108" s="769"/>
      <c r="GGV108" s="769"/>
      <c r="GGW108" s="769"/>
      <c r="GGX108" s="769"/>
      <c r="GGY108" s="769"/>
      <c r="GGZ108" s="769"/>
      <c r="GHA108" s="769"/>
      <c r="GHB108" s="769"/>
      <c r="GHC108" s="769"/>
      <c r="GHD108" s="769"/>
      <c r="GHE108" s="769"/>
      <c r="GHF108" s="769"/>
      <c r="GHG108" s="769"/>
      <c r="GHH108" s="769"/>
      <c r="GHI108" s="769"/>
      <c r="GHJ108" s="769"/>
      <c r="GHK108" s="769"/>
      <c r="GHL108" s="769"/>
      <c r="GHM108" s="769"/>
      <c r="GHN108" s="769"/>
      <c r="GHO108" s="769"/>
      <c r="GHP108" s="769"/>
      <c r="GHQ108" s="769"/>
      <c r="GHR108" s="769"/>
      <c r="GHS108" s="769"/>
      <c r="GHT108" s="769"/>
      <c r="GHU108" s="769"/>
      <c r="GHV108" s="769"/>
      <c r="GHW108" s="769"/>
      <c r="GHX108" s="769"/>
      <c r="GHY108" s="769"/>
      <c r="GHZ108" s="769"/>
      <c r="GIA108" s="769"/>
      <c r="GIB108" s="769"/>
      <c r="GIC108" s="769"/>
      <c r="GID108" s="769"/>
      <c r="GIE108" s="769"/>
      <c r="GIF108" s="769"/>
      <c r="GIG108" s="769"/>
      <c r="GIH108" s="769"/>
      <c r="GII108" s="769"/>
      <c r="GIJ108" s="769"/>
      <c r="GIK108" s="769"/>
      <c r="GIL108" s="769"/>
      <c r="GIM108" s="769"/>
      <c r="GIN108" s="769"/>
      <c r="GIO108" s="769"/>
      <c r="GIP108" s="769"/>
      <c r="GIQ108" s="769"/>
      <c r="GIR108" s="769"/>
      <c r="GIS108" s="769"/>
      <c r="GIT108" s="769"/>
      <c r="GIU108" s="769"/>
      <c r="GIV108" s="769"/>
      <c r="GIW108" s="769"/>
      <c r="GIX108" s="769"/>
      <c r="GIY108" s="769"/>
      <c r="GIZ108" s="769"/>
      <c r="GJA108" s="769"/>
      <c r="GJB108" s="769"/>
      <c r="GJC108" s="769"/>
      <c r="GJD108" s="769"/>
      <c r="GJE108" s="769"/>
      <c r="GJF108" s="769"/>
      <c r="GJG108" s="769"/>
      <c r="GJH108" s="769"/>
      <c r="GJI108" s="769"/>
      <c r="GJJ108" s="769"/>
      <c r="GJK108" s="769"/>
      <c r="GJL108" s="769"/>
      <c r="GJM108" s="769"/>
      <c r="GJN108" s="769"/>
      <c r="GJO108" s="769"/>
      <c r="GJP108" s="769"/>
      <c r="GJQ108" s="769"/>
      <c r="GJR108" s="769"/>
      <c r="GJS108" s="769"/>
      <c r="GJT108" s="769"/>
      <c r="GJU108" s="769"/>
      <c r="GJV108" s="769"/>
      <c r="GJW108" s="769"/>
      <c r="GJX108" s="769"/>
      <c r="GJY108" s="769"/>
      <c r="GJZ108" s="769"/>
      <c r="GKA108" s="769"/>
      <c r="GKB108" s="769"/>
      <c r="GKC108" s="769"/>
      <c r="GKD108" s="769"/>
      <c r="GKE108" s="769"/>
      <c r="GKF108" s="769"/>
      <c r="GKG108" s="769"/>
      <c r="GKH108" s="769"/>
      <c r="GKI108" s="769"/>
      <c r="GKJ108" s="769"/>
      <c r="GKK108" s="769"/>
      <c r="GKL108" s="769"/>
      <c r="GKM108" s="769"/>
      <c r="GKN108" s="769"/>
      <c r="GKO108" s="769"/>
      <c r="GKP108" s="769"/>
      <c r="GKQ108" s="769"/>
      <c r="GKR108" s="769"/>
      <c r="GKS108" s="769"/>
      <c r="GKT108" s="769"/>
      <c r="GKU108" s="769"/>
      <c r="GKV108" s="769"/>
      <c r="GKW108" s="769"/>
      <c r="GKX108" s="769"/>
      <c r="GKY108" s="769"/>
      <c r="GKZ108" s="769"/>
      <c r="GLA108" s="769"/>
      <c r="GLB108" s="769"/>
      <c r="GLC108" s="769"/>
      <c r="GLD108" s="769"/>
      <c r="GLE108" s="769"/>
      <c r="GLF108" s="769"/>
      <c r="GLG108" s="769"/>
      <c r="GLH108" s="769"/>
      <c r="GLI108" s="769"/>
      <c r="GLJ108" s="769"/>
      <c r="GLK108" s="769"/>
      <c r="GLL108" s="769"/>
      <c r="GLM108" s="769"/>
      <c r="GLN108" s="769"/>
      <c r="GLO108" s="769"/>
      <c r="GLP108" s="769"/>
      <c r="GLQ108" s="769"/>
      <c r="GLR108" s="769"/>
      <c r="GLS108" s="769"/>
      <c r="GLT108" s="769"/>
      <c r="GLU108" s="769"/>
      <c r="GLV108" s="769"/>
      <c r="GLW108" s="769"/>
      <c r="GLX108" s="769"/>
      <c r="GLY108" s="769"/>
      <c r="GLZ108" s="769"/>
      <c r="GMA108" s="769"/>
      <c r="GMB108" s="769"/>
      <c r="GMC108" s="769"/>
      <c r="GMD108" s="769"/>
      <c r="GME108" s="769"/>
      <c r="GMF108" s="769"/>
      <c r="GMG108" s="769"/>
      <c r="GMH108" s="769"/>
      <c r="GMI108" s="769"/>
      <c r="GMJ108" s="769"/>
      <c r="GMK108" s="769"/>
      <c r="GML108" s="769"/>
      <c r="GMM108" s="769"/>
      <c r="GMN108" s="769"/>
      <c r="GMO108" s="769"/>
      <c r="GMP108" s="769"/>
      <c r="GMQ108" s="769"/>
      <c r="GMR108" s="769"/>
      <c r="GMS108" s="769"/>
      <c r="GMT108" s="769"/>
      <c r="GMU108" s="769"/>
      <c r="GMV108" s="769"/>
      <c r="GMW108" s="769"/>
      <c r="GMX108" s="769"/>
      <c r="GMY108" s="769"/>
      <c r="GMZ108" s="769"/>
      <c r="GNA108" s="769"/>
      <c r="GNB108" s="769"/>
      <c r="GNC108" s="769"/>
      <c r="GND108" s="769"/>
      <c r="GNE108" s="769"/>
      <c r="GNF108" s="769"/>
      <c r="GNG108" s="769"/>
      <c r="GNH108" s="769"/>
      <c r="GNI108" s="769"/>
      <c r="GNJ108" s="769"/>
      <c r="GNK108" s="769"/>
      <c r="GNL108" s="769"/>
      <c r="GNM108" s="769"/>
      <c r="GNN108" s="769"/>
      <c r="GNO108" s="769"/>
      <c r="GNP108" s="769"/>
      <c r="GNQ108" s="769"/>
      <c r="GNR108" s="769"/>
      <c r="GNS108" s="769"/>
      <c r="GNT108" s="769"/>
      <c r="GNU108" s="769"/>
      <c r="GNV108" s="769"/>
      <c r="GNW108" s="769"/>
      <c r="GNX108" s="769"/>
      <c r="GNY108" s="769"/>
      <c r="GNZ108" s="769"/>
      <c r="GOA108" s="769"/>
      <c r="GOB108" s="769"/>
      <c r="GOC108" s="769"/>
      <c r="GOD108" s="769"/>
      <c r="GOE108" s="769"/>
      <c r="GOF108" s="769"/>
      <c r="GOG108" s="769"/>
      <c r="GOH108" s="769"/>
      <c r="GOI108" s="769"/>
      <c r="GOJ108" s="769"/>
      <c r="GOK108" s="769"/>
      <c r="GOL108" s="769"/>
      <c r="GOM108" s="769"/>
      <c r="GON108" s="769"/>
      <c r="GOO108" s="769"/>
      <c r="GOP108" s="769"/>
      <c r="GOQ108" s="769"/>
      <c r="GOR108" s="769"/>
      <c r="GOS108" s="769"/>
      <c r="GOT108" s="769"/>
      <c r="GOU108" s="769"/>
      <c r="GOV108" s="769"/>
      <c r="GOW108" s="769"/>
      <c r="GOX108" s="769"/>
      <c r="GOY108" s="769"/>
      <c r="GOZ108" s="769"/>
      <c r="GPA108" s="769"/>
      <c r="GPB108" s="769"/>
      <c r="GPC108" s="769"/>
      <c r="GPD108" s="769"/>
      <c r="GPE108" s="769"/>
      <c r="GPF108" s="769"/>
      <c r="GPG108" s="769"/>
      <c r="GPH108" s="769"/>
      <c r="GPI108" s="769"/>
      <c r="GPJ108" s="769"/>
      <c r="GPK108" s="769"/>
      <c r="GPL108" s="769"/>
      <c r="GPM108" s="769"/>
      <c r="GPN108" s="769"/>
      <c r="GPO108" s="769"/>
      <c r="GPP108" s="769"/>
      <c r="GPQ108" s="769"/>
      <c r="GPR108" s="769"/>
      <c r="GPS108" s="769"/>
      <c r="GPT108" s="769"/>
      <c r="GPU108" s="769"/>
      <c r="GPV108" s="769"/>
      <c r="GPW108" s="769"/>
      <c r="GPX108" s="769"/>
      <c r="GPY108" s="769"/>
      <c r="GPZ108" s="769"/>
      <c r="GQA108" s="769"/>
      <c r="GQB108" s="769"/>
      <c r="GQC108" s="769"/>
      <c r="GQD108" s="769"/>
      <c r="GQE108" s="769"/>
      <c r="GQF108" s="769"/>
      <c r="GQG108" s="769"/>
      <c r="GQH108" s="769"/>
      <c r="GQI108" s="769"/>
      <c r="GQJ108" s="769"/>
      <c r="GQK108" s="769"/>
      <c r="GQL108" s="769"/>
      <c r="GQM108" s="769"/>
      <c r="GQN108" s="769"/>
      <c r="GQO108" s="769"/>
      <c r="GQP108" s="769"/>
      <c r="GQQ108" s="769"/>
      <c r="GQR108" s="769"/>
      <c r="GQS108" s="769"/>
      <c r="GQT108" s="769"/>
      <c r="GQU108" s="769"/>
      <c r="GQV108" s="769"/>
      <c r="GQW108" s="769"/>
      <c r="GQX108" s="769"/>
      <c r="GQY108" s="769"/>
      <c r="GQZ108" s="769"/>
      <c r="GRA108" s="769"/>
      <c r="GRB108" s="769"/>
      <c r="GRC108" s="769"/>
      <c r="GRD108" s="769"/>
      <c r="GRE108" s="769"/>
      <c r="GRF108" s="769"/>
      <c r="GRG108" s="769"/>
      <c r="GRH108" s="769"/>
      <c r="GRI108" s="769"/>
      <c r="GRJ108" s="769"/>
      <c r="GRK108" s="769"/>
      <c r="GRL108" s="769"/>
      <c r="GRM108" s="769"/>
      <c r="GRN108" s="769"/>
      <c r="GRO108" s="769"/>
      <c r="GRP108" s="769"/>
      <c r="GRQ108" s="769"/>
      <c r="GRR108" s="769"/>
      <c r="GRS108" s="769"/>
      <c r="GRT108" s="769"/>
      <c r="GRU108" s="769"/>
      <c r="GRV108" s="769"/>
      <c r="GRW108" s="769"/>
      <c r="GRX108" s="769"/>
      <c r="GRY108" s="769"/>
      <c r="GRZ108" s="769"/>
      <c r="GSA108" s="769"/>
      <c r="GSB108" s="769"/>
      <c r="GSC108" s="769"/>
      <c r="GSD108" s="769"/>
      <c r="GSE108" s="769"/>
      <c r="GSF108" s="769"/>
      <c r="GSG108" s="769"/>
      <c r="GSH108" s="769"/>
      <c r="GSI108" s="769"/>
      <c r="GSJ108" s="769"/>
      <c r="GSK108" s="769"/>
      <c r="GSL108" s="769"/>
      <c r="GSM108" s="769"/>
      <c r="GSN108" s="769"/>
      <c r="GSO108" s="769"/>
      <c r="GSP108" s="769"/>
      <c r="GSQ108" s="769"/>
      <c r="GSR108" s="769"/>
      <c r="GSS108" s="769"/>
      <c r="GST108" s="769"/>
      <c r="GSU108" s="769"/>
      <c r="GSV108" s="769"/>
      <c r="GSW108" s="769"/>
      <c r="GSX108" s="769"/>
      <c r="GSY108" s="769"/>
      <c r="GSZ108" s="769"/>
      <c r="GTA108" s="769"/>
      <c r="GTB108" s="769"/>
      <c r="GTC108" s="769"/>
      <c r="GTD108" s="769"/>
      <c r="GTE108" s="769"/>
      <c r="GTF108" s="769"/>
      <c r="GTG108" s="769"/>
      <c r="GTH108" s="769"/>
      <c r="GTI108" s="769"/>
      <c r="GTJ108" s="769"/>
      <c r="GTK108" s="769"/>
      <c r="GTL108" s="769"/>
      <c r="GTM108" s="769"/>
      <c r="GTN108" s="769"/>
      <c r="GTO108" s="769"/>
      <c r="GTP108" s="769"/>
      <c r="GTQ108" s="769"/>
      <c r="GTR108" s="769"/>
      <c r="GTS108" s="769"/>
      <c r="GTT108" s="769"/>
      <c r="GTU108" s="769"/>
      <c r="GTV108" s="769"/>
      <c r="GTW108" s="769"/>
      <c r="GTX108" s="769"/>
      <c r="GTY108" s="769"/>
      <c r="GTZ108" s="769"/>
      <c r="GUA108" s="769"/>
      <c r="GUB108" s="769"/>
      <c r="GUC108" s="769"/>
      <c r="GUD108" s="769"/>
      <c r="GUE108" s="769"/>
      <c r="GUF108" s="769"/>
      <c r="GUG108" s="769"/>
      <c r="GUH108" s="769"/>
      <c r="GUI108" s="769"/>
      <c r="GUJ108" s="769"/>
      <c r="GUK108" s="769"/>
      <c r="GUL108" s="769"/>
      <c r="GUM108" s="769"/>
      <c r="GUN108" s="769"/>
      <c r="GUO108" s="769"/>
      <c r="GUP108" s="769"/>
      <c r="GUQ108" s="769"/>
      <c r="GUR108" s="769"/>
      <c r="GUS108" s="769"/>
      <c r="GUT108" s="769"/>
      <c r="GUU108" s="769"/>
      <c r="GUV108" s="769"/>
      <c r="GUW108" s="769"/>
      <c r="GUX108" s="769"/>
      <c r="GUY108" s="769"/>
      <c r="GUZ108" s="769"/>
      <c r="GVA108" s="769"/>
      <c r="GVB108" s="769"/>
      <c r="GVC108" s="769"/>
      <c r="GVD108" s="769"/>
      <c r="GVE108" s="769"/>
      <c r="GVF108" s="769"/>
      <c r="GVG108" s="769"/>
      <c r="GVH108" s="769"/>
      <c r="GVI108" s="769"/>
      <c r="GVJ108" s="769"/>
      <c r="GVK108" s="769"/>
      <c r="GVL108" s="769"/>
      <c r="GVM108" s="769"/>
      <c r="GVN108" s="769"/>
      <c r="GVO108" s="769"/>
      <c r="GVP108" s="769"/>
      <c r="GVQ108" s="769"/>
      <c r="GVR108" s="769"/>
      <c r="GVS108" s="769"/>
      <c r="GVT108" s="769"/>
      <c r="GVU108" s="769"/>
      <c r="GVV108" s="769"/>
      <c r="GVW108" s="769"/>
      <c r="GVX108" s="769"/>
      <c r="GVY108" s="769"/>
      <c r="GVZ108" s="769"/>
      <c r="GWA108" s="769"/>
      <c r="GWB108" s="769"/>
      <c r="GWC108" s="769"/>
      <c r="GWD108" s="769"/>
      <c r="GWE108" s="769"/>
      <c r="GWF108" s="769"/>
      <c r="GWG108" s="769"/>
      <c r="GWH108" s="769"/>
      <c r="GWI108" s="769"/>
      <c r="GWJ108" s="769"/>
      <c r="GWK108" s="769"/>
      <c r="GWL108" s="769"/>
      <c r="GWM108" s="769"/>
      <c r="GWN108" s="769"/>
      <c r="GWO108" s="769"/>
      <c r="GWP108" s="769"/>
      <c r="GWQ108" s="769"/>
      <c r="GWR108" s="769"/>
      <c r="GWS108" s="769"/>
      <c r="GWT108" s="769"/>
      <c r="GWU108" s="769"/>
      <c r="GWV108" s="769"/>
      <c r="GWW108" s="769"/>
      <c r="GWX108" s="769"/>
      <c r="GWY108" s="769"/>
      <c r="GWZ108" s="769"/>
      <c r="GXA108" s="769"/>
      <c r="GXB108" s="769"/>
      <c r="GXC108" s="769"/>
      <c r="GXD108" s="769"/>
      <c r="GXE108" s="769"/>
      <c r="GXF108" s="769"/>
      <c r="GXG108" s="769"/>
      <c r="GXH108" s="769"/>
      <c r="GXI108" s="769"/>
      <c r="GXJ108" s="769"/>
      <c r="GXK108" s="769"/>
      <c r="GXL108" s="769"/>
      <c r="GXM108" s="769"/>
      <c r="GXN108" s="769"/>
      <c r="GXO108" s="769"/>
      <c r="GXP108" s="769"/>
      <c r="GXQ108" s="769"/>
      <c r="GXR108" s="769"/>
      <c r="GXS108" s="769"/>
      <c r="GXT108" s="769"/>
      <c r="GXU108" s="769"/>
      <c r="GXV108" s="769"/>
      <c r="GXW108" s="769"/>
      <c r="GXX108" s="769"/>
      <c r="GXY108" s="769"/>
      <c r="GXZ108" s="769"/>
      <c r="GYA108" s="769"/>
      <c r="GYB108" s="769"/>
      <c r="GYC108" s="769"/>
      <c r="GYD108" s="769"/>
      <c r="GYE108" s="769"/>
      <c r="GYF108" s="769"/>
      <c r="GYG108" s="769"/>
      <c r="GYH108" s="769"/>
      <c r="GYI108" s="769"/>
      <c r="GYJ108" s="769"/>
      <c r="GYK108" s="769"/>
      <c r="GYL108" s="769"/>
      <c r="GYM108" s="769"/>
      <c r="GYN108" s="769"/>
      <c r="GYO108" s="769"/>
      <c r="GYP108" s="769"/>
      <c r="GYQ108" s="769"/>
      <c r="GYR108" s="769"/>
      <c r="GYS108" s="769"/>
      <c r="GYT108" s="769"/>
      <c r="GYU108" s="769"/>
      <c r="GYV108" s="769"/>
      <c r="GYW108" s="769"/>
      <c r="GYX108" s="769"/>
      <c r="GYY108" s="769"/>
      <c r="GYZ108" s="769"/>
      <c r="GZA108" s="769"/>
      <c r="GZB108" s="769"/>
      <c r="GZC108" s="769"/>
      <c r="GZD108" s="769"/>
      <c r="GZE108" s="769"/>
      <c r="GZF108" s="769"/>
      <c r="GZG108" s="769"/>
      <c r="GZH108" s="769"/>
      <c r="GZI108" s="769"/>
      <c r="GZJ108" s="769"/>
      <c r="GZK108" s="769"/>
      <c r="GZL108" s="769"/>
      <c r="GZM108" s="769"/>
      <c r="GZN108" s="769"/>
      <c r="GZO108" s="769"/>
      <c r="GZP108" s="769"/>
      <c r="GZQ108" s="769"/>
      <c r="GZR108" s="769"/>
      <c r="GZS108" s="769"/>
      <c r="GZT108" s="769"/>
      <c r="GZU108" s="769"/>
      <c r="GZV108" s="769"/>
      <c r="GZW108" s="769"/>
      <c r="GZX108" s="769"/>
      <c r="GZY108" s="769"/>
      <c r="GZZ108" s="769"/>
      <c r="HAA108" s="769"/>
      <c r="HAB108" s="769"/>
      <c r="HAC108" s="769"/>
      <c r="HAD108" s="769"/>
      <c r="HAE108" s="769"/>
      <c r="HAF108" s="769"/>
      <c r="HAG108" s="769"/>
      <c r="HAH108" s="769"/>
      <c r="HAI108" s="769"/>
      <c r="HAJ108" s="769"/>
      <c r="HAK108" s="769"/>
      <c r="HAL108" s="769"/>
      <c r="HAM108" s="769"/>
      <c r="HAN108" s="769"/>
      <c r="HAO108" s="769"/>
      <c r="HAP108" s="769"/>
      <c r="HAQ108" s="769"/>
      <c r="HAR108" s="769"/>
      <c r="HAS108" s="769"/>
      <c r="HAT108" s="769"/>
      <c r="HAU108" s="769"/>
      <c r="HAV108" s="769"/>
      <c r="HAW108" s="769"/>
      <c r="HAX108" s="769"/>
      <c r="HAY108" s="769"/>
      <c r="HAZ108" s="769"/>
      <c r="HBA108" s="769"/>
      <c r="HBB108" s="769"/>
      <c r="HBC108" s="769"/>
      <c r="HBD108" s="769"/>
      <c r="HBE108" s="769"/>
      <c r="HBF108" s="769"/>
      <c r="HBG108" s="769"/>
      <c r="HBH108" s="769"/>
      <c r="HBI108" s="769"/>
      <c r="HBJ108" s="769"/>
      <c r="HBK108" s="769"/>
      <c r="HBL108" s="769"/>
      <c r="HBM108" s="769"/>
      <c r="HBN108" s="769"/>
      <c r="HBO108" s="769"/>
      <c r="HBP108" s="769"/>
      <c r="HBQ108" s="769"/>
      <c r="HBR108" s="769"/>
      <c r="HBS108" s="769"/>
      <c r="HBT108" s="769"/>
      <c r="HBU108" s="769"/>
      <c r="HBV108" s="769"/>
      <c r="HBW108" s="769"/>
      <c r="HBX108" s="769"/>
      <c r="HBY108" s="769"/>
      <c r="HBZ108" s="769"/>
      <c r="HCA108" s="769"/>
      <c r="HCB108" s="769"/>
      <c r="HCC108" s="769"/>
      <c r="HCD108" s="769"/>
      <c r="HCE108" s="769"/>
      <c r="HCF108" s="769"/>
      <c r="HCG108" s="769"/>
      <c r="HCH108" s="769"/>
      <c r="HCI108" s="769"/>
      <c r="HCJ108" s="769"/>
      <c r="HCK108" s="769"/>
      <c r="HCL108" s="769"/>
      <c r="HCM108" s="769"/>
      <c r="HCN108" s="769"/>
      <c r="HCO108" s="769"/>
      <c r="HCP108" s="769"/>
      <c r="HCQ108" s="769"/>
      <c r="HCR108" s="769"/>
      <c r="HCS108" s="769"/>
      <c r="HCT108" s="769"/>
      <c r="HCU108" s="769"/>
      <c r="HCV108" s="769"/>
      <c r="HCW108" s="769"/>
      <c r="HCX108" s="769"/>
      <c r="HCY108" s="769"/>
      <c r="HCZ108" s="769"/>
      <c r="HDA108" s="769"/>
      <c r="HDB108" s="769"/>
      <c r="HDC108" s="769"/>
      <c r="HDD108" s="769"/>
      <c r="HDE108" s="769"/>
      <c r="HDF108" s="769"/>
      <c r="HDG108" s="769"/>
      <c r="HDH108" s="769"/>
      <c r="HDI108" s="769"/>
      <c r="HDJ108" s="769"/>
      <c r="HDK108" s="769"/>
      <c r="HDL108" s="769"/>
      <c r="HDM108" s="769"/>
      <c r="HDN108" s="769"/>
      <c r="HDO108" s="769"/>
      <c r="HDP108" s="769"/>
      <c r="HDQ108" s="769"/>
      <c r="HDR108" s="769"/>
      <c r="HDS108" s="769"/>
      <c r="HDT108" s="769"/>
      <c r="HDU108" s="769"/>
      <c r="HDV108" s="769"/>
      <c r="HDW108" s="769"/>
      <c r="HDX108" s="769"/>
      <c r="HDY108" s="769"/>
      <c r="HDZ108" s="769"/>
      <c r="HEA108" s="769"/>
      <c r="HEB108" s="769"/>
      <c r="HEC108" s="769"/>
      <c r="HED108" s="769"/>
      <c r="HEE108" s="769"/>
      <c r="HEF108" s="769"/>
      <c r="HEG108" s="769"/>
      <c r="HEH108" s="769"/>
      <c r="HEI108" s="769"/>
      <c r="HEJ108" s="769"/>
      <c r="HEK108" s="769"/>
      <c r="HEL108" s="769"/>
      <c r="HEM108" s="769"/>
      <c r="HEN108" s="769"/>
      <c r="HEO108" s="769"/>
      <c r="HEP108" s="769"/>
      <c r="HEQ108" s="769"/>
      <c r="HER108" s="769"/>
      <c r="HES108" s="769"/>
      <c r="HET108" s="769"/>
      <c r="HEU108" s="769"/>
      <c r="HEV108" s="769"/>
      <c r="HEW108" s="769"/>
      <c r="HEX108" s="769"/>
      <c r="HEY108" s="769"/>
      <c r="HEZ108" s="769"/>
      <c r="HFA108" s="769"/>
      <c r="HFB108" s="769"/>
      <c r="HFC108" s="769"/>
      <c r="HFD108" s="769"/>
      <c r="HFE108" s="769"/>
      <c r="HFF108" s="769"/>
      <c r="HFG108" s="769"/>
      <c r="HFH108" s="769"/>
      <c r="HFI108" s="769"/>
      <c r="HFJ108" s="769"/>
      <c r="HFK108" s="769"/>
      <c r="HFL108" s="769"/>
      <c r="HFM108" s="769"/>
      <c r="HFN108" s="769"/>
      <c r="HFO108" s="769"/>
      <c r="HFP108" s="769"/>
      <c r="HFQ108" s="769"/>
      <c r="HFR108" s="769"/>
      <c r="HFS108" s="769"/>
      <c r="HFT108" s="769"/>
      <c r="HFU108" s="769"/>
      <c r="HFV108" s="769"/>
      <c r="HFW108" s="769"/>
      <c r="HFX108" s="769"/>
      <c r="HFY108" s="769"/>
      <c r="HFZ108" s="769"/>
      <c r="HGA108" s="769"/>
      <c r="HGB108" s="769"/>
      <c r="HGC108" s="769"/>
      <c r="HGD108" s="769"/>
      <c r="HGE108" s="769"/>
      <c r="HGF108" s="769"/>
      <c r="HGG108" s="769"/>
      <c r="HGH108" s="769"/>
      <c r="HGI108" s="769"/>
      <c r="HGJ108" s="769"/>
      <c r="HGK108" s="769"/>
      <c r="HGL108" s="769"/>
      <c r="HGM108" s="769"/>
      <c r="HGN108" s="769"/>
      <c r="HGO108" s="769"/>
      <c r="HGP108" s="769"/>
      <c r="HGQ108" s="769"/>
      <c r="HGR108" s="769"/>
      <c r="HGS108" s="769"/>
      <c r="HGT108" s="769"/>
      <c r="HGU108" s="769"/>
      <c r="HGV108" s="769"/>
      <c r="HGW108" s="769"/>
      <c r="HGX108" s="769"/>
      <c r="HGY108" s="769"/>
      <c r="HGZ108" s="769"/>
      <c r="HHA108" s="769"/>
      <c r="HHB108" s="769"/>
      <c r="HHC108" s="769"/>
      <c r="HHD108" s="769"/>
      <c r="HHE108" s="769"/>
      <c r="HHF108" s="769"/>
      <c r="HHG108" s="769"/>
      <c r="HHH108" s="769"/>
      <c r="HHI108" s="769"/>
      <c r="HHJ108" s="769"/>
      <c r="HHK108" s="769"/>
      <c r="HHL108" s="769"/>
      <c r="HHM108" s="769"/>
      <c r="HHN108" s="769"/>
      <c r="HHO108" s="769"/>
      <c r="HHP108" s="769"/>
      <c r="HHQ108" s="769"/>
      <c r="HHR108" s="769"/>
      <c r="HHS108" s="769"/>
      <c r="HHT108" s="769"/>
      <c r="HHU108" s="769"/>
      <c r="HHV108" s="769"/>
      <c r="HHW108" s="769"/>
      <c r="HHX108" s="769"/>
      <c r="HHY108" s="769"/>
      <c r="HHZ108" s="769"/>
      <c r="HIA108" s="769"/>
      <c r="HIB108" s="769"/>
      <c r="HIC108" s="769"/>
      <c r="HID108" s="769"/>
      <c r="HIE108" s="769"/>
      <c r="HIF108" s="769"/>
      <c r="HIG108" s="769"/>
      <c r="HIH108" s="769"/>
      <c r="HII108" s="769"/>
      <c r="HIJ108" s="769"/>
      <c r="HIK108" s="769"/>
      <c r="HIL108" s="769"/>
      <c r="HIM108" s="769"/>
      <c r="HIN108" s="769"/>
      <c r="HIO108" s="769"/>
      <c r="HIP108" s="769"/>
      <c r="HIQ108" s="769"/>
      <c r="HIR108" s="769"/>
      <c r="HIS108" s="769"/>
      <c r="HIT108" s="769"/>
      <c r="HIU108" s="769"/>
      <c r="HIV108" s="769"/>
      <c r="HIW108" s="769"/>
      <c r="HIX108" s="769"/>
      <c r="HIY108" s="769"/>
      <c r="HIZ108" s="769"/>
      <c r="HJA108" s="769"/>
      <c r="HJB108" s="769"/>
      <c r="HJC108" s="769"/>
      <c r="HJD108" s="769"/>
      <c r="HJE108" s="769"/>
      <c r="HJF108" s="769"/>
      <c r="HJG108" s="769"/>
      <c r="HJH108" s="769"/>
      <c r="HJI108" s="769"/>
      <c r="HJJ108" s="769"/>
      <c r="HJK108" s="769"/>
      <c r="HJL108" s="769"/>
      <c r="HJM108" s="769"/>
      <c r="HJN108" s="769"/>
      <c r="HJO108" s="769"/>
      <c r="HJP108" s="769"/>
      <c r="HJQ108" s="769"/>
      <c r="HJR108" s="769"/>
      <c r="HJS108" s="769"/>
      <c r="HJT108" s="769"/>
      <c r="HJU108" s="769"/>
      <c r="HJV108" s="769"/>
      <c r="HJW108" s="769"/>
      <c r="HJX108" s="769"/>
      <c r="HJY108" s="769"/>
      <c r="HJZ108" s="769"/>
      <c r="HKA108" s="769"/>
      <c r="HKB108" s="769"/>
      <c r="HKC108" s="769"/>
      <c r="HKD108" s="769"/>
      <c r="HKE108" s="769"/>
      <c r="HKF108" s="769"/>
      <c r="HKG108" s="769"/>
      <c r="HKH108" s="769"/>
      <c r="HKI108" s="769"/>
      <c r="HKJ108" s="769"/>
      <c r="HKK108" s="769"/>
      <c r="HKL108" s="769"/>
      <c r="HKM108" s="769"/>
      <c r="HKN108" s="769"/>
      <c r="HKO108" s="769"/>
      <c r="HKP108" s="769"/>
      <c r="HKQ108" s="769"/>
      <c r="HKR108" s="769"/>
      <c r="HKS108" s="769"/>
      <c r="HKT108" s="769"/>
      <c r="HKU108" s="769"/>
      <c r="HKV108" s="769"/>
      <c r="HKW108" s="769"/>
      <c r="HKX108" s="769"/>
      <c r="HKY108" s="769"/>
      <c r="HKZ108" s="769"/>
      <c r="HLA108" s="769"/>
      <c r="HLB108" s="769"/>
      <c r="HLC108" s="769"/>
      <c r="HLD108" s="769"/>
      <c r="HLE108" s="769"/>
      <c r="HLF108" s="769"/>
      <c r="HLG108" s="769"/>
      <c r="HLH108" s="769"/>
      <c r="HLI108" s="769"/>
      <c r="HLJ108" s="769"/>
      <c r="HLK108" s="769"/>
      <c r="HLL108" s="769"/>
      <c r="HLM108" s="769"/>
      <c r="HLN108" s="769"/>
      <c r="HLO108" s="769"/>
      <c r="HLP108" s="769"/>
      <c r="HLQ108" s="769"/>
      <c r="HLR108" s="769"/>
      <c r="HLS108" s="769"/>
      <c r="HLT108" s="769"/>
      <c r="HLU108" s="769"/>
      <c r="HLV108" s="769"/>
      <c r="HLW108" s="769"/>
      <c r="HLX108" s="769"/>
      <c r="HLY108" s="769"/>
      <c r="HLZ108" s="769"/>
      <c r="HMA108" s="769"/>
      <c r="HMB108" s="769"/>
      <c r="HMC108" s="769"/>
      <c r="HMD108" s="769"/>
      <c r="HME108" s="769"/>
      <c r="HMF108" s="769"/>
      <c r="HMG108" s="769"/>
      <c r="HMH108" s="769"/>
      <c r="HMI108" s="769"/>
      <c r="HMJ108" s="769"/>
      <c r="HMK108" s="769"/>
      <c r="HML108" s="769"/>
      <c r="HMM108" s="769"/>
      <c r="HMN108" s="769"/>
      <c r="HMO108" s="769"/>
      <c r="HMP108" s="769"/>
      <c r="HMQ108" s="769"/>
      <c r="HMR108" s="769"/>
      <c r="HMS108" s="769"/>
      <c r="HMT108" s="769"/>
      <c r="HMU108" s="769"/>
      <c r="HMV108" s="769"/>
      <c r="HMW108" s="769"/>
      <c r="HMX108" s="769"/>
      <c r="HMY108" s="769"/>
      <c r="HMZ108" s="769"/>
      <c r="HNA108" s="769"/>
      <c r="HNB108" s="769"/>
      <c r="HNC108" s="769"/>
      <c r="HND108" s="769"/>
      <c r="HNE108" s="769"/>
      <c r="HNF108" s="769"/>
      <c r="HNG108" s="769"/>
      <c r="HNH108" s="769"/>
      <c r="HNI108" s="769"/>
      <c r="HNJ108" s="769"/>
      <c r="HNK108" s="769"/>
      <c r="HNL108" s="769"/>
      <c r="HNM108" s="769"/>
      <c r="HNN108" s="769"/>
      <c r="HNO108" s="769"/>
      <c r="HNP108" s="769"/>
      <c r="HNQ108" s="769"/>
      <c r="HNR108" s="769"/>
      <c r="HNS108" s="769"/>
      <c r="HNT108" s="769"/>
      <c r="HNU108" s="769"/>
      <c r="HNV108" s="769"/>
      <c r="HNW108" s="769"/>
      <c r="HNX108" s="769"/>
      <c r="HNY108" s="769"/>
      <c r="HNZ108" s="769"/>
      <c r="HOA108" s="769"/>
      <c r="HOB108" s="769"/>
      <c r="HOC108" s="769"/>
      <c r="HOD108" s="769"/>
      <c r="HOE108" s="769"/>
      <c r="HOF108" s="769"/>
      <c r="HOG108" s="769"/>
      <c r="HOH108" s="769"/>
      <c r="HOI108" s="769"/>
      <c r="HOJ108" s="769"/>
      <c r="HOK108" s="769"/>
      <c r="HOL108" s="769"/>
      <c r="HOM108" s="769"/>
      <c r="HON108" s="769"/>
      <c r="HOO108" s="769"/>
      <c r="HOP108" s="769"/>
      <c r="HOQ108" s="769"/>
      <c r="HOR108" s="769"/>
      <c r="HOS108" s="769"/>
      <c r="HOT108" s="769"/>
      <c r="HOU108" s="769"/>
      <c r="HOV108" s="769"/>
      <c r="HOW108" s="769"/>
      <c r="HOX108" s="769"/>
      <c r="HOY108" s="769"/>
      <c r="HOZ108" s="769"/>
      <c r="HPA108" s="769"/>
      <c r="HPB108" s="769"/>
      <c r="HPC108" s="769"/>
      <c r="HPD108" s="769"/>
      <c r="HPE108" s="769"/>
      <c r="HPF108" s="769"/>
      <c r="HPG108" s="769"/>
      <c r="HPH108" s="769"/>
      <c r="HPI108" s="769"/>
      <c r="HPJ108" s="769"/>
      <c r="HPK108" s="769"/>
      <c r="HPL108" s="769"/>
      <c r="HPM108" s="769"/>
      <c r="HPN108" s="769"/>
      <c r="HPO108" s="769"/>
      <c r="HPP108" s="769"/>
      <c r="HPQ108" s="769"/>
      <c r="HPR108" s="769"/>
      <c r="HPS108" s="769"/>
      <c r="HPT108" s="769"/>
      <c r="HPU108" s="769"/>
      <c r="HPV108" s="769"/>
      <c r="HPW108" s="769"/>
      <c r="HPX108" s="769"/>
      <c r="HPY108" s="769"/>
      <c r="HPZ108" s="769"/>
      <c r="HQA108" s="769"/>
      <c r="HQB108" s="769"/>
      <c r="HQC108" s="769"/>
      <c r="HQD108" s="769"/>
      <c r="HQE108" s="769"/>
      <c r="HQF108" s="769"/>
      <c r="HQG108" s="769"/>
      <c r="HQH108" s="769"/>
      <c r="HQI108" s="769"/>
      <c r="HQJ108" s="769"/>
      <c r="HQK108" s="769"/>
      <c r="HQL108" s="769"/>
      <c r="HQM108" s="769"/>
      <c r="HQN108" s="769"/>
      <c r="HQO108" s="769"/>
      <c r="HQP108" s="769"/>
      <c r="HQQ108" s="769"/>
      <c r="HQR108" s="769"/>
      <c r="HQS108" s="769"/>
      <c r="HQT108" s="769"/>
      <c r="HQU108" s="769"/>
      <c r="HQV108" s="769"/>
      <c r="HQW108" s="769"/>
      <c r="HQX108" s="769"/>
      <c r="HQY108" s="769"/>
      <c r="HQZ108" s="769"/>
      <c r="HRA108" s="769"/>
      <c r="HRB108" s="769"/>
      <c r="HRC108" s="769"/>
      <c r="HRD108" s="769"/>
      <c r="HRE108" s="769"/>
      <c r="HRF108" s="769"/>
      <c r="HRG108" s="769"/>
      <c r="HRH108" s="769"/>
      <c r="HRI108" s="769"/>
      <c r="HRJ108" s="769"/>
      <c r="HRK108" s="769"/>
      <c r="HRL108" s="769"/>
      <c r="HRM108" s="769"/>
      <c r="HRN108" s="769"/>
      <c r="HRO108" s="769"/>
      <c r="HRP108" s="769"/>
      <c r="HRQ108" s="769"/>
      <c r="HRR108" s="769"/>
      <c r="HRS108" s="769"/>
      <c r="HRT108" s="769"/>
      <c r="HRU108" s="769"/>
      <c r="HRV108" s="769"/>
      <c r="HRW108" s="769"/>
      <c r="HRX108" s="769"/>
      <c r="HRY108" s="769"/>
      <c r="HRZ108" s="769"/>
      <c r="HSA108" s="769"/>
      <c r="HSB108" s="769"/>
      <c r="HSC108" s="769"/>
      <c r="HSD108" s="769"/>
      <c r="HSE108" s="769"/>
      <c r="HSF108" s="769"/>
      <c r="HSG108" s="769"/>
      <c r="HSH108" s="769"/>
      <c r="HSI108" s="769"/>
      <c r="HSJ108" s="769"/>
      <c r="HSK108" s="769"/>
      <c r="HSL108" s="769"/>
      <c r="HSM108" s="769"/>
      <c r="HSN108" s="769"/>
      <c r="HSO108" s="769"/>
      <c r="HSP108" s="769"/>
      <c r="HSQ108" s="769"/>
      <c r="HSR108" s="769"/>
      <c r="HSS108" s="769"/>
      <c r="HST108" s="769"/>
      <c r="HSU108" s="769"/>
      <c r="HSV108" s="769"/>
      <c r="HSW108" s="769"/>
      <c r="HSX108" s="769"/>
      <c r="HSY108" s="769"/>
      <c r="HSZ108" s="769"/>
      <c r="HTA108" s="769"/>
      <c r="HTB108" s="769"/>
      <c r="HTC108" s="769"/>
      <c r="HTD108" s="769"/>
      <c r="HTE108" s="769"/>
      <c r="HTF108" s="769"/>
      <c r="HTG108" s="769"/>
      <c r="HTH108" s="769"/>
      <c r="HTI108" s="769"/>
      <c r="HTJ108" s="769"/>
      <c r="HTK108" s="769"/>
      <c r="HTL108" s="769"/>
      <c r="HTM108" s="769"/>
      <c r="HTN108" s="769"/>
      <c r="HTO108" s="769"/>
      <c r="HTP108" s="769"/>
      <c r="HTQ108" s="769"/>
      <c r="HTR108" s="769"/>
      <c r="HTS108" s="769"/>
      <c r="HTT108" s="769"/>
      <c r="HTU108" s="769"/>
      <c r="HTV108" s="769"/>
      <c r="HTW108" s="769"/>
      <c r="HTX108" s="769"/>
      <c r="HTY108" s="769"/>
      <c r="HTZ108" s="769"/>
      <c r="HUA108" s="769"/>
      <c r="HUB108" s="769"/>
      <c r="HUC108" s="769"/>
      <c r="HUD108" s="769"/>
      <c r="HUE108" s="769"/>
      <c r="HUF108" s="769"/>
      <c r="HUG108" s="769"/>
      <c r="HUH108" s="769"/>
      <c r="HUI108" s="769"/>
      <c r="HUJ108" s="769"/>
      <c r="HUK108" s="769"/>
      <c r="HUL108" s="769"/>
      <c r="HUM108" s="769"/>
      <c r="HUN108" s="769"/>
      <c r="HUO108" s="769"/>
      <c r="HUP108" s="769"/>
      <c r="HUQ108" s="769"/>
      <c r="HUR108" s="769"/>
      <c r="HUS108" s="769"/>
      <c r="HUT108" s="769"/>
      <c r="HUU108" s="769"/>
      <c r="HUV108" s="769"/>
      <c r="HUW108" s="769"/>
      <c r="HUX108" s="769"/>
      <c r="HUY108" s="769"/>
      <c r="HUZ108" s="769"/>
      <c r="HVA108" s="769"/>
      <c r="HVB108" s="769"/>
      <c r="HVC108" s="769"/>
      <c r="HVD108" s="769"/>
      <c r="HVE108" s="769"/>
      <c r="HVF108" s="769"/>
      <c r="HVG108" s="769"/>
      <c r="HVH108" s="769"/>
      <c r="HVI108" s="769"/>
      <c r="HVJ108" s="769"/>
      <c r="HVK108" s="769"/>
      <c r="HVL108" s="769"/>
      <c r="HVM108" s="769"/>
      <c r="HVN108" s="769"/>
      <c r="HVO108" s="769"/>
      <c r="HVP108" s="769"/>
      <c r="HVQ108" s="769"/>
      <c r="HVR108" s="769"/>
      <c r="HVS108" s="769"/>
      <c r="HVT108" s="769"/>
      <c r="HVU108" s="769"/>
      <c r="HVV108" s="769"/>
      <c r="HVW108" s="769"/>
      <c r="HVX108" s="769"/>
      <c r="HVY108" s="769"/>
      <c r="HVZ108" s="769"/>
      <c r="HWA108" s="769"/>
      <c r="HWB108" s="769"/>
      <c r="HWC108" s="769"/>
      <c r="HWD108" s="769"/>
      <c r="HWE108" s="769"/>
      <c r="HWF108" s="769"/>
      <c r="HWG108" s="769"/>
      <c r="HWH108" s="769"/>
      <c r="HWI108" s="769"/>
      <c r="HWJ108" s="769"/>
      <c r="HWK108" s="769"/>
      <c r="HWL108" s="769"/>
      <c r="HWM108" s="769"/>
      <c r="HWN108" s="769"/>
      <c r="HWO108" s="769"/>
      <c r="HWP108" s="769"/>
      <c r="HWQ108" s="769"/>
      <c r="HWR108" s="769"/>
      <c r="HWS108" s="769"/>
      <c r="HWT108" s="769"/>
      <c r="HWU108" s="769"/>
      <c r="HWV108" s="769"/>
      <c r="HWW108" s="769"/>
      <c r="HWX108" s="769"/>
      <c r="HWY108" s="769"/>
      <c r="HWZ108" s="769"/>
      <c r="HXA108" s="769"/>
      <c r="HXB108" s="769"/>
      <c r="HXC108" s="769"/>
      <c r="HXD108" s="769"/>
      <c r="HXE108" s="769"/>
      <c r="HXF108" s="769"/>
      <c r="HXG108" s="769"/>
      <c r="HXH108" s="769"/>
      <c r="HXI108" s="769"/>
      <c r="HXJ108" s="769"/>
      <c r="HXK108" s="769"/>
      <c r="HXL108" s="769"/>
      <c r="HXM108" s="769"/>
      <c r="HXN108" s="769"/>
      <c r="HXO108" s="769"/>
      <c r="HXP108" s="769"/>
      <c r="HXQ108" s="769"/>
      <c r="HXR108" s="769"/>
      <c r="HXS108" s="769"/>
      <c r="HXT108" s="769"/>
      <c r="HXU108" s="769"/>
      <c r="HXV108" s="769"/>
      <c r="HXW108" s="769"/>
      <c r="HXX108" s="769"/>
      <c r="HXY108" s="769"/>
      <c r="HXZ108" s="769"/>
      <c r="HYA108" s="769"/>
      <c r="HYB108" s="769"/>
      <c r="HYC108" s="769"/>
      <c r="HYD108" s="769"/>
      <c r="HYE108" s="769"/>
      <c r="HYF108" s="769"/>
      <c r="HYG108" s="769"/>
      <c r="HYH108" s="769"/>
      <c r="HYI108" s="769"/>
      <c r="HYJ108" s="769"/>
      <c r="HYK108" s="769"/>
      <c r="HYL108" s="769"/>
      <c r="HYM108" s="769"/>
      <c r="HYN108" s="769"/>
      <c r="HYO108" s="769"/>
      <c r="HYP108" s="769"/>
      <c r="HYQ108" s="769"/>
      <c r="HYR108" s="769"/>
      <c r="HYS108" s="769"/>
      <c r="HYT108" s="769"/>
      <c r="HYU108" s="769"/>
      <c r="HYV108" s="769"/>
      <c r="HYW108" s="769"/>
      <c r="HYX108" s="769"/>
      <c r="HYY108" s="769"/>
      <c r="HYZ108" s="769"/>
      <c r="HZA108" s="769"/>
      <c r="HZB108" s="769"/>
      <c r="HZC108" s="769"/>
      <c r="HZD108" s="769"/>
      <c r="HZE108" s="769"/>
      <c r="HZF108" s="769"/>
      <c r="HZG108" s="769"/>
      <c r="HZH108" s="769"/>
      <c r="HZI108" s="769"/>
      <c r="HZJ108" s="769"/>
      <c r="HZK108" s="769"/>
      <c r="HZL108" s="769"/>
      <c r="HZM108" s="769"/>
      <c r="HZN108" s="769"/>
      <c r="HZO108" s="769"/>
      <c r="HZP108" s="769"/>
      <c r="HZQ108" s="769"/>
      <c r="HZR108" s="769"/>
      <c r="HZS108" s="769"/>
      <c r="HZT108" s="769"/>
      <c r="HZU108" s="769"/>
      <c r="HZV108" s="769"/>
      <c r="HZW108" s="769"/>
      <c r="HZX108" s="769"/>
      <c r="HZY108" s="769"/>
      <c r="HZZ108" s="769"/>
      <c r="IAA108" s="769"/>
      <c r="IAB108" s="769"/>
      <c r="IAC108" s="769"/>
      <c r="IAD108" s="769"/>
      <c r="IAE108" s="769"/>
      <c r="IAF108" s="769"/>
      <c r="IAG108" s="769"/>
      <c r="IAH108" s="769"/>
      <c r="IAI108" s="769"/>
      <c r="IAJ108" s="769"/>
      <c r="IAK108" s="769"/>
      <c r="IAL108" s="769"/>
      <c r="IAM108" s="769"/>
      <c r="IAN108" s="769"/>
      <c r="IAO108" s="769"/>
      <c r="IAP108" s="769"/>
      <c r="IAQ108" s="769"/>
      <c r="IAR108" s="769"/>
      <c r="IAS108" s="769"/>
      <c r="IAT108" s="769"/>
      <c r="IAU108" s="769"/>
      <c r="IAV108" s="769"/>
      <c r="IAW108" s="769"/>
      <c r="IAX108" s="769"/>
      <c r="IAY108" s="769"/>
      <c r="IAZ108" s="769"/>
      <c r="IBA108" s="769"/>
      <c r="IBB108" s="769"/>
      <c r="IBC108" s="769"/>
      <c r="IBD108" s="769"/>
      <c r="IBE108" s="769"/>
      <c r="IBF108" s="769"/>
      <c r="IBG108" s="769"/>
      <c r="IBH108" s="769"/>
      <c r="IBI108" s="769"/>
      <c r="IBJ108" s="769"/>
      <c r="IBK108" s="769"/>
      <c r="IBL108" s="769"/>
      <c r="IBM108" s="769"/>
      <c r="IBN108" s="769"/>
      <c r="IBO108" s="769"/>
      <c r="IBP108" s="769"/>
      <c r="IBQ108" s="769"/>
      <c r="IBR108" s="769"/>
      <c r="IBS108" s="769"/>
      <c r="IBT108" s="769"/>
      <c r="IBU108" s="769"/>
      <c r="IBV108" s="769"/>
      <c r="IBW108" s="769"/>
      <c r="IBX108" s="769"/>
      <c r="IBY108" s="769"/>
      <c r="IBZ108" s="769"/>
      <c r="ICA108" s="769"/>
      <c r="ICB108" s="769"/>
      <c r="ICC108" s="769"/>
      <c r="ICD108" s="769"/>
      <c r="ICE108" s="769"/>
      <c r="ICF108" s="769"/>
      <c r="ICG108" s="769"/>
      <c r="ICH108" s="769"/>
      <c r="ICI108" s="769"/>
      <c r="ICJ108" s="769"/>
      <c r="ICK108" s="769"/>
      <c r="ICL108" s="769"/>
      <c r="ICM108" s="769"/>
      <c r="ICN108" s="769"/>
      <c r="ICO108" s="769"/>
      <c r="ICP108" s="769"/>
      <c r="ICQ108" s="769"/>
      <c r="ICR108" s="769"/>
      <c r="ICS108" s="769"/>
      <c r="ICT108" s="769"/>
      <c r="ICU108" s="769"/>
      <c r="ICV108" s="769"/>
      <c r="ICW108" s="769"/>
      <c r="ICX108" s="769"/>
      <c r="ICY108" s="769"/>
      <c r="ICZ108" s="769"/>
      <c r="IDA108" s="769"/>
      <c r="IDB108" s="769"/>
      <c r="IDC108" s="769"/>
      <c r="IDD108" s="769"/>
      <c r="IDE108" s="769"/>
      <c r="IDF108" s="769"/>
      <c r="IDG108" s="769"/>
      <c r="IDH108" s="769"/>
      <c r="IDI108" s="769"/>
      <c r="IDJ108" s="769"/>
      <c r="IDK108" s="769"/>
      <c r="IDL108" s="769"/>
      <c r="IDM108" s="769"/>
      <c r="IDN108" s="769"/>
      <c r="IDO108" s="769"/>
      <c r="IDP108" s="769"/>
      <c r="IDQ108" s="769"/>
      <c r="IDR108" s="769"/>
      <c r="IDS108" s="769"/>
      <c r="IDT108" s="769"/>
      <c r="IDU108" s="769"/>
      <c r="IDV108" s="769"/>
      <c r="IDW108" s="769"/>
      <c r="IDX108" s="769"/>
      <c r="IDY108" s="769"/>
      <c r="IDZ108" s="769"/>
      <c r="IEA108" s="769"/>
      <c r="IEB108" s="769"/>
      <c r="IEC108" s="769"/>
      <c r="IED108" s="769"/>
      <c r="IEE108" s="769"/>
      <c r="IEF108" s="769"/>
      <c r="IEG108" s="769"/>
      <c r="IEH108" s="769"/>
      <c r="IEI108" s="769"/>
      <c r="IEJ108" s="769"/>
      <c r="IEK108" s="769"/>
      <c r="IEL108" s="769"/>
      <c r="IEM108" s="769"/>
      <c r="IEN108" s="769"/>
      <c r="IEO108" s="769"/>
      <c r="IEP108" s="769"/>
      <c r="IEQ108" s="769"/>
      <c r="IER108" s="769"/>
      <c r="IES108" s="769"/>
      <c r="IET108" s="769"/>
      <c r="IEU108" s="769"/>
      <c r="IEV108" s="769"/>
      <c r="IEW108" s="769"/>
      <c r="IEX108" s="769"/>
      <c r="IEY108" s="769"/>
      <c r="IEZ108" s="769"/>
      <c r="IFA108" s="769"/>
      <c r="IFB108" s="769"/>
      <c r="IFC108" s="769"/>
      <c r="IFD108" s="769"/>
      <c r="IFE108" s="769"/>
      <c r="IFF108" s="769"/>
      <c r="IFG108" s="769"/>
      <c r="IFH108" s="769"/>
      <c r="IFI108" s="769"/>
      <c r="IFJ108" s="769"/>
      <c r="IFK108" s="769"/>
      <c r="IFL108" s="769"/>
      <c r="IFM108" s="769"/>
      <c r="IFN108" s="769"/>
      <c r="IFO108" s="769"/>
      <c r="IFP108" s="769"/>
      <c r="IFQ108" s="769"/>
      <c r="IFR108" s="769"/>
      <c r="IFS108" s="769"/>
      <c r="IFT108" s="769"/>
      <c r="IFU108" s="769"/>
      <c r="IFV108" s="769"/>
      <c r="IFW108" s="769"/>
      <c r="IFX108" s="769"/>
      <c r="IFY108" s="769"/>
      <c r="IFZ108" s="769"/>
      <c r="IGA108" s="769"/>
      <c r="IGB108" s="769"/>
      <c r="IGC108" s="769"/>
      <c r="IGD108" s="769"/>
      <c r="IGE108" s="769"/>
      <c r="IGF108" s="769"/>
      <c r="IGG108" s="769"/>
      <c r="IGH108" s="769"/>
      <c r="IGI108" s="769"/>
      <c r="IGJ108" s="769"/>
      <c r="IGK108" s="769"/>
      <c r="IGL108" s="769"/>
      <c r="IGM108" s="769"/>
      <c r="IGN108" s="769"/>
      <c r="IGO108" s="769"/>
      <c r="IGP108" s="769"/>
      <c r="IGQ108" s="769"/>
      <c r="IGR108" s="769"/>
      <c r="IGS108" s="769"/>
      <c r="IGT108" s="769"/>
      <c r="IGU108" s="769"/>
      <c r="IGV108" s="769"/>
      <c r="IGW108" s="769"/>
      <c r="IGX108" s="769"/>
      <c r="IGY108" s="769"/>
      <c r="IGZ108" s="769"/>
      <c r="IHA108" s="769"/>
      <c r="IHB108" s="769"/>
      <c r="IHC108" s="769"/>
      <c r="IHD108" s="769"/>
      <c r="IHE108" s="769"/>
      <c r="IHF108" s="769"/>
      <c r="IHG108" s="769"/>
      <c r="IHH108" s="769"/>
      <c r="IHI108" s="769"/>
      <c r="IHJ108" s="769"/>
      <c r="IHK108" s="769"/>
      <c r="IHL108" s="769"/>
      <c r="IHM108" s="769"/>
      <c r="IHN108" s="769"/>
      <c r="IHO108" s="769"/>
      <c r="IHP108" s="769"/>
      <c r="IHQ108" s="769"/>
      <c r="IHR108" s="769"/>
      <c r="IHS108" s="769"/>
      <c r="IHT108" s="769"/>
      <c r="IHU108" s="769"/>
      <c r="IHV108" s="769"/>
      <c r="IHW108" s="769"/>
      <c r="IHX108" s="769"/>
      <c r="IHY108" s="769"/>
      <c r="IHZ108" s="769"/>
      <c r="IIA108" s="769"/>
      <c r="IIB108" s="769"/>
      <c r="IIC108" s="769"/>
      <c r="IID108" s="769"/>
      <c r="IIE108" s="769"/>
      <c r="IIF108" s="769"/>
      <c r="IIG108" s="769"/>
      <c r="IIH108" s="769"/>
      <c r="III108" s="769"/>
      <c r="IIJ108" s="769"/>
      <c r="IIK108" s="769"/>
      <c r="IIL108" s="769"/>
      <c r="IIM108" s="769"/>
      <c r="IIN108" s="769"/>
      <c r="IIO108" s="769"/>
      <c r="IIP108" s="769"/>
      <c r="IIQ108" s="769"/>
      <c r="IIR108" s="769"/>
      <c r="IIS108" s="769"/>
      <c r="IIT108" s="769"/>
      <c r="IIU108" s="769"/>
      <c r="IIV108" s="769"/>
      <c r="IIW108" s="769"/>
      <c r="IIX108" s="769"/>
      <c r="IIY108" s="769"/>
      <c r="IIZ108" s="769"/>
      <c r="IJA108" s="769"/>
      <c r="IJB108" s="769"/>
      <c r="IJC108" s="769"/>
      <c r="IJD108" s="769"/>
      <c r="IJE108" s="769"/>
      <c r="IJF108" s="769"/>
      <c r="IJG108" s="769"/>
      <c r="IJH108" s="769"/>
      <c r="IJI108" s="769"/>
      <c r="IJJ108" s="769"/>
      <c r="IJK108" s="769"/>
      <c r="IJL108" s="769"/>
      <c r="IJM108" s="769"/>
      <c r="IJN108" s="769"/>
      <c r="IJO108" s="769"/>
      <c r="IJP108" s="769"/>
      <c r="IJQ108" s="769"/>
      <c r="IJR108" s="769"/>
      <c r="IJS108" s="769"/>
      <c r="IJT108" s="769"/>
      <c r="IJU108" s="769"/>
      <c r="IJV108" s="769"/>
      <c r="IJW108" s="769"/>
      <c r="IJX108" s="769"/>
      <c r="IJY108" s="769"/>
      <c r="IJZ108" s="769"/>
      <c r="IKA108" s="769"/>
      <c r="IKB108" s="769"/>
      <c r="IKC108" s="769"/>
      <c r="IKD108" s="769"/>
      <c r="IKE108" s="769"/>
      <c r="IKF108" s="769"/>
      <c r="IKG108" s="769"/>
      <c r="IKH108" s="769"/>
      <c r="IKI108" s="769"/>
      <c r="IKJ108" s="769"/>
      <c r="IKK108" s="769"/>
      <c r="IKL108" s="769"/>
      <c r="IKM108" s="769"/>
      <c r="IKN108" s="769"/>
      <c r="IKO108" s="769"/>
      <c r="IKP108" s="769"/>
      <c r="IKQ108" s="769"/>
      <c r="IKR108" s="769"/>
      <c r="IKS108" s="769"/>
      <c r="IKT108" s="769"/>
      <c r="IKU108" s="769"/>
      <c r="IKV108" s="769"/>
      <c r="IKW108" s="769"/>
      <c r="IKX108" s="769"/>
      <c r="IKY108" s="769"/>
      <c r="IKZ108" s="769"/>
      <c r="ILA108" s="769"/>
      <c r="ILB108" s="769"/>
      <c r="ILC108" s="769"/>
      <c r="ILD108" s="769"/>
      <c r="ILE108" s="769"/>
      <c r="ILF108" s="769"/>
      <c r="ILG108" s="769"/>
      <c r="ILH108" s="769"/>
      <c r="ILI108" s="769"/>
      <c r="ILJ108" s="769"/>
      <c r="ILK108" s="769"/>
      <c r="ILL108" s="769"/>
      <c r="ILM108" s="769"/>
      <c r="ILN108" s="769"/>
      <c r="ILO108" s="769"/>
      <c r="ILP108" s="769"/>
      <c r="ILQ108" s="769"/>
      <c r="ILR108" s="769"/>
      <c r="ILS108" s="769"/>
      <c r="ILT108" s="769"/>
      <c r="ILU108" s="769"/>
      <c r="ILV108" s="769"/>
      <c r="ILW108" s="769"/>
      <c r="ILX108" s="769"/>
      <c r="ILY108" s="769"/>
      <c r="ILZ108" s="769"/>
      <c r="IMA108" s="769"/>
      <c r="IMB108" s="769"/>
      <c r="IMC108" s="769"/>
      <c r="IMD108" s="769"/>
      <c r="IME108" s="769"/>
      <c r="IMF108" s="769"/>
      <c r="IMG108" s="769"/>
      <c r="IMH108" s="769"/>
      <c r="IMI108" s="769"/>
      <c r="IMJ108" s="769"/>
      <c r="IMK108" s="769"/>
      <c r="IML108" s="769"/>
      <c r="IMM108" s="769"/>
      <c r="IMN108" s="769"/>
      <c r="IMO108" s="769"/>
      <c r="IMP108" s="769"/>
      <c r="IMQ108" s="769"/>
      <c r="IMR108" s="769"/>
      <c r="IMS108" s="769"/>
      <c r="IMT108" s="769"/>
      <c r="IMU108" s="769"/>
      <c r="IMV108" s="769"/>
      <c r="IMW108" s="769"/>
      <c r="IMX108" s="769"/>
      <c r="IMY108" s="769"/>
      <c r="IMZ108" s="769"/>
      <c r="INA108" s="769"/>
      <c r="INB108" s="769"/>
      <c r="INC108" s="769"/>
      <c r="IND108" s="769"/>
      <c r="INE108" s="769"/>
      <c r="INF108" s="769"/>
      <c r="ING108" s="769"/>
      <c r="INH108" s="769"/>
      <c r="INI108" s="769"/>
      <c r="INJ108" s="769"/>
      <c r="INK108" s="769"/>
      <c r="INL108" s="769"/>
      <c r="INM108" s="769"/>
      <c r="INN108" s="769"/>
      <c r="INO108" s="769"/>
      <c r="INP108" s="769"/>
      <c r="INQ108" s="769"/>
      <c r="INR108" s="769"/>
      <c r="INS108" s="769"/>
      <c r="INT108" s="769"/>
      <c r="INU108" s="769"/>
      <c r="INV108" s="769"/>
      <c r="INW108" s="769"/>
      <c r="INX108" s="769"/>
      <c r="INY108" s="769"/>
      <c r="INZ108" s="769"/>
      <c r="IOA108" s="769"/>
      <c r="IOB108" s="769"/>
      <c r="IOC108" s="769"/>
      <c r="IOD108" s="769"/>
      <c r="IOE108" s="769"/>
      <c r="IOF108" s="769"/>
      <c r="IOG108" s="769"/>
      <c r="IOH108" s="769"/>
      <c r="IOI108" s="769"/>
      <c r="IOJ108" s="769"/>
      <c r="IOK108" s="769"/>
      <c r="IOL108" s="769"/>
      <c r="IOM108" s="769"/>
      <c r="ION108" s="769"/>
      <c r="IOO108" s="769"/>
      <c r="IOP108" s="769"/>
      <c r="IOQ108" s="769"/>
      <c r="IOR108" s="769"/>
      <c r="IOS108" s="769"/>
      <c r="IOT108" s="769"/>
      <c r="IOU108" s="769"/>
      <c r="IOV108" s="769"/>
      <c r="IOW108" s="769"/>
      <c r="IOX108" s="769"/>
      <c r="IOY108" s="769"/>
      <c r="IOZ108" s="769"/>
      <c r="IPA108" s="769"/>
      <c r="IPB108" s="769"/>
      <c r="IPC108" s="769"/>
      <c r="IPD108" s="769"/>
      <c r="IPE108" s="769"/>
      <c r="IPF108" s="769"/>
      <c r="IPG108" s="769"/>
      <c r="IPH108" s="769"/>
      <c r="IPI108" s="769"/>
      <c r="IPJ108" s="769"/>
      <c r="IPK108" s="769"/>
      <c r="IPL108" s="769"/>
      <c r="IPM108" s="769"/>
      <c r="IPN108" s="769"/>
      <c r="IPO108" s="769"/>
      <c r="IPP108" s="769"/>
      <c r="IPQ108" s="769"/>
      <c r="IPR108" s="769"/>
      <c r="IPS108" s="769"/>
      <c r="IPT108" s="769"/>
      <c r="IPU108" s="769"/>
      <c r="IPV108" s="769"/>
      <c r="IPW108" s="769"/>
      <c r="IPX108" s="769"/>
      <c r="IPY108" s="769"/>
      <c r="IPZ108" s="769"/>
      <c r="IQA108" s="769"/>
      <c r="IQB108" s="769"/>
      <c r="IQC108" s="769"/>
      <c r="IQD108" s="769"/>
      <c r="IQE108" s="769"/>
      <c r="IQF108" s="769"/>
      <c r="IQG108" s="769"/>
      <c r="IQH108" s="769"/>
      <c r="IQI108" s="769"/>
      <c r="IQJ108" s="769"/>
      <c r="IQK108" s="769"/>
      <c r="IQL108" s="769"/>
      <c r="IQM108" s="769"/>
      <c r="IQN108" s="769"/>
      <c r="IQO108" s="769"/>
      <c r="IQP108" s="769"/>
      <c r="IQQ108" s="769"/>
      <c r="IQR108" s="769"/>
      <c r="IQS108" s="769"/>
      <c r="IQT108" s="769"/>
      <c r="IQU108" s="769"/>
      <c r="IQV108" s="769"/>
      <c r="IQW108" s="769"/>
      <c r="IQX108" s="769"/>
      <c r="IQY108" s="769"/>
      <c r="IQZ108" s="769"/>
      <c r="IRA108" s="769"/>
      <c r="IRB108" s="769"/>
      <c r="IRC108" s="769"/>
      <c r="IRD108" s="769"/>
      <c r="IRE108" s="769"/>
      <c r="IRF108" s="769"/>
      <c r="IRG108" s="769"/>
      <c r="IRH108" s="769"/>
      <c r="IRI108" s="769"/>
      <c r="IRJ108" s="769"/>
      <c r="IRK108" s="769"/>
      <c r="IRL108" s="769"/>
      <c r="IRM108" s="769"/>
      <c r="IRN108" s="769"/>
      <c r="IRO108" s="769"/>
      <c r="IRP108" s="769"/>
      <c r="IRQ108" s="769"/>
      <c r="IRR108" s="769"/>
      <c r="IRS108" s="769"/>
      <c r="IRT108" s="769"/>
      <c r="IRU108" s="769"/>
      <c r="IRV108" s="769"/>
      <c r="IRW108" s="769"/>
      <c r="IRX108" s="769"/>
      <c r="IRY108" s="769"/>
      <c r="IRZ108" s="769"/>
      <c r="ISA108" s="769"/>
      <c r="ISB108" s="769"/>
      <c r="ISC108" s="769"/>
      <c r="ISD108" s="769"/>
      <c r="ISE108" s="769"/>
      <c r="ISF108" s="769"/>
      <c r="ISG108" s="769"/>
      <c r="ISH108" s="769"/>
      <c r="ISI108" s="769"/>
      <c r="ISJ108" s="769"/>
      <c r="ISK108" s="769"/>
      <c r="ISL108" s="769"/>
      <c r="ISM108" s="769"/>
      <c r="ISN108" s="769"/>
      <c r="ISO108" s="769"/>
      <c r="ISP108" s="769"/>
      <c r="ISQ108" s="769"/>
      <c r="ISR108" s="769"/>
      <c r="ISS108" s="769"/>
      <c r="IST108" s="769"/>
      <c r="ISU108" s="769"/>
      <c r="ISV108" s="769"/>
      <c r="ISW108" s="769"/>
      <c r="ISX108" s="769"/>
      <c r="ISY108" s="769"/>
      <c r="ISZ108" s="769"/>
      <c r="ITA108" s="769"/>
      <c r="ITB108" s="769"/>
      <c r="ITC108" s="769"/>
      <c r="ITD108" s="769"/>
      <c r="ITE108" s="769"/>
      <c r="ITF108" s="769"/>
      <c r="ITG108" s="769"/>
      <c r="ITH108" s="769"/>
      <c r="ITI108" s="769"/>
      <c r="ITJ108" s="769"/>
      <c r="ITK108" s="769"/>
      <c r="ITL108" s="769"/>
      <c r="ITM108" s="769"/>
      <c r="ITN108" s="769"/>
      <c r="ITO108" s="769"/>
      <c r="ITP108" s="769"/>
      <c r="ITQ108" s="769"/>
      <c r="ITR108" s="769"/>
      <c r="ITS108" s="769"/>
      <c r="ITT108" s="769"/>
      <c r="ITU108" s="769"/>
      <c r="ITV108" s="769"/>
      <c r="ITW108" s="769"/>
      <c r="ITX108" s="769"/>
      <c r="ITY108" s="769"/>
      <c r="ITZ108" s="769"/>
      <c r="IUA108" s="769"/>
      <c r="IUB108" s="769"/>
      <c r="IUC108" s="769"/>
      <c r="IUD108" s="769"/>
      <c r="IUE108" s="769"/>
      <c r="IUF108" s="769"/>
      <c r="IUG108" s="769"/>
      <c r="IUH108" s="769"/>
      <c r="IUI108" s="769"/>
      <c r="IUJ108" s="769"/>
      <c r="IUK108" s="769"/>
      <c r="IUL108" s="769"/>
      <c r="IUM108" s="769"/>
      <c r="IUN108" s="769"/>
      <c r="IUO108" s="769"/>
      <c r="IUP108" s="769"/>
      <c r="IUQ108" s="769"/>
      <c r="IUR108" s="769"/>
      <c r="IUS108" s="769"/>
      <c r="IUT108" s="769"/>
      <c r="IUU108" s="769"/>
      <c r="IUV108" s="769"/>
      <c r="IUW108" s="769"/>
      <c r="IUX108" s="769"/>
      <c r="IUY108" s="769"/>
      <c r="IUZ108" s="769"/>
      <c r="IVA108" s="769"/>
      <c r="IVB108" s="769"/>
      <c r="IVC108" s="769"/>
      <c r="IVD108" s="769"/>
      <c r="IVE108" s="769"/>
      <c r="IVF108" s="769"/>
      <c r="IVG108" s="769"/>
      <c r="IVH108" s="769"/>
      <c r="IVI108" s="769"/>
      <c r="IVJ108" s="769"/>
      <c r="IVK108" s="769"/>
      <c r="IVL108" s="769"/>
      <c r="IVM108" s="769"/>
      <c r="IVN108" s="769"/>
      <c r="IVO108" s="769"/>
      <c r="IVP108" s="769"/>
      <c r="IVQ108" s="769"/>
      <c r="IVR108" s="769"/>
      <c r="IVS108" s="769"/>
      <c r="IVT108" s="769"/>
      <c r="IVU108" s="769"/>
      <c r="IVV108" s="769"/>
      <c r="IVW108" s="769"/>
      <c r="IVX108" s="769"/>
      <c r="IVY108" s="769"/>
      <c r="IVZ108" s="769"/>
      <c r="IWA108" s="769"/>
      <c r="IWB108" s="769"/>
      <c r="IWC108" s="769"/>
      <c r="IWD108" s="769"/>
      <c r="IWE108" s="769"/>
      <c r="IWF108" s="769"/>
      <c r="IWG108" s="769"/>
      <c r="IWH108" s="769"/>
      <c r="IWI108" s="769"/>
      <c r="IWJ108" s="769"/>
      <c r="IWK108" s="769"/>
      <c r="IWL108" s="769"/>
      <c r="IWM108" s="769"/>
      <c r="IWN108" s="769"/>
      <c r="IWO108" s="769"/>
      <c r="IWP108" s="769"/>
      <c r="IWQ108" s="769"/>
      <c r="IWR108" s="769"/>
      <c r="IWS108" s="769"/>
      <c r="IWT108" s="769"/>
      <c r="IWU108" s="769"/>
      <c r="IWV108" s="769"/>
      <c r="IWW108" s="769"/>
      <c r="IWX108" s="769"/>
      <c r="IWY108" s="769"/>
      <c r="IWZ108" s="769"/>
      <c r="IXA108" s="769"/>
      <c r="IXB108" s="769"/>
      <c r="IXC108" s="769"/>
      <c r="IXD108" s="769"/>
      <c r="IXE108" s="769"/>
      <c r="IXF108" s="769"/>
      <c r="IXG108" s="769"/>
      <c r="IXH108" s="769"/>
      <c r="IXI108" s="769"/>
      <c r="IXJ108" s="769"/>
      <c r="IXK108" s="769"/>
      <c r="IXL108" s="769"/>
      <c r="IXM108" s="769"/>
      <c r="IXN108" s="769"/>
      <c r="IXO108" s="769"/>
      <c r="IXP108" s="769"/>
      <c r="IXQ108" s="769"/>
      <c r="IXR108" s="769"/>
      <c r="IXS108" s="769"/>
      <c r="IXT108" s="769"/>
      <c r="IXU108" s="769"/>
      <c r="IXV108" s="769"/>
      <c r="IXW108" s="769"/>
      <c r="IXX108" s="769"/>
      <c r="IXY108" s="769"/>
      <c r="IXZ108" s="769"/>
      <c r="IYA108" s="769"/>
      <c r="IYB108" s="769"/>
      <c r="IYC108" s="769"/>
      <c r="IYD108" s="769"/>
      <c r="IYE108" s="769"/>
      <c r="IYF108" s="769"/>
      <c r="IYG108" s="769"/>
      <c r="IYH108" s="769"/>
      <c r="IYI108" s="769"/>
      <c r="IYJ108" s="769"/>
      <c r="IYK108" s="769"/>
      <c r="IYL108" s="769"/>
      <c r="IYM108" s="769"/>
      <c r="IYN108" s="769"/>
      <c r="IYO108" s="769"/>
      <c r="IYP108" s="769"/>
      <c r="IYQ108" s="769"/>
      <c r="IYR108" s="769"/>
      <c r="IYS108" s="769"/>
      <c r="IYT108" s="769"/>
      <c r="IYU108" s="769"/>
      <c r="IYV108" s="769"/>
      <c r="IYW108" s="769"/>
      <c r="IYX108" s="769"/>
      <c r="IYY108" s="769"/>
      <c r="IYZ108" s="769"/>
      <c r="IZA108" s="769"/>
      <c r="IZB108" s="769"/>
      <c r="IZC108" s="769"/>
      <c r="IZD108" s="769"/>
      <c r="IZE108" s="769"/>
      <c r="IZF108" s="769"/>
      <c r="IZG108" s="769"/>
      <c r="IZH108" s="769"/>
      <c r="IZI108" s="769"/>
      <c r="IZJ108" s="769"/>
      <c r="IZK108" s="769"/>
      <c r="IZL108" s="769"/>
      <c r="IZM108" s="769"/>
      <c r="IZN108" s="769"/>
      <c r="IZO108" s="769"/>
      <c r="IZP108" s="769"/>
      <c r="IZQ108" s="769"/>
      <c r="IZR108" s="769"/>
      <c r="IZS108" s="769"/>
      <c r="IZT108" s="769"/>
      <c r="IZU108" s="769"/>
      <c r="IZV108" s="769"/>
      <c r="IZW108" s="769"/>
      <c r="IZX108" s="769"/>
      <c r="IZY108" s="769"/>
      <c r="IZZ108" s="769"/>
      <c r="JAA108" s="769"/>
      <c r="JAB108" s="769"/>
      <c r="JAC108" s="769"/>
      <c r="JAD108" s="769"/>
      <c r="JAE108" s="769"/>
      <c r="JAF108" s="769"/>
      <c r="JAG108" s="769"/>
      <c r="JAH108" s="769"/>
      <c r="JAI108" s="769"/>
      <c r="JAJ108" s="769"/>
      <c r="JAK108" s="769"/>
      <c r="JAL108" s="769"/>
      <c r="JAM108" s="769"/>
      <c r="JAN108" s="769"/>
      <c r="JAO108" s="769"/>
      <c r="JAP108" s="769"/>
      <c r="JAQ108" s="769"/>
      <c r="JAR108" s="769"/>
      <c r="JAS108" s="769"/>
      <c r="JAT108" s="769"/>
      <c r="JAU108" s="769"/>
      <c r="JAV108" s="769"/>
      <c r="JAW108" s="769"/>
      <c r="JAX108" s="769"/>
      <c r="JAY108" s="769"/>
      <c r="JAZ108" s="769"/>
      <c r="JBA108" s="769"/>
      <c r="JBB108" s="769"/>
      <c r="JBC108" s="769"/>
      <c r="JBD108" s="769"/>
      <c r="JBE108" s="769"/>
      <c r="JBF108" s="769"/>
      <c r="JBG108" s="769"/>
      <c r="JBH108" s="769"/>
      <c r="JBI108" s="769"/>
      <c r="JBJ108" s="769"/>
      <c r="JBK108" s="769"/>
      <c r="JBL108" s="769"/>
      <c r="JBM108" s="769"/>
      <c r="JBN108" s="769"/>
      <c r="JBO108" s="769"/>
      <c r="JBP108" s="769"/>
      <c r="JBQ108" s="769"/>
      <c r="JBR108" s="769"/>
      <c r="JBS108" s="769"/>
      <c r="JBT108" s="769"/>
      <c r="JBU108" s="769"/>
      <c r="JBV108" s="769"/>
      <c r="JBW108" s="769"/>
      <c r="JBX108" s="769"/>
      <c r="JBY108" s="769"/>
      <c r="JBZ108" s="769"/>
      <c r="JCA108" s="769"/>
      <c r="JCB108" s="769"/>
      <c r="JCC108" s="769"/>
      <c r="JCD108" s="769"/>
      <c r="JCE108" s="769"/>
      <c r="JCF108" s="769"/>
      <c r="JCG108" s="769"/>
      <c r="JCH108" s="769"/>
      <c r="JCI108" s="769"/>
      <c r="JCJ108" s="769"/>
      <c r="JCK108" s="769"/>
      <c r="JCL108" s="769"/>
      <c r="JCM108" s="769"/>
      <c r="JCN108" s="769"/>
      <c r="JCO108" s="769"/>
      <c r="JCP108" s="769"/>
      <c r="JCQ108" s="769"/>
      <c r="JCR108" s="769"/>
      <c r="JCS108" s="769"/>
      <c r="JCT108" s="769"/>
      <c r="JCU108" s="769"/>
      <c r="JCV108" s="769"/>
      <c r="JCW108" s="769"/>
      <c r="JCX108" s="769"/>
      <c r="JCY108" s="769"/>
      <c r="JCZ108" s="769"/>
      <c r="JDA108" s="769"/>
      <c r="JDB108" s="769"/>
      <c r="JDC108" s="769"/>
      <c r="JDD108" s="769"/>
      <c r="JDE108" s="769"/>
      <c r="JDF108" s="769"/>
      <c r="JDG108" s="769"/>
      <c r="JDH108" s="769"/>
      <c r="JDI108" s="769"/>
      <c r="JDJ108" s="769"/>
      <c r="JDK108" s="769"/>
      <c r="JDL108" s="769"/>
      <c r="JDM108" s="769"/>
      <c r="JDN108" s="769"/>
      <c r="JDO108" s="769"/>
      <c r="JDP108" s="769"/>
      <c r="JDQ108" s="769"/>
      <c r="JDR108" s="769"/>
      <c r="JDS108" s="769"/>
      <c r="JDT108" s="769"/>
      <c r="JDU108" s="769"/>
      <c r="JDV108" s="769"/>
      <c r="JDW108" s="769"/>
      <c r="JDX108" s="769"/>
      <c r="JDY108" s="769"/>
      <c r="JDZ108" s="769"/>
      <c r="JEA108" s="769"/>
      <c r="JEB108" s="769"/>
      <c r="JEC108" s="769"/>
      <c r="JED108" s="769"/>
      <c r="JEE108" s="769"/>
      <c r="JEF108" s="769"/>
      <c r="JEG108" s="769"/>
      <c r="JEH108" s="769"/>
      <c r="JEI108" s="769"/>
      <c r="JEJ108" s="769"/>
      <c r="JEK108" s="769"/>
      <c r="JEL108" s="769"/>
      <c r="JEM108" s="769"/>
      <c r="JEN108" s="769"/>
      <c r="JEO108" s="769"/>
      <c r="JEP108" s="769"/>
      <c r="JEQ108" s="769"/>
      <c r="JER108" s="769"/>
      <c r="JES108" s="769"/>
      <c r="JET108" s="769"/>
      <c r="JEU108" s="769"/>
      <c r="JEV108" s="769"/>
      <c r="JEW108" s="769"/>
      <c r="JEX108" s="769"/>
      <c r="JEY108" s="769"/>
      <c r="JEZ108" s="769"/>
      <c r="JFA108" s="769"/>
      <c r="JFB108" s="769"/>
      <c r="JFC108" s="769"/>
      <c r="JFD108" s="769"/>
      <c r="JFE108" s="769"/>
      <c r="JFF108" s="769"/>
      <c r="JFG108" s="769"/>
      <c r="JFH108" s="769"/>
      <c r="JFI108" s="769"/>
      <c r="JFJ108" s="769"/>
      <c r="JFK108" s="769"/>
      <c r="JFL108" s="769"/>
      <c r="JFM108" s="769"/>
      <c r="JFN108" s="769"/>
      <c r="JFO108" s="769"/>
      <c r="JFP108" s="769"/>
      <c r="JFQ108" s="769"/>
      <c r="JFR108" s="769"/>
      <c r="JFS108" s="769"/>
      <c r="JFT108" s="769"/>
      <c r="JFU108" s="769"/>
      <c r="JFV108" s="769"/>
      <c r="JFW108" s="769"/>
      <c r="JFX108" s="769"/>
      <c r="JFY108" s="769"/>
      <c r="JFZ108" s="769"/>
      <c r="JGA108" s="769"/>
      <c r="JGB108" s="769"/>
      <c r="JGC108" s="769"/>
      <c r="JGD108" s="769"/>
      <c r="JGE108" s="769"/>
      <c r="JGF108" s="769"/>
      <c r="JGG108" s="769"/>
      <c r="JGH108" s="769"/>
      <c r="JGI108" s="769"/>
      <c r="JGJ108" s="769"/>
      <c r="JGK108" s="769"/>
      <c r="JGL108" s="769"/>
      <c r="JGM108" s="769"/>
      <c r="JGN108" s="769"/>
      <c r="JGO108" s="769"/>
      <c r="JGP108" s="769"/>
      <c r="JGQ108" s="769"/>
      <c r="JGR108" s="769"/>
      <c r="JGS108" s="769"/>
      <c r="JGT108" s="769"/>
      <c r="JGU108" s="769"/>
      <c r="JGV108" s="769"/>
      <c r="JGW108" s="769"/>
      <c r="JGX108" s="769"/>
      <c r="JGY108" s="769"/>
      <c r="JGZ108" s="769"/>
      <c r="JHA108" s="769"/>
      <c r="JHB108" s="769"/>
      <c r="JHC108" s="769"/>
      <c r="JHD108" s="769"/>
      <c r="JHE108" s="769"/>
      <c r="JHF108" s="769"/>
      <c r="JHG108" s="769"/>
      <c r="JHH108" s="769"/>
      <c r="JHI108" s="769"/>
      <c r="JHJ108" s="769"/>
      <c r="JHK108" s="769"/>
      <c r="JHL108" s="769"/>
      <c r="JHM108" s="769"/>
      <c r="JHN108" s="769"/>
      <c r="JHO108" s="769"/>
      <c r="JHP108" s="769"/>
      <c r="JHQ108" s="769"/>
      <c r="JHR108" s="769"/>
      <c r="JHS108" s="769"/>
      <c r="JHT108" s="769"/>
      <c r="JHU108" s="769"/>
      <c r="JHV108" s="769"/>
      <c r="JHW108" s="769"/>
      <c r="JHX108" s="769"/>
      <c r="JHY108" s="769"/>
      <c r="JHZ108" s="769"/>
      <c r="JIA108" s="769"/>
      <c r="JIB108" s="769"/>
      <c r="JIC108" s="769"/>
      <c r="JID108" s="769"/>
      <c r="JIE108" s="769"/>
      <c r="JIF108" s="769"/>
      <c r="JIG108" s="769"/>
      <c r="JIH108" s="769"/>
      <c r="JII108" s="769"/>
      <c r="JIJ108" s="769"/>
      <c r="JIK108" s="769"/>
      <c r="JIL108" s="769"/>
      <c r="JIM108" s="769"/>
      <c r="JIN108" s="769"/>
      <c r="JIO108" s="769"/>
      <c r="JIP108" s="769"/>
      <c r="JIQ108" s="769"/>
      <c r="JIR108" s="769"/>
      <c r="JIS108" s="769"/>
      <c r="JIT108" s="769"/>
      <c r="JIU108" s="769"/>
      <c r="JIV108" s="769"/>
      <c r="JIW108" s="769"/>
      <c r="JIX108" s="769"/>
      <c r="JIY108" s="769"/>
      <c r="JIZ108" s="769"/>
      <c r="JJA108" s="769"/>
      <c r="JJB108" s="769"/>
      <c r="JJC108" s="769"/>
      <c r="JJD108" s="769"/>
      <c r="JJE108" s="769"/>
      <c r="JJF108" s="769"/>
      <c r="JJG108" s="769"/>
      <c r="JJH108" s="769"/>
      <c r="JJI108" s="769"/>
      <c r="JJJ108" s="769"/>
      <c r="JJK108" s="769"/>
      <c r="JJL108" s="769"/>
      <c r="JJM108" s="769"/>
      <c r="JJN108" s="769"/>
      <c r="JJO108" s="769"/>
      <c r="JJP108" s="769"/>
      <c r="JJQ108" s="769"/>
      <c r="JJR108" s="769"/>
      <c r="JJS108" s="769"/>
      <c r="JJT108" s="769"/>
      <c r="JJU108" s="769"/>
      <c r="JJV108" s="769"/>
      <c r="JJW108" s="769"/>
      <c r="JJX108" s="769"/>
      <c r="JJY108" s="769"/>
      <c r="JJZ108" s="769"/>
      <c r="JKA108" s="769"/>
      <c r="JKB108" s="769"/>
      <c r="JKC108" s="769"/>
      <c r="JKD108" s="769"/>
      <c r="JKE108" s="769"/>
      <c r="JKF108" s="769"/>
      <c r="JKG108" s="769"/>
      <c r="JKH108" s="769"/>
      <c r="JKI108" s="769"/>
      <c r="JKJ108" s="769"/>
      <c r="JKK108" s="769"/>
      <c r="JKL108" s="769"/>
      <c r="JKM108" s="769"/>
      <c r="JKN108" s="769"/>
      <c r="JKO108" s="769"/>
      <c r="JKP108" s="769"/>
      <c r="JKQ108" s="769"/>
      <c r="JKR108" s="769"/>
      <c r="JKS108" s="769"/>
      <c r="JKT108" s="769"/>
      <c r="JKU108" s="769"/>
      <c r="JKV108" s="769"/>
      <c r="JKW108" s="769"/>
      <c r="JKX108" s="769"/>
      <c r="JKY108" s="769"/>
      <c r="JKZ108" s="769"/>
      <c r="JLA108" s="769"/>
      <c r="JLB108" s="769"/>
      <c r="JLC108" s="769"/>
      <c r="JLD108" s="769"/>
      <c r="JLE108" s="769"/>
      <c r="JLF108" s="769"/>
      <c r="JLG108" s="769"/>
      <c r="JLH108" s="769"/>
      <c r="JLI108" s="769"/>
      <c r="JLJ108" s="769"/>
      <c r="JLK108" s="769"/>
      <c r="JLL108" s="769"/>
      <c r="JLM108" s="769"/>
      <c r="JLN108" s="769"/>
      <c r="JLO108" s="769"/>
      <c r="JLP108" s="769"/>
      <c r="JLQ108" s="769"/>
      <c r="JLR108" s="769"/>
      <c r="JLS108" s="769"/>
      <c r="JLT108" s="769"/>
      <c r="JLU108" s="769"/>
      <c r="JLV108" s="769"/>
      <c r="JLW108" s="769"/>
      <c r="JLX108" s="769"/>
      <c r="JLY108" s="769"/>
      <c r="JLZ108" s="769"/>
      <c r="JMA108" s="769"/>
      <c r="JMB108" s="769"/>
      <c r="JMC108" s="769"/>
      <c r="JMD108" s="769"/>
      <c r="JME108" s="769"/>
      <c r="JMF108" s="769"/>
      <c r="JMG108" s="769"/>
      <c r="JMH108" s="769"/>
      <c r="JMI108" s="769"/>
      <c r="JMJ108" s="769"/>
      <c r="JMK108" s="769"/>
      <c r="JML108" s="769"/>
      <c r="JMM108" s="769"/>
      <c r="JMN108" s="769"/>
      <c r="JMO108" s="769"/>
      <c r="JMP108" s="769"/>
      <c r="JMQ108" s="769"/>
      <c r="JMR108" s="769"/>
      <c r="JMS108" s="769"/>
      <c r="JMT108" s="769"/>
      <c r="JMU108" s="769"/>
      <c r="JMV108" s="769"/>
      <c r="JMW108" s="769"/>
      <c r="JMX108" s="769"/>
      <c r="JMY108" s="769"/>
      <c r="JMZ108" s="769"/>
      <c r="JNA108" s="769"/>
      <c r="JNB108" s="769"/>
      <c r="JNC108" s="769"/>
      <c r="JND108" s="769"/>
      <c r="JNE108" s="769"/>
      <c r="JNF108" s="769"/>
      <c r="JNG108" s="769"/>
      <c r="JNH108" s="769"/>
      <c r="JNI108" s="769"/>
      <c r="JNJ108" s="769"/>
      <c r="JNK108" s="769"/>
      <c r="JNL108" s="769"/>
      <c r="JNM108" s="769"/>
      <c r="JNN108" s="769"/>
      <c r="JNO108" s="769"/>
      <c r="JNP108" s="769"/>
      <c r="JNQ108" s="769"/>
      <c r="JNR108" s="769"/>
      <c r="JNS108" s="769"/>
      <c r="JNT108" s="769"/>
      <c r="JNU108" s="769"/>
      <c r="JNV108" s="769"/>
      <c r="JNW108" s="769"/>
      <c r="JNX108" s="769"/>
      <c r="JNY108" s="769"/>
      <c r="JNZ108" s="769"/>
      <c r="JOA108" s="769"/>
      <c r="JOB108" s="769"/>
      <c r="JOC108" s="769"/>
      <c r="JOD108" s="769"/>
      <c r="JOE108" s="769"/>
      <c r="JOF108" s="769"/>
      <c r="JOG108" s="769"/>
      <c r="JOH108" s="769"/>
      <c r="JOI108" s="769"/>
      <c r="JOJ108" s="769"/>
      <c r="JOK108" s="769"/>
      <c r="JOL108" s="769"/>
      <c r="JOM108" s="769"/>
      <c r="JON108" s="769"/>
      <c r="JOO108" s="769"/>
      <c r="JOP108" s="769"/>
      <c r="JOQ108" s="769"/>
      <c r="JOR108" s="769"/>
      <c r="JOS108" s="769"/>
      <c r="JOT108" s="769"/>
      <c r="JOU108" s="769"/>
      <c r="JOV108" s="769"/>
      <c r="JOW108" s="769"/>
      <c r="JOX108" s="769"/>
      <c r="JOY108" s="769"/>
      <c r="JOZ108" s="769"/>
      <c r="JPA108" s="769"/>
      <c r="JPB108" s="769"/>
      <c r="JPC108" s="769"/>
      <c r="JPD108" s="769"/>
      <c r="JPE108" s="769"/>
      <c r="JPF108" s="769"/>
      <c r="JPG108" s="769"/>
      <c r="JPH108" s="769"/>
      <c r="JPI108" s="769"/>
      <c r="JPJ108" s="769"/>
      <c r="JPK108" s="769"/>
      <c r="JPL108" s="769"/>
      <c r="JPM108" s="769"/>
      <c r="JPN108" s="769"/>
      <c r="JPO108" s="769"/>
      <c r="JPP108" s="769"/>
      <c r="JPQ108" s="769"/>
      <c r="JPR108" s="769"/>
      <c r="JPS108" s="769"/>
      <c r="JPT108" s="769"/>
      <c r="JPU108" s="769"/>
      <c r="JPV108" s="769"/>
      <c r="JPW108" s="769"/>
      <c r="JPX108" s="769"/>
      <c r="JPY108" s="769"/>
      <c r="JPZ108" s="769"/>
      <c r="JQA108" s="769"/>
      <c r="JQB108" s="769"/>
      <c r="JQC108" s="769"/>
      <c r="JQD108" s="769"/>
      <c r="JQE108" s="769"/>
      <c r="JQF108" s="769"/>
      <c r="JQG108" s="769"/>
      <c r="JQH108" s="769"/>
      <c r="JQI108" s="769"/>
      <c r="JQJ108" s="769"/>
      <c r="JQK108" s="769"/>
      <c r="JQL108" s="769"/>
      <c r="JQM108" s="769"/>
      <c r="JQN108" s="769"/>
      <c r="JQO108" s="769"/>
      <c r="JQP108" s="769"/>
      <c r="JQQ108" s="769"/>
      <c r="JQR108" s="769"/>
      <c r="JQS108" s="769"/>
      <c r="JQT108" s="769"/>
      <c r="JQU108" s="769"/>
      <c r="JQV108" s="769"/>
      <c r="JQW108" s="769"/>
      <c r="JQX108" s="769"/>
      <c r="JQY108" s="769"/>
      <c r="JQZ108" s="769"/>
      <c r="JRA108" s="769"/>
      <c r="JRB108" s="769"/>
      <c r="JRC108" s="769"/>
      <c r="JRD108" s="769"/>
      <c r="JRE108" s="769"/>
      <c r="JRF108" s="769"/>
      <c r="JRG108" s="769"/>
      <c r="JRH108" s="769"/>
      <c r="JRI108" s="769"/>
      <c r="JRJ108" s="769"/>
      <c r="JRK108" s="769"/>
      <c r="JRL108" s="769"/>
      <c r="JRM108" s="769"/>
      <c r="JRN108" s="769"/>
      <c r="JRO108" s="769"/>
      <c r="JRP108" s="769"/>
      <c r="JRQ108" s="769"/>
      <c r="JRR108" s="769"/>
      <c r="JRS108" s="769"/>
      <c r="JRT108" s="769"/>
      <c r="JRU108" s="769"/>
      <c r="JRV108" s="769"/>
      <c r="JRW108" s="769"/>
      <c r="JRX108" s="769"/>
      <c r="JRY108" s="769"/>
      <c r="JRZ108" s="769"/>
      <c r="JSA108" s="769"/>
      <c r="JSB108" s="769"/>
      <c r="JSC108" s="769"/>
      <c r="JSD108" s="769"/>
      <c r="JSE108" s="769"/>
      <c r="JSF108" s="769"/>
      <c r="JSG108" s="769"/>
      <c r="JSH108" s="769"/>
      <c r="JSI108" s="769"/>
      <c r="JSJ108" s="769"/>
      <c r="JSK108" s="769"/>
      <c r="JSL108" s="769"/>
      <c r="JSM108" s="769"/>
      <c r="JSN108" s="769"/>
      <c r="JSO108" s="769"/>
      <c r="JSP108" s="769"/>
      <c r="JSQ108" s="769"/>
      <c r="JSR108" s="769"/>
      <c r="JSS108" s="769"/>
      <c r="JST108" s="769"/>
      <c r="JSU108" s="769"/>
      <c r="JSV108" s="769"/>
      <c r="JSW108" s="769"/>
      <c r="JSX108" s="769"/>
      <c r="JSY108" s="769"/>
      <c r="JSZ108" s="769"/>
      <c r="JTA108" s="769"/>
      <c r="JTB108" s="769"/>
      <c r="JTC108" s="769"/>
      <c r="JTD108" s="769"/>
      <c r="JTE108" s="769"/>
      <c r="JTF108" s="769"/>
      <c r="JTG108" s="769"/>
      <c r="JTH108" s="769"/>
      <c r="JTI108" s="769"/>
      <c r="JTJ108" s="769"/>
      <c r="JTK108" s="769"/>
      <c r="JTL108" s="769"/>
      <c r="JTM108" s="769"/>
      <c r="JTN108" s="769"/>
      <c r="JTO108" s="769"/>
      <c r="JTP108" s="769"/>
      <c r="JTQ108" s="769"/>
      <c r="JTR108" s="769"/>
      <c r="JTS108" s="769"/>
      <c r="JTT108" s="769"/>
      <c r="JTU108" s="769"/>
      <c r="JTV108" s="769"/>
      <c r="JTW108" s="769"/>
      <c r="JTX108" s="769"/>
      <c r="JTY108" s="769"/>
      <c r="JTZ108" s="769"/>
      <c r="JUA108" s="769"/>
      <c r="JUB108" s="769"/>
      <c r="JUC108" s="769"/>
      <c r="JUD108" s="769"/>
      <c r="JUE108" s="769"/>
      <c r="JUF108" s="769"/>
      <c r="JUG108" s="769"/>
      <c r="JUH108" s="769"/>
      <c r="JUI108" s="769"/>
      <c r="JUJ108" s="769"/>
      <c r="JUK108" s="769"/>
      <c r="JUL108" s="769"/>
      <c r="JUM108" s="769"/>
      <c r="JUN108" s="769"/>
      <c r="JUO108" s="769"/>
      <c r="JUP108" s="769"/>
      <c r="JUQ108" s="769"/>
      <c r="JUR108" s="769"/>
      <c r="JUS108" s="769"/>
      <c r="JUT108" s="769"/>
      <c r="JUU108" s="769"/>
      <c r="JUV108" s="769"/>
      <c r="JUW108" s="769"/>
      <c r="JUX108" s="769"/>
      <c r="JUY108" s="769"/>
      <c r="JUZ108" s="769"/>
      <c r="JVA108" s="769"/>
      <c r="JVB108" s="769"/>
      <c r="JVC108" s="769"/>
      <c r="JVD108" s="769"/>
      <c r="JVE108" s="769"/>
      <c r="JVF108" s="769"/>
      <c r="JVG108" s="769"/>
      <c r="JVH108" s="769"/>
      <c r="JVI108" s="769"/>
      <c r="JVJ108" s="769"/>
      <c r="JVK108" s="769"/>
      <c r="JVL108" s="769"/>
      <c r="JVM108" s="769"/>
      <c r="JVN108" s="769"/>
      <c r="JVO108" s="769"/>
      <c r="JVP108" s="769"/>
      <c r="JVQ108" s="769"/>
      <c r="JVR108" s="769"/>
      <c r="JVS108" s="769"/>
      <c r="JVT108" s="769"/>
      <c r="JVU108" s="769"/>
      <c r="JVV108" s="769"/>
      <c r="JVW108" s="769"/>
      <c r="JVX108" s="769"/>
      <c r="JVY108" s="769"/>
      <c r="JVZ108" s="769"/>
      <c r="JWA108" s="769"/>
      <c r="JWB108" s="769"/>
      <c r="JWC108" s="769"/>
      <c r="JWD108" s="769"/>
      <c r="JWE108" s="769"/>
      <c r="JWF108" s="769"/>
      <c r="JWG108" s="769"/>
      <c r="JWH108" s="769"/>
      <c r="JWI108" s="769"/>
      <c r="JWJ108" s="769"/>
      <c r="JWK108" s="769"/>
      <c r="JWL108" s="769"/>
      <c r="JWM108" s="769"/>
      <c r="JWN108" s="769"/>
      <c r="JWO108" s="769"/>
      <c r="JWP108" s="769"/>
      <c r="JWQ108" s="769"/>
      <c r="JWR108" s="769"/>
      <c r="JWS108" s="769"/>
      <c r="JWT108" s="769"/>
      <c r="JWU108" s="769"/>
      <c r="JWV108" s="769"/>
      <c r="JWW108" s="769"/>
      <c r="JWX108" s="769"/>
      <c r="JWY108" s="769"/>
      <c r="JWZ108" s="769"/>
      <c r="JXA108" s="769"/>
      <c r="JXB108" s="769"/>
      <c r="JXC108" s="769"/>
      <c r="JXD108" s="769"/>
      <c r="JXE108" s="769"/>
      <c r="JXF108" s="769"/>
      <c r="JXG108" s="769"/>
      <c r="JXH108" s="769"/>
      <c r="JXI108" s="769"/>
      <c r="JXJ108" s="769"/>
      <c r="JXK108" s="769"/>
      <c r="JXL108" s="769"/>
      <c r="JXM108" s="769"/>
      <c r="JXN108" s="769"/>
      <c r="JXO108" s="769"/>
      <c r="JXP108" s="769"/>
      <c r="JXQ108" s="769"/>
      <c r="JXR108" s="769"/>
      <c r="JXS108" s="769"/>
      <c r="JXT108" s="769"/>
      <c r="JXU108" s="769"/>
      <c r="JXV108" s="769"/>
      <c r="JXW108" s="769"/>
      <c r="JXX108" s="769"/>
      <c r="JXY108" s="769"/>
      <c r="JXZ108" s="769"/>
      <c r="JYA108" s="769"/>
      <c r="JYB108" s="769"/>
      <c r="JYC108" s="769"/>
      <c r="JYD108" s="769"/>
      <c r="JYE108" s="769"/>
      <c r="JYF108" s="769"/>
      <c r="JYG108" s="769"/>
      <c r="JYH108" s="769"/>
      <c r="JYI108" s="769"/>
      <c r="JYJ108" s="769"/>
      <c r="JYK108" s="769"/>
      <c r="JYL108" s="769"/>
      <c r="JYM108" s="769"/>
      <c r="JYN108" s="769"/>
      <c r="JYO108" s="769"/>
      <c r="JYP108" s="769"/>
      <c r="JYQ108" s="769"/>
      <c r="JYR108" s="769"/>
      <c r="JYS108" s="769"/>
      <c r="JYT108" s="769"/>
      <c r="JYU108" s="769"/>
      <c r="JYV108" s="769"/>
      <c r="JYW108" s="769"/>
      <c r="JYX108" s="769"/>
      <c r="JYY108" s="769"/>
      <c r="JYZ108" s="769"/>
      <c r="JZA108" s="769"/>
      <c r="JZB108" s="769"/>
      <c r="JZC108" s="769"/>
      <c r="JZD108" s="769"/>
      <c r="JZE108" s="769"/>
      <c r="JZF108" s="769"/>
      <c r="JZG108" s="769"/>
      <c r="JZH108" s="769"/>
      <c r="JZI108" s="769"/>
      <c r="JZJ108" s="769"/>
      <c r="JZK108" s="769"/>
      <c r="JZL108" s="769"/>
      <c r="JZM108" s="769"/>
      <c r="JZN108" s="769"/>
      <c r="JZO108" s="769"/>
      <c r="JZP108" s="769"/>
      <c r="JZQ108" s="769"/>
      <c r="JZR108" s="769"/>
      <c r="JZS108" s="769"/>
      <c r="JZT108" s="769"/>
      <c r="JZU108" s="769"/>
      <c r="JZV108" s="769"/>
      <c r="JZW108" s="769"/>
      <c r="JZX108" s="769"/>
      <c r="JZY108" s="769"/>
      <c r="JZZ108" s="769"/>
      <c r="KAA108" s="769"/>
      <c r="KAB108" s="769"/>
      <c r="KAC108" s="769"/>
      <c r="KAD108" s="769"/>
      <c r="KAE108" s="769"/>
      <c r="KAF108" s="769"/>
      <c r="KAG108" s="769"/>
      <c r="KAH108" s="769"/>
      <c r="KAI108" s="769"/>
      <c r="KAJ108" s="769"/>
      <c r="KAK108" s="769"/>
      <c r="KAL108" s="769"/>
      <c r="KAM108" s="769"/>
      <c r="KAN108" s="769"/>
      <c r="KAO108" s="769"/>
      <c r="KAP108" s="769"/>
      <c r="KAQ108" s="769"/>
      <c r="KAR108" s="769"/>
      <c r="KAS108" s="769"/>
      <c r="KAT108" s="769"/>
      <c r="KAU108" s="769"/>
      <c r="KAV108" s="769"/>
      <c r="KAW108" s="769"/>
      <c r="KAX108" s="769"/>
      <c r="KAY108" s="769"/>
      <c r="KAZ108" s="769"/>
      <c r="KBA108" s="769"/>
      <c r="KBB108" s="769"/>
      <c r="KBC108" s="769"/>
      <c r="KBD108" s="769"/>
      <c r="KBE108" s="769"/>
      <c r="KBF108" s="769"/>
      <c r="KBG108" s="769"/>
      <c r="KBH108" s="769"/>
      <c r="KBI108" s="769"/>
      <c r="KBJ108" s="769"/>
      <c r="KBK108" s="769"/>
      <c r="KBL108" s="769"/>
      <c r="KBM108" s="769"/>
      <c r="KBN108" s="769"/>
      <c r="KBO108" s="769"/>
      <c r="KBP108" s="769"/>
      <c r="KBQ108" s="769"/>
      <c r="KBR108" s="769"/>
      <c r="KBS108" s="769"/>
      <c r="KBT108" s="769"/>
      <c r="KBU108" s="769"/>
      <c r="KBV108" s="769"/>
      <c r="KBW108" s="769"/>
      <c r="KBX108" s="769"/>
      <c r="KBY108" s="769"/>
      <c r="KBZ108" s="769"/>
      <c r="KCA108" s="769"/>
      <c r="KCB108" s="769"/>
      <c r="KCC108" s="769"/>
      <c r="KCD108" s="769"/>
      <c r="KCE108" s="769"/>
      <c r="KCF108" s="769"/>
      <c r="KCG108" s="769"/>
      <c r="KCH108" s="769"/>
      <c r="KCI108" s="769"/>
      <c r="KCJ108" s="769"/>
      <c r="KCK108" s="769"/>
      <c r="KCL108" s="769"/>
      <c r="KCM108" s="769"/>
      <c r="KCN108" s="769"/>
      <c r="KCO108" s="769"/>
      <c r="KCP108" s="769"/>
      <c r="KCQ108" s="769"/>
      <c r="KCR108" s="769"/>
      <c r="KCS108" s="769"/>
      <c r="KCT108" s="769"/>
      <c r="KCU108" s="769"/>
      <c r="KCV108" s="769"/>
      <c r="KCW108" s="769"/>
      <c r="KCX108" s="769"/>
      <c r="KCY108" s="769"/>
      <c r="KCZ108" s="769"/>
      <c r="KDA108" s="769"/>
      <c r="KDB108" s="769"/>
      <c r="KDC108" s="769"/>
      <c r="KDD108" s="769"/>
      <c r="KDE108" s="769"/>
      <c r="KDF108" s="769"/>
      <c r="KDG108" s="769"/>
      <c r="KDH108" s="769"/>
      <c r="KDI108" s="769"/>
      <c r="KDJ108" s="769"/>
      <c r="KDK108" s="769"/>
      <c r="KDL108" s="769"/>
      <c r="KDM108" s="769"/>
      <c r="KDN108" s="769"/>
      <c r="KDO108" s="769"/>
      <c r="KDP108" s="769"/>
      <c r="KDQ108" s="769"/>
      <c r="KDR108" s="769"/>
      <c r="KDS108" s="769"/>
      <c r="KDT108" s="769"/>
      <c r="KDU108" s="769"/>
      <c r="KDV108" s="769"/>
      <c r="KDW108" s="769"/>
      <c r="KDX108" s="769"/>
      <c r="KDY108" s="769"/>
      <c r="KDZ108" s="769"/>
      <c r="KEA108" s="769"/>
      <c r="KEB108" s="769"/>
      <c r="KEC108" s="769"/>
      <c r="KED108" s="769"/>
      <c r="KEE108" s="769"/>
      <c r="KEF108" s="769"/>
      <c r="KEG108" s="769"/>
      <c r="KEH108" s="769"/>
      <c r="KEI108" s="769"/>
      <c r="KEJ108" s="769"/>
      <c r="KEK108" s="769"/>
      <c r="KEL108" s="769"/>
      <c r="KEM108" s="769"/>
      <c r="KEN108" s="769"/>
      <c r="KEO108" s="769"/>
      <c r="KEP108" s="769"/>
      <c r="KEQ108" s="769"/>
      <c r="KER108" s="769"/>
      <c r="KES108" s="769"/>
      <c r="KET108" s="769"/>
      <c r="KEU108" s="769"/>
      <c r="KEV108" s="769"/>
      <c r="KEW108" s="769"/>
      <c r="KEX108" s="769"/>
      <c r="KEY108" s="769"/>
      <c r="KEZ108" s="769"/>
      <c r="KFA108" s="769"/>
      <c r="KFB108" s="769"/>
      <c r="KFC108" s="769"/>
      <c r="KFD108" s="769"/>
      <c r="KFE108" s="769"/>
      <c r="KFF108" s="769"/>
      <c r="KFG108" s="769"/>
      <c r="KFH108" s="769"/>
      <c r="KFI108" s="769"/>
      <c r="KFJ108" s="769"/>
      <c r="KFK108" s="769"/>
      <c r="KFL108" s="769"/>
      <c r="KFM108" s="769"/>
      <c r="KFN108" s="769"/>
      <c r="KFO108" s="769"/>
      <c r="KFP108" s="769"/>
      <c r="KFQ108" s="769"/>
      <c r="KFR108" s="769"/>
      <c r="KFS108" s="769"/>
      <c r="KFT108" s="769"/>
      <c r="KFU108" s="769"/>
      <c r="KFV108" s="769"/>
      <c r="KFW108" s="769"/>
      <c r="KFX108" s="769"/>
      <c r="KFY108" s="769"/>
      <c r="KFZ108" s="769"/>
      <c r="KGA108" s="769"/>
      <c r="KGB108" s="769"/>
      <c r="KGC108" s="769"/>
      <c r="KGD108" s="769"/>
      <c r="KGE108" s="769"/>
      <c r="KGF108" s="769"/>
      <c r="KGG108" s="769"/>
      <c r="KGH108" s="769"/>
      <c r="KGI108" s="769"/>
      <c r="KGJ108" s="769"/>
      <c r="KGK108" s="769"/>
      <c r="KGL108" s="769"/>
      <c r="KGM108" s="769"/>
      <c r="KGN108" s="769"/>
      <c r="KGO108" s="769"/>
      <c r="KGP108" s="769"/>
      <c r="KGQ108" s="769"/>
      <c r="KGR108" s="769"/>
      <c r="KGS108" s="769"/>
      <c r="KGT108" s="769"/>
      <c r="KGU108" s="769"/>
      <c r="KGV108" s="769"/>
      <c r="KGW108" s="769"/>
      <c r="KGX108" s="769"/>
      <c r="KGY108" s="769"/>
      <c r="KGZ108" s="769"/>
      <c r="KHA108" s="769"/>
      <c r="KHB108" s="769"/>
      <c r="KHC108" s="769"/>
      <c r="KHD108" s="769"/>
      <c r="KHE108" s="769"/>
      <c r="KHF108" s="769"/>
      <c r="KHG108" s="769"/>
      <c r="KHH108" s="769"/>
      <c r="KHI108" s="769"/>
      <c r="KHJ108" s="769"/>
      <c r="KHK108" s="769"/>
      <c r="KHL108" s="769"/>
      <c r="KHM108" s="769"/>
      <c r="KHN108" s="769"/>
      <c r="KHO108" s="769"/>
      <c r="KHP108" s="769"/>
      <c r="KHQ108" s="769"/>
      <c r="KHR108" s="769"/>
      <c r="KHS108" s="769"/>
      <c r="KHT108" s="769"/>
      <c r="KHU108" s="769"/>
      <c r="KHV108" s="769"/>
      <c r="KHW108" s="769"/>
      <c r="KHX108" s="769"/>
      <c r="KHY108" s="769"/>
      <c r="KHZ108" s="769"/>
      <c r="KIA108" s="769"/>
      <c r="KIB108" s="769"/>
      <c r="KIC108" s="769"/>
      <c r="KID108" s="769"/>
      <c r="KIE108" s="769"/>
      <c r="KIF108" s="769"/>
      <c r="KIG108" s="769"/>
      <c r="KIH108" s="769"/>
      <c r="KII108" s="769"/>
      <c r="KIJ108" s="769"/>
      <c r="KIK108" s="769"/>
      <c r="KIL108" s="769"/>
      <c r="KIM108" s="769"/>
      <c r="KIN108" s="769"/>
      <c r="KIO108" s="769"/>
      <c r="KIP108" s="769"/>
      <c r="KIQ108" s="769"/>
      <c r="KIR108" s="769"/>
      <c r="KIS108" s="769"/>
      <c r="KIT108" s="769"/>
      <c r="KIU108" s="769"/>
      <c r="KIV108" s="769"/>
      <c r="KIW108" s="769"/>
      <c r="KIX108" s="769"/>
      <c r="KIY108" s="769"/>
      <c r="KIZ108" s="769"/>
      <c r="KJA108" s="769"/>
      <c r="KJB108" s="769"/>
      <c r="KJC108" s="769"/>
      <c r="KJD108" s="769"/>
      <c r="KJE108" s="769"/>
      <c r="KJF108" s="769"/>
      <c r="KJG108" s="769"/>
      <c r="KJH108" s="769"/>
      <c r="KJI108" s="769"/>
      <c r="KJJ108" s="769"/>
      <c r="KJK108" s="769"/>
      <c r="KJL108" s="769"/>
      <c r="KJM108" s="769"/>
      <c r="KJN108" s="769"/>
      <c r="KJO108" s="769"/>
      <c r="KJP108" s="769"/>
      <c r="KJQ108" s="769"/>
      <c r="KJR108" s="769"/>
      <c r="KJS108" s="769"/>
      <c r="KJT108" s="769"/>
      <c r="KJU108" s="769"/>
      <c r="KJV108" s="769"/>
      <c r="KJW108" s="769"/>
      <c r="KJX108" s="769"/>
      <c r="KJY108" s="769"/>
      <c r="KJZ108" s="769"/>
      <c r="KKA108" s="769"/>
      <c r="KKB108" s="769"/>
      <c r="KKC108" s="769"/>
      <c r="KKD108" s="769"/>
      <c r="KKE108" s="769"/>
      <c r="KKF108" s="769"/>
      <c r="KKG108" s="769"/>
      <c r="KKH108" s="769"/>
      <c r="KKI108" s="769"/>
      <c r="KKJ108" s="769"/>
      <c r="KKK108" s="769"/>
      <c r="KKL108" s="769"/>
      <c r="KKM108" s="769"/>
      <c r="KKN108" s="769"/>
      <c r="KKO108" s="769"/>
      <c r="KKP108" s="769"/>
      <c r="KKQ108" s="769"/>
      <c r="KKR108" s="769"/>
      <c r="KKS108" s="769"/>
      <c r="KKT108" s="769"/>
      <c r="KKU108" s="769"/>
      <c r="KKV108" s="769"/>
      <c r="KKW108" s="769"/>
      <c r="KKX108" s="769"/>
      <c r="KKY108" s="769"/>
      <c r="KKZ108" s="769"/>
      <c r="KLA108" s="769"/>
      <c r="KLB108" s="769"/>
      <c r="KLC108" s="769"/>
      <c r="KLD108" s="769"/>
      <c r="KLE108" s="769"/>
      <c r="KLF108" s="769"/>
      <c r="KLG108" s="769"/>
      <c r="KLH108" s="769"/>
      <c r="KLI108" s="769"/>
      <c r="KLJ108" s="769"/>
      <c r="KLK108" s="769"/>
      <c r="KLL108" s="769"/>
      <c r="KLM108" s="769"/>
      <c r="KLN108" s="769"/>
      <c r="KLO108" s="769"/>
      <c r="KLP108" s="769"/>
      <c r="KLQ108" s="769"/>
      <c r="KLR108" s="769"/>
      <c r="KLS108" s="769"/>
      <c r="KLT108" s="769"/>
      <c r="KLU108" s="769"/>
      <c r="KLV108" s="769"/>
      <c r="KLW108" s="769"/>
      <c r="KLX108" s="769"/>
      <c r="KLY108" s="769"/>
      <c r="KLZ108" s="769"/>
      <c r="KMA108" s="769"/>
      <c r="KMB108" s="769"/>
      <c r="KMC108" s="769"/>
      <c r="KMD108" s="769"/>
      <c r="KME108" s="769"/>
      <c r="KMF108" s="769"/>
      <c r="KMG108" s="769"/>
      <c r="KMH108" s="769"/>
      <c r="KMI108" s="769"/>
      <c r="KMJ108" s="769"/>
      <c r="KMK108" s="769"/>
      <c r="KML108" s="769"/>
      <c r="KMM108" s="769"/>
      <c r="KMN108" s="769"/>
      <c r="KMO108" s="769"/>
      <c r="KMP108" s="769"/>
      <c r="KMQ108" s="769"/>
      <c r="KMR108" s="769"/>
      <c r="KMS108" s="769"/>
      <c r="KMT108" s="769"/>
      <c r="KMU108" s="769"/>
      <c r="KMV108" s="769"/>
      <c r="KMW108" s="769"/>
      <c r="KMX108" s="769"/>
      <c r="KMY108" s="769"/>
      <c r="KMZ108" s="769"/>
      <c r="KNA108" s="769"/>
      <c r="KNB108" s="769"/>
      <c r="KNC108" s="769"/>
      <c r="KND108" s="769"/>
      <c r="KNE108" s="769"/>
      <c r="KNF108" s="769"/>
      <c r="KNG108" s="769"/>
      <c r="KNH108" s="769"/>
      <c r="KNI108" s="769"/>
      <c r="KNJ108" s="769"/>
      <c r="KNK108" s="769"/>
      <c r="KNL108" s="769"/>
      <c r="KNM108" s="769"/>
      <c r="KNN108" s="769"/>
      <c r="KNO108" s="769"/>
      <c r="KNP108" s="769"/>
      <c r="KNQ108" s="769"/>
      <c r="KNR108" s="769"/>
      <c r="KNS108" s="769"/>
      <c r="KNT108" s="769"/>
      <c r="KNU108" s="769"/>
      <c r="KNV108" s="769"/>
      <c r="KNW108" s="769"/>
      <c r="KNX108" s="769"/>
      <c r="KNY108" s="769"/>
      <c r="KNZ108" s="769"/>
      <c r="KOA108" s="769"/>
      <c r="KOB108" s="769"/>
      <c r="KOC108" s="769"/>
      <c r="KOD108" s="769"/>
      <c r="KOE108" s="769"/>
      <c r="KOF108" s="769"/>
      <c r="KOG108" s="769"/>
      <c r="KOH108" s="769"/>
      <c r="KOI108" s="769"/>
      <c r="KOJ108" s="769"/>
      <c r="KOK108" s="769"/>
      <c r="KOL108" s="769"/>
      <c r="KOM108" s="769"/>
      <c r="KON108" s="769"/>
      <c r="KOO108" s="769"/>
      <c r="KOP108" s="769"/>
      <c r="KOQ108" s="769"/>
      <c r="KOR108" s="769"/>
      <c r="KOS108" s="769"/>
      <c r="KOT108" s="769"/>
      <c r="KOU108" s="769"/>
      <c r="KOV108" s="769"/>
      <c r="KOW108" s="769"/>
      <c r="KOX108" s="769"/>
      <c r="KOY108" s="769"/>
      <c r="KOZ108" s="769"/>
      <c r="KPA108" s="769"/>
      <c r="KPB108" s="769"/>
      <c r="KPC108" s="769"/>
      <c r="KPD108" s="769"/>
      <c r="KPE108" s="769"/>
      <c r="KPF108" s="769"/>
      <c r="KPG108" s="769"/>
      <c r="KPH108" s="769"/>
      <c r="KPI108" s="769"/>
      <c r="KPJ108" s="769"/>
      <c r="KPK108" s="769"/>
      <c r="KPL108" s="769"/>
      <c r="KPM108" s="769"/>
      <c r="KPN108" s="769"/>
      <c r="KPO108" s="769"/>
      <c r="KPP108" s="769"/>
      <c r="KPQ108" s="769"/>
      <c r="KPR108" s="769"/>
      <c r="KPS108" s="769"/>
      <c r="KPT108" s="769"/>
      <c r="KPU108" s="769"/>
      <c r="KPV108" s="769"/>
      <c r="KPW108" s="769"/>
      <c r="KPX108" s="769"/>
      <c r="KPY108" s="769"/>
      <c r="KPZ108" s="769"/>
      <c r="KQA108" s="769"/>
      <c r="KQB108" s="769"/>
      <c r="KQC108" s="769"/>
      <c r="KQD108" s="769"/>
      <c r="KQE108" s="769"/>
      <c r="KQF108" s="769"/>
      <c r="KQG108" s="769"/>
      <c r="KQH108" s="769"/>
      <c r="KQI108" s="769"/>
      <c r="KQJ108" s="769"/>
      <c r="KQK108" s="769"/>
      <c r="KQL108" s="769"/>
      <c r="KQM108" s="769"/>
      <c r="KQN108" s="769"/>
      <c r="KQO108" s="769"/>
      <c r="KQP108" s="769"/>
      <c r="KQQ108" s="769"/>
      <c r="KQR108" s="769"/>
      <c r="KQS108" s="769"/>
      <c r="KQT108" s="769"/>
      <c r="KQU108" s="769"/>
      <c r="KQV108" s="769"/>
      <c r="KQW108" s="769"/>
      <c r="KQX108" s="769"/>
      <c r="KQY108" s="769"/>
      <c r="KQZ108" s="769"/>
      <c r="KRA108" s="769"/>
      <c r="KRB108" s="769"/>
      <c r="KRC108" s="769"/>
      <c r="KRD108" s="769"/>
      <c r="KRE108" s="769"/>
      <c r="KRF108" s="769"/>
      <c r="KRG108" s="769"/>
      <c r="KRH108" s="769"/>
      <c r="KRI108" s="769"/>
      <c r="KRJ108" s="769"/>
      <c r="KRK108" s="769"/>
      <c r="KRL108" s="769"/>
      <c r="KRM108" s="769"/>
      <c r="KRN108" s="769"/>
      <c r="KRO108" s="769"/>
      <c r="KRP108" s="769"/>
      <c r="KRQ108" s="769"/>
      <c r="KRR108" s="769"/>
      <c r="KRS108" s="769"/>
      <c r="KRT108" s="769"/>
      <c r="KRU108" s="769"/>
      <c r="KRV108" s="769"/>
      <c r="KRW108" s="769"/>
      <c r="KRX108" s="769"/>
      <c r="KRY108" s="769"/>
      <c r="KRZ108" s="769"/>
      <c r="KSA108" s="769"/>
      <c r="KSB108" s="769"/>
      <c r="KSC108" s="769"/>
      <c r="KSD108" s="769"/>
      <c r="KSE108" s="769"/>
      <c r="KSF108" s="769"/>
      <c r="KSG108" s="769"/>
      <c r="KSH108" s="769"/>
      <c r="KSI108" s="769"/>
      <c r="KSJ108" s="769"/>
      <c r="KSK108" s="769"/>
      <c r="KSL108" s="769"/>
      <c r="KSM108" s="769"/>
      <c r="KSN108" s="769"/>
      <c r="KSO108" s="769"/>
      <c r="KSP108" s="769"/>
      <c r="KSQ108" s="769"/>
      <c r="KSR108" s="769"/>
      <c r="KSS108" s="769"/>
      <c r="KST108" s="769"/>
      <c r="KSU108" s="769"/>
      <c r="KSV108" s="769"/>
      <c r="KSW108" s="769"/>
      <c r="KSX108" s="769"/>
      <c r="KSY108" s="769"/>
      <c r="KSZ108" s="769"/>
      <c r="KTA108" s="769"/>
      <c r="KTB108" s="769"/>
      <c r="KTC108" s="769"/>
      <c r="KTD108" s="769"/>
      <c r="KTE108" s="769"/>
      <c r="KTF108" s="769"/>
      <c r="KTG108" s="769"/>
      <c r="KTH108" s="769"/>
      <c r="KTI108" s="769"/>
      <c r="KTJ108" s="769"/>
      <c r="KTK108" s="769"/>
      <c r="KTL108" s="769"/>
      <c r="KTM108" s="769"/>
      <c r="KTN108" s="769"/>
      <c r="KTO108" s="769"/>
      <c r="KTP108" s="769"/>
      <c r="KTQ108" s="769"/>
      <c r="KTR108" s="769"/>
      <c r="KTS108" s="769"/>
      <c r="KTT108" s="769"/>
      <c r="KTU108" s="769"/>
      <c r="KTV108" s="769"/>
      <c r="KTW108" s="769"/>
      <c r="KTX108" s="769"/>
      <c r="KTY108" s="769"/>
      <c r="KTZ108" s="769"/>
      <c r="KUA108" s="769"/>
      <c r="KUB108" s="769"/>
      <c r="KUC108" s="769"/>
      <c r="KUD108" s="769"/>
      <c r="KUE108" s="769"/>
      <c r="KUF108" s="769"/>
      <c r="KUG108" s="769"/>
      <c r="KUH108" s="769"/>
      <c r="KUI108" s="769"/>
      <c r="KUJ108" s="769"/>
      <c r="KUK108" s="769"/>
      <c r="KUL108" s="769"/>
      <c r="KUM108" s="769"/>
      <c r="KUN108" s="769"/>
      <c r="KUO108" s="769"/>
      <c r="KUP108" s="769"/>
      <c r="KUQ108" s="769"/>
      <c r="KUR108" s="769"/>
      <c r="KUS108" s="769"/>
      <c r="KUT108" s="769"/>
      <c r="KUU108" s="769"/>
      <c r="KUV108" s="769"/>
      <c r="KUW108" s="769"/>
      <c r="KUX108" s="769"/>
      <c r="KUY108" s="769"/>
      <c r="KUZ108" s="769"/>
      <c r="KVA108" s="769"/>
      <c r="KVB108" s="769"/>
      <c r="KVC108" s="769"/>
      <c r="KVD108" s="769"/>
      <c r="KVE108" s="769"/>
      <c r="KVF108" s="769"/>
      <c r="KVG108" s="769"/>
      <c r="KVH108" s="769"/>
      <c r="KVI108" s="769"/>
      <c r="KVJ108" s="769"/>
      <c r="KVK108" s="769"/>
      <c r="KVL108" s="769"/>
      <c r="KVM108" s="769"/>
      <c r="KVN108" s="769"/>
      <c r="KVO108" s="769"/>
      <c r="KVP108" s="769"/>
      <c r="KVQ108" s="769"/>
      <c r="KVR108" s="769"/>
      <c r="KVS108" s="769"/>
      <c r="KVT108" s="769"/>
      <c r="KVU108" s="769"/>
      <c r="KVV108" s="769"/>
      <c r="KVW108" s="769"/>
      <c r="KVX108" s="769"/>
      <c r="KVY108" s="769"/>
      <c r="KVZ108" s="769"/>
      <c r="KWA108" s="769"/>
      <c r="KWB108" s="769"/>
      <c r="KWC108" s="769"/>
      <c r="KWD108" s="769"/>
      <c r="KWE108" s="769"/>
      <c r="KWF108" s="769"/>
      <c r="KWG108" s="769"/>
      <c r="KWH108" s="769"/>
      <c r="KWI108" s="769"/>
      <c r="KWJ108" s="769"/>
      <c r="KWK108" s="769"/>
      <c r="KWL108" s="769"/>
      <c r="KWM108" s="769"/>
      <c r="KWN108" s="769"/>
      <c r="KWO108" s="769"/>
      <c r="KWP108" s="769"/>
      <c r="KWQ108" s="769"/>
      <c r="KWR108" s="769"/>
      <c r="KWS108" s="769"/>
      <c r="KWT108" s="769"/>
      <c r="KWU108" s="769"/>
      <c r="KWV108" s="769"/>
      <c r="KWW108" s="769"/>
      <c r="KWX108" s="769"/>
      <c r="KWY108" s="769"/>
      <c r="KWZ108" s="769"/>
      <c r="KXA108" s="769"/>
      <c r="KXB108" s="769"/>
      <c r="KXC108" s="769"/>
      <c r="KXD108" s="769"/>
      <c r="KXE108" s="769"/>
      <c r="KXF108" s="769"/>
      <c r="KXG108" s="769"/>
      <c r="KXH108" s="769"/>
      <c r="KXI108" s="769"/>
      <c r="KXJ108" s="769"/>
      <c r="KXK108" s="769"/>
      <c r="KXL108" s="769"/>
      <c r="KXM108" s="769"/>
      <c r="KXN108" s="769"/>
      <c r="KXO108" s="769"/>
      <c r="KXP108" s="769"/>
      <c r="KXQ108" s="769"/>
      <c r="KXR108" s="769"/>
      <c r="KXS108" s="769"/>
      <c r="KXT108" s="769"/>
      <c r="KXU108" s="769"/>
      <c r="KXV108" s="769"/>
      <c r="KXW108" s="769"/>
      <c r="KXX108" s="769"/>
      <c r="KXY108" s="769"/>
      <c r="KXZ108" s="769"/>
      <c r="KYA108" s="769"/>
      <c r="KYB108" s="769"/>
      <c r="KYC108" s="769"/>
      <c r="KYD108" s="769"/>
      <c r="KYE108" s="769"/>
      <c r="KYF108" s="769"/>
      <c r="KYG108" s="769"/>
      <c r="KYH108" s="769"/>
      <c r="KYI108" s="769"/>
      <c r="KYJ108" s="769"/>
      <c r="KYK108" s="769"/>
      <c r="KYL108" s="769"/>
      <c r="KYM108" s="769"/>
      <c r="KYN108" s="769"/>
      <c r="KYO108" s="769"/>
      <c r="KYP108" s="769"/>
      <c r="KYQ108" s="769"/>
      <c r="KYR108" s="769"/>
      <c r="KYS108" s="769"/>
      <c r="KYT108" s="769"/>
      <c r="KYU108" s="769"/>
      <c r="KYV108" s="769"/>
      <c r="KYW108" s="769"/>
      <c r="KYX108" s="769"/>
      <c r="KYY108" s="769"/>
      <c r="KYZ108" s="769"/>
      <c r="KZA108" s="769"/>
      <c r="KZB108" s="769"/>
      <c r="KZC108" s="769"/>
      <c r="KZD108" s="769"/>
      <c r="KZE108" s="769"/>
      <c r="KZF108" s="769"/>
      <c r="KZG108" s="769"/>
      <c r="KZH108" s="769"/>
      <c r="KZI108" s="769"/>
      <c r="KZJ108" s="769"/>
      <c r="KZK108" s="769"/>
      <c r="KZL108" s="769"/>
      <c r="KZM108" s="769"/>
      <c r="KZN108" s="769"/>
      <c r="KZO108" s="769"/>
      <c r="KZP108" s="769"/>
      <c r="KZQ108" s="769"/>
      <c r="KZR108" s="769"/>
      <c r="KZS108" s="769"/>
      <c r="KZT108" s="769"/>
      <c r="KZU108" s="769"/>
      <c r="KZV108" s="769"/>
      <c r="KZW108" s="769"/>
      <c r="KZX108" s="769"/>
      <c r="KZY108" s="769"/>
      <c r="KZZ108" s="769"/>
      <c r="LAA108" s="769"/>
      <c r="LAB108" s="769"/>
      <c r="LAC108" s="769"/>
      <c r="LAD108" s="769"/>
      <c r="LAE108" s="769"/>
      <c r="LAF108" s="769"/>
      <c r="LAG108" s="769"/>
      <c r="LAH108" s="769"/>
      <c r="LAI108" s="769"/>
      <c r="LAJ108" s="769"/>
      <c r="LAK108" s="769"/>
      <c r="LAL108" s="769"/>
      <c r="LAM108" s="769"/>
      <c r="LAN108" s="769"/>
      <c r="LAO108" s="769"/>
      <c r="LAP108" s="769"/>
      <c r="LAQ108" s="769"/>
      <c r="LAR108" s="769"/>
      <c r="LAS108" s="769"/>
      <c r="LAT108" s="769"/>
      <c r="LAU108" s="769"/>
      <c r="LAV108" s="769"/>
      <c r="LAW108" s="769"/>
      <c r="LAX108" s="769"/>
      <c r="LAY108" s="769"/>
      <c r="LAZ108" s="769"/>
      <c r="LBA108" s="769"/>
      <c r="LBB108" s="769"/>
      <c r="LBC108" s="769"/>
      <c r="LBD108" s="769"/>
      <c r="LBE108" s="769"/>
      <c r="LBF108" s="769"/>
      <c r="LBG108" s="769"/>
      <c r="LBH108" s="769"/>
      <c r="LBI108" s="769"/>
      <c r="LBJ108" s="769"/>
      <c r="LBK108" s="769"/>
      <c r="LBL108" s="769"/>
      <c r="LBM108" s="769"/>
      <c r="LBN108" s="769"/>
      <c r="LBO108" s="769"/>
      <c r="LBP108" s="769"/>
      <c r="LBQ108" s="769"/>
      <c r="LBR108" s="769"/>
      <c r="LBS108" s="769"/>
      <c r="LBT108" s="769"/>
      <c r="LBU108" s="769"/>
      <c r="LBV108" s="769"/>
      <c r="LBW108" s="769"/>
      <c r="LBX108" s="769"/>
      <c r="LBY108" s="769"/>
      <c r="LBZ108" s="769"/>
      <c r="LCA108" s="769"/>
      <c r="LCB108" s="769"/>
      <c r="LCC108" s="769"/>
      <c r="LCD108" s="769"/>
      <c r="LCE108" s="769"/>
      <c r="LCF108" s="769"/>
      <c r="LCG108" s="769"/>
      <c r="LCH108" s="769"/>
      <c r="LCI108" s="769"/>
      <c r="LCJ108" s="769"/>
      <c r="LCK108" s="769"/>
      <c r="LCL108" s="769"/>
      <c r="LCM108" s="769"/>
      <c r="LCN108" s="769"/>
      <c r="LCO108" s="769"/>
      <c r="LCP108" s="769"/>
      <c r="LCQ108" s="769"/>
      <c r="LCR108" s="769"/>
      <c r="LCS108" s="769"/>
      <c r="LCT108" s="769"/>
      <c r="LCU108" s="769"/>
      <c r="LCV108" s="769"/>
      <c r="LCW108" s="769"/>
      <c r="LCX108" s="769"/>
      <c r="LCY108" s="769"/>
      <c r="LCZ108" s="769"/>
      <c r="LDA108" s="769"/>
      <c r="LDB108" s="769"/>
      <c r="LDC108" s="769"/>
      <c r="LDD108" s="769"/>
      <c r="LDE108" s="769"/>
      <c r="LDF108" s="769"/>
      <c r="LDG108" s="769"/>
      <c r="LDH108" s="769"/>
      <c r="LDI108" s="769"/>
      <c r="LDJ108" s="769"/>
      <c r="LDK108" s="769"/>
      <c r="LDL108" s="769"/>
      <c r="LDM108" s="769"/>
      <c r="LDN108" s="769"/>
      <c r="LDO108" s="769"/>
      <c r="LDP108" s="769"/>
      <c r="LDQ108" s="769"/>
      <c r="LDR108" s="769"/>
      <c r="LDS108" s="769"/>
      <c r="LDT108" s="769"/>
      <c r="LDU108" s="769"/>
      <c r="LDV108" s="769"/>
      <c r="LDW108" s="769"/>
      <c r="LDX108" s="769"/>
      <c r="LDY108" s="769"/>
      <c r="LDZ108" s="769"/>
      <c r="LEA108" s="769"/>
      <c r="LEB108" s="769"/>
      <c r="LEC108" s="769"/>
      <c r="LED108" s="769"/>
      <c r="LEE108" s="769"/>
      <c r="LEF108" s="769"/>
      <c r="LEG108" s="769"/>
      <c r="LEH108" s="769"/>
      <c r="LEI108" s="769"/>
      <c r="LEJ108" s="769"/>
      <c r="LEK108" s="769"/>
      <c r="LEL108" s="769"/>
      <c r="LEM108" s="769"/>
      <c r="LEN108" s="769"/>
      <c r="LEO108" s="769"/>
      <c r="LEP108" s="769"/>
      <c r="LEQ108" s="769"/>
      <c r="LER108" s="769"/>
      <c r="LES108" s="769"/>
      <c r="LET108" s="769"/>
      <c r="LEU108" s="769"/>
      <c r="LEV108" s="769"/>
      <c r="LEW108" s="769"/>
      <c r="LEX108" s="769"/>
      <c r="LEY108" s="769"/>
      <c r="LEZ108" s="769"/>
      <c r="LFA108" s="769"/>
      <c r="LFB108" s="769"/>
      <c r="LFC108" s="769"/>
      <c r="LFD108" s="769"/>
      <c r="LFE108" s="769"/>
      <c r="LFF108" s="769"/>
      <c r="LFG108" s="769"/>
      <c r="LFH108" s="769"/>
      <c r="LFI108" s="769"/>
      <c r="LFJ108" s="769"/>
      <c r="LFK108" s="769"/>
      <c r="LFL108" s="769"/>
      <c r="LFM108" s="769"/>
      <c r="LFN108" s="769"/>
      <c r="LFO108" s="769"/>
      <c r="LFP108" s="769"/>
      <c r="LFQ108" s="769"/>
      <c r="LFR108" s="769"/>
      <c r="LFS108" s="769"/>
      <c r="LFT108" s="769"/>
      <c r="LFU108" s="769"/>
      <c r="LFV108" s="769"/>
      <c r="LFW108" s="769"/>
      <c r="LFX108" s="769"/>
      <c r="LFY108" s="769"/>
      <c r="LFZ108" s="769"/>
      <c r="LGA108" s="769"/>
      <c r="LGB108" s="769"/>
      <c r="LGC108" s="769"/>
      <c r="LGD108" s="769"/>
      <c r="LGE108" s="769"/>
      <c r="LGF108" s="769"/>
      <c r="LGG108" s="769"/>
      <c r="LGH108" s="769"/>
      <c r="LGI108" s="769"/>
      <c r="LGJ108" s="769"/>
      <c r="LGK108" s="769"/>
      <c r="LGL108" s="769"/>
      <c r="LGM108" s="769"/>
      <c r="LGN108" s="769"/>
      <c r="LGO108" s="769"/>
      <c r="LGP108" s="769"/>
      <c r="LGQ108" s="769"/>
      <c r="LGR108" s="769"/>
      <c r="LGS108" s="769"/>
      <c r="LGT108" s="769"/>
      <c r="LGU108" s="769"/>
      <c r="LGV108" s="769"/>
      <c r="LGW108" s="769"/>
      <c r="LGX108" s="769"/>
      <c r="LGY108" s="769"/>
      <c r="LGZ108" s="769"/>
      <c r="LHA108" s="769"/>
      <c r="LHB108" s="769"/>
      <c r="LHC108" s="769"/>
      <c r="LHD108" s="769"/>
      <c r="LHE108" s="769"/>
      <c r="LHF108" s="769"/>
      <c r="LHG108" s="769"/>
      <c r="LHH108" s="769"/>
      <c r="LHI108" s="769"/>
      <c r="LHJ108" s="769"/>
      <c r="LHK108" s="769"/>
      <c r="LHL108" s="769"/>
      <c r="LHM108" s="769"/>
      <c r="LHN108" s="769"/>
      <c r="LHO108" s="769"/>
      <c r="LHP108" s="769"/>
      <c r="LHQ108" s="769"/>
      <c r="LHR108" s="769"/>
      <c r="LHS108" s="769"/>
      <c r="LHT108" s="769"/>
      <c r="LHU108" s="769"/>
      <c r="LHV108" s="769"/>
      <c r="LHW108" s="769"/>
      <c r="LHX108" s="769"/>
      <c r="LHY108" s="769"/>
      <c r="LHZ108" s="769"/>
      <c r="LIA108" s="769"/>
      <c r="LIB108" s="769"/>
      <c r="LIC108" s="769"/>
      <c r="LID108" s="769"/>
      <c r="LIE108" s="769"/>
      <c r="LIF108" s="769"/>
      <c r="LIG108" s="769"/>
      <c r="LIH108" s="769"/>
      <c r="LII108" s="769"/>
      <c r="LIJ108" s="769"/>
      <c r="LIK108" s="769"/>
      <c r="LIL108" s="769"/>
      <c r="LIM108" s="769"/>
      <c r="LIN108" s="769"/>
      <c r="LIO108" s="769"/>
      <c r="LIP108" s="769"/>
      <c r="LIQ108" s="769"/>
      <c r="LIR108" s="769"/>
      <c r="LIS108" s="769"/>
      <c r="LIT108" s="769"/>
      <c r="LIU108" s="769"/>
      <c r="LIV108" s="769"/>
      <c r="LIW108" s="769"/>
      <c r="LIX108" s="769"/>
      <c r="LIY108" s="769"/>
      <c r="LIZ108" s="769"/>
      <c r="LJA108" s="769"/>
      <c r="LJB108" s="769"/>
      <c r="LJC108" s="769"/>
      <c r="LJD108" s="769"/>
      <c r="LJE108" s="769"/>
      <c r="LJF108" s="769"/>
      <c r="LJG108" s="769"/>
      <c r="LJH108" s="769"/>
      <c r="LJI108" s="769"/>
      <c r="LJJ108" s="769"/>
      <c r="LJK108" s="769"/>
      <c r="LJL108" s="769"/>
      <c r="LJM108" s="769"/>
      <c r="LJN108" s="769"/>
      <c r="LJO108" s="769"/>
      <c r="LJP108" s="769"/>
      <c r="LJQ108" s="769"/>
      <c r="LJR108" s="769"/>
      <c r="LJS108" s="769"/>
      <c r="LJT108" s="769"/>
      <c r="LJU108" s="769"/>
      <c r="LJV108" s="769"/>
      <c r="LJW108" s="769"/>
      <c r="LJX108" s="769"/>
      <c r="LJY108" s="769"/>
      <c r="LJZ108" s="769"/>
      <c r="LKA108" s="769"/>
      <c r="LKB108" s="769"/>
      <c r="LKC108" s="769"/>
      <c r="LKD108" s="769"/>
      <c r="LKE108" s="769"/>
      <c r="LKF108" s="769"/>
      <c r="LKG108" s="769"/>
      <c r="LKH108" s="769"/>
      <c r="LKI108" s="769"/>
      <c r="LKJ108" s="769"/>
      <c r="LKK108" s="769"/>
      <c r="LKL108" s="769"/>
      <c r="LKM108" s="769"/>
      <c r="LKN108" s="769"/>
      <c r="LKO108" s="769"/>
      <c r="LKP108" s="769"/>
      <c r="LKQ108" s="769"/>
      <c r="LKR108" s="769"/>
      <c r="LKS108" s="769"/>
      <c r="LKT108" s="769"/>
      <c r="LKU108" s="769"/>
      <c r="LKV108" s="769"/>
      <c r="LKW108" s="769"/>
      <c r="LKX108" s="769"/>
      <c r="LKY108" s="769"/>
      <c r="LKZ108" s="769"/>
      <c r="LLA108" s="769"/>
      <c r="LLB108" s="769"/>
      <c r="LLC108" s="769"/>
      <c r="LLD108" s="769"/>
      <c r="LLE108" s="769"/>
      <c r="LLF108" s="769"/>
      <c r="LLG108" s="769"/>
      <c r="LLH108" s="769"/>
      <c r="LLI108" s="769"/>
      <c r="LLJ108" s="769"/>
      <c r="LLK108" s="769"/>
      <c r="LLL108" s="769"/>
      <c r="LLM108" s="769"/>
      <c r="LLN108" s="769"/>
      <c r="LLO108" s="769"/>
      <c r="LLP108" s="769"/>
      <c r="LLQ108" s="769"/>
      <c r="LLR108" s="769"/>
      <c r="LLS108" s="769"/>
      <c r="LLT108" s="769"/>
      <c r="LLU108" s="769"/>
      <c r="LLV108" s="769"/>
      <c r="LLW108" s="769"/>
      <c r="LLX108" s="769"/>
      <c r="LLY108" s="769"/>
      <c r="LLZ108" s="769"/>
      <c r="LMA108" s="769"/>
      <c r="LMB108" s="769"/>
      <c r="LMC108" s="769"/>
      <c r="LMD108" s="769"/>
      <c r="LME108" s="769"/>
      <c r="LMF108" s="769"/>
      <c r="LMG108" s="769"/>
      <c r="LMH108" s="769"/>
      <c r="LMI108" s="769"/>
      <c r="LMJ108" s="769"/>
      <c r="LMK108" s="769"/>
      <c r="LML108" s="769"/>
      <c r="LMM108" s="769"/>
      <c r="LMN108" s="769"/>
      <c r="LMO108" s="769"/>
      <c r="LMP108" s="769"/>
      <c r="LMQ108" s="769"/>
      <c r="LMR108" s="769"/>
      <c r="LMS108" s="769"/>
      <c r="LMT108" s="769"/>
      <c r="LMU108" s="769"/>
      <c r="LMV108" s="769"/>
      <c r="LMW108" s="769"/>
      <c r="LMX108" s="769"/>
      <c r="LMY108" s="769"/>
      <c r="LMZ108" s="769"/>
      <c r="LNA108" s="769"/>
      <c r="LNB108" s="769"/>
      <c r="LNC108" s="769"/>
      <c r="LND108" s="769"/>
      <c r="LNE108" s="769"/>
      <c r="LNF108" s="769"/>
      <c r="LNG108" s="769"/>
      <c r="LNH108" s="769"/>
      <c r="LNI108" s="769"/>
      <c r="LNJ108" s="769"/>
      <c r="LNK108" s="769"/>
      <c r="LNL108" s="769"/>
      <c r="LNM108" s="769"/>
      <c r="LNN108" s="769"/>
      <c r="LNO108" s="769"/>
      <c r="LNP108" s="769"/>
      <c r="LNQ108" s="769"/>
      <c r="LNR108" s="769"/>
      <c r="LNS108" s="769"/>
      <c r="LNT108" s="769"/>
      <c r="LNU108" s="769"/>
      <c r="LNV108" s="769"/>
      <c r="LNW108" s="769"/>
      <c r="LNX108" s="769"/>
      <c r="LNY108" s="769"/>
      <c r="LNZ108" s="769"/>
      <c r="LOA108" s="769"/>
      <c r="LOB108" s="769"/>
      <c r="LOC108" s="769"/>
      <c r="LOD108" s="769"/>
      <c r="LOE108" s="769"/>
      <c r="LOF108" s="769"/>
      <c r="LOG108" s="769"/>
      <c r="LOH108" s="769"/>
      <c r="LOI108" s="769"/>
      <c r="LOJ108" s="769"/>
      <c r="LOK108" s="769"/>
      <c r="LOL108" s="769"/>
      <c r="LOM108" s="769"/>
      <c r="LON108" s="769"/>
      <c r="LOO108" s="769"/>
      <c r="LOP108" s="769"/>
      <c r="LOQ108" s="769"/>
      <c r="LOR108" s="769"/>
      <c r="LOS108" s="769"/>
      <c r="LOT108" s="769"/>
      <c r="LOU108" s="769"/>
      <c r="LOV108" s="769"/>
      <c r="LOW108" s="769"/>
      <c r="LOX108" s="769"/>
      <c r="LOY108" s="769"/>
      <c r="LOZ108" s="769"/>
      <c r="LPA108" s="769"/>
      <c r="LPB108" s="769"/>
      <c r="LPC108" s="769"/>
      <c r="LPD108" s="769"/>
      <c r="LPE108" s="769"/>
      <c r="LPF108" s="769"/>
      <c r="LPG108" s="769"/>
      <c r="LPH108" s="769"/>
      <c r="LPI108" s="769"/>
      <c r="LPJ108" s="769"/>
      <c r="LPK108" s="769"/>
      <c r="LPL108" s="769"/>
      <c r="LPM108" s="769"/>
      <c r="LPN108" s="769"/>
      <c r="LPO108" s="769"/>
      <c r="LPP108" s="769"/>
      <c r="LPQ108" s="769"/>
      <c r="LPR108" s="769"/>
      <c r="LPS108" s="769"/>
      <c r="LPT108" s="769"/>
      <c r="LPU108" s="769"/>
      <c r="LPV108" s="769"/>
      <c r="LPW108" s="769"/>
      <c r="LPX108" s="769"/>
      <c r="LPY108" s="769"/>
      <c r="LPZ108" s="769"/>
      <c r="LQA108" s="769"/>
      <c r="LQB108" s="769"/>
      <c r="LQC108" s="769"/>
      <c r="LQD108" s="769"/>
      <c r="LQE108" s="769"/>
      <c r="LQF108" s="769"/>
      <c r="LQG108" s="769"/>
      <c r="LQH108" s="769"/>
      <c r="LQI108" s="769"/>
      <c r="LQJ108" s="769"/>
      <c r="LQK108" s="769"/>
      <c r="LQL108" s="769"/>
      <c r="LQM108" s="769"/>
      <c r="LQN108" s="769"/>
      <c r="LQO108" s="769"/>
      <c r="LQP108" s="769"/>
      <c r="LQQ108" s="769"/>
      <c r="LQR108" s="769"/>
      <c r="LQS108" s="769"/>
      <c r="LQT108" s="769"/>
      <c r="LQU108" s="769"/>
      <c r="LQV108" s="769"/>
      <c r="LQW108" s="769"/>
      <c r="LQX108" s="769"/>
      <c r="LQY108" s="769"/>
      <c r="LQZ108" s="769"/>
      <c r="LRA108" s="769"/>
      <c r="LRB108" s="769"/>
      <c r="LRC108" s="769"/>
      <c r="LRD108" s="769"/>
      <c r="LRE108" s="769"/>
      <c r="LRF108" s="769"/>
      <c r="LRG108" s="769"/>
      <c r="LRH108" s="769"/>
      <c r="LRI108" s="769"/>
      <c r="LRJ108" s="769"/>
      <c r="LRK108" s="769"/>
      <c r="LRL108" s="769"/>
      <c r="LRM108" s="769"/>
      <c r="LRN108" s="769"/>
      <c r="LRO108" s="769"/>
      <c r="LRP108" s="769"/>
      <c r="LRQ108" s="769"/>
      <c r="LRR108" s="769"/>
      <c r="LRS108" s="769"/>
      <c r="LRT108" s="769"/>
      <c r="LRU108" s="769"/>
      <c r="LRV108" s="769"/>
      <c r="LRW108" s="769"/>
      <c r="LRX108" s="769"/>
      <c r="LRY108" s="769"/>
      <c r="LRZ108" s="769"/>
      <c r="LSA108" s="769"/>
      <c r="LSB108" s="769"/>
      <c r="LSC108" s="769"/>
      <c r="LSD108" s="769"/>
      <c r="LSE108" s="769"/>
      <c r="LSF108" s="769"/>
      <c r="LSG108" s="769"/>
      <c r="LSH108" s="769"/>
      <c r="LSI108" s="769"/>
      <c r="LSJ108" s="769"/>
      <c r="LSK108" s="769"/>
      <c r="LSL108" s="769"/>
      <c r="LSM108" s="769"/>
      <c r="LSN108" s="769"/>
      <c r="LSO108" s="769"/>
      <c r="LSP108" s="769"/>
      <c r="LSQ108" s="769"/>
      <c r="LSR108" s="769"/>
      <c r="LSS108" s="769"/>
      <c r="LST108" s="769"/>
      <c r="LSU108" s="769"/>
      <c r="LSV108" s="769"/>
      <c r="LSW108" s="769"/>
      <c r="LSX108" s="769"/>
      <c r="LSY108" s="769"/>
      <c r="LSZ108" s="769"/>
      <c r="LTA108" s="769"/>
      <c r="LTB108" s="769"/>
      <c r="LTC108" s="769"/>
      <c r="LTD108" s="769"/>
      <c r="LTE108" s="769"/>
      <c r="LTF108" s="769"/>
      <c r="LTG108" s="769"/>
      <c r="LTH108" s="769"/>
      <c r="LTI108" s="769"/>
      <c r="LTJ108" s="769"/>
      <c r="LTK108" s="769"/>
      <c r="LTL108" s="769"/>
      <c r="LTM108" s="769"/>
      <c r="LTN108" s="769"/>
      <c r="LTO108" s="769"/>
      <c r="LTP108" s="769"/>
      <c r="LTQ108" s="769"/>
      <c r="LTR108" s="769"/>
      <c r="LTS108" s="769"/>
      <c r="LTT108" s="769"/>
      <c r="LTU108" s="769"/>
      <c r="LTV108" s="769"/>
      <c r="LTW108" s="769"/>
      <c r="LTX108" s="769"/>
      <c r="LTY108" s="769"/>
      <c r="LTZ108" s="769"/>
      <c r="LUA108" s="769"/>
      <c r="LUB108" s="769"/>
      <c r="LUC108" s="769"/>
      <c r="LUD108" s="769"/>
      <c r="LUE108" s="769"/>
      <c r="LUF108" s="769"/>
      <c r="LUG108" s="769"/>
      <c r="LUH108" s="769"/>
      <c r="LUI108" s="769"/>
      <c r="LUJ108" s="769"/>
      <c r="LUK108" s="769"/>
      <c r="LUL108" s="769"/>
      <c r="LUM108" s="769"/>
      <c r="LUN108" s="769"/>
      <c r="LUO108" s="769"/>
      <c r="LUP108" s="769"/>
      <c r="LUQ108" s="769"/>
      <c r="LUR108" s="769"/>
      <c r="LUS108" s="769"/>
      <c r="LUT108" s="769"/>
      <c r="LUU108" s="769"/>
      <c r="LUV108" s="769"/>
      <c r="LUW108" s="769"/>
      <c r="LUX108" s="769"/>
      <c r="LUY108" s="769"/>
      <c r="LUZ108" s="769"/>
      <c r="LVA108" s="769"/>
      <c r="LVB108" s="769"/>
      <c r="LVC108" s="769"/>
      <c r="LVD108" s="769"/>
      <c r="LVE108" s="769"/>
      <c r="LVF108" s="769"/>
      <c r="LVG108" s="769"/>
      <c r="LVH108" s="769"/>
      <c r="LVI108" s="769"/>
      <c r="LVJ108" s="769"/>
      <c r="LVK108" s="769"/>
      <c r="LVL108" s="769"/>
      <c r="LVM108" s="769"/>
      <c r="LVN108" s="769"/>
      <c r="LVO108" s="769"/>
      <c r="LVP108" s="769"/>
      <c r="LVQ108" s="769"/>
      <c r="LVR108" s="769"/>
      <c r="LVS108" s="769"/>
      <c r="LVT108" s="769"/>
      <c r="LVU108" s="769"/>
      <c r="LVV108" s="769"/>
      <c r="LVW108" s="769"/>
      <c r="LVX108" s="769"/>
      <c r="LVY108" s="769"/>
      <c r="LVZ108" s="769"/>
      <c r="LWA108" s="769"/>
      <c r="LWB108" s="769"/>
      <c r="LWC108" s="769"/>
      <c r="LWD108" s="769"/>
      <c r="LWE108" s="769"/>
      <c r="LWF108" s="769"/>
      <c r="LWG108" s="769"/>
      <c r="LWH108" s="769"/>
      <c r="LWI108" s="769"/>
      <c r="LWJ108" s="769"/>
      <c r="LWK108" s="769"/>
      <c r="LWL108" s="769"/>
      <c r="LWM108" s="769"/>
      <c r="LWN108" s="769"/>
      <c r="LWO108" s="769"/>
      <c r="LWP108" s="769"/>
      <c r="LWQ108" s="769"/>
      <c r="LWR108" s="769"/>
      <c r="LWS108" s="769"/>
      <c r="LWT108" s="769"/>
      <c r="LWU108" s="769"/>
      <c r="LWV108" s="769"/>
      <c r="LWW108" s="769"/>
      <c r="LWX108" s="769"/>
      <c r="LWY108" s="769"/>
      <c r="LWZ108" s="769"/>
      <c r="LXA108" s="769"/>
      <c r="LXB108" s="769"/>
      <c r="LXC108" s="769"/>
      <c r="LXD108" s="769"/>
      <c r="LXE108" s="769"/>
      <c r="LXF108" s="769"/>
      <c r="LXG108" s="769"/>
      <c r="LXH108" s="769"/>
      <c r="LXI108" s="769"/>
      <c r="LXJ108" s="769"/>
      <c r="LXK108" s="769"/>
      <c r="LXL108" s="769"/>
      <c r="LXM108" s="769"/>
      <c r="LXN108" s="769"/>
      <c r="LXO108" s="769"/>
      <c r="LXP108" s="769"/>
      <c r="LXQ108" s="769"/>
      <c r="LXR108" s="769"/>
      <c r="LXS108" s="769"/>
      <c r="LXT108" s="769"/>
      <c r="LXU108" s="769"/>
      <c r="LXV108" s="769"/>
      <c r="LXW108" s="769"/>
      <c r="LXX108" s="769"/>
      <c r="LXY108" s="769"/>
      <c r="LXZ108" s="769"/>
      <c r="LYA108" s="769"/>
      <c r="LYB108" s="769"/>
      <c r="LYC108" s="769"/>
      <c r="LYD108" s="769"/>
      <c r="LYE108" s="769"/>
      <c r="LYF108" s="769"/>
      <c r="LYG108" s="769"/>
      <c r="LYH108" s="769"/>
      <c r="LYI108" s="769"/>
      <c r="LYJ108" s="769"/>
      <c r="LYK108" s="769"/>
      <c r="LYL108" s="769"/>
      <c r="LYM108" s="769"/>
      <c r="LYN108" s="769"/>
      <c r="LYO108" s="769"/>
      <c r="LYP108" s="769"/>
      <c r="LYQ108" s="769"/>
      <c r="LYR108" s="769"/>
      <c r="LYS108" s="769"/>
      <c r="LYT108" s="769"/>
      <c r="LYU108" s="769"/>
      <c r="LYV108" s="769"/>
      <c r="LYW108" s="769"/>
      <c r="LYX108" s="769"/>
      <c r="LYY108" s="769"/>
      <c r="LYZ108" s="769"/>
      <c r="LZA108" s="769"/>
      <c r="LZB108" s="769"/>
      <c r="LZC108" s="769"/>
      <c r="LZD108" s="769"/>
      <c r="LZE108" s="769"/>
      <c r="LZF108" s="769"/>
      <c r="LZG108" s="769"/>
      <c r="LZH108" s="769"/>
      <c r="LZI108" s="769"/>
      <c r="LZJ108" s="769"/>
      <c r="LZK108" s="769"/>
      <c r="LZL108" s="769"/>
      <c r="LZM108" s="769"/>
      <c r="LZN108" s="769"/>
      <c r="LZO108" s="769"/>
      <c r="LZP108" s="769"/>
      <c r="LZQ108" s="769"/>
      <c r="LZR108" s="769"/>
      <c r="LZS108" s="769"/>
      <c r="LZT108" s="769"/>
      <c r="LZU108" s="769"/>
      <c r="LZV108" s="769"/>
      <c r="LZW108" s="769"/>
      <c r="LZX108" s="769"/>
      <c r="LZY108" s="769"/>
      <c r="LZZ108" s="769"/>
      <c r="MAA108" s="769"/>
      <c r="MAB108" s="769"/>
      <c r="MAC108" s="769"/>
      <c r="MAD108" s="769"/>
      <c r="MAE108" s="769"/>
      <c r="MAF108" s="769"/>
      <c r="MAG108" s="769"/>
      <c r="MAH108" s="769"/>
      <c r="MAI108" s="769"/>
      <c r="MAJ108" s="769"/>
      <c r="MAK108" s="769"/>
      <c r="MAL108" s="769"/>
      <c r="MAM108" s="769"/>
      <c r="MAN108" s="769"/>
      <c r="MAO108" s="769"/>
      <c r="MAP108" s="769"/>
      <c r="MAQ108" s="769"/>
      <c r="MAR108" s="769"/>
      <c r="MAS108" s="769"/>
      <c r="MAT108" s="769"/>
      <c r="MAU108" s="769"/>
      <c r="MAV108" s="769"/>
      <c r="MAW108" s="769"/>
      <c r="MAX108" s="769"/>
      <c r="MAY108" s="769"/>
      <c r="MAZ108" s="769"/>
      <c r="MBA108" s="769"/>
      <c r="MBB108" s="769"/>
      <c r="MBC108" s="769"/>
      <c r="MBD108" s="769"/>
      <c r="MBE108" s="769"/>
      <c r="MBF108" s="769"/>
      <c r="MBG108" s="769"/>
      <c r="MBH108" s="769"/>
      <c r="MBI108" s="769"/>
      <c r="MBJ108" s="769"/>
      <c r="MBK108" s="769"/>
      <c r="MBL108" s="769"/>
      <c r="MBM108" s="769"/>
      <c r="MBN108" s="769"/>
      <c r="MBO108" s="769"/>
      <c r="MBP108" s="769"/>
      <c r="MBQ108" s="769"/>
      <c r="MBR108" s="769"/>
      <c r="MBS108" s="769"/>
      <c r="MBT108" s="769"/>
      <c r="MBU108" s="769"/>
      <c r="MBV108" s="769"/>
      <c r="MBW108" s="769"/>
      <c r="MBX108" s="769"/>
      <c r="MBY108" s="769"/>
      <c r="MBZ108" s="769"/>
      <c r="MCA108" s="769"/>
      <c r="MCB108" s="769"/>
      <c r="MCC108" s="769"/>
      <c r="MCD108" s="769"/>
      <c r="MCE108" s="769"/>
      <c r="MCF108" s="769"/>
      <c r="MCG108" s="769"/>
      <c r="MCH108" s="769"/>
      <c r="MCI108" s="769"/>
      <c r="MCJ108" s="769"/>
      <c r="MCK108" s="769"/>
      <c r="MCL108" s="769"/>
      <c r="MCM108" s="769"/>
      <c r="MCN108" s="769"/>
      <c r="MCO108" s="769"/>
      <c r="MCP108" s="769"/>
      <c r="MCQ108" s="769"/>
      <c r="MCR108" s="769"/>
      <c r="MCS108" s="769"/>
      <c r="MCT108" s="769"/>
      <c r="MCU108" s="769"/>
      <c r="MCV108" s="769"/>
      <c r="MCW108" s="769"/>
      <c r="MCX108" s="769"/>
      <c r="MCY108" s="769"/>
      <c r="MCZ108" s="769"/>
      <c r="MDA108" s="769"/>
      <c r="MDB108" s="769"/>
      <c r="MDC108" s="769"/>
      <c r="MDD108" s="769"/>
      <c r="MDE108" s="769"/>
      <c r="MDF108" s="769"/>
      <c r="MDG108" s="769"/>
      <c r="MDH108" s="769"/>
      <c r="MDI108" s="769"/>
      <c r="MDJ108" s="769"/>
      <c r="MDK108" s="769"/>
      <c r="MDL108" s="769"/>
      <c r="MDM108" s="769"/>
      <c r="MDN108" s="769"/>
      <c r="MDO108" s="769"/>
      <c r="MDP108" s="769"/>
      <c r="MDQ108" s="769"/>
      <c r="MDR108" s="769"/>
      <c r="MDS108" s="769"/>
      <c r="MDT108" s="769"/>
      <c r="MDU108" s="769"/>
      <c r="MDV108" s="769"/>
      <c r="MDW108" s="769"/>
      <c r="MDX108" s="769"/>
      <c r="MDY108" s="769"/>
      <c r="MDZ108" s="769"/>
      <c r="MEA108" s="769"/>
      <c r="MEB108" s="769"/>
      <c r="MEC108" s="769"/>
      <c r="MED108" s="769"/>
      <c r="MEE108" s="769"/>
      <c r="MEF108" s="769"/>
      <c r="MEG108" s="769"/>
      <c r="MEH108" s="769"/>
      <c r="MEI108" s="769"/>
      <c r="MEJ108" s="769"/>
      <c r="MEK108" s="769"/>
      <c r="MEL108" s="769"/>
      <c r="MEM108" s="769"/>
      <c r="MEN108" s="769"/>
      <c r="MEO108" s="769"/>
      <c r="MEP108" s="769"/>
      <c r="MEQ108" s="769"/>
      <c r="MER108" s="769"/>
      <c r="MES108" s="769"/>
      <c r="MET108" s="769"/>
      <c r="MEU108" s="769"/>
      <c r="MEV108" s="769"/>
      <c r="MEW108" s="769"/>
      <c r="MEX108" s="769"/>
      <c r="MEY108" s="769"/>
      <c r="MEZ108" s="769"/>
      <c r="MFA108" s="769"/>
      <c r="MFB108" s="769"/>
      <c r="MFC108" s="769"/>
      <c r="MFD108" s="769"/>
      <c r="MFE108" s="769"/>
      <c r="MFF108" s="769"/>
      <c r="MFG108" s="769"/>
      <c r="MFH108" s="769"/>
      <c r="MFI108" s="769"/>
      <c r="MFJ108" s="769"/>
      <c r="MFK108" s="769"/>
      <c r="MFL108" s="769"/>
      <c r="MFM108" s="769"/>
      <c r="MFN108" s="769"/>
      <c r="MFO108" s="769"/>
      <c r="MFP108" s="769"/>
      <c r="MFQ108" s="769"/>
      <c r="MFR108" s="769"/>
      <c r="MFS108" s="769"/>
      <c r="MFT108" s="769"/>
      <c r="MFU108" s="769"/>
      <c r="MFV108" s="769"/>
      <c r="MFW108" s="769"/>
      <c r="MFX108" s="769"/>
      <c r="MFY108" s="769"/>
      <c r="MFZ108" s="769"/>
      <c r="MGA108" s="769"/>
      <c r="MGB108" s="769"/>
      <c r="MGC108" s="769"/>
      <c r="MGD108" s="769"/>
      <c r="MGE108" s="769"/>
      <c r="MGF108" s="769"/>
      <c r="MGG108" s="769"/>
      <c r="MGH108" s="769"/>
      <c r="MGI108" s="769"/>
      <c r="MGJ108" s="769"/>
      <c r="MGK108" s="769"/>
      <c r="MGL108" s="769"/>
      <c r="MGM108" s="769"/>
      <c r="MGN108" s="769"/>
      <c r="MGO108" s="769"/>
      <c r="MGP108" s="769"/>
      <c r="MGQ108" s="769"/>
      <c r="MGR108" s="769"/>
      <c r="MGS108" s="769"/>
      <c r="MGT108" s="769"/>
      <c r="MGU108" s="769"/>
      <c r="MGV108" s="769"/>
      <c r="MGW108" s="769"/>
      <c r="MGX108" s="769"/>
      <c r="MGY108" s="769"/>
      <c r="MGZ108" s="769"/>
      <c r="MHA108" s="769"/>
      <c r="MHB108" s="769"/>
      <c r="MHC108" s="769"/>
      <c r="MHD108" s="769"/>
      <c r="MHE108" s="769"/>
      <c r="MHF108" s="769"/>
      <c r="MHG108" s="769"/>
      <c r="MHH108" s="769"/>
      <c r="MHI108" s="769"/>
      <c r="MHJ108" s="769"/>
      <c r="MHK108" s="769"/>
      <c r="MHL108" s="769"/>
      <c r="MHM108" s="769"/>
      <c r="MHN108" s="769"/>
      <c r="MHO108" s="769"/>
      <c r="MHP108" s="769"/>
      <c r="MHQ108" s="769"/>
      <c r="MHR108" s="769"/>
      <c r="MHS108" s="769"/>
      <c r="MHT108" s="769"/>
      <c r="MHU108" s="769"/>
      <c r="MHV108" s="769"/>
      <c r="MHW108" s="769"/>
      <c r="MHX108" s="769"/>
      <c r="MHY108" s="769"/>
      <c r="MHZ108" s="769"/>
      <c r="MIA108" s="769"/>
      <c r="MIB108" s="769"/>
      <c r="MIC108" s="769"/>
      <c r="MID108" s="769"/>
      <c r="MIE108" s="769"/>
      <c r="MIF108" s="769"/>
      <c r="MIG108" s="769"/>
      <c r="MIH108" s="769"/>
      <c r="MII108" s="769"/>
      <c r="MIJ108" s="769"/>
      <c r="MIK108" s="769"/>
      <c r="MIL108" s="769"/>
      <c r="MIM108" s="769"/>
      <c r="MIN108" s="769"/>
      <c r="MIO108" s="769"/>
      <c r="MIP108" s="769"/>
      <c r="MIQ108" s="769"/>
      <c r="MIR108" s="769"/>
      <c r="MIS108" s="769"/>
      <c r="MIT108" s="769"/>
      <c r="MIU108" s="769"/>
      <c r="MIV108" s="769"/>
      <c r="MIW108" s="769"/>
      <c r="MIX108" s="769"/>
      <c r="MIY108" s="769"/>
      <c r="MIZ108" s="769"/>
      <c r="MJA108" s="769"/>
      <c r="MJB108" s="769"/>
      <c r="MJC108" s="769"/>
      <c r="MJD108" s="769"/>
      <c r="MJE108" s="769"/>
      <c r="MJF108" s="769"/>
      <c r="MJG108" s="769"/>
      <c r="MJH108" s="769"/>
      <c r="MJI108" s="769"/>
      <c r="MJJ108" s="769"/>
      <c r="MJK108" s="769"/>
      <c r="MJL108" s="769"/>
      <c r="MJM108" s="769"/>
      <c r="MJN108" s="769"/>
      <c r="MJO108" s="769"/>
      <c r="MJP108" s="769"/>
      <c r="MJQ108" s="769"/>
      <c r="MJR108" s="769"/>
      <c r="MJS108" s="769"/>
      <c r="MJT108" s="769"/>
      <c r="MJU108" s="769"/>
      <c r="MJV108" s="769"/>
      <c r="MJW108" s="769"/>
      <c r="MJX108" s="769"/>
      <c r="MJY108" s="769"/>
      <c r="MJZ108" s="769"/>
      <c r="MKA108" s="769"/>
      <c r="MKB108" s="769"/>
      <c r="MKC108" s="769"/>
      <c r="MKD108" s="769"/>
      <c r="MKE108" s="769"/>
      <c r="MKF108" s="769"/>
      <c r="MKG108" s="769"/>
      <c r="MKH108" s="769"/>
      <c r="MKI108" s="769"/>
      <c r="MKJ108" s="769"/>
      <c r="MKK108" s="769"/>
      <c r="MKL108" s="769"/>
      <c r="MKM108" s="769"/>
      <c r="MKN108" s="769"/>
      <c r="MKO108" s="769"/>
      <c r="MKP108" s="769"/>
      <c r="MKQ108" s="769"/>
      <c r="MKR108" s="769"/>
      <c r="MKS108" s="769"/>
      <c r="MKT108" s="769"/>
      <c r="MKU108" s="769"/>
      <c r="MKV108" s="769"/>
      <c r="MKW108" s="769"/>
      <c r="MKX108" s="769"/>
      <c r="MKY108" s="769"/>
      <c r="MKZ108" s="769"/>
      <c r="MLA108" s="769"/>
      <c r="MLB108" s="769"/>
      <c r="MLC108" s="769"/>
      <c r="MLD108" s="769"/>
      <c r="MLE108" s="769"/>
      <c r="MLF108" s="769"/>
      <c r="MLG108" s="769"/>
      <c r="MLH108" s="769"/>
      <c r="MLI108" s="769"/>
      <c r="MLJ108" s="769"/>
      <c r="MLK108" s="769"/>
      <c r="MLL108" s="769"/>
      <c r="MLM108" s="769"/>
      <c r="MLN108" s="769"/>
      <c r="MLO108" s="769"/>
      <c r="MLP108" s="769"/>
      <c r="MLQ108" s="769"/>
      <c r="MLR108" s="769"/>
      <c r="MLS108" s="769"/>
      <c r="MLT108" s="769"/>
      <c r="MLU108" s="769"/>
      <c r="MLV108" s="769"/>
      <c r="MLW108" s="769"/>
      <c r="MLX108" s="769"/>
      <c r="MLY108" s="769"/>
      <c r="MLZ108" s="769"/>
      <c r="MMA108" s="769"/>
      <c r="MMB108" s="769"/>
      <c r="MMC108" s="769"/>
      <c r="MMD108" s="769"/>
      <c r="MME108" s="769"/>
      <c r="MMF108" s="769"/>
      <c r="MMG108" s="769"/>
      <c r="MMH108" s="769"/>
      <c r="MMI108" s="769"/>
      <c r="MMJ108" s="769"/>
      <c r="MMK108" s="769"/>
      <c r="MML108" s="769"/>
      <c r="MMM108" s="769"/>
      <c r="MMN108" s="769"/>
      <c r="MMO108" s="769"/>
      <c r="MMP108" s="769"/>
      <c r="MMQ108" s="769"/>
      <c r="MMR108" s="769"/>
      <c r="MMS108" s="769"/>
      <c r="MMT108" s="769"/>
      <c r="MMU108" s="769"/>
      <c r="MMV108" s="769"/>
      <c r="MMW108" s="769"/>
      <c r="MMX108" s="769"/>
      <c r="MMY108" s="769"/>
      <c r="MMZ108" s="769"/>
      <c r="MNA108" s="769"/>
      <c r="MNB108" s="769"/>
      <c r="MNC108" s="769"/>
      <c r="MND108" s="769"/>
      <c r="MNE108" s="769"/>
      <c r="MNF108" s="769"/>
      <c r="MNG108" s="769"/>
      <c r="MNH108" s="769"/>
      <c r="MNI108" s="769"/>
      <c r="MNJ108" s="769"/>
      <c r="MNK108" s="769"/>
      <c r="MNL108" s="769"/>
      <c r="MNM108" s="769"/>
      <c r="MNN108" s="769"/>
      <c r="MNO108" s="769"/>
      <c r="MNP108" s="769"/>
      <c r="MNQ108" s="769"/>
      <c r="MNR108" s="769"/>
      <c r="MNS108" s="769"/>
      <c r="MNT108" s="769"/>
      <c r="MNU108" s="769"/>
      <c r="MNV108" s="769"/>
      <c r="MNW108" s="769"/>
      <c r="MNX108" s="769"/>
      <c r="MNY108" s="769"/>
      <c r="MNZ108" s="769"/>
      <c r="MOA108" s="769"/>
      <c r="MOB108" s="769"/>
      <c r="MOC108" s="769"/>
      <c r="MOD108" s="769"/>
      <c r="MOE108" s="769"/>
      <c r="MOF108" s="769"/>
      <c r="MOG108" s="769"/>
      <c r="MOH108" s="769"/>
      <c r="MOI108" s="769"/>
      <c r="MOJ108" s="769"/>
      <c r="MOK108" s="769"/>
      <c r="MOL108" s="769"/>
      <c r="MOM108" s="769"/>
      <c r="MON108" s="769"/>
      <c r="MOO108" s="769"/>
      <c r="MOP108" s="769"/>
      <c r="MOQ108" s="769"/>
      <c r="MOR108" s="769"/>
      <c r="MOS108" s="769"/>
      <c r="MOT108" s="769"/>
      <c r="MOU108" s="769"/>
      <c r="MOV108" s="769"/>
      <c r="MOW108" s="769"/>
      <c r="MOX108" s="769"/>
      <c r="MOY108" s="769"/>
      <c r="MOZ108" s="769"/>
      <c r="MPA108" s="769"/>
      <c r="MPB108" s="769"/>
      <c r="MPC108" s="769"/>
      <c r="MPD108" s="769"/>
      <c r="MPE108" s="769"/>
      <c r="MPF108" s="769"/>
      <c r="MPG108" s="769"/>
      <c r="MPH108" s="769"/>
      <c r="MPI108" s="769"/>
      <c r="MPJ108" s="769"/>
      <c r="MPK108" s="769"/>
      <c r="MPL108" s="769"/>
      <c r="MPM108" s="769"/>
      <c r="MPN108" s="769"/>
      <c r="MPO108" s="769"/>
      <c r="MPP108" s="769"/>
      <c r="MPQ108" s="769"/>
      <c r="MPR108" s="769"/>
      <c r="MPS108" s="769"/>
      <c r="MPT108" s="769"/>
      <c r="MPU108" s="769"/>
      <c r="MPV108" s="769"/>
      <c r="MPW108" s="769"/>
      <c r="MPX108" s="769"/>
      <c r="MPY108" s="769"/>
      <c r="MPZ108" s="769"/>
      <c r="MQA108" s="769"/>
      <c r="MQB108" s="769"/>
      <c r="MQC108" s="769"/>
      <c r="MQD108" s="769"/>
      <c r="MQE108" s="769"/>
      <c r="MQF108" s="769"/>
      <c r="MQG108" s="769"/>
      <c r="MQH108" s="769"/>
      <c r="MQI108" s="769"/>
      <c r="MQJ108" s="769"/>
      <c r="MQK108" s="769"/>
      <c r="MQL108" s="769"/>
      <c r="MQM108" s="769"/>
      <c r="MQN108" s="769"/>
      <c r="MQO108" s="769"/>
      <c r="MQP108" s="769"/>
      <c r="MQQ108" s="769"/>
      <c r="MQR108" s="769"/>
      <c r="MQS108" s="769"/>
      <c r="MQT108" s="769"/>
      <c r="MQU108" s="769"/>
      <c r="MQV108" s="769"/>
      <c r="MQW108" s="769"/>
      <c r="MQX108" s="769"/>
      <c r="MQY108" s="769"/>
      <c r="MQZ108" s="769"/>
      <c r="MRA108" s="769"/>
      <c r="MRB108" s="769"/>
      <c r="MRC108" s="769"/>
      <c r="MRD108" s="769"/>
      <c r="MRE108" s="769"/>
      <c r="MRF108" s="769"/>
      <c r="MRG108" s="769"/>
      <c r="MRH108" s="769"/>
      <c r="MRI108" s="769"/>
      <c r="MRJ108" s="769"/>
      <c r="MRK108" s="769"/>
      <c r="MRL108" s="769"/>
      <c r="MRM108" s="769"/>
      <c r="MRN108" s="769"/>
      <c r="MRO108" s="769"/>
      <c r="MRP108" s="769"/>
      <c r="MRQ108" s="769"/>
      <c r="MRR108" s="769"/>
      <c r="MRS108" s="769"/>
      <c r="MRT108" s="769"/>
      <c r="MRU108" s="769"/>
      <c r="MRV108" s="769"/>
      <c r="MRW108" s="769"/>
      <c r="MRX108" s="769"/>
      <c r="MRY108" s="769"/>
      <c r="MRZ108" s="769"/>
      <c r="MSA108" s="769"/>
      <c r="MSB108" s="769"/>
      <c r="MSC108" s="769"/>
      <c r="MSD108" s="769"/>
      <c r="MSE108" s="769"/>
      <c r="MSF108" s="769"/>
      <c r="MSG108" s="769"/>
      <c r="MSH108" s="769"/>
      <c r="MSI108" s="769"/>
      <c r="MSJ108" s="769"/>
      <c r="MSK108" s="769"/>
      <c r="MSL108" s="769"/>
      <c r="MSM108" s="769"/>
      <c r="MSN108" s="769"/>
      <c r="MSO108" s="769"/>
      <c r="MSP108" s="769"/>
      <c r="MSQ108" s="769"/>
      <c r="MSR108" s="769"/>
      <c r="MSS108" s="769"/>
      <c r="MST108" s="769"/>
      <c r="MSU108" s="769"/>
      <c r="MSV108" s="769"/>
      <c r="MSW108" s="769"/>
      <c r="MSX108" s="769"/>
      <c r="MSY108" s="769"/>
      <c r="MSZ108" s="769"/>
      <c r="MTA108" s="769"/>
      <c r="MTB108" s="769"/>
      <c r="MTC108" s="769"/>
      <c r="MTD108" s="769"/>
      <c r="MTE108" s="769"/>
      <c r="MTF108" s="769"/>
      <c r="MTG108" s="769"/>
      <c r="MTH108" s="769"/>
      <c r="MTI108" s="769"/>
      <c r="MTJ108" s="769"/>
      <c r="MTK108" s="769"/>
      <c r="MTL108" s="769"/>
      <c r="MTM108" s="769"/>
      <c r="MTN108" s="769"/>
      <c r="MTO108" s="769"/>
      <c r="MTP108" s="769"/>
      <c r="MTQ108" s="769"/>
      <c r="MTR108" s="769"/>
      <c r="MTS108" s="769"/>
      <c r="MTT108" s="769"/>
      <c r="MTU108" s="769"/>
      <c r="MTV108" s="769"/>
      <c r="MTW108" s="769"/>
      <c r="MTX108" s="769"/>
      <c r="MTY108" s="769"/>
      <c r="MTZ108" s="769"/>
      <c r="MUA108" s="769"/>
      <c r="MUB108" s="769"/>
      <c r="MUC108" s="769"/>
      <c r="MUD108" s="769"/>
      <c r="MUE108" s="769"/>
      <c r="MUF108" s="769"/>
      <c r="MUG108" s="769"/>
      <c r="MUH108" s="769"/>
      <c r="MUI108" s="769"/>
      <c r="MUJ108" s="769"/>
      <c r="MUK108" s="769"/>
      <c r="MUL108" s="769"/>
      <c r="MUM108" s="769"/>
      <c r="MUN108" s="769"/>
      <c r="MUO108" s="769"/>
      <c r="MUP108" s="769"/>
      <c r="MUQ108" s="769"/>
      <c r="MUR108" s="769"/>
      <c r="MUS108" s="769"/>
      <c r="MUT108" s="769"/>
      <c r="MUU108" s="769"/>
      <c r="MUV108" s="769"/>
      <c r="MUW108" s="769"/>
      <c r="MUX108" s="769"/>
      <c r="MUY108" s="769"/>
      <c r="MUZ108" s="769"/>
      <c r="MVA108" s="769"/>
      <c r="MVB108" s="769"/>
      <c r="MVC108" s="769"/>
      <c r="MVD108" s="769"/>
      <c r="MVE108" s="769"/>
      <c r="MVF108" s="769"/>
      <c r="MVG108" s="769"/>
      <c r="MVH108" s="769"/>
      <c r="MVI108" s="769"/>
      <c r="MVJ108" s="769"/>
      <c r="MVK108" s="769"/>
      <c r="MVL108" s="769"/>
      <c r="MVM108" s="769"/>
      <c r="MVN108" s="769"/>
      <c r="MVO108" s="769"/>
      <c r="MVP108" s="769"/>
      <c r="MVQ108" s="769"/>
      <c r="MVR108" s="769"/>
      <c r="MVS108" s="769"/>
      <c r="MVT108" s="769"/>
      <c r="MVU108" s="769"/>
      <c r="MVV108" s="769"/>
      <c r="MVW108" s="769"/>
      <c r="MVX108" s="769"/>
      <c r="MVY108" s="769"/>
      <c r="MVZ108" s="769"/>
      <c r="MWA108" s="769"/>
      <c r="MWB108" s="769"/>
      <c r="MWC108" s="769"/>
      <c r="MWD108" s="769"/>
      <c r="MWE108" s="769"/>
      <c r="MWF108" s="769"/>
      <c r="MWG108" s="769"/>
      <c r="MWH108" s="769"/>
      <c r="MWI108" s="769"/>
      <c r="MWJ108" s="769"/>
      <c r="MWK108" s="769"/>
      <c r="MWL108" s="769"/>
      <c r="MWM108" s="769"/>
      <c r="MWN108" s="769"/>
      <c r="MWO108" s="769"/>
      <c r="MWP108" s="769"/>
      <c r="MWQ108" s="769"/>
      <c r="MWR108" s="769"/>
      <c r="MWS108" s="769"/>
      <c r="MWT108" s="769"/>
      <c r="MWU108" s="769"/>
      <c r="MWV108" s="769"/>
      <c r="MWW108" s="769"/>
      <c r="MWX108" s="769"/>
      <c r="MWY108" s="769"/>
      <c r="MWZ108" s="769"/>
      <c r="MXA108" s="769"/>
      <c r="MXB108" s="769"/>
      <c r="MXC108" s="769"/>
      <c r="MXD108" s="769"/>
      <c r="MXE108" s="769"/>
      <c r="MXF108" s="769"/>
      <c r="MXG108" s="769"/>
      <c r="MXH108" s="769"/>
      <c r="MXI108" s="769"/>
      <c r="MXJ108" s="769"/>
      <c r="MXK108" s="769"/>
      <c r="MXL108" s="769"/>
      <c r="MXM108" s="769"/>
      <c r="MXN108" s="769"/>
      <c r="MXO108" s="769"/>
      <c r="MXP108" s="769"/>
      <c r="MXQ108" s="769"/>
      <c r="MXR108" s="769"/>
      <c r="MXS108" s="769"/>
      <c r="MXT108" s="769"/>
      <c r="MXU108" s="769"/>
      <c r="MXV108" s="769"/>
      <c r="MXW108" s="769"/>
      <c r="MXX108" s="769"/>
      <c r="MXY108" s="769"/>
      <c r="MXZ108" s="769"/>
      <c r="MYA108" s="769"/>
      <c r="MYB108" s="769"/>
      <c r="MYC108" s="769"/>
      <c r="MYD108" s="769"/>
      <c r="MYE108" s="769"/>
      <c r="MYF108" s="769"/>
      <c r="MYG108" s="769"/>
      <c r="MYH108" s="769"/>
      <c r="MYI108" s="769"/>
      <c r="MYJ108" s="769"/>
      <c r="MYK108" s="769"/>
      <c r="MYL108" s="769"/>
      <c r="MYM108" s="769"/>
      <c r="MYN108" s="769"/>
      <c r="MYO108" s="769"/>
      <c r="MYP108" s="769"/>
      <c r="MYQ108" s="769"/>
      <c r="MYR108" s="769"/>
      <c r="MYS108" s="769"/>
      <c r="MYT108" s="769"/>
      <c r="MYU108" s="769"/>
      <c r="MYV108" s="769"/>
      <c r="MYW108" s="769"/>
      <c r="MYX108" s="769"/>
      <c r="MYY108" s="769"/>
      <c r="MYZ108" s="769"/>
      <c r="MZA108" s="769"/>
      <c r="MZB108" s="769"/>
      <c r="MZC108" s="769"/>
      <c r="MZD108" s="769"/>
      <c r="MZE108" s="769"/>
      <c r="MZF108" s="769"/>
      <c r="MZG108" s="769"/>
      <c r="MZH108" s="769"/>
      <c r="MZI108" s="769"/>
      <c r="MZJ108" s="769"/>
      <c r="MZK108" s="769"/>
      <c r="MZL108" s="769"/>
      <c r="MZM108" s="769"/>
      <c r="MZN108" s="769"/>
      <c r="MZO108" s="769"/>
      <c r="MZP108" s="769"/>
      <c r="MZQ108" s="769"/>
      <c r="MZR108" s="769"/>
      <c r="MZS108" s="769"/>
      <c r="MZT108" s="769"/>
      <c r="MZU108" s="769"/>
      <c r="MZV108" s="769"/>
      <c r="MZW108" s="769"/>
      <c r="MZX108" s="769"/>
      <c r="MZY108" s="769"/>
      <c r="MZZ108" s="769"/>
      <c r="NAA108" s="769"/>
      <c r="NAB108" s="769"/>
      <c r="NAC108" s="769"/>
      <c r="NAD108" s="769"/>
      <c r="NAE108" s="769"/>
      <c r="NAF108" s="769"/>
      <c r="NAG108" s="769"/>
      <c r="NAH108" s="769"/>
      <c r="NAI108" s="769"/>
      <c r="NAJ108" s="769"/>
      <c r="NAK108" s="769"/>
      <c r="NAL108" s="769"/>
      <c r="NAM108" s="769"/>
      <c r="NAN108" s="769"/>
      <c r="NAO108" s="769"/>
      <c r="NAP108" s="769"/>
      <c r="NAQ108" s="769"/>
      <c r="NAR108" s="769"/>
      <c r="NAS108" s="769"/>
      <c r="NAT108" s="769"/>
      <c r="NAU108" s="769"/>
      <c r="NAV108" s="769"/>
      <c r="NAW108" s="769"/>
      <c r="NAX108" s="769"/>
      <c r="NAY108" s="769"/>
      <c r="NAZ108" s="769"/>
      <c r="NBA108" s="769"/>
      <c r="NBB108" s="769"/>
      <c r="NBC108" s="769"/>
      <c r="NBD108" s="769"/>
      <c r="NBE108" s="769"/>
      <c r="NBF108" s="769"/>
      <c r="NBG108" s="769"/>
      <c r="NBH108" s="769"/>
      <c r="NBI108" s="769"/>
      <c r="NBJ108" s="769"/>
      <c r="NBK108" s="769"/>
      <c r="NBL108" s="769"/>
      <c r="NBM108" s="769"/>
      <c r="NBN108" s="769"/>
      <c r="NBO108" s="769"/>
      <c r="NBP108" s="769"/>
      <c r="NBQ108" s="769"/>
      <c r="NBR108" s="769"/>
      <c r="NBS108" s="769"/>
      <c r="NBT108" s="769"/>
      <c r="NBU108" s="769"/>
      <c r="NBV108" s="769"/>
      <c r="NBW108" s="769"/>
      <c r="NBX108" s="769"/>
      <c r="NBY108" s="769"/>
      <c r="NBZ108" s="769"/>
      <c r="NCA108" s="769"/>
      <c r="NCB108" s="769"/>
      <c r="NCC108" s="769"/>
      <c r="NCD108" s="769"/>
      <c r="NCE108" s="769"/>
      <c r="NCF108" s="769"/>
      <c r="NCG108" s="769"/>
      <c r="NCH108" s="769"/>
      <c r="NCI108" s="769"/>
      <c r="NCJ108" s="769"/>
      <c r="NCK108" s="769"/>
      <c r="NCL108" s="769"/>
      <c r="NCM108" s="769"/>
      <c r="NCN108" s="769"/>
      <c r="NCO108" s="769"/>
      <c r="NCP108" s="769"/>
      <c r="NCQ108" s="769"/>
      <c r="NCR108" s="769"/>
      <c r="NCS108" s="769"/>
      <c r="NCT108" s="769"/>
      <c r="NCU108" s="769"/>
      <c r="NCV108" s="769"/>
      <c r="NCW108" s="769"/>
      <c r="NCX108" s="769"/>
      <c r="NCY108" s="769"/>
      <c r="NCZ108" s="769"/>
      <c r="NDA108" s="769"/>
      <c r="NDB108" s="769"/>
      <c r="NDC108" s="769"/>
      <c r="NDD108" s="769"/>
      <c r="NDE108" s="769"/>
      <c r="NDF108" s="769"/>
      <c r="NDG108" s="769"/>
      <c r="NDH108" s="769"/>
      <c r="NDI108" s="769"/>
      <c r="NDJ108" s="769"/>
      <c r="NDK108" s="769"/>
      <c r="NDL108" s="769"/>
      <c r="NDM108" s="769"/>
      <c r="NDN108" s="769"/>
      <c r="NDO108" s="769"/>
      <c r="NDP108" s="769"/>
      <c r="NDQ108" s="769"/>
      <c r="NDR108" s="769"/>
      <c r="NDS108" s="769"/>
      <c r="NDT108" s="769"/>
      <c r="NDU108" s="769"/>
      <c r="NDV108" s="769"/>
      <c r="NDW108" s="769"/>
      <c r="NDX108" s="769"/>
      <c r="NDY108" s="769"/>
      <c r="NDZ108" s="769"/>
      <c r="NEA108" s="769"/>
      <c r="NEB108" s="769"/>
      <c r="NEC108" s="769"/>
      <c r="NED108" s="769"/>
      <c r="NEE108" s="769"/>
      <c r="NEF108" s="769"/>
      <c r="NEG108" s="769"/>
      <c r="NEH108" s="769"/>
      <c r="NEI108" s="769"/>
      <c r="NEJ108" s="769"/>
      <c r="NEK108" s="769"/>
      <c r="NEL108" s="769"/>
      <c r="NEM108" s="769"/>
      <c r="NEN108" s="769"/>
      <c r="NEO108" s="769"/>
      <c r="NEP108" s="769"/>
      <c r="NEQ108" s="769"/>
      <c r="NER108" s="769"/>
      <c r="NES108" s="769"/>
      <c r="NET108" s="769"/>
      <c r="NEU108" s="769"/>
      <c r="NEV108" s="769"/>
      <c r="NEW108" s="769"/>
      <c r="NEX108" s="769"/>
      <c r="NEY108" s="769"/>
      <c r="NEZ108" s="769"/>
      <c r="NFA108" s="769"/>
      <c r="NFB108" s="769"/>
      <c r="NFC108" s="769"/>
      <c r="NFD108" s="769"/>
      <c r="NFE108" s="769"/>
      <c r="NFF108" s="769"/>
      <c r="NFG108" s="769"/>
      <c r="NFH108" s="769"/>
      <c r="NFI108" s="769"/>
      <c r="NFJ108" s="769"/>
      <c r="NFK108" s="769"/>
      <c r="NFL108" s="769"/>
      <c r="NFM108" s="769"/>
      <c r="NFN108" s="769"/>
      <c r="NFO108" s="769"/>
      <c r="NFP108" s="769"/>
      <c r="NFQ108" s="769"/>
      <c r="NFR108" s="769"/>
      <c r="NFS108" s="769"/>
      <c r="NFT108" s="769"/>
      <c r="NFU108" s="769"/>
      <c r="NFV108" s="769"/>
      <c r="NFW108" s="769"/>
      <c r="NFX108" s="769"/>
      <c r="NFY108" s="769"/>
      <c r="NFZ108" s="769"/>
      <c r="NGA108" s="769"/>
      <c r="NGB108" s="769"/>
      <c r="NGC108" s="769"/>
      <c r="NGD108" s="769"/>
      <c r="NGE108" s="769"/>
      <c r="NGF108" s="769"/>
      <c r="NGG108" s="769"/>
      <c r="NGH108" s="769"/>
      <c r="NGI108" s="769"/>
      <c r="NGJ108" s="769"/>
      <c r="NGK108" s="769"/>
      <c r="NGL108" s="769"/>
      <c r="NGM108" s="769"/>
      <c r="NGN108" s="769"/>
      <c r="NGO108" s="769"/>
      <c r="NGP108" s="769"/>
      <c r="NGQ108" s="769"/>
      <c r="NGR108" s="769"/>
      <c r="NGS108" s="769"/>
      <c r="NGT108" s="769"/>
      <c r="NGU108" s="769"/>
      <c r="NGV108" s="769"/>
      <c r="NGW108" s="769"/>
      <c r="NGX108" s="769"/>
      <c r="NGY108" s="769"/>
      <c r="NGZ108" s="769"/>
      <c r="NHA108" s="769"/>
      <c r="NHB108" s="769"/>
      <c r="NHC108" s="769"/>
      <c r="NHD108" s="769"/>
      <c r="NHE108" s="769"/>
      <c r="NHF108" s="769"/>
      <c r="NHG108" s="769"/>
      <c r="NHH108" s="769"/>
      <c r="NHI108" s="769"/>
      <c r="NHJ108" s="769"/>
      <c r="NHK108" s="769"/>
      <c r="NHL108" s="769"/>
      <c r="NHM108" s="769"/>
      <c r="NHN108" s="769"/>
      <c r="NHO108" s="769"/>
      <c r="NHP108" s="769"/>
      <c r="NHQ108" s="769"/>
      <c r="NHR108" s="769"/>
      <c r="NHS108" s="769"/>
      <c r="NHT108" s="769"/>
      <c r="NHU108" s="769"/>
      <c r="NHV108" s="769"/>
      <c r="NHW108" s="769"/>
      <c r="NHX108" s="769"/>
      <c r="NHY108" s="769"/>
      <c r="NHZ108" s="769"/>
      <c r="NIA108" s="769"/>
      <c r="NIB108" s="769"/>
      <c r="NIC108" s="769"/>
      <c r="NID108" s="769"/>
      <c r="NIE108" s="769"/>
      <c r="NIF108" s="769"/>
      <c r="NIG108" s="769"/>
      <c r="NIH108" s="769"/>
      <c r="NII108" s="769"/>
      <c r="NIJ108" s="769"/>
      <c r="NIK108" s="769"/>
      <c r="NIL108" s="769"/>
      <c r="NIM108" s="769"/>
      <c r="NIN108" s="769"/>
      <c r="NIO108" s="769"/>
      <c r="NIP108" s="769"/>
      <c r="NIQ108" s="769"/>
      <c r="NIR108" s="769"/>
      <c r="NIS108" s="769"/>
      <c r="NIT108" s="769"/>
      <c r="NIU108" s="769"/>
      <c r="NIV108" s="769"/>
      <c r="NIW108" s="769"/>
      <c r="NIX108" s="769"/>
      <c r="NIY108" s="769"/>
      <c r="NIZ108" s="769"/>
      <c r="NJA108" s="769"/>
      <c r="NJB108" s="769"/>
      <c r="NJC108" s="769"/>
      <c r="NJD108" s="769"/>
      <c r="NJE108" s="769"/>
      <c r="NJF108" s="769"/>
      <c r="NJG108" s="769"/>
      <c r="NJH108" s="769"/>
      <c r="NJI108" s="769"/>
      <c r="NJJ108" s="769"/>
      <c r="NJK108" s="769"/>
      <c r="NJL108" s="769"/>
      <c r="NJM108" s="769"/>
      <c r="NJN108" s="769"/>
      <c r="NJO108" s="769"/>
      <c r="NJP108" s="769"/>
      <c r="NJQ108" s="769"/>
      <c r="NJR108" s="769"/>
      <c r="NJS108" s="769"/>
      <c r="NJT108" s="769"/>
      <c r="NJU108" s="769"/>
      <c r="NJV108" s="769"/>
      <c r="NJW108" s="769"/>
      <c r="NJX108" s="769"/>
      <c r="NJY108" s="769"/>
      <c r="NJZ108" s="769"/>
      <c r="NKA108" s="769"/>
      <c r="NKB108" s="769"/>
      <c r="NKC108" s="769"/>
      <c r="NKD108" s="769"/>
      <c r="NKE108" s="769"/>
      <c r="NKF108" s="769"/>
      <c r="NKG108" s="769"/>
      <c r="NKH108" s="769"/>
      <c r="NKI108" s="769"/>
      <c r="NKJ108" s="769"/>
      <c r="NKK108" s="769"/>
      <c r="NKL108" s="769"/>
      <c r="NKM108" s="769"/>
      <c r="NKN108" s="769"/>
      <c r="NKO108" s="769"/>
      <c r="NKP108" s="769"/>
      <c r="NKQ108" s="769"/>
      <c r="NKR108" s="769"/>
      <c r="NKS108" s="769"/>
      <c r="NKT108" s="769"/>
      <c r="NKU108" s="769"/>
      <c r="NKV108" s="769"/>
      <c r="NKW108" s="769"/>
      <c r="NKX108" s="769"/>
      <c r="NKY108" s="769"/>
      <c r="NKZ108" s="769"/>
      <c r="NLA108" s="769"/>
      <c r="NLB108" s="769"/>
      <c r="NLC108" s="769"/>
      <c r="NLD108" s="769"/>
      <c r="NLE108" s="769"/>
      <c r="NLF108" s="769"/>
      <c r="NLG108" s="769"/>
      <c r="NLH108" s="769"/>
      <c r="NLI108" s="769"/>
      <c r="NLJ108" s="769"/>
      <c r="NLK108" s="769"/>
      <c r="NLL108" s="769"/>
      <c r="NLM108" s="769"/>
      <c r="NLN108" s="769"/>
      <c r="NLO108" s="769"/>
      <c r="NLP108" s="769"/>
      <c r="NLQ108" s="769"/>
      <c r="NLR108" s="769"/>
      <c r="NLS108" s="769"/>
      <c r="NLT108" s="769"/>
      <c r="NLU108" s="769"/>
      <c r="NLV108" s="769"/>
      <c r="NLW108" s="769"/>
      <c r="NLX108" s="769"/>
      <c r="NLY108" s="769"/>
      <c r="NLZ108" s="769"/>
      <c r="NMA108" s="769"/>
      <c r="NMB108" s="769"/>
      <c r="NMC108" s="769"/>
      <c r="NMD108" s="769"/>
      <c r="NME108" s="769"/>
      <c r="NMF108" s="769"/>
      <c r="NMG108" s="769"/>
      <c r="NMH108" s="769"/>
      <c r="NMI108" s="769"/>
      <c r="NMJ108" s="769"/>
      <c r="NMK108" s="769"/>
      <c r="NML108" s="769"/>
      <c r="NMM108" s="769"/>
      <c r="NMN108" s="769"/>
      <c r="NMO108" s="769"/>
      <c r="NMP108" s="769"/>
      <c r="NMQ108" s="769"/>
      <c r="NMR108" s="769"/>
      <c r="NMS108" s="769"/>
      <c r="NMT108" s="769"/>
      <c r="NMU108" s="769"/>
      <c r="NMV108" s="769"/>
      <c r="NMW108" s="769"/>
      <c r="NMX108" s="769"/>
      <c r="NMY108" s="769"/>
      <c r="NMZ108" s="769"/>
      <c r="NNA108" s="769"/>
      <c r="NNB108" s="769"/>
      <c r="NNC108" s="769"/>
      <c r="NND108" s="769"/>
      <c r="NNE108" s="769"/>
      <c r="NNF108" s="769"/>
      <c r="NNG108" s="769"/>
      <c r="NNH108" s="769"/>
      <c r="NNI108" s="769"/>
      <c r="NNJ108" s="769"/>
      <c r="NNK108" s="769"/>
      <c r="NNL108" s="769"/>
      <c r="NNM108" s="769"/>
      <c r="NNN108" s="769"/>
      <c r="NNO108" s="769"/>
      <c r="NNP108" s="769"/>
      <c r="NNQ108" s="769"/>
      <c r="NNR108" s="769"/>
      <c r="NNS108" s="769"/>
      <c r="NNT108" s="769"/>
      <c r="NNU108" s="769"/>
      <c r="NNV108" s="769"/>
      <c r="NNW108" s="769"/>
      <c r="NNX108" s="769"/>
      <c r="NNY108" s="769"/>
      <c r="NNZ108" s="769"/>
      <c r="NOA108" s="769"/>
      <c r="NOB108" s="769"/>
      <c r="NOC108" s="769"/>
      <c r="NOD108" s="769"/>
      <c r="NOE108" s="769"/>
      <c r="NOF108" s="769"/>
      <c r="NOG108" s="769"/>
      <c r="NOH108" s="769"/>
      <c r="NOI108" s="769"/>
      <c r="NOJ108" s="769"/>
      <c r="NOK108" s="769"/>
      <c r="NOL108" s="769"/>
      <c r="NOM108" s="769"/>
      <c r="NON108" s="769"/>
      <c r="NOO108" s="769"/>
      <c r="NOP108" s="769"/>
      <c r="NOQ108" s="769"/>
      <c r="NOR108" s="769"/>
      <c r="NOS108" s="769"/>
      <c r="NOT108" s="769"/>
      <c r="NOU108" s="769"/>
      <c r="NOV108" s="769"/>
      <c r="NOW108" s="769"/>
      <c r="NOX108" s="769"/>
      <c r="NOY108" s="769"/>
      <c r="NOZ108" s="769"/>
      <c r="NPA108" s="769"/>
      <c r="NPB108" s="769"/>
      <c r="NPC108" s="769"/>
      <c r="NPD108" s="769"/>
      <c r="NPE108" s="769"/>
      <c r="NPF108" s="769"/>
      <c r="NPG108" s="769"/>
      <c r="NPH108" s="769"/>
      <c r="NPI108" s="769"/>
      <c r="NPJ108" s="769"/>
      <c r="NPK108" s="769"/>
      <c r="NPL108" s="769"/>
      <c r="NPM108" s="769"/>
      <c r="NPN108" s="769"/>
      <c r="NPO108" s="769"/>
      <c r="NPP108" s="769"/>
      <c r="NPQ108" s="769"/>
      <c r="NPR108" s="769"/>
      <c r="NPS108" s="769"/>
      <c r="NPT108" s="769"/>
      <c r="NPU108" s="769"/>
      <c r="NPV108" s="769"/>
      <c r="NPW108" s="769"/>
      <c r="NPX108" s="769"/>
      <c r="NPY108" s="769"/>
      <c r="NPZ108" s="769"/>
      <c r="NQA108" s="769"/>
      <c r="NQB108" s="769"/>
      <c r="NQC108" s="769"/>
      <c r="NQD108" s="769"/>
      <c r="NQE108" s="769"/>
      <c r="NQF108" s="769"/>
      <c r="NQG108" s="769"/>
      <c r="NQH108" s="769"/>
      <c r="NQI108" s="769"/>
      <c r="NQJ108" s="769"/>
      <c r="NQK108" s="769"/>
      <c r="NQL108" s="769"/>
      <c r="NQM108" s="769"/>
      <c r="NQN108" s="769"/>
      <c r="NQO108" s="769"/>
      <c r="NQP108" s="769"/>
      <c r="NQQ108" s="769"/>
      <c r="NQR108" s="769"/>
      <c r="NQS108" s="769"/>
      <c r="NQT108" s="769"/>
      <c r="NQU108" s="769"/>
      <c r="NQV108" s="769"/>
      <c r="NQW108" s="769"/>
      <c r="NQX108" s="769"/>
      <c r="NQY108" s="769"/>
      <c r="NQZ108" s="769"/>
      <c r="NRA108" s="769"/>
      <c r="NRB108" s="769"/>
      <c r="NRC108" s="769"/>
      <c r="NRD108" s="769"/>
      <c r="NRE108" s="769"/>
      <c r="NRF108" s="769"/>
      <c r="NRG108" s="769"/>
      <c r="NRH108" s="769"/>
      <c r="NRI108" s="769"/>
      <c r="NRJ108" s="769"/>
      <c r="NRK108" s="769"/>
      <c r="NRL108" s="769"/>
      <c r="NRM108" s="769"/>
      <c r="NRN108" s="769"/>
      <c r="NRO108" s="769"/>
      <c r="NRP108" s="769"/>
      <c r="NRQ108" s="769"/>
      <c r="NRR108" s="769"/>
      <c r="NRS108" s="769"/>
      <c r="NRT108" s="769"/>
      <c r="NRU108" s="769"/>
      <c r="NRV108" s="769"/>
      <c r="NRW108" s="769"/>
      <c r="NRX108" s="769"/>
      <c r="NRY108" s="769"/>
      <c r="NRZ108" s="769"/>
      <c r="NSA108" s="769"/>
      <c r="NSB108" s="769"/>
      <c r="NSC108" s="769"/>
      <c r="NSD108" s="769"/>
      <c r="NSE108" s="769"/>
      <c r="NSF108" s="769"/>
      <c r="NSG108" s="769"/>
      <c r="NSH108" s="769"/>
      <c r="NSI108" s="769"/>
      <c r="NSJ108" s="769"/>
      <c r="NSK108" s="769"/>
      <c r="NSL108" s="769"/>
      <c r="NSM108" s="769"/>
      <c r="NSN108" s="769"/>
      <c r="NSO108" s="769"/>
      <c r="NSP108" s="769"/>
      <c r="NSQ108" s="769"/>
      <c r="NSR108" s="769"/>
      <c r="NSS108" s="769"/>
      <c r="NST108" s="769"/>
      <c r="NSU108" s="769"/>
      <c r="NSV108" s="769"/>
      <c r="NSW108" s="769"/>
      <c r="NSX108" s="769"/>
      <c r="NSY108" s="769"/>
      <c r="NSZ108" s="769"/>
      <c r="NTA108" s="769"/>
      <c r="NTB108" s="769"/>
      <c r="NTC108" s="769"/>
      <c r="NTD108" s="769"/>
      <c r="NTE108" s="769"/>
      <c r="NTF108" s="769"/>
      <c r="NTG108" s="769"/>
      <c r="NTH108" s="769"/>
      <c r="NTI108" s="769"/>
      <c r="NTJ108" s="769"/>
      <c r="NTK108" s="769"/>
      <c r="NTL108" s="769"/>
      <c r="NTM108" s="769"/>
      <c r="NTN108" s="769"/>
      <c r="NTO108" s="769"/>
      <c r="NTP108" s="769"/>
      <c r="NTQ108" s="769"/>
      <c r="NTR108" s="769"/>
      <c r="NTS108" s="769"/>
      <c r="NTT108" s="769"/>
      <c r="NTU108" s="769"/>
      <c r="NTV108" s="769"/>
      <c r="NTW108" s="769"/>
      <c r="NTX108" s="769"/>
      <c r="NTY108" s="769"/>
      <c r="NTZ108" s="769"/>
      <c r="NUA108" s="769"/>
      <c r="NUB108" s="769"/>
      <c r="NUC108" s="769"/>
      <c r="NUD108" s="769"/>
      <c r="NUE108" s="769"/>
      <c r="NUF108" s="769"/>
      <c r="NUG108" s="769"/>
      <c r="NUH108" s="769"/>
      <c r="NUI108" s="769"/>
      <c r="NUJ108" s="769"/>
      <c r="NUK108" s="769"/>
      <c r="NUL108" s="769"/>
      <c r="NUM108" s="769"/>
      <c r="NUN108" s="769"/>
      <c r="NUO108" s="769"/>
      <c r="NUP108" s="769"/>
      <c r="NUQ108" s="769"/>
      <c r="NUR108" s="769"/>
      <c r="NUS108" s="769"/>
      <c r="NUT108" s="769"/>
      <c r="NUU108" s="769"/>
      <c r="NUV108" s="769"/>
      <c r="NUW108" s="769"/>
      <c r="NUX108" s="769"/>
      <c r="NUY108" s="769"/>
      <c r="NUZ108" s="769"/>
      <c r="NVA108" s="769"/>
      <c r="NVB108" s="769"/>
      <c r="NVC108" s="769"/>
      <c r="NVD108" s="769"/>
      <c r="NVE108" s="769"/>
      <c r="NVF108" s="769"/>
      <c r="NVG108" s="769"/>
      <c r="NVH108" s="769"/>
      <c r="NVI108" s="769"/>
      <c r="NVJ108" s="769"/>
      <c r="NVK108" s="769"/>
      <c r="NVL108" s="769"/>
      <c r="NVM108" s="769"/>
      <c r="NVN108" s="769"/>
      <c r="NVO108" s="769"/>
      <c r="NVP108" s="769"/>
      <c r="NVQ108" s="769"/>
      <c r="NVR108" s="769"/>
      <c r="NVS108" s="769"/>
      <c r="NVT108" s="769"/>
      <c r="NVU108" s="769"/>
      <c r="NVV108" s="769"/>
      <c r="NVW108" s="769"/>
      <c r="NVX108" s="769"/>
      <c r="NVY108" s="769"/>
      <c r="NVZ108" s="769"/>
      <c r="NWA108" s="769"/>
      <c r="NWB108" s="769"/>
      <c r="NWC108" s="769"/>
      <c r="NWD108" s="769"/>
      <c r="NWE108" s="769"/>
      <c r="NWF108" s="769"/>
      <c r="NWG108" s="769"/>
      <c r="NWH108" s="769"/>
      <c r="NWI108" s="769"/>
      <c r="NWJ108" s="769"/>
      <c r="NWK108" s="769"/>
      <c r="NWL108" s="769"/>
      <c r="NWM108" s="769"/>
      <c r="NWN108" s="769"/>
      <c r="NWO108" s="769"/>
      <c r="NWP108" s="769"/>
      <c r="NWQ108" s="769"/>
      <c r="NWR108" s="769"/>
      <c r="NWS108" s="769"/>
      <c r="NWT108" s="769"/>
      <c r="NWU108" s="769"/>
      <c r="NWV108" s="769"/>
      <c r="NWW108" s="769"/>
      <c r="NWX108" s="769"/>
      <c r="NWY108" s="769"/>
      <c r="NWZ108" s="769"/>
      <c r="NXA108" s="769"/>
      <c r="NXB108" s="769"/>
      <c r="NXC108" s="769"/>
      <c r="NXD108" s="769"/>
      <c r="NXE108" s="769"/>
      <c r="NXF108" s="769"/>
      <c r="NXG108" s="769"/>
      <c r="NXH108" s="769"/>
      <c r="NXI108" s="769"/>
      <c r="NXJ108" s="769"/>
      <c r="NXK108" s="769"/>
      <c r="NXL108" s="769"/>
      <c r="NXM108" s="769"/>
      <c r="NXN108" s="769"/>
      <c r="NXO108" s="769"/>
      <c r="NXP108" s="769"/>
      <c r="NXQ108" s="769"/>
      <c r="NXR108" s="769"/>
      <c r="NXS108" s="769"/>
      <c r="NXT108" s="769"/>
      <c r="NXU108" s="769"/>
      <c r="NXV108" s="769"/>
      <c r="NXW108" s="769"/>
      <c r="NXX108" s="769"/>
      <c r="NXY108" s="769"/>
      <c r="NXZ108" s="769"/>
      <c r="NYA108" s="769"/>
      <c r="NYB108" s="769"/>
      <c r="NYC108" s="769"/>
      <c r="NYD108" s="769"/>
      <c r="NYE108" s="769"/>
      <c r="NYF108" s="769"/>
      <c r="NYG108" s="769"/>
      <c r="NYH108" s="769"/>
      <c r="NYI108" s="769"/>
      <c r="NYJ108" s="769"/>
      <c r="NYK108" s="769"/>
      <c r="NYL108" s="769"/>
      <c r="NYM108" s="769"/>
      <c r="NYN108" s="769"/>
      <c r="NYO108" s="769"/>
      <c r="NYP108" s="769"/>
      <c r="NYQ108" s="769"/>
      <c r="NYR108" s="769"/>
      <c r="NYS108" s="769"/>
      <c r="NYT108" s="769"/>
      <c r="NYU108" s="769"/>
      <c r="NYV108" s="769"/>
      <c r="NYW108" s="769"/>
      <c r="NYX108" s="769"/>
      <c r="NYY108" s="769"/>
      <c r="NYZ108" s="769"/>
      <c r="NZA108" s="769"/>
      <c r="NZB108" s="769"/>
      <c r="NZC108" s="769"/>
      <c r="NZD108" s="769"/>
      <c r="NZE108" s="769"/>
      <c r="NZF108" s="769"/>
      <c r="NZG108" s="769"/>
      <c r="NZH108" s="769"/>
      <c r="NZI108" s="769"/>
      <c r="NZJ108" s="769"/>
      <c r="NZK108" s="769"/>
      <c r="NZL108" s="769"/>
      <c r="NZM108" s="769"/>
      <c r="NZN108" s="769"/>
      <c r="NZO108" s="769"/>
      <c r="NZP108" s="769"/>
      <c r="NZQ108" s="769"/>
      <c r="NZR108" s="769"/>
      <c r="NZS108" s="769"/>
      <c r="NZT108" s="769"/>
      <c r="NZU108" s="769"/>
      <c r="NZV108" s="769"/>
      <c r="NZW108" s="769"/>
      <c r="NZX108" s="769"/>
      <c r="NZY108" s="769"/>
      <c r="NZZ108" s="769"/>
      <c r="OAA108" s="769"/>
      <c r="OAB108" s="769"/>
      <c r="OAC108" s="769"/>
      <c r="OAD108" s="769"/>
      <c r="OAE108" s="769"/>
      <c r="OAF108" s="769"/>
      <c r="OAG108" s="769"/>
      <c r="OAH108" s="769"/>
      <c r="OAI108" s="769"/>
      <c r="OAJ108" s="769"/>
      <c r="OAK108" s="769"/>
      <c r="OAL108" s="769"/>
      <c r="OAM108" s="769"/>
      <c r="OAN108" s="769"/>
      <c r="OAO108" s="769"/>
      <c r="OAP108" s="769"/>
      <c r="OAQ108" s="769"/>
      <c r="OAR108" s="769"/>
      <c r="OAS108" s="769"/>
      <c r="OAT108" s="769"/>
      <c r="OAU108" s="769"/>
      <c r="OAV108" s="769"/>
      <c r="OAW108" s="769"/>
      <c r="OAX108" s="769"/>
      <c r="OAY108" s="769"/>
      <c r="OAZ108" s="769"/>
      <c r="OBA108" s="769"/>
      <c r="OBB108" s="769"/>
      <c r="OBC108" s="769"/>
      <c r="OBD108" s="769"/>
      <c r="OBE108" s="769"/>
      <c r="OBF108" s="769"/>
      <c r="OBG108" s="769"/>
      <c r="OBH108" s="769"/>
      <c r="OBI108" s="769"/>
      <c r="OBJ108" s="769"/>
      <c r="OBK108" s="769"/>
      <c r="OBL108" s="769"/>
      <c r="OBM108" s="769"/>
      <c r="OBN108" s="769"/>
      <c r="OBO108" s="769"/>
      <c r="OBP108" s="769"/>
      <c r="OBQ108" s="769"/>
      <c r="OBR108" s="769"/>
      <c r="OBS108" s="769"/>
      <c r="OBT108" s="769"/>
      <c r="OBU108" s="769"/>
      <c r="OBV108" s="769"/>
      <c r="OBW108" s="769"/>
      <c r="OBX108" s="769"/>
      <c r="OBY108" s="769"/>
      <c r="OBZ108" s="769"/>
      <c r="OCA108" s="769"/>
      <c r="OCB108" s="769"/>
      <c r="OCC108" s="769"/>
      <c r="OCD108" s="769"/>
      <c r="OCE108" s="769"/>
      <c r="OCF108" s="769"/>
      <c r="OCG108" s="769"/>
      <c r="OCH108" s="769"/>
      <c r="OCI108" s="769"/>
      <c r="OCJ108" s="769"/>
      <c r="OCK108" s="769"/>
      <c r="OCL108" s="769"/>
      <c r="OCM108" s="769"/>
      <c r="OCN108" s="769"/>
      <c r="OCO108" s="769"/>
      <c r="OCP108" s="769"/>
      <c r="OCQ108" s="769"/>
      <c r="OCR108" s="769"/>
      <c r="OCS108" s="769"/>
      <c r="OCT108" s="769"/>
      <c r="OCU108" s="769"/>
      <c r="OCV108" s="769"/>
      <c r="OCW108" s="769"/>
      <c r="OCX108" s="769"/>
      <c r="OCY108" s="769"/>
      <c r="OCZ108" s="769"/>
      <c r="ODA108" s="769"/>
      <c r="ODB108" s="769"/>
      <c r="ODC108" s="769"/>
      <c r="ODD108" s="769"/>
      <c r="ODE108" s="769"/>
      <c r="ODF108" s="769"/>
      <c r="ODG108" s="769"/>
      <c r="ODH108" s="769"/>
      <c r="ODI108" s="769"/>
      <c r="ODJ108" s="769"/>
      <c r="ODK108" s="769"/>
      <c r="ODL108" s="769"/>
      <c r="ODM108" s="769"/>
      <c r="ODN108" s="769"/>
      <c r="ODO108" s="769"/>
      <c r="ODP108" s="769"/>
      <c r="ODQ108" s="769"/>
      <c r="ODR108" s="769"/>
      <c r="ODS108" s="769"/>
      <c r="ODT108" s="769"/>
      <c r="ODU108" s="769"/>
      <c r="ODV108" s="769"/>
      <c r="ODW108" s="769"/>
      <c r="ODX108" s="769"/>
      <c r="ODY108" s="769"/>
      <c r="ODZ108" s="769"/>
      <c r="OEA108" s="769"/>
      <c r="OEB108" s="769"/>
      <c r="OEC108" s="769"/>
      <c r="OED108" s="769"/>
      <c r="OEE108" s="769"/>
      <c r="OEF108" s="769"/>
      <c r="OEG108" s="769"/>
      <c r="OEH108" s="769"/>
      <c r="OEI108" s="769"/>
      <c r="OEJ108" s="769"/>
      <c r="OEK108" s="769"/>
      <c r="OEL108" s="769"/>
      <c r="OEM108" s="769"/>
      <c r="OEN108" s="769"/>
      <c r="OEO108" s="769"/>
      <c r="OEP108" s="769"/>
      <c r="OEQ108" s="769"/>
      <c r="OER108" s="769"/>
      <c r="OES108" s="769"/>
      <c r="OET108" s="769"/>
      <c r="OEU108" s="769"/>
      <c r="OEV108" s="769"/>
      <c r="OEW108" s="769"/>
      <c r="OEX108" s="769"/>
      <c r="OEY108" s="769"/>
      <c r="OEZ108" s="769"/>
      <c r="OFA108" s="769"/>
      <c r="OFB108" s="769"/>
      <c r="OFC108" s="769"/>
      <c r="OFD108" s="769"/>
      <c r="OFE108" s="769"/>
      <c r="OFF108" s="769"/>
      <c r="OFG108" s="769"/>
      <c r="OFH108" s="769"/>
      <c r="OFI108" s="769"/>
      <c r="OFJ108" s="769"/>
      <c r="OFK108" s="769"/>
      <c r="OFL108" s="769"/>
      <c r="OFM108" s="769"/>
      <c r="OFN108" s="769"/>
      <c r="OFO108" s="769"/>
      <c r="OFP108" s="769"/>
      <c r="OFQ108" s="769"/>
      <c r="OFR108" s="769"/>
      <c r="OFS108" s="769"/>
      <c r="OFT108" s="769"/>
      <c r="OFU108" s="769"/>
      <c r="OFV108" s="769"/>
      <c r="OFW108" s="769"/>
      <c r="OFX108" s="769"/>
      <c r="OFY108" s="769"/>
      <c r="OFZ108" s="769"/>
      <c r="OGA108" s="769"/>
      <c r="OGB108" s="769"/>
      <c r="OGC108" s="769"/>
      <c r="OGD108" s="769"/>
      <c r="OGE108" s="769"/>
      <c r="OGF108" s="769"/>
      <c r="OGG108" s="769"/>
      <c r="OGH108" s="769"/>
      <c r="OGI108" s="769"/>
      <c r="OGJ108" s="769"/>
      <c r="OGK108" s="769"/>
      <c r="OGL108" s="769"/>
      <c r="OGM108" s="769"/>
      <c r="OGN108" s="769"/>
      <c r="OGO108" s="769"/>
      <c r="OGP108" s="769"/>
      <c r="OGQ108" s="769"/>
      <c r="OGR108" s="769"/>
      <c r="OGS108" s="769"/>
      <c r="OGT108" s="769"/>
      <c r="OGU108" s="769"/>
      <c r="OGV108" s="769"/>
      <c r="OGW108" s="769"/>
      <c r="OGX108" s="769"/>
      <c r="OGY108" s="769"/>
      <c r="OGZ108" s="769"/>
      <c r="OHA108" s="769"/>
      <c r="OHB108" s="769"/>
      <c r="OHC108" s="769"/>
      <c r="OHD108" s="769"/>
      <c r="OHE108" s="769"/>
      <c r="OHF108" s="769"/>
      <c r="OHG108" s="769"/>
      <c r="OHH108" s="769"/>
      <c r="OHI108" s="769"/>
      <c r="OHJ108" s="769"/>
      <c r="OHK108" s="769"/>
      <c r="OHL108" s="769"/>
      <c r="OHM108" s="769"/>
      <c r="OHN108" s="769"/>
      <c r="OHO108" s="769"/>
      <c r="OHP108" s="769"/>
      <c r="OHQ108" s="769"/>
      <c r="OHR108" s="769"/>
      <c r="OHS108" s="769"/>
      <c r="OHT108" s="769"/>
      <c r="OHU108" s="769"/>
      <c r="OHV108" s="769"/>
      <c r="OHW108" s="769"/>
      <c r="OHX108" s="769"/>
      <c r="OHY108" s="769"/>
      <c r="OHZ108" s="769"/>
      <c r="OIA108" s="769"/>
      <c r="OIB108" s="769"/>
      <c r="OIC108" s="769"/>
      <c r="OID108" s="769"/>
      <c r="OIE108" s="769"/>
      <c r="OIF108" s="769"/>
      <c r="OIG108" s="769"/>
      <c r="OIH108" s="769"/>
      <c r="OII108" s="769"/>
      <c r="OIJ108" s="769"/>
      <c r="OIK108" s="769"/>
      <c r="OIL108" s="769"/>
      <c r="OIM108" s="769"/>
      <c r="OIN108" s="769"/>
      <c r="OIO108" s="769"/>
      <c r="OIP108" s="769"/>
      <c r="OIQ108" s="769"/>
      <c r="OIR108" s="769"/>
      <c r="OIS108" s="769"/>
      <c r="OIT108" s="769"/>
      <c r="OIU108" s="769"/>
      <c r="OIV108" s="769"/>
      <c r="OIW108" s="769"/>
      <c r="OIX108" s="769"/>
      <c r="OIY108" s="769"/>
      <c r="OIZ108" s="769"/>
      <c r="OJA108" s="769"/>
      <c r="OJB108" s="769"/>
      <c r="OJC108" s="769"/>
      <c r="OJD108" s="769"/>
      <c r="OJE108" s="769"/>
      <c r="OJF108" s="769"/>
      <c r="OJG108" s="769"/>
      <c r="OJH108" s="769"/>
      <c r="OJI108" s="769"/>
      <c r="OJJ108" s="769"/>
      <c r="OJK108" s="769"/>
      <c r="OJL108" s="769"/>
      <c r="OJM108" s="769"/>
      <c r="OJN108" s="769"/>
      <c r="OJO108" s="769"/>
      <c r="OJP108" s="769"/>
      <c r="OJQ108" s="769"/>
      <c r="OJR108" s="769"/>
      <c r="OJS108" s="769"/>
      <c r="OJT108" s="769"/>
      <c r="OJU108" s="769"/>
      <c r="OJV108" s="769"/>
      <c r="OJW108" s="769"/>
      <c r="OJX108" s="769"/>
      <c r="OJY108" s="769"/>
      <c r="OJZ108" s="769"/>
      <c r="OKA108" s="769"/>
      <c r="OKB108" s="769"/>
      <c r="OKC108" s="769"/>
      <c r="OKD108" s="769"/>
      <c r="OKE108" s="769"/>
      <c r="OKF108" s="769"/>
      <c r="OKG108" s="769"/>
      <c r="OKH108" s="769"/>
      <c r="OKI108" s="769"/>
      <c r="OKJ108" s="769"/>
      <c r="OKK108" s="769"/>
      <c r="OKL108" s="769"/>
      <c r="OKM108" s="769"/>
      <c r="OKN108" s="769"/>
      <c r="OKO108" s="769"/>
      <c r="OKP108" s="769"/>
      <c r="OKQ108" s="769"/>
      <c r="OKR108" s="769"/>
      <c r="OKS108" s="769"/>
      <c r="OKT108" s="769"/>
      <c r="OKU108" s="769"/>
      <c r="OKV108" s="769"/>
      <c r="OKW108" s="769"/>
      <c r="OKX108" s="769"/>
      <c r="OKY108" s="769"/>
      <c r="OKZ108" s="769"/>
      <c r="OLA108" s="769"/>
      <c r="OLB108" s="769"/>
      <c r="OLC108" s="769"/>
      <c r="OLD108" s="769"/>
      <c r="OLE108" s="769"/>
      <c r="OLF108" s="769"/>
      <c r="OLG108" s="769"/>
      <c r="OLH108" s="769"/>
      <c r="OLI108" s="769"/>
      <c r="OLJ108" s="769"/>
      <c r="OLK108" s="769"/>
      <c r="OLL108" s="769"/>
      <c r="OLM108" s="769"/>
      <c r="OLN108" s="769"/>
      <c r="OLO108" s="769"/>
      <c r="OLP108" s="769"/>
      <c r="OLQ108" s="769"/>
      <c r="OLR108" s="769"/>
      <c r="OLS108" s="769"/>
      <c r="OLT108" s="769"/>
      <c r="OLU108" s="769"/>
      <c r="OLV108" s="769"/>
      <c r="OLW108" s="769"/>
      <c r="OLX108" s="769"/>
      <c r="OLY108" s="769"/>
      <c r="OLZ108" s="769"/>
      <c r="OMA108" s="769"/>
      <c r="OMB108" s="769"/>
      <c r="OMC108" s="769"/>
      <c r="OMD108" s="769"/>
      <c r="OME108" s="769"/>
      <c r="OMF108" s="769"/>
      <c r="OMG108" s="769"/>
      <c r="OMH108" s="769"/>
      <c r="OMI108" s="769"/>
      <c r="OMJ108" s="769"/>
      <c r="OMK108" s="769"/>
      <c r="OML108" s="769"/>
      <c r="OMM108" s="769"/>
      <c r="OMN108" s="769"/>
      <c r="OMO108" s="769"/>
      <c r="OMP108" s="769"/>
      <c r="OMQ108" s="769"/>
      <c r="OMR108" s="769"/>
      <c r="OMS108" s="769"/>
      <c r="OMT108" s="769"/>
      <c r="OMU108" s="769"/>
      <c r="OMV108" s="769"/>
      <c r="OMW108" s="769"/>
      <c r="OMX108" s="769"/>
      <c r="OMY108" s="769"/>
      <c r="OMZ108" s="769"/>
      <c r="ONA108" s="769"/>
      <c r="ONB108" s="769"/>
      <c r="ONC108" s="769"/>
      <c r="OND108" s="769"/>
      <c r="ONE108" s="769"/>
      <c r="ONF108" s="769"/>
      <c r="ONG108" s="769"/>
      <c r="ONH108" s="769"/>
      <c r="ONI108" s="769"/>
      <c r="ONJ108" s="769"/>
      <c r="ONK108" s="769"/>
      <c r="ONL108" s="769"/>
      <c r="ONM108" s="769"/>
      <c r="ONN108" s="769"/>
      <c r="ONO108" s="769"/>
      <c r="ONP108" s="769"/>
      <c r="ONQ108" s="769"/>
      <c r="ONR108" s="769"/>
      <c r="ONS108" s="769"/>
      <c r="ONT108" s="769"/>
      <c r="ONU108" s="769"/>
      <c r="ONV108" s="769"/>
      <c r="ONW108" s="769"/>
      <c r="ONX108" s="769"/>
      <c r="ONY108" s="769"/>
      <c r="ONZ108" s="769"/>
      <c r="OOA108" s="769"/>
      <c r="OOB108" s="769"/>
      <c r="OOC108" s="769"/>
      <c r="OOD108" s="769"/>
      <c r="OOE108" s="769"/>
      <c r="OOF108" s="769"/>
      <c r="OOG108" s="769"/>
      <c r="OOH108" s="769"/>
      <c r="OOI108" s="769"/>
      <c r="OOJ108" s="769"/>
      <c r="OOK108" s="769"/>
      <c r="OOL108" s="769"/>
      <c r="OOM108" s="769"/>
      <c r="OON108" s="769"/>
      <c r="OOO108" s="769"/>
      <c r="OOP108" s="769"/>
      <c r="OOQ108" s="769"/>
      <c r="OOR108" s="769"/>
      <c r="OOS108" s="769"/>
      <c r="OOT108" s="769"/>
      <c r="OOU108" s="769"/>
      <c r="OOV108" s="769"/>
      <c r="OOW108" s="769"/>
      <c r="OOX108" s="769"/>
      <c r="OOY108" s="769"/>
      <c r="OOZ108" s="769"/>
      <c r="OPA108" s="769"/>
      <c r="OPB108" s="769"/>
      <c r="OPC108" s="769"/>
      <c r="OPD108" s="769"/>
      <c r="OPE108" s="769"/>
      <c r="OPF108" s="769"/>
      <c r="OPG108" s="769"/>
      <c r="OPH108" s="769"/>
      <c r="OPI108" s="769"/>
      <c r="OPJ108" s="769"/>
      <c r="OPK108" s="769"/>
      <c r="OPL108" s="769"/>
      <c r="OPM108" s="769"/>
      <c r="OPN108" s="769"/>
      <c r="OPO108" s="769"/>
      <c r="OPP108" s="769"/>
      <c r="OPQ108" s="769"/>
      <c r="OPR108" s="769"/>
      <c r="OPS108" s="769"/>
      <c r="OPT108" s="769"/>
      <c r="OPU108" s="769"/>
      <c r="OPV108" s="769"/>
      <c r="OPW108" s="769"/>
      <c r="OPX108" s="769"/>
      <c r="OPY108" s="769"/>
      <c r="OPZ108" s="769"/>
      <c r="OQA108" s="769"/>
      <c r="OQB108" s="769"/>
      <c r="OQC108" s="769"/>
      <c r="OQD108" s="769"/>
      <c r="OQE108" s="769"/>
      <c r="OQF108" s="769"/>
      <c r="OQG108" s="769"/>
      <c r="OQH108" s="769"/>
      <c r="OQI108" s="769"/>
      <c r="OQJ108" s="769"/>
      <c r="OQK108" s="769"/>
      <c r="OQL108" s="769"/>
      <c r="OQM108" s="769"/>
      <c r="OQN108" s="769"/>
      <c r="OQO108" s="769"/>
      <c r="OQP108" s="769"/>
      <c r="OQQ108" s="769"/>
      <c r="OQR108" s="769"/>
      <c r="OQS108" s="769"/>
      <c r="OQT108" s="769"/>
      <c r="OQU108" s="769"/>
      <c r="OQV108" s="769"/>
      <c r="OQW108" s="769"/>
      <c r="OQX108" s="769"/>
      <c r="OQY108" s="769"/>
      <c r="OQZ108" s="769"/>
      <c r="ORA108" s="769"/>
      <c r="ORB108" s="769"/>
      <c r="ORC108" s="769"/>
      <c r="ORD108" s="769"/>
      <c r="ORE108" s="769"/>
      <c r="ORF108" s="769"/>
      <c r="ORG108" s="769"/>
      <c r="ORH108" s="769"/>
      <c r="ORI108" s="769"/>
      <c r="ORJ108" s="769"/>
      <c r="ORK108" s="769"/>
      <c r="ORL108" s="769"/>
      <c r="ORM108" s="769"/>
      <c r="ORN108" s="769"/>
      <c r="ORO108" s="769"/>
      <c r="ORP108" s="769"/>
      <c r="ORQ108" s="769"/>
      <c r="ORR108" s="769"/>
      <c r="ORS108" s="769"/>
      <c r="ORT108" s="769"/>
      <c r="ORU108" s="769"/>
      <c r="ORV108" s="769"/>
      <c r="ORW108" s="769"/>
      <c r="ORX108" s="769"/>
      <c r="ORY108" s="769"/>
      <c r="ORZ108" s="769"/>
      <c r="OSA108" s="769"/>
      <c r="OSB108" s="769"/>
      <c r="OSC108" s="769"/>
      <c r="OSD108" s="769"/>
      <c r="OSE108" s="769"/>
      <c r="OSF108" s="769"/>
      <c r="OSG108" s="769"/>
      <c r="OSH108" s="769"/>
      <c r="OSI108" s="769"/>
      <c r="OSJ108" s="769"/>
      <c r="OSK108" s="769"/>
      <c r="OSL108" s="769"/>
      <c r="OSM108" s="769"/>
      <c r="OSN108" s="769"/>
      <c r="OSO108" s="769"/>
      <c r="OSP108" s="769"/>
      <c r="OSQ108" s="769"/>
      <c r="OSR108" s="769"/>
      <c r="OSS108" s="769"/>
      <c r="OST108" s="769"/>
      <c r="OSU108" s="769"/>
      <c r="OSV108" s="769"/>
      <c r="OSW108" s="769"/>
      <c r="OSX108" s="769"/>
      <c r="OSY108" s="769"/>
      <c r="OSZ108" s="769"/>
      <c r="OTA108" s="769"/>
      <c r="OTB108" s="769"/>
      <c r="OTC108" s="769"/>
      <c r="OTD108" s="769"/>
      <c r="OTE108" s="769"/>
      <c r="OTF108" s="769"/>
      <c r="OTG108" s="769"/>
      <c r="OTH108" s="769"/>
      <c r="OTI108" s="769"/>
      <c r="OTJ108" s="769"/>
      <c r="OTK108" s="769"/>
      <c r="OTL108" s="769"/>
      <c r="OTM108" s="769"/>
      <c r="OTN108" s="769"/>
      <c r="OTO108" s="769"/>
      <c r="OTP108" s="769"/>
      <c r="OTQ108" s="769"/>
      <c r="OTR108" s="769"/>
      <c r="OTS108" s="769"/>
      <c r="OTT108" s="769"/>
      <c r="OTU108" s="769"/>
      <c r="OTV108" s="769"/>
      <c r="OTW108" s="769"/>
      <c r="OTX108" s="769"/>
      <c r="OTY108" s="769"/>
      <c r="OTZ108" s="769"/>
      <c r="OUA108" s="769"/>
      <c r="OUB108" s="769"/>
      <c r="OUC108" s="769"/>
      <c r="OUD108" s="769"/>
      <c r="OUE108" s="769"/>
      <c r="OUF108" s="769"/>
      <c r="OUG108" s="769"/>
      <c r="OUH108" s="769"/>
      <c r="OUI108" s="769"/>
      <c r="OUJ108" s="769"/>
      <c r="OUK108" s="769"/>
      <c r="OUL108" s="769"/>
      <c r="OUM108" s="769"/>
      <c r="OUN108" s="769"/>
      <c r="OUO108" s="769"/>
      <c r="OUP108" s="769"/>
      <c r="OUQ108" s="769"/>
      <c r="OUR108" s="769"/>
      <c r="OUS108" s="769"/>
      <c r="OUT108" s="769"/>
      <c r="OUU108" s="769"/>
      <c r="OUV108" s="769"/>
      <c r="OUW108" s="769"/>
      <c r="OUX108" s="769"/>
      <c r="OUY108" s="769"/>
      <c r="OUZ108" s="769"/>
      <c r="OVA108" s="769"/>
      <c r="OVB108" s="769"/>
      <c r="OVC108" s="769"/>
      <c r="OVD108" s="769"/>
      <c r="OVE108" s="769"/>
      <c r="OVF108" s="769"/>
      <c r="OVG108" s="769"/>
      <c r="OVH108" s="769"/>
      <c r="OVI108" s="769"/>
      <c r="OVJ108" s="769"/>
      <c r="OVK108" s="769"/>
      <c r="OVL108" s="769"/>
      <c r="OVM108" s="769"/>
      <c r="OVN108" s="769"/>
      <c r="OVO108" s="769"/>
      <c r="OVP108" s="769"/>
      <c r="OVQ108" s="769"/>
      <c r="OVR108" s="769"/>
      <c r="OVS108" s="769"/>
      <c r="OVT108" s="769"/>
      <c r="OVU108" s="769"/>
      <c r="OVV108" s="769"/>
      <c r="OVW108" s="769"/>
      <c r="OVX108" s="769"/>
      <c r="OVY108" s="769"/>
      <c r="OVZ108" s="769"/>
      <c r="OWA108" s="769"/>
      <c r="OWB108" s="769"/>
      <c r="OWC108" s="769"/>
      <c r="OWD108" s="769"/>
      <c r="OWE108" s="769"/>
      <c r="OWF108" s="769"/>
      <c r="OWG108" s="769"/>
      <c r="OWH108" s="769"/>
      <c r="OWI108" s="769"/>
      <c r="OWJ108" s="769"/>
      <c r="OWK108" s="769"/>
      <c r="OWL108" s="769"/>
      <c r="OWM108" s="769"/>
      <c r="OWN108" s="769"/>
      <c r="OWO108" s="769"/>
      <c r="OWP108" s="769"/>
      <c r="OWQ108" s="769"/>
      <c r="OWR108" s="769"/>
      <c r="OWS108" s="769"/>
      <c r="OWT108" s="769"/>
      <c r="OWU108" s="769"/>
      <c r="OWV108" s="769"/>
      <c r="OWW108" s="769"/>
      <c r="OWX108" s="769"/>
      <c r="OWY108" s="769"/>
      <c r="OWZ108" s="769"/>
      <c r="OXA108" s="769"/>
      <c r="OXB108" s="769"/>
      <c r="OXC108" s="769"/>
      <c r="OXD108" s="769"/>
      <c r="OXE108" s="769"/>
      <c r="OXF108" s="769"/>
      <c r="OXG108" s="769"/>
      <c r="OXH108" s="769"/>
      <c r="OXI108" s="769"/>
      <c r="OXJ108" s="769"/>
      <c r="OXK108" s="769"/>
      <c r="OXL108" s="769"/>
      <c r="OXM108" s="769"/>
      <c r="OXN108" s="769"/>
      <c r="OXO108" s="769"/>
      <c r="OXP108" s="769"/>
      <c r="OXQ108" s="769"/>
      <c r="OXR108" s="769"/>
      <c r="OXS108" s="769"/>
      <c r="OXT108" s="769"/>
      <c r="OXU108" s="769"/>
      <c r="OXV108" s="769"/>
      <c r="OXW108" s="769"/>
      <c r="OXX108" s="769"/>
      <c r="OXY108" s="769"/>
      <c r="OXZ108" s="769"/>
      <c r="OYA108" s="769"/>
      <c r="OYB108" s="769"/>
      <c r="OYC108" s="769"/>
      <c r="OYD108" s="769"/>
      <c r="OYE108" s="769"/>
      <c r="OYF108" s="769"/>
      <c r="OYG108" s="769"/>
      <c r="OYH108" s="769"/>
      <c r="OYI108" s="769"/>
      <c r="OYJ108" s="769"/>
      <c r="OYK108" s="769"/>
      <c r="OYL108" s="769"/>
      <c r="OYM108" s="769"/>
      <c r="OYN108" s="769"/>
      <c r="OYO108" s="769"/>
      <c r="OYP108" s="769"/>
      <c r="OYQ108" s="769"/>
      <c r="OYR108" s="769"/>
      <c r="OYS108" s="769"/>
      <c r="OYT108" s="769"/>
      <c r="OYU108" s="769"/>
      <c r="OYV108" s="769"/>
      <c r="OYW108" s="769"/>
      <c r="OYX108" s="769"/>
      <c r="OYY108" s="769"/>
      <c r="OYZ108" s="769"/>
      <c r="OZA108" s="769"/>
      <c r="OZB108" s="769"/>
      <c r="OZC108" s="769"/>
      <c r="OZD108" s="769"/>
      <c r="OZE108" s="769"/>
      <c r="OZF108" s="769"/>
      <c r="OZG108" s="769"/>
      <c r="OZH108" s="769"/>
      <c r="OZI108" s="769"/>
      <c r="OZJ108" s="769"/>
      <c r="OZK108" s="769"/>
      <c r="OZL108" s="769"/>
      <c r="OZM108" s="769"/>
      <c r="OZN108" s="769"/>
      <c r="OZO108" s="769"/>
      <c r="OZP108" s="769"/>
      <c r="OZQ108" s="769"/>
      <c r="OZR108" s="769"/>
      <c r="OZS108" s="769"/>
      <c r="OZT108" s="769"/>
      <c r="OZU108" s="769"/>
      <c r="OZV108" s="769"/>
      <c r="OZW108" s="769"/>
      <c r="OZX108" s="769"/>
      <c r="OZY108" s="769"/>
      <c r="OZZ108" s="769"/>
      <c r="PAA108" s="769"/>
      <c r="PAB108" s="769"/>
      <c r="PAC108" s="769"/>
      <c r="PAD108" s="769"/>
      <c r="PAE108" s="769"/>
      <c r="PAF108" s="769"/>
      <c r="PAG108" s="769"/>
      <c r="PAH108" s="769"/>
      <c r="PAI108" s="769"/>
      <c r="PAJ108" s="769"/>
      <c r="PAK108" s="769"/>
      <c r="PAL108" s="769"/>
      <c r="PAM108" s="769"/>
      <c r="PAN108" s="769"/>
      <c r="PAO108" s="769"/>
      <c r="PAP108" s="769"/>
      <c r="PAQ108" s="769"/>
      <c r="PAR108" s="769"/>
      <c r="PAS108" s="769"/>
      <c r="PAT108" s="769"/>
      <c r="PAU108" s="769"/>
      <c r="PAV108" s="769"/>
      <c r="PAW108" s="769"/>
      <c r="PAX108" s="769"/>
      <c r="PAY108" s="769"/>
      <c r="PAZ108" s="769"/>
      <c r="PBA108" s="769"/>
      <c r="PBB108" s="769"/>
      <c r="PBC108" s="769"/>
      <c r="PBD108" s="769"/>
      <c r="PBE108" s="769"/>
      <c r="PBF108" s="769"/>
      <c r="PBG108" s="769"/>
      <c r="PBH108" s="769"/>
      <c r="PBI108" s="769"/>
      <c r="PBJ108" s="769"/>
      <c r="PBK108" s="769"/>
      <c r="PBL108" s="769"/>
      <c r="PBM108" s="769"/>
      <c r="PBN108" s="769"/>
      <c r="PBO108" s="769"/>
      <c r="PBP108" s="769"/>
      <c r="PBQ108" s="769"/>
      <c r="PBR108" s="769"/>
      <c r="PBS108" s="769"/>
      <c r="PBT108" s="769"/>
      <c r="PBU108" s="769"/>
      <c r="PBV108" s="769"/>
      <c r="PBW108" s="769"/>
      <c r="PBX108" s="769"/>
      <c r="PBY108" s="769"/>
      <c r="PBZ108" s="769"/>
      <c r="PCA108" s="769"/>
      <c r="PCB108" s="769"/>
      <c r="PCC108" s="769"/>
      <c r="PCD108" s="769"/>
      <c r="PCE108" s="769"/>
      <c r="PCF108" s="769"/>
      <c r="PCG108" s="769"/>
      <c r="PCH108" s="769"/>
      <c r="PCI108" s="769"/>
      <c r="PCJ108" s="769"/>
      <c r="PCK108" s="769"/>
      <c r="PCL108" s="769"/>
      <c r="PCM108" s="769"/>
      <c r="PCN108" s="769"/>
      <c r="PCO108" s="769"/>
      <c r="PCP108" s="769"/>
      <c r="PCQ108" s="769"/>
      <c r="PCR108" s="769"/>
      <c r="PCS108" s="769"/>
      <c r="PCT108" s="769"/>
      <c r="PCU108" s="769"/>
      <c r="PCV108" s="769"/>
      <c r="PCW108" s="769"/>
      <c r="PCX108" s="769"/>
      <c r="PCY108" s="769"/>
      <c r="PCZ108" s="769"/>
      <c r="PDA108" s="769"/>
      <c r="PDB108" s="769"/>
      <c r="PDC108" s="769"/>
      <c r="PDD108" s="769"/>
      <c r="PDE108" s="769"/>
      <c r="PDF108" s="769"/>
      <c r="PDG108" s="769"/>
      <c r="PDH108" s="769"/>
      <c r="PDI108" s="769"/>
      <c r="PDJ108" s="769"/>
      <c r="PDK108" s="769"/>
      <c r="PDL108" s="769"/>
      <c r="PDM108" s="769"/>
      <c r="PDN108" s="769"/>
      <c r="PDO108" s="769"/>
      <c r="PDP108" s="769"/>
      <c r="PDQ108" s="769"/>
      <c r="PDR108" s="769"/>
      <c r="PDS108" s="769"/>
      <c r="PDT108" s="769"/>
      <c r="PDU108" s="769"/>
      <c r="PDV108" s="769"/>
      <c r="PDW108" s="769"/>
      <c r="PDX108" s="769"/>
      <c r="PDY108" s="769"/>
      <c r="PDZ108" s="769"/>
      <c r="PEA108" s="769"/>
      <c r="PEB108" s="769"/>
      <c r="PEC108" s="769"/>
      <c r="PED108" s="769"/>
      <c r="PEE108" s="769"/>
      <c r="PEF108" s="769"/>
      <c r="PEG108" s="769"/>
      <c r="PEH108" s="769"/>
      <c r="PEI108" s="769"/>
      <c r="PEJ108" s="769"/>
      <c r="PEK108" s="769"/>
      <c r="PEL108" s="769"/>
      <c r="PEM108" s="769"/>
      <c r="PEN108" s="769"/>
      <c r="PEO108" s="769"/>
      <c r="PEP108" s="769"/>
      <c r="PEQ108" s="769"/>
      <c r="PER108" s="769"/>
      <c r="PES108" s="769"/>
      <c r="PET108" s="769"/>
      <c r="PEU108" s="769"/>
      <c r="PEV108" s="769"/>
      <c r="PEW108" s="769"/>
      <c r="PEX108" s="769"/>
      <c r="PEY108" s="769"/>
      <c r="PEZ108" s="769"/>
      <c r="PFA108" s="769"/>
      <c r="PFB108" s="769"/>
      <c r="PFC108" s="769"/>
      <c r="PFD108" s="769"/>
      <c r="PFE108" s="769"/>
      <c r="PFF108" s="769"/>
      <c r="PFG108" s="769"/>
      <c r="PFH108" s="769"/>
      <c r="PFI108" s="769"/>
      <c r="PFJ108" s="769"/>
      <c r="PFK108" s="769"/>
      <c r="PFL108" s="769"/>
      <c r="PFM108" s="769"/>
      <c r="PFN108" s="769"/>
      <c r="PFO108" s="769"/>
      <c r="PFP108" s="769"/>
      <c r="PFQ108" s="769"/>
      <c r="PFR108" s="769"/>
      <c r="PFS108" s="769"/>
      <c r="PFT108" s="769"/>
      <c r="PFU108" s="769"/>
      <c r="PFV108" s="769"/>
      <c r="PFW108" s="769"/>
      <c r="PFX108" s="769"/>
      <c r="PFY108" s="769"/>
      <c r="PFZ108" s="769"/>
      <c r="PGA108" s="769"/>
      <c r="PGB108" s="769"/>
      <c r="PGC108" s="769"/>
      <c r="PGD108" s="769"/>
      <c r="PGE108" s="769"/>
      <c r="PGF108" s="769"/>
      <c r="PGG108" s="769"/>
      <c r="PGH108" s="769"/>
      <c r="PGI108" s="769"/>
      <c r="PGJ108" s="769"/>
      <c r="PGK108" s="769"/>
      <c r="PGL108" s="769"/>
      <c r="PGM108" s="769"/>
      <c r="PGN108" s="769"/>
      <c r="PGO108" s="769"/>
      <c r="PGP108" s="769"/>
      <c r="PGQ108" s="769"/>
      <c r="PGR108" s="769"/>
      <c r="PGS108" s="769"/>
      <c r="PGT108" s="769"/>
      <c r="PGU108" s="769"/>
      <c r="PGV108" s="769"/>
      <c r="PGW108" s="769"/>
      <c r="PGX108" s="769"/>
      <c r="PGY108" s="769"/>
      <c r="PGZ108" s="769"/>
      <c r="PHA108" s="769"/>
      <c r="PHB108" s="769"/>
      <c r="PHC108" s="769"/>
      <c r="PHD108" s="769"/>
      <c r="PHE108" s="769"/>
      <c r="PHF108" s="769"/>
      <c r="PHG108" s="769"/>
      <c r="PHH108" s="769"/>
      <c r="PHI108" s="769"/>
      <c r="PHJ108" s="769"/>
      <c r="PHK108" s="769"/>
      <c r="PHL108" s="769"/>
      <c r="PHM108" s="769"/>
      <c r="PHN108" s="769"/>
      <c r="PHO108" s="769"/>
      <c r="PHP108" s="769"/>
      <c r="PHQ108" s="769"/>
      <c r="PHR108" s="769"/>
      <c r="PHS108" s="769"/>
      <c r="PHT108" s="769"/>
      <c r="PHU108" s="769"/>
      <c r="PHV108" s="769"/>
      <c r="PHW108" s="769"/>
      <c r="PHX108" s="769"/>
      <c r="PHY108" s="769"/>
      <c r="PHZ108" s="769"/>
      <c r="PIA108" s="769"/>
      <c r="PIB108" s="769"/>
      <c r="PIC108" s="769"/>
      <c r="PID108" s="769"/>
      <c r="PIE108" s="769"/>
      <c r="PIF108" s="769"/>
      <c r="PIG108" s="769"/>
      <c r="PIH108" s="769"/>
      <c r="PII108" s="769"/>
      <c r="PIJ108" s="769"/>
      <c r="PIK108" s="769"/>
      <c r="PIL108" s="769"/>
      <c r="PIM108" s="769"/>
      <c r="PIN108" s="769"/>
      <c r="PIO108" s="769"/>
      <c r="PIP108" s="769"/>
      <c r="PIQ108" s="769"/>
      <c r="PIR108" s="769"/>
      <c r="PIS108" s="769"/>
      <c r="PIT108" s="769"/>
      <c r="PIU108" s="769"/>
      <c r="PIV108" s="769"/>
      <c r="PIW108" s="769"/>
      <c r="PIX108" s="769"/>
      <c r="PIY108" s="769"/>
      <c r="PIZ108" s="769"/>
      <c r="PJA108" s="769"/>
      <c r="PJB108" s="769"/>
      <c r="PJC108" s="769"/>
      <c r="PJD108" s="769"/>
      <c r="PJE108" s="769"/>
      <c r="PJF108" s="769"/>
      <c r="PJG108" s="769"/>
      <c r="PJH108" s="769"/>
      <c r="PJI108" s="769"/>
      <c r="PJJ108" s="769"/>
      <c r="PJK108" s="769"/>
      <c r="PJL108" s="769"/>
      <c r="PJM108" s="769"/>
      <c r="PJN108" s="769"/>
      <c r="PJO108" s="769"/>
      <c r="PJP108" s="769"/>
      <c r="PJQ108" s="769"/>
      <c r="PJR108" s="769"/>
      <c r="PJS108" s="769"/>
      <c r="PJT108" s="769"/>
      <c r="PJU108" s="769"/>
      <c r="PJV108" s="769"/>
      <c r="PJW108" s="769"/>
      <c r="PJX108" s="769"/>
      <c r="PJY108" s="769"/>
      <c r="PJZ108" s="769"/>
      <c r="PKA108" s="769"/>
      <c r="PKB108" s="769"/>
      <c r="PKC108" s="769"/>
      <c r="PKD108" s="769"/>
      <c r="PKE108" s="769"/>
      <c r="PKF108" s="769"/>
      <c r="PKG108" s="769"/>
      <c r="PKH108" s="769"/>
      <c r="PKI108" s="769"/>
      <c r="PKJ108" s="769"/>
      <c r="PKK108" s="769"/>
      <c r="PKL108" s="769"/>
      <c r="PKM108" s="769"/>
      <c r="PKN108" s="769"/>
      <c r="PKO108" s="769"/>
      <c r="PKP108" s="769"/>
      <c r="PKQ108" s="769"/>
      <c r="PKR108" s="769"/>
      <c r="PKS108" s="769"/>
      <c r="PKT108" s="769"/>
      <c r="PKU108" s="769"/>
      <c r="PKV108" s="769"/>
      <c r="PKW108" s="769"/>
      <c r="PKX108" s="769"/>
      <c r="PKY108" s="769"/>
      <c r="PKZ108" s="769"/>
      <c r="PLA108" s="769"/>
      <c r="PLB108" s="769"/>
      <c r="PLC108" s="769"/>
      <c r="PLD108" s="769"/>
      <c r="PLE108" s="769"/>
      <c r="PLF108" s="769"/>
      <c r="PLG108" s="769"/>
      <c r="PLH108" s="769"/>
      <c r="PLI108" s="769"/>
      <c r="PLJ108" s="769"/>
      <c r="PLK108" s="769"/>
      <c r="PLL108" s="769"/>
      <c r="PLM108" s="769"/>
      <c r="PLN108" s="769"/>
      <c r="PLO108" s="769"/>
      <c r="PLP108" s="769"/>
      <c r="PLQ108" s="769"/>
      <c r="PLR108" s="769"/>
      <c r="PLS108" s="769"/>
      <c r="PLT108" s="769"/>
      <c r="PLU108" s="769"/>
      <c r="PLV108" s="769"/>
      <c r="PLW108" s="769"/>
      <c r="PLX108" s="769"/>
      <c r="PLY108" s="769"/>
      <c r="PLZ108" s="769"/>
      <c r="PMA108" s="769"/>
      <c r="PMB108" s="769"/>
      <c r="PMC108" s="769"/>
      <c r="PMD108" s="769"/>
      <c r="PME108" s="769"/>
      <c r="PMF108" s="769"/>
      <c r="PMG108" s="769"/>
      <c r="PMH108" s="769"/>
      <c r="PMI108" s="769"/>
      <c r="PMJ108" s="769"/>
      <c r="PMK108" s="769"/>
      <c r="PML108" s="769"/>
      <c r="PMM108" s="769"/>
      <c r="PMN108" s="769"/>
      <c r="PMO108" s="769"/>
      <c r="PMP108" s="769"/>
      <c r="PMQ108" s="769"/>
      <c r="PMR108" s="769"/>
      <c r="PMS108" s="769"/>
      <c r="PMT108" s="769"/>
      <c r="PMU108" s="769"/>
      <c r="PMV108" s="769"/>
      <c r="PMW108" s="769"/>
      <c r="PMX108" s="769"/>
      <c r="PMY108" s="769"/>
      <c r="PMZ108" s="769"/>
      <c r="PNA108" s="769"/>
      <c r="PNB108" s="769"/>
      <c r="PNC108" s="769"/>
      <c r="PND108" s="769"/>
      <c r="PNE108" s="769"/>
      <c r="PNF108" s="769"/>
      <c r="PNG108" s="769"/>
      <c r="PNH108" s="769"/>
      <c r="PNI108" s="769"/>
      <c r="PNJ108" s="769"/>
      <c r="PNK108" s="769"/>
      <c r="PNL108" s="769"/>
      <c r="PNM108" s="769"/>
      <c r="PNN108" s="769"/>
      <c r="PNO108" s="769"/>
      <c r="PNP108" s="769"/>
      <c r="PNQ108" s="769"/>
      <c r="PNR108" s="769"/>
      <c r="PNS108" s="769"/>
      <c r="PNT108" s="769"/>
      <c r="PNU108" s="769"/>
      <c r="PNV108" s="769"/>
      <c r="PNW108" s="769"/>
      <c r="PNX108" s="769"/>
      <c r="PNY108" s="769"/>
      <c r="PNZ108" s="769"/>
      <c r="POA108" s="769"/>
      <c r="POB108" s="769"/>
      <c r="POC108" s="769"/>
      <c r="POD108" s="769"/>
      <c r="POE108" s="769"/>
      <c r="POF108" s="769"/>
      <c r="POG108" s="769"/>
      <c r="POH108" s="769"/>
      <c r="POI108" s="769"/>
      <c r="POJ108" s="769"/>
      <c r="POK108" s="769"/>
      <c r="POL108" s="769"/>
      <c r="POM108" s="769"/>
      <c r="PON108" s="769"/>
      <c r="POO108" s="769"/>
      <c r="POP108" s="769"/>
      <c r="POQ108" s="769"/>
      <c r="POR108" s="769"/>
      <c r="POS108" s="769"/>
      <c r="POT108" s="769"/>
      <c r="POU108" s="769"/>
      <c r="POV108" s="769"/>
      <c r="POW108" s="769"/>
      <c r="POX108" s="769"/>
      <c r="POY108" s="769"/>
      <c r="POZ108" s="769"/>
      <c r="PPA108" s="769"/>
      <c r="PPB108" s="769"/>
      <c r="PPC108" s="769"/>
      <c r="PPD108" s="769"/>
      <c r="PPE108" s="769"/>
      <c r="PPF108" s="769"/>
      <c r="PPG108" s="769"/>
      <c r="PPH108" s="769"/>
      <c r="PPI108" s="769"/>
      <c r="PPJ108" s="769"/>
      <c r="PPK108" s="769"/>
      <c r="PPL108" s="769"/>
      <c r="PPM108" s="769"/>
      <c r="PPN108" s="769"/>
      <c r="PPO108" s="769"/>
      <c r="PPP108" s="769"/>
      <c r="PPQ108" s="769"/>
      <c r="PPR108" s="769"/>
      <c r="PPS108" s="769"/>
      <c r="PPT108" s="769"/>
      <c r="PPU108" s="769"/>
      <c r="PPV108" s="769"/>
      <c r="PPW108" s="769"/>
      <c r="PPX108" s="769"/>
      <c r="PPY108" s="769"/>
      <c r="PPZ108" s="769"/>
      <c r="PQA108" s="769"/>
      <c r="PQB108" s="769"/>
      <c r="PQC108" s="769"/>
      <c r="PQD108" s="769"/>
      <c r="PQE108" s="769"/>
      <c r="PQF108" s="769"/>
      <c r="PQG108" s="769"/>
      <c r="PQH108" s="769"/>
      <c r="PQI108" s="769"/>
      <c r="PQJ108" s="769"/>
      <c r="PQK108" s="769"/>
      <c r="PQL108" s="769"/>
      <c r="PQM108" s="769"/>
      <c r="PQN108" s="769"/>
      <c r="PQO108" s="769"/>
      <c r="PQP108" s="769"/>
      <c r="PQQ108" s="769"/>
      <c r="PQR108" s="769"/>
      <c r="PQS108" s="769"/>
      <c r="PQT108" s="769"/>
      <c r="PQU108" s="769"/>
      <c r="PQV108" s="769"/>
      <c r="PQW108" s="769"/>
      <c r="PQX108" s="769"/>
      <c r="PQY108" s="769"/>
      <c r="PQZ108" s="769"/>
      <c r="PRA108" s="769"/>
      <c r="PRB108" s="769"/>
      <c r="PRC108" s="769"/>
      <c r="PRD108" s="769"/>
      <c r="PRE108" s="769"/>
      <c r="PRF108" s="769"/>
      <c r="PRG108" s="769"/>
      <c r="PRH108" s="769"/>
      <c r="PRI108" s="769"/>
      <c r="PRJ108" s="769"/>
      <c r="PRK108" s="769"/>
      <c r="PRL108" s="769"/>
      <c r="PRM108" s="769"/>
      <c r="PRN108" s="769"/>
      <c r="PRO108" s="769"/>
      <c r="PRP108" s="769"/>
      <c r="PRQ108" s="769"/>
      <c r="PRR108" s="769"/>
      <c r="PRS108" s="769"/>
      <c r="PRT108" s="769"/>
      <c r="PRU108" s="769"/>
      <c r="PRV108" s="769"/>
      <c r="PRW108" s="769"/>
      <c r="PRX108" s="769"/>
      <c r="PRY108" s="769"/>
      <c r="PRZ108" s="769"/>
      <c r="PSA108" s="769"/>
      <c r="PSB108" s="769"/>
      <c r="PSC108" s="769"/>
      <c r="PSD108" s="769"/>
      <c r="PSE108" s="769"/>
      <c r="PSF108" s="769"/>
      <c r="PSG108" s="769"/>
      <c r="PSH108" s="769"/>
      <c r="PSI108" s="769"/>
      <c r="PSJ108" s="769"/>
      <c r="PSK108" s="769"/>
      <c r="PSL108" s="769"/>
      <c r="PSM108" s="769"/>
      <c r="PSN108" s="769"/>
      <c r="PSO108" s="769"/>
      <c r="PSP108" s="769"/>
      <c r="PSQ108" s="769"/>
      <c r="PSR108" s="769"/>
      <c r="PSS108" s="769"/>
      <c r="PST108" s="769"/>
      <c r="PSU108" s="769"/>
      <c r="PSV108" s="769"/>
      <c r="PSW108" s="769"/>
      <c r="PSX108" s="769"/>
      <c r="PSY108" s="769"/>
      <c r="PSZ108" s="769"/>
      <c r="PTA108" s="769"/>
      <c r="PTB108" s="769"/>
      <c r="PTC108" s="769"/>
      <c r="PTD108" s="769"/>
      <c r="PTE108" s="769"/>
      <c r="PTF108" s="769"/>
      <c r="PTG108" s="769"/>
      <c r="PTH108" s="769"/>
      <c r="PTI108" s="769"/>
      <c r="PTJ108" s="769"/>
      <c r="PTK108" s="769"/>
      <c r="PTL108" s="769"/>
      <c r="PTM108" s="769"/>
      <c r="PTN108" s="769"/>
      <c r="PTO108" s="769"/>
      <c r="PTP108" s="769"/>
      <c r="PTQ108" s="769"/>
      <c r="PTR108" s="769"/>
      <c r="PTS108" s="769"/>
      <c r="PTT108" s="769"/>
      <c r="PTU108" s="769"/>
      <c r="PTV108" s="769"/>
      <c r="PTW108" s="769"/>
      <c r="PTX108" s="769"/>
      <c r="PTY108" s="769"/>
      <c r="PTZ108" s="769"/>
      <c r="PUA108" s="769"/>
      <c r="PUB108" s="769"/>
      <c r="PUC108" s="769"/>
      <c r="PUD108" s="769"/>
      <c r="PUE108" s="769"/>
      <c r="PUF108" s="769"/>
      <c r="PUG108" s="769"/>
      <c r="PUH108" s="769"/>
      <c r="PUI108" s="769"/>
      <c r="PUJ108" s="769"/>
      <c r="PUK108" s="769"/>
      <c r="PUL108" s="769"/>
      <c r="PUM108" s="769"/>
      <c r="PUN108" s="769"/>
      <c r="PUO108" s="769"/>
      <c r="PUP108" s="769"/>
      <c r="PUQ108" s="769"/>
      <c r="PUR108" s="769"/>
      <c r="PUS108" s="769"/>
      <c r="PUT108" s="769"/>
      <c r="PUU108" s="769"/>
      <c r="PUV108" s="769"/>
      <c r="PUW108" s="769"/>
      <c r="PUX108" s="769"/>
      <c r="PUY108" s="769"/>
      <c r="PUZ108" s="769"/>
      <c r="PVA108" s="769"/>
      <c r="PVB108" s="769"/>
      <c r="PVC108" s="769"/>
      <c r="PVD108" s="769"/>
      <c r="PVE108" s="769"/>
      <c r="PVF108" s="769"/>
      <c r="PVG108" s="769"/>
      <c r="PVH108" s="769"/>
      <c r="PVI108" s="769"/>
      <c r="PVJ108" s="769"/>
      <c r="PVK108" s="769"/>
      <c r="PVL108" s="769"/>
      <c r="PVM108" s="769"/>
      <c r="PVN108" s="769"/>
      <c r="PVO108" s="769"/>
      <c r="PVP108" s="769"/>
      <c r="PVQ108" s="769"/>
      <c r="PVR108" s="769"/>
      <c r="PVS108" s="769"/>
      <c r="PVT108" s="769"/>
      <c r="PVU108" s="769"/>
      <c r="PVV108" s="769"/>
      <c r="PVW108" s="769"/>
      <c r="PVX108" s="769"/>
      <c r="PVY108" s="769"/>
      <c r="PVZ108" s="769"/>
      <c r="PWA108" s="769"/>
      <c r="PWB108" s="769"/>
      <c r="PWC108" s="769"/>
      <c r="PWD108" s="769"/>
      <c r="PWE108" s="769"/>
      <c r="PWF108" s="769"/>
      <c r="PWG108" s="769"/>
      <c r="PWH108" s="769"/>
      <c r="PWI108" s="769"/>
      <c r="PWJ108" s="769"/>
      <c r="PWK108" s="769"/>
      <c r="PWL108" s="769"/>
      <c r="PWM108" s="769"/>
      <c r="PWN108" s="769"/>
      <c r="PWO108" s="769"/>
      <c r="PWP108" s="769"/>
      <c r="PWQ108" s="769"/>
      <c r="PWR108" s="769"/>
      <c r="PWS108" s="769"/>
      <c r="PWT108" s="769"/>
      <c r="PWU108" s="769"/>
      <c r="PWV108" s="769"/>
      <c r="PWW108" s="769"/>
      <c r="PWX108" s="769"/>
      <c r="PWY108" s="769"/>
      <c r="PWZ108" s="769"/>
      <c r="PXA108" s="769"/>
      <c r="PXB108" s="769"/>
      <c r="PXC108" s="769"/>
      <c r="PXD108" s="769"/>
      <c r="PXE108" s="769"/>
      <c r="PXF108" s="769"/>
      <c r="PXG108" s="769"/>
      <c r="PXH108" s="769"/>
      <c r="PXI108" s="769"/>
      <c r="PXJ108" s="769"/>
      <c r="PXK108" s="769"/>
      <c r="PXL108" s="769"/>
      <c r="PXM108" s="769"/>
      <c r="PXN108" s="769"/>
      <c r="PXO108" s="769"/>
      <c r="PXP108" s="769"/>
      <c r="PXQ108" s="769"/>
      <c r="PXR108" s="769"/>
      <c r="PXS108" s="769"/>
      <c r="PXT108" s="769"/>
      <c r="PXU108" s="769"/>
      <c r="PXV108" s="769"/>
      <c r="PXW108" s="769"/>
      <c r="PXX108" s="769"/>
      <c r="PXY108" s="769"/>
      <c r="PXZ108" s="769"/>
      <c r="PYA108" s="769"/>
      <c r="PYB108" s="769"/>
      <c r="PYC108" s="769"/>
      <c r="PYD108" s="769"/>
      <c r="PYE108" s="769"/>
      <c r="PYF108" s="769"/>
      <c r="PYG108" s="769"/>
      <c r="PYH108" s="769"/>
      <c r="PYI108" s="769"/>
      <c r="PYJ108" s="769"/>
      <c r="PYK108" s="769"/>
      <c r="PYL108" s="769"/>
      <c r="PYM108" s="769"/>
      <c r="PYN108" s="769"/>
      <c r="PYO108" s="769"/>
      <c r="PYP108" s="769"/>
      <c r="PYQ108" s="769"/>
      <c r="PYR108" s="769"/>
      <c r="PYS108" s="769"/>
      <c r="PYT108" s="769"/>
      <c r="PYU108" s="769"/>
      <c r="PYV108" s="769"/>
      <c r="PYW108" s="769"/>
      <c r="PYX108" s="769"/>
      <c r="PYY108" s="769"/>
      <c r="PYZ108" s="769"/>
      <c r="PZA108" s="769"/>
      <c r="PZB108" s="769"/>
      <c r="PZC108" s="769"/>
      <c r="PZD108" s="769"/>
      <c r="PZE108" s="769"/>
      <c r="PZF108" s="769"/>
      <c r="PZG108" s="769"/>
      <c r="PZH108" s="769"/>
      <c r="PZI108" s="769"/>
      <c r="PZJ108" s="769"/>
      <c r="PZK108" s="769"/>
      <c r="PZL108" s="769"/>
      <c r="PZM108" s="769"/>
      <c r="PZN108" s="769"/>
      <c r="PZO108" s="769"/>
      <c r="PZP108" s="769"/>
      <c r="PZQ108" s="769"/>
      <c r="PZR108" s="769"/>
      <c r="PZS108" s="769"/>
      <c r="PZT108" s="769"/>
      <c r="PZU108" s="769"/>
      <c r="PZV108" s="769"/>
      <c r="PZW108" s="769"/>
      <c r="PZX108" s="769"/>
      <c r="PZY108" s="769"/>
      <c r="PZZ108" s="769"/>
      <c r="QAA108" s="769"/>
      <c r="QAB108" s="769"/>
      <c r="QAC108" s="769"/>
      <c r="QAD108" s="769"/>
      <c r="QAE108" s="769"/>
      <c r="QAF108" s="769"/>
      <c r="QAG108" s="769"/>
      <c r="QAH108" s="769"/>
      <c r="QAI108" s="769"/>
      <c r="QAJ108" s="769"/>
      <c r="QAK108" s="769"/>
      <c r="QAL108" s="769"/>
      <c r="QAM108" s="769"/>
      <c r="QAN108" s="769"/>
      <c r="QAO108" s="769"/>
      <c r="QAP108" s="769"/>
      <c r="QAQ108" s="769"/>
      <c r="QAR108" s="769"/>
      <c r="QAS108" s="769"/>
      <c r="QAT108" s="769"/>
      <c r="QAU108" s="769"/>
      <c r="QAV108" s="769"/>
      <c r="QAW108" s="769"/>
      <c r="QAX108" s="769"/>
      <c r="QAY108" s="769"/>
      <c r="QAZ108" s="769"/>
      <c r="QBA108" s="769"/>
      <c r="QBB108" s="769"/>
      <c r="QBC108" s="769"/>
      <c r="QBD108" s="769"/>
      <c r="QBE108" s="769"/>
      <c r="QBF108" s="769"/>
      <c r="QBG108" s="769"/>
      <c r="QBH108" s="769"/>
      <c r="QBI108" s="769"/>
      <c r="QBJ108" s="769"/>
      <c r="QBK108" s="769"/>
      <c r="QBL108" s="769"/>
      <c r="QBM108" s="769"/>
      <c r="QBN108" s="769"/>
      <c r="QBO108" s="769"/>
      <c r="QBP108" s="769"/>
      <c r="QBQ108" s="769"/>
      <c r="QBR108" s="769"/>
      <c r="QBS108" s="769"/>
      <c r="QBT108" s="769"/>
      <c r="QBU108" s="769"/>
      <c r="QBV108" s="769"/>
      <c r="QBW108" s="769"/>
      <c r="QBX108" s="769"/>
      <c r="QBY108" s="769"/>
      <c r="QBZ108" s="769"/>
      <c r="QCA108" s="769"/>
      <c r="QCB108" s="769"/>
      <c r="QCC108" s="769"/>
      <c r="QCD108" s="769"/>
      <c r="QCE108" s="769"/>
      <c r="QCF108" s="769"/>
      <c r="QCG108" s="769"/>
      <c r="QCH108" s="769"/>
      <c r="QCI108" s="769"/>
      <c r="QCJ108" s="769"/>
      <c r="QCK108" s="769"/>
      <c r="QCL108" s="769"/>
      <c r="QCM108" s="769"/>
      <c r="QCN108" s="769"/>
      <c r="QCO108" s="769"/>
      <c r="QCP108" s="769"/>
      <c r="QCQ108" s="769"/>
      <c r="QCR108" s="769"/>
      <c r="QCS108" s="769"/>
      <c r="QCT108" s="769"/>
      <c r="QCU108" s="769"/>
      <c r="QCV108" s="769"/>
      <c r="QCW108" s="769"/>
      <c r="QCX108" s="769"/>
      <c r="QCY108" s="769"/>
      <c r="QCZ108" s="769"/>
      <c r="QDA108" s="769"/>
      <c r="QDB108" s="769"/>
      <c r="QDC108" s="769"/>
      <c r="QDD108" s="769"/>
      <c r="QDE108" s="769"/>
      <c r="QDF108" s="769"/>
      <c r="QDG108" s="769"/>
      <c r="QDH108" s="769"/>
      <c r="QDI108" s="769"/>
      <c r="QDJ108" s="769"/>
      <c r="QDK108" s="769"/>
      <c r="QDL108" s="769"/>
      <c r="QDM108" s="769"/>
      <c r="QDN108" s="769"/>
      <c r="QDO108" s="769"/>
      <c r="QDP108" s="769"/>
      <c r="QDQ108" s="769"/>
      <c r="QDR108" s="769"/>
      <c r="QDS108" s="769"/>
      <c r="QDT108" s="769"/>
      <c r="QDU108" s="769"/>
      <c r="QDV108" s="769"/>
      <c r="QDW108" s="769"/>
      <c r="QDX108" s="769"/>
      <c r="QDY108" s="769"/>
      <c r="QDZ108" s="769"/>
      <c r="QEA108" s="769"/>
      <c r="QEB108" s="769"/>
      <c r="QEC108" s="769"/>
      <c r="QED108" s="769"/>
      <c r="QEE108" s="769"/>
      <c r="QEF108" s="769"/>
      <c r="QEG108" s="769"/>
      <c r="QEH108" s="769"/>
      <c r="QEI108" s="769"/>
      <c r="QEJ108" s="769"/>
      <c r="QEK108" s="769"/>
      <c r="QEL108" s="769"/>
      <c r="QEM108" s="769"/>
      <c r="QEN108" s="769"/>
      <c r="QEO108" s="769"/>
      <c r="QEP108" s="769"/>
      <c r="QEQ108" s="769"/>
      <c r="QER108" s="769"/>
      <c r="QES108" s="769"/>
      <c r="QET108" s="769"/>
      <c r="QEU108" s="769"/>
      <c r="QEV108" s="769"/>
      <c r="QEW108" s="769"/>
      <c r="QEX108" s="769"/>
      <c r="QEY108" s="769"/>
      <c r="QEZ108" s="769"/>
      <c r="QFA108" s="769"/>
      <c r="QFB108" s="769"/>
      <c r="QFC108" s="769"/>
      <c r="QFD108" s="769"/>
      <c r="QFE108" s="769"/>
      <c r="QFF108" s="769"/>
      <c r="QFG108" s="769"/>
      <c r="QFH108" s="769"/>
      <c r="QFI108" s="769"/>
      <c r="QFJ108" s="769"/>
      <c r="QFK108" s="769"/>
      <c r="QFL108" s="769"/>
      <c r="QFM108" s="769"/>
      <c r="QFN108" s="769"/>
      <c r="QFO108" s="769"/>
      <c r="QFP108" s="769"/>
      <c r="QFQ108" s="769"/>
      <c r="QFR108" s="769"/>
      <c r="QFS108" s="769"/>
      <c r="QFT108" s="769"/>
      <c r="QFU108" s="769"/>
      <c r="QFV108" s="769"/>
      <c r="QFW108" s="769"/>
      <c r="QFX108" s="769"/>
      <c r="QFY108" s="769"/>
      <c r="QFZ108" s="769"/>
      <c r="QGA108" s="769"/>
      <c r="QGB108" s="769"/>
      <c r="QGC108" s="769"/>
      <c r="QGD108" s="769"/>
      <c r="QGE108" s="769"/>
      <c r="QGF108" s="769"/>
      <c r="QGG108" s="769"/>
      <c r="QGH108" s="769"/>
      <c r="QGI108" s="769"/>
      <c r="QGJ108" s="769"/>
      <c r="QGK108" s="769"/>
      <c r="QGL108" s="769"/>
      <c r="QGM108" s="769"/>
      <c r="QGN108" s="769"/>
      <c r="QGO108" s="769"/>
      <c r="QGP108" s="769"/>
      <c r="QGQ108" s="769"/>
      <c r="QGR108" s="769"/>
      <c r="QGS108" s="769"/>
      <c r="QGT108" s="769"/>
      <c r="QGU108" s="769"/>
      <c r="QGV108" s="769"/>
      <c r="QGW108" s="769"/>
      <c r="QGX108" s="769"/>
      <c r="QGY108" s="769"/>
      <c r="QGZ108" s="769"/>
      <c r="QHA108" s="769"/>
      <c r="QHB108" s="769"/>
      <c r="QHC108" s="769"/>
      <c r="QHD108" s="769"/>
      <c r="QHE108" s="769"/>
      <c r="QHF108" s="769"/>
      <c r="QHG108" s="769"/>
      <c r="QHH108" s="769"/>
      <c r="QHI108" s="769"/>
      <c r="QHJ108" s="769"/>
      <c r="QHK108" s="769"/>
      <c r="QHL108" s="769"/>
      <c r="QHM108" s="769"/>
      <c r="QHN108" s="769"/>
      <c r="QHO108" s="769"/>
      <c r="QHP108" s="769"/>
      <c r="QHQ108" s="769"/>
      <c r="QHR108" s="769"/>
      <c r="QHS108" s="769"/>
      <c r="QHT108" s="769"/>
      <c r="QHU108" s="769"/>
      <c r="QHV108" s="769"/>
      <c r="QHW108" s="769"/>
      <c r="QHX108" s="769"/>
      <c r="QHY108" s="769"/>
      <c r="QHZ108" s="769"/>
      <c r="QIA108" s="769"/>
      <c r="QIB108" s="769"/>
      <c r="QIC108" s="769"/>
      <c r="QID108" s="769"/>
      <c r="QIE108" s="769"/>
      <c r="QIF108" s="769"/>
      <c r="QIG108" s="769"/>
      <c r="QIH108" s="769"/>
      <c r="QII108" s="769"/>
      <c r="QIJ108" s="769"/>
      <c r="QIK108" s="769"/>
      <c r="QIL108" s="769"/>
      <c r="QIM108" s="769"/>
      <c r="QIN108" s="769"/>
      <c r="QIO108" s="769"/>
      <c r="QIP108" s="769"/>
      <c r="QIQ108" s="769"/>
      <c r="QIR108" s="769"/>
      <c r="QIS108" s="769"/>
      <c r="QIT108" s="769"/>
      <c r="QIU108" s="769"/>
      <c r="QIV108" s="769"/>
      <c r="QIW108" s="769"/>
      <c r="QIX108" s="769"/>
      <c r="QIY108" s="769"/>
      <c r="QIZ108" s="769"/>
      <c r="QJA108" s="769"/>
      <c r="QJB108" s="769"/>
      <c r="QJC108" s="769"/>
      <c r="QJD108" s="769"/>
      <c r="QJE108" s="769"/>
      <c r="QJF108" s="769"/>
      <c r="QJG108" s="769"/>
      <c r="QJH108" s="769"/>
      <c r="QJI108" s="769"/>
      <c r="QJJ108" s="769"/>
      <c r="QJK108" s="769"/>
      <c r="QJL108" s="769"/>
      <c r="QJM108" s="769"/>
      <c r="QJN108" s="769"/>
      <c r="QJO108" s="769"/>
      <c r="QJP108" s="769"/>
      <c r="QJQ108" s="769"/>
      <c r="QJR108" s="769"/>
      <c r="QJS108" s="769"/>
      <c r="QJT108" s="769"/>
      <c r="QJU108" s="769"/>
      <c r="QJV108" s="769"/>
      <c r="QJW108" s="769"/>
      <c r="QJX108" s="769"/>
      <c r="QJY108" s="769"/>
      <c r="QJZ108" s="769"/>
      <c r="QKA108" s="769"/>
      <c r="QKB108" s="769"/>
      <c r="QKC108" s="769"/>
      <c r="QKD108" s="769"/>
      <c r="QKE108" s="769"/>
      <c r="QKF108" s="769"/>
      <c r="QKG108" s="769"/>
      <c r="QKH108" s="769"/>
      <c r="QKI108" s="769"/>
      <c r="QKJ108" s="769"/>
      <c r="QKK108" s="769"/>
      <c r="QKL108" s="769"/>
      <c r="QKM108" s="769"/>
      <c r="QKN108" s="769"/>
      <c r="QKO108" s="769"/>
      <c r="QKP108" s="769"/>
      <c r="QKQ108" s="769"/>
      <c r="QKR108" s="769"/>
      <c r="QKS108" s="769"/>
      <c r="QKT108" s="769"/>
      <c r="QKU108" s="769"/>
      <c r="QKV108" s="769"/>
      <c r="QKW108" s="769"/>
      <c r="QKX108" s="769"/>
      <c r="QKY108" s="769"/>
      <c r="QKZ108" s="769"/>
      <c r="QLA108" s="769"/>
      <c r="QLB108" s="769"/>
      <c r="QLC108" s="769"/>
      <c r="QLD108" s="769"/>
      <c r="QLE108" s="769"/>
      <c r="QLF108" s="769"/>
      <c r="QLG108" s="769"/>
      <c r="QLH108" s="769"/>
      <c r="QLI108" s="769"/>
      <c r="QLJ108" s="769"/>
      <c r="QLK108" s="769"/>
      <c r="QLL108" s="769"/>
      <c r="QLM108" s="769"/>
      <c r="QLN108" s="769"/>
      <c r="QLO108" s="769"/>
      <c r="QLP108" s="769"/>
      <c r="QLQ108" s="769"/>
      <c r="QLR108" s="769"/>
      <c r="QLS108" s="769"/>
      <c r="QLT108" s="769"/>
      <c r="QLU108" s="769"/>
      <c r="QLV108" s="769"/>
      <c r="QLW108" s="769"/>
      <c r="QLX108" s="769"/>
      <c r="QLY108" s="769"/>
      <c r="QLZ108" s="769"/>
      <c r="QMA108" s="769"/>
      <c r="QMB108" s="769"/>
      <c r="QMC108" s="769"/>
      <c r="QMD108" s="769"/>
      <c r="QME108" s="769"/>
      <c r="QMF108" s="769"/>
      <c r="QMG108" s="769"/>
      <c r="QMH108" s="769"/>
      <c r="QMI108" s="769"/>
      <c r="QMJ108" s="769"/>
      <c r="QMK108" s="769"/>
      <c r="QML108" s="769"/>
      <c r="QMM108" s="769"/>
      <c r="QMN108" s="769"/>
      <c r="QMO108" s="769"/>
      <c r="QMP108" s="769"/>
      <c r="QMQ108" s="769"/>
      <c r="QMR108" s="769"/>
      <c r="QMS108" s="769"/>
      <c r="QMT108" s="769"/>
      <c r="QMU108" s="769"/>
      <c r="QMV108" s="769"/>
      <c r="QMW108" s="769"/>
      <c r="QMX108" s="769"/>
      <c r="QMY108" s="769"/>
      <c r="QMZ108" s="769"/>
      <c r="QNA108" s="769"/>
      <c r="QNB108" s="769"/>
      <c r="QNC108" s="769"/>
      <c r="QND108" s="769"/>
      <c r="QNE108" s="769"/>
      <c r="QNF108" s="769"/>
      <c r="QNG108" s="769"/>
      <c r="QNH108" s="769"/>
      <c r="QNI108" s="769"/>
      <c r="QNJ108" s="769"/>
      <c r="QNK108" s="769"/>
      <c r="QNL108" s="769"/>
      <c r="QNM108" s="769"/>
      <c r="QNN108" s="769"/>
      <c r="QNO108" s="769"/>
      <c r="QNP108" s="769"/>
      <c r="QNQ108" s="769"/>
      <c r="QNR108" s="769"/>
      <c r="QNS108" s="769"/>
      <c r="QNT108" s="769"/>
      <c r="QNU108" s="769"/>
      <c r="QNV108" s="769"/>
      <c r="QNW108" s="769"/>
      <c r="QNX108" s="769"/>
      <c r="QNY108" s="769"/>
      <c r="QNZ108" s="769"/>
      <c r="QOA108" s="769"/>
      <c r="QOB108" s="769"/>
      <c r="QOC108" s="769"/>
      <c r="QOD108" s="769"/>
      <c r="QOE108" s="769"/>
      <c r="QOF108" s="769"/>
      <c r="QOG108" s="769"/>
      <c r="QOH108" s="769"/>
      <c r="QOI108" s="769"/>
      <c r="QOJ108" s="769"/>
      <c r="QOK108" s="769"/>
      <c r="QOL108" s="769"/>
      <c r="QOM108" s="769"/>
      <c r="QON108" s="769"/>
      <c r="QOO108" s="769"/>
      <c r="QOP108" s="769"/>
      <c r="QOQ108" s="769"/>
      <c r="QOR108" s="769"/>
      <c r="QOS108" s="769"/>
      <c r="QOT108" s="769"/>
      <c r="QOU108" s="769"/>
      <c r="QOV108" s="769"/>
      <c r="QOW108" s="769"/>
      <c r="QOX108" s="769"/>
      <c r="QOY108" s="769"/>
      <c r="QOZ108" s="769"/>
      <c r="QPA108" s="769"/>
      <c r="QPB108" s="769"/>
      <c r="QPC108" s="769"/>
      <c r="QPD108" s="769"/>
      <c r="QPE108" s="769"/>
      <c r="QPF108" s="769"/>
      <c r="QPG108" s="769"/>
      <c r="QPH108" s="769"/>
      <c r="QPI108" s="769"/>
      <c r="QPJ108" s="769"/>
      <c r="QPK108" s="769"/>
      <c r="QPL108" s="769"/>
      <c r="QPM108" s="769"/>
      <c r="QPN108" s="769"/>
      <c r="QPO108" s="769"/>
      <c r="QPP108" s="769"/>
      <c r="QPQ108" s="769"/>
      <c r="QPR108" s="769"/>
      <c r="QPS108" s="769"/>
      <c r="QPT108" s="769"/>
      <c r="QPU108" s="769"/>
      <c r="QPV108" s="769"/>
      <c r="QPW108" s="769"/>
      <c r="QPX108" s="769"/>
      <c r="QPY108" s="769"/>
      <c r="QPZ108" s="769"/>
      <c r="QQA108" s="769"/>
      <c r="QQB108" s="769"/>
      <c r="QQC108" s="769"/>
      <c r="QQD108" s="769"/>
      <c r="QQE108" s="769"/>
      <c r="QQF108" s="769"/>
      <c r="QQG108" s="769"/>
      <c r="QQH108" s="769"/>
      <c r="QQI108" s="769"/>
      <c r="QQJ108" s="769"/>
      <c r="QQK108" s="769"/>
      <c r="QQL108" s="769"/>
      <c r="QQM108" s="769"/>
      <c r="QQN108" s="769"/>
      <c r="QQO108" s="769"/>
      <c r="QQP108" s="769"/>
      <c r="QQQ108" s="769"/>
      <c r="QQR108" s="769"/>
      <c r="QQS108" s="769"/>
      <c r="QQT108" s="769"/>
      <c r="QQU108" s="769"/>
      <c r="QQV108" s="769"/>
      <c r="QQW108" s="769"/>
      <c r="QQX108" s="769"/>
      <c r="QQY108" s="769"/>
      <c r="QQZ108" s="769"/>
      <c r="QRA108" s="769"/>
      <c r="QRB108" s="769"/>
      <c r="QRC108" s="769"/>
      <c r="QRD108" s="769"/>
      <c r="QRE108" s="769"/>
      <c r="QRF108" s="769"/>
      <c r="QRG108" s="769"/>
      <c r="QRH108" s="769"/>
      <c r="QRI108" s="769"/>
      <c r="QRJ108" s="769"/>
      <c r="QRK108" s="769"/>
      <c r="QRL108" s="769"/>
      <c r="QRM108" s="769"/>
      <c r="QRN108" s="769"/>
      <c r="QRO108" s="769"/>
      <c r="QRP108" s="769"/>
      <c r="QRQ108" s="769"/>
      <c r="QRR108" s="769"/>
      <c r="QRS108" s="769"/>
      <c r="QRT108" s="769"/>
      <c r="QRU108" s="769"/>
      <c r="QRV108" s="769"/>
      <c r="QRW108" s="769"/>
      <c r="QRX108" s="769"/>
      <c r="QRY108" s="769"/>
      <c r="QRZ108" s="769"/>
      <c r="QSA108" s="769"/>
      <c r="QSB108" s="769"/>
      <c r="QSC108" s="769"/>
      <c r="QSD108" s="769"/>
      <c r="QSE108" s="769"/>
      <c r="QSF108" s="769"/>
      <c r="QSG108" s="769"/>
      <c r="QSH108" s="769"/>
      <c r="QSI108" s="769"/>
      <c r="QSJ108" s="769"/>
      <c r="QSK108" s="769"/>
      <c r="QSL108" s="769"/>
      <c r="QSM108" s="769"/>
      <c r="QSN108" s="769"/>
      <c r="QSO108" s="769"/>
      <c r="QSP108" s="769"/>
      <c r="QSQ108" s="769"/>
      <c r="QSR108" s="769"/>
      <c r="QSS108" s="769"/>
      <c r="QST108" s="769"/>
      <c r="QSU108" s="769"/>
      <c r="QSV108" s="769"/>
      <c r="QSW108" s="769"/>
      <c r="QSX108" s="769"/>
      <c r="QSY108" s="769"/>
      <c r="QSZ108" s="769"/>
      <c r="QTA108" s="769"/>
      <c r="QTB108" s="769"/>
      <c r="QTC108" s="769"/>
      <c r="QTD108" s="769"/>
      <c r="QTE108" s="769"/>
      <c r="QTF108" s="769"/>
      <c r="QTG108" s="769"/>
      <c r="QTH108" s="769"/>
      <c r="QTI108" s="769"/>
      <c r="QTJ108" s="769"/>
      <c r="QTK108" s="769"/>
      <c r="QTL108" s="769"/>
      <c r="QTM108" s="769"/>
      <c r="QTN108" s="769"/>
      <c r="QTO108" s="769"/>
      <c r="QTP108" s="769"/>
      <c r="QTQ108" s="769"/>
      <c r="QTR108" s="769"/>
      <c r="QTS108" s="769"/>
      <c r="QTT108" s="769"/>
      <c r="QTU108" s="769"/>
      <c r="QTV108" s="769"/>
      <c r="QTW108" s="769"/>
      <c r="QTX108" s="769"/>
      <c r="QTY108" s="769"/>
      <c r="QTZ108" s="769"/>
      <c r="QUA108" s="769"/>
      <c r="QUB108" s="769"/>
      <c r="QUC108" s="769"/>
      <c r="QUD108" s="769"/>
      <c r="QUE108" s="769"/>
      <c r="QUF108" s="769"/>
      <c r="QUG108" s="769"/>
      <c r="QUH108" s="769"/>
      <c r="QUI108" s="769"/>
      <c r="QUJ108" s="769"/>
      <c r="QUK108" s="769"/>
      <c r="QUL108" s="769"/>
      <c r="QUM108" s="769"/>
      <c r="QUN108" s="769"/>
      <c r="QUO108" s="769"/>
      <c r="QUP108" s="769"/>
      <c r="QUQ108" s="769"/>
      <c r="QUR108" s="769"/>
      <c r="QUS108" s="769"/>
      <c r="QUT108" s="769"/>
      <c r="QUU108" s="769"/>
      <c r="QUV108" s="769"/>
      <c r="QUW108" s="769"/>
      <c r="QUX108" s="769"/>
      <c r="QUY108" s="769"/>
      <c r="QUZ108" s="769"/>
      <c r="QVA108" s="769"/>
      <c r="QVB108" s="769"/>
      <c r="QVC108" s="769"/>
      <c r="QVD108" s="769"/>
      <c r="QVE108" s="769"/>
      <c r="QVF108" s="769"/>
      <c r="QVG108" s="769"/>
      <c r="QVH108" s="769"/>
      <c r="QVI108" s="769"/>
      <c r="QVJ108" s="769"/>
      <c r="QVK108" s="769"/>
      <c r="QVL108" s="769"/>
      <c r="QVM108" s="769"/>
      <c r="QVN108" s="769"/>
      <c r="QVO108" s="769"/>
      <c r="QVP108" s="769"/>
      <c r="QVQ108" s="769"/>
      <c r="QVR108" s="769"/>
      <c r="QVS108" s="769"/>
      <c r="QVT108" s="769"/>
      <c r="QVU108" s="769"/>
      <c r="QVV108" s="769"/>
      <c r="QVW108" s="769"/>
      <c r="QVX108" s="769"/>
      <c r="QVY108" s="769"/>
      <c r="QVZ108" s="769"/>
      <c r="QWA108" s="769"/>
      <c r="QWB108" s="769"/>
      <c r="QWC108" s="769"/>
      <c r="QWD108" s="769"/>
      <c r="QWE108" s="769"/>
      <c r="QWF108" s="769"/>
      <c r="QWG108" s="769"/>
      <c r="QWH108" s="769"/>
      <c r="QWI108" s="769"/>
      <c r="QWJ108" s="769"/>
      <c r="QWK108" s="769"/>
      <c r="QWL108" s="769"/>
      <c r="QWM108" s="769"/>
      <c r="QWN108" s="769"/>
      <c r="QWO108" s="769"/>
      <c r="QWP108" s="769"/>
      <c r="QWQ108" s="769"/>
      <c r="QWR108" s="769"/>
      <c r="QWS108" s="769"/>
      <c r="QWT108" s="769"/>
      <c r="QWU108" s="769"/>
      <c r="QWV108" s="769"/>
      <c r="QWW108" s="769"/>
      <c r="QWX108" s="769"/>
      <c r="QWY108" s="769"/>
      <c r="QWZ108" s="769"/>
      <c r="QXA108" s="769"/>
      <c r="QXB108" s="769"/>
      <c r="QXC108" s="769"/>
      <c r="QXD108" s="769"/>
      <c r="QXE108" s="769"/>
      <c r="QXF108" s="769"/>
      <c r="QXG108" s="769"/>
      <c r="QXH108" s="769"/>
      <c r="QXI108" s="769"/>
      <c r="QXJ108" s="769"/>
      <c r="QXK108" s="769"/>
      <c r="QXL108" s="769"/>
      <c r="QXM108" s="769"/>
      <c r="QXN108" s="769"/>
      <c r="QXO108" s="769"/>
      <c r="QXP108" s="769"/>
      <c r="QXQ108" s="769"/>
      <c r="QXR108" s="769"/>
      <c r="QXS108" s="769"/>
      <c r="QXT108" s="769"/>
      <c r="QXU108" s="769"/>
      <c r="QXV108" s="769"/>
      <c r="QXW108" s="769"/>
      <c r="QXX108" s="769"/>
      <c r="QXY108" s="769"/>
      <c r="QXZ108" s="769"/>
      <c r="QYA108" s="769"/>
      <c r="QYB108" s="769"/>
      <c r="QYC108" s="769"/>
      <c r="QYD108" s="769"/>
      <c r="QYE108" s="769"/>
      <c r="QYF108" s="769"/>
      <c r="QYG108" s="769"/>
      <c r="QYH108" s="769"/>
      <c r="QYI108" s="769"/>
      <c r="QYJ108" s="769"/>
      <c r="QYK108" s="769"/>
      <c r="QYL108" s="769"/>
      <c r="QYM108" s="769"/>
      <c r="QYN108" s="769"/>
      <c r="QYO108" s="769"/>
      <c r="QYP108" s="769"/>
      <c r="QYQ108" s="769"/>
      <c r="QYR108" s="769"/>
      <c r="QYS108" s="769"/>
      <c r="QYT108" s="769"/>
      <c r="QYU108" s="769"/>
      <c r="QYV108" s="769"/>
      <c r="QYW108" s="769"/>
      <c r="QYX108" s="769"/>
      <c r="QYY108" s="769"/>
      <c r="QYZ108" s="769"/>
      <c r="QZA108" s="769"/>
      <c r="QZB108" s="769"/>
      <c r="QZC108" s="769"/>
      <c r="QZD108" s="769"/>
      <c r="QZE108" s="769"/>
      <c r="QZF108" s="769"/>
      <c r="QZG108" s="769"/>
      <c r="QZH108" s="769"/>
      <c r="QZI108" s="769"/>
      <c r="QZJ108" s="769"/>
      <c r="QZK108" s="769"/>
      <c r="QZL108" s="769"/>
      <c r="QZM108" s="769"/>
      <c r="QZN108" s="769"/>
      <c r="QZO108" s="769"/>
      <c r="QZP108" s="769"/>
      <c r="QZQ108" s="769"/>
      <c r="QZR108" s="769"/>
      <c r="QZS108" s="769"/>
      <c r="QZT108" s="769"/>
      <c r="QZU108" s="769"/>
      <c r="QZV108" s="769"/>
      <c r="QZW108" s="769"/>
      <c r="QZX108" s="769"/>
      <c r="QZY108" s="769"/>
      <c r="QZZ108" s="769"/>
      <c r="RAA108" s="769"/>
      <c r="RAB108" s="769"/>
      <c r="RAC108" s="769"/>
      <c r="RAD108" s="769"/>
      <c r="RAE108" s="769"/>
      <c r="RAF108" s="769"/>
      <c r="RAG108" s="769"/>
      <c r="RAH108" s="769"/>
      <c r="RAI108" s="769"/>
      <c r="RAJ108" s="769"/>
      <c r="RAK108" s="769"/>
      <c r="RAL108" s="769"/>
      <c r="RAM108" s="769"/>
      <c r="RAN108" s="769"/>
      <c r="RAO108" s="769"/>
      <c r="RAP108" s="769"/>
      <c r="RAQ108" s="769"/>
      <c r="RAR108" s="769"/>
      <c r="RAS108" s="769"/>
      <c r="RAT108" s="769"/>
      <c r="RAU108" s="769"/>
      <c r="RAV108" s="769"/>
      <c r="RAW108" s="769"/>
      <c r="RAX108" s="769"/>
      <c r="RAY108" s="769"/>
      <c r="RAZ108" s="769"/>
      <c r="RBA108" s="769"/>
      <c r="RBB108" s="769"/>
      <c r="RBC108" s="769"/>
      <c r="RBD108" s="769"/>
      <c r="RBE108" s="769"/>
      <c r="RBF108" s="769"/>
      <c r="RBG108" s="769"/>
      <c r="RBH108" s="769"/>
      <c r="RBI108" s="769"/>
      <c r="RBJ108" s="769"/>
      <c r="RBK108" s="769"/>
      <c r="RBL108" s="769"/>
      <c r="RBM108" s="769"/>
      <c r="RBN108" s="769"/>
      <c r="RBO108" s="769"/>
      <c r="RBP108" s="769"/>
      <c r="RBQ108" s="769"/>
      <c r="RBR108" s="769"/>
      <c r="RBS108" s="769"/>
      <c r="RBT108" s="769"/>
      <c r="RBU108" s="769"/>
      <c r="RBV108" s="769"/>
      <c r="RBW108" s="769"/>
      <c r="RBX108" s="769"/>
      <c r="RBY108" s="769"/>
      <c r="RBZ108" s="769"/>
      <c r="RCA108" s="769"/>
      <c r="RCB108" s="769"/>
      <c r="RCC108" s="769"/>
      <c r="RCD108" s="769"/>
      <c r="RCE108" s="769"/>
      <c r="RCF108" s="769"/>
      <c r="RCG108" s="769"/>
      <c r="RCH108" s="769"/>
      <c r="RCI108" s="769"/>
      <c r="RCJ108" s="769"/>
      <c r="RCK108" s="769"/>
      <c r="RCL108" s="769"/>
      <c r="RCM108" s="769"/>
      <c r="RCN108" s="769"/>
      <c r="RCO108" s="769"/>
      <c r="RCP108" s="769"/>
      <c r="RCQ108" s="769"/>
      <c r="RCR108" s="769"/>
      <c r="RCS108" s="769"/>
      <c r="RCT108" s="769"/>
      <c r="RCU108" s="769"/>
      <c r="RCV108" s="769"/>
      <c r="RCW108" s="769"/>
      <c r="RCX108" s="769"/>
      <c r="RCY108" s="769"/>
      <c r="RCZ108" s="769"/>
      <c r="RDA108" s="769"/>
      <c r="RDB108" s="769"/>
      <c r="RDC108" s="769"/>
      <c r="RDD108" s="769"/>
      <c r="RDE108" s="769"/>
      <c r="RDF108" s="769"/>
      <c r="RDG108" s="769"/>
      <c r="RDH108" s="769"/>
      <c r="RDI108" s="769"/>
      <c r="RDJ108" s="769"/>
      <c r="RDK108" s="769"/>
      <c r="RDL108" s="769"/>
      <c r="RDM108" s="769"/>
      <c r="RDN108" s="769"/>
      <c r="RDO108" s="769"/>
      <c r="RDP108" s="769"/>
      <c r="RDQ108" s="769"/>
      <c r="RDR108" s="769"/>
      <c r="RDS108" s="769"/>
      <c r="RDT108" s="769"/>
      <c r="RDU108" s="769"/>
      <c r="RDV108" s="769"/>
      <c r="RDW108" s="769"/>
      <c r="RDX108" s="769"/>
      <c r="RDY108" s="769"/>
      <c r="RDZ108" s="769"/>
      <c r="REA108" s="769"/>
      <c r="REB108" s="769"/>
      <c r="REC108" s="769"/>
      <c r="RED108" s="769"/>
      <c r="REE108" s="769"/>
      <c r="REF108" s="769"/>
      <c r="REG108" s="769"/>
      <c r="REH108" s="769"/>
      <c r="REI108" s="769"/>
      <c r="REJ108" s="769"/>
      <c r="REK108" s="769"/>
      <c r="REL108" s="769"/>
      <c r="REM108" s="769"/>
      <c r="REN108" s="769"/>
      <c r="REO108" s="769"/>
      <c r="REP108" s="769"/>
      <c r="REQ108" s="769"/>
      <c r="RER108" s="769"/>
      <c r="RES108" s="769"/>
      <c r="RET108" s="769"/>
      <c r="REU108" s="769"/>
      <c r="REV108" s="769"/>
      <c r="REW108" s="769"/>
      <c r="REX108" s="769"/>
      <c r="REY108" s="769"/>
      <c r="REZ108" s="769"/>
      <c r="RFA108" s="769"/>
      <c r="RFB108" s="769"/>
      <c r="RFC108" s="769"/>
      <c r="RFD108" s="769"/>
      <c r="RFE108" s="769"/>
      <c r="RFF108" s="769"/>
      <c r="RFG108" s="769"/>
      <c r="RFH108" s="769"/>
      <c r="RFI108" s="769"/>
      <c r="RFJ108" s="769"/>
      <c r="RFK108" s="769"/>
      <c r="RFL108" s="769"/>
      <c r="RFM108" s="769"/>
      <c r="RFN108" s="769"/>
      <c r="RFO108" s="769"/>
      <c r="RFP108" s="769"/>
      <c r="RFQ108" s="769"/>
      <c r="RFR108" s="769"/>
      <c r="RFS108" s="769"/>
      <c r="RFT108" s="769"/>
      <c r="RFU108" s="769"/>
      <c r="RFV108" s="769"/>
      <c r="RFW108" s="769"/>
      <c r="RFX108" s="769"/>
      <c r="RFY108" s="769"/>
      <c r="RFZ108" s="769"/>
      <c r="RGA108" s="769"/>
      <c r="RGB108" s="769"/>
      <c r="RGC108" s="769"/>
      <c r="RGD108" s="769"/>
      <c r="RGE108" s="769"/>
      <c r="RGF108" s="769"/>
      <c r="RGG108" s="769"/>
      <c r="RGH108" s="769"/>
      <c r="RGI108" s="769"/>
      <c r="RGJ108" s="769"/>
      <c r="RGK108" s="769"/>
      <c r="RGL108" s="769"/>
      <c r="RGM108" s="769"/>
      <c r="RGN108" s="769"/>
      <c r="RGO108" s="769"/>
      <c r="RGP108" s="769"/>
      <c r="RGQ108" s="769"/>
      <c r="RGR108" s="769"/>
      <c r="RGS108" s="769"/>
      <c r="RGT108" s="769"/>
      <c r="RGU108" s="769"/>
      <c r="RGV108" s="769"/>
      <c r="RGW108" s="769"/>
      <c r="RGX108" s="769"/>
      <c r="RGY108" s="769"/>
      <c r="RGZ108" s="769"/>
      <c r="RHA108" s="769"/>
      <c r="RHB108" s="769"/>
      <c r="RHC108" s="769"/>
      <c r="RHD108" s="769"/>
      <c r="RHE108" s="769"/>
      <c r="RHF108" s="769"/>
      <c r="RHG108" s="769"/>
      <c r="RHH108" s="769"/>
      <c r="RHI108" s="769"/>
      <c r="RHJ108" s="769"/>
      <c r="RHK108" s="769"/>
      <c r="RHL108" s="769"/>
      <c r="RHM108" s="769"/>
      <c r="RHN108" s="769"/>
      <c r="RHO108" s="769"/>
      <c r="RHP108" s="769"/>
      <c r="RHQ108" s="769"/>
      <c r="RHR108" s="769"/>
      <c r="RHS108" s="769"/>
      <c r="RHT108" s="769"/>
      <c r="RHU108" s="769"/>
      <c r="RHV108" s="769"/>
      <c r="RHW108" s="769"/>
      <c r="RHX108" s="769"/>
      <c r="RHY108" s="769"/>
      <c r="RHZ108" s="769"/>
      <c r="RIA108" s="769"/>
      <c r="RIB108" s="769"/>
      <c r="RIC108" s="769"/>
      <c r="RID108" s="769"/>
      <c r="RIE108" s="769"/>
      <c r="RIF108" s="769"/>
      <c r="RIG108" s="769"/>
      <c r="RIH108" s="769"/>
      <c r="RII108" s="769"/>
      <c r="RIJ108" s="769"/>
      <c r="RIK108" s="769"/>
      <c r="RIL108" s="769"/>
      <c r="RIM108" s="769"/>
      <c r="RIN108" s="769"/>
      <c r="RIO108" s="769"/>
      <c r="RIP108" s="769"/>
      <c r="RIQ108" s="769"/>
      <c r="RIR108" s="769"/>
      <c r="RIS108" s="769"/>
      <c r="RIT108" s="769"/>
      <c r="RIU108" s="769"/>
      <c r="RIV108" s="769"/>
      <c r="RIW108" s="769"/>
      <c r="RIX108" s="769"/>
      <c r="RIY108" s="769"/>
      <c r="RIZ108" s="769"/>
      <c r="RJA108" s="769"/>
      <c r="RJB108" s="769"/>
      <c r="RJC108" s="769"/>
      <c r="RJD108" s="769"/>
      <c r="RJE108" s="769"/>
      <c r="RJF108" s="769"/>
      <c r="RJG108" s="769"/>
      <c r="RJH108" s="769"/>
      <c r="RJI108" s="769"/>
      <c r="RJJ108" s="769"/>
      <c r="RJK108" s="769"/>
      <c r="RJL108" s="769"/>
      <c r="RJM108" s="769"/>
      <c r="RJN108" s="769"/>
      <c r="RJO108" s="769"/>
      <c r="RJP108" s="769"/>
      <c r="RJQ108" s="769"/>
      <c r="RJR108" s="769"/>
      <c r="RJS108" s="769"/>
      <c r="RJT108" s="769"/>
      <c r="RJU108" s="769"/>
      <c r="RJV108" s="769"/>
      <c r="RJW108" s="769"/>
      <c r="RJX108" s="769"/>
      <c r="RJY108" s="769"/>
      <c r="RJZ108" s="769"/>
      <c r="RKA108" s="769"/>
      <c r="RKB108" s="769"/>
      <c r="RKC108" s="769"/>
      <c r="RKD108" s="769"/>
      <c r="RKE108" s="769"/>
      <c r="RKF108" s="769"/>
      <c r="RKG108" s="769"/>
      <c r="RKH108" s="769"/>
      <c r="RKI108" s="769"/>
      <c r="RKJ108" s="769"/>
      <c r="RKK108" s="769"/>
      <c r="RKL108" s="769"/>
      <c r="RKM108" s="769"/>
      <c r="RKN108" s="769"/>
      <c r="RKO108" s="769"/>
      <c r="RKP108" s="769"/>
      <c r="RKQ108" s="769"/>
      <c r="RKR108" s="769"/>
      <c r="RKS108" s="769"/>
      <c r="RKT108" s="769"/>
      <c r="RKU108" s="769"/>
      <c r="RKV108" s="769"/>
      <c r="RKW108" s="769"/>
      <c r="RKX108" s="769"/>
      <c r="RKY108" s="769"/>
      <c r="RKZ108" s="769"/>
      <c r="RLA108" s="769"/>
      <c r="RLB108" s="769"/>
      <c r="RLC108" s="769"/>
      <c r="RLD108" s="769"/>
      <c r="RLE108" s="769"/>
      <c r="RLF108" s="769"/>
      <c r="RLG108" s="769"/>
      <c r="RLH108" s="769"/>
      <c r="RLI108" s="769"/>
      <c r="RLJ108" s="769"/>
      <c r="RLK108" s="769"/>
      <c r="RLL108" s="769"/>
      <c r="RLM108" s="769"/>
      <c r="RLN108" s="769"/>
      <c r="RLO108" s="769"/>
      <c r="RLP108" s="769"/>
      <c r="RLQ108" s="769"/>
      <c r="RLR108" s="769"/>
      <c r="RLS108" s="769"/>
      <c r="RLT108" s="769"/>
      <c r="RLU108" s="769"/>
      <c r="RLV108" s="769"/>
      <c r="RLW108" s="769"/>
      <c r="RLX108" s="769"/>
      <c r="RLY108" s="769"/>
      <c r="RLZ108" s="769"/>
      <c r="RMA108" s="769"/>
      <c r="RMB108" s="769"/>
      <c r="RMC108" s="769"/>
      <c r="RMD108" s="769"/>
      <c r="RME108" s="769"/>
      <c r="RMF108" s="769"/>
      <c r="RMG108" s="769"/>
      <c r="RMH108" s="769"/>
      <c r="RMI108" s="769"/>
      <c r="RMJ108" s="769"/>
      <c r="RMK108" s="769"/>
      <c r="RML108" s="769"/>
      <c r="RMM108" s="769"/>
      <c r="RMN108" s="769"/>
      <c r="RMO108" s="769"/>
      <c r="RMP108" s="769"/>
      <c r="RMQ108" s="769"/>
      <c r="RMR108" s="769"/>
      <c r="RMS108" s="769"/>
      <c r="RMT108" s="769"/>
      <c r="RMU108" s="769"/>
      <c r="RMV108" s="769"/>
      <c r="RMW108" s="769"/>
      <c r="RMX108" s="769"/>
      <c r="RMY108" s="769"/>
      <c r="RMZ108" s="769"/>
      <c r="RNA108" s="769"/>
      <c r="RNB108" s="769"/>
      <c r="RNC108" s="769"/>
      <c r="RND108" s="769"/>
      <c r="RNE108" s="769"/>
      <c r="RNF108" s="769"/>
      <c r="RNG108" s="769"/>
      <c r="RNH108" s="769"/>
      <c r="RNI108" s="769"/>
      <c r="RNJ108" s="769"/>
      <c r="RNK108" s="769"/>
      <c r="RNL108" s="769"/>
      <c r="RNM108" s="769"/>
      <c r="RNN108" s="769"/>
      <c r="RNO108" s="769"/>
      <c r="RNP108" s="769"/>
      <c r="RNQ108" s="769"/>
      <c r="RNR108" s="769"/>
      <c r="RNS108" s="769"/>
      <c r="RNT108" s="769"/>
      <c r="RNU108" s="769"/>
      <c r="RNV108" s="769"/>
      <c r="RNW108" s="769"/>
      <c r="RNX108" s="769"/>
      <c r="RNY108" s="769"/>
      <c r="RNZ108" s="769"/>
      <c r="ROA108" s="769"/>
      <c r="ROB108" s="769"/>
      <c r="ROC108" s="769"/>
      <c r="ROD108" s="769"/>
      <c r="ROE108" s="769"/>
      <c r="ROF108" s="769"/>
      <c r="ROG108" s="769"/>
      <c r="ROH108" s="769"/>
      <c r="ROI108" s="769"/>
      <c r="ROJ108" s="769"/>
      <c r="ROK108" s="769"/>
      <c r="ROL108" s="769"/>
      <c r="ROM108" s="769"/>
      <c r="RON108" s="769"/>
      <c r="ROO108" s="769"/>
      <c r="ROP108" s="769"/>
      <c r="ROQ108" s="769"/>
      <c r="ROR108" s="769"/>
      <c r="ROS108" s="769"/>
      <c r="ROT108" s="769"/>
      <c r="ROU108" s="769"/>
      <c r="ROV108" s="769"/>
      <c r="ROW108" s="769"/>
      <c r="ROX108" s="769"/>
      <c r="ROY108" s="769"/>
      <c r="ROZ108" s="769"/>
      <c r="RPA108" s="769"/>
      <c r="RPB108" s="769"/>
      <c r="RPC108" s="769"/>
      <c r="RPD108" s="769"/>
      <c r="RPE108" s="769"/>
      <c r="RPF108" s="769"/>
      <c r="RPG108" s="769"/>
      <c r="RPH108" s="769"/>
      <c r="RPI108" s="769"/>
      <c r="RPJ108" s="769"/>
      <c r="RPK108" s="769"/>
      <c r="RPL108" s="769"/>
      <c r="RPM108" s="769"/>
      <c r="RPN108" s="769"/>
      <c r="RPO108" s="769"/>
      <c r="RPP108" s="769"/>
      <c r="RPQ108" s="769"/>
      <c r="RPR108" s="769"/>
      <c r="RPS108" s="769"/>
      <c r="RPT108" s="769"/>
      <c r="RPU108" s="769"/>
      <c r="RPV108" s="769"/>
      <c r="RPW108" s="769"/>
      <c r="RPX108" s="769"/>
      <c r="RPY108" s="769"/>
      <c r="RPZ108" s="769"/>
      <c r="RQA108" s="769"/>
      <c r="RQB108" s="769"/>
      <c r="RQC108" s="769"/>
      <c r="RQD108" s="769"/>
      <c r="RQE108" s="769"/>
      <c r="RQF108" s="769"/>
      <c r="RQG108" s="769"/>
      <c r="RQH108" s="769"/>
      <c r="RQI108" s="769"/>
      <c r="RQJ108" s="769"/>
      <c r="RQK108" s="769"/>
      <c r="RQL108" s="769"/>
      <c r="RQM108" s="769"/>
      <c r="RQN108" s="769"/>
      <c r="RQO108" s="769"/>
      <c r="RQP108" s="769"/>
      <c r="RQQ108" s="769"/>
      <c r="RQR108" s="769"/>
      <c r="RQS108" s="769"/>
      <c r="RQT108" s="769"/>
      <c r="RQU108" s="769"/>
      <c r="RQV108" s="769"/>
      <c r="RQW108" s="769"/>
      <c r="RQX108" s="769"/>
      <c r="RQY108" s="769"/>
      <c r="RQZ108" s="769"/>
      <c r="RRA108" s="769"/>
      <c r="RRB108" s="769"/>
      <c r="RRC108" s="769"/>
      <c r="RRD108" s="769"/>
      <c r="RRE108" s="769"/>
      <c r="RRF108" s="769"/>
      <c r="RRG108" s="769"/>
      <c r="RRH108" s="769"/>
      <c r="RRI108" s="769"/>
      <c r="RRJ108" s="769"/>
      <c r="RRK108" s="769"/>
      <c r="RRL108" s="769"/>
      <c r="RRM108" s="769"/>
      <c r="RRN108" s="769"/>
      <c r="RRO108" s="769"/>
      <c r="RRP108" s="769"/>
      <c r="RRQ108" s="769"/>
      <c r="RRR108" s="769"/>
      <c r="RRS108" s="769"/>
      <c r="RRT108" s="769"/>
      <c r="RRU108" s="769"/>
      <c r="RRV108" s="769"/>
      <c r="RRW108" s="769"/>
      <c r="RRX108" s="769"/>
      <c r="RRY108" s="769"/>
      <c r="RRZ108" s="769"/>
      <c r="RSA108" s="769"/>
      <c r="RSB108" s="769"/>
      <c r="RSC108" s="769"/>
      <c r="RSD108" s="769"/>
      <c r="RSE108" s="769"/>
      <c r="RSF108" s="769"/>
      <c r="RSG108" s="769"/>
      <c r="RSH108" s="769"/>
      <c r="RSI108" s="769"/>
      <c r="RSJ108" s="769"/>
      <c r="RSK108" s="769"/>
      <c r="RSL108" s="769"/>
      <c r="RSM108" s="769"/>
      <c r="RSN108" s="769"/>
      <c r="RSO108" s="769"/>
      <c r="RSP108" s="769"/>
      <c r="RSQ108" s="769"/>
      <c r="RSR108" s="769"/>
      <c r="RSS108" s="769"/>
      <c r="RST108" s="769"/>
      <c r="RSU108" s="769"/>
      <c r="RSV108" s="769"/>
      <c r="RSW108" s="769"/>
      <c r="RSX108" s="769"/>
      <c r="RSY108" s="769"/>
      <c r="RSZ108" s="769"/>
      <c r="RTA108" s="769"/>
      <c r="RTB108" s="769"/>
      <c r="RTC108" s="769"/>
      <c r="RTD108" s="769"/>
      <c r="RTE108" s="769"/>
      <c r="RTF108" s="769"/>
      <c r="RTG108" s="769"/>
      <c r="RTH108" s="769"/>
      <c r="RTI108" s="769"/>
      <c r="RTJ108" s="769"/>
      <c r="RTK108" s="769"/>
      <c r="RTL108" s="769"/>
      <c r="RTM108" s="769"/>
      <c r="RTN108" s="769"/>
      <c r="RTO108" s="769"/>
      <c r="RTP108" s="769"/>
      <c r="RTQ108" s="769"/>
      <c r="RTR108" s="769"/>
      <c r="RTS108" s="769"/>
      <c r="RTT108" s="769"/>
      <c r="RTU108" s="769"/>
      <c r="RTV108" s="769"/>
      <c r="RTW108" s="769"/>
      <c r="RTX108" s="769"/>
      <c r="RTY108" s="769"/>
      <c r="RTZ108" s="769"/>
      <c r="RUA108" s="769"/>
      <c r="RUB108" s="769"/>
      <c r="RUC108" s="769"/>
      <c r="RUD108" s="769"/>
      <c r="RUE108" s="769"/>
      <c r="RUF108" s="769"/>
      <c r="RUG108" s="769"/>
      <c r="RUH108" s="769"/>
      <c r="RUI108" s="769"/>
      <c r="RUJ108" s="769"/>
      <c r="RUK108" s="769"/>
      <c r="RUL108" s="769"/>
      <c r="RUM108" s="769"/>
      <c r="RUN108" s="769"/>
      <c r="RUO108" s="769"/>
      <c r="RUP108" s="769"/>
      <c r="RUQ108" s="769"/>
      <c r="RUR108" s="769"/>
      <c r="RUS108" s="769"/>
      <c r="RUT108" s="769"/>
      <c r="RUU108" s="769"/>
      <c r="RUV108" s="769"/>
      <c r="RUW108" s="769"/>
      <c r="RUX108" s="769"/>
      <c r="RUY108" s="769"/>
      <c r="RUZ108" s="769"/>
      <c r="RVA108" s="769"/>
      <c r="RVB108" s="769"/>
      <c r="RVC108" s="769"/>
      <c r="RVD108" s="769"/>
      <c r="RVE108" s="769"/>
      <c r="RVF108" s="769"/>
      <c r="RVG108" s="769"/>
      <c r="RVH108" s="769"/>
      <c r="RVI108" s="769"/>
      <c r="RVJ108" s="769"/>
      <c r="RVK108" s="769"/>
      <c r="RVL108" s="769"/>
      <c r="RVM108" s="769"/>
      <c r="RVN108" s="769"/>
      <c r="RVO108" s="769"/>
      <c r="RVP108" s="769"/>
      <c r="RVQ108" s="769"/>
      <c r="RVR108" s="769"/>
      <c r="RVS108" s="769"/>
      <c r="RVT108" s="769"/>
      <c r="RVU108" s="769"/>
      <c r="RVV108" s="769"/>
      <c r="RVW108" s="769"/>
      <c r="RVX108" s="769"/>
      <c r="RVY108" s="769"/>
      <c r="RVZ108" s="769"/>
      <c r="RWA108" s="769"/>
      <c r="RWB108" s="769"/>
      <c r="RWC108" s="769"/>
      <c r="RWD108" s="769"/>
      <c r="RWE108" s="769"/>
      <c r="RWF108" s="769"/>
      <c r="RWG108" s="769"/>
      <c r="RWH108" s="769"/>
      <c r="RWI108" s="769"/>
      <c r="RWJ108" s="769"/>
      <c r="RWK108" s="769"/>
      <c r="RWL108" s="769"/>
      <c r="RWM108" s="769"/>
      <c r="RWN108" s="769"/>
      <c r="RWO108" s="769"/>
      <c r="RWP108" s="769"/>
      <c r="RWQ108" s="769"/>
      <c r="RWR108" s="769"/>
      <c r="RWS108" s="769"/>
      <c r="RWT108" s="769"/>
      <c r="RWU108" s="769"/>
      <c r="RWV108" s="769"/>
      <c r="RWW108" s="769"/>
      <c r="RWX108" s="769"/>
      <c r="RWY108" s="769"/>
      <c r="RWZ108" s="769"/>
      <c r="RXA108" s="769"/>
      <c r="RXB108" s="769"/>
      <c r="RXC108" s="769"/>
      <c r="RXD108" s="769"/>
      <c r="RXE108" s="769"/>
      <c r="RXF108" s="769"/>
      <c r="RXG108" s="769"/>
      <c r="RXH108" s="769"/>
      <c r="RXI108" s="769"/>
      <c r="RXJ108" s="769"/>
      <c r="RXK108" s="769"/>
      <c r="RXL108" s="769"/>
      <c r="RXM108" s="769"/>
      <c r="RXN108" s="769"/>
      <c r="RXO108" s="769"/>
      <c r="RXP108" s="769"/>
      <c r="RXQ108" s="769"/>
      <c r="RXR108" s="769"/>
      <c r="RXS108" s="769"/>
      <c r="RXT108" s="769"/>
      <c r="RXU108" s="769"/>
      <c r="RXV108" s="769"/>
      <c r="RXW108" s="769"/>
      <c r="RXX108" s="769"/>
      <c r="RXY108" s="769"/>
      <c r="RXZ108" s="769"/>
      <c r="RYA108" s="769"/>
      <c r="RYB108" s="769"/>
      <c r="RYC108" s="769"/>
      <c r="RYD108" s="769"/>
      <c r="RYE108" s="769"/>
      <c r="RYF108" s="769"/>
      <c r="RYG108" s="769"/>
      <c r="RYH108" s="769"/>
      <c r="RYI108" s="769"/>
      <c r="RYJ108" s="769"/>
      <c r="RYK108" s="769"/>
      <c r="RYL108" s="769"/>
      <c r="RYM108" s="769"/>
      <c r="RYN108" s="769"/>
      <c r="RYO108" s="769"/>
      <c r="RYP108" s="769"/>
      <c r="RYQ108" s="769"/>
      <c r="RYR108" s="769"/>
      <c r="RYS108" s="769"/>
      <c r="RYT108" s="769"/>
      <c r="RYU108" s="769"/>
      <c r="RYV108" s="769"/>
      <c r="RYW108" s="769"/>
      <c r="RYX108" s="769"/>
      <c r="RYY108" s="769"/>
      <c r="RYZ108" s="769"/>
      <c r="RZA108" s="769"/>
      <c r="RZB108" s="769"/>
      <c r="RZC108" s="769"/>
      <c r="RZD108" s="769"/>
      <c r="RZE108" s="769"/>
      <c r="RZF108" s="769"/>
      <c r="RZG108" s="769"/>
      <c r="RZH108" s="769"/>
      <c r="RZI108" s="769"/>
      <c r="RZJ108" s="769"/>
      <c r="RZK108" s="769"/>
      <c r="RZL108" s="769"/>
      <c r="RZM108" s="769"/>
      <c r="RZN108" s="769"/>
      <c r="RZO108" s="769"/>
      <c r="RZP108" s="769"/>
      <c r="RZQ108" s="769"/>
      <c r="RZR108" s="769"/>
      <c r="RZS108" s="769"/>
      <c r="RZT108" s="769"/>
      <c r="RZU108" s="769"/>
      <c r="RZV108" s="769"/>
      <c r="RZW108" s="769"/>
      <c r="RZX108" s="769"/>
      <c r="RZY108" s="769"/>
      <c r="RZZ108" s="769"/>
      <c r="SAA108" s="769"/>
      <c r="SAB108" s="769"/>
      <c r="SAC108" s="769"/>
      <c r="SAD108" s="769"/>
      <c r="SAE108" s="769"/>
      <c r="SAF108" s="769"/>
      <c r="SAG108" s="769"/>
      <c r="SAH108" s="769"/>
      <c r="SAI108" s="769"/>
      <c r="SAJ108" s="769"/>
      <c r="SAK108" s="769"/>
      <c r="SAL108" s="769"/>
      <c r="SAM108" s="769"/>
      <c r="SAN108" s="769"/>
      <c r="SAO108" s="769"/>
      <c r="SAP108" s="769"/>
      <c r="SAQ108" s="769"/>
      <c r="SAR108" s="769"/>
      <c r="SAS108" s="769"/>
      <c r="SAT108" s="769"/>
      <c r="SAU108" s="769"/>
      <c r="SAV108" s="769"/>
      <c r="SAW108" s="769"/>
      <c r="SAX108" s="769"/>
      <c r="SAY108" s="769"/>
      <c r="SAZ108" s="769"/>
      <c r="SBA108" s="769"/>
      <c r="SBB108" s="769"/>
      <c r="SBC108" s="769"/>
      <c r="SBD108" s="769"/>
      <c r="SBE108" s="769"/>
      <c r="SBF108" s="769"/>
      <c r="SBG108" s="769"/>
      <c r="SBH108" s="769"/>
      <c r="SBI108" s="769"/>
      <c r="SBJ108" s="769"/>
      <c r="SBK108" s="769"/>
      <c r="SBL108" s="769"/>
      <c r="SBM108" s="769"/>
      <c r="SBN108" s="769"/>
      <c r="SBO108" s="769"/>
      <c r="SBP108" s="769"/>
      <c r="SBQ108" s="769"/>
      <c r="SBR108" s="769"/>
      <c r="SBS108" s="769"/>
      <c r="SBT108" s="769"/>
      <c r="SBU108" s="769"/>
      <c r="SBV108" s="769"/>
      <c r="SBW108" s="769"/>
      <c r="SBX108" s="769"/>
      <c r="SBY108" s="769"/>
      <c r="SBZ108" s="769"/>
      <c r="SCA108" s="769"/>
      <c r="SCB108" s="769"/>
      <c r="SCC108" s="769"/>
      <c r="SCD108" s="769"/>
      <c r="SCE108" s="769"/>
      <c r="SCF108" s="769"/>
      <c r="SCG108" s="769"/>
      <c r="SCH108" s="769"/>
      <c r="SCI108" s="769"/>
      <c r="SCJ108" s="769"/>
      <c r="SCK108" s="769"/>
      <c r="SCL108" s="769"/>
      <c r="SCM108" s="769"/>
      <c r="SCN108" s="769"/>
      <c r="SCO108" s="769"/>
      <c r="SCP108" s="769"/>
      <c r="SCQ108" s="769"/>
      <c r="SCR108" s="769"/>
      <c r="SCS108" s="769"/>
      <c r="SCT108" s="769"/>
      <c r="SCU108" s="769"/>
      <c r="SCV108" s="769"/>
      <c r="SCW108" s="769"/>
      <c r="SCX108" s="769"/>
      <c r="SCY108" s="769"/>
      <c r="SCZ108" s="769"/>
      <c r="SDA108" s="769"/>
      <c r="SDB108" s="769"/>
      <c r="SDC108" s="769"/>
      <c r="SDD108" s="769"/>
      <c r="SDE108" s="769"/>
      <c r="SDF108" s="769"/>
      <c r="SDG108" s="769"/>
      <c r="SDH108" s="769"/>
      <c r="SDI108" s="769"/>
      <c r="SDJ108" s="769"/>
      <c r="SDK108" s="769"/>
      <c r="SDL108" s="769"/>
      <c r="SDM108" s="769"/>
      <c r="SDN108" s="769"/>
      <c r="SDO108" s="769"/>
      <c r="SDP108" s="769"/>
      <c r="SDQ108" s="769"/>
      <c r="SDR108" s="769"/>
      <c r="SDS108" s="769"/>
      <c r="SDT108" s="769"/>
      <c r="SDU108" s="769"/>
      <c r="SDV108" s="769"/>
      <c r="SDW108" s="769"/>
      <c r="SDX108" s="769"/>
      <c r="SDY108" s="769"/>
      <c r="SDZ108" s="769"/>
      <c r="SEA108" s="769"/>
      <c r="SEB108" s="769"/>
      <c r="SEC108" s="769"/>
      <c r="SED108" s="769"/>
      <c r="SEE108" s="769"/>
      <c r="SEF108" s="769"/>
      <c r="SEG108" s="769"/>
      <c r="SEH108" s="769"/>
      <c r="SEI108" s="769"/>
      <c r="SEJ108" s="769"/>
      <c r="SEK108" s="769"/>
      <c r="SEL108" s="769"/>
      <c r="SEM108" s="769"/>
      <c r="SEN108" s="769"/>
      <c r="SEO108" s="769"/>
      <c r="SEP108" s="769"/>
      <c r="SEQ108" s="769"/>
      <c r="SER108" s="769"/>
      <c r="SES108" s="769"/>
      <c r="SET108" s="769"/>
      <c r="SEU108" s="769"/>
      <c r="SEV108" s="769"/>
      <c r="SEW108" s="769"/>
      <c r="SEX108" s="769"/>
      <c r="SEY108" s="769"/>
      <c r="SEZ108" s="769"/>
      <c r="SFA108" s="769"/>
      <c r="SFB108" s="769"/>
      <c r="SFC108" s="769"/>
      <c r="SFD108" s="769"/>
      <c r="SFE108" s="769"/>
      <c r="SFF108" s="769"/>
      <c r="SFG108" s="769"/>
      <c r="SFH108" s="769"/>
      <c r="SFI108" s="769"/>
      <c r="SFJ108" s="769"/>
      <c r="SFK108" s="769"/>
      <c r="SFL108" s="769"/>
      <c r="SFM108" s="769"/>
      <c r="SFN108" s="769"/>
      <c r="SFO108" s="769"/>
      <c r="SFP108" s="769"/>
      <c r="SFQ108" s="769"/>
      <c r="SFR108" s="769"/>
      <c r="SFS108" s="769"/>
      <c r="SFT108" s="769"/>
      <c r="SFU108" s="769"/>
      <c r="SFV108" s="769"/>
      <c r="SFW108" s="769"/>
      <c r="SFX108" s="769"/>
      <c r="SFY108" s="769"/>
      <c r="SFZ108" s="769"/>
      <c r="SGA108" s="769"/>
      <c r="SGB108" s="769"/>
      <c r="SGC108" s="769"/>
      <c r="SGD108" s="769"/>
      <c r="SGE108" s="769"/>
      <c r="SGF108" s="769"/>
      <c r="SGG108" s="769"/>
      <c r="SGH108" s="769"/>
      <c r="SGI108" s="769"/>
      <c r="SGJ108" s="769"/>
      <c r="SGK108" s="769"/>
      <c r="SGL108" s="769"/>
      <c r="SGM108" s="769"/>
      <c r="SGN108" s="769"/>
      <c r="SGO108" s="769"/>
      <c r="SGP108" s="769"/>
      <c r="SGQ108" s="769"/>
      <c r="SGR108" s="769"/>
      <c r="SGS108" s="769"/>
      <c r="SGT108" s="769"/>
      <c r="SGU108" s="769"/>
      <c r="SGV108" s="769"/>
      <c r="SGW108" s="769"/>
      <c r="SGX108" s="769"/>
      <c r="SGY108" s="769"/>
      <c r="SGZ108" s="769"/>
      <c r="SHA108" s="769"/>
      <c r="SHB108" s="769"/>
      <c r="SHC108" s="769"/>
      <c r="SHD108" s="769"/>
      <c r="SHE108" s="769"/>
      <c r="SHF108" s="769"/>
      <c r="SHG108" s="769"/>
      <c r="SHH108" s="769"/>
      <c r="SHI108" s="769"/>
      <c r="SHJ108" s="769"/>
      <c r="SHK108" s="769"/>
      <c r="SHL108" s="769"/>
      <c r="SHM108" s="769"/>
      <c r="SHN108" s="769"/>
      <c r="SHO108" s="769"/>
      <c r="SHP108" s="769"/>
      <c r="SHQ108" s="769"/>
      <c r="SHR108" s="769"/>
      <c r="SHS108" s="769"/>
      <c r="SHT108" s="769"/>
      <c r="SHU108" s="769"/>
      <c r="SHV108" s="769"/>
      <c r="SHW108" s="769"/>
      <c r="SHX108" s="769"/>
      <c r="SHY108" s="769"/>
      <c r="SHZ108" s="769"/>
      <c r="SIA108" s="769"/>
      <c r="SIB108" s="769"/>
      <c r="SIC108" s="769"/>
      <c r="SID108" s="769"/>
      <c r="SIE108" s="769"/>
      <c r="SIF108" s="769"/>
      <c r="SIG108" s="769"/>
      <c r="SIH108" s="769"/>
      <c r="SII108" s="769"/>
      <c r="SIJ108" s="769"/>
      <c r="SIK108" s="769"/>
      <c r="SIL108" s="769"/>
      <c r="SIM108" s="769"/>
      <c r="SIN108" s="769"/>
      <c r="SIO108" s="769"/>
      <c r="SIP108" s="769"/>
      <c r="SIQ108" s="769"/>
      <c r="SIR108" s="769"/>
      <c r="SIS108" s="769"/>
      <c r="SIT108" s="769"/>
      <c r="SIU108" s="769"/>
      <c r="SIV108" s="769"/>
      <c r="SIW108" s="769"/>
      <c r="SIX108" s="769"/>
      <c r="SIY108" s="769"/>
      <c r="SIZ108" s="769"/>
      <c r="SJA108" s="769"/>
      <c r="SJB108" s="769"/>
      <c r="SJC108" s="769"/>
      <c r="SJD108" s="769"/>
      <c r="SJE108" s="769"/>
      <c r="SJF108" s="769"/>
      <c r="SJG108" s="769"/>
      <c r="SJH108" s="769"/>
      <c r="SJI108" s="769"/>
      <c r="SJJ108" s="769"/>
      <c r="SJK108" s="769"/>
      <c r="SJL108" s="769"/>
      <c r="SJM108" s="769"/>
      <c r="SJN108" s="769"/>
      <c r="SJO108" s="769"/>
      <c r="SJP108" s="769"/>
      <c r="SJQ108" s="769"/>
      <c r="SJR108" s="769"/>
      <c r="SJS108" s="769"/>
      <c r="SJT108" s="769"/>
      <c r="SJU108" s="769"/>
      <c r="SJV108" s="769"/>
      <c r="SJW108" s="769"/>
      <c r="SJX108" s="769"/>
      <c r="SJY108" s="769"/>
      <c r="SJZ108" s="769"/>
      <c r="SKA108" s="769"/>
      <c r="SKB108" s="769"/>
      <c r="SKC108" s="769"/>
      <c r="SKD108" s="769"/>
      <c r="SKE108" s="769"/>
      <c r="SKF108" s="769"/>
      <c r="SKG108" s="769"/>
      <c r="SKH108" s="769"/>
      <c r="SKI108" s="769"/>
      <c r="SKJ108" s="769"/>
      <c r="SKK108" s="769"/>
      <c r="SKL108" s="769"/>
      <c r="SKM108" s="769"/>
      <c r="SKN108" s="769"/>
      <c r="SKO108" s="769"/>
      <c r="SKP108" s="769"/>
      <c r="SKQ108" s="769"/>
      <c r="SKR108" s="769"/>
      <c r="SKS108" s="769"/>
      <c r="SKT108" s="769"/>
      <c r="SKU108" s="769"/>
      <c r="SKV108" s="769"/>
      <c r="SKW108" s="769"/>
      <c r="SKX108" s="769"/>
      <c r="SKY108" s="769"/>
      <c r="SKZ108" s="769"/>
      <c r="SLA108" s="769"/>
      <c r="SLB108" s="769"/>
      <c r="SLC108" s="769"/>
      <c r="SLD108" s="769"/>
      <c r="SLE108" s="769"/>
      <c r="SLF108" s="769"/>
      <c r="SLG108" s="769"/>
      <c r="SLH108" s="769"/>
      <c r="SLI108" s="769"/>
      <c r="SLJ108" s="769"/>
      <c r="SLK108" s="769"/>
      <c r="SLL108" s="769"/>
      <c r="SLM108" s="769"/>
      <c r="SLN108" s="769"/>
      <c r="SLO108" s="769"/>
      <c r="SLP108" s="769"/>
      <c r="SLQ108" s="769"/>
      <c r="SLR108" s="769"/>
      <c r="SLS108" s="769"/>
      <c r="SLT108" s="769"/>
      <c r="SLU108" s="769"/>
      <c r="SLV108" s="769"/>
      <c r="SLW108" s="769"/>
      <c r="SLX108" s="769"/>
      <c r="SLY108" s="769"/>
      <c r="SLZ108" s="769"/>
      <c r="SMA108" s="769"/>
      <c r="SMB108" s="769"/>
      <c r="SMC108" s="769"/>
      <c r="SMD108" s="769"/>
      <c r="SME108" s="769"/>
      <c r="SMF108" s="769"/>
      <c r="SMG108" s="769"/>
      <c r="SMH108" s="769"/>
      <c r="SMI108" s="769"/>
      <c r="SMJ108" s="769"/>
      <c r="SMK108" s="769"/>
      <c r="SML108" s="769"/>
      <c r="SMM108" s="769"/>
      <c r="SMN108" s="769"/>
      <c r="SMO108" s="769"/>
      <c r="SMP108" s="769"/>
      <c r="SMQ108" s="769"/>
      <c r="SMR108" s="769"/>
      <c r="SMS108" s="769"/>
      <c r="SMT108" s="769"/>
      <c r="SMU108" s="769"/>
      <c r="SMV108" s="769"/>
      <c r="SMW108" s="769"/>
      <c r="SMX108" s="769"/>
      <c r="SMY108" s="769"/>
      <c r="SMZ108" s="769"/>
      <c r="SNA108" s="769"/>
      <c r="SNB108" s="769"/>
      <c r="SNC108" s="769"/>
      <c r="SND108" s="769"/>
      <c r="SNE108" s="769"/>
      <c r="SNF108" s="769"/>
      <c r="SNG108" s="769"/>
      <c r="SNH108" s="769"/>
      <c r="SNI108" s="769"/>
      <c r="SNJ108" s="769"/>
      <c r="SNK108" s="769"/>
      <c r="SNL108" s="769"/>
      <c r="SNM108" s="769"/>
      <c r="SNN108" s="769"/>
      <c r="SNO108" s="769"/>
      <c r="SNP108" s="769"/>
      <c r="SNQ108" s="769"/>
      <c r="SNR108" s="769"/>
      <c r="SNS108" s="769"/>
      <c r="SNT108" s="769"/>
      <c r="SNU108" s="769"/>
      <c r="SNV108" s="769"/>
      <c r="SNW108" s="769"/>
      <c r="SNX108" s="769"/>
      <c r="SNY108" s="769"/>
      <c r="SNZ108" s="769"/>
      <c r="SOA108" s="769"/>
      <c r="SOB108" s="769"/>
      <c r="SOC108" s="769"/>
      <c r="SOD108" s="769"/>
      <c r="SOE108" s="769"/>
      <c r="SOF108" s="769"/>
      <c r="SOG108" s="769"/>
      <c r="SOH108" s="769"/>
      <c r="SOI108" s="769"/>
      <c r="SOJ108" s="769"/>
      <c r="SOK108" s="769"/>
      <c r="SOL108" s="769"/>
      <c r="SOM108" s="769"/>
      <c r="SON108" s="769"/>
      <c r="SOO108" s="769"/>
      <c r="SOP108" s="769"/>
      <c r="SOQ108" s="769"/>
      <c r="SOR108" s="769"/>
      <c r="SOS108" s="769"/>
      <c r="SOT108" s="769"/>
      <c r="SOU108" s="769"/>
      <c r="SOV108" s="769"/>
      <c r="SOW108" s="769"/>
      <c r="SOX108" s="769"/>
      <c r="SOY108" s="769"/>
      <c r="SOZ108" s="769"/>
      <c r="SPA108" s="769"/>
      <c r="SPB108" s="769"/>
      <c r="SPC108" s="769"/>
      <c r="SPD108" s="769"/>
      <c r="SPE108" s="769"/>
      <c r="SPF108" s="769"/>
      <c r="SPG108" s="769"/>
      <c r="SPH108" s="769"/>
      <c r="SPI108" s="769"/>
      <c r="SPJ108" s="769"/>
      <c r="SPK108" s="769"/>
      <c r="SPL108" s="769"/>
      <c r="SPM108" s="769"/>
      <c r="SPN108" s="769"/>
      <c r="SPO108" s="769"/>
      <c r="SPP108" s="769"/>
      <c r="SPQ108" s="769"/>
      <c r="SPR108" s="769"/>
      <c r="SPS108" s="769"/>
      <c r="SPT108" s="769"/>
      <c r="SPU108" s="769"/>
      <c r="SPV108" s="769"/>
      <c r="SPW108" s="769"/>
      <c r="SPX108" s="769"/>
      <c r="SPY108" s="769"/>
      <c r="SPZ108" s="769"/>
      <c r="SQA108" s="769"/>
      <c r="SQB108" s="769"/>
      <c r="SQC108" s="769"/>
      <c r="SQD108" s="769"/>
      <c r="SQE108" s="769"/>
      <c r="SQF108" s="769"/>
      <c r="SQG108" s="769"/>
      <c r="SQH108" s="769"/>
      <c r="SQI108" s="769"/>
      <c r="SQJ108" s="769"/>
      <c r="SQK108" s="769"/>
      <c r="SQL108" s="769"/>
      <c r="SQM108" s="769"/>
      <c r="SQN108" s="769"/>
      <c r="SQO108" s="769"/>
      <c r="SQP108" s="769"/>
      <c r="SQQ108" s="769"/>
      <c r="SQR108" s="769"/>
      <c r="SQS108" s="769"/>
      <c r="SQT108" s="769"/>
      <c r="SQU108" s="769"/>
      <c r="SQV108" s="769"/>
      <c r="SQW108" s="769"/>
      <c r="SQX108" s="769"/>
      <c r="SQY108" s="769"/>
      <c r="SQZ108" s="769"/>
      <c r="SRA108" s="769"/>
      <c r="SRB108" s="769"/>
      <c r="SRC108" s="769"/>
      <c r="SRD108" s="769"/>
      <c r="SRE108" s="769"/>
      <c r="SRF108" s="769"/>
      <c r="SRG108" s="769"/>
      <c r="SRH108" s="769"/>
      <c r="SRI108" s="769"/>
      <c r="SRJ108" s="769"/>
      <c r="SRK108" s="769"/>
      <c r="SRL108" s="769"/>
      <c r="SRM108" s="769"/>
      <c r="SRN108" s="769"/>
      <c r="SRO108" s="769"/>
      <c r="SRP108" s="769"/>
      <c r="SRQ108" s="769"/>
      <c r="SRR108" s="769"/>
      <c r="SRS108" s="769"/>
      <c r="SRT108" s="769"/>
      <c r="SRU108" s="769"/>
      <c r="SRV108" s="769"/>
      <c r="SRW108" s="769"/>
      <c r="SRX108" s="769"/>
      <c r="SRY108" s="769"/>
      <c r="SRZ108" s="769"/>
      <c r="SSA108" s="769"/>
      <c r="SSB108" s="769"/>
      <c r="SSC108" s="769"/>
      <c r="SSD108" s="769"/>
      <c r="SSE108" s="769"/>
      <c r="SSF108" s="769"/>
      <c r="SSG108" s="769"/>
      <c r="SSH108" s="769"/>
      <c r="SSI108" s="769"/>
      <c r="SSJ108" s="769"/>
      <c r="SSK108" s="769"/>
      <c r="SSL108" s="769"/>
      <c r="SSM108" s="769"/>
      <c r="SSN108" s="769"/>
      <c r="SSO108" s="769"/>
      <c r="SSP108" s="769"/>
      <c r="SSQ108" s="769"/>
      <c r="SSR108" s="769"/>
      <c r="SSS108" s="769"/>
      <c r="SST108" s="769"/>
      <c r="SSU108" s="769"/>
      <c r="SSV108" s="769"/>
      <c r="SSW108" s="769"/>
      <c r="SSX108" s="769"/>
      <c r="SSY108" s="769"/>
      <c r="SSZ108" s="769"/>
      <c r="STA108" s="769"/>
      <c r="STB108" s="769"/>
      <c r="STC108" s="769"/>
      <c r="STD108" s="769"/>
      <c r="STE108" s="769"/>
      <c r="STF108" s="769"/>
      <c r="STG108" s="769"/>
      <c r="STH108" s="769"/>
      <c r="STI108" s="769"/>
      <c r="STJ108" s="769"/>
      <c r="STK108" s="769"/>
      <c r="STL108" s="769"/>
      <c r="STM108" s="769"/>
      <c r="STN108" s="769"/>
      <c r="STO108" s="769"/>
      <c r="STP108" s="769"/>
      <c r="STQ108" s="769"/>
      <c r="STR108" s="769"/>
      <c r="STS108" s="769"/>
      <c r="STT108" s="769"/>
      <c r="STU108" s="769"/>
      <c r="STV108" s="769"/>
      <c r="STW108" s="769"/>
      <c r="STX108" s="769"/>
      <c r="STY108" s="769"/>
      <c r="STZ108" s="769"/>
      <c r="SUA108" s="769"/>
      <c r="SUB108" s="769"/>
      <c r="SUC108" s="769"/>
      <c r="SUD108" s="769"/>
      <c r="SUE108" s="769"/>
      <c r="SUF108" s="769"/>
      <c r="SUG108" s="769"/>
      <c r="SUH108" s="769"/>
      <c r="SUI108" s="769"/>
      <c r="SUJ108" s="769"/>
      <c r="SUK108" s="769"/>
      <c r="SUL108" s="769"/>
      <c r="SUM108" s="769"/>
      <c r="SUN108" s="769"/>
      <c r="SUO108" s="769"/>
      <c r="SUP108" s="769"/>
      <c r="SUQ108" s="769"/>
      <c r="SUR108" s="769"/>
      <c r="SUS108" s="769"/>
      <c r="SUT108" s="769"/>
      <c r="SUU108" s="769"/>
      <c r="SUV108" s="769"/>
      <c r="SUW108" s="769"/>
      <c r="SUX108" s="769"/>
      <c r="SUY108" s="769"/>
      <c r="SUZ108" s="769"/>
      <c r="SVA108" s="769"/>
      <c r="SVB108" s="769"/>
      <c r="SVC108" s="769"/>
      <c r="SVD108" s="769"/>
      <c r="SVE108" s="769"/>
      <c r="SVF108" s="769"/>
      <c r="SVG108" s="769"/>
      <c r="SVH108" s="769"/>
      <c r="SVI108" s="769"/>
      <c r="SVJ108" s="769"/>
      <c r="SVK108" s="769"/>
      <c r="SVL108" s="769"/>
      <c r="SVM108" s="769"/>
      <c r="SVN108" s="769"/>
      <c r="SVO108" s="769"/>
      <c r="SVP108" s="769"/>
      <c r="SVQ108" s="769"/>
      <c r="SVR108" s="769"/>
      <c r="SVS108" s="769"/>
      <c r="SVT108" s="769"/>
      <c r="SVU108" s="769"/>
      <c r="SVV108" s="769"/>
      <c r="SVW108" s="769"/>
      <c r="SVX108" s="769"/>
      <c r="SVY108" s="769"/>
      <c r="SVZ108" s="769"/>
      <c r="SWA108" s="769"/>
      <c r="SWB108" s="769"/>
      <c r="SWC108" s="769"/>
      <c r="SWD108" s="769"/>
      <c r="SWE108" s="769"/>
      <c r="SWF108" s="769"/>
      <c r="SWG108" s="769"/>
      <c r="SWH108" s="769"/>
      <c r="SWI108" s="769"/>
      <c r="SWJ108" s="769"/>
      <c r="SWK108" s="769"/>
      <c r="SWL108" s="769"/>
      <c r="SWM108" s="769"/>
      <c r="SWN108" s="769"/>
      <c r="SWO108" s="769"/>
      <c r="SWP108" s="769"/>
      <c r="SWQ108" s="769"/>
      <c r="SWR108" s="769"/>
      <c r="SWS108" s="769"/>
      <c r="SWT108" s="769"/>
      <c r="SWU108" s="769"/>
      <c r="SWV108" s="769"/>
      <c r="SWW108" s="769"/>
      <c r="SWX108" s="769"/>
      <c r="SWY108" s="769"/>
      <c r="SWZ108" s="769"/>
      <c r="SXA108" s="769"/>
      <c r="SXB108" s="769"/>
      <c r="SXC108" s="769"/>
      <c r="SXD108" s="769"/>
      <c r="SXE108" s="769"/>
      <c r="SXF108" s="769"/>
      <c r="SXG108" s="769"/>
      <c r="SXH108" s="769"/>
      <c r="SXI108" s="769"/>
      <c r="SXJ108" s="769"/>
      <c r="SXK108" s="769"/>
      <c r="SXL108" s="769"/>
      <c r="SXM108" s="769"/>
      <c r="SXN108" s="769"/>
      <c r="SXO108" s="769"/>
      <c r="SXP108" s="769"/>
      <c r="SXQ108" s="769"/>
      <c r="SXR108" s="769"/>
      <c r="SXS108" s="769"/>
      <c r="SXT108" s="769"/>
      <c r="SXU108" s="769"/>
      <c r="SXV108" s="769"/>
      <c r="SXW108" s="769"/>
      <c r="SXX108" s="769"/>
      <c r="SXY108" s="769"/>
      <c r="SXZ108" s="769"/>
      <c r="SYA108" s="769"/>
      <c r="SYB108" s="769"/>
      <c r="SYC108" s="769"/>
      <c r="SYD108" s="769"/>
      <c r="SYE108" s="769"/>
      <c r="SYF108" s="769"/>
      <c r="SYG108" s="769"/>
      <c r="SYH108" s="769"/>
      <c r="SYI108" s="769"/>
      <c r="SYJ108" s="769"/>
      <c r="SYK108" s="769"/>
      <c r="SYL108" s="769"/>
      <c r="SYM108" s="769"/>
      <c r="SYN108" s="769"/>
      <c r="SYO108" s="769"/>
      <c r="SYP108" s="769"/>
      <c r="SYQ108" s="769"/>
      <c r="SYR108" s="769"/>
      <c r="SYS108" s="769"/>
      <c r="SYT108" s="769"/>
      <c r="SYU108" s="769"/>
      <c r="SYV108" s="769"/>
      <c r="SYW108" s="769"/>
      <c r="SYX108" s="769"/>
      <c r="SYY108" s="769"/>
      <c r="SYZ108" s="769"/>
      <c r="SZA108" s="769"/>
      <c r="SZB108" s="769"/>
      <c r="SZC108" s="769"/>
      <c r="SZD108" s="769"/>
      <c r="SZE108" s="769"/>
      <c r="SZF108" s="769"/>
      <c r="SZG108" s="769"/>
      <c r="SZH108" s="769"/>
      <c r="SZI108" s="769"/>
      <c r="SZJ108" s="769"/>
      <c r="SZK108" s="769"/>
      <c r="SZL108" s="769"/>
      <c r="SZM108" s="769"/>
      <c r="SZN108" s="769"/>
      <c r="SZO108" s="769"/>
      <c r="SZP108" s="769"/>
      <c r="SZQ108" s="769"/>
      <c r="SZR108" s="769"/>
      <c r="SZS108" s="769"/>
      <c r="SZT108" s="769"/>
      <c r="SZU108" s="769"/>
      <c r="SZV108" s="769"/>
      <c r="SZW108" s="769"/>
      <c r="SZX108" s="769"/>
      <c r="SZY108" s="769"/>
      <c r="SZZ108" s="769"/>
      <c r="TAA108" s="769"/>
      <c r="TAB108" s="769"/>
      <c r="TAC108" s="769"/>
      <c r="TAD108" s="769"/>
      <c r="TAE108" s="769"/>
      <c r="TAF108" s="769"/>
      <c r="TAG108" s="769"/>
      <c r="TAH108" s="769"/>
      <c r="TAI108" s="769"/>
      <c r="TAJ108" s="769"/>
      <c r="TAK108" s="769"/>
      <c r="TAL108" s="769"/>
      <c r="TAM108" s="769"/>
      <c r="TAN108" s="769"/>
      <c r="TAO108" s="769"/>
      <c r="TAP108" s="769"/>
      <c r="TAQ108" s="769"/>
      <c r="TAR108" s="769"/>
      <c r="TAS108" s="769"/>
      <c r="TAT108" s="769"/>
      <c r="TAU108" s="769"/>
      <c r="TAV108" s="769"/>
      <c r="TAW108" s="769"/>
      <c r="TAX108" s="769"/>
      <c r="TAY108" s="769"/>
      <c r="TAZ108" s="769"/>
      <c r="TBA108" s="769"/>
      <c r="TBB108" s="769"/>
      <c r="TBC108" s="769"/>
      <c r="TBD108" s="769"/>
      <c r="TBE108" s="769"/>
      <c r="TBF108" s="769"/>
      <c r="TBG108" s="769"/>
      <c r="TBH108" s="769"/>
      <c r="TBI108" s="769"/>
      <c r="TBJ108" s="769"/>
      <c r="TBK108" s="769"/>
      <c r="TBL108" s="769"/>
      <c r="TBM108" s="769"/>
      <c r="TBN108" s="769"/>
      <c r="TBO108" s="769"/>
      <c r="TBP108" s="769"/>
      <c r="TBQ108" s="769"/>
      <c r="TBR108" s="769"/>
      <c r="TBS108" s="769"/>
      <c r="TBT108" s="769"/>
      <c r="TBU108" s="769"/>
      <c r="TBV108" s="769"/>
      <c r="TBW108" s="769"/>
      <c r="TBX108" s="769"/>
      <c r="TBY108" s="769"/>
      <c r="TBZ108" s="769"/>
      <c r="TCA108" s="769"/>
      <c r="TCB108" s="769"/>
      <c r="TCC108" s="769"/>
      <c r="TCD108" s="769"/>
      <c r="TCE108" s="769"/>
      <c r="TCF108" s="769"/>
      <c r="TCG108" s="769"/>
      <c r="TCH108" s="769"/>
      <c r="TCI108" s="769"/>
      <c r="TCJ108" s="769"/>
      <c r="TCK108" s="769"/>
      <c r="TCL108" s="769"/>
      <c r="TCM108" s="769"/>
      <c r="TCN108" s="769"/>
      <c r="TCO108" s="769"/>
      <c r="TCP108" s="769"/>
      <c r="TCQ108" s="769"/>
      <c r="TCR108" s="769"/>
      <c r="TCS108" s="769"/>
      <c r="TCT108" s="769"/>
      <c r="TCU108" s="769"/>
      <c r="TCV108" s="769"/>
      <c r="TCW108" s="769"/>
      <c r="TCX108" s="769"/>
      <c r="TCY108" s="769"/>
      <c r="TCZ108" s="769"/>
      <c r="TDA108" s="769"/>
      <c r="TDB108" s="769"/>
      <c r="TDC108" s="769"/>
      <c r="TDD108" s="769"/>
      <c r="TDE108" s="769"/>
      <c r="TDF108" s="769"/>
      <c r="TDG108" s="769"/>
      <c r="TDH108" s="769"/>
      <c r="TDI108" s="769"/>
      <c r="TDJ108" s="769"/>
      <c r="TDK108" s="769"/>
      <c r="TDL108" s="769"/>
      <c r="TDM108" s="769"/>
      <c r="TDN108" s="769"/>
      <c r="TDO108" s="769"/>
      <c r="TDP108" s="769"/>
      <c r="TDQ108" s="769"/>
      <c r="TDR108" s="769"/>
      <c r="TDS108" s="769"/>
      <c r="TDT108" s="769"/>
      <c r="TDU108" s="769"/>
      <c r="TDV108" s="769"/>
      <c r="TDW108" s="769"/>
      <c r="TDX108" s="769"/>
      <c r="TDY108" s="769"/>
      <c r="TDZ108" s="769"/>
      <c r="TEA108" s="769"/>
      <c r="TEB108" s="769"/>
      <c r="TEC108" s="769"/>
      <c r="TED108" s="769"/>
      <c r="TEE108" s="769"/>
      <c r="TEF108" s="769"/>
      <c r="TEG108" s="769"/>
      <c r="TEH108" s="769"/>
      <c r="TEI108" s="769"/>
      <c r="TEJ108" s="769"/>
      <c r="TEK108" s="769"/>
      <c r="TEL108" s="769"/>
      <c r="TEM108" s="769"/>
      <c r="TEN108" s="769"/>
      <c r="TEO108" s="769"/>
      <c r="TEP108" s="769"/>
      <c r="TEQ108" s="769"/>
      <c r="TER108" s="769"/>
      <c r="TES108" s="769"/>
      <c r="TET108" s="769"/>
      <c r="TEU108" s="769"/>
      <c r="TEV108" s="769"/>
      <c r="TEW108" s="769"/>
      <c r="TEX108" s="769"/>
      <c r="TEY108" s="769"/>
      <c r="TEZ108" s="769"/>
      <c r="TFA108" s="769"/>
      <c r="TFB108" s="769"/>
      <c r="TFC108" s="769"/>
      <c r="TFD108" s="769"/>
      <c r="TFE108" s="769"/>
      <c r="TFF108" s="769"/>
      <c r="TFG108" s="769"/>
      <c r="TFH108" s="769"/>
      <c r="TFI108" s="769"/>
      <c r="TFJ108" s="769"/>
      <c r="TFK108" s="769"/>
      <c r="TFL108" s="769"/>
      <c r="TFM108" s="769"/>
      <c r="TFN108" s="769"/>
      <c r="TFO108" s="769"/>
      <c r="TFP108" s="769"/>
      <c r="TFQ108" s="769"/>
      <c r="TFR108" s="769"/>
      <c r="TFS108" s="769"/>
      <c r="TFT108" s="769"/>
      <c r="TFU108" s="769"/>
      <c r="TFV108" s="769"/>
      <c r="TFW108" s="769"/>
      <c r="TFX108" s="769"/>
      <c r="TFY108" s="769"/>
      <c r="TFZ108" s="769"/>
      <c r="TGA108" s="769"/>
      <c r="TGB108" s="769"/>
      <c r="TGC108" s="769"/>
      <c r="TGD108" s="769"/>
      <c r="TGE108" s="769"/>
      <c r="TGF108" s="769"/>
      <c r="TGG108" s="769"/>
      <c r="TGH108" s="769"/>
      <c r="TGI108" s="769"/>
      <c r="TGJ108" s="769"/>
      <c r="TGK108" s="769"/>
      <c r="TGL108" s="769"/>
      <c r="TGM108" s="769"/>
      <c r="TGN108" s="769"/>
      <c r="TGO108" s="769"/>
      <c r="TGP108" s="769"/>
      <c r="TGQ108" s="769"/>
      <c r="TGR108" s="769"/>
      <c r="TGS108" s="769"/>
      <c r="TGT108" s="769"/>
      <c r="TGU108" s="769"/>
      <c r="TGV108" s="769"/>
      <c r="TGW108" s="769"/>
      <c r="TGX108" s="769"/>
      <c r="TGY108" s="769"/>
      <c r="TGZ108" s="769"/>
      <c r="THA108" s="769"/>
      <c r="THB108" s="769"/>
      <c r="THC108" s="769"/>
      <c r="THD108" s="769"/>
      <c r="THE108" s="769"/>
      <c r="THF108" s="769"/>
      <c r="THG108" s="769"/>
      <c r="THH108" s="769"/>
      <c r="THI108" s="769"/>
      <c r="THJ108" s="769"/>
      <c r="THK108" s="769"/>
      <c r="THL108" s="769"/>
      <c r="THM108" s="769"/>
      <c r="THN108" s="769"/>
      <c r="THO108" s="769"/>
      <c r="THP108" s="769"/>
      <c r="THQ108" s="769"/>
      <c r="THR108" s="769"/>
      <c r="THS108" s="769"/>
      <c r="THT108" s="769"/>
      <c r="THU108" s="769"/>
      <c r="THV108" s="769"/>
      <c r="THW108" s="769"/>
      <c r="THX108" s="769"/>
      <c r="THY108" s="769"/>
      <c r="THZ108" s="769"/>
      <c r="TIA108" s="769"/>
      <c r="TIB108" s="769"/>
      <c r="TIC108" s="769"/>
      <c r="TID108" s="769"/>
      <c r="TIE108" s="769"/>
      <c r="TIF108" s="769"/>
      <c r="TIG108" s="769"/>
      <c r="TIH108" s="769"/>
      <c r="TII108" s="769"/>
      <c r="TIJ108" s="769"/>
      <c r="TIK108" s="769"/>
      <c r="TIL108" s="769"/>
      <c r="TIM108" s="769"/>
      <c r="TIN108" s="769"/>
      <c r="TIO108" s="769"/>
      <c r="TIP108" s="769"/>
      <c r="TIQ108" s="769"/>
      <c r="TIR108" s="769"/>
      <c r="TIS108" s="769"/>
      <c r="TIT108" s="769"/>
      <c r="TIU108" s="769"/>
      <c r="TIV108" s="769"/>
      <c r="TIW108" s="769"/>
      <c r="TIX108" s="769"/>
      <c r="TIY108" s="769"/>
      <c r="TIZ108" s="769"/>
      <c r="TJA108" s="769"/>
      <c r="TJB108" s="769"/>
      <c r="TJC108" s="769"/>
      <c r="TJD108" s="769"/>
      <c r="TJE108" s="769"/>
      <c r="TJF108" s="769"/>
      <c r="TJG108" s="769"/>
      <c r="TJH108" s="769"/>
      <c r="TJI108" s="769"/>
      <c r="TJJ108" s="769"/>
      <c r="TJK108" s="769"/>
      <c r="TJL108" s="769"/>
      <c r="TJM108" s="769"/>
      <c r="TJN108" s="769"/>
      <c r="TJO108" s="769"/>
      <c r="TJP108" s="769"/>
      <c r="TJQ108" s="769"/>
      <c r="TJR108" s="769"/>
      <c r="TJS108" s="769"/>
      <c r="TJT108" s="769"/>
      <c r="TJU108" s="769"/>
      <c r="TJV108" s="769"/>
      <c r="TJW108" s="769"/>
      <c r="TJX108" s="769"/>
      <c r="TJY108" s="769"/>
      <c r="TJZ108" s="769"/>
      <c r="TKA108" s="769"/>
      <c r="TKB108" s="769"/>
      <c r="TKC108" s="769"/>
      <c r="TKD108" s="769"/>
      <c r="TKE108" s="769"/>
      <c r="TKF108" s="769"/>
      <c r="TKG108" s="769"/>
      <c r="TKH108" s="769"/>
      <c r="TKI108" s="769"/>
      <c r="TKJ108" s="769"/>
      <c r="TKK108" s="769"/>
      <c r="TKL108" s="769"/>
      <c r="TKM108" s="769"/>
      <c r="TKN108" s="769"/>
      <c r="TKO108" s="769"/>
      <c r="TKP108" s="769"/>
      <c r="TKQ108" s="769"/>
      <c r="TKR108" s="769"/>
      <c r="TKS108" s="769"/>
      <c r="TKT108" s="769"/>
      <c r="TKU108" s="769"/>
      <c r="TKV108" s="769"/>
      <c r="TKW108" s="769"/>
      <c r="TKX108" s="769"/>
      <c r="TKY108" s="769"/>
      <c r="TKZ108" s="769"/>
      <c r="TLA108" s="769"/>
      <c r="TLB108" s="769"/>
      <c r="TLC108" s="769"/>
      <c r="TLD108" s="769"/>
      <c r="TLE108" s="769"/>
      <c r="TLF108" s="769"/>
      <c r="TLG108" s="769"/>
      <c r="TLH108" s="769"/>
      <c r="TLI108" s="769"/>
      <c r="TLJ108" s="769"/>
      <c r="TLK108" s="769"/>
      <c r="TLL108" s="769"/>
      <c r="TLM108" s="769"/>
      <c r="TLN108" s="769"/>
      <c r="TLO108" s="769"/>
      <c r="TLP108" s="769"/>
      <c r="TLQ108" s="769"/>
      <c r="TLR108" s="769"/>
      <c r="TLS108" s="769"/>
      <c r="TLT108" s="769"/>
      <c r="TLU108" s="769"/>
      <c r="TLV108" s="769"/>
      <c r="TLW108" s="769"/>
      <c r="TLX108" s="769"/>
      <c r="TLY108" s="769"/>
      <c r="TLZ108" s="769"/>
      <c r="TMA108" s="769"/>
      <c r="TMB108" s="769"/>
      <c r="TMC108" s="769"/>
      <c r="TMD108" s="769"/>
      <c r="TME108" s="769"/>
      <c r="TMF108" s="769"/>
      <c r="TMG108" s="769"/>
      <c r="TMH108" s="769"/>
      <c r="TMI108" s="769"/>
      <c r="TMJ108" s="769"/>
      <c r="TMK108" s="769"/>
      <c r="TML108" s="769"/>
      <c r="TMM108" s="769"/>
      <c r="TMN108" s="769"/>
      <c r="TMO108" s="769"/>
      <c r="TMP108" s="769"/>
      <c r="TMQ108" s="769"/>
      <c r="TMR108" s="769"/>
      <c r="TMS108" s="769"/>
      <c r="TMT108" s="769"/>
      <c r="TMU108" s="769"/>
      <c r="TMV108" s="769"/>
      <c r="TMW108" s="769"/>
      <c r="TMX108" s="769"/>
      <c r="TMY108" s="769"/>
      <c r="TMZ108" s="769"/>
      <c r="TNA108" s="769"/>
      <c r="TNB108" s="769"/>
      <c r="TNC108" s="769"/>
      <c r="TND108" s="769"/>
      <c r="TNE108" s="769"/>
      <c r="TNF108" s="769"/>
      <c r="TNG108" s="769"/>
      <c r="TNH108" s="769"/>
      <c r="TNI108" s="769"/>
      <c r="TNJ108" s="769"/>
      <c r="TNK108" s="769"/>
      <c r="TNL108" s="769"/>
      <c r="TNM108" s="769"/>
      <c r="TNN108" s="769"/>
      <c r="TNO108" s="769"/>
      <c r="TNP108" s="769"/>
      <c r="TNQ108" s="769"/>
      <c r="TNR108" s="769"/>
      <c r="TNS108" s="769"/>
      <c r="TNT108" s="769"/>
      <c r="TNU108" s="769"/>
      <c r="TNV108" s="769"/>
      <c r="TNW108" s="769"/>
      <c r="TNX108" s="769"/>
      <c r="TNY108" s="769"/>
      <c r="TNZ108" s="769"/>
      <c r="TOA108" s="769"/>
      <c r="TOB108" s="769"/>
      <c r="TOC108" s="769"/>
      <c r="TOD108" s="769"/>
      <c r="TOE108" s="769"/>
      <c r="TOF108" s="769"/>
      <c r="TOG108" s="769"/>
      <c r="TOH108" s="769"/>
      <c r="TOI108" s="769"/>
      <c r="TOJ108" s="769"/>
      <c r="TOK108" s="769"/>
      <c r="TOL108" s="769"/>
      <c r="TOM108" s="769"/>
      <c r="TON108" s="769"/>
      <c r="TOO108" s="769"/>
      <c r="TOP108" s="769"/>
      <c r="TOQ108" s="769"/>
      <c r="TOR108" s="769"/>
      <c r="TOS108" s="769"/>
      <c r="TOT108" s="769"/>
      <c r="TOU108" s="769"/>
      <c r="TOV108" s="769"/>
      <c r="TOW108" s="769"/>
      <c r="TOX108" s="769"/>
      <c r="TOY108" s="769"/>
      <c r="TOZ108" s="769"/>
      <c r="TPA108" s="769"/>
      <c r="TPB108" s="769"/>
      <c r="TPC108" s="769"/>
      <c r="TPD108" s="769"/>
      <c r="TPE108" s="769"/>
      <c r="TPF108" s="769"/>
      <c r="TPG108" s="769"/>
      <c r="TPH108" s="769"/>
      <c r="TPI108" s="769"/>
      <c r="TPJ108" s="769"/>
      <c r="TPK108" s="769"/>
      <c r="TPL108" s="769"/>
      <c r="TPM108" s="769"/>
      <c r="TPN108" s="769"/>
      <c r="TPO108" s="769"/>
      <c r="TPP108" s="769"/>
      <c r="TPQ108" s="769"/>
      <c r="TPR108" s="769"/>
      <c r="TPS108" s="769"/>
      <c r="TPT108" s="769"/>
      <c r="TPU108" s="769"/>
      <c r="TPV108" s="769"/>
      <c r="TPW108" s="769"/>
      <c r="TPX108" s="769"/>
      <c r="TPY108" s="769"/>
      <c r="TPZ108" s="769"/>
      <c r="TQA108" s="769"/>
      <c r="TQB108" s="769"/>
      <c r="TQC108" s="769"/>
      <c r="TQD108" s="769"/>
      <c r="TQE108" s="769"/>
      <c r="TQF108" s="769"/>
      <c r="TQG108" s="769"/>
      <c r="TQH108" s="769"/>
      <c r="TQI108" s="769"/>
      <c r="TQJ108" s="769"/>
      <c r="TQK108" s="769"/>
      <c r="TQL108" s="769"/>
      <c r="TQM108" s="769"/>
      <c r="TQN108" s="769"/>
      <c r="TQO108" s="769"/>
      <c r="TQP108" s="769"/>
      <c r="TQQ108" s="769"/>
      <c r="TQR108" s="769"/>
      <c r="TQS108" s="769"/>
      <c r="TQT108" s="769"/>
      <c r="TQU108" s="769"/>
      <c r="TQV108" s="769"/>
      <c r="TQW108" s="769"/>
      <c r="TQX108" s="769"/>
      <c r="TQY108" s="769"/>
      <c r="TQZ108" s="769"/>
      <c r="TRA108" s="769"/>
      <c r="TRB108" s="769"/>
      <c r="TRC108" s="769"/>
      <c r="TRD108" s="769"/>
      <c r="TRE108" s="769"/>
      <c r="TRF108" s="769"/>
      <c r="TRG108" s="769"/>
      <c r="TRH108" s="769"/>
      <c r="TRI108" s="769"/>
      <c r="TRJ108" s="769"/>
      <c r="TRK108" s="769"/>
      <c r="TRL108" s="769"/>
      <c r="TRM108" s="769"/>
      <c r="TRN108" s="769"/>
      <c r="TRO108" s="769"/>
      <c r="TRP108" s="769"/>
      <c r="TRQ108" s="769"/>
      <c r="TRR108" s="769"/>
      <c r="TRS108" s="769"/>
      <c r="TRT108" s="769"/>
      <c r="TRU108" s="769"/>
      <c r="TRV108" s="769"/>
      <c r="TRW108" s="769"/>
      <c r="TRX108" s="769"/>
      <c r="TRY108" s="769"/>
      <c r="TRZ108" s="769"/>
      <c r="TSA108" s="769"/>
      <c r="TSB108" s="769"/>
      <c r="TSC108" s="769"/>
      <c r="TSD108" s="769"/>
      <c r="TSE108" s="769"/>
      <c r="TSF108" s="769"/>
      <c r="TSG108" s="769"/>
      <c r="TSH108" s="769"/>
      <c r="TSI108" s="769"/>
      <c r="TSJ108" s="769"/>
      <c r="TSK108" s="769"/>
      <c r="TSL108" s="769"/>
      <c r="TSM108" s="769"/>
      <c r="TSN108" s="769"/>
      <c r="TSO108" s="769"/>
      <c r="TSP108" s="769"/>
      <c r="TSQ108" s="769"/>
      <c r="TSR108" s="769"/>
      <c r="TSS108" s="769"/>
      <c r="TST108" s="769"/>
      <c r="TSU108" s="769"/>
      <c r="TSV108" s="769"/>
      <c r="TSW108" s="769"/>
      <c r="TSX108" s="769"/>
      <c r="TSY108" s="769"/>
      <c r="TSZ108" s="769"/>
      <c r="TTA108" s="769"/>
      <c r="TTB108" s="769"/>
      <c r="TTC108" s="769"/>
      <c r="TTD108" s="769"/>
      <c r="TTE108" s="769"/>
      <c r="TTF108" s="769"/>
      <c r="TTG108" s="769"/>
      <c r="TTH108" s="769"/>
      <c r="TTI108" s="769"/>
      <c r="TTJ108" s="769"/>
      <c r="TTK108" s="769"/>
      <c r="TTL108" s="769"/>
      <c r="TTM108" s="769"/>
      <c r="TTN108" s="769"/>
      <c r="TTO108" s="769"/>
      <c r="TTP108" s="769"/>
      <c r="TTQ108" s="769"/>
      <c r="TTR108" s="769"/>
      <c r="TTS108" s="769"/>
      <c r="TTT108" s="769"/>
      <c r="TTU108" s="769"/>
      <c r="TTV108" s="769"/>
      <c r="TTW108" s="769"/>
      <c r="TTX108" s="769"/>
      <c r="TTY108" s="769"/>
      <c r="TTZ108" s="769"/>
      <c r="TUA108" s="769"/>
      <c r="TUB108" s="769"/>
      <c r="TUC108" s="769"/>
      <c r="TUD108" s="769"/>
      <c r="TUE108" s="769"/>
      <c r="TUF108" s="769"/>
      <c r="TUG108" s="769"/>
      <c r="TUH108" s="769"/>
      <c r="TUI108" s="769"/>
      <c r="TUJ108" s="769"/>
      <c r="TUK108" s="769"/>
      <c r="TUL108" s="769"/>
      <c r="TUM108" s="769"/>
      <c r="TUN108" s="769"/>
      <c r="TUO108" s="769"/>
      <c r="TUP108" s="769"/>
      <c r="TUQ108" s="769"/>
      <c r="TUR108" s="769"/>
      <c r="TUS108" s="769"/>
      <c r="TUT108" s="769"/>
      <c r="TUU108" s="769"/>
      <c r="TUV108" s="769"/>
      <c r="TUW108" s="769"/>
      <c r="TUX108" s="769"/>
      <c r="TUY108" s="769"/>
      <c r="TUZ108" s="769"/>
      <c r="TVA108" s="769"/>
      <c r="TVB108" s="769"/>
      <c r="TVC108" s="769"/>
      <c r="TVD108" s="769"/>
      <c r="TVE108" s="769"/>
      <c r="TVF108" s="769"/>
      <c r="TVG108" s="769"/>
      <c r="TVH108" s="769"/>
      <c r="TVI108" s="769"/>
      <c r="TVJ108" s="769"/>
      <c r="TVK108" s="769"/>
      <c r="TVL108" s="769"/>
      <c r="TVM108" s="769"/>
      <c r="TVN108" s="769"/>
      <c r="TVO108" s="769"/>
      <c r="TVP108" s="769"/>
      <c r="TVQ108" s="769"/>
      <c r="TVR108" s="769"/>
      <c r="TVS108" s="769"/>
      <c r="TVT108" s="769"/>
      <c r="TVU108" s="769"/>
      <c r="TVV108" s="769"/>
      <c r="TVW108" s="769"/>
      <c r="TVX108" s="769"/>
      <c r="TVY108" s="769"/>
      <c r="TVZ108" s="769"/>
      <c r="TWA108" s="769"/>
      <c r="TWB108" s="769"/>
      <c r="TWC108" s="769"/>
      <c r="TWD108" s="769"/>
      <c r="TWE108" s="769"/>
      <c r="TWF108" s="769"/>
      <c r="TWG108" s="769"/>
      <c r="TWH108" s="769"/>
      <c r="TWI108" s="769"/>
      <c r="TWJ108" s="769"/>
      <c r="TWK108" s="769"/>
      <c r="TWL108" s="769"/>
      <c r="TWM108" s="769"/>
      <c r="TWN108" s="769"/>
      <c r="TWO108" s="769"/>
      <c r="TWP108" s="769"/>
      <c r="TWQ108" s="769"/>
      <c r="TWR108" s="769"/>
      <c r="TWS108" s="769"/>
      <c r="TWT108" s="769"/>
      <c r="TWU108" s="769"/>
      <c r="TWV108" s="769"/>
      <c r="TWW108" s="769"/>
      <c r="TWX108" s="769"/>
      <c r="TWY108" s="769"/>
      <c r="TWZ108" s="769"/>
      <c r="TXA108" s="769"/>
      <c r="TXB108" s="769"/>
      <c r="TXC108" s="769"/>
      <c r="TXD108" s="769"/>
      <c r="TXE108" s="769"/>
      <c r="TXF108" s="769"/>
      <c r="TXG108" s="769"/>
      <c r="TXH108" s="769"/>
      <c r="TXI108" s="769"/>
      <c r="TXJ108" s="769"/>
      <c r="TXK108" s="769"/>
      <c r="TXL108" s="769"/>
      <c r="TXM108" s="769"/>
      <c r="TXN108" s="769"/>
      <c r="TXO108" s="769"/>
      <c r="TXP108" s="769"/>
      <c r="TXQ108" s="769"/>
      <c r="TXR108" s="769"/>
      <c r="TXS108" s="769"/>
      <c r="TXT108" s="769"/>
      <c r="TXU108" s="769"/>
      <c r="TXV108" s="769"/>
      <c r="TXW108" s="769"/>
      <c r="TXX108" s="769"/>
      <c r="TXY108" s="769"/>
      <c r="TXZ108" s="769"/>
      <c r="TYA108" s="769"/>
      <c r="TYB108" s="769"/>
      <c r="TYC108" s="769"/>
      <c r="TYD108" s="769"/>
      <c r="TYE108" s="769"/>
      <c r="TYF108" s="769"/>
      <c r="TYG108" s="769"/>
      <c r="TYH108" s="769"/>
      <c r="TYI108" s="769"/>
      <c r="TYJ108" s="769"/>
      <c r="TYK108" s="769"/>
      <c r="TYL108" s="769"/>
      <c r="TYM108" s="769"/>
      <c r="TYN108" s="769"/>
      <c r="TYO108" s="769"/>
      <c r="TYP108" s="769"/>
      <c r="TYQ108" s="769"/>
      <c r="TYR108" s="769"/>
      <c r="TYS108" s="769"/>
      <c r="TYT108" s="769"/>
      <c r="TYU108" s="769"/>
      <c r="TYV108" s="769"/>
      <c r="TYW108" s="769"/>
      <c r="TYX108" s="769"/>
      <c r="TYY108" s="769"/>
      <c r="TYZ108" s="769"/>
      <c r="TZA108" s="769"/>
      <c r="TZB108" s="769"/>
      <c r="TZC108" s="769"/>
      <c r="TZD108" s="769"/>
      <c r="TZE108" s="769"/>
      <c r="TZF108" s="769"/>
      <c r="TZG108" s="769"/>
      <c r="TZH108" s="769"/>
      <c r="TZI108" s="769"/>
      <c r="TZJ108" s="769"/>
      <c r="TZK108" s="769"/>
      <c r="TZL108" s="769"/>
      <c r="TZM108" s="769"/>
      <c r="TZN108" s="769"/>
      <c r="TZO108" s="769"/>
      <c r="TZP108" s="769"/>
      <c r="TZQ108" s="769"/>
      <c r="TZR108" s="769"/>
      <c r="TZS108" s="769"/>
      <c r="TZT108" s="769"/>
      <c r="TZU108" s="769"/>
      <c r="TZV108" s="769"/>
      <c r="TZW108" s="769"/>
      <c r="TZX108" s="769"/>
      <c r="TZY108" s="769"/>
      <c r="TZZ108" s="769"/>
      <c r="UAA108" s="769"/>
      <c r="UAB108" s="769"/>
      <c r="UAC108" s="769"/>
      <c r="UAD108" s="769"/>
      <c r="UAE108" s="769"/>
      <c r="UAF108" s="769"/>
      <c r="UAG108" s="769"/>
      <c r="UAH108" s="769"/>
      <c r="UAI108" s="769"/>
      <c r="UAJ108" s="769"/>
      <c r="UAK108" s="769"/>
      <c r="UAL108" s="769"/>
      <c r="UAM108" s="769"/>
      <c r="UAN108" s="769"/>
      <c r="UAO108" s="769"/>
      <c r="UAP108" s="769"/>
      <c r="UAQ108" s="769"/>
      <c r="UAR108" s="769"/>
      <c r="UAS108" s="769"/>
      <c r="UAT108" s="769"/>
      <c r="UAU108" s="769"/>
      <c r="UAV108" s="769"/>
      <c r="UAW108" s="769"/>
      <c r="UAX108" s="769"/>
      <c r="UAY108" s="769"/>
      <c r="UAZ108" s="769"/>
      <c r="UBA108" s="769"/>
      <c r="UBB108" s="769"/>
      <c r="UBC108" s="769"/>
      <c r="UBD108" s="769"/>
      <c r="UBE108" s="769"/>
      <c r="UBF108" s="769"/>
      <c r="UBG108" s="769"/>
      <c r="UBH108" s="769"/>
      <c r="UBI108" s="769"/>
      <c r="UBJ108" s="769"/>
      <c r="UBK108" s="769"/>
      <c r="UBL108" s="769"/>
      <c r="UBM108" s="769"/>
      <c r="UBN108" s="769"/>
      <c r="UBO108" s="769"/>
      <c r="UBP108" s="769"/>
      <c r="UBQ108" s="769"/>
      <c r="UBR108" s="769"/>
      <c r="UBS108" s="769"/>
      <c r="UBT108" s="769"/>
      <c r="UBU108" s="769"/>
      <c r="UBV108" s="769"/>
      <c r="UBW108" s="769"/>
      <c r="UBX108" s="769"/>
      <c r="UBY108" s="769"/>
      <c r="UBZ108" s="769"/>
      <c r="UCA108" s="769"/>
      <c r="UCB108" s="769"/>
      <c r="UCC108" s="769"/>
      <c r="UCD108" s="769"/>
      <c r="UCE108" s="769"/>
      <c r="UCF108" s="769"/>
      <c r="UCG108" s="769"/>
      <c r="UCH108" s="769"/>
      <c r="UCI108" s="769"/>
      <c r="UCJ108" s="769"/>
      <c r="UCK108" s="769"/>
      <c r="UCL108" s="769"/>
      <c r="UCM108" s="769"/>
      <c r="UCN108" s="769"/>
      <c r="UCO108" s="769"/>
      <c r="UCP108" s="769"/>
      <c r="UCQ108" s="769"/>
      <c r="UCR108" s="769"/>
      <c r="UCS108" s="769"/>
      <c r="UCT108" s="769"/>
      <c r="UCU108" s="769"/>
      <c r="UCV108" s="769"/>
      <c r="UCW108" s="769"/>
      <c r="UCX108" s="769"/>
      <c r="UCY108" s="769"/>
      <c r="UCZ108" s="769"/>
      <c r="UDA108" s="769"/>
      <c r="UDB108" s="769"/>
      <c r="UDC108" s="769"/>
      <c r="UDD108" s="769"/>
      <c r="UDE108" s="769"/>
      <c r="UDF108" s="769"/>
      <c r="UDG108" s="769"/>
      <c r="UDH108" s="769"/>
      <c r="UDI108" s="769"/>
      <c r="UDJ108" s="769"/>
      <c r="UDK108" s="769"/>
      <c r="UDL108" s="769"/>
      <c r="UDM108" s="769"/>
      <c r="UDN108" s="769"/>
      <c r="UDO108" s="769"/>
      <c r="UDP108" s="769"/>
      <c r="UDQ108" s="769"/>
      <c r="UDR108" s="769"/>
      <c r="UDS108" s="769"/>
      <c r="UDT108" s="769"/>
      <c r="UDU108" s="769"/>
      <c r="UDV108" s="769"/>
      <c r="UDW108" s="769"/>
      <c r="UDX108" s="769"/>
      <c r="UDY108" s="769"/>
      <c r="UDZ108" s="769"/>
      <c r="UEA108" s="769"/>
      <c r="UEB108" s="769"/>
      <c r="UEC108" s="769"/>
      <c r="UED108" s="769"/>
      <c r="UEE108" s="769"/>
      <c r="UEF108" s="769"/>
      <c r="UEG108" s="769"/>
      <c r="UEH108" s="769"/>
      <c r="UEI108" s="769"/>
      <c r="UEJ108" s="769"/>
      <c r="UEK108" s="769"/>
      <c r="UEL108" s="769"/>
      <c r="UEM108" s="769"/>
      <c r="UEN108" s="769"/>
      <c r="UEO108" s="769"/>
      <c r="UEP108" s="769"/>
      <c r="UEQ108" s="769"/>
      <c r="UER108" s="769"/>
      <c r="UES108" s="769"/>
      <c r="UET108" s="769"/>
      <c r="UEU108" s="769"/>
      <c r="UEV108" s="769"/>
      <c r="UEW108" s="769"/>
      <c r="UEX108" s="769"/>
      <c r="UEY108" s="769"/>
      <c r="UEZ108" s="769"/>
      <c r="UFA108" s="769"/>
      <c r="UFB108" s="769"/>
      <c r="UFC108" s="769"/>
      <c r="UFD108" s="769"/>
      <c r="UFE108" s="769"/>
      <c r="UFF108" s="769"/>
      <c r="UFG108" s="769"/>
      <c r="UFH108" s="769"/>
      <c r="UFI108" s="769"/>
      <c r="UFJ108" s="769"/>
      <c r="UFK108" s="769"/>
      <c r="UFL108" s="769"/>
      <c r="UFM108" s="769"/>
      <c r="UFN108" s="769"/>
      <c r="UFO108" s="769"/>
      <c r="UFP108" s="769"/>
      <c r="UFQ108" s="769"/>
      <c r="UFR108" s="769"/>
      <c r="UFS108" s="769"/>
      <c r="UFT108" s="769"/>
      <c r="UFU108" s="769"/>
      <c r="UFV108" s="769"/>
      <c r="UFW108" s="769"/>
      <c r="UFX108" s="769"/>
      <c r="UFY108" s="769"/>
      <c r="UFZ108" s="769"/>
      <c r="UGA108" s="769"/>
      <c r="UGB108" s="769"/>
      <c r="UGC108" s="769"/>
      <c r="UGD108" s="769"/>
      <c r="UGE108" s="769"/>
      <c r="UGF108" s="769"/>
      <c r="UGG108" s="769"/>
      <c r="UGH108" s="769"/>
      <c r="UGI108" s="769"/>
      <c r="UGJ108" s="769"/>
      <c r="UGK108" s="769"/>
      <c r="UGL108" s="769"/>
      <c r="UGM108" s="769"/>
      <c r="UGN108" s="769"/>
      <c r="UGO108" s="769"/>
      <c r="UGP108" s="769"/>
      <c r="UGQ108" s="769"/>
      <c r="UGR108" s="769"/>
      <c r="UGS108" s="769"/>
      <c r="UGT108" s="769"/>
      <c r="UGU108" s="769"/>
      <c r="UGV108" s="769"/>
      <c r="UGW108" s="769"/>
      <c r="UGX108" s="769"/>
      <c r="UGY108" s="769"/>
      <c r="UGZ108" s="769"/>
      <c r="UHA108" s="769"/>
      <c r="UHB108" s="769"/>
      <c r="UHC108" s="769"/>
      <c r="UHD108" s="769"/>
      <c r="UHE108" s="769"/>
      <c r="UHF108" s="769"/>
      <c r="UHG108" s="769"/>
      <c r="UHH108" s="769"/>
      <c r="UHI108" s="769"/>
      <c r="UHJ108" s="769"/>
      <c r="UHK108" s="769"/>
      <c r="UHL108" s="769"/>
      <c r="UHM108" s="769"/>
      <c r="UHN108" s="769"/>
      <c r="UHO108" s="769"/>
      <c r="UHP108" s="769"/>
      <c r="UHQ108" s="769"/>
      <c r="UHR108" s="769"/>
      <c r="UHS108" s="769"/>
      <c r="UHT108" s="769"/>
      <c r="UHU108" s="769"/>
      <c r="UHV108" s="769"/>
      <c r="UHW108" s="769"/>
      <c r="UHX108" s="769"/>
      <c r="UHY108" s="769"/>
      <c r="UHZ108" s="769"/>
      <c r="UIA108" s="769"/>
      <c r="UIB108" s="769"/>
      <c r="UIC108" s="769"/>
      <c r="UID108" s="769"/>
      <c r="UIE108" s="769"/>
      <c r="UIF108" s="769"/>
      <c r="UIG108" s="769"/>
      <c r="UIH108" s="769"/>
      <c r="UII108" s="769"/>
      <c r="UIJ108" s="769"/>
      <c r="UIK108" s="769"/>
      <c r="UIL108" s="769"/>
      <c r="UIM108" s="769"/>
      <c r="UIN108" s="769"/>
      <c r="UIO108" s="769"/>
      <c r="UIP108" s="769"/>
      <c r="UIQ108" s="769"/>
      <c r="UIR108" s="769"/>
      <c r="UIS108" s="769"/>
      <c r="UIT108" s="769"/>
      <c r="UIU108" s="769"/>
      <c r="UIV108" s="769"/>
      <c r="UIW108" s="769"/>
      <c r="UIX108" s="769"/>
      <c r="UIY108" s="769"/>
      <c r="UIZ108" s="769"/>
      <c r="UJA108" s="769"/>
      <c r="UJB108" s="769"/>
      <c r="UJC108" s="769"/>
      <c r="UJD108" s="769"/>
      <c r="UJE108" s="769"/>
      <c r="UJF108" s="769"/>
      <c r="UJG108" s="769"/>
      <c r="UJH108" s="769"/>
      <c r="UJI108" s="769"/>
      <c r="UJJ108" s="769"/>
      <c r="UJK108" s="769"/>
      <c r="UJL108" s="769"/>
      <c r="UJM108" s="769"/>
      <c r="UJN108" s="769"/>
      <c r="UJO108" s="769"/>
      <c r="UJP108" s="769"/>
      <c r="UJQ108" s="769"/>
      <c r="UJR108" s="769"/>
      <c r="UJS108" s="769"/>
      <c r="UJT108" s="769"/>
      <c r="UJU108" s="769"/>
      <c r="UJV108" s="769"/>
      <c r="UJW108" s="769"/>
      <c r="UJX108" s="769"/>
      <c r="UJY108" s="769"/>
      <c r="UJZ108" s="769"/>
      <c r="UKA108" s="769"/>
      <c r="UKB108" s="769"/>
      <c r="UKC108" s="769"/>
      <c r="UKD108" s="769"/>
      <c r="UKE108" s="769"/>
      <c r="UKF108" s="769"/>
      <c r="UKG108" s="769"/>
      <c r="UKH108" s="769"/>
      <c r="UKI108" s="769"/>
      <c r="UKJ108" s="769"/>
      <c r="UKK108" s="769"/>
      <c r="UKL108" s="769"/>
      <c r="UKM108" s="769"/>
      <c r="UKN108" s="769"/>
      <c r="UKO108" s="769"/>
      <c r="UKP108" s="769"/>
      <c r="UKQ108" s="769"/>
      <c r="UKR108" s="769"/>
      <c r="UKS108" s="769"/>
      <c r="UKT108" s="769"/>
      <c r="UKU108" s="769"/>
      <c r="UKV108" s="769"/>
      <c r="UKW108" s="769"/>
      <c r="UKX108" s="769"/>
      <c r="UKY108" s="769"/>
      <c r="UKZ108" s="769"/>
      <c r="ULA108" s="769"/>
      <c r="ULB108" s="769"/>
      <c r="ULC108" s="769"/>
      <c r="ULD108" s="769"/>
      <c r="ULE108" s="769"/>
      <c r="ULF108" s="769"/>
      <c r="ULG108" s="769"/>
      <c r="ULH108" s="769"/>
      <c r="ULI108" s="769"/>
      <c r="ULJ108" s="769"/>
      <c r="ULK108" s="769"/>
      <c r="ULL108" s="769"/>
      <c r="ULM108" s="769"/>
      <c r="ULN108" s="769"/>
      <c r="ULO108" s="769"/>
      <c r="ULP108" s="769"/>
      <c r="ULQ108" s="769"/>
      <c r="ULR108" s="769"/>
      <c r="ULS108" s="769"/>
      <c r="ULT108" s="769"/>
      <c r="ULU108" s="769"/>
      <c r="ULV108" s="769"/>
      <c r="ULW108" s="769"/>
      <c r="ULX108" s="769"/>
      <c r="ULY108" s="769"/>
      <c r="ULZ108" s="769"/>
      <c r="UMA108" s="769"/>
      <c r="UMB108" s="769"/>
      <c r="UMC108" s="769"/>
      <c r="UMD108" s="769"/>
      <c r="UME108" s="769"/>
      <c r="UMF108" s="769"/>
      <c r="UMG108" s="769"/>
      <c r="UMH108" s="769"/>
      <c r="UMI108" s="769"/>
      <c r="UMJ108" s="769"/>
      <c r="UMK108" s="769"/>
      <c r="UML108" s="769"/>
      <c r="UMM108" s="769"/>
      <c r="UMN108" s="769"/>
      <c r="UMO108" s="769"/>
      <c r="UMP108" s="769"/>
      <c r="UMQ108" s="769"/>
      <c r="UMR108" s="769"/>
      <c r="UMS108" s="769"/>
      <c r="UMT108" s="769"/>
      <c r="UMU108" s="769"/>
      <c r="UMV108" s="769"/>
      <c r="UMW108" s="769"/>
      <c r="UMX108" s="769"/>
      <c r="UMY108" s="769"/>
      <c r="UMZ108" s="769"/>
      <c r="UNA108" s="769"/>
      <c r="UNB108" s="769"/>
      <c r="UNC108" s="769"/>
      <c r="UND108" s="769"/>
      <c r="UNE108" s="769"/>
      <c r="UNF108" s="769"/>
      <c r="UNG108" s="769"/>
      <c r="UNH108" s="769"/>
      <c r="UNI108" s="769"/>
      <c r="UNJ108" s="769"/>
      <c r="UNK108" s="769"/>
      <c r="UNL108" s="769"/>
      <c r="UNM108" s="769"/>
      <c r="UNN108" s="769"/>
      <c r="UNO108" s="769"/>
      <c r="UNP108" s="769"/>
      <c r="UNQ108" s="769"/>
      <c r="UNR108" s="769"/>
      <c r="UNS108" s="769"/>
      <c r="UNT108" s="769"/>
      <c r="UNU108" s="769"/>
      <c r="UNV108" s="769"/>
      <c r="UNW108" s="769"/>
      <c r="UNX108" s="769"/>
      <c r="UNY108" s="769"/>
      <c r="UNZ108" s="769"/>
      <c r="UOA108" s="769"/>
      <c r="UOB108" s="769"/>
      <c r="UOC108" s="769"/>
      <c r="UOD108" s="769"/>
      <c r="UOE108" s="769"/>
      <c r="UOF108" s="769"/>
      <c r="UOG108" s="769"/>
      <c r="UOH108" s="769"/>
      <c r="UOI108" s="769"/>
      <c r="UOJ108" s="769"/>
      <c r="UOK108" s="769"/>
      <c r="UOL108" s="769"/>
      <c r="UOM108" s="769"/>
      <c r="UON108" s="769"/>
      <c r="UOO108" s="769"/>
      <c r="UOP108" s="769"/>
      <c r="UOQ108" s="769"/>
      <c r="UOR108" s="769"/>
      <c r="UOS108" s="769"/>
      <c r="UOT108" s="769"/>
      <c r="UOU108" s="769"/>
      <c r="UOV108" s="769"/>
      <c r="UOW108" s="769"/>
      <c r="UOX108" s="769"/>
      <c r="UOY108" s="769"/>
      <c r="UOZ108" s="769"/>
      <c r="UPA108" s="769"/>
      <c r="UPB108" s="769"/>
      <c r="UPC108" s="769"/>
      <c r="UPD108" s="769"/>
      <c r="UPE108" s="769"/>
      <c r="UPF108" s="769"/>
      <c r="UPG108" s="769"/>
      <c r="UPH108" s="769"/>
      <c r="UPI108" s="769"/>
      <c r="UPJ108" s="769"/>
      <c r="UPK108" s="769"/>
      <c r="UPL108" s="769"/>
      <c r="UPM108" s="769"/>
      <c r="UPN108" s="769"/>
      <c r="UPO108" s="769"/>
      <c r="UPP108" s="769"/>
      <c r="UPQ108" s="769"/>
      <c r="UPR108" s="769"/>
      <c r="UPS108" s="769"/>
      <c r="UPT108" s="769"/>
      <c r="UPU108" s="769"/>
      <c r="UPV108" s="769"/>
      <c r="UPW108" s="769"/>
      <c r="UPX108" s="769"/>
      <c r="UPY108" s="769"/>
      <c r="UPZ108" s="769"/>
      <c r="UQA108" s="769"/>
      <c r="UQB108" s="769"/>
      <c r="UQC108" s="769"/>
      <c r="UQD108" s="769"/>
      <c r="UQE108" s="769"/>
      <c r="UQF108" s="769"/>
      <c r="UQG108" s="769"/>
      <c r="UQH108" s="769"/>
      <c r="UQI108" s="769"/>
      <c r="UQJ108" s="769"/>
      <c r="UQK108" s="769"/>
      <c r="UQL108" s="769"/>
      <c r="UQM108" s="769"/>
      <c r="UQN108" s="769"/>
      <c r="UQO108" s="769"/>
      <c r="UQP108" s="769"/>
      <c r="UQQ108" s="769"/>
      <c r="UQR108" s="769"/>
      <c r="UQS108" s="769"/>
      <c r="UQT108" s="769"/>
      <c r="UQU108" s="769"/>
      <c r="UQV108" s="769"/>
      <c r="UQW108" s="769"/>
      <c r="UQX108" s="769"/>
      <c r="UQY108" s="769"/>
      <c r="UQZ108" s="769"/>
      <c r="URA108" s="769"/>
      <c r="URB108" s="769"/>
      <c r="URC108" s="769"/>
      <c r="URD108" s="769"/>
      <c r="URE108" s="769"/>
      <c r="URF108" s="769"/>
      <c r="URG108" s="769"/>
      <c r="URH108" s="769"/>
      <c r="URI108" s="769"/>
      <c r="URJ108" s="769"/>
      <c r="URK108" s="769"/>
      <c r="URL108" s="769"/>
      <c r="URM108" s="769"/>
      <c r="URN108" s="769"/>
      <c r="URO108" s="769"/>
      <c r="URP108" s="769"/>
      <c r="URQ108" s="769"/>
      <c r="URR108" s="769"/>
      <c r="URS108" s="769"/>
      <c r="URT108" s="769"/>
      <c r="URU108" s="769"/>
      <c r="URV108" s="769"/>
      <c r="URW108" s="769"/>
      <c r="URX108" s="769"/>
      <c r="URY108" s="769"/>
      <c r="URZ108" s="769"/>
      <c r="USA108" s="769"/>
      <c r="USB108" s="769"/>
      <c r="USC108" s="769"/>
      <c r="USD108" s="769"/>
      <c r="USE108" s="769"/>
      <c r="USF108" s="769"/>
      <c r="USG108" s="769"/>
      <c r="USH108" s="769"/>
      <c r="USI108" s="769"/>
      <c r="USJ108" s="769"/>
      <c r="USK108" s="769"/>
      <c r="USL108" s="769"/>
      <c r="USM108" s="769"/>
      <c r="USN108" s="769"/>
      <c r="USO108" s="769"/>
      <c r="USP108" s="769"/>
      <c r="USQ108" s="769"/>
      <c r="USR108" s="769"/>
      <c r="USS108" s="769"/>
      <c r="UST108" s="769"/>
      <c r="USU108" s="769"/>
      <c r="USV108" s="769"/>
      <c r="USW108" s="769"/>
      <c r="USX108" s="769"/>
      <c r="USY108" s="769"/>
      <c r="USZ108" s="769"/>
      <c r="UTA108" s="769"/>
      <c r="UTB108" s="769"/>
      <c r="UTC108" s="769"/>
      <c r="UTD108" s="769"/>
      <c r="UTE108" s="769"/>
      <c r="UTF108" s="769"/>
      <c r="UTG108" s="769"/>
      <c r="UTH108" s="769"/>
      <c r="UTI108" s="769"/>
      <c r="UTJ108" s="769"/>
      <c r="UTK108" s="769"/>
      <c r="UTL108" s="769"/>
      <c r="UTM108" s="769"/>
      <c r="UTN108" s="769"/>
      <c r="UTO108" s="769"/>
      <c r="UTP108" s="769"/>
      <c r="UTQ108" s="769"/>
      <c r="UTR108" s="769"/>
      <c r="UTS108" s="769"/>
      <c r="UTT108" s="769"/>
      <c r="UTU108" s="769"/>
      <c r="UTV108" s="769"/>
      <c r="UTW108" s="769"/>
      <c r="UTX108" s="769"/>
      <c r="UTY108" s="769"/>
      <c r="UTZ108" s="769"/>
      <c r="UUA108" s="769"/>
      <c r="UUB108" s="769"/>
      <c r="UUC108" s="769"/>
      <c r="UUD108" s="769"/>
      <c r="UUE108" s="769"/>
      <c r="UUF108" s="769"/>
      <c r="UUG108" s="769"/>
      <c r="UUH108" s="769"/>
      <c r="UUI108" s="769"/>
      <c r="UUJ108" s="769"/>
      <c r="UUK108" s="769"/>
      <c r="UUL108" s="769"/>
      <c r="UUM108" s="769"/>
      <c r="UUN108" s="769"/>
      <c r="UUO108" s="769"/>
      <c r="UUP108" s="769"/>
      <c r="UUQ108" s="769"/>
      <c r="UUR108" s="769"/>
      <c r="UUS108" s="769"/>
      <c r="UUT108" s="769"/>
      <c r="UUU108" s="769"/>
      <c r="UUV108" s="769"/>
      <c r="UUW108" s="769"/>
      <c r="UUX108" s="769"/>
      <c r="UUY108" s="769"/>
      <c r="UUZ108" s="769"/>
      <c r="UVA108" s="769"/>
      <c r="UVB108" s="769"/>
      <c r="UVC108" s="769"/>
      <c r="UVD108" s="769"/>
      <c r="UVE108" s="769"/>
      <c r="UVF108" s="769"/>
      <c r="UVG108" s="769"/>
      <c r="UVH108" s="769"/>
      <c r="UVI108" s="769"/>
      <c r="UVJ108" s="769"/>
      <c r="UVK108" s="769"/>
      <c r="UVL108" s="769"/>
      <c r="UVM108" s="769"/>
      <c r="UVN108" s="769"/>
      <c r="UVO108" s="769"/>
      <c r="UVP108" s="769"/>
      <c r="UVQ108" s="769"/>
      <c r="UVR108" s="769"/>
      <c r="UVS108" s="769"/>
      <c r="UVT108" s="769"/>
      <c r="UVU108" s="769"/>
      <c r="UVV108" s="769"/>
      <c r="UVW108" s="769"/>
      <c r="UVX108" s="769"/>
      <c r="UVY108" s="769"/>
      <c r="UVZ108" s="769"/>
      <c r="UWA108" s="769"/>
      <c r="UWB108" s="769"/>
      <c r="UWC108" s="769"/>
      <c r="UWD108" s="769"/>
      <c r="UWE108" s="769"/>
      <c r="UWF108" s="769"/>
      <c r="UWG108" s="769"/>
      <c r="UWH108" s="769"/>
      <c r="UWI108" s="769"/>
      <c r="UWJ108" s="769"/>
      <c r="UWK108" s="769"/>
      <c r="UWL108" s="769"/>
      <c r="UWM108" s="769"/>
      <c r="UWN108" s="769"/>
      <c r="UWO108" s="769"/>
      <c r="UWP108" s="769"/>
      <c r="UWQ108" s="769"/>
      <c r="UWR108" s="769"/>
      <c r="UWS108" s="769"/>
      <c r="UWT108" s="769"/>
      <c r="UWU108" s="769"/>
      <c r="UWV108" s="769"/>
      <c r="UWW108" s="769"/>
      <c r="UWX108" s="769"/>
      <c r="UWY108" s="769"/>
      <c r="UWZ108" s="769"/>
      <c r="UXA108" s="769"/>
      <c r="UXB108" s="769"/>
      <c r="UXC108" s="769"/>
      <c r="UXD108" s="769"/>
      <c r="UXE108" s="769"/>
      <c r="UXF108" s="769"/>
      <c r="UXG108" s="769"/>
      <c r="UXH108" s="769"/>
      <c r="UXI108" s="769"/>
      <c r="UXJ108" s="769"/>
      <c r="UXK108" s="769"/>
      <c r="UXL108" s="769"/>
      <c r="UXM108" s="769"/>
      <c r="UXN108" s="769"/>
      <c r="UXO108" s="769"/>
      <c r="UXP108" s="769"/>
      <c r="UXQ108" s="769"/>
      <c r="UXR108" s="769"/>
      <c r="UXS108" s="769"/>
      <c r="UXT108" s="769"/>
      <c r="UXU108" s="769"/>
      <c r="UXV108" s="769"/>
      <c r="UXW108" s="769"/>
      <c r="UXX108" s="769"/>
      <c r="UXY108" s="769"/>
      <c r="UXZ108" s="769"/>
      <c r="UYA108" s="769"/>
      <c r="UYB108" s="769"/>
      <c r="UYC108" s="769"/>
      <c r="UYD108" s="769"/>
      <c r="UYE108" s="769"/>
      <c r="UYF108" s="769"/>
      <c r="UYG108" s="769"/>
      <c r="UYH108" s="769"/>
      <c r="UYI108" s="769"/>
      <c r="UYJ108" s="769"/>
      <c r="UYK108" s="769"/>
      <c r="UYL108" s="769"/>
      <c r="UYM108" s="769"/>
      <c r="UYN108" s="769"/>
      <c r="UYO108" s="769"/>
      <c r="UYP108" s="769"/>
      <c r="UYQ108" s="769"/>
      <c r="UYR108" s="769"/>
      <c r="UYS108" s="769"/>
      <c r="UYT108" s="769"/>
      <c r="UYU108" s="769"/>
      <c r="UYV108" s="769"/>
      <c r="UYW108" s="769"/>
      <c r="UYX108" s="769"/>
      <c r="UYY108" s="769"/>
      <c r="UYZ108" s="769"/>
      <c r="UZA108" s="769"/>
      <c r="UZB108" s="769"/>
      <c r="UZC108" s="769"/>
      <c r="UZD108" s="769"/>
      <c r="UZE108" s="769"/>
      <c r="UZF108" s="769"/>
      <c r="UZG108" s="769"/>
      <c r="UZH108" s="769"/>
      <c r="UZI108" s="769"/>
      <c r="UZJ108" s="769"/>
      <c r="UZK108" s="769"/>
      <c r="UZL108" s="769"/>
      <c r="UZM108" s="769"/>
      <c r="UZN108" s="769"/>
      <c r="UZO108" s="769"/>
      <c r="UZP108" s="769"/>
      <c r="UZQ108" s="769"/>
      <c r="UZR108" s="769"/>
      <c r="UZS108" s="769"/>
      <c r="UZT108" s="769"/>
      <c r="UZU108" s="769"/>
      <c r="UZV108" s="769"/>
      <c r="UZW108" s="769"/>
      <c r="UZX108" s="769"/>
      <c r="UZY108" s="769"/>
      <c r="UZZ108" s="769"/>
      <c r="VAA108" s="769"/>
      <c r="VAB108" s="769"/>
      <c r="VAC108" s="769"/>
      <c r="VAD108" s="769"/>
      <c r="VAE108" s="769"/>
      <c r="VAF108" s="769"/>
      <c r="VAG108" s="769"/>
      <c r="VAH108" s="769"/>
      <c r="VAI108" s="769"/>
      <c r="VAJ108" s="769"/>
      <c r="VAK108" s="769"/>
      <c r="VAL108" s="769"/>
      <c r="VAM108" s="769"/>
      <c r="VAN108" s="769"/>
      <c r="VAO108" s="769"/>
      <c r="VAP108" s="769"/>
      <c r="VAQ108" s="769"/>
      <c r="VAR108" s="769"/>
      <c r="VAS108" s="769"/>
      <c r="VAT108" s="769"/>
      <c r="VAU108" s="769"/>
      <c r="VAV108" s="769"/>
      <c r="VAW108" s="769"/>
      <c r="VAX108" s="769"/>
      <c r="VAY108" s="769"/>
      <c r="VAZ108" s="769"/>
      <c r="VBA108" s="769"/>
      <c r="VBB108" s="769"/>
      <c r="VBC108" s="769"/>
      <c r="VBD108" s="769"/>
      <c r="VBE108" s="769"/>
      <c r="VBF108" s="769"/>
      <c r="VBG108" s="769"/>
      <c r="VBH108" s="769"/>
      <c r="VBI108" s="769"/>
      <c r="VBJ108" s="769"/>
      <c r="VBK108" s="769"/>
      <c r="VBL108" s="769"/>
      <c r="VBM108" s="769"/>
      <c r="VBN108" s="769"/>
      <c r="VBO108" s="769"/>
      <c r="VBP108" s="769"/>
      <c r="VBQ108" s="769"/>
      <c r="VBR108" s="769"/>
      <c r="VBS108" s="769"/>
      <c r="VBT108" s="769"/>
      <c r="VBU108" s="769"/>
      <c r="VBV108" s="769"/>
      <c r="VBW108" s="769"/>
      <c r="VBX108" s="769"/>
      <c r="VBY108" s="769"/>
      <c r="VBZ108" s="769"/>
      <c r="VCA108" s="769"/>
      <c r="VCB108" s="769"/>
      <c r="VCC108" s="769"/>
      <c r="VCD108" s="769"/>
      <c r="VCE108" s="769"/>
      <c r="VCF108" s="769"/>
      <c r="VCG108" s="769"/>
      <c r="VCH108" s="769"/>
      <c r="VCI108" s="769"/>
      <c r="VCJ108" s="769"/>
      <c r="VCK108" s="769"/>
      <c r="VCL108" s="769"/>
      <c r="VCM108" s="769"/>
      <c r="VCN108" s="769"/>
      <c r="VCO108" s="769"/>
      <c r="VCP108" s="769"/>
      <c r="VCQ108" s="769"/>
      <c r="VCR108" s="769"/>
      <c r="VCS108" s="769"/>
      <c r="VCT108" s="769"/>
      <c r="VCU108" s="769"/>
      <c r="VCV108" s="769"/>
      <c r="VCW108" s="769"/>
      <c r="VCX108" s="769"/>
      <c r="VCY108" s="769"/>
      <c r="VCZ108" s="769"/>
      <c r="VDA108" s="769"/>
      <c r="VDB108" s="769"/>
      <c r="VDC108" s="769"/>
      <c r="VDD108" s="769"/>
      <c r="VDE108" s="769"/>
      <c r="VDF108" s="769"/>
      <c r="VDG108" s="769"/>
      <c r="VDH108" s="769"/>
      <c r="VDI108" s="769"/>
      <c r="VDJ108" s="769"/>
      <c r="VDK108" s="769"/>
      <c r="VDL108" s="769"/>
      <c r="VDM108" s="769"/>
      <c r="VDN108" s="769"/>
      <c r="VDO108" s="769"/>
      <c r="VDP108" s="769"/>
      <c r="VDQ108" s="769"/>
      <c r="VDR108" s="769"/>
      <c r="VDS108" s="769"/>
      <c r="VDT108" s="769"/>
      <c r="VDU108" s="769"/>
      <c r="VDV108" s="769"/>
      <c r="VDW108" s="769"/>
      <c r="VDX108" s="769"/>
      <c r="VDY108" s="769"/>
      <c r="VDZ108" s="769"/>
      <c r="VEA108" s="769"/>
      <c r="VEB108" s="769"/>
      <c r="VEC108" s="769"/>
      <c r="VED108" s="769"/>
      <c r="VEE108" s="769"/>
      <c r="VEF108" s="769"/>
      <c r="VEG108" s="769"/>
      <c r="VEH108" s="769"/>
      <c r="VEI108" s="769"/>
      <c r="VEJ108" s="769"/>
      <c r="VEK108" s="769"/>
      <c r="VEL108" s="769"/>
      <c r="VEM108" s="769"/>
      <c r="VEN108" s="769"/>
      <c r="VEO108" s="769"/>
      <c r="VEP108" s="769"/>
      <c r="VEQ108" s="769"/>
      <c r="VER108" s="769"/>
      <c r="VES108" s="769"/>
      <c r="VET108" s="769"/>
      <c r="VEU108" s="769"/>
      <c r="VEV108" s="769"/>
      <c r="VEW108" s="769"/>
      <c r="VEX108" s="769"/>
      <c r="VEY108" s="769"/>
      <c r="VEZ108" s="769"/>
      <c r="VFA108" s="769"/>
      <c r="VFB108" s="769"/>
      <c r="VFC108" s="769"/>
      <c r="VFD108" s="769"/>
      <c r="VFE108" s="769"/>
      <c r="VFF108" s="769"/>
      <c r="VFG108" s="769"/>
      <c r="VFH108" s="769"/>
      <c r="VFI108" s="769"/>
      <c r="VFJ108" s="769"/>
      <c r="VFK108" s="769"/>
      <c r="VFL108" s="769"/>
      <c r="VFM108" s="769"/>
      <c r="VFN108" s="769"/>
      <c r="VFO108" s="769"/>
      <c r="VFP108" s="769"/>
      <c r="VFQ108" s="769"/>
      <c r="VFR108" s="769"/>
      <c r="VFS108" s="769"/>
      <c r="VFT108" s="769"/>
      <c r="VFU108" s="769"/>
      <c r="VFV108" s="769"/>
      <c r="VFW108" s="769"/>
      <c r="VFX108" s="769"/>
      <c r="VFY108" s="769"/>
      <c r="VFZ108" s="769"/>
      <c r="VGA108" s="769"/>
      <c r="VGB108" s="769"/>
      <c r="VGC108" s="769"/>
      <c r="VGD108" s="769"/>
      <c r="VGE108" s="769"/>
      <c r="VGF108" s="769"/>
      <c r="VGG108" s="769"/>
      <c r="VGH108" s="769"/>
      <c r="VGI108" s="769"/>
      <c r="VGJ108" s="769"/>
      <c r="VGK108" s="769"/>
      <c r="VGL108" s="769"/>
      <c r="VGM108" s="769"/>
      <c r="VGN108" s="769"/>
      <c r="VGO108" s="769"/>
      <c r="VGP108" s="769"/>
      <c r="VGQ108" s="769"/>
      <c r="VGR108" s="769"/>
      <c r="VGS108" s="769"/>
      <c r="VGT108" s="769"/>
      <c r="VGU108" s="769"/>
      <c r="VGV108" s="769"/>
      <c r="VGW108" s="769"/>
      <c r="VGX108" s="769"/>
      <c r="VGY108" s="769"/>
      <c r="VGZ108" s="769"/>
      <c r="VHA108" s="769"/>
      <c r="VHB108" s="769"/>
      <c r="VHC108" s="769"/>
      <c r="VHD108" s="769"/>
      <c r="VHE108" s="769"/>
      <c r="VHF108" s="769"/>
      <c r="VHG108" s="769"/>
      <c r="VHH108" s="769"/>
      <c r="VHI108" s="769"/>
      <c r="VHJ108" s="769"/>
      <c r="VHK108" s="769"/>
      <c r="VHL108" s="769"/>
      <c r="VHM108" s="769"/>
      <c r="VHN108" s="769"/>
      <c r="VHO108" s="769"/>
      <c r="VHP108" s="769"/>
      <c r="VHQ108" s="769"/>
      <c r="VHR108" s="769"/>
      <c r="VHS108" s="769"/>
      <c r="VHT108" s="769"/>
      <c r="VHU108" s="769"/>
      <c r="VHV108" s="769"/>
      <c r="VHW108" s="769"/>
      <c r="VHX108" s="769"/>
      <c r="VHY108" s="769"/>
      <c r="VHZ108" s="769"/>
      <c r="VIA108" s="769"/>
      <c r="VIB108" s="769"/>
      <c r="VIC108" s="769"/>
      <c r="VID108" s="769"/>
      <c r="VIE108" s="769"/>
      <c r="VIF108" s="769"/>
      <c r="VIG108" s="769"/>
      <c r="VIH108" s="769"/>
      <c r="VII108" s="769"/>
      <c r="VIJ108" s="769"/>
      <c r="VIK108" s="769"/>
      <c r="VIL108" s="769"/>
      <c r="VIM108" s="769"/>
      <c r="VIN108" s="769"/>
      <c r="VIO108" s="769"/>
      <c r="VIP108" s="769"/>
      <c r="VIQ108" s="769"/>
      <c r="VIR108" s="769"/>
      <c r="VIS108" s="769"/>
      <c r="VIT108" s="769"/>
      <c r="VIU108" s="769"/>
      <c r="VIV108" s="769"/>
      <c r="VIW108" s="769"/>
      <c r="VIX108" s="769"/>
      <c r="VIY108" s="769"/>
      <c r="VIZ108" s="769"/>
      <c r="VJA108" s="769"/>
      <c r="VJB108" s="769"/>
      <c r="VJC108" s="769"/>
      <c r="VJD108" s="769"/>
      <c r="VJE108" s="769"/>
      <c r="VJF108" s="769"/>
      <c r="VJG108" s="769"/>
      <c r="VJH108" s="769"/>
      <c r="VJI108" s="769"/>
      <c r="VJJ108" s="769"/>
      <c r="VJK108" s="769"/>
      <c r="VJL108" s="769"/>
      <c r="VJM108" s="769"/>
      <c r="VJN108" s="769"/>
      <c r="VJO108" s="769"/>
      <c r="VJP108" s="769"/>
      <c r="VJQ108" s="769"/>
      <c r="VJR108" s="769"/>
      <c r="VJS108" s="769"/>
      <c r="VJT108" s="769"/>
      <c r="VJU108" s="769"/>
      <c r="VJV108" s="769"/>
      <c r="VJW108" s="769"/>
      <c r="VJX108" s="769"/>
      <c r="VJY108" s="769"/>
      <c r="VJZ108" s="769"/>
      <c r="VKA108" s="769"/>
      <c r="VKB108" s="769"/>
      <c r="VKC108" s="769"/>
      <c r="VKD108" s="769"/>
      <c r="VKE108" s="769"/>
      <c r="VKF108" s="769"/>
      <c r="VKG108" s="769"/>
      <c r="VKH108" s="769"/>
      <c r="VKI108" s="769"/>
      <c r="VKJ108" s="769"/>
      <c r="VKK108" s="769"/>
      <c r="VKL108" s="769"/>
      <c r="VKM108" s="769"/>
      <c r="VKN108" s="769"/>
      <c r="VKO108" s="769"/>
      <c r="VKP108" s="769"/>
      <c r="VKQ108" s="769"/>
      <c r="VKR108" s="769"/>
      <c r="VKS108" s="769"/>
      <c r="VKT108" s="769"/>
      <c r="VKU108" s="769"/>
      <c r="VKV108" s="769"/>
      <c r="VKW108" s="769"/>
      <c r="VKX108" s="769"/>
      <c r="VKY108" s="769"/>
      <c r="VKZ108" s="769"/>
      <c r="VLA108" s="769"/>
      <c r="VLB108" s="769"/>
      <c r="VLC108" s="769"/>
      <c r="VLD108" s="769"/>
      <c r="VLE108" s="769"/>
      <c r="VLF108" s="769"/>
      <c r="VLG108" s="769"/>
      <c r="VLH108" s="769"/>
      <c r="VLI108" s="769"/>
      <c r="VLJ108" s="769"/>
      <c r="VLK108" s="769"/>
      <c r="VLL108" s="769"/>
      <c r="VLM108" s="769"/>
      <c r="VLN108" s="769"/>
      <c r="VLO108" s="769"/>
      <c r="VLP108" s="769"/>
      <c r="VLQ108" s="769"/>
      <c r="VLR108" s="769"/>
      <c r="VLS108" s="769"/>
      <c r="VLT108" s="769"/>
      <c r="VLU108" s="769"/>
      <c r="VLV108" s="769"/>
      <c r="VLW108" s="769"/>
      <c r="VLX108" s="769"/>
      <c r="VLY108" s="769"/>
      <c r="VLZ108" s="769"/>
      <c r="VMA108" s="769"/>
      <c r="VMB108" s="769"/>
      <c r="VMC108" s="769"/>
      <c r="VMD108" s="769"/>
      <c r="VME108" s="769"/>
      <c r="VMF108" s="769"/>
      <c r="VMG108" s="769"/>
      <c r="VMH108" s="769"/>
      <c r="VMI108" s="769"/>
      <c r="VMJ108" s="769"/>
      <c r="VMK108" s="769"/>
      <c r="VML108" s="769"/>
      <c r="VMM108" s="769"/>
      <c r="VMN108" s="769"/>
      <c r="VMO108" s="769"/>
      <c r="VMP108" s="769"/>
      <c r="VMQ108" s="769"/>
      <c r="VMR108" s="769"/>
      <c r="VMS108" s="769"/>
      <c r="VMT108" s="769"/>
      <c r="VMU108" s="769"/>
      <c r="VMV108" s="769"/>
      <c r="VMW108" s="769"/>
      <c r="VMX108" s="769"/>
      <c r="VMY108" s="769"/>
      <c r="VMZ108" s="769"/>
      <c r="VNA108" s="769"/>
      <c r="VNB108" s="769"/>
      <c r="VNC108" s="769"/>
      <c r="VND108" s="769"/>
      <c r="VNE108" s="769"/>
      <c r="VNF108" s="769"/>
      <c r="VNG108" s="769"/>
      <c r="VNH108" s="769"/>
      <c r="VNI108" s="769"/>
      <c r="VNJ108" s="769"/>
      <c r="VNK108" s="769"/>
      <c r="VNL108" s="769"/>
      <c r="VNM108" s="769"/>
      <c r="VNN108" s="769"/>
      <c r="VNO108" s="769"/>
      <c r="VNP108" s="769"/>
      <c r="VNQ108" s="769"/>
      <c r="VNR108" s="769"/>
      <c r="VNS108" s="769"/>
      <c r="VNT108" s="769"/>
      <c r="VNU108" s="769"/>
      <c r="VNV108" s="769"/>
      <c r="VNW108" s="769"/>
      <c r="VNX108" s="769"/>
      <c r="VNY108" s="769"/>
      <c r="VNZ108" s="769"/>
      <c r="VOA108" s="769"/>
      <c r="VOB108" s="769"/>
      <c r="VOC108" s="769"/>
      <c r="VOD108" s="769"/>
      <c r="VOE108" s="769"/>
      <c r="VOF108" s="769"/>
      <c r="VOG108" s="769"/>
      <c r="VOH108" s="769"/>
      <c r="VOI108" s="769"/>
      <c r="VOJ108" s="769"/>
      <c r="VOK108" s="769"/>
      <c r="VOL108" s="769"/>
      <c r="VOM108" s="769"/>
      <c r="VON108" s="769"/>
      <c r="VOO108" s="769"/>
      <c r="VOP108" s="769"/>
      <c r="VOQ108" s="769"/>
      <c r="VOR108" s="769"/>
      <c r="VOS108" s="769"/>
      <c r="VOT108" s="769"/>
      <c r="VOU108" s="769"/>
      <c r="VOV108" s="769"/>
      <c r="VOW108" s="769"/>
      <c r="VOX108" s="769"/>
      <c r="VOY108" s="769"/>
      <c r="VOZ108" s="769"/>
      <c r="VPA108" s="769"/>
      <c r="VPB108" s="769"/>
      <c r="VPC108" s="769"/>
      <c r="VPD108" s="769"/>
      <c r="VPE108" s="769"/>
      <c r="VPF108" s="769"/>
      <c r="VPG108" s="769"/>
      <c r="VPH108" s="769"/>
      <c r="VPI108" s="769"/>
      <c r="VPJ108" s="769"/>
      <c r="VPK108" s="769"/>
      <c r="VPL108" s="769"/>
      <c r="VPM108" s="769"/>
      <c r="VPN108" s="769"/>
      <c r="VPO108" s="769"/>
      <c r="VPP108" s="769"/>
      <c r="VPQ108" s="769"/>
      <c r="VPR108" s="769"/>
      <c r="VPS108" s="769"/>
      <c r="VPT108" s="769"/>
      <c r="VPU108" s="769"/>
      <c r="VPV108" s="769"/>
      <c r="VPW108" s="769"/>
      <c r="VPX108" s="769"/>
      <c r="VPY108" s="769"/>
      <c r="VPZ108" s="769"/>
      <c r="VQA108" s="769"/>
      <c r="VQB108" s="769"/>
      <c r="VQC108" s="769"/>
      <c r="VQD108" s="769"/>
      <c r="VQE108" s="769"/>
      <c r="VQF108" s="769"/>
      <c r="VQG108" s="769"/>
      <c r="VQH108" s="769"/>
      <c r="VQI108" s="769"/>
      <c r="VQJ108" s="769"/>
      <c r="VQK108" s="769"/>
      <c r="VQL108" s="769"/>
      <c r="VQM108" s="769"/>
      <c r="VQN108" s="769"/>
      <c r="VQO108" s="769"/>
      <c r="VQP108" s="769"/>
      <c r="VQQ108" s="769"/>
      <c r="VQR108" s="769"/>
      <c r="VQS108" s="769"/>
      <c r="VQT108" s="769"/>
      <c r="VQU108" s="769"/>
      <c r="VQV108" s="769"/>
      <c r="VQW108" s="769"/>
      <c r="VQX108" s="769"/>
      <c r="VQY108" s="769"/>
      <c r="VQZ108" s="769"/>
      <c r="VRA108" s="769"/>
      <c r="VRB108" s="769"/>
      <c r="VRC108" s="769"/>
      <c r="VRD108" s="769"/>
      <c r="VRE108" s="769"/>
      <c r="VRF108" s="769"/>
      <c r="VRG108" s="769"/>
      <c r="VRH108" s="769"/>
      <c r="VRI108" s="769"/>
      <c r="VRJ108" s="769"/>
      <c r="VRK108" s="769"/>
      <c r="VRL108" s="769"/>
      <c r="VRM108" s="769"/>
      <c r="VRN108" s="769"/>
      <c r="VRO108" s="769"/>
      <c r="VRP108" s="769"/>
      <c r="VRQ108" s="769"/>
      <c r="VRR108" s="769"/>
      <c r="VRS108" s="769"/>
      <c r="VRT108" s="769"/>
      <c r="VRU108" s="769"/>
      <c r="VRV108" s="769"/>
      <c r="VRW108" s="769"/>
      <c r="VRX108" s="769"/>
      <c r="VRY108" s="769"/>
      <c r="VRZ108" s="769"/>
      <c r="VSA108" s="769"/>
      <c r="VSB108" s="769"/>
      <c r="VSC108" s="769"/>
      <c r="VSD108" s="769"/>
      <c r="VSE108" s="769"/>
      <c r="VSF108" s="769"/>
      <c r="VSG108" s="769"/>
      <c r="VSH108" s="769"/>
      <c r="VSI108" s="769"/>
      <c r="VSJ108" s="769"/>
      <c r="VSK108" s="769"/>
      <c r="VSL108" s="769"/>
      <c r="VSM108" s="769"/>
      <c r="VSN108" s="769"/>
      <c r="VSO108" s="769"/>
      <c r="VSP108" s="769"/>
      <c r="VSQ108" s="769"/>
      <c r="VSR108" s="769"/>
      <c r="VSS108" s="769"/>
      <c r="VST108" s="769"/>
      <c r="VSU108" s="769"/>
      <c r="VSV108" s="769"/>
      <c r="VSW108" s="769"/>
      <c r="VSX108" s="769"/>
      <c r="VSY108" s="769"/>
      <c r="VSZ108" s="769"/>
      <c r="VTA108" s="769"/>
      <c r="VTB108" s="769"/>
      <c r="VTC108" s="769"/>
      <c r="VTD108" s="769"/>
      <c r="VTE108" s="769"/>
      <c r="VTF108" s="769"/>
      <c r="VTG108" s="769"/>
      <c r="VTH108" s="769"/>
      <c r="VTI108" s="769"/>
      <c r="VTJ108" s="769"/>
      <c r="VTK108" s="769"/>
      <c r="VTL108" s="769"/>
      <c r="VTM108" s="769"/>
      <c r="VTN108" s="769"/>
      <c r="VTO108" s="769"/>
      <c r="VTP108" s="769"/>
      <c r="VTQ108" s="769"/>
      <c r="VTR108" s="769"/>
      <c r="VTS108" s="769"/>
      <c r="VTT108" s="769"/>
      <c r="VTU108" s="769"/>
      <c r="VTV108" s="769"/>
      <c r="VTW108" s="769"/>
      <c r="VTX108" s="769"/>
      <c r="VTY108" s="769"/>
      <c r="VTZ108" s="769"/>
      <c r="VUA108" s="769"/>
      <c r="VUB108" s="769"/>
      <c r="VUC108" s="769"/>
      <c r="VUD108" s="769"/>
      <c r="VUE108" s="769"/>
      <c r="VUF108" s="769"/>
      <c r="VUG108" s="769"/>
      <c r="VUH108" s="769"/>
      <c r="VUI108" s="769"/>
      <c r="VUJ108" s="769"/>
      <c r="VUK108" s="769"/>
      <c r="VUL108" s="769"/>
      <c r="VUM108" s="769"/>
      <c r="VUN108" s="769"/>
      <c r="VUO108" s="769"/>
      <c r="VUP108" s="769"/>
      <c r="VUQ108" s="769"/>
      <c r="VUR108" s="769"/>
      <c r="VUS108" s="769"/>
      <c r="VUT108" s="769"/>
      <c r="VUU108" s="769"/>
      <c r="VUV108" s="769"/>
      <c r="VUW108" s="769"/>
      <c r="VUX108" s="769"/>
      <c r="VUY108" s="769"/>
      <c r="VUZ108" s="769"/>
      <c r="VVA108" s="769"/>
      <c r="VVB108" s="769"/>
      <c r="VVC108" s="769"/>
      <c r="VVD108" s="769"/>
      <c r="VVE108" s="769"/>
      <c r="VVF108" s="769"/>
      <c r="VVG108" s="769"/>
      <c r="VVH108" s="769"/>
      <c r="VVI108" s="769"/>
      <c r="VVJ108" s="769"/>
      <c r="VVK108" s="769"/>
      <c r="VVL108" s="769"/>
      <c r="VVM108" s="769"/>
      <c r="VVN108" s="769"/>
      <c r="VVO108" s="769"/>
      <c r="VVP108" s="769"/>
      <c r="VVQ108" s="769"/>
      <c r="VVR108" s="769"/>
      <c r="VVS108" s="769"/>
      <c r="VVT108" s="769"/>
      <c r="VVU108" s="769"/>
      <c r="VVV108" s="769"/>
      <c r="VVW108" s="769"/>
      <c r="VVX108" s="769"/>
      <c r="VVY108" s="769"/>
      <c r="VVZ108" s="769"/>
      <c r="VWA108" s="769"/>
      <c r="VWB108" s="769"/>
      <c r="VWC108" s="769"/>
      <c r="VWD108" s="769"/>
      <c r="VWE108" s="769"/>
      <c r="VWF108" s="769"/>
      <c r="VWG108" s="769"/>
      <c r="VWH108" s="769"/>
      <c r="VWI108" s="769"/>
      <c r="VWJ108" s="769"/>
      <c r="VWK108" s="769"/>
      <c r="VWL108" s="769"/>
      <c r="VWM108" s="769"/>
      <c r="VWN108" s="769"/>
      <c r="VWO108" s="769"/>
      <c r="VWP108" s="769"/>
      <c r="VWQ108" s="769"/>
      <c r="VWR108" s="769"/>
      <c r="VWS108" s="769"/>
      <c r="VWT108" s="769"/>
      <c r="VWU108" s="769"/>
      <c r="VWV108" s="769"/>
      <c r="VWW108" s="769"/>
      <c r="VWX108" s="769"/>
      <c r="VWY108" s="769"/>
      <c r="VWZ108" s="769"/>
      <c r="VXA108" s="769"/>
      <c r="VXB108" s="769"/>
      <c r="VXC108" s="769"/>
      <c r="VXD108" s="769"/>
      <c r="VXE108" s="769"/>
      <c r="VXF108" s="769"/>
      <c r="VXG108" s="769"/>
      <c r="VXH108" s="769"/>
      <c r="VXI108" s="769"/>
      <c r="VXJ108" s="769"/>
      <c r="VXK108" s="769"/>
      <c r="VXL108" s="769"/>
      <c r="VXM108" s="769"/>
      <c r="VXN108" s="769"/>
      <c r="VXO108" s="769"/>
      <c r="VXP108" s="769"/>
      <c r="VXQ108" s="769"/>
      <c r="VXR108" s="769"/>
      <c r="VXS108" s="769"/>
      <c r="VXT108" s="769"/>
      <c r="VXU108" s="769"/>
      <c r="VXV108" s="769"/>
      <c r="VXW108" s="769"/>
      <c r="VXX108" s="769"/>
      <c r="VXY108" s="769"/>
      <c r="VXZ108" s="769"/>
      <c r="VYA108" s="769"/>
      <c r="VYB108" s="769"/>
      <c r="VYC108" s="769"/>
      <c r="VYD108" s="769"/>
      <c r="VYE108" s="769"/>
      <c r="VYF108" s="769"/>
      <c r="VYG108" s="769"/>
      <c r="VYH108" s="769"/>
      <c r="VYI108" s="769"/>
      <c r="VYJ108" s="769"/>
      <c r="VYK108" s="769"/>
      <c r="VYL108" s="769"/>
      <c r="VYM108" s="769"/>
      <c r="VYN108" s="769"/>
      <c r="VYO108" s="769"/>
      <c r="VYP108" s="769"/>
      <c r="VYQ108" s="769"/>
      <c r="VYR108" s="769"/>
      <c r="VYS108" s="769"/>
      <c r="VYT108" s="769"/>
      <c r="VYU108" s="769"/>
      <c r="VYV108" s="769"/>
      <c r="VYW108" s="769"/>
      <c r="VYX108" s="769"/>
      <c r="VYY108" s="769"/>
      <c r="VYZ108" s="769"/>
      <c r="VZA108" s="769"/>
      <c r="VZB108" s="769"/>
      <c r="VZC108" s="769"/>
      <c r="VZD108" s="769"/>
      <c r="VZE108" s="769"/>
      <c r="VZF108" s="769"/>
      <c r="VZG108" s="769"/>
      <c r="VZH108" s="769"/>
      <c r="VZI108" s="769"/>
      <c r="VZJ108" s="769"/>
      <c r="VZK108" s="769"/>
      <c r="VZL108" s="769"/>
      <c r="VZM108" s="769"/>
      <c r="VZN108" s="769"/>
      <c r="VZO108" s="769"/>
      <c r="VZP108" s="769"/>
      <c r="VZQ108" s="769"/>
      <c r="VZR108" s="769"/>
      <c r="VZS108" s="769"/>
      <c r="VZT108" s="769"/>
      <c r="VZU108" s="769"/>
      <c r="VZV108" s="769"/>
      <c r="VZW108" s="769"/>
      <c r="VZX108" s="769"/>
      <c r="VZY108" s="769"/>
      <c r="VZZ108" s="769"/>
      <c r="WAA108" s="769"/>
      <c r="WAB108" s="769"/>
      <c r="WAC108" s="769"/>
      <c r="WAD108" s="769"/>
      <c r="WAE108" s="769"/>
      <c r="WAF108" s="769"/>
      <c r="WAG108" s="769"/>
      <c r="WAH108" s="769"/>
      <c r="WAI108" s="769"/>
      <c r="WAJ108" s="769"/>
      <c r="WAK108" s="769"/>
      <c r="WAL108" s="769"/>
      <c r="WAM108" s="769"/>
      <c r="WAN108" s="769"/>
      <c r="WAO108" s="769"/>
      <c r="WAP108" s="769"/>
      <c r="WAQ108" s="769"/>
      <c r="WAR108" s="769"/>
      <c r="WAS108" s="769"/>
      <c r="WAT108" s="769"/>
      <c r="WAU108" s="769"/>
      <c r="WAV108" s="769"/>
      <c r="WAW108" s="769"/>
      <c r="WAX108" s="769"/>
      <c r="WAY108" s="769"/>
      <c r="WAZ108" s="769"/>
      <c r="WBA108" s="769"/>
      <c r="WBB108" s="769"/>
      <c r="WBC108" s="769"/>
      <c r="WBD108" s="769"/>
      <c r="WBE108" s="769"/>
      <c r="WBF108" s="769"/>
      <c r="WBG108" s="769"/>
      <c r="WBH108" s="769"/>
      <c r="WBI108" s="769"/>
      <c r="WBJ108" s="769"/>
      <c r="WBK108" s="769"/>
      <c r="WBL108" s="769"/>
      <c r="WBM108" s="769"/>
      <c r="WBN108" s="769"/>
      <c r="WBO108" s="769"/>
      <c r="WBP108" s="769"/>
      <c r="WBQ108" s="769"/>
      <c r="WBR108" s="769"/>
      <c r="WBS108" s="769"/>
      <c r="WBT108" s="769"/>
      <c r="WBU108" s="769"/>
      <c r="WBV108" s="769"/>
      <c r="WBW108" s="769"/>
      <c r="WBX108" s="769"/>
      <c r="WBY108" s="769"/>
      <c r="WBZ108" s="769"/>
      <c r="WCA108" s="769"/>
      <c r="WCB108" s="769"/>
      <c r="WCC108" s="769"/>
      <c r="WCD108" s="769"/>
      <c r="WCE108" s="769"/>
      <c r="WCF108" s="769"/>
      <c r="WCG108" s="769"/>
      <c r="WCH108" s="769"/>
      <c r="WCI108" s="769"/>
      <c r="WCJ108" s="769"/>
      <c r="WCK108" s="769"/>
      <c r="WCL108" s="769"/>
      <c r="WCM108" s="769"/>
      <c r="WCN108" s="769"/>
      <c r="WCO108" s="769"/>
      <c r="WCP108" s="769"/>
      <c r="WCQ108" s="769"/>
      <c r="WCR108" s="769"/>
      <c r="WCS108" s="769"/>
      <c r="WCT108" s="769"/>
      <c r="WCU108" s="769"/>
      <c r="WCV108" s="769"/>
      <c r="WCW108" s="769"/>
      <c r="WCX108" s="769"/>
      <c r="WCY108" s="769"/>
      <c r="WCZ108" s="769"/>
      <c r="WDA108" s="769"/>
      <c r="WDB108" s="769"/>
      <c r="WDC108" s="769"/>
      <c r="WDD108" s="769"/>
      <c r="WDE108" s="769"/>
      <c r="WDF108" s="769"/>
      <c r="WDG108" s="769"/>
      <c r="WDH108" s="769"/>
      <c r="WDI108" s="769"/>
      <c r="WDJ108" s="769"/>
      <c r="WDK108" s="769"/>
      <c r="WDL108" s="769"/>
      <c r="WDM108" s="769"/>
      <c r="WDN108" s="769"/>
      <c r="WDO108" s="769"/>
      <c r="WDP108" s="769"/>
      <c r="WDQ108" s="769"/>
      <c r="WDR108" s="769"/>
      <c r="WDS108" s="769"/>
      <c r="WDT108" s="769"/>
      <c r="WDU108" s="769"/>
      <c r="WDV108" s="769"/>
      <c r="WDW108" s="769"/>
      <c r="WDX108" s="769"/>
      <c r="WDY108" s="769"/>
      <c r="WDZ108" s="769"/>
      <c r="WEA108" s="769"/>
      <c r="WEB108" s="769"/>
      <c r="WEC108" s="769"/>
      <c r="WED108" s="769"/>
      <c r="WEE108" s="769"/>
      <c r="WEF108" s="769"/>
      <c r="WEG108" s="769"/>
      <c r="WEH108" s="769"/>
      <c r="WEI108" s="769"/>
      <c r="WEJ108" s="769"/>
      <c r="WEK108" s="769"/>
      <c r="WEL108" s="769"/>
      <c r="WEM108" s="769"/>
      <c r="WEN108" s="769"/>
      <c r="WEO108" s="769"/>
      <c r="WEP108" s="769"/>
      <c r="WEQ108" s="769"/>
      <c r="WER108" s="769"/>
      <c r="WES108" s="769"/>
      <c r="WET108" s="769"/>
      <c r="WEU108" s="769"/>
      <c r="WEV108" s="769"/>
      <c r="WEW108" s="769"/>
      <c r="WEX108" s="769"/>
      <c r="WEY108" s="769"/>
      <c r="WEZ108" s="769"/>
      <c r="WFA108" s="769"/>
      <c r="WFB108" s="769"/>
      <c r="WFC108" s="769"/>
      <c r="WFD108" s="769"/>
      <c r="WFE108" s="769"/>
      <c r="WFF108" s="769"/>
      <c r="WFG108" s="769"/>
      <c r="WFH108" s="769"/>
      <c r="WFI108" s="769"/>
      <c r="WFJ108" s="769"/>
      <c r="WFK108" s="769"/>
      <c r="WFL108" s="769"/>
      <c r="WFM108" s="769"/>
      <c r="WFN108" s="769"/>
      <c r="WFO108" s="769"/>
      <c r="WFP108" s="769"/>
      <c r="WFQ108" s="769"/>
      <c r="WFR108" s="769"/>
      <c r="WFS108" s="769"/>
      <c r="WFT108" s="769"/>
      <c r="WFU108" s="769"/>
      <c r="WFV108" s="769"/>
      <c r="WFW108" s="769"/>
      <c r="WFX108" s="769"/>
      <c r="WFY108" s="769"/>
      <c r="WFZ108" s="769"/>
      <c r="WGA108" s="769"/>
      <c r="WGB108" s="769"/>
      <c r="WGC108" s="769"/>
      <c r="WGD108" s="769"/>
      <c r="WGE108" s="769"/>
      <c r="WGF108" s="769"/>
      <c r="WGG108" s="769"/>
      <c r="WGH108" s="769"/>
      <c r="WGI108" s="769"/>
      <c r="WGJ108" s="769"/>
      <c r="WGK108" s="769"/>
      <c r="WGL108" s="769"/>
      <c r="WGM108" s="769"/>
      <c r="WGN108" s="769"/>
      <c r="WGO108" s="769"/>
      <c r="WGP108" s="769"/>
      <c r="WGQ108" s="769"/>
      <c r="WGR108" s="769"/>
      <c r="WGS108" s="769"/>
      <c r="WGT108" s="769"/>
      <c r="WGU108" s="769"/>
      <c r="WGV108" s="769"/>
      <c r="WGW108" s="769"/>
      <c r="WGX108" s="769"/>
      <c r="WGY108" s="769"/>
      <c r="WGZ108" s="769"/>
      <c r="WHA108" s="769"/>
      <c r="WHB108" s="769"/>
      <c r="WHC108" s="769"/>
      <c r="WHD108" s="769"/>
      <c r="WHE108" s="769"/>
      <c r="WHF108" s="769"/>
      <c r="WHG108" s="769"/>
      <c r="WHH108" s="769"/>
      <c r="WHI108" s="769"/>
      <c r="WHJ108" s="769"/>
      <c r="WHK108" s="769"/>
      <c r="WHL108" s="769"/>
      <c r="WHM108" s="769"/>
      <c r="WHN108" s="769"/>
      <c r="WHO108" s="769"/>
      <c r="WHP108" s="769"/>
      <c r="WHQ108" s="769"/>
      <c r="WHR108" s="769"/>
      <c r="WHS108" s="769"/>
      <c r="WHT108" s="769"/>
      <c r="WHU108" s="769"/>
      <c r="WHV108" s="769"/>
      <c r="WHW108" s="769"/>
      <c r="WHX108" s="769"/>
      <c r="WHY108" s="769"/>
      <c r="WHZ108" s="769"/>
      <c r="WIA108" s="769"/>
      <c r="WIB108" s="769"/>
      <c r="WIC108" s="769"/>
      <c r="WID108" s="769"/>
      <c r="WIE108" s="769"/>
      <c r="WIF108" s="769"/>
      <c r="WIG108" s="769"/>
      <c r="WIH108" s="769"/>
      <c r="WII108" s="769"/>
      <c r="WIJ108" s="769"/>
      <c r="WIK108" s="769"/>
      <c r="WIL108" s="769"/>
      <c r="WIM108" s="769"/>
      <c r="WIN108" s="769"/>
      <c r="WIO108" s="769"/>
      <c r="WIP108" s="769"/>
      <c r="WIQ108" s="769"/>
      <c r="WIR108" s="769"/>
      <c r="WIS108" s="769"/>
      <c r="WIT108" s="769"/>
      <c r="WIU108" s="769"/>
      <c r="WIV108" s="769"/>
      <c r="WIW108" s="769"/>
      <c r="WIX108" s="769"/>
      <c r="WIY108" s="769"/>
      <c r="WIZ108" s="769"/>
      <c r="WJA108" s="769"/>
      <c r="WJB108" s="769"/>
      <c r="WJC108" s="769"/>
      <c r="WJD108" s="769"/>
      <c r="WJE108" s="769"/>
      <c r="WJF108" s="769"/>
      <c r="WJG108" s="769"/>
      <c r="WJH108" s="769"/>
      <c r="WJI108" s="769"/>
      <c r="WJJ108" s="769"/>
      <c r="WJK108" s="769"/>
      <c r="WJL108" s="769"/>
      <c r="WJM108" s="769"/>
      <c r="WJN108" s="769"/>
      <c r="WJO108" s="769"/>
      <c r="WJP108" s="769"/>
      <c r="WJQ108" s="769"/>
      <c r="WJR108" s="769"/>
      <c r="WJS108" s="769"/>
      <c r="WJT108" s="769"/>
      <c r="WJU108" s="769"/>
      <c r="WJV108" s="769"/>
      <c r="WJW108" s="769"/>
      <c r="WJX108" s="769"/>
      <c r="WJY108" s="769"/>
      <c r="WJZ108" s="769"/>
      <c r="WKA108" s="769"/>
      <c r="WKB108" s="769"/>
      <c r="WKC108" s="769"/>
      <c r="WKD108" s="769"/>
      <c r="WKE108" s="769"/>
      <c r="WKF108" s="769"/>
      <c r="WKG108" s="769"/>
      <c r="WKH108" s="769"/>
      <c r="WKI108" s="769"/>
      <c r="WKJ108" s="769"/>
      <c r="WKK108" s="769"/>
      <c r="WKL108" s="769"/>
      <c r="WKM108" s="769"/>
      <c r="WKN108" s="769"/>
      <c r="WKO108" s="769"/>
      <c r="WKP108" s="769"/>
      <c r="WKQ108" s="769"/>
      <c r="WKR108" s="769"/>
      <c r="WKS108" s="769"/>
      <c r="WKT108" s="769"/>
      <c r="WKU108" s="769"/>
      <c r="WKV108" s="769"/>
      <c r="WKW108" s="769"/>
      <c r="WKX108" s="769"/>
      <c r="WKY108" s="769"/>
      <c r="WKZ108" s="769"/>
      <c r="WLA108" s="769"/>
      <c r="WLB108" s="769"/>
      <c r="WLC108" s="769"/>
      <c r="WLD108" s="769"/>
      <c r="WLE108" s="769"/>
      <c r="WLF108" s="769"/>
      <c r="WLG108" s="769"/>
      <c r="WLH108" s="769"/>
      <c r="WLI108" s="769"/>
      <c r="WLJ108" s="769"/>
      <c r="WLK108" s="769"/>
      <c r="WLL108" s="769"/>
      <c r="WLM108" s="769"/>
      <c r="WLN108" s="769"/>
      <c r="WLO108" s="769"/>
      <c r="WLP108" s="769"/>
      <c r="WLQ108" s="769"/>
      <c r="WLR108" s="769"/>
      <c r="WLS108" s="769"/>
      <c r="WLT108" s="769"/>
      <c r="WLU108" s="769"/>
      <c r="WLV108" s="769"/>
      <c r="WLW108" s="769"/>
      <c r="WLX108" s="769"/>
      <c r="WLY108" s="769"/>
      <c r="WLZ108" s="769"/>
      <c r="WMA108" s="769"/>
      <c r="WMB108" s="769"/>
      <c r="WMC108" s="769"/>
      <c r="WMD108" s="769"/>
      <c r="WME108" s="769"/>
      <c r="WMF108" s="769"/>
      <c r="WMG108" s="769"/>
      <c r="WMH108" s="769"/>
      <c r="WMI108" s="769"/>
      <c r="WMJ108" s="769"/>
      <c r="WMK108" s="769"/>
      <c r="WML108" s="769"/>
      <c r="WMM108" s="769"/>
      <c r="WMN108" s="769"/>
      <c r="WMO108" s="769"/>
      <c r="WMP108" s="769"/>
      <c r="WMQ108" s="769"/>
      <c r="WMR108" s="769"/>
      <c r="WMS108" s="769"/>
      <c r="WMT108" s="769"/>
      <c r="WMU108" s="769"/>
      <c r="WMV108" s="769"/>
      <c r="WMW108" s="769"/>
      <c r="WMX108" s="769"/>
      <c r="WMY108" s="769"/>
      <c r="WMZ108" s="769"/>
      <c r="WNA108" s="769"/>
      <c r="WNB108" s="769"/>
      <c r="WNC108" s="769"/>
      <c r="WND108" s="769"/>
      <c r="WNE108" s="769"/>
      <c r="WNF108" s="769"/>
      <c r="WNG108" s="769"/>
      <c r="WNH108" s="769"/>
      <c r="WNI108" s="769"/>
      <c r="WNJ108" s="769"/>
      <c r="WNK108" s="769"/>
      <c r="WNL108" s="769"/>
      <c r="WNM108" s="769"/>
      <c r="WNN108" s="769"/>
      <c r="WNO108" s="769"/>
      <c r="WNP108" s="769"/>
      <c r="WNQ108" s="769"/>
      <c r="WNR108" s="769"/>
      <c r="WNS108" s="769"/>
      <c r="WNT108" s="769"/>
      <c r="WNU108" s="769"/>
      <c r="WNV108" s="769"/>
      <c r="WNW108" s="769"/>
      <c r="WNX108" s="769"/>
      <c r="WNY108" s="769"/>
      <c r="WNZ108" s="769"/>
      <c r="WOA108" s="769"/>
      <c r="WOB108" s="769"/>
      <c r="WOC108" s="769"/>
      <c r="WOD108" s="769"/>
      <c r="WOE108" s="769"/>
      <c r="WOF108" s="769"/>
      <c r="WOG108" s="769"/>
      <c r="WOH108" s="769"/>
      <c r="WOI108" s="769"/>
      <c r="WOJ108" s="769"/>
      <c r="WOK108" s="769"/>
      <c r="WOL108" s="769"/>
      <c r="WOM108" s="769"/>
      <c r="WON108" s="769"/>
      <c r="WOO108" s="769"/>
      <c r="WOP108" s="769"/>
      <c r="WOQ108" s="769"/>
      <c r="WOR108" s="769"/>
      <c r="WOS108" s="769"/>
      <c r="WOT108" s="769"/>
      <c r="WOU108" s="769"/>
      <c r="WOV108" s="769"/>
      <c r="WOW108" s="769"/>
      <c r="WOX108" s="769"/>
      <c r="WOY108" s="769"/>
      <c r="WOZ108" s="769"/>
      <c r="WPA108" s="769"/>
      <c r="WPB108" s="769"/>
      <c r="WPC108" s="769"/>
      <c r="WPD108" s="769"/>
      <c r="WPE108" s="769"/>
      <c r="WPF108" s="769"/>
      <c r="WPG108" s="769"/>
      <c r="WPH108" s="769"/>
      <c r="WPI108" s="769"/>
      <c r="WPJ108" s="769"/>
      <c r="WPK108" s="769"/>
      <c r="WPL108" s="769"/>
      <c r="WPM108" s="769"/>
      <c r="WPN108" s="769"/>
      <c r="WPO108" s="769"/>
      <c r="WPP108" s="769"/>
      <c r="WPQ108" s="769"/>
      <c r="WPR108" s="769"/>
      <c r="WPS108" s="769"/>
      <c r="WPT108" s="769"/>
      <c r="WPU108" s="769"/>
      <c r="WPV108" s="769"/>
      <c r="WPW108" s="769"/>
      <c r="WPX108" s="769"/>
      <c r="WPY108" s="769"/>
      <c r="WPZ108" s="769"/>
      <c r="WQA108" s="769"/>
      <c r="WQB108" s="769"/>
      <c r="WQC108" s="769"/>
      <c r="WQD108" s="769"/>
      <c r="WQE108" s="769"/>
      <c r="WQF108" s="769"/>
      <c r="WQG108" s="769"/>
      <c r="WQH108" s="769"/>
      <c r="WQI108" s="769"/>
      <c r="WQJ108" s="769"/>
      <c r="WQK108" s="769"/>
      <c r="WQL108" s="769"/>
      <c r="WQM108" s="769"/>
      <c r="WQN108" s="769"/>
      <c r="WQO108" s="769"/>
      <c r="WQP108" s="769"/>
      <c r="WQQ108" s="769"/>
      <c r="WQR108" s="769"/>
      <c r="WQS108" s="769"/>
      <c r="WQT108" s="769"/>
      <c r="WQU108" s="769"/>
      <c r="WQV108" s="769"/>
      <c r="WQW108" s="769"/>
      <c r="WQX108" s="769"/>
      <c r="WQY108" s="769"/>
      <c r="WQZ108" s="769"/>
      <c r="WRA108" s="769"/>
      <c r="WRB108" s="769"/>
      <c r="WRC108" s="769"/>
      <c r="WRD108" s="769"/>
      <c r="WRE108" s="769"/>
      <c r="WRF108" s="769"/>
      <c r="WRG108" s="769"/>
      <c r="WRH108" s="769"/>
      <c r="WRI108" s="769"/>
      <c r="WRJ108" s="769"/>
      <c r="WRK108" s="769"/>
      <c r="WRL108" s="769"/>
      <c r="WRM108" s="769"/>
      <c r="WRN108" s="769"/>
      <c r="WRO108" s="769"/>
      <c r="WRP108" s="769"/>
      <c r="WRQ108" s="769"/>
      <c r="WRR108" s="769"/>
      <c r="WRS108" s="769"/>
      <c r="WRT108" s="769"/>
      <c r="WRU108" s="769"/>
      <c r="WRV108" s="769"/>
      <c r="WRW108" s="769"/>
      <c r="WRX108" s="769"/>
      <c r="WRY108" s="769"/>
      <c r="WRZ108" s="769"/>
      <c r="WSA108" s="769"/>
      <c r="WSB108" s="769"/>
      <c r="WSC108" s="769"/>
      <c r="WSD108" s="769"/>
      <c r="WSE108" s="769"/>
      <c r="WSF108" s="769"/>
      <c r="WSG108" s="769"/>
      <c r="WSH108" s="769"/>
      <c r="WSI108" s="769"/>
      <c r="WSJ108" s="769"/>
      <c r="WSK108" s="769"/>
      <c r="WSL108" s="769"/>
      <c r="WSM108" s="769"/>
      <c r="WSN108" s="769"/>
      <c r="WSO108" s="769"/>
      <c r="WSP108" s="769"/>
      <c r="WSQ108" s="769"/>
      <c r="WSR108" s="769"/>
      <c r="WSS108" s="769"/>
      <c r="WST108" s="769"/>
      <c r="WSU108" s="769"/>
      <c r="WSV108" s="769"/>
      <c r="WSW108" s="769"/>
      <c r="WSX108" s="769"/>
      <c r="WSY108" s="769"/>
      <c r="WSZ108" s="769"/>
      <c r="WTA108" s="769"/>
      <c r="WTB108" s="769"/>
      <c r="WTC108" s="769"/>
      <c r="WTD108" s="769"/>
      <c r="WTE108" s="769"/>
      <c r="WTF108" s="769"/>
      <c r="WTG108" s="769"/>
      <c r="WTH108" s="769"/>
      <c r="WTI108" s="769"/>
      <c r="WTJ108" s="769"/>
      <c r="WTK108" s="769"/>
      <c r="WTL108" s="769"/>
      <c r="WTM108" s="769"/>
      <c r="WTN108" s="769"/>
      <c r="WTO108" s="769"/>
      <c r="WTP108" s="769"/>
      <c r="WTQ108" s="769"/>
      <c r="WTR108" s="769"/>
      <c r="WTS108" s="769"/>
      <c r="WTT108" s="769"/>
      <c r="WTU108" s="769"/>
      <c r="WTV108" s="769"/>
      <c r="WTW108" s="769"/>
      <c r="WTX108" s="769"/>
      <c r="WTY108" s="769"/>
      <c r="WTZ108" s="769"/>
      <c r="WUA108" s="769"/>
      <c r="WUB108" s="769"/>
      <c r="WUC108" s="769"/>
      <c r="WUD108" s="769"/>
      <c r="WUE108" s="769"/>
      <c r="WUF108" s="769"/>
      <c r="WUG108" s="769"/>
      <c r="WUH108" s="769"/>
      <c r="WUI108" s="769"/>
      <c r="WUJ108" s="769"/>
      <c r="WUK108" s="769"/>
      <c r="WUL108" s="769"/>
      <c r="WUM108" s="769"/>
      <c r="WUN108" s="769"/>
      <c r="WUO108" s="769"/>
      <c r="WUP108" s="769"/>
      <c r="WUQ108" s="769"/>
      <c r="WUR108" s="769"/>
      <c r="WUS108" s="769"/>
      <c r="WUT108" s="769"/>
      <c r="WUU108" s="769"/>
      <c r="WUV108" s="769"/>
      <c r="WUW108" s="769"/>
      <c r="WUX108" s="769"/>
      <c r="WUY108" s="769"/>
      <c r="WUZ108" s="769"/>
      <c r="WVA108" s="769"/>
      <c r="WVB108" s="769"/>
      <c r="WVC108" s="769"/>
      <c r="WVD108" s="769"/>
      <c r="WVE108" s="769"/>
      <c r="WVF108" s="769"/>
      <c r="WVG108" s="769"/>
      <c r="WVH108" s="769"/>
      <c r="WVI108" s="769"/>
      <c r="WVJ108" s="769"/>
      <c r="WVK108" s="769"/>
      <c r="WVL108" s="769"/>
      <c r="WVM108" s="769"/>
      <c r="WVN108" s="769"/>
      <c r="WVO108" s="769"/>
      <c r="WVP108" s="769"/>
      <c r="WVQ108" s="769"/>
      <c r="WVR108" s="769"/>
      <c r="WVS108" s="769"/>
      <c r="WVT108" s="769"/>
      <c r="WVU108" s="769"/>
      <c r="WVV108" s="769"/>
      <c r="WVW108" s="769"/>
      <c r="WVX108" s="769"/>
      <c r="WVY108" s="769"/>
      <c r="WVZ108" s="769"/>
      <c r="WWA108" s="769"/>
      <c r="WWB108" s="769"/>
      <c r="WWC108" s="769"/>
      <c r="WWD108" s="769"/>
      <c r="WWE108" s="769"/>
      <c r="WWF108" s="769"/>
      <c r="WWG108" s="769"/>
      <c r="WWH108" s="769"/>
      <c r="WWI108" s="769"/>
      <c r="WWJ108" s="769"/>
      <c r="WWK108" s="769"/>
      <c r="WWL108" s="769"/>
      <c r="WWM108" s="769"/>
      <c r="WWN108" s="769"/>
      <c r="WWO108" s="769"/>
      <c r="WWP108" s="769"/>
      <c r="WWQ108" s="769"/>
      <c r="WWR108" s="769"/>
      <c r="WWS108" s="769"/>
      <c r="WWT108" s="769"/>
      <c r="WWU108" s="769"/>
      <c r="WWV108" s="769"/>
      <c r="WWW108" s="769"/>
      <c r="WWX108" s="769"/>
      <c r="WWY108" s="769"/>
      <c r="WWZ108" s="769"/>
      <c r="WXA108" s="769"/>
      <c r="WXB108" s="769"/>
      <c r="WXC108" s="769"/>
      <c r="WXD108" s="769"/>
      <c r="WXE108" s="769"/>
      <c r="WXF108" s="769"/>
      <c r="WXG108" s="769"/>
      <c r="WXH108" s="769"/>
      <c r="WXI108" s="769"/>
      <c r="WXJ108" s="769"/>
      <c r="WXK108" s="769"/>
      <c r="WXL108" s="769"/>
      <c r="WXM108" s="769"/>
      <c r="WXN108" s="769"/>
      <c r="WXO108" s="769"/>
      <c r="WXP108" s="769"/>
      <c r="WXQ108" s="769"/>
      <c r="WXR108" s="769"/>
      <c r="WXS108" s="769"/>
      <c r="WXT108" s="769"/>
      <c r="WXU108" s="769"/>
      <c r="WXV108" s="769"/>
      <c r="WXW108" s="769"/>
      <c r="WXX108" s="769"/>
      <c r="WXY108" s="769"/>
      <c r="WXZ108" s="769"/>
      <c r="WYA108" s="769"/>
      <c r="WYB108" s="769"/>
      <c r="WYC108" s="769"/>
      <c r="WYD108" s="769"/>
      <c r="WYE108" s="769"/>
      <c r="WYF108" s="769"/>
      <c r="WYG108" s="769"/>
      <c r="WYH108" s="769"/>
      <c r="WYI108" s="769"/>
      <c r="WYJ108" s="769"/>
      <c r="WYK108" s="769"/>
      <c r="WYL108" s="769"/>
      <c r="WYM108" s="769"/>
      <c r="WYN108" s="769"/>
      <c r="WYO108" s="769"/>
      <c r="WYP108" s="769"/>
      <c r="WYQ108" s="769"/>
      <c r="WYR108" s="769"/>
      <c r="WYS108" s="769"/>
      <c r="WYT108" s="769"/>
      <c r="WYU108" s="769"/>
      <c r="WYV108" s="769"/>
      <c r="WYW108" s="769"/>
      <c r="WYX108" s="769"/>
      <c r="WYY108" s="769"/>
      <c r="WYZ108" s="769"/>
      <c r="WZA108" s="769"/>
      <c r="WZB108" s="769"/>
      <c r="WZC108" s="769"/>
      <c r="WZD108" s="769"/>
      <c r="WZE108" s="769"/>
      <c r="WZF108" s="769"/>
      <c r="WZG108" s="769"/>
      <c r="WZH108" s="769"/>
      <c r="WZI108" s="769"/>
      <c r="WZJ108" s="769"/>
      <c r="WZK108" s="769"/>
      <c r="WZL108" s="769"/>
      <c r="WZM108" s="769"/>
      <c r="WZN108" s="769"/>
      <c r="WZO108" s="769"/>
      <c r="WZP108" s="769"/>
      <c r="WZQ108" s="769"/>
      <c r="WZR108" s="769"/>
      <c r="WZS108" s="769"/>
      <c r="WZT108" s="769"/>
      <c r="WZU108" s="769"/>
      <c r="WZV108" s="769"/>
      <c r="WZW108" s="769"/>
      <c r="WZX108" s="769"/>
      <c r="WZY108" s="769"/>
      <c r="WZZ108" s="769"/>
      <c r="XAA108" s="769"/>
      <c r="XAB108" s="769"/>
      <c r="XAC108" s="769"/>
      <c r="XAD108" s="769"/>
      <c r="XAE108" s="769"/>
      <c r="XAF108" s="769"/>
      <c r="XAG108" s="769"/>
      <c r="XAH108" s="769"/>
      <c r="XAI108" s="769"/>
      <c r="XAJ108" s="769"/>
      <c r="XAK108" s="769"/>
      <c r="XAL108" s="769"/>
      <c r="XAM108" s="769"/>
      <c r="XAN108" s="769"/>
      <c r="XAO108" s="769"/>
      <c r="XAP108" s="769"/>
      <c r="XAQ108" s="769"/>
      <c r="XAR108" s="769"/>
      <c r="XAS108" s="769"/>
      <c r="XAT108" s="769"/>
      <c r="XAU108" s="769"/>
      <c r="XAV108" s="769"/>
      <c r="XAW108" s="769"/>
      <c r="XAX108" s="769"/>
      <c r="XAY108" s="769"/>
      <c r="XAZ108" s="769"/>
      <c r="XBA108" s="769"/>
      <c r="XBB108" s="769"/>
      <c r="XBC108" s="769"/>
      <c r="XBD108" s="769"/>
      <c r="XBE108" s="769"/>
      <c r="XBF108" s="769"/>
      <c r="XBG108" s="769"/>
      <c r="XBH108" s="769"/>
      <c r="XBI108" s="769"/>
      <c r="XBJ108" s="769"/>
      <c r="XBK108" s="769"/>
      <c r="XBL108" s="769"/>
      <c r="XBM108" s="769"/>
      <c r="XBN108" s="769"/>
      <c r="XBO108" s="769"/>
      <c r="XBP108" s="769"/>
      <c r="XBQ108" s="769"/>
      <c r="XBR108" s="769"/>
      <c r="XBS108" s="769"/>
      <c r="XBT108" s="769"/>
      <c r="XBU108" s="769"/>
      <c r="XBV108" s="769"/>
      <c r="XBW108" s="769"/>
      <c r="XBX108" s="769"/>
      <c r="XBY108" s="769"/>
      <c r="XBZ108" s="769"/>
      <c r="XCA108" s="769"/>
      <c r="XCB108" s="769"/>
      <c r="XCC108" s="769"/>
      <c r="XCD108" s="769"/>
      <c r="XCE108" s="769"/>
      <c r="XCF108" s="769"/>
      <c r="XCG108" s="769"/>
      <c r="XCH108" s="769"/>
      <c r="XCI108" s="769"/>
      <c r="XCJ108" s="769"/>
      <c r="XCK108" s="769"/>
      <c r="XCL108" s="769"/>
      <c r="XCM108" s="769"/>
      <c r="XCN108" s="769"/>
      <c r="XCO108" s="769"/>
      <c r="XCP108" s="769"/>
      <c r="XCQ108" s="769"/>
      <c r="XCR108" s="769"/>
      <c r="XCS108" s="769"/>
      <c r="XCT108" s="769"/>
      <c r="XCU108" s="769"/>
      <c r="XCV108" s="769"/>
      <c r="XCW108" s="769"/>
      <c r="XCX108" s="769"/>
      <c r="XCY108" s="769"/>
      <c r="XCZ108" s="769"/>
      <c r="XDA108" s="769"/>
      <c r="XDB108" s="769"/>
      <c r="XDC108" s="769"/>
      <c r="XDD108" s="769"/>
      <c r="XDE108" s="769"/>
      <c r="XDF108" s="769"/>
      <c r="XDG108" s="769"/>
      <c r="XDH108" s="769"/>
      <c r="XDI108" s="769"/>
      <c r="XDJ108" s="769"/>
      <c r="XDK108" s="769"/>
      <c r="XDL108" s="769"/>
      <c r="XDM108" s="769"/>
      <c r="XDN108" s="769"/>
      <c r="XDO108" s="769"/>
      <c r="XDP108" s="769"/>
      <c r="XDQ108" s="769"/>
      <c r="XDR108" s="769"/>
      <c r="XDS108" s="769"/>
      <c r="XDT108" s="769"/>
      <c r="XDU108" s="769"/>
      <c r="XDV108" s="769"/>
      <c r="XDW108" s="769"/>
      <c r="XDX108" s="769"/>
      <c r="XDY108" s="769"/>
      <c r="XDZ108" s="769"/>
      <c r="XEA108" s="769"/>
      <c r="XEB108" s="769"/>
      <c r="XEC108" s="769"/>
      <c r="XED108" s="769"/>
      <c r="XEE108" s="769"/>
      <c r="XEF108" s="769"/>
      <c r="XEG108" s="769"/>
      <c r="XEH108" s="769"/>
      <c r="XEI108" s="769"/>
      <c r="XEJ108" s="769"/>
      <c r="XEK108" s="769"/>
      <c r="XEL108" s="769"/>
      <c r="XEM108" s="769"/>
      <c r="XEN108" s="769"/>
      <c r="XEO108" s="769"/>
      <c r="XEP108" s="769"/>
      <c r="XEQ108" s="769"/>
      <c r="XER108" s="769"/>
      <c r="XES108" s="769"/>
      <c r="XET108" s="769"/>
      <c r="XEU108" s="769"/>
      <c r="XEV108" s="769"/>
      <c r="XEW108" s="769"/>
      <c r="XEX108" s="769"/>
      <c r="XEY108" s="769"/>
      <c r="XEZ108" s="769"/>
      <c r="XFA108" s="769"/>
      <c r="XFB108" s="769"/>
    </row>
    <row r="109" spans="1:16382" ht="15.75" hidden="1" thickBot="1" x14ac:dyDescent="0.3">
      <c r="A109" s="769"/>
      <c r="B109" s="2226" t="s">
        <v>5511</v>
      </c>
      <c r="C109" s="2227"/>
      <c r="D109" s="2227"/>
      <c r="E109" s="2227"/>
      <c r="F109" s="2227"/>
      <c r="G109" s="2227"/>
      <c r="H109" s="2227"/>
      <c r="I109" s="2227"/>
      <c r="J109" s="2227"/>
      <c r="K109" s="2227"/>
      <c r="L109" s="2227"/>
      <c r="M109" s="2227"/>
      <c r="N109" s="2227"/>
      <c r="O109" s="2227"/>
      <c r="P109" s="2228">
        <f>P66+P72+P78+P84+P90+P96+P102+P108</f>
        <v>0</v>
      </c>
      <c r="Q109" s="2229"/>
      <c r="R109" s="769"/>
      <c r="S109" s="769"/>
      <c r="T109" s="769"/>
      <c r="U109" s="769"/>
      <c r="V109" s="769"/>
      <c r="W109" s="769"/>
      <c r="X109" s="769"/>
      <c r="Y109" s="769"/>
      <c r="Z109" s="769"/>
      <c r="AA109" s="769"/>
      <c r="AB109" s="769"/>
      <c r="AC109" s="769"/>
      <c r="AD109" s="769"/>
      <c r="AE109" s="769"/>
      <c r="AF109" s="769"/>
      <c r="AG109" s="769"/>
      <c r="AH109" s="769"/>
      <c r="AI109" s="769"/>
      <c r="AJ109" s="769"/>
      <c r="AK109" s="769"/>
      <c r="AL109" s="769"/>
      <c r="AM109" s="769"/>
      <c r="AN109" s="769"/>
      <c r="AO109" s="769"/>
      <c r="AP109" s="769"/>
      <c r="AQ109" s="769"/>
      <c r="AR109" s="769"/>
      <c r="AS109" s="769"/>
      <c r="AT109" s="769"/>
      <c r="AU109" s="769"/>
      <c r="AV109" s="769"/>
      <c r="AW109" s="769"/>
      <c r="AX109" s="769"/>
      <c r="AY109" s="769"/>
      <c r="AZ109" s="769"/>
      <c r="BA109" s="769"/>
      <c r="BB109" s="769"/>
      <c r="BC109" s="769"/>
      <c r="BD109" s="769"/>
      <c r="BE109" s="769"/>
      <c r="BF109" s="769"/>
      <c r="BG109" s="769"/>
      <c r="BH109" s="769"/>
      <c r="BI109" s="769"/>
      <c r="BJ109" s="769"/>
      <c r="BK109" s="769"/>
      <c r="BL109" s="769"/>
      <c r="BM109" s="769"/>
      <c r="BN109" s="769"/>
      <c r="BO109" s="769"/>
      <c r="BP109" s="769"/>
      <c r="BQ109" s="769"/>
      <c r="BR109" s="769"/>
      <c r="BS109" s="769"/>
      <c r="BT109" s="769"/>
      <c r="BU109" s="769"/>
      <c r="BV109" s="769"/>
      <c r="BW109" s="769"/>
      <c r="BX109" s="769"/>
      <c r="BY109" s="769"/>
      <c r="BZ109" s="769"/>
      <c r="CA109" s="769"/>
      <c r="CB109" s="769"/>
      <c r="CC109" s="769"/>
      <c r="CD109" s="769"/>
      <c r="CE109" s="769"/>
      <c r="CF109" s="769"/>
      <c r="CG109" s="769"/>
      <c r="CH109" s="769"/>
      <c r="CI109" s="769"/>
      <c r="CJ109" s="769"/>
      <c r="CK109" s="769"/>
      <c r="CL109" s="769"/>
      <c r="CM109" s="769"/>
      <c r="CN109" s="769"/>
      <c r="CO109" s="769"/>
      <c r="CP109" s="769"/>
      <c r="CQ109" s="769"/>
      <c r="CR109" s="769"/>
      <c r="CS109" s="769"/>
      <c r="CT109" s="769"/>
      <c r="CU109" s="769"/>
      <c r="CV109" s="769"/>
      <c r="CW109" s="769"/>
      <c r="CX109" s="769"/>
      <c r="CY109" s="769"/>
      <c r="CZ109" s="769"/>
      <c r="DA109" s="769"/>
      <c r="DB109" s="769"/>
      <c r="DC109" s="769"/>
      <c r="DD109" s="769"/>
      <c r="DE109" s="769"/>
      <c r="DF109" s="769"/>
      <c r="DG109" s="769"/>
      <c r="DH109" s="769"/>
      <c r="DI109" s="769"/>
      <c r="DJ109" s="769"/>
      <c r="DK109" s="769"/>
      <c r="DL109" s="769"/>
      <c r="DM109" s="769"/>
      <c r="DN109" s="769"/>
      <c r="DO109" s="769"/>
      <c r="DP109" s="769"/>
      <c r="DQ109" s="769"/>
      <c r="DR109" s="769"/>
      <c r="DS109" s="769"/>
      <c r="DT109" s="769"/>
      <c r="DU109" s="769"/>
      <c r="DV109" s="769"/>
      <c r="DW109" s="769"/>
      <c r="DX109" s="769"/>
      <c r="DY109" s="769"/>
      <c r="DZ109" s="769"/>
      <c r="EA109" s="769"/>
      <c r="EB109" s="769"/>
      <c r="EC109" s="769"/>
      <c r="ED109" s="769"/>
      <c r="EE109" s="769"/>
      <c r="EF109" s="769"/>
      <c r="EG109" s="769"/>
      <c r="EH109" s="769"/>
      <c r="EI109" s="769"/>
      <c r="EJ109" s="769"/>
      <c r="EK109" s="769"/>
      <c r="EL109" s="769"/>
      <c r="EM109" s="769"/>
      <c r="EN109" s="769"/>
      <c r="EO109" s="769"/>
      <c r="EP109" s="769"/>
      <c r="EQ109" s="769"/>
      <c r="ER109" s="769"/>
      <c r="ES109" s="769"/>
      <c r="ET109" s="769"/>
      <c r="EU109" s="769"/>
      <c r="EV109" s="769"/>
      <c r="EW109" s="769"/>
      <c r="EX109" s="769"/>
      <c r="EY109" s="769"/>
      <c r="EZ109" s="769"/>
      <c r="FA109" s="769"/>
      <c r="FB109" s="769"/>
      <c r="FC109" s="769"/>
      <c r="FD109" s="769"/>
      <c r="FE109" s="769"/>
      <c r="FF109" s="769"/>
      <c r="FG109" s="769"/>
      <c r="FH109" s="769"/>
      <c r="FI109" s="769"/>
      <c r="FJ109" s="769"/>
      <c r="FK109" s="769"/>
      <c r="FL109" s="769"/>
      <c r="FM109" s="769"/>
      <c r="FN109" s="769"/>
      <c r="FO109" s="769"/>
      <c r="FP109" s="769"/>
      <c r="FQ109" s="769"/>
      <c r="FR109" s="769"/>
      <c r="FS109" s="769"/>
      <c r="FT109" s="769"/>
      <c r="FU109" s="769"/>
      <c r="FV109" s="769"/>
      <c r="FW109" s="769"/>
      <c r="FX109" s="769"/>
      <c r="FY109" s="769"/>
      <c r="FZ109" s="769"/>
      <c r="GA109" s="769"/>
      <c r="GB109" s="769"/>
      <c r="GC109" s="769"/>
      <c r="GD109" s="769"/>
      <c r="GE109" s="769"/>
      <c r="GF109" s="769"/>
      <c r="GG109" s="769"/>
      <c r="GH109" s="769"/>
      <c r="GI109" s="769"/>
      <c r="GJ109" s="769"/>
      <c r="GK109" s="769"/>
      <c r="GL109" s="769"/>
      <c r="GM109" s="769"/>
      <c r="GN109" s="769"/>
      <c r="GO109" s="769"/>
      <c r="GP109" s="769"/>
      <c r="GQ109" s="769"/>
      <c r="GR109" s="769"/>
      <c r="GS109" s="769"/>
      <c r="GT109" s="769"/>
      <c r="GU109" s="769"/>
      <c r="GV109" s="769"/>
      <c r="GW109" s="769"/>
      <c r="GX109" s="769"/>
      <c r="GY109" s="769"/>
      <c r="GZ109" s="769"/>
      <c r="HA109" s="769"/>
      <c r="HB109" s="769"/>
      <c r="HC109" s="769"/>
      <c r="HD109" s="769"/>
      <c r="HE109" s="769"/>
      <c r="HF109" s="769"/>
      <c r="HG109" s="769"/>
      <c r="HH109" s="769"/>
      <c r="HI109" s="769"/>
      <c r="HJ109" s="769"/>
      <c r="HK109" s="769"/>
      <c r="HL109" s="769"/>
      <c r="HM109" s="769"/>
      <c r="HN109" s="769"/>
      <c r="HO109" s="769"/>
      <c r="HP109" s="769"/>
      <c r="HQ109" s="769"/>
      <c r="HR109" s="769"/>
      <c r="HS109" s="769"/>
      <c r="HT109" s="769"/>
      <c r="HU109" s="769"/>
      <c r="HV109" s="769"/>
      <c r="HW109" s="769"/>
      <c r="HX109" s="769"/>
      <c r="HY109" s="769"/>
      <c r="HZ109" s="769"/>
      <c r="IA109" s="769"/>
      <c r="IB109" s="769"/>
      <c r="IC109" s="769"/>
      <c r="ID109" s="769"/>
      <c r="IE109" s="769"/>
      <c r="IF109" s="769"/>
      <c r="IG109" s="769"/>
      <c r="IH109" s="769"/>
      <c r="II109" s="769"/>
      <c r="IJ109" s="769"/>
      <c r="IK109" s="769"/>
      <c r="IL109" s="769"/>
      <c r="IM109" s="769"/>
      <c r="IN109" s="769"/>
      <c r="IO109" s="769"/>
      <c r="IP109" s="769"/>
      <c r="IQ109" s="769"/>
      <c r="IR109" s="769"/>
      <c r="IS109" s="769"/>
      <c r="IT109" s="769"/>
      <c r="IU109" s="769"/>
      <c r="IV109" s="769"/>
      <c r="IW109" s="769"/>
      <c r="IX109" s="769"/>
      <c r="IY109" s="769"/>
      <c r="IZ109" s="769"/>
      <c r="JA109" s="769"/>
      <c r="JB109" s="769"/>
      <c r="JC109" s="769"/>
      <c r="JD109" s="769"/>
      <c r="JE109" s="769"/>
      <c r="JF109" s="769"/>
      <c r="JG109" s="769"/>
      <c r="JH109" s="769"/>
      <c r="JI109" s="769"/>
      <c r="JJ109" s="769"/>
      <c r="JK109" s="769"/>
      <c r="JL109" s="769"/>
      <c r="JM109" s="769"/>
      <c r="JN109" s="769"/>
      <c r="JO109" s="769"/>
      <c r="JP109" s="769"/>
      <c r="JQ109" s="769"/>
      <c r="JR109" s="769"/>
      <c r="JS109" s="769"/>
      <c r="JT109" s="769"/>
      <c r="JU109" s="769"/>
      <c r="JV109" s="769"/>
      <c r="JW109" s="769"/>
      <c r="JX109" s="769"/>
      <c r="JY109" s="769"/>
      <c r="JZ109" s="769"/>
      <c r="KA109" s="769"/>
      <c r="KB109" s="769"/>
      <c r="KC109" s="769"/>
      <c r="KD109" s="769"/>
      <c r="KE109" s="769"/>
      <c r="KF109" s="769"/>
      <c r="KG109" s="769"/>
      <c r="KH109" s="769"/>
      <c r="KI109" s="769"/>
      <c r="KJ109" s="769"/>
      <c r="KK109" s="769"/>
      <c r="KL109" s="769"/>
      <c r="KM109" s="769"/>
      <c r="KN109" s="769"/>
      <c r="KO109" s="769"/>
      <c r="KP109" s="769"/>
      <c r="KQ109" s="769"/>
      <c r="KR109" s="769"/>
      <c r="KS109" s="769"/>
      <c r="KT109" s="769"/>
      <c r="KU109" s="769"/>
      <c r="KV109" s="769"/>
      <c r="KW109" s="769"/>
      <c r="KX109" s="769"/>
      <c r="KY109" s="769"/>
      <c r="KZ109" s="769"/>
      <c r="LA109" s="769"/>
      <c r="LB109" s="769"/>
      <c r="LC109" s="769"/>
      <c r="LD109" s="769"/>
      <c r="LE109" s="769"/>
      <c r="LF109" s="769"/>
      <c r="LG109" s="769"/>
      <c r="LH109" s="769"/>
      <c r="LI109" s="769"/>
      <c r="LJ109" s="769"/>
      <c r="LK109" s="769"/>
      <c r="LL109" s="769"/>
      <c r="LM109" s="769"/>
      <c r="LN109" s="769"/>
      <c r="LO109" s="769"/>
      <c r="LP109" s="769"/>
      <c r="LQ109" s="769"/>
      <c r="LR109" s="769"/>
      <c r="LS109" s="769"/>
      <c r="LT109" s="769"/>
      <c r="LU109" s="769"/>
      <c r="LV109" s="769"/>
      <c r="LW109" s="769"/>
      <c r="LX109" s="769"/>
      <c r="LY109" s="769"/>
      <c r="LZ109" s="769"/>
      <c r="MA109" s="769"/>
      <c r="MB109" s="769"/>
      <c r="MC109" s="769"/>
      <c r="MD109" s="769"/>
      <c r="ME109" s="769"/>
      <c r="MF109" s="769"/>
      <c r="MG109" s="769"/>
      <c r="MH109" s="769"/>
      <c r="MI109" s="769"/>
      <c r="MJ109" s="769"/>
      <c r="MK109" s="769"/>
      <c r="ML109" s="769"/>
      <c r="MM109" s="769"/>
      <c r="MN109" s="769"/>
      <c r="MO109" s="769"/>
      <c r="MP109" s="769"/>
      <c r="MQ109" s="769"/>
      <c r="MR109" s="769"/>
      <c r="MS109" s="769"/>
      <c r="MT109" s="769"/>
      <c r="MU109" s="769"/>
      <c r="MV109" s="769"/>
      <c r="MW109" s="769"/>
      <c r="MX109" s="769"/>
      <c r="MY109" s="769"/>
      <c r="MZ109" s="769"/>
      <c r="NA109" s="769"/>
      <c r="NB109" s="769"/>
      <c r="NC109" s="769"/>
      <c r="ND109" s="769"/>
      <c r="NE109" s="769"/>
      <c r="NF109" s="769"/>
      <c r="NG109" s="769"/>
      <c r="NH109" s="769"/>
      <c r="NI109" s="769"/>
      <c r="NJ109" s="769"/>
      <c r="NK109" s="769"/>
      <c r="NL109" s="769"/>
      <c r="NM109" s="769"/>
      <c r="NN109" s="769"/>
      <c r="NO109" s="769"/>
      <c r="NP109" s="769"/>
      <c r="NQ109" s="769"/>
      <c r="NR109" s="769"/>
      <c r="NS109" s="769"/>
      <c r="NT109" s="769"/>
      <c r="NU109" s="769"/>
      <c r="NV109" s="769"/>
      <c r="NW109" s="769"/>
      <c r="NX109" s="769"/>
      <c r="NY109" s="769"/>
      <c r="NZ109" s="769"/>
      <c r="OA109" s="769"/>
      <c r="OB109" s="769"/>
      <c r="OC109" s="769"/>
      <c r="OD109" s="769"/>
      <c r="OE109" s="769"/>
      <c r="OF109" s="769"/>
      <c r="OG109" s="769"/>
      <c r="OH109" s="769"/>
      <c r="OI109" s="769"/>
      <c r="OJ109" s="769"/>
      <c r="OK109" s="769"/>
      <c r="OL109" s="769"/>
      <c r="OM109" s="769"/>
      <c r="ON109" s="769"/>
      <c r="OO109" s="769"/>
      <c r="OP109" s="769"/>
      <c r="OQ109" s="769"/>
      <c r="OR109" s="769"/>
      <c r="OS109" s="769"/>
      <c r="OT109" s="769"/>
      <c r="OU109" s="769"/>
      <c r="OV109" s="769"/>
      <c r="OW109" s="769"/>
      <c r="OX109" s="769"/>
      <c r="OY109" s="769"/>
      <c r="OZ109" s="769"/>
      <c r="PA109" s="769"/>
      <c r="PB109" s="769"/>
      <c r="PC109" s="769"/>
      <c r="PD109" s="769"/>
      <c r="PE109" s="769"/>
      <c r="PF109" s="769"/>
      <c r="PG109" s="769"/>
      <c r="PH109" s="769"/>
      <c r="PI109" s="769"/>
      <c r="PJ109" s="769"/>
      <c r="PK109" s="769"/>
      <c r="PL109" s="769"/>
      <c r="PM109" s="769"/>
      <c r="PN109" s="769"/>
      <c r="PO109" s="769"/>
      <c r="PP109" s="769"/>
      <c r="PQ109" s="769"/>
      <c r="PR109" s="769"/>
      <c r="PS109" s="769"/>
      <c r="PT109" s="769"/>
      <c r="PU109" s="769"/>
      <c r="PV109" s="769"/>
      <c r="PW109" s="769"/>
      <c r="PX109" s="769"/>
      <c r="PY109" s="769"/>
      <c r="PZ109" s="769"/>
      <c r="QA109" s="769"/>
      <c r="QB109" s="769"/>
      <c r="QC109" s="769"/>
      <c r="QD109" s="769"/>
      <c r="QE109" s="769"/>
      <c r="QF109" s="769"/>
      <c r="QG109" s="769"/>
      <c r="QH109" s="769"/>
      <c r="QI109" s="769"/>
      <c r="QJ109" s="769"/>
      <c r="QK109" s="769"/>
      <c r="QL109" s="769"/>
      <c r="QM109" s="769"/>
      <c r="QN109" s="769"/>
      <c r="QO109" s="769"/>
      <c r="QP109" s="769"/>
      <c r="QQ109" s="769"/>
      <c r="QR109" s="769"/>
      <c r="QS109" s="769"/>
      <c r="QT109" s="769"/>
      <c r="QU109" s="769"/>
      <c r="QV109" s="769"/>
      <c r="QW109" s="769"/>
      <c r="QX109" s="769"/>
      <c r="QY109" s="769"/>
      <c r="QZ109" s="769"/>
      <c r="RA109" s="769"/>
      <c r="RB109" s="769"/>
      <c r="RC109" s="769"/>
      <c r="RD109" s="769"/>
      <c r="RE109" s="769"/>
      <c r="RF109" s="769"/>
      <c r="RG109" s="769"/>
      <c r="RH109" s="769"/>
      <c r="RI109" s="769"/>
      <c r="RJ109" s="769"/>
      <c r="RK109" s="769"/>
      <c r="RL109" s="769"/>
      <c r="RM109" s="769"/>
      <c r="RN109" s="769"/>
      <c r="RO109" s="769"/>
      <c r="RP109" s="769"/>
      <c r="RQ109" s="769"/>
      <c r="RR109" s="769"/>
      <c r="RS109" s="769"/>
      <c r="RT109" s="769"/>
      <c r="RU109" s="769"/>
      <c r="RV109" s="769"/>
      <c r="RW109" s="769"/>
      <c r="RX109" s="769"/>
      <c r="RY109" s="769"/>
      <c r="RZ109" s="769"/>
      <c r="SA109" s="769"/>
      <c r="SB109" s="769"/>
      <c r="SC109" s="769"/>
      <c r="SD109" s="769"/>
      <c r="SE109" s="769"/>
      <c r="SF109" s="769"/>
      <c r="SG109" s="769"/>
      <c r="SH109" s="769"/>
      <c r="SI109" s="769"/>
      <c r="SJ109" s="769"/>
      <c r="SK109" s="769"/>
      <c r="SL109" s="769"/>
      <c r="SM109" s="769"/>
      <c r="SN109" s="769"/>
      <c r="SO109" s="769"/>
      <c r="SP109" s="769"/>
      <c r="SQ109" s="769"/>
      <c r="SR109" s="769"/>
      <c r="SS109" s="769"/>
      <c r="ST109" s="769"/>
      <c r="SU109" s="769"/>
      <c r="SV109" s="769"/>
      <c r="SW109" s="769"/>
      <c r="SX109" s="769"/>
      <c r="SY109" s="769"/>
      <c r="SZ109" s="769"/>
      <c r="TA109" s="769"/>
      <c r="TB109" s="769"/>
      <c r="TC109" s="769"/>
      <c r="TD109" s="769"/>
      <c r="TE109" s="769"/>
      <c r="TF109" s="769"/>
      <c r="TG109" s="769"/>
      <c r="TH109" s="769"/>
      <c r="TI109" s="769"/>
      <c r="TJ109" s="769"/>
      <c r="TK109" s="769"/>
      <c r="TL109" s="769"/>
      <c r="TM109" s="769"/>
      <c r="TN109" s="769"/>
      <c r="TO109" s="769"/>
      <c r="TP109" s="769"/>
      <c r="TQ109" s="769"/>
      <c r="TR109" s="769"/>
      <c r="TS109" s="769"/>
      <c r="TT109" s="769"/>
      <c r="TU109" s="769"/>
      <c r="TV109" s="769"/>
      <c r="TW109" s="769"/>
      <c r="TX109" s="769"/>
      <c r="TY109" s="769"/>
      <c r="TZ109" s="769"/>
      <c r="UA109" s="769"/>
      <c r="UB109" s="769"/>
      <c r="UC109" s="769"/>
      <c r="UD109" s="769"/>
      <c r="UE109" s="769"/>
      <c r="UF109" s="769"/>
      <c r="UG109" s="769"/>
      <c r="UH109" s="769"/>
      <c r="UI109" s="769"/>
      <c r="UJ109" s="769"/>
      <c r="UK109" s="769"/>
      <c r="UL109" s="769"/>
      <c r="UM109" s="769"/>
      <c r="UN109" s="769"/>
      <c r="UO109" s="769"/>
      <c r="UP109" s="769"/>
      <c r="UQ109" s="769"/>
      <c r="UR109" s="769"/>
      <c r="US109" s="769"/>
      <c r="UT109" s="769"/>
      <c r="UU109" s="769"/>
      <c r="UV109" s="769"/>
      <c r="UW109" s="769"/>
      <c r="UX109" s="769"/>
      <c r="UY109" s="769"/>
      <c r="UZ109" s="769"/>
      <c r="VA109" s="769"/>
      <c r="VB109" s="769"/>
      <c r="VC109" s="769"/>
      <c r="VD109" s="769"/>
      <c r="VE109" s="769"/>
      <c r="VF109" s="769"/>
      <c r="VG109" s="769"/>
      <c r="VH109" s="769"/>
      <c r="VI109" s="769"/>
      <c r="VJ109" s="769"/>
      <c r="VK109" s="769"/>
      <c r="VL109" s="769"/>
      <c r="VM109" s="769"/>
      <c r="VN109" s="769"/>
      <c r="VO109" s="769"/>
      <c r="VP109" s="769"/>
      <c r="VQ109" s="769"/>
      <c r="VR109" s="769"/>
      <c r="VS109" s="769"/>
      <c r="VT109" s="769"/>
      <c r="VU109" s="769"/>
      <c r="VV109" s="769"/>
      <c r="VW109" s="769"/>
      <c r="VX109" s="769"/>
      <c r="VY109" s="769"/>
      <c r="VZ109" s="769"/>
      <c r="WA109" s="769"/>
      <c r="WB109" s="769"/>
      <c r="WC109" s="769"/>
      <c r="WD109" s="769"/>
      <c r="WE109" s="769"/>
      <c r="WF109" s="769"/>
      <c r="WG109" s="769"/>
      <c r="WH109" s="769"/>
      <c r="WI109" s="769"/>
      <c r="WJ109" s="769"/>
      <c r="WK109" s="769"/>
      <c r="WL109" s="769"/>
      <c r="WM109" s="769"/>
      <c r="WN109" s="769"/>
      <c r="WO109" s="769"/>
      <c r="WP109" s="769"/>
      <c r="WQ109" s="769"/>
      <c r="WR109" s="769"/>
      <c r="WS109" s="769"/>
      <c r="WT109" s="769"/>
      <c r="WU109" s="769"/>
      <c r="WV109" s="769"/>
      <c r="WW109" s="769"/>
      <c r="WX109" s="769"/>
      <c r="WY109" s="769"/>
      <c r="WZ109" s="769"/>
      <c r="XA109" s="769"/>
      <c r="XB109" s="769"/>
      <c r="XC109" s="769"/>
      <c r="XD109" s="769"/>
      <c r="XE109" s="769"/>
      <c r="XF109" s="769"/>
      <c r="XG109" s="769"/>
      <c r="XH109" s="769"/>
      <c r="XI109" s="769"/>
      <c r="XJ109" s="769"/>
      <c r="XK109" s="769"/>
      <c r="XL109" s="769"/>
      <c r="XM109" s="769"/>
      <c r="XN109" s="769"/>
      <c r="XO109" s="769"/>
      <c r="XP109" s="769"/>
      <c r="XQ109" s="769"/>
      <c r="XR109" s="769"/>
      <c r="XS109" s="769"/>
      <c r="XT109" s="769"/>
      <c r="XU109" s="769"/>
      <c r="XV109" s="769"/>
      <c r="XW109" s="769"/>
      <c r="XX109" s="769"/>
      <c r="XY109" s="769"/>
      <c r="XZ109" s="769"/>
      <c r="YA109" s="769"/>
      <c r="YB109" s="769"/>
      <c r="YC109" s="769"/>
      <c r="YD109" s="769"/>
      <c r="YE109" s="769"/>
      <c r="YF109" s="769"/>
      <c r="YG109" s="769"/>
      <c r="YH109" s="769"/>
      <c r="YI109" s="769"/>
      <c r="YJ109" s="769"/>
      <c r="YK109" s="769"/>
      <c r="YL109" s="769"/>
      <c r="YM109" s="769"/>
      <c r="YN109" s="769"/>
      <c r="YO109" s="769"/>
      <c r="YP109" s="769"/>
      <c r="YQ109" s="769"/>
      <c r="YR109" s="769"/>
      <c r="YS109" s="769"/>
      <c r="YT109" s="769"/>
      <c r="YU109" s="769"/>
      <c r="YV109" s="769"/>
      <c r="YW109" s="769"/>
      <c r="YX109" s="769"/>
      <c r="YY109" s="769"/>
      <c r="YZ109" s="769"/>
      <c r="ZA109" s="769"/>
      <c r="ZB109" s="769"/>
      <c r="ZC109" s="769"/>
      <c r="ZD109" s="769"/>
      <c r="ZE109" s="769"/>
      <c r="ZF109" s="769"/>
      <c r="ZG109" s="769"/>
      <c r="ZH109" s="769"/>
      <c r="ZI109" s="769"/>
      <c r="ZJ109" s="769"/>
      <c r="ZK109" s="769"/>
      <c r="ZL109" s="769"/>
      <c r="ZM109" s="769"/>
      <c r="ZN109" s="769"/>
      <c r="ZO109" s="769"/>
      <c r="ZP109" s="769"/>
      <c r="ZQ109" s="769"/>
      <c r="ZR109" s="769"/>
      <c r="ZS109" s="769"/>
      <c r="ZT109" s="769"/>
      <c r="ZU109" s="769"/>
      <c r="ZV109" s="769"/>
      <c r="ZW109" s="769"/>
      <c r="ZX109" s="769"/>
      <c r="ZY109" s="769"/>
      <c r="ZZ109" s="769"/>
      <c r="AAA109" s="769"/>
      <c r="AAB109" s="769"/>
      <c r="AAC109" s="769"/>
      <c r="AAD109" s="769"/>
      <c r="AAE109" s="769"/>
      <c r="AAF109" s="769"/>
      <c r="AAG109" s="769"/>
      <c r="AAH109" s="769"/>
      <c r="AAI109" s="769"/>
      <c r="AAJ109" s="769"/>
      <c r="AAK109" s="769"/>
      <c r="AAL109" s="769"/>
      <c r="AAM109" s="769"/>
      <c r="AAN109" s="769"/>
      <c r="AAO109" s="769"/>
      <c r="AAP109" s="769"/>
      <c r="AAQ109" s="769"/>
      <c r="AAR109" s="769"/>
      <c r="AAS109" s="769"/>
      <c r="AAT109" s="769"/>
      <c r="AAU109" s="769"/>
      <c r="AAV109" s="769"/>
      <c r="AAW109" s="769"/>
      <c r="AAX109" s="769"/>
      <c r="AAY109" s="769"/>
      <c r="AAZ109" s="769"/>
      <c r="ABA109" s="769"/>
      <c r="ABB109" s="769"/>
      <c r="ABC109" s="769"/>
      <c r="ABD109" s="769"/>
      <c r="ABE109" s="769"/>
      <c r="ABF109" s="769"/>
      <c r="ABG109" s="769"/>
      <c r="ABH109" s="769"/>
      <c r="ABI109" s="769"/>
      <c r="ABJ109" s="769"/>
      <c r="ABK109" s="769"/>
      <c r="ABL109" s="769"/>
      <c r="ABM109" s="769"/>
      <c r="ABN109" s="769"/>
      <c r="ABO109" s="769"/>
      <c r="ABP109" s="769"/>
      <c r="ABQ109" s="769"/>
      <c r="ABR109" s="769"/>
      <c r="ABS109" s="769"/>
      <c r="ABT109" s="769"/>
      <c r="ABU109" s="769"/>
      <c r="ABV109" s="769"/>
      <c r="ABW109" s="769"/>
      <c r="ABX109" s="769"/>
      <c r="ABY109" s="769"/>
      <c r="ABZ109" s="769"/>
      <c r="ACA109" s="769"/>
      <c r="ACB109" s="769"/>
      <c r="ACC109" s="769"/>
      <c r="ACD109" s="769"/>
      <c r="ACE109" s="769"/>
      <c r="ACF109" s="769"/>
      <c r="ACG109" s="769"/>
      <c r="ACH109" s="769"/>
      <c r="ACI109" s="769"/>
      <c r="ACJ109" s="769"/>
      <c r="ACK109" s="769"/>
      <c r="ACL109" s="769"/>
      <c r="ACM109" s="769"/>
      <c r="ACN109" s="769"/>
      <c r="ACO109" s="769"/>
      <c r="ACP109" s="769"/>
      <c r="ACQ109" s="769"/>
      <c r="ACR109" s="769"/>
      <c r="ACS109" s="769"/>
      <c r="ACT109" s="769"/>
      <c r="ACU109" s="769"/>
      <c r="ACV109" s="769"/>
      <c r="ACW109" s="769"/>
      <c r="ACX109" s="769"/>
      <c r="ACY109" s="769"/>
      <c r="ACZ109" s="769"/>
      <c r="ADA109" s="769"/>
      <c r="ADB109" s="769"/>
      <c r="ADC109" s="769"/>
      <c r="ADD109" s="769"/>
      <c r="ADE109" s="769"/>
      <c r="ADF109" s="769"/>
      <c r="ADG109" s="769"/>
      <c r="ADH109" s="769"/>
      <c r="ADI109" s="769"/>
      <c r="ADJ109" s="769"/>
      <c r="ADK109" s="769"/>
      <c r="ADL109" s="769"/>
      <c r="ADM109" s="769"/>
      <c r="ADN109" s="769"/>
      <c r="ADO109" s="769"/>
      <c r="ADP109" s="769"/>
      <c r="ADQ109" s="769"/>
      <c r="ADR109" s="769"/>
      <c r="ADS109" s="769"/>
      <c r="ADT109" s="769"/>
      <c r="ADU109" s="769"/>
      <c r="ADV109" s="769"/>
      <c r="ADW109" s="769"/>
      <c r="ADX109" s="769"/>
      <c r="ADY109" s="769"/>
      <c r="ADZ109" s="769"/>
      <c r="AEA109" s="769"/>
      <c r="AEB109" s="769"/>
      <c r="AEC109" s="769"/>
      <c r="AED109" s="769"/>
      <c r="AEE109" s="769"/>
      <c r="AEF109" s="769"/>
      <c r="AEG109" s="769"/>
      <c r="AEH109" s="769"/>
      <c r="AEI109" s="769"/>
      <c r="AEJ109" s="769"/>
      <c r="AEK109" s="769"/>
      <c r="AEL109" s="769"/>
      <c r="AEM109" s="769"/>
      <c r="AEN109" s="769"/>
      <c r="AEO109" s="769"/>
      <c r="AEP109" s="769"/>
      <c r="AEQ109" s="769"/>
      <c r="AER109" s="769"/>
      <c r="AES109" s="769"/>
      <c r="AET109" s="769"/>
      <c r="AEU109" s="769"/>
      <c r="AEV109" s="769"/>
      <c r="AEW109" s="769"/>
      <c r="AEX109" s="769"/>
      <c r="AEY109" s="769"/>
      <c r="AEZ109" s="769"/>
      <c r="AFA109" s="769"/>
      <c r="AFB109" s="769"/>
      <c r="AFC109" s="769"/>
      <c r="AFD109" s="769"/>
      <c r="AFE109" s="769"/>
      <c r="AFF109" s="769"/>
      <c r="AFG109" s="769"/>
      <c r="AFH109" s="769"/>
      <c r="AFI109" s="769"/>
      <c r="AFJ109" s="769"/>
      <c r="AFK109" s="769"/>
      <c r="AFL109" s="769"/>
      <c r="AFM109" s="769"/>
      <c r="AFN109" s="769"/>
      <c r="AFO109" s="769"/>
      <c r="AFP109" s="769"/>
      <c r="AFQ109" s="769"/>
      <c r="AFR109" s="769"/>
      <c r="AFS109" s="769"/>
      <c r="AFT109" s="769"/>
      <c r="AFU109" s="769"/>
      <c r="AFV109" s="769"/>
      <c r="AFW109" s="769"/>
      <c r="AFX109" s="769"/>
      <c r="AFY109" s="769"/>
      <c r="AFZ109" s="769"/>
      <c r="AGA109" s="769"/>
      <c r="AGB109" s="769"/>
      <c r="AGC109" s="769"/>
      <c r="AGD109" s="769"/>
      <c r="AGE109" s="769"/>
      <c r="AGF109" s="769"/>
      <c r="AGG109" s="769"/>
      <c r="AGH109" s="769"/>
      <c r="AGI109" s="769"/>
      <c r="AGJ109" s="769"/>
      <c r="AGK109" s="769"/>
      <c r="AGL109" s="769"/>
      <c r="AGM109" s="769"/>
      <c r="AGN109" s="769"/>
      <c r="AGO109" s="769"/>
      <c r="AGP109" s="769"/>
      <c r="AGQ109" s="769"/>
      <c r="AGR109" s="769"/>
      <c r="AGS109" s="769"/>
      <c r="AGT109" s="769"/>
      <c r="AGU109" s="769"/>
      <c r="AGV109" s="769"/>
      <c r="AGW109" s="769"/>
      <c r="AGX109" s="769"/>
      <c r="AGY109" s="769"/>
      <c r="AGZ109" s="769"/>
      <c r="AHA109" s="769"/>
      <c r="AHB109" s="769"/>
      <c r="AHC109" s="769"/>
      <c r="AHD109" s="769"/>
      <c r="AHE109" s="769"/>
      <c r="AHF109" s="769"/>
      <c r="AHG109" s="769"/>
      <c r="AHH109" s="769"/>
      <c r="AHI109" s="769"/>
      <c r="AHJ109" s="769"/>
      <c r="AHK109" s="769"/>
      <c r="AHL109" s="769"/>
      <c r="AHM109" s="769"/>
      <c r="AHN109" s="769"/>
      <c r="AHO109" s="769"/>
      <c r="AHP109" s="769"/>
      <c r="AHQ109" s="769"/>
      <c r="AHR109" s="769"/>
      <c r="AHS109" s="769"/>
      <c r="AHT109" s="769"/>
      <c r="AHU109" s="769"/>
      <c r="AHV109" s="769"/>
      <c r="AHW109" s="769"/>
      <c r="AHX109" s="769"/>
      <c r="AHY109" s="769"/>
      <c r="AHZ109" s="769"/>
      <c r="AIA109" s="769"/>
      <c r="AIB109" s="769"/>
      <c r="AIC109" s="769"/>
      <c r="AID109" s="769"/>
      <c r="AIE109" s="769"/>
      <c r="AIF109" s="769"/>
      <c r="AIG109" s="769"/>
      <c r="AIH109" s="769"/>
      <c r="AII109" s="769"/>
      <c r="AIJ109" s="769"/>
      <c r="AIK109" s="769"/>
      <c r="AIL109" s="769"/>
      <c r="AIM109" s="769"/>
      <c r="AIN109" s="769"/>
      <c r="AIO109" s="769"/>
      <c r="AIP109" s="769"/>
      <c r="AIQ109" s="769"/>
      <c r="AIR109" s="769"/>
      <c r="AIS109" s="769"/>
      <c r="AIT109" s="769"/>
      <c r="AIU109" s="769"/>
      <c r="AIV109" s="769"/>
      <c r="AIW109" s="769"/>
      <c r="AIX109" s="769"/>
      <c r="AIY109" s="769"/>
      <c r="AIZ109" s="769"/>
      <c r="AJA109" s="769"/>
      <c r="AJB109" s="769"/>
      <c r="AJC109" s="769"/>
      <c r="AJD109" s="769"/>
      <c r="AJE109" s="769"/>
      <c r="AJF109" s="769"/>
      <c r="AJG109" s="769"/>
      <c r="AJH109" s="769"/>
      <c r="AJI109" s="769"/>
      <c r="AJJ109" s="769"/>
      <c r="AJK109" s="769"/>
      <c r="AJL109" s="769"/>
      <c r="AJM109" s="769"/>
      <c r="AJN109" s="769"/>
      <c r="AJO109" s="769"/>
      <c r="AJP109" s="769"/>
      <c r="AJQ109" s="769"/>
      <c r="AJR109" s="769"/>
      <c r="AJS109" s="769"/>
      <c r="AJT109" s="769"/>
      <c r="AJU109" s="769"/>
      <c r="AJV109" s="769"/>
      <c r="AJW109" s="769"/>
      <c r="AJX109" s="769"/>
      <c r="AJY109" s="769"/>
      <c r="AJZ109" s="769"/>
      <c r="AKA109" s="769"/>
      <c r="AKB109" s="769"/>
      <c r="AKC109" s="769"/>
      <c r="AKD109" s="769"/>
      <c r="AKE109" s="769"/>
      <c r="AKF109" s="769"/>
      <c r="AKG109" s="769"/>
      <c r="AKH109" s="769"/>
      <c r="AKI109" s="769"/>
      <c r="AKJ109" s="769"/>
      <c r="AKK109" s="769"/>
      <c r="AKL109" s="769"/>
      <c r="AKM109" s="769"/>
      <c r="AKN109" s="769"/>
      <c r="AKO109" s="769"/>
      <c r="AKP109" s="769"/>
      <c r="AKQ109" s="769"/>
      <c r="AKR109" s="769"/>
      <c r="AKS109" s="769"/>
      <c r="AKT109" s="769"/>
      <c r="AKU109" s="769"/>
      <c r="AKV109" s="769"/>
      <c r="AKW109" s="769"/>
      <c r="AKX109" s="769"/>
      <c r="AKY109" s="769"/>
      <c r="AKZ109" s="769"/>
      <c r="ALA109" s="769"/>
      <c r="ALB109" s="769"/>
      <c r="ALC109" s="769"/>
      <c r="ALD109" s="769"/>
      <c r="ALE109" s="769"/>
      <c r="ALF109" s="769"/>
      <c r="ALG109" s="769"/>
      <c r="ALH109" s="769"/>
      <c r="ALI109" s="769"/>
      <c r="ALJ109" s="769"/>
      <c r="ALK109" s="769"/>
      <c r="ALL109" s="769"/>
      <c r="ALM109" s="769"/>
      <c r="ALN109" s="769"/>
      <c r="ALO109" s="769"/>
      <c r="ALP109" s="769"/>
      <c r="ALQ109" s="769"/>
      <c r="ALR109" s="769"/>
      <c r="ALS109" s="769"/>
      <c r="ALT109" s="769"/>
      <c r="ALU109" s="769"/>
      <c r="ALV109" s="769"/>
      <c r="ALW109" s="769"/>
      <c r="ALX109" s="769"/>
      <c r="ALY109" s="769"/>
      <c r="ALZ109" s="769"/>
      <c r="AMA109" s="769"/>
      <c r="AMB109" s="769"/>
      <c r="AMC109" s="769"/>
      <c r="AMD109" s="769"/>
      <c r="AME109" s="769"/>
      <c r="AMF109" s="769"/>
      <c r="AMG109" s="769"/>
      <c r="AMH109" s="769"/>
      <c r="AMI109" s="769"/>
      <c r="AMJ109" s="769"/>
      <c r="AMK109" s="769"/>
      <c r="AML109" s="769"/>
      <c r="AMM109" s="769"/>
      <c r="AMN109" s="769"/>
      <c r="AMO109" s="769"/>
      <c r="AMP109" s="769"/>
      <c r="AMQ109" s="769"/>
      <c r="AMR109" s="769"/>
      <c r="AMS109" s="769"/>
      <c r="AMT109" s="769"/>
      <c r="AMU109" s="769"/>
      <c r="AMV109" s="769"/>
      <c r="AMW109" s="769"/>
      <c r="AMX109" s="769"/>
      <c r="AMY109" s="769"/>
      <c r="AMZ109" s="769"/>
      <c r="ANA109" s="769"/>
      <c r="ANB109" s="769"/>
      <c r="ANC109" s="769"/>
      <c r="AND109" s="769"/>
      <c r="ANE109" s="769"/>
      <c r="ANF109" s="769"/>
      <c r="ANG109" s="769"/>
      <c r="ANH109" s="769"/>
      <c r="ANI109" s="769"/>
      <c r="ANJ109" s="769"/>
      <c r="ANK109" s="769"/>
      <c r="ANL109" s="769"/>
      <c r="ANM109" s="769"/>
      <c r="ANN109" s="769"/>
      <c r="ANO109" s="769"/>
      <c r="ANP109" s="769"/>
      <c r="ANQ109" s="769"/>
      <c r="ANR109" s="769"/>
      <c r="ANS109" s="769"/>
      <c r="ANT109" s="769"/>
      <c r="ANU109" s="769"/>
      <c r="ANV109" s="769"/>
      <c r="ANW109" s="769"/>
      <c r="ANX109" s="769"/>
      <c r="ANY109" s="769"/>
      <c r="ANZ109" s="769"/>
      <c r="AOA109" s="769"/>
      <c r="AOB109" s="769"/>
      <c r="AOC109" s="769"/>
      <c r="AOD109" s="769"/>
      <c r="AOE109" s="769"/>
      <c r="AOF109" s="769"/>
      <c r="AOG109" s="769"/>
      <c r="AOH109" s="769"/>
      <c r="AOI109" s="769"/>
      <c r="AOJ109" s="769"/>
      <c r="AOK109" s="769"/>
      <c r="AOL109" s="769"/>
      <c r="AOM109" s="769"/>
      <c r="AON109" s="769"/>
      <c r="AOO109" s="769"/>
      <c r="AOP109" s="769"/>
      <c r="AOQ109" s="769"/>
      <c r="AOR109" s="769"/>
      <c r="AOS109" s="769"/>
      <c r="AOT109" s="769"/>
      <c r="AOU109" s="769"/>
      <c r="AOV109" s="769"/>
      <c r="AOW109" s="769"/>
      <c r="AOX109" s="769"/>
      <c r="AOY109" s="769"/>
      <c r="AOZ109" s="769"/>
      <c r="APA109" s="769"/>
      <c r="APB109" s="769"/>
      <c r="APC109" s="769"/>
      <c r="APD109" s="769"/>
      <c r="APE109" s="769"/>
      <c r="APF109" s="769"/>
      <c r="APG109" s="769"/>
      <c r="APH109" s="769"/>
      <c r="API109" s="769"/>
      <c r="APJ109" s="769"/>
      <c r="APK109" s="769"/>
      <c r="APL109" s="769"/>
      <c r="APM109" s="769"/>
      <c r="APN109" s="769"/>
      <c r="APO109" s="769"/>
      <c r="APP109" s="769"/>
      <c r="APQ109" s="769"/>
      <c r="APR109" s="769"/>
      <c r="APS109" s="769"/>
      <c r="APT109" s="769"/>
      <c r="APU109" s="769"/>
      <c r="APV109" s="769"/>
      <c r="APW109" s="769"/>
      <c r="APX109" s="769"/>
      <c r="APY109" s="769"/>
      <c r="APZ109" s="769"/>
      <c r="AQA109" s="769"/>
      <c r="AQB109" s="769"/>
      <c r="AQC109" s="769"/>
      <c r="AQD109" s="769"/>
      <c r="AQE109" s="769"/>
      <c r="AQF109" s="769"/>
      <c r="AQG109" s="769"/>
      <c r="AQH109" s="769"/>
      <c r="AQI109" s="769"/>
      <c r="AQJ109" s="769"/>
      <c r="AQK109" s="769"/>
      <c r="AQL109" s="769"/>
      <c r="AQM109" s="769"/>
      <c r="AQN109" s="769"/>
      <c r="AQO109" s="769"/>
      <c r="AQP109" s="769"/>
      <c r="AQQ109" s="769"/>
      <c r="AQR109" s="769"/>
      <c r="AQS109" s="769"/>
      <c r="AQT109" s="769"/>
      <c r="AQU109" s="769"/>
      <c r="AQV109" s="769"/>
      <c r="AQW109" s="769"/>
      <c r="AQX109" s="769"/>
      <c r="AQY109" s="769"/>
      <c r="AQZ109" s="769"/>
      <c r="ARA109" s="769"/>
      <c r="ARB109" s="769"/>
      <c r="ARC109" s="769"/>
      <c r="ARD109" s="769"/>
      <c r="ARE109" s="769"/>
      <c r="ARF109" s="769"/>
      <c r="ARG109" s="769"/>
      <c r="ARH109" s="769"/>
      <c r="ARI109" s="769"/>
      <c r="ARJ109" s="769"/>
      <c r="ARK109" s="769"/>
      <c r="ARL109" s="769"/>
      <c r="ARM109" s="769"/>
      <c r="ARN109" s="769"/>
      <c r="ARO109" s="769"/>
      <c r="ARP109" s="769"/>
      <c r="ARQ109" s="769"/>
      <c r="ARR109" s="769"/>
      <c r="ARS109" s="769"/>
      <c r="ART109" s="769"/>
      <c r="ARU109" s="769"/>
      <c r="ARV109" s="769"/>
      <c r="ARW109" s="769"/>
      <c r="ARX109" s="769"/>
      <c r="ARY109" s="769"/>
      <c r="ARZ109" s="769"/>
      <c r="ASA109" s="769"/>
      <c r="ASB109" s="769"/>
      <c r="ASC109" s="769"/>
      <c r="ASD109" s="769"/>
      <c r="ASE109" s="769"/>
      <c r="ASF109" s="769"/>
      <c r="ASG109" s="769"/>
      <c r="ASH109" s="769"/>
      <c r="ASI109" s="769"/>
      <c r="ASJ109" s="769"/>
      <c r="ASK109" s="769"/>
      <c r="ASL109" s="769"/>
      <c r="ASM109" s="769"/>
      <c r="ASN109" s="769"/>
      <c r="ASO109" s="769"/>
      <c r="ASP109" s="769"/>
      <c r="ASQ109" s="769"/>
      <c r="ASR109" s="769"/>
      <c r="ASS109" s="769"/>
      <c r="AST109" s="769"/>
      <c r="ASU109" s="769"/>
      <c r="ASV109" s="769"/>
      <c r="ASW109" s="769"/>
      <c r="ASX109" s="769"/>
      <c r="ASY109" s="769"/>
      <c r="ASZ109" s="769"/>
      <c r="ATA109" s="769"/>
      <c r="ATB109" s="769"/>
      <c r="ATC109" s="769"/>
      <c r="ATD109" s="769"/>
      <c r="ATE109" s="769"/>
      <c r="ATF109" s="769"/>
      <c r="ATG109" s="769"/>
      <c r="ATH109" s="769"/>
      <c r="ATI109" s="769"/>
      <c r="ATJ109" s="769"/>
      <c r="ATK109" s="769"/>
      <c r="ATL109" s="769"/>
      <c r="ATM109" s="769"/>
      <c r="ATN109" s="769"/>
      <c r="ATO109" s="769"/>
      <c r="ATP109" s="769"/>
      <c r="ATQ109" s="769"/>
      <c r="ATR109" s="769"/>
      <c r="ATS109" s="769"/>
      <c r="ATT109" s="769"/>
      <c r="ATU109" s="769"/>
      <c r="ATV109" s="769"/>
      <c r="ATW109" s="769"/>
      <c r="ATX109" s="769"/>
      <c r="ATY109" s="769"/>
      <c r="ATZ109" s="769"/>
      <c r="AUA109" s="769"/>
      <c r="AUB109" s="769"/>
      <c r="AUC109" s="769"/>
      <c r="AUD109" s="769"/>
      <c r="AUE109" s="769"/>
      <c r="AUF109" s="769"/>
      <c r="AUG109" s="769"/>
      <c r="AUH109" s="769"/>
      <c r="AUI109" s="769"/>
      <c r="AUJ109" s="769"/>
      <c r="AUK109" s="769"/>
      <c r="AUL109" s="769"/>
      <c r="AUM109" s="769"/>
      <c r="AUN109" s="769"/>
      <c r="AUO109" s="769"/>
      <c r="AUP109" s="769"/>
      <c r="AUQ109" s="769"/>
      <c r="AUR109" s="769"/>
      <c r="AUS109" s="769"/>
      <c r="AUT109" s="769"/>
      <c r="AUU109" s="769"/>
      <c r="AUV109" s="769"/>
      <c r="AUW109" s="769"/>
      <c r="AUX109" s="769"/>
      <c r="AUY109" s="769"/>
      <c r="AUZ109" s="769"/>
      <c r="AVA109" s="769"/>
      <c r="AVB109" s="769"/>
      <c r="AVC109" s="769"/>
      <c r="AVD109" s="769"/>
      <c r="AVE109" s="769"/>
      <c r="AVF109" s="769"/>
      <c r="AVG109" s="769"/>
      <c r="AVH109" s="769"/>
      <c r="AVI109" s="769"/>
      <c r="AVJ109" s="769"/>
      <c r="AVK109" s="769"/>
      <c r="AVL109" s="769"/>
      <c r="AVM109" s="769"/>
      <c r="AVN109" s="769"/>
      <c r="AVO109" s="769"/>
      <c r="AVP109" s="769"/>
      <c r="AVQ109" s="769"/>
      <c r="AVR109" s="769"/>
      <c r="AVS109" s="769"/>
      <c r="AVT109" s="769"/>
      <c r="AVU109" s="769"/>
      <c r="AVV109" s="769"/>
      <c r="AVW109" s="769"/>
      <c r="AVX109" s="769"/>
      <c r="AVY109" s="769"/>
      <c r="AVZ109" s="769"/>
      <c r="AWA109" s="769"/>
      <c r="AWB109" s="769"/>
      <c r="AWC109" s="769"/>
      <c r="AWD109" s="769"/>
      <c r="AWE109" s="769"/>
      <c r="AWF109" s="769"/>
      <c r="AWG109" s="769"/>
      <c r="AWH109" s="769"/>
      <c r="AWI109" s="769"/>
      <c r="AWJ109" s="769"/>
      <c r="AWK109" s="769"/>
      <c r="AWL109" s="769"/>
      <c r="AWM109" s="769"/>
      <c r="AWN109" s="769"/>
      <c r="AWO109" s="769"/>
      <c r="AWP109" s="769"/>
      <c r="AWQ109" s="769"/>
      <c r="AWR109" s="769"/>
      <c r="AWS109" s="769"/>
      <c r="AWT109" s="769"/>
      <c r="AWU109" s="769"/>
      <c r="AWV109" s="769"/>
      <c r="AWW109" s="769"/>
      <c r="AWX109" s="769"/>
      <c r="AWY109" s="769"/>
      <c r="AWZ109" s="769"/>
      <c r="AXA109" s="769"/>
      <c r="AXB109" s="769"/>
      <c r="AXC109" s="769"/>
      <c r="AXD109" s="769"/>
      <c r="AXE109" s="769"/>
      <c r="AXF109" s="769"/>
      <c r="AXG109" s="769"/>
      <c r="AXH109" s="769"/>
      <c r="AXI109" s="769"/>
      <c r="AXJ109" s="769"/>
      <c r="AXK109" s="769"/>
      <c r="AXL109" s="769"/>
      <c r="AXM109" s="769"/>
      <c r="AXN109" s="769"/>
      <c r="AXO109" s="769"/>
      <c r="AXP109" s="769"/>
      <c r="AXQ109" s="769"/>
      <c r="AXR109" s="769"/>
      <c r="AXS109" s="769"/>
      <c r="AXT109" s="769"/>
      <c r="AXU109" s="769"/>
      <c r="AXV109" s="769"/>
      <c r="AXW109" s="769"/>
      <c r="AXX109" s="769"/>
      <c r="AXY109" s="769"/>
      <c r="AXZ109" s="769"/>
      <c r="AYA109" s="769"/>
      <c r="AYB109" s="769"/>
      <c r="AYC109" s="769"/>
      <c r="AYD109" s="769"/>
      <c r="AYE109" s="769"/>
      <c r="AYF109" s="769"/>
      <c r="AYG109" s="769"/>
      <c r="AYH109" s="769"/>
      <c r="AYI109" s="769"/>
      <c r="AYJ109" s="769"/>
      <c r="AYK109" s="769"/>
      <c r="AYL109" s="769"/>
      <c r="AYM109" s="769"/>
      <c r="AYN109" s="769"/>
      <c r="AYO109" s="769"/>
      <c r="AYP109" s="769"/>
      <c r="AYQ109" s="769"/>
      <c r="AYR109" s="769"/>
      <c r="AYS109" s="769"/>
      <c r="AYT109" s="769"/>
      <c r="AYU109" s="769"/>
      <c r="AYV109" s="769"/>
      <c r="AYW109" s="769"/>
      <c r="AYX109" s="769"/>
      <c r="AYY109" s="769"/>
      <c r="AYZ109" s="769"/>
      <c r="AZA109" s="769"/>
      <c r="AZB109" s="769"/>
      <c r="AZC109" s="769"/>
      <c r="AZD109" s="769"/>
      <c r="AZE109" s="769"/>
      <c r="AZF109" s="769"/>
      <c r="AZG109" s="769"/>
      <c r="AZH109" s="769"/>
      <c r="AZI109" s="769"/>
      <c r="AZJ109" s="769"/>
      <c r="AZK109" s="769"/>
      <c r="AZL109" s="769"/>
      <c r="AZM109" s="769"/>
      <c r="AZN109" s="769"/>
      <c r="AZO109" s="769"/>
      <c r="AZP109" s="769"/>
      <c r="AZQ109" s="769"/>
      <c r="AZR109" s="769"/>
      <c r="AZS109" s="769"/>
      <c r="AZT109" s="769"/>
      <c r="AZU109" s="769"/>
      <c r="AZV109" s="769"/>
      <c r="AZW109" s="769"/>
      <c r="AZX109" s="769"/>
      <c r="AZY109" s="769"/>
      <c r="AZZ109" s="769"/>
      <c r="BAA109" s="769"/>
      <c r="BAB109" s="769"/>
      <c r="BAC109" s="769"/>
      <c r="BAD109" s="769"/>
      <c r="BAE109" s="769"/>
      <c r="BAF109" s="769"/>
      <c r="BAG109" s="769"/>
      <c r="BAH109" s="769"/>
      <c r="BAI109" s="769"/>
      <c r="BAJ109" s="769"/>
      <c r="BAK109" s="769"/>
      <c r="BAL109" s="769"/>
      <c r="BAM109" s="769"/>
      <c r="BAN109" s="769"/>
      <c r="BAO109" s="769"/>
      <c r="BAP109" s="769"/>
      <c r="BAQ109" s="769"/>
      <c r="BAR109" s="769"/>
      <c r="BAS109" s="769"/>
      <c r="BAT109" s="769"/>
      <c r="BAU109" s="769"/>
      <c r="BAV109" s="769"/>
      <c r="BAW109" s="769"/>
      <c r="BAX109" s="769"/>
      <c r="BAY109" s="769"/>
      <c r="BAZ109" s="769"/>
      <c r="BBA109" s="769"/>
      <c r="BBB109" s="769"/>
      <c r="BBC109" s="769"/>
      <c r="BBD109" s="769"/>
      <c r="BBE109" s="769"/>
      <c r="BBF109" s="769"/>
      <c r="BBG109" s="769"/>
      <c r="BBH109" s="769"/>
      <c r="BBI109" s="769"/>
      <c r="BBJ109" s="769"/>
      <c r="BBK109" s="769"/>
      <c r="BBL109" s="769"/>
      <c r="BBM109" s="769"/>
      <c r="BBN109" s="769"/>
      <c r="BBO109" s="769"/>
      <c r="BBP109" s="769"/>
      <c r="BBQ109" s="769"/>
      <c r="BBR109" s="769"/>
      <c r="BBS109" s="769"/>
      <c r="BBT109" s="769"/>
      <c r="BBU109" s="769"/>
      <c r="BBV109" s="769"/>
      <c r="BBW109" s="769"/>
      <c r="BBX109" s="769"/>
      <c r="BBY109" s="769"/>
      <c r="BBZ109" s="769"/>
      <c r="BCA109" s="769"/>
      <c r="BCB109" s="769"/>
      <c r="BCC109" s="769"/>
      <c r="BCD109" s="769"/>
      <c r="BCE109" s="769"/>
      <c r="BCF109" s="769"/>
      <c r="BCG109" s="769"/>
      <c r="BCH109" s="769"/>
      <c r="BCI109" s="769"/>
      <c r="BCJ109" s="769"/>
      <c r="BCK109" s="769"/>
      <c r="BCL109" s="769"/>
      <c r="BCM109" s="769"/>
      <c r="BCN109" s="769"/>
      <c r="BCO109" s="769"/>
      <c r="BCP109" s="769"/>
      <c r="BCQ109" s="769"/>
      <c r="BCR109" s="769"/>
      <c r="BCS109" s="769"/>
      <c r="BCT109" s="769"/>
      <c r="BCU109" s="769"/>
      <c r="BCV109" s="769"/>
      <c r="BCW109" s="769"/>
      <c r="BCX109" s="769"/>
      <c r="BCY109" s="769"/>
      <c r="BCZ109" s="769"/>
      <c r="BDA109" s="769"/>
      <c r="BDB109" s="769"/>
      <c r="BDC109" s="769"/>
      <c r="BDD109" s="769"/>
      <c r="BDE109" s="769"/>
      <c r="BDF109" s="769"/>
      <c r="BDG109" s="769"/>
      <c r="BDH109" s="769"/>
      <c r="BDI109" s="769"/>
      <c r="BDJ109" s="769"/>
      <c r="BDK109" s="769"/>
      <c r="BDL109" s="769"/>
      <c r="BDM109" s="769"/>
      <c r="BDN109" s="769"/>
      <c r="BDO109" s="769"/>
      <c r="BDP109" s="769"/>
      <c r="BDQ109" s="769"/>
      <c r="BDR109" s="769"/>
      <c r="BDS109" s="769"/>
      <c r="BDT109" s="769"/>
      <c r="BDU109" s="769"/>
      <c r="BDV109" s="769"/>
      <c r="BDW109" s="769"/>
      <c r="BDX109" s="769"/>
      <c r="BDY109" s="769"/>
      <c r="BDZ109" s="769"/>
      <c r="BEA109" s="769"/>
      <c r="BEB109" s="769"/>
      <c r="BEC109" s="769"/>
      <c r="BED109" s="769"/>
      <c r="BEE109" s="769"/>
      <c r="BEF109" s="769"/>
      <c r="BEG109" s="769"/>
      <c r="BEH109" s="769"/>
      <c r="BEI109" s="769"/>
      <c r="BEJ109" s="769"/>
      <c r="BEK109" s="769"/>
      <c r="BEL109" s="769"/>
      <c r="BEM109" s="769"/>
      <c r="BEN109" s="769"/>
      <c r="BEO109" s="769"/>
      <c r="BEP109" s="769"/>
      <c r="BEQ109" s="769"/>
      <c r="BER109" s="769"/>
      <c r="BES109" s="769"/>
      <c r="BET109" s="769"/>
      <c r="BEU109" s="769"/>
      <c r="BEV109" s="769"/>
      <c r="BEW109" s="769"/>
      <c r="BEX109" s="769"/>
      <c r="BEY109" s="769"/>
      <c r="BEZ109" s="769"/>
      <c r="BFA109" s="769"/>
      <c r="BFB109" s="769"/>
      <c r="BFC109" s="769"/>
      <c r="BFD109" s="769"/>
      <c r="BFE109" s="769"/>
      <c r="BFF109" s="769"/>
      <c r="BFG109" s="769"/>
      <c r="BFH109" s="769"/>
      <c r="BFI109" s="769"/>
      <c r="BFJ109" s="769"/>
      <c r="BFK109" s="769"/>
      <c r="BFL109" s="769"/>
      <c r="BFM109" s="769"/>
      <c r="BFN109" s="769"/>
      <c r="BFO109" s="769"/>
      <c r="BFP109" s="769"/>
      <c r="BFQ109" s="769"/>
      <c r="BFR109" s="769"/>
      <c r="BFS109" s="769"/>
      <c r="BFT109" s="769"/>
      <c r="BFU109" s="769"/>
      <c r="BFV109" s="769"/>
      <c r="BFW109" s="769"/>
      <c r="BFX109" s="769"/>
      <c r="BFY109" s="769"/>
      <c r="BFZ109" s="769"/>
      <c r="BGA109" s="769"/>
      <c r="BGB109" s="769"/>
      <c r="BGC109" s="769"/>
      <c r="BGD109" s="769"/>
      <c r="BGE109" s="769"/>
      <c r="BGF109" s="769"/>
      <c r="BGG109" s="769"/>
      <c r="BGH109" s="769"/>
      <c r="BGI109" s="769"/>
      <c r="BGJ109" s="769"/>
      <c r="BGK109" s="769"/>
      <c r="BGL109" s="769"/>
      <c r="BGM109" s="769"/>
      <c r="BGN109" s="769"/>
      <c r="BGO109" s="769"/>
      <c r="BGP109" s="769"/>
      <c r="BGQ109" s="769"/>
      <c r="BGR109" s="769"/>
      <c r="BGS109" s="769"/>
      <c r="BGT109" s="769"/>
      <c r="BGU109" s="769"/>
      <c r="BGV109" s="769"/>
      <c r="BGW109" s="769"/>
      <c r="BGX109" s="769"/>
      <c r="BGY109" s="769"/>
      <c r="BGZ109" s="769"/>
      <c r="BHA109" s="769"/>
      <c r="BHB109" s="769"/>
      <c r="BHC109" s="769"/>
      <c r="BHD109" s="769"/>
      <c r="BHE109" s="769"/>
      <c r="BHF109" s="769"/>
      <c r="BHG109" s="769"/>
      <c r="BHH109" s="769"/>
      <c r="BHI109" s="769"/>
      <c r="BHJ109" s="769"/>
      <c r="BHK109" s="769"/>
      <c r="BHL109" s="769"/>
      <c r="BHM109" s="769"/>
      <c r="BHN109" s="769"/>
      <c r="BHO109" s="769"/>
      <c r="BHP109" s="769"/>
      <c r="BHQ109" s="769"/>
      <c r="BHR109" s="769"/>
      <c r="BHS109" s="769"/>
      <c r="BHT109" s="769"/>
      <c r="BHU109" s="769"/>
      <c r="BHV109" s="769"/>
      <c r="BHW109" s="769"/>
      <c r="BHX109" s="769"/>
      <c r="BHY109" s="769"/>
      <c r="BHZ109" s="769"/>
      <c r="BIA109" s="769"/>
      <c r="BIB109" s="769"/>
      <c r="BIC109" s="769"/>
      <c r="BID109" s="769"/>
      <c r="BIE109" s="769"/>
      <c r="BIF109" s="769"/>
      <c r="BIG109" s="769"/>
      <c r="BIH109" s="769"/>
      <c r="BII109" s="769"/>
      <c r="BIJ109" s="769"/>
      <c r="BIK109" s="769"/>
      <c r="BIL109" s="769"/>
      <c r="BIM109" s="769"/>
      <c r="BIN109" s="769"/>
      <c r="BIO109" s="769"/>
      <c r="BIP109" s="769"/>
      <c r="BIQ109" s="769"/>
      <c r="BIR109" s="769"/>
      <c r="BIS109" s="769"/>
      <c r="BIT109" s="769"/>
      <c r="BIU109" s="769"/>
      <c r="BIV109" s="769"/>
      <c r="BIW109" s="769"/>
      <c r="BIX109" s="769"/>
      <c r="BIY109" s="769"/>
      <c r="BIZ109" s="769"/>
      <c r="BJA109" s="769"/>
      <c r="BJB109" s="769"/>
      <c r="BJC109" s="769"/>
      <c r="BJD109" s="769"/>
      <c r="BJE109" s="769"/>
      <c r="BJF109" s="769"/>
      <c r="BJG109" s="769"/>
      <c r="BJH109" s="769"/>
      <c r="BJI109" s="769"/>
      <c r="BJJ109" s="769"/>
      <c r="BJK109" s="769"/>
      <c r="BJL109" s="769"/>
      <c r="BJM109" s="769"/>
      <c r="BJN109" s="769"/>
      <c r="BJO109" s="769"/>
      <c r="BJP109" s="769"/>
      <c r="BJQ109" s="769"/>
      <c r="BJR109" s="769"/>
      <c r="BJS109" s="769"/>
      <c r="BJT109" s="769"/>
      <c r="BJU109" s="769"/>
      <c r="BJV109" s="769"/>
      <c r="BJW109" s="769"/>
      <c r="BJX109" s="769"/>
      <c r="BJY109" s="769"/>
      <c r="BJZ109" s="769"/>
      <c r="BKA109" s="769"/>
      <c r="BKB109" s="769"/>
      <c r="BKC109" s="769"/>
      <c r="BKD109" s="769"/>
      <c r="BKE109" s="769"/>
      <c r="BKF109" s="769"/>
      <c r="BKG109" s="769"/>
      <c r="BKH109" s="769"/>
      <c r="BKI109" s="769"/>
      <c r="BKJ109" s="769"/>
      <c r="BKK109" s="769"/>
      <c r="BKL109" s="769"/>
      <c r="BKM109" s="769"/>
      <c r="BKN109" s="769"/>
      <c r="BKO109" s="769"/>
      <c r="BKP109" s="769"/>
      <c r="BKQ109" s="769"/>
      <c r="BKR109" s="769"/>
      <c r="BKS109" s="769"/>
      <c r="BKT109" s="769"/>
      <c r="BKU109" s="769"/>
      <c r="BKV109" s="769"/>
      <c r="BKW109" s="769"/>
      <c r="BKX109" s="769"/>
      <c r="BKY109" s="769"/>
      <c r="BKZ109" s="769"/>
      <c r="BLA109" s="769"/>
      <c r="BLB109" s="769"/>
      <c r="BLC109" s="769"/>
      <c r="BLD109" s="769"/>
      <c r="BLE109" s="769"/>
      <c r="BLF109" s="769"/>
      <c r="BLG109" s="769"/>
      <c r="BLH109" s="769"/>
      <c r="BLI109" s="769"/>
      <c r="BLJ109" s="769"/>
      <c r="BLK109" s="769"/>
      <c r="BLL109" s="769"/>
      <c r="BLM109" s="769"/>
      <c r="BLN109" s="769"/>
      <c r="BLO109" s="769"/>
      <c r="BLP109" s="769"/>
      <c r="BLQ109" s="769"/>
      <c r="BLR109" s="769"/>
      <c r="BLS109" s="769"/>
      <c r="BLT109" s="769"/>
      <c r="BLU109" s="769"/>
      <c r="BLV109" s="769"/>
      <c r="BLW109" s="769"/>
      <c r="BLX109" s="769"/>
      <c r="BLY109" s="769"/>
      <c r="BLZ109" s="769"/>
      <c r="BMA109" s="769"/>
      <c r="BMB109" s="769"/>
      <c r="BMC109" s="769"/>
      <c r="BMD109" s="769"/>
      <c r="BME109" s="769"/>
      <c r="BMF109" s="769"/>
      <c r="BMG109" s="769"/>
      <c r="BMH109" s="769"/>
      <c r="BMI109" s="769"/>
      <c r="BMJ109" s="769"/>
      <c r="BMK109" s="769"/>
      <c r="BML109" s="769"/>
      <c r="BMM109" s="769"/>
      <c r="BMN109" s="769"/>
      <c r="BMO109" s="769"/>
      <c r="BMP109" s="769"/>
      <c r="BMQ109" s="769"/>
      <c r="BMR109" s="769"/>
      <c r="BMS109" s="769"/>
      <c r="BMT109" s="769"/>
      <c r="BMU109" s="769"/>
      <c r="BMV109" s="769"/>
      <c r="BMW109" s="769"/>
      <c r="BMX109" s="769"/>
      <c r="BMY109" s="769"/>
      <c r="BMZ109" s="769"/>
      <c r="BNA109" s="769"/>
      <c r="BNB109" s="769"/>
      <c r="BNC109" s="769"/>
      <c r="BND109" s="769"/>
      <c r="BNE109" s="769"/>
      <c r="BNF109" s="769"/>
      <c r="BNG109" s="769"/>
      <c r="BNH109" s="769"/>
      <c r="BNI109" s="769"/>
      <c r="BNJ109" s="769"/>
      <c r="BNK109" s="769"/>
      <c r="BNL109" s="769"/>
      <c r="BNM109" s="769"/>
      <c r="BNN109" s="769"/>
      <c r="BNO109" s="769"/>
      <c r="BNP109" s="769"/>
      <c r="BNQ109" s="769"/>
      <c r="BNR109" s="769"/>
      <c r="BNS109" s="769"/>
      <c r="BNT109" s="769"/>
      <c r="BNU109" s="769"/>
      <c r="BNV109" s="769"/>
      <c r="BNW109" s="769"/>
      <c r="BNX109" s="769"/>
      <c r="BNY109" s="769"/>
      <c r="BNZ109" s="769"/>
      <c r="BOA109" s="769"/>
      <c r="BOB109" s="769"/>
      <c r="BOC109" s="769"/>
      <c r="BOD109" s="769"/>
      <c r="BOE109" s="769"/>
      <c r="BOF109" s="769"/>
      <c r="BOG109" s="769"/>
      <c r="BOH109" s="769"/>
      <c r="BOI109" s="769"/>
      <c r="BOJ109" s="769"/>
      <c r="BOK109" s="769"/>
      <c r="BOL109" s="769"/>
      <c r="BOM109" s="769"/>
      <c r="BON109" s="769"/>
      <c r="BOO109" s="769"/>
      <c r="BOP109" s="769"/>
      <c r="BOQ109" s="769"/>
      <c r="BOR109" s="769"/>
      <c r="BOS109" s="769"/>
      <c r="BOT109" s="769"/>
      <c r="BOU109" s="769"/>
      <c r="BOV109" s="769"/>
      <c r="BOW109" s="769"/>
      <c r="BOX109" s="769"/>
      <c r="BOY109" s="769"/>
      <c r="BOZ109" s="769"/>
      <c r="BPA109" s="769"/>
      <c r="BPB109" s="769"/>
      <c r="BPC109" s="769"/>
      <c r="BPD109" s="769"/>
      <c r="BPE109" s="769"/>
      <c r="BPF109" s="769"/>
      <c r="BPG109" s="769"/>
      <c r="BPH109" s="769"/>
      <c r="BPI109" s="769"/>
      <c r="BPJ109" s="769"/>
      <c r="BPK109" s="769"/>
      <c r="BPL109" s="769"/>
      <c r="BPM109" s="769"/>
      <c r="BPN109" s="769"/>
      <c r="BPO109" s="769"/>
      <c r="BPP109" s="769"/>
      <c r="BPQ109" s="769"/>
      <c r="BPR109" s="769"/>
      <c r="BPS109" s="769"/>
      <c r="BPT109" s="769"/>
      <c r="BPU109" s="769"/>
      <c r="BPV109" s="769"/>
      <c r="BPW109" s="769"/>
      <c r="BPX109" s="769"/>
      <c r="BPY109" s="769"/>
      <c r="BPZ109" s="769"/>
      <c r="BQA109" s="769"/>
      <c r="BQB109" s="769"/>
      <c r="BQC109" s="769"/>
      <c r="BQD109" s="769"/>
      <c r="BQE109" s="769"/>
      <c r="BQF109" s="769"/>
      <c r="BQG109" s="769"/>
      <c r="BQH109" s="769"/>
      <c r="BQI109" s="769"/>
      <c r="BQJ109" s="769"/>
      <c r="BQK109" s="769"/>
      <c r="BQL109" s="769"/>
      <c r="BQM109" s="769"/>
      <c r="BQN109" s="769"/>
      <c r="BQO109" s="769"/>
      <c r="BQP109" s="769"/>
      <c r="BQQ109" s="769"/>
      <c r="BQR109" s="769"/>
      <c r="BQS109" s="769"/>
      <c r="BQT109" s="769"/>
      <c r="BQU109" s="769"/>
      <c r="BQV109" s="769"/>
      <c r="BQW109" s="769"/>
      <c r="BQX109" s="769"/>
      <c r="BQY109" s="769"/>
      <c r="BQZ109" s="769"/>
      <c r="BRA109" s="769"/>
      <c r="BRB109" s="769"/>
      <c r="BRC109" s="769"/>
      <c r="BRD109" s="769"/>
      <c r="BRE109" s="769"/>
      <c r="BRF109" s="769"/>
      <c r="BRG109" s="769"/>
      <c r="BRH109" s="769"/>
      <c r="BRI109" s="769"/>
      <c r="BRJ109" s="769"/>
      <c r="BRK109" s="769"/>
      <c r="BRL109" s="769"/>
      <c r="BRM109" s="769"/>
      <c r="BRN109" s="769"/>
      <c r="BRO109" s="769"/>
      <c r="BRP109" s="769"/>
      <c r="BRQ109" s="769"/>
      <c r="BRR109" s="769"/>
      <c r="BRS109" s="769"/>
      <c r="BRT109" s="769"/>
      <c r="BRU109" s="769"/>
      <c r="BRV109" s="769"/>
      <c r="BRW109" s="769"/>
      <c r="BRX109" s="769"/>
      <c r="BRY109" s="769"/>
      <c r="BRZ109" s="769"/>
      <c r="BSA109" s="769"/>
      <c r="BSB109" s="769"/>
      <c r="BSC109" s="769"/>
      <c r="BSD109" s="769"/>
      <c r="BSE109" s="769"/>
      <c r="BSF109" s="769"/>
      <c r="BSG109" s="769"/>
      <c r="BSH109" s="769"/>
      <c r="BSI109" s="769"/>
      <c r="BSJ109" s="769"/>
      <c r="BSK109" s="769"/>
      <c r="BSL109" s="769"/>
      <c r="BSM109" s="769"/>
      <c r="BSN109" s="769"/>
      <c r="BSO109" s="769"/>
      <c r="BSP109" s="769"/>
      <c r="BSQ109" s="769"/>
      <c r="BSR109" s="769"/>
      <c r="BSS109" s="769"/>
      <c r="BST109" s="769"/>
      <c r="BSU109" s="769"/>
      <c r="BSV109" s="769"/>
      <c r="BSW109" s="769"/>
      <c r="BSX109" s="769"/>
      <c r="BSY109" s="769"/>
      <c r="BSZ109" s="769"/>
      <c r="BTA109" s="769"/>
      <c r="BTB109" s="769"/>
      <c r="BTC109" s="769"/>
      <c r="BTD109" s="769"/>
      <c r="BTE109" s="769"/>
      <c r="BTF109" s="769"/>
      <c r="BTG109" s="769"/>
      <c r="BTH109" s="769"/>
      <c r="BTI109" s="769"/>
      <c r="BTJ109" s="769"/>
      <c r="BTK109" s="769"/>
      <c r="BTL109" s="769"/>
      <c r="BTM109" s="769"/>
      <c r="BTN109" s="769"/>
      <c r="BTO109" s="769"/>
      <c r="BTP109" s="769"/>
      <c r="BTQ109" s="769"/>
      <c r="BTR109" s="769"/>
      <c r="BTS109" s="769"/>
      <c r="BTT109" s="769"/>
      <c r="BTU109" s="769"/>
      <c r="BTV109" s="769"/>
      <c r="BTW109" s="769"/>
      <c r="BTX109" s="769"/>
      <c r="BTY109" s="769"/>
      <c r="BTZ109" s="769"/>
      <c r="BUA109" s="769"/>
      <c r="BUB109" s="769"/>
      <c r="BUC109" s="769"/>
      <c r="BUD109" s="769"/>
      <c r="BUE109" s="769"/>
      <c r="BUF109" s="769"/>
      <c r="BUG109" s="769"/>
      <c r="BUH109" s="769"/>
      <c r="BUI109" s="769"/>
      <c r="BUJ109" s="769"/>
      <c r="BUK109" s="769"/>
      <c r="BUL109" s="769"/>
      <c r="BUM109" s="769"/>
      <c r="BUN109" s="769"/>
      <c r="BUO109" s="769"/>
      <c r="BUP109" s="769"/>
      <c r="BUQ109" s="769"/>
      <c r="BUR109" s="769"/>
      <c r="BUS109" s="769"/>
      <c r="BUT109" s="769"/>
      <c r="BUU109" s="769"/>
      <c r="BUV109" s="769"/>
      <c r="BUW109" s="769"/>
      <c r="BUX109" s="769"/>
      <c r="BUY109" s="769"/>
      <c r="BUZ109" s="769"/>
      <c r="BVA109" s="769"/>
      <c r="BVB109" s="769"/>
      <c r="BVC109" s="769"/>
      <c r="BVD109" s="769"/>
      <c r="BVE109" s="769"/>
      <c r="BVF109" s="769"/>
      <c r="BVG109" s="769"/>
      <c r="BVH109" s="769"/>
      <c r="BVI109" s="769"/>
      <c r="BVJ109" s="769"/>
      <c r="BVK109" s="769"/>
      <c r="BVL109" s="769"/>
      <c r="BVM109" s="769"/>
      <c r="BVN109" s="769"/>
      <c r="BVO109" s="769"/>
      <c r="BVP109" s="769"/>
      <c r="BVQ109" s="769"/>
      <c r="BVR109" s="769"/>
      <c r="BVS109" s="769"/>
      <c r="BVT109" s="769"/>
      <c r="BVU109" s="769"/>
      <c r="BVV109" s="769"/>
      <c r="BVW109" s="769"/>
      <c r="BVX109" s="769"/>
      <c r="BVY109" s="769"/>
      <c r="BVZ109" s="769"/>
      <c r="BWA109" s="769"/>
      <c r="BWB109" s="769"/>
      <c r="BWC109" s="769"/>
      <c r="BWD109" s="769"/>
      <c r="BWE109" s="769"/>
      <c r="BWF109" s="769"/>
      <c r="BWG109" s="769"/>
      <c r="BWH109" s="769"/>
      <c r="BWI109" s="769"/>
      <c r="BWJ109" s="769"/>
      <c r="BWK109" s="769"/>
      <c r="BWL109" s="769"/>
      <c r="BWM109" s="769"/>
      <c r="BWN109" s="769"/>
      <c r="BWO109" s="769"/>
      <c r="BWP109" s="769"/>
      <c r="BWQ109" s="769"/>
      <c r="BWR109" s="769"/>
      <c r="BWS109" s="769"/>
      <c r="BWT109" s="769"/>
      <c r="BWU109" s="769"/>
      <c r="BWV109" s="769"/>
      <c r="BWW109" s="769"/>
      <c r="BWX109" s="769"/>
      <c r="BWY109" s="769"/>
      <c r="BWZ109" s="769"/>
      <c r="BXA109" s="769"/>
      <c r="BXB109" s="769"/>
      <c r="BXC109" s="769"/>
      <c r="BXD109" s="769"/>
      <c r="BXE109" s="769"/>
      <c r="BXF109" s="769"/>
      <c r="BXG109" s="769"/>
      <c r="BXH109" s="769"/>
      <c r="BXI109" s="769"/>
      <c r="BXJ109" s="769"/>
      <c r="BXK109" s="769"/>
      <c r="BXL109" s="769"/>
      <c r="BXM109" s="769"/>
      <c r="BXN109" s="769"/>
      <c r="BXO109" s="769"/>
      <c r="BXP109" s="769"/>
      <c r="BXQ109" s="769"/>
      <c r="BXR109" s="769"/>
      <c r="BXS109" s="769"/>
      <c r="BXT109" s="769"/>
      <c r="BXU109" s="769"/>
      <c r="BXV109" s="769"/>
      <c r="BXW109" s="769"/>
      <c r="BXX109" s="769"/>
      <c r="BXY109" s="769"/>
      <c r="BXZ109" s="769"/>
      <c r="BYA109" s="769"/>
      <c r="BYB109" s="769"/>
      <c r="BYC109" s="769"/>
      <c r="BYD109" s="769"/>
      <c r="BYE109" s="769"/>
      <c r="BYF109" s="769"/>
      <c r="BYG109" s="769"/>
      <c r="BYH109" s="769"/>
      <c r="BYI109" s="769"/>
      <c r="BYJ109" s="769"/>
      <c r="BYK109" s="769"/>
      <c r="BYL109" s="769"/>
      <c r="BYM109" s="769"/>
      <c r="BYN109" s="769"/>
      <c r="BYO109" s="769"/>
      <c r="BYP109" s="769"/>
      <c r="BYQ109" s="769"/>
      <c r="BYR109" s="769"/>
      <c r="BYS109" s="769"/>
      <c r="BYT109" s="769"/>
      <c r="BYU109" s="769"/>
      <c r="BYV109" s="769"/>
      <c r="BYW109" s="769"/>
      <c r="BYX109" s="769"/>
      <c r="BYY109" s="769"/>
      <c r="BYZ109" s="769"/>
      <c r="BZA109" s="769"/>
      <c r="BZB109" s="769"/>
      <c r="BZC109" s="769"/>
      <c r="BZD109" s="769"/>
      <c r="BZE109" s="769"/>
      <c r="BZF109" s="769"/>
      <c r="BZG109" s="769"/>
      <c r="BZH109" s="769"/>
      <c r="BZI109" s="769"/>
      <c r="BZJ109" s="769"/>
      <c r="BZK109" s="769"/>
      <c r="BZL109" s="769"/>
      <c r="BZM109" s="769"/>
      <c r="BZN109" s="769"/>
      <c r="BZO109" s="769"/>
      <c r="BZP109" s="769"/>
      <c r="BZQ109" s="769"/>
      <c r="BZR109" s="769"/>
      <c r="BZS109" s="769"/>
      <c r="BZT109" s="769"/>
      <c r="BZU109" s="769"/>
      <c r="BZV109" s="769"/>
      <c r="BZW109" s="769"/>
      <c r="BZX109" s="769"/>
      <c r="BZY109" s="769"/>
      <c r="BZZ109" s="769"/>
      <c r="CAA109" s="769"/>
      <c r="CAB109" s="769"/>
      <c r="CAC109" s="769"/>
      <c r="CAD109" s="769"/>
      <c r="CAE109" s="769"/>
      <c r="CAF109" s="769"/>
      <c r="CAG109" s="769"/>
      <c r="CAH109" s="769"/>
      <c r="CAI109" s="769"/>
      <c r="CAJ109" s="769"/>
      <c r="CAK109" s="769"/>
      <c r="CAL109" s="769"/>
      <c r="CAM109" s="769"/>
      <c r="CAN109" s="769"/>
      <c r="CAO109" s="769"/>
      <c r="CAP109" s="769"/>
      <c r="CAQ109" s="769"/>
      <c r="CAR109" s="769"/>
      <c r="CAS109" s="769"/>
      <c r="CAT109" s="769"/>
      <c r="CAU109" s="769"/>
      <c r="CAV109" s="769"/>
      <c r="CAW109" s="769"/>
      <c r="CAX109" s="769"/>
      <c r="CAY109" s="769"/>
      <c r="CAZ109" s="769"/>
      <c r="CBA109" s="769"/>
      <c r="CBB109" s="769"/>
      <c r="CBC109" s="769"/>
      <c r="CBD109" s="769"/>
      <c r="CBE109" s="769"/>
      <c r="CBF109" s="769"/>
      <c r="CBG109" s="769"/>
      <c r="CBH109" s="769"/>
      <c r="CBI109" s="769"/>
      <c r="CBJ109" s="769"/>
      <c r="CBK109" s="769"/>
      <c r="CBL109" s="769"/>
      <c r="CBM109" s="769"/>
      <c r="CBN109" s="769"/>
      <c r="CBO109" s="769"/>
      <c r="CBP109" s="769"/>
      <c r="CBQ109" s="769"/>
      <c r="CBR109" s="769"/>
      <c r="CBS109" s="769"/>
      <c r="CBT109" s="769"/>
      <c r="CBU109" s="769"/>
      <c r="CBV109" s="769"/>
      <c r="CBW109" s="769"/>
      <c r="CBX109" s="769"/>
      <c r="CBY109" s="769"/>
      <c r="CBZ109" s="769"/>
      <c r="CCA109" s="769"/>
      <c r="CCB109" s="769"/>
      <c r="CCC109" s="769"/>
      <c r="CCD109" s="769"/>
      <c r="CCE109" s="769"/>
      <c r="CCF109" s="769"/>
      <c r="CCG109" s="769"/>
      <c r="CCH109" s="769"/>
      <c r="CCI109" s="769"/>
      <c r="CCJ109" s="769"/>
      <c r="CCK109" s="769"/>
      <c r="CCL109" s="769"/>
      <c r="CCM109" s="769"/>
      <c r="CCN109" s="769"/>
      <c r="CCO109" s="769"/>
      <c r="CCP109" s="769"/>
      <c r="CCQ109" s="769"/>
      <c r="CCR109" s="769"/>
      <c r="CCS109" s="769"/>
      <c r="CCT109" s="769"/>
      <c r="CCU109" s="769"/>
      <c r="CCV109" s="769"/>
      <c r="CCW109" s="769"/>
      <c r="CCX109" s="769"/>
      <c r="CCY109" s="769"/>
      <c r="CCZ109" s="769"/>
      <c r="CDA109" s="769"/>
      <c r="CDB109" s="769"/>
      <c r="CDC109" s="769"/>
      <c r="CDD109" s="769"/>
      <c r="CDE109" s="769"/>
      <c r="CDF109" s="769"/>
      <c r="CDG109" s="769"/>
      <c r="CDH109" s="769"/>
      <c r="CDI109" s="769"/>
      <c r="CDJ109" s="769"/>
      <c r="CDK109" s="769"/>
      <c r="CDL109" s="769"/>
      <c r="CDM109" s="769"/>
      <c r="CDN109" s="769"/>
      <c r="CDO109" s="769"/>
      <c r="CDP109" s="769"/>
      <c r="CDQ109" s="769"/>
      <c r="CDR109" s="769"/>
      <c r="CDS109" s="769"/>
      <c r="CDT109" s="769"/>
      <c r="CDU109" s="769"/>
      <c r="CDV109" s="769"/>
      <c r="CDW109" s="769"/>
      <c r="CDX109" s="769"/>
      <c r="CDY109" s="769"/>
      <c r="CDZ109" s="769"/>
      <c r="CEA109" s="769"/>
      <c r="CEB109" s="769"/>
      <c r="CEC109" s="769"/>
      <c r="CED109" s="769"/>
      <c r="CEE109" s="769"/>
      <c r="CEF109" s="769"/>
      <c r="CEG109" s="769"/>
      <c r="CEH109" s="769"/>
      <c r="CEI109" s="769"/>
      <c r="CEJ109" s="769"/>
      <c r="CEK109" s="769"/>
      <c r="CEL109" s="769"/>
      <c r="CEM109" s="769"/>
      <c r="CEN109" s="769"/>
      <c r="CEO109" s="769"/>
      <c r="CEP109" s="769"/>
      <c r="CEQ109" s="769"/>
      <c r="CER109" s="769"/>
      <c r="CES109" s="769"/>
      <c r="CET109" s="769"/>
      <c r="CEU109" s="769"/>
      <c r="CEV109" s="769"/>
      <c r="CEW109" s="769"/>
      <c r="CEX109" s="769"/>
      <c r="CEY109" s="769"/>
      <c r="CEZ109" s="769"/>
      <c r="CFA109" s="769"/>
      <c r="CFB109" s="769"/>
      <c r="CFC109" s="769"/>
      <c r="CFD109" s="769"/>
      <c r="CFE109" s="769"/>
      <c r="CFF109" s="769"/>
      <c r="CFG109" s="769"/>
      <c r="CFH109" s="769"/>
      <c r="CFI109" s="769"/>
      <c r="CFJ109" s="769"/>
      <c r="CFK109" s="769"/>
      <c r="CFL109" s="769"/>
      <c r="CFM109" s="769"/>
      <c r="CFN109" s="769"/>
      <c r="CFO109" s="769"/>
      <c r="CFP109" s="769"/>
      <c r="CFQ109" s="769"/>
      <c r="CFR109" s="769"/>
      <c r="CFS109" s="769"/>
      <c r="CFT109" s="769"/>
      <c r="CFU109" s="769"/>
      <c r="CFV109" s="769"/>
      <c r="CFW109" s="769"/>
      <c r="CFX109" s="769"/>
      <c r="CFY109" s="769"/>
      <c r="CFZ109" s="769"/>
      <c r="CGA109" s="769"/>
      <c r="CGB109" s="769"/>
      <c r="CGC109" s="769"/>
      <c r="CGD109" s="769"/>
      <c r="CGE109" s="769"/>
      <c r="CGF109" s="769"/>
      <c r="CGG109" s="769"/>
      <c r="CGH109" s="769"/>
      <c r="CGI109" s="769"/>
      <c r="CGJ109" s="769"/>
      <c r="CGK109" s="769"/>
      <c r="CGL109" s="769"/>
      <c r="CGM109" s="769"/>
      <c r="CGN109" s="769"/>
      <c r="CGO109" s="769"/>
      <c r="CGP109" s="769"/>
      <c r="CGQ109" s="769"/>
      <c r="CGR109" s="769"/>
      <c r="CGS109" s="769"/>
      <c r="CGT109" s="769"/>
      <c r="CGU109" s="769"/>
      <c r="CGV109" s="769"/>
      <c r="CGW109" s="769"/>
      <c r="CGX109" s="769"/>
      <c r="CGY109" s="769"/>
      <c r="CGZ109" s="769"/>
      <c r="CHA109" s="769"/>
      <c r="CHB109" s="769"/>
      <c r="CHC109" s="769"/>
      <c r="CHD109" s="769"/>
      <c r="CHE109" s="769"/>
      <c r="CHF109" s="769"/>
      <c r="CHG109" s="769"/>
      <c r="CHH109" s="769"/>
      <c r="CHI109" s="769"/>
      <c r="CHJ109" s="769"/>
      <c r="CHK109" s="769"/>
      <c r="CHL109" s="769"/>
      <c r="CHM109" s="769"/>
      <c r="CHN109" s="769"/>
      <c r="CHO109" s="769"/>
      <c r="CHP109" s="769"/>
      <c r="CHQ109" s="769"/>
      <c r="CHR109" s="769"/>
      <c r="CHS109" s="769"/>
      <c r="CHT109" s="769"/>
      <c r="CHU109" s="769"/>
      <c r="CHV109" s="769"/>
      <c r="CHW109" s="769"/>
      <c r="CHX109" s="769"/>
      <c r="CHY109" s="769"/>
      <c r="CHZ109" s="769"/>
      <c r="CIA109" s="769"/>
      <c r="CIB109" s="769"/>
      <c r="CIC109" s="769"/>
      <c r="CID109" s="769"/>
      <c r="CIE109" s="769"/>
      <c r="CIF109" s="769"/>
      <c r="CIG109" s="769"/>
      <c r="CIH109" s="769"/>
      <c r="CII109" s="769"/>
      <c r="CIJ109" s="769"/>
      <c r="CIK109" s="769"/>
      <c r="CIL109" s="769"/>
      <c r="CIM109" s="769"/>
      <c r="CIN109" s="769"/>
      <c r="CIO109" s="769"/>
      <c r="CIP109" s="769"/>
      <c r="CIQ109" s="769"/>
      <c r="CIR109" s="769"/>
      <c r="CIS109" s="769"/>
      <c r="CIT109" s="769"/>
      <c r="CIU109" s="769"/>
      <c r="CIV109" s="769"/>
      <c r="CIW109" s="769"/>
      <c r="CIX109" s="769"/>
      <c r="CIY109" s="769"/>
      <c r="CIZ109" s="769"/>
      <c r="CJA109" s="769"/>
      <c r="CJB109" s="769"/>
      <c r="CJC109" s="769"/>
      <c r="CJD109" s="769"/>
      <c r="CJE109" s="769"/>
      <c r="CJF109" s="769"/>
      <c r="CJG109" s="769"/>
      <c r="CJH109" s="769"/>
      <c r="CJI109" s="769"/>
      <c r="CJJ109" s="769"/>
      <c r="CJK109" s="769"/>
      <c r="CJL109" s="769"/>
      <c r="CJM109" s="769"/>
      <c r="CJN109" s="769"/>
      <c r="CJO109" s="769"/>
      <c r="CJP109" s="769"/>
      <c r="CJQ109" s="769"/>
      <c r="CJR109" s="769"/>
      <c r="CJS109" s="769"/>
      <c r="CJT109" s="769"/>
      <c r="CJU109" s="769"/>
      <c r="CJV109" s="769"/>
      <c r="CJW109" s="769"/>
      <c r="CJX109" s="769"/>
      <c r="CJY109" s="769"/>
      <c r="CJZ109" s="769"/>
      <c r="CKA109" s="769"/>
      <c r="CKB109" s="769"/>
      <c r="CKC109" s="769"/>
      <c r="CKD109" s="769"/>
      <c r="CKE109" s="769"/>
      <c r="CKF109" s="769"/>
      <c r="CKG109" s="769"/>
      <c r="CKH109" s="769"/>
      <c r="CKI109" s="769"/>
      <c r="CKJ109" s="769"/>
      <c r="CKK109" s="769"/>
      <c r="CKL109" s="769"/>
      <c r="CKM109" s="769"/>
      <c r="CKN109" s="769"/>
      <c r="CKO109" s="769"/>
      <c r="CKP109" s="769"/>
      <c r="CKQ109" s="769"/>
      <c r="CKR109" s="769"/>
      <c r="CKS109" s="769"/>
      <c r="CKT109" s="769"/>
      <c r="CKU109" s="769"/>
      <c r="CKV109" s="769"/>
      <c r="CKW109" s="769"/>
      <c r="CKX109" s="769"/>
      <c r="CKY109" s="769"/>
      <c r="CKZ109" s="769"/>
      <c r="CLA109" s="769"/>
      <c r="CLB109" s="769"/>
      <c r="CLC109" s="769"/>
      <c r="CLD109" s="769"/>
      <c r="CLE109" s="769"/>
      <c r="CLF109" s="769"/>
      <c r="CLG109" s="769"/>
      <c r="CLH109" s="769"/>
      <c r="CLI109" s="769"/>
      <c r="CLJ109" s="769"/>
      <c r="CLK109" s="769"/>
      <c r="CLL109" s="769"/>
      <c r="CLM109" s="769"/>
      <c r="CLN109" s="769"/>
      <c r="CLO109" s="769"/>
      <c r="CLP109" s="769"/>
      <c r="CLQ109" s="769"/>
      <c r="CLR109" s="769"/>
      <c r="CLS109" s="769"/>
      <c r="CLT109" s="769"/>
      <c r="CLU109" s="769"/>
      <c r="CLV109" s="769"/>
      <c r="CLW109" s="769"/>
      <c r="CLX109" s="769"/>
      <c r="CLY109" s="769"/>
      <c r="CLZ109" s="769"/>
      <c r="CMA109" s="769"/>
      <c r="CMB109" s="769"/>
      <c r="CMC109" s="769"/>
      <c r="CMD109" s="769"/>
      <c r="CME109" s="769"/>
      <c r="CMF109" s="769"/>
      <c r="CMG109" s="769"/>
      <c r="CMH109" s="769"/>
      <c r="CMI109" s="769"/>
      <c r="CMJ109" s="769"/>
      <c r="CMK109" s="769"/>
      <c r="CML109" s="769"/>
      <c r="CMM109" s="769"/>
      <c r="CMN109" s="769"/>
      <c r="CMO109" s="769"/>
      <c r="CMP109" s="769"/>
      <c r="CMQ109" s="769"/>
      <c r="CMR109" s="769"/>
      <c r="CMS109" s="769"/>
      <c r="CMT109" s="769"/>
      <c r="CMU109" s="769"/>
      <c r="CMV109" s="769"/>
      <c r="CMW109" s="769"/>
      <c r="CMX109" s="769"/>
      <c r="CMY109" s="769"/>
      <c r="CMZ109" s="769"/>
      <c r="CNA109" s="769"/>
      <c r="CNB109" s="769"/>
      <c r="CNC109" s="769"/>
      <c r="CND109" s="769"/>
      <c r="CNE109" s="769"/>
      <c r="CNF109" s="769"/>
      <c r="CNG109" s="769"/>
      <c r="CNH109" s="769"/>
      <c r="CNI109" s="769"/>
      <c r="CNJ109" s="769"/>
      <c r="CNK109" s="769"/>
      <c r="CNL109" s="769"/>
      <c r="CNM109" s="769"/>
      <c r="CNN109" s="769"/>
      <c r="CNO109" s="769"/>
      <c r="CNP109" s="769"/>
      <c r="CNQ109" s="769"/>
      <c r="CNR109" s="769"/>
      <c r="CNS109" s="769"/>
      <c r="CNT109" s="769"/>
      <c r="CNU109" s="769"/>
      <c r="CNV109" s="769"/>
      <c r="CNW109" s="769"/>
      <c r="CNX109" s="769"/>
      <c r="CNY109" s="769"/>
      <c r="CNZ109" s="769"/>
      <c r="COA109" s="769"/>
      <c r="COB109" s="769"/>
      <c r="COC109" s="769"/>
      <c r="COD109" s="769"/>
      <c r="COE109" s="769"/>
      <c r="COF109" s="769"/>
      <c r="COG109" s="769"/>
      <c r="COH109" s="769"/>
      <c r="COI109" s="769"/>
      <c r="COJ109" s="769"/>
      <c r="COK109" s="769"/>
      <c r="COL109" s="769"/>
      <c r="COM109" s="769"/>
      <c r="CON109" s="769"/>
      <c r="COO109" s="769"/>
      <c r="COP109" s="769"/>
      <c r="COQ109" s="769"/>
      <c r="COR109" s="769"/>
      <c r="COS109" s="769"/>
      <c r="COT109" s="769"/>
      <c r="COU109" s="769"/>
      <c r="COV109" s="769"/>
      <c r="COW109" s="769"/>
      <c r="COX109" s="769"/>
      <c r="COY109" s="769"/>
      <c r="COZ109" s="769"/>
      <c r="CPA109" s="769"/>
      <c r="CPB109" s="769"/>
      <c r="CPC109" s="769"/>
      <c r="CPD109" s="769"/>
      <c r="CPE109" s="769"/>
      <c r="CPF109" s="769"/>
      <c r="CPG109" s="769"/>
      <c r="CPH109" s="769"/>
      <c r="CPI109" s="769"/>
      <c r="CPJ109" s="769"/>
      <c r="CPK109" s="769"/>
      <c r="CPL109" s="769"/>
      <c r="CPM109" s="769"/>
      <c r="CPN109" s="769"/>
      <c r="CPO109" s="769"/>
      <c r="CPP109" s="769"/>
      <c r="CPQ109" s="769"/>
      <c r="CPR109" s="769"/>
      <c r="CPS109" s="769"/>
      <c r="CPT109" s="769"/>
      <c r="CPU109" s="769"/>
      <c r="CPV109" s="769"/>
      <c r="CPW109" s="769"/>
      <c r="CPX109" s="769"/>
      <c r="CPY109" s="769"/>
      <c r="CPZ109" s="769"/>
      <c r="CQA109" s="769"/>
      <c r="CQB109" s="769"/>
      <c r="CQC109" s="769"/>
      <c r="CQD109" s="769"/>
      <c r="CQE109" s="769"/>
      <c r="CQF109" s="769"/>
      <c r="CQG109" s="769"/>
      <c r="CQH109" s="769"/>
      <c r="CQI109" s="769"/>
      <c r="CQJ109" s="769"/>
      <c r="CQK109" s="769"/>
      <c r="CQL109" s="769"/>
      <c r="CQM109" s="769"/>
      <c r="CQN109" s="769"/>
      <c r="CQO109" s="769"/>
      <c r="CQP109" s="769"/>
      <c r="CQQ109" s="769"/>
      <c r="CQR109" s="769"/>
      <c r="CQS109" s="769"/>
      <c r="CQT109" s="769"/>
      <c r="CQU109" s="769"/>
      <c r="CQV109" s="769"/>
      <c r="CQW109" s="769"/>
      <c r="CQX109" s="769"/>
      <c r="CQY109" s="769"/>
      <c r="CQZ109" s="769"/>
      <c r="CRA109" s="769"/>
      <c r="CRB109" s="769"/>
      <c r="CRC109" s="769"/>
      <c r="CRD109" s="769"/>
      <c r="CRE109" s="769"/>
      <c r="CRF109" s="769"/>
      <c r="CRG109" s="769"/>
      <c r="CRH109" s="769"/>
      <c r="CRI109" s="769"/>
      <c r="CRJ109" s="769"/>
      <c r="CRK109" s="769"/>
      <c r="CRL109" s="769"/>
      <c r="CRM109" s="769"/>
      <c r="CRN109" s="769"/>
      <c r="CRO109" s="769"/>
      <c r="CRP109" s="769"/>
      <c r="CRQ109" s="769"/>
      <c r="CRR109" s="769"/>
      <c r="CRS109" s="769"/>
      <c r="CRT109" s="769"/>
      <c r="CRU109" s="769"/>
      <c r="CRV109" s="769"/>
      <c r="CRW109" s="769"/>
      <c r="CRX109" s="769"/>
      <c r="CRY109" s="769"/>
      <c r="CRZ109" s="769"/>
      <c r="CSA109" s="769"/>
      <c r="CSB109" s="769"/>
      <c r="CSC109" s="769"/>
      <c r="CSD109" s="769"/>
      <c r="CSE109" s="769"/>
      <c r="CSF109" s="769"/>
      <c r="CSG109" s="769"/>
      <c r="CSH109" s="769"/>
      <c r="CSI109" s="769"/>
      <c r="CSJ109" s="769"/>
      <c r="CSK109" s="769"/>
      <c r="CSL109" s="769"/>
      <c r="CSM109" s="769"/>
      <c r="CSN109" s="769"/>
      <c r="CSO109" s="769"/>
      <c r="CSP109" s="769"/>
      <c r="CSQ109" s="769"/>
      <c r="CSR109" s="769"/>
      <c r="CSS109" s="769"/>
      <c r="CST109" s="769"/>
      <c r="CSU109" s="769"/>
      <c r="CSV109" s="769"/>
      <c r="CSW109" s="769"/>
      <c r="CSX109" s="769"/>
      <c r="CSY109" s="769"/>
      <c r="CSZ109" s="769"/>
      <c r="CTA109" s="769"/>
      <c r="CTB109" s="769"/>
      <c r="CTC109" s="769"/>
      <c r="CTD109" s="769"/>
      <c r="CTE109" s="769"/>
      <c r="CTF109" s="769"/>
      <c r="CTG109" s="769"/>
      <c r="CTH109" s="769"/>
      <c r="CTI109" s="769"/>
      <c r="CTJ109" s="769"/>
      <c r="CTK109" s="769"/>
      <c r="CTL109" s="769"/>
      <c r="CTM109" s="769"/>
      <c r="CTN109" s="769"/>
      <c r="CTO109" s="769"/>
      <c r="CTP109" s="769"/>
      <c r="CTQ109" s="769"/>
      <c r="CTR109" s="769"/>
      <c r="CTS109" s="769"/>
      <c r="CTT109" s="769"/>
      <c r="CTU109" s="769"/>
      <c r="CTV109" s="769"/>
      <c r="CTW109" s="769"/>
      <c r="CTX109" s="769"/>
      <c r="CTY109" s="769"/>
      <c r="CTZ109" s="769"/>
      <c r="CUA109" s="769"/>
      <c r="CUB109" s="769"/>
      <c r="CUC109" s="769"/>
      <c r="CUD109" s="769"/>
      <c r="CUE109" s="769"/>
      <c r="CUF109" s="769"/>
      <c r="CUG109" s="769"/>
      <c r="CUH109" s="769"/>
      <c r="CUI109" s="769"/>
      <c r="CUJ109" s="769"/>
      <c r="CUK109" s="769"/>
      <c r="CUL109" s="769"/>
      <c r="CUM109" s="769"/>
      <c r="CUN109" s="769"/>
      <c r="CUO109" s="769"/>
      <c r="CUP109" s="769"/>
      <c r="CUQ109" s="769"/>
      <c r="CUR109" s="769"/>
      <c r="CUS109" s="769"/>
      <c r="CUT109" s="769"/>
      <c r="CUU109" s="769"/>
      <c r="CUV109" s="769"/>
      <c r="CUW109" s="769"/>
      <c r="CUX109" s="769"/>
      <c r="CUY109" s="769"/>
      <c r="CUZ109" s="769"/>
      <c r="CVA109" s="769"/>
      <c r="CVB109" s="769"/>
      <c r="CVC109" s="769"/>
      <c r="CVD109" s="769"/>
      <c r="CVE109" s="769"/>
      <c r="CVF109" s="769"/>
      <c r="CVG109" s="769"/>
      <c r="CVH109" s="769"/>
      <c r="CVI109" s="769"/>
      <c r="CVJ109" s="769"/>
      <c r="CVK109" s="769"/>
      <c r="CVL109" s="769"/>
      <c r="CVM109" s="769"/>
      <c r="CVN109" s="769"/>
      <c r="CVO109" s="769"/>
      <c r="CVP109" s="769"/>
      <c r="CVQ109" s="769"/>
      <c r="CVR109" s="769"/>
      <c r="CVS109" s="769"/>
      <c r="CVT109" s="769"/>
      <c r="CVU109" s="769"/>
      <c r="CVV109" s="769"/>
      <c r="CVW109" s="769"/>
      <c r="CVX109" s="769"/>
      <c r="CVY109" s="769"/>
      <c r="CVZ109" s="769"/>
      <c r="CWA109" s="769"/>
      <c r="CWB109" s="769"/>
      <c r="CWC109" s="769"/>
      <c r="CWD109" s="769"/>
      <c r="CWE109" s="769"/>
      <c r="CWF109" s="769"/>
      <c r="CWG109" s="769"/>
      <c r="CWH109" s="769"/>
      <c r="CWI109" s="769"/>
      <c r="CWJ109" s="769"/>
      <c r="CWK109" s="769"/>
      <c r="CWL109" s="769"/>
      <c r="CWM109" s="769"/>
      <c r="CWN109" s="769"/>
      <c r="CWO109" s="769"/>
      <c r="CWP109" s="769"/>
      <c r="CWQ109" s="769"/>
      <c r="CWR109" s="769"/>
      <c r="CWS109" s="769"/>
      <c r="CWT109" s="769"/>
      <c r="CWU109" s="769"/>
      <c r="CWV109" s="769"/>
      <c r="CWW109" s="769"/>
      <c r="CWX109" s="769"/>
      <c r="CWY109" s="769"/>
      <c r="CWZ109" s="769"/>
      <c r="CXA109" s="769"/>
      <c r="CXB109" s="769"/>
      <c r="CXC109" s="769"/>
      <c r="CXD109" s="769"/>
      <c r="CXE109" s="769"/>
      <c r="CXF109" s="769"/>
      <c r="CXG109" s="769"/>
      <c r="CXH109" s="769"/>
      <c r="CXI109" s="769"/>
      <c r="CXJ109" s="769"/>
      <c r="CXK109" s="769"/>
      <c r="CXL109" s="769"/>
      <c r="CXM109" s="769"/>
      <c r="CXN109" s="769"/>
      <c r="CXO109" s="769"/>
      <c r="CXP109" s="769"/>
      <c r="CXQ109" s="769"/>
      <c r="CXR109" s="769"/>
      <c r="CXS109" s="769"/>
      <c r="CXT109" s="769"/>
      <c r="CXU109" s="769"/>
      <c r="CXV109" s="769"/>
      <c r="CXW109" s="769"/>
      <c r="CXX109" s="769"/>
      <c r="CXY109" s="769"/>
      <c r="CXZ109" s="769"/>
      <c r="CYA109" s="769"/>
      <c r="CYB109" s="769"/>
      <c r="CYC109" s="769"/>
      <c r="CYD109" s="769"/>
      <c r="CYE109" s="769"/>
      <c r="CYF109" s="769"/>
      <c r="CYG109" s="769"/>
      <c r="CYH109" s="769"/>
      <c r="CYI109" s="769"/>
      <c r="CYJ109" s="769"/>
      <c r="CYK109" s="769"/>
      <c r="CYL109" s="769"/>
      <c r="CYM109" s="769"/>
      <c r="CYN109" s="769"/>
      <c r="CYO109" s="769"/>
      <c r="CYP109" s="769"/>
      <c r="CYQ109" s="769"/>
      <c r="CYR109" s="769"/>
      <c r="CYS109" s="769"/>
      <c r="CYT109" s="769"/>
      <c r="CYU109" s="769"/>
      <c r="CYV109" s="769"/>
      <c r="CYW109" s="769"/>
      <c r="CYX109" s="769"/>
      <c r="CYY109" s="769"/>
      <c r="CYZ109" s="769"/>
      <c r="CZA109" s="769"/>
      <c r="CZB109" s="769"/>
      <c r="CZC109" s="769"/>
      <c r="CZD109" s="769"/>
      <c r="CZE109" s="769"/>
      <c r="CZF109" s="769"/>
      <c r="CZG109" s="769"/>
      <c r="CZH109" s="769"/>
      <c r="CZI109" s="769"/>
      <c r="CZJ109" s="769"/>
      <c r="CZK109" s="769"/>
      <c r="CZL109" s="769"/>
      <c r="CZM109" s="769"/>
      <c r="CZN109" s="769"/>
      <c r="CZO109" s="769"/>
      <c r="CZP109" s="769"/>
      <c r="CZQ109" s="769"/>
      <c r="CZR109" s="769"/>
      <c r="CZS109" s="769"/>
      <c r="CZT109" s="769"/>
      <c r="CZU109" s="769"/>
      <c r="CZV109" s="769"/>
      <c r="CZW109" s="769"/>
      <c r="CZX109" s="769"/>
      <c r="CZY109" s="769"/>
      <c r="CZZ109" s="769"/>
      <c r="DAA109" s="769"/>
      <c r="DAB109" s="769"/>
      <c r="DAC109" s="769"/>
      <c r="DAD109" s="769"/>
      <c r="DAE109" s="769"/>
      <c r="DAF109" s="769"/>
      <c r="DAG109" s="769"/>
      <c r="DAH109" s="769"/>
      <c r="DAI109" s="769"/>
      <c r="DAJ109" s="769"/>
      <c r="DAK109" s="769"/>
      <c r="DAL109" s="769"/>
      <c r="DAM109" s="769"/>
      <c r="DAN109" s="769"/>
      <c r="DAO109" s="769"/>
      <c r="DAP109" s="769"/>
      <c r="DAQ109" s="769"/>
      <c r="DAR109" s="769"/>
      <c r="DAS109" s="769"/>
      <c r="DAT109" s="769"/>
      <c r="DAU109" s="769"/>
      <c r="DAV109" s="769"/>
      <c r="DAW109" s="769"/>
      <c r="DAX109" s="769"/>
      <c r="DAY109" s="769"/>
      <c r="DAZ109" s="769"/>
      <c r="DBA109" s="769"/>
      <c r="DBB109" s="769"/>
      <c r="DBC109" s="769"/>
      <c r="DBD109" s="769"/>
      <c r="DBE109" s="769"/>
      <c r="DBF109" s="769"/>
      <c r="DBG109" s="769"/>
      <c r="DBH109" s="769"/>
      <c r="DBI109" s="769"/>
      <c r="DBJ109" s="769"/>
      <c r="DBK109" s="769"/>
      <c r="DBL109" s="769"/>
      <c r="DBM109" s="769"/>
      <c r="DBN109" s="769"/>
      <c r="DBO109" s="769"/>
      <c r="DBP109" s="769"/>
      <c r="DBQ109" s="769"/>
      <c r="DBR109" s="769"/>
      <c r="DBS109" s="769"/>
      <c r="DBT109" s="769"/>
      <c r="DBU109" s="769"/>
      <c r="DBV109" s="769"/>
      <c r="DBW109" s="769"/>
      <c r="DBX109" s="769"/>
      <c r="DBY109" s="769"/>
      <c r="DBZ109" s="769"/>
      <c r="DCA109" s="769"/>
      <c r="DCB109" s="769"/>
      <c r="DCC109" s="769"/>
      <c r="DCD109" s="769"/>
      <c r="DCE109" s="769"/>
      <c r="DCF109" s="769"/>
      <c r="DCG109" s="769"/>
      <c r="DCH109" s="769"/>
      <c r="DCI109" s="769"/>
      <c r="DCJ109" s="769"/>
      <c r="DCK109" s="769"/>
      <c r="DCL109" s="769"/>
      <c r="DCM109" s="769"/>
      <c r="DCN109" s="769"/>
      <c r="DCO109" s="769"/>
      <c r="DCP109" s="769"/>
      <c r="DCQ109" s="769"/>
      <c r="DCR109" s="769"/>
      <c r="DCS109" s="769"/>
      <c r="DCT109" s="769"/>
      <c r="DCU109" s="769"/>
      <c r="DCV109" s="769"/>
      <c r="DCW109" s="769"/>
      <c r="DCX109" s="769"/>
      <c r="DCY109" s="769"/>
      <c r="DCZ109" s="769"/>
      <c r="DDA109" s="769"/>
      <c r="DDB109" s="769"/>
      <c r="DDC109" s="769"/>
      <c r="DDD109" s="769"/>
      <c r="DDE109" s="769"/>
      <c r="DDF109" s="769"/>
      <c r="DDG109" s="769"/>
      <c r="DDH109" s="769"/>
      <c r="DDI109" s="769"/>
      <c r="DDJ109" s="769"/>
      <c r="DDK109" s="769"/>
      <c r="DDL109" s="769"/>
      <c r="DDM109" s="769"/>
      <c r="DDN109" s="769"/>
      <c r="DDO109" s="769"/>
      <c r="DDP109" s="769"/>
      <c r="DDQ109" s="769"/>
      <c r="DDR109" s="769"/>
      <c r="DDS109" s="769"/>
      <c r="DDT109" s="769"/>
      <c r="DDU109" s="769"/>
      <c r="DDV109" s="769"/>
      <c r="DDW109" s="769"/>
      <c r="DDX109" s="769"/>
      <c r="DDY109" s="769"/>
      <c r="DDZ109" s="769"/>
      <c r="DEA109" s="769"/>
      <c r="DEB109" s="769"/>
      <c r="DEC109" s="769"/>
      <c r="DED109" s="769"/>
      <c r="DEE109" s="769"/>
      <c r="DEF109" s="769"/>
      <c r="DEG109" s="769"/>
      <c r="DEH109" s="769"/>
      <c r="DEI109" s="769"/>
      <c r="DEJ109" s="769"/>
      <c r="DEK109" s="769"/>
      <c r="DEL109" s="769"/>
      <c r="DEM109" s="769"/>
      <c r="DEN109" s="769"/>
      <c r="DEO109" s="769"/>
      <c r="DEP109" s="769"/>
      <c r="DEQ109" s="769"/>
      <c r="DER109" s="769"/>
      <c r="DES109" s="769"/>
      <c r="DET109" s="769"/>
      <c r="DEU109" s="769"/>
      <c r="DEV109" s="769"/>
      <c r="DEW109" s="769"/>
      <c r="DEX109" s="769"/>
      <c r="DEY109" s="769"/>
      <c r="DEZ109" s="769"/>
      <c r="DFA109" s="769"/>
      <c r="DFB109" s="769"/>
      <c r="DFC109" s="769"/>
      <c r="DFD109" s="769"/>
      <c r="DFE109" s="769"/>
      <c r="DFF109" s="769"/>
      <c r="DFG109" s="769"/>
      <c r="DFH109" s="769"/>
      <c r="DFI109" s="769"/>
      <c r="DFJ109" s="769"/>
      <c r="DFK109" s="769"/>
      <c r="DFL109" s="769"/>
      <c r="DFM109" s="769"/>
      <c r="DFN109" s="769"/>
      <c r="DFO109" s="769"/>
      <c r="DFP109" s="769"/>
      <c r="DFQ109" s="769"/>
      <c r="DFR109" s="769"/>
      <c r="DFS109" s="769"/>
      <c r="DFT109" s="769"/>
      <c r="DFU109" s="769"/>
      <c r="DFV109" s="769"/>
      <c r="DFW109" s="769"/>
      <c r="DFX109" s="769"/>
      <c r="DFY109" s="769"/>
      <c r="DFZ109" s="769"/>
      <c r="DGA109" s="769"/>
      <c r="DGB109" s="769"/>
      <c r="DGC109" s="769"/>
      <c r="DGD109" s="769"/>
      <c r="DGE109" s="769"/>
      <c r="DGF109" s="769"/>
      <c r="DGG109" s="769"/>
      <c r="DGH109" s="769"/>
      <c r="DGI109" s="769"/>
      <c r="DGJ109" s="769"/>
      <c r="DGK109" s="769"/>
      <c r="DGL109" s="769"/>
      <c r="DGM109" s="769"/>
      <c r="DGN109" s="769"/>
      <c r="DGO109" s="769"/>
      <c r="DGP109" s="769"/>
      <c r="DGQ109" s="769"/>
      <c r="DGR109" s="769"/>
      <c r="DGS109" s="769"/>
      <c r="DGT109" s="769"/>
      <c r="DGU109" s="769"/>
      <c r="DGV109" s="769"/>
      <c r="DGW109" s="769"/>
      <c r="DGX109" s="769"/>
      <c r="DGY109" s="769"/>
      <c r="DGZ109" s="769"/>
      <c r="DHA109" s="769"/>
      <c r="DHB109" s="769"/>
      <c r="DHC109" s="769"/>
      <c r="DHD109" s="769"/>
      <c r="DHE109" s="769"/>
      <c r="DHF109" s="769"/>
      <c r="DHG109" s="769"/>
      <c r="DHH109" s="769"/>
      <c r="DHI109" s="769"/>
      <c r="DHJ109" s="769"/>
      <c r="DHK109" s="769"/>
      <c r="DHL109" s="769"/>
      <c r="DHM109" s="769"/>
      <c r="DHN109" s="769"/>
      <c r="DHO109" s="769"/>
      <c r="DHP109" s="769"/>
      <c r="DHQ109" s="769"/>
      <c r="DHR109" s="769"/>
      <c r="DHS109" s="769"/>
      <c r="DHT109" s="769"/>
      <c r="DHU109" s="769"/>
      <c r="DHV109" s="769"/>
      <c r="DHW109" s="769"/>
      <c r="DHX109" s="769"/>
      <c r="DHY109" s="769"/>
      <c r="DHZ109" s="769"/>
      <c r="DIA109" s="769"/>
      <c r="DIB109" s="769"/>
      <c r="DIC109" s="769"/>
      <c r="DID109" s="769"/>
      <c r="DIE109" s="769"/>
      <c r="DIF109" s="769"/>
      <c r="DIG109" s="769"/>
      <c r="DIH109" s="769"/>
      <c r="DII109" s="769"/>
      <c r="DIJ109" s="769"/>
      <c r="DIK109" s="769"/>
      <c r="DIL109" s="769"/>
      <c r="DIM109" s="769"/>
      <c r="DIN109" s="769"/>
      <c r="DIO109" s="769"/>
      <c r="DIP109" s="769"/>
      <c r="DIQ109" s="769"/>
      <c r="DIR109" s="769"/>
      <c r="DIS109" s="769"/>
      <c r="DIT109" s="769"/>
      <c r="DIU109" s="769"/>
      <c r="DIV109" s="769"/>
      <c r="DIW109" s="769"/>
      <c r="DIX109" s="769"/>
      <c r="DIY109" s="769"/>
      <c r="DIZ109" s="769"/>
      <c r="DJA109" s="769"/>
      <c r="DJB109" s="769"/>
      <c r="DJC109" s="769"/>
      <c r="DJD109" s="769"/>
      <c r="DJE109" s="769"/>
      <c r="DJF109" s="769"/>
      <c r="DJG109" s="769"/>
      <c r="DJH109" s="769"/>
      <c r="DJI109" s="769"/>
      <c r="DJJ109" s="769"/>
      <c r="DJK109" s="769"/>
      <c r="DJL109" s="769"/>
      <c r="DJM109" s="769"/>
      <c r="DJN109" s="769"/>
      <c r="DJO109" s="769"/>
      <c r="DJP109" s="769"/>
      <c r="DJQ109" s="769"/>
      <c r="DJR109" s="769"/>
      <c r="DJS109" s="769"/>
      <c r="DJT109" s="769"/>
      <c r="DJU109" s="769"/>
      <c r="DJV109" s="769"/>
      <c r="DJW109" s="769"/>
      <c r="DJX109" s="769"/>
      <c r="DJY109" s="769"/>
      <c r="DJZ109" s="769"/>
      <c r="DKA109" s="769"/>
      <c r="DKB109" s="769"/>
      <c r="DKC109" s="769"/>
      <c r="DKD109" s="769"/>
      <c r="DKE109" s="769"/>
      <c r="DKF109" s="769"/>
      <c r="DKG109" s="769"/>
      <c r="DKH109" s="769"/>
      <c r="DKI109" s="769"/>
      <c r="DKJ109" s="769"/>
      <c r="DKK109" s="769"/>
      <c r="DKL109" s="769"/>
      <c r="DKM109" s="769"/>
      <c r="DKN109" s="769"/>
      <c r="DKO109" s="769"/>
      <c r="DKP109" s="769"/>
      <c r="DKQ109" s="769"/>
      <c r="DKR109" s="769"/>
      <c r="DKS109" s="769"/>
      <c r="DKT109" s="769"/>
      <c r="DKU109" s="769"/>
      <c r="DKV109" s="769"/>
      <c r="DKW109" s="769"/>
      <c r="DKX109" s="769"/>
      <c r="DKY109" s="769"/>
      <c r="DKZ109" s="769"/>
      <c r="DLA109" s="769"/>
      <c r="DLB109" s="769"/>
      <c r="DLC109" s="769"/>
      <c r="DLD109" s="769"/>
      <c r="DLE109" s="769"/>
      <c r="DLF109" s="769"/>
      <c r="DLG109" s="769"/>
      <c r="DLH109" s="769"/>
      <c r="DLI109" s="769"/>
      <c r="DLJ109" s="769"/>
      <c r="DLK109" s="769"/>
      <c r="DLL109" s="769"/>
      <c r="DLM109" s="769"/>
      <c r="DLN109" s="769"/>
      <c r="DLO109" s="769"/>
      <c r="DLP109" s="769"/>
      <c r="DLQ109" s="769"/>
      <c r="DLR109" s="769"/>
      <c r="DLS109" s="769"/>
      <c r="DLT109" s="769"/>
      <c r="DLU109" s="769"/>
      <c r="DLV109" s="769"/>
      <c r="DLW109" s="769"/>
      <c r="DLX109" s="769"/>
      <c r="DLY109" s="769"/>
      <c r="DLZ109" s="769"/>
      <c r="DMA109" s="769"/>
      <c r="DMB109" s="769"/>
      <c r="DMC109" s="769"/>
      <c r="DMD109" s="769"/>
      <c r="DME109" s="769"/>
      <c r="DMF109" s="769"/>
      <c r="DMG109" s="769"/>
      <c r="DMH109" s="769"/>
      <c r="DMI109" s="769"/>
      <c r="DMJ109" s="769"/>
      <c r="DMK109" s="769"/>
      <c r="DML109" s="769"/>
      <c r="DMM109" s="769"/>
      <c r="DMN109" s="769"/>
      <c r="DMO109" s="769"/>
      <c r="DMP109" s="769"/>
      <c r="DMQ109" s="769"/>
      <c r="DMR109" s="769"/>
      <c r="DMS109" s="769"/>
      <c r="DMT109" s="769"/>
      <c r="DMU109" s="769"/>
      <c r="DMV109" s="769"/>
      <c r="DMW109" s="769"/>
      <c r="DMX109" s="769"/>
      <c r="DMY109" s="769"/>
      <c r="DMZ109" s="769"/>
      <c r="DNA109" s="769"/>
      <c r="DNB109" s="769"/>
      <c r="DNC109" s="769"/>
      <c r="DND109" s="769"/>
      <c r="DNE109" s="769"/>
      <c r="DNF109" s="769"/>
      <c r="DNG109" s="769"/>
      <c r="DNH109" s="769"/>
      <c r="DNI109" s="769"/>
      <c r="DNJ109" s="769"/>
      <c r="DNK109" s="769"/>
      <c r="DNL109" s="769"/>
      <c r="DNM109" s="769"/>
      <c r="DNN109" s="769"/>
      <c r="DNO109" s="769"/>
      <c r="DNP109" s="769"/>
      <c r="DNQ109" s="769"/>
      <c r="DNR109" s="769"/>
      <c r="DNS109" s="769"/>
      <c r="DNT109" s="769"/>
      <c r="DNU109" s="769"/>
      <c r="DNV109" s="769"/>
      <c r="DNW109" s="769"/>
      <c r="DNX109" s="769"/>
      <c r="DNY109" s="769"/>
      <c r="DNZ109" s="769"/>
      <c r="DOA109" s="769"/>
      <c r="DOB109" s="769"/>
      <c r="DOC109" s="769"/>
      <c r="DOD109" s="769"/>
      <c r="DOE109" s="769"/>
      <c r="DOF109" s="769"/>
      <c r="DOG109" s="769"/>
      <c r="DOH109" s="769"/>
      <c r="DOI109" s="769"/>
      <c r="DOJ109" s="769"/>
      <c r="DOK109" s="769"/>
      <c r="DOL109" s="769"/>
      <c r="DOM109" s="769"/>
      <c r="DON109" s="769"/>
      <c r="DOO109" s="769"/>
      <c r="DOP109" s="769"/>
      <c r="DOQ109" s="769"/>
      <c r="DOR109" s="769"/>
      <c r="DOS109" s="769"/>
      <c r="DOT109" s="769"/>
      <c r="DOU109" s="769"/>
      <c r="DOV109" s="769"/>
      <c r="DOW109" s="769"/>
      <c r="DOX109" s="769"/>
      <c r="DOY109" s="769"/>
      <c r="DOZ109" s="769"/>
      <c r="DPA109" s="769"/>
      <c r="DPB109" s="769"/>
      <c r="DPC109" s="769"/>
      <c r="DPD109" s="769"/>
      <c r="DPE109" s="769"/>
      <c r="DPF109" s="769"/>
      <c r="DPG109" s="769"/>
      <c r="DPH109" s="769"/>
      <c r="DPI109" s="769"/>
      <c r="DPJ109" s="769"/>
      <c r="DPK109" s="769"/>
      <c r="DPL109" s="769"/>
      <c r="DPM109" s="769"/>
      <c r="DPN109" s="769"/>
      <c r="DPO109" s="769"/>
      <c r="DPP109" s="769"/>
      <c r="DPQ109" s="769"/>
      <c r="DPR109" s="769"/>
      <c r="DPS109" s="769"/>
      <c r="DPT109" s="769"/>
      <c r="DPU109" s="769"/>
      <c r="DPV109" s="769"/>
      <c r="DPW109" s="769"/>
      <c r="DPX109" s="769"/>
      <c r="DPY109" s="769"/>
      <c r="DPZ109" s="769"/>
      <c r="DQA109" s="769"/>
      <c r="DQB109" s="769"/>
      <c r="DQC109" s="769"/>
      <c r="DQD109" s="769"/>
      <c r="DQE109" s="769"/>
      <c r="DQF109" s="769"/>
      <c r="DQG109" s="769"/>
      <c r="DQH109" s="769"/>
      <c r="DQI109" s="769"/>
      <c r="DQJ109" s="769"/>
      <c r="DQK109" s="769"/>
      <c r="DQL109" s="769"/>
      <c r="DQM109" s="769"/>
      <c r="DQN109" s="769"/>
      <c r="DQO109" s="769"/>
      <c r="DQP109" s="769"/>
      <c r="DQQ109" s="769"/>
      <c r="DQR109" s="769"/>
      <c r="DQS109" s="769"/>
      <c r="DQT109" s="769"/>
      <c r="DQU109" s="769"/>
      <c r="DQV109" s="769"/>
      <c r="DQW109" s="769"/>
      <c r="DQX109" s="769"/>
      <c r="DQY109" s="769"/>
      <c r="DQZ109" s="769"/>
      <c r="DRA109" s="769"/>
      <c r="DRB109" s="769"/>
      <c r="DRC109" s="769"/>
      <c r="DRD109" s="769"/>
      <c r="DRE109" s="769"/>
      <c r="DRF109" s="769"/>
      <c r="DRG109" s="769"/>
      <c r="DRH109" s="769"/>
      <c r="DRI109" s="769"/>
      <c r="DRJ109" s="769"/>
      <c r="DRK109" s="769"/>
      <c r="DRL109" s="769"/>
      <c r="DRM109" s="769"/>
      <c r="DRN109" s="769"/>
      <c r="DRO109" s="769"/>
      <c r="DRP109" s="769"/>
      <c r="DRQ109" s="769"/>
      <c r="DRR109" s="769"/>
      <c r="DRS109" s="769"/>
      <c r="DRT109" s="769"/>
      <c r="DRU109" s="769"/>
      <c r="DRV109" s="769"/>
      <c r="DRW109" s="769"/>
      <c r="DRX109" s="769"/>
      <c r="DRY109" s="769"/>
      <c r="DRZ109" s="769"/>
      <c r="DSA109" s="769"/>
      <c r="DSB109" s="769"/>
      <c r="DSC109" s="769"/>
      <c r="DSD109" s="769"/>
      <c r="DSE109" s="769"/>
      <c r="DSF109" s="769"/>
      <c r="DSG109" s="769"/>
      <c r="DSH109" s="769"/>
      <c r="DSI109" s="769"/>
      <c r="DSJ109" s="769"/>
      <c r="DSK109" s="769"/>
      <c r="DSL109" s="769"/>
      <c r="DSM109" s="769"/>
      <c r="DSN109" s="769"/>
      <c r="DSO109" s="769"/>
      <c r="DSP109" s="769"/>
      <c r="DSQ109" s="769"/>
      <c r="DSR109" s="769"/>
      <c r="DSS109" s="769"/>
      <c r="DST109" s="769"/>
      <c r="DSU109" s="769"/>
      <c r="DSV109" s="769"/>
      <c r="DSW109" s="769"/>
      <c r="DSX109" s="769"/>
      <c r="DSY109" s="769"/>
      <c r="DSZ109" s="769"/>
      <c r="DTA109" s="769"/>
      <c r="DTB109" s="769"/>
      <c r="DTC109" s="769"/>
      <c r="DTD109" s="769"/>
      <c r="DTE109" s="769"/>
      <c r="DTF109" s="769"/>
      <c r="DTG109" s="769"/>
      <c r="DTH109" s="769"/>
      <c r="DTI109" s="769"/>
      <c r="DTJ109" s="769"/>
      <c r="DTK109" s="769"/>
      <c r="DTL109" s="769"/>
      <c r="DTM109" s="769"/>
      <c r="DTN109" s="769"/>
      <c r="DTO109" s="769"/>
      <c r="DTP109" s="769"/>
      <c r="DTQ109" s="769"/>
      <c r="DTR109" s="769"/>
      <c r="DTS109" s="769"/>
      <c r="DTT109" s="769"/>
      <c r="DTU109" s="769"/>
      <c r="DTV109" s="769"/>
      <c r="DTW109" s="769"/>
      <c r="DTX109" s="769"/>
      <c r="DTY109" s="769"/>
      <c r="DTZ109" s="769"/>
      <c r="DUA109" s="769"/>
      <c r="DUB109" s="769"/>
      <c r="DUC109" s="769"/>
      <c r="DUD109" s="769"/>
      <c r="DUE109" s="769"/>
      <c r="DUF109" s="769"/>
      <c r="DUG109" s="769"/>
      <c r="DUH109" s="769"/>
      <c r="DUI109" s="769"/>
      <c r="DUJ109" s="769"/>
      <c r="DUK109" s="769"/>
      <c r="DUL109" s="769"/>
      <c r="DUM109" s="769"/>
      <c r="DUN109" s="769"/>
      <c r="DUO109" s="769"/>
      <c r="DUP109" s="769"/>
      <c r="DUQ109" s="769"/>
      <c r="DUR109" s="769"/>
      <c r="DUS109" s="769"/>
      <c r="DUT109" s="769"/>
      <c r="DUU109" s="769"/>
      <c r="DUV109" s="769"/>
      <c r="DUW109" s="769"/>
      <c r="DUX109" s="769"/>
      <c r="DUY109" s="769"/>
      <c r="DUZ109" s="769"/>
      <c r="DVA109" s="769"/>
      <c r="DVB109" s="769"/>
      <c r="DVC109" s="769"/>
      <c r="DVD109" s="769"/>
      <c r="DVE109" s="769"/>
      <c r="DVF109" s="769"/>
      <c r="DVG109" s="769"/>
      <c r="DVH109" s="769"/>
      <c r="DVI109" s="769"/>
      <c r="DVJ109" s="769"/>
      <c r="DVK109" s="769"/>
      <c r="DVL109" s="769"/>
      <c r="DVM109" s="769"/>
      <c r="DVN109" s="769"/>
      <c r="DVO109" s="769"/>
      <c r="DVP109" s="769"/>
      <c r="DVQ109" s="769"/>
      <c r="DVR109" s="769"/>
      <c r="DVS109" s="769"/>
      <c r="DVT109" s="769"/>
      <c r="DVU109" s="769"/>
      <c r="DVV109" s="769"/>
      <c r="DVW109" s="769"/>
      <c r="DVX109" s="769"/>
      <c r="DVY109" s="769"/>
      <c r="DVZ109" s="769"/>
      <c r="DWA109" s="769"/>
      <c r="DWB109" s="769"/>
      <c r="DWC109" s="769"/>
      <c r="DWD109" s="769"/>
      <c r="DWE109" s="769"/>
      <c r="DWF109" s="769"/>
      <c r="DWG109" s="769"/>
      <c r="DWH109" s="769"/>
      <c r="DWI109" s="769"/>
      <c r="DWJ109" s="769"/>
      <c r="DWK109" s="769"/>
      <c r="DWL109" s="769"/>
      <c r="DWM109" s="769"/>
      <c r="DWN109" s="769"/>
      <c r="DWO109" s="769"/>
      <c r="DWP109" s="769"/>
      <c r="DWQ109" s="769"/>
      <c r="DWR109" s="769"/>
      <c r="DWS109" s="769"/>
      <c r="DWT109" s="769"/>
      <c r="DWU109" s="769"/>
      <c r="DWV109" s="769"/>
      <c r="DWW109" s="769"/>
      <c r="DWX109" s="769"/>
      <c r="DWY109" s="769"/>
      <c r="DWZ109" s="769"/>
      <c r="DXA109" s="769"/>
      <c r="DXB109" s="769"/>
      <c r="DXC109" s="769"/>
      <c r="DXD109" s="769"/>
      <c r="DXE109" s="769"/>
      <c r="DXF109" s="769"/>
      <c r="DXG109" s="769"/>
      <c r="DXH109" s="769"/>
      <c r="DXI109" s="769"/>
      <c r="DXJ109" s="769"/>
      <c r="DXK109" s="769"/>
      <c r="DXL109" s="769"/>
      <c r="DXM109" s="769"/>
      <c r="DXN109" s="769"/>
      <c r="DXO109" s="769"/>
      <c r="DXP109" s="769"/>
      <c r="DXQ109" s="769"/>
      <c r="DXR109" s="769"/>
      <c r="DXS109" s="769"/>
      <c r="DXT109" s="769"/>
      <c r="DXU109" s="769"/>
      <c r="DXV109" s="769"/>
      <c r="DXW109" s="769"/>
      <c r="DXX109" s="769"/>
      <c r="DXY109" s="769"/>
      <c r="DXZ109" s="769"/>
      <c r="DYA109" s="769"/>
      <c r="DYB109" s="769"/>
      <c r="DYC109" s="769"/>
      <c r="DYD109" s="769"/>
      <c r="DYE109" s="769"/>
      <c r="DYF109" s="769"/>
      <c r="DYG109" s="769"/>
      <c r="DYH109" s="769"/>
      <c r="DYI109" s="769"/>
      <c r="DYJ109" s="769"/>
      <c r="DYK109" s="769"/>
      <c r="DYL109" s="769"/>
      <c r="DYM109" s="769"/>
      <c r="DYN109" s="769"/>
      <c r="DYO109" s="769"/>
      <c r="DYP109" s="769"/>
      <c r="DYQ109" s="769"/>
      <c r="DYR109" s="769"/>
      <c r="DYS109" s="769"/>
      <c r="DYT109" s="769"/>
      <c r="DYU109" s="769"/>
      <c r="DYV109" s="769"/>
      <c r="DYW109" s="769"/>
      <c r="DYX109" s="769"/>
      <c r="DYY109" s="769"/>
      <c r="DYZ109" s="769"/>
      <c r="DZA109" s="769"/>
      <c r="DZB109" s="769"/>
      <c r="DZC109" s="769"/>
      <c r="DZD109" s="769"/>
      <c r="DZE109" s="769"/>
      <c r="DZF109" s="769"/>
      <c r="DZG109" s="769"/>
      <c r="DZH109" s="769"/>
      <c r="DZI109" s="769"/>
      <c r="DZJ109" s="769"/>
      <c r="DZK109" s="769"/>
      <c r="DZL109" s="769"/>
      <c r="DZM109" s="769"/>
      <c r="DZN109" s="769"/>
      <c r="DZO109" s="769"/>
      <c r="DZP109" s="769"/>
      <c r="DZQ109" s="769"/>
      <c r="DZR109" s="769"/>
      <c r="DZS109" s="769"/>
      <c r="DZT109" s="769"/>
      <c r="DZU109" s="769"/>
      <c r="DZV109" s="769"/>
      <c r="DZW109" s="769"/>
      <c r="DZX109" s="769"/>
      <c r="DZY109" s="769"/>
      <c r="DZZ109" s="769"/>
      <c r="EAA109" s="769"/>
      <c r="EAB109" s="769"/>
      <c r="EAC109" s="769"/>
      <c r="EAD109" s="769"/>
      <c r="EAE109" s="769"/>
      <c r="EAF109" s="769"/>
      <c r="EAG109" s="769"/>
      <c r="EAH109" s="769"/>
      <c r="EAI109" s="769"/>
      <c r="EAJ109" s="769"/>
      <c r="EAK109" s="769"/>
      <c r="EAL109" s="769"/>
      <c r="EAM109" s="769"/>
      <c r="EAN109" s="769"/>
      <c r="EAO109" s="769"/>
      <c r="EAP109" s="769"/>
      <c r="EAQ109" s="769"/>
      <c r="EAR109" s="769"/>
      <c r="EAS109" s="769"/>
      <c r="EAT109" s="769"/>
      <c r="EAU109" s="769"/>
      <c r="EAV109" s="769"/>
      <c r="EAW109" s="769"/>
      <c r="EAX109" s="769"/>
      <c r="EAY109" s="769"/>
      <c r="EAZ109" s="769"/>
      <c r="EBA109" s="769"/>
      <c r="EBB109" s="769"/>
      <c r="EBC109" s="769"/>
      <c r="EBD109" s="769"/>
      <c r="EBE109" s="769"/>
      <c r="EBF109" s="769"/>
      <c r="EBG109" s="769"/>
      <c r="EBH109" s="769"/>
      <c r="EBI109" s="769"/>
      <c r="EBJ109" s="769"/>
      <c r="EBK109" s="769"/>
      <c r="EBL109" s="769"/>
      <c r="EBM109" s="769"/>
      <c r="EBN109" s="769"/>
      <c r="EBO109" s="769"/>
      <c r="EBP109" s="769"/>
      <c r="EBQ109" s="769"/>
      <c r="EBR109" s="769"/>
      <c r="EBS109" s="769"/>
      <c r="EBT109" s="769"/>
      <c r="EBU109" s="769"/>
      <c r="EBV109" s="769"/>
      <c r="EBW109" s="769"/>
      <c r="EBX109" s="769"/>
      <c r="EBY109" s="769"/>
      <c r="EBZ109" s="769"/>
      <c r="ECA109" s="769"/>
      <c r="ECB109" s="769"/>
      <c r="ECC109" s="769"/>
      <c r="ECD109" s="769"/>
      <c r="ECE109" s="769"/>
      <c r="ECF109" s="769"/>
      <c r="ECG109" s="769"/>
      <c r="ECH109" s="769"/>
      <c r="ECI109" s="769"/>
      <c r="ECJ109" s="769"/>
      <c r="ECK109" s="769"/>
      <c r="ECL109" s="769"/>
      <c r="ECM109" s="769"/>
      <c r="ECN109" s="769"/>
      <c r="ECO109" s="769"/>
      <c r="ECP109" s="769"/>
      <c r="ECQ109" s="769"/>
      <c r="ECR109" s="769"/>
      <c r="ECS109" s="769"/>
      <c r="ECT109" s="769"/>
      <c r="ECU109" s="769"/>
      <c r="ECV109" s="769"/>
      <c r="ECW109" s="769"/>
      <c r="ECX109" s="769"/>
      <c r="ECY109" s="769"/>
      <c r="ECZ109" s="769"/>
      <c r="EDA109" s="769"/>
      <c r="EDB109" s="769"/>
      <c r="EDC109" s="769"/>
      <c r="EDD109" s="769"/>
      <c r="EDE109" s="769"/>
      <c r="EDF109" s="769"/>
      <c r="EDG109" s="769"/>
      <c r="EDH109" s="769"/>
      <c r="EDI109" s="769"/>
      <c r="EDJ109" s="769"/>
      <c r="EDK109" s="769"/>
      <c r="EDL109" s="769"/>
      <c r="EDM109" s="769"/>
      <c r="EDN109" s="769"/>
      <c r="EDO109" s="769"/>
      <c r="EDP109" s="769"/>
      <c r="EDQ109" s="769"/>
      <c r="EDR109" s="769"/>
      <c r="EDS109" s="769"/>
      <c r="EDT109" s="769"/>
      <c r="EDU109" s="769"/>
      <c r="EDV109" s="769"/>
      <c r="EDW109" s="769"/>
      <c r="EDX109" s="769"/>
      <c r="EDY109" s="769"/>
      <c r="EDZ109" s="769"/>
      <c r="EEA109" s="769"/>
      <c r="EEB109" s="769"/>
      <c r="EEC109" s="769"/>
      <c r="EED109" s="769"/>
      <c r="EEE109" s="769"/>
      <c r="EEF109" s="769"/>
      <c r="EEG109" s="769"/>
      <c r="EEH109" s="769"/>
      <c r="EEI109" s="769"/>
      <c r="EEJ109" s="769"/>
      <c r="EEK109" s="769"/>
      <c r="EEL109" s="769"/>
      <c r="EEM109" s="769"/>
      <c r="EEN109" s="769"/>
      <c r="EEO109" s="769"/>
      <c r="EEP109" s="769"/>
      <c r="EEQ109" s="769"/>
      <c r="EER109" s="769"/>
      <c r="EES109" s="769"/>
      <c r="EET109" s="769"/>
      <c r="EEU109" s="769"/>
      <c r="EEV109" s="769"/>
      <c r="EEW109" s="769"/>
      <c r="EEX109" s="769"/>
      <c r="EEY109" s="769"/>
      <c r="EEZ109" s="769"/>
      <c r="EFA109" s="769"/>
      <c r="EFB109" s="769"/>
      <c r="EFC109" s="769"/>
      <c r="EFD109" s="769"/>
      <c r="EFE109" s="769"/>
      <c r="EFF109" s="769"/>
      <c r="EFG109" s="769"/>
      <c r="EFH109" s="769"/>
      <c r="EFI109" s="769"/>
      <c r="EFJ109" s="769"/>
      <c r="EFK109" s="769"/>
      <c r="EFL109" s="769"/>
      <c r="EFM109" s="769"/>
      <c r="EFN109" s="769"/>
      <c r="EFO109" s="769"/>
      <c r="EFP109" s="769"/>
      <c r="EFQ109" s="769"/>
      <c r="EFR109" s="769"/>
      <c r="EFS109" s="769"/>
      <c r="EFT109" s="769"/>
      <c r="EFU109" s="769"/>
      <c r="EFV109" s="769"/>
      <c r="EFW109" s="769"/>
      <c r="EFX109" s="769"/>
      <c r="EFY109" s="769"/>
      <c r="EFZ109" s="769"/>
      <c r="EGA109" s="769"/>
      <c r="EGB109" s="769"/>
      <c r="EGC109" s="769"/>
      <c r="EGD109" s="769"/>
      <c r="EGE109" s="769"/>
      <c r="EGF109" s="769"/>
      <c r="EGG109" s="769"/>
      <c r="EGH109" s="769"/>
      <c r="EGI109" s="769"/>
      <c r="EGJ109" s="769"/>
      <c r="EGK109" s="769"/>
      <c r="EGL109" s="769"/>
      <c r="EGM109" s="769"/>
      <c r="EGN109" s="769"/>
      <c r="EGO109" s="769"/>
      <c r="EGP109" s="769"/>
      <c r="EGQ109" s="769"/>
      <c r="EGR109" s="769"/>
      <c r="EGS109" s="769"/>
      <c r="EGT109" s="769"/>
      <c r="EGU109" s="769"/>
      <c r="EGV109" s="769"/>
      <c r="EGW109" s="769"/>
      <c r="EGX109" s="769"/>
      <c r="EGY109" s="769"/>
      <c r="EGZ109" s="769"/>
      <c r="EHA109" s="769"/>
      <c r="EHB109" s="769"/>
      <c r="EHC109" s="769"/>
      <c r="EHD109" s="769"/>
      <c r="EHE109" s="769"/>
      <c r="EHF109" s="769"/>
      <c r="EHG109" s="769"/>
      <c r="EHH109" s="769"/>
      <c r="EHI109" s="769"/>
      <c r="EHJ109" s="769"/>
      <c r="EHK109" s="769"/>
      <c r="EHL109" s="769"/>
      <c r="EHM109" s="769"/>
      <c r="EHN109" s="769"/>
      <c r="EHO109" s="769"/>
      <c r="EHP109" s="769"/>
      <c r="EHQ109" s="769"/>
      <c r="EHR109" s="769"/>
      <c r="EHS109" s="769"/>
      <c r="EHT109" s="769"/>
      <c r="EHU109" s="769"/>
      <c r="EHV109" s="769"/>
      <c r="EHW109" s="769"/>
      <c r="EHX109" s="769"/>
      <c r="EHY109" s="769"/>
      <c r="EHZ109" s="769"/>
      <c r="EIA109" s="769"/>
      <c r="EIB109" s="769"/>
      <c r="EIC109" s="769"/>
      <c r="EID109" s="769"/>
      <c r="EIE109" s="769"/>
      <c r="EIF109" s="769"/>
      <c r="EIG109" s="769"/>
      <c r="EIH109" s="769"/>
      <c r="EII109" s="769"/>
      <c r="EIJ109" s="769"/>
      <c r="EIK109" s="769"/>
      <c r="EIL109" s="769"/>
      <c r="EIM109" s="769"/>
      <c r="EIN109" s="769"/>
      <c r="EIO109" s="769"/>
      <c r="EIP109" s="769"/>
      <c r="EIQ109" s="769"/>
      <c r="EIR109" s="769"/>
      <c r="EIS109" s="769"/>
      <c r="EIT109" s="769"/>
      <c r="EIU109" s="769"/>
      <c r="EIV109" s="769"/>
      <c r="EIW109" s="769"/>
      <c r="EIX109" s="769"/>
      <c r="EIY109" s="769"/>
      <c r="EIZ109" s="769"/>
      <c r="EJA109" s="769"/>
      <c r="EJB109" s="769"/>
      <c r="EJC109" s="769"/>
      <c r="EJD109" s="769"/>
      <c r="EJE109" s="769"/>
      <c r="EJF109" s="769"/>
      <c r="EJG109" s="769"/>
      <c r="EJH109" s="769"/>
      <c r="EJI109" s="769"/>
      <c r="EJJ109" s="769"/>
      <c r="EJK109" s="769"/>
      <c r="EJL109" s="769"/>
      <c r="EJM109" s="769"/>
      <c r="EJN109" s="769"/>
      <c r="EJO109" s="769"/>
      <c r="EJP109" s="769"/>
      <c r="EJQ109" s="769"/>
      <c r="EJR109" s="769"/>
      <c r="EJS109" s="769"/>
      <c r="EJT109" s="769"/>
      <c r="EJU109" s="769"/>
      <c r="EJV109" s="769"/>
      <c r="EJW109" s="769"/>
      <c r="EJX109" s="769"/>
      <c r="EJY109" s="769"/>
      <c r="EJZ109" s="769"/>
      <c r="EKA109" s="769"/>
      <c r="EKB109" s="769"/>
      <c r="EKC109" s="769"/>
      <c r="EKD109" s="769"/>
      <c r="EKE109" s="769"/>
      <c r="EKF109" s="769"/>
      <c r="EKG109" s="769"/>
      <c r="EKH109" s="769"/>
      <c r="EKI109" s="769"/>
      <c r="EKJ109" s="769"/>
      <c r="EKK109" s="769"/>
      <c r="EKL109" s="769"/>
      <c r="EKM109" s="769"/>
      <c r="EKN109" s="769"/>
      <c r="EKO109" s="769"/>
      <c r="EKP109" s="769"/>
      <c r="EKQ109" s="769"/>
      <c r="EKR109" s="769"/>
      <c r="EKS109" s="769"/>
      <c r="EKT109" s="769"/>
      <c r="EKU109" s="769"/>
      <c r="EKV109" s="769"/>
      <c r="EKW109" s="769"/>
      <c r="EKX109" s="769"/>
      <c r="EKY109" s="769"/>
      <c r="EKZ109" s="769"/>
      <c r="ELA109" s="769"/>
      <c r="ELB109" s="769"/>
      <c r="ELC109" s="769"/>
      <c r="ELD109" s="769"/>
      <c r="ELE109" s="769"/>
      <c r="ELF109" s="769"/>
      <c r="ELG109" s="769"/>
      <c r="ELH109" s="769"/>
      <c r="ELI109" s="769"/>
      <c r="ELJ109" s="769"/>
      <c r="ELK109" s="769"/>
      <c r="ELL109" s="769"/>
      <c r="ELM109" s="769"/>
      <c r="ELN109" s="769"/>
      <c r="ELO109" s="769"/>
      <c r="ELP109" s="769"/>
      <c r="ELQ109" s="769"/>
      <c r="ELR109" s="769"/>
      <c r="ELS109" s="769"/>
      <c r="ELT109" s="769"/>
      <c r="ELU109" s="769"/>
      <c r="ELV109" s="769"/>
      <c r="ELW109" s="769"/>
      <c r="ELX109" s="769"/>
      <c r="ELY109" s="769"/>
      <c r="ELZ109" s="769"/>
      <c r="EMA109" s="769"/>
      <c r="EMB109" s="769"/>
      <c r="EMC109" s="769"/>
      <c r="EMD109" s="769"/>
      <c r="EME109" s="769"/>
      <c r="EMF109" s="769"/>
      <c r="EMG109" s="769"/>
      <c r="EMH109" s="769"/>
      <c r="EMI109" s="769"/>
      <c r="EMJ109" s="769"/>
      <c r="EMK109" s="769"/>
      <c r="EML109" s="769"/>
      <c r="EMM109" s="769"/>
      <c r="EMN109" s="769"/>
      <c r="EMO109" s="769"/>
      <c r="EMP109" s="769"/>
      <c r="EMQ109" s="769"/>
      <c r="EMR109" s="769"/>
      <c r="EMS109" s="769"/>
      <c r="EMT109" s="769"/>
      <c r="EMU109" s="769"/>
      <c r="EMV109" s="769"/>
      <c r="EMW109" s="769"/>
      <c r="EMX109" s="769"/>
      <c r="EMY109" s="769"/>
      <c r="EMZ109" s="769"/>
      <c r="ENA109" s="769"/>
      <c r="ENB109" s="769"/>
      <c r="ENC109" s="769"/>
      <c r="END109" s="769"/>
      <c r="ENE109" s="769"/>
      <c r="ENF109" s="769"/>
      <c r="ENG109" s="769"/>
      <c r="ENH109" s="769"/>
      <c r="ENI109" s="769"/>
      <c r="ENJ109" s="769"/>
      <c r="ENK109" s="769"/>
      <c r="ENL109" s="769"/>
      <c r="ENM109" s="769"/>
      <c r="ENN109" s="769"/>
      <c r="ENO109" s="769"/>
      <c r="ENP109" s="769"/>
      <c r="ENQ109" s="769"/>
      <c r="ENR109" s="769"/>
      <c r="ENS109" s="769"/>
      <c r="ENT109" s="769"/>
      <c r="ENU109" s="769"/>
      <c r="ENV109" s="769"/>
      <c r="ENW109" s="769"/>
      <c r="ENX109" s="769"/>
      <c r="ENY109" s="769"/>
      <c r="ENZ109" s="769"/>
      <c r="EOA109" s="769"/>
      <c r="EOB109" s="769"/>
      <c r="EOC109" s="769"/>
      <c r="EOD109" s="769"/>
      <c r="EOE109" s="769"/>
      <c r="EOF109" s="769"/>
      <c r="EOG109" s="769"/>
      <c r="EOH109" s="769"/>
      <c r="EOI109" s="769"/>
      <c r="EOJ109" s="769"/>
      <c r="EOK109" s="769"/>
      <c r="EOL109" s="769"/>
      <c r="EOM109" s="769"/>
      <c r="EON109" s="769"/>
      <c r="EOO109" s="769"/>
      <c r="EOP109" s="769"/>
      <c r="EOQ109" s="769"/>
      <c r="EOR109" s="769"/>
      <c r="EOS109" s="769"/>
      <c r="EOT109" s="769"/>
      <c r="EOU109" s="769"/>
      <c r="EOV109" s="769"/>
      <c r="EOW109" s="769"/>
      <c r="EOX109" s="769"/>
      <c r="EOY109" s="769"/>
      <c r="EOZ109" s="769"/>
      <c r="EPA109" s="769"/>
      <c r="EPB109" s="769"/>
      <c r="EPC109" s="769"/>
      <c r="EPD109" s="769"/>
      <c r="EPE109" s="769"/>
      <c r="EPF109" s="769"/>
      <c r="EPG109" s="769"/>
      <c r="EPH109" s="769"/>
      <c r="EPI109" s="769"/>
      <c r="EPJ109" s="769"/>
      <c r="EPK109" s="769"/>
      <c r="EPL109" s="769"/>
      <c r="EPM109" s="769"/>
      <c r="EPN109" s="769"/>
      <c r="EPO109" s="769"/>
      <c r="EPP109" s="769"/>
      <c r="EPQ109" s="769"/>
      <c r="EPR109" s="769"/>
      <c r="EPS109" s="769"/>
      <c r="EPT109" s="769"/>
      <c r="EPU109" s="769"/>
      <c r="EPV109" s="769"/>
      <c r="EPW109" s="769"/>
      <c r="EPX109" s="769"/>
      <c r="EPY109" s="769"/>
      <c r="EPZ109" s="769"/>
      <c r="EQA109" s="769"/>
      <c r="EQB109" s="769"/>
      <c r="EQC109" s="769"/>
      <c r="EQD109" s="769"/>
      <c r="EQE109" s="769"/>
      <c r="EQF109" s="769"/>
      <c r="EQG109" s="769"/>
      <c r="EQH109" s="769"/>
      <c r="EQI109" s="769"/>
      <c r="EQJ109" s="769"/>
      <c r="EQK109" s="769"/>
      <c r="EQL109" s="769"/>
      <c r="EQM109" s="769"/>
      <c r="EQN109" s="769"/>
      <c r="EQO109" s="769"/>
      <c r="EQP109" s="769"/>
      <c r="EQQ109" s="769"/>
      <c r="EQR109" s="769"/>
      <c r="EQS109" s="769"/>
      <c r="EQT109" s="769"/>
      <c r="EQU109" s="769"/>
      <c r="EQV109" s="769"/>
      <c r="EQW109" s="769"/>
      <c r="EQX109" s="769"/>
      <c r="EQY109" s="769"/>
      <c r="EQZ109" s="769"/>
      <c r="ERA109" s="769"/>
      <c r="ERB109" s="769"/>
      <c r="ERC109" s="769"/>
      <c r="ERD109" s="769"/>
      <c r="ERE109" s="769"/>
      <c r="ERF109" s="769"/>
      <c r="ERG109" s="769"/>
      <c r="ERH109" s="769"/>
      <c r="ERI109" s="769"/>
      <c r="ERJ109" s="769"/>
      <c r="ERK109" s="769"/>
      <c r="ERL109" s="769"/>
      <c r="ERM109" s="769"/>
      <c r="ERN109" s="769"/>
      <c r="ERO109" s="769"/>
      <c r="ERP109" s="769"/>
      <c r="ERQ109" s="769"/>
      <c r="ERR109" s="769"/>
      <c r="ERS109" s="769"/>
      <c r="ERT109" s="769"/>
      <c r="ERU109" s="769"/>
      <c r="ERV109" s="769"/>
      <c r="ERW109" s="769"/>
      <c r="ERX109" s="769"/>
      <c r="ERY109" s="769"/>
      <c r="ERZ109" s="769"/>
      <c r="ESA109" s="769"/>
      <c r="ESB109" s="769"/>
      <c r="ESC109" s="769"/>
      <c r="ESD109" s="769"/>
      <c r="ESE109" s="769"/>
      <c r="ESF109" s="769"/>
      <c r="ESG109" s="769"/>
      <c r="ESH109" s="769"/>
      <c r="ESI109" s="769"/>
      <c r="ESJ109" s="769"/>
      <c r="ESK109" s="769"/>
      <c r="ESL109" s="769"/>
      <c r="ESM109" s="769"/>
      <c r="ESN109" s="769"/>
      <c r="ESO109" s="769"/>
      <c r="ESP109" s="769"/>
      <c r="ESQ109" s="769"/>
      <c r="ESR109" s="769"/>
      <c r="ESS109" s="769"/>
      <c r="EST109" s="769"/>
      <c r="ESU109" s="769"/>
      <c r="ESV109" s="769"/>
      <c r="ESW109" s="769"/>
      <c r="ESX109" s="769"/>
      <c r="ESY109" s="769"/>
      <c r="ESZ109" s="769"/>
      <c r="ETA109" s="769"/>
      <c r="ETB109" s="769"/>
      <c r="ETC109" s="769"/>
      <c r="ETD109" s="769"/>
      <c r="ETE109" s="769"/>
      <c r="ETF109" s="769"/>
      <c r="ETG109" s="769"/>
      <c r="ETH109" s="769"/>
      <c r="ETI109" s="769"/>
      <c r="ETJ109" s="769"/>
      <c r="ETK109" s="769"/>
      <c r="ETL109" s="769"/>
      <c r="ETM109" s="769"/>
      <c r="ETN109" s="769"/>
      <c r="ETO109" s="769"/>
      <c r="ETP109" s="769"/>
      <c r="ETQ109" s="769"/>
      <c r="ETR109" s="769"/>
      <c r="ETS109" s="769"/>
      <c r="ETT109" s="769"/>
      <c r="ETU109" s="769"/>
      <c r="ETV109" s="769"/>
      <c r="ETW109" s="769"/>
      <c r="ETX109" s="769"/>
      <c r="ETY109" s="769"/>
      <c r="ETZ109" s="769"/>
      <c r="EUA109" s="769"/>
      <c r="EUB109" s="769"/>
      <c r="EUC109" s="769"/>
      <c r="EUD109" s="769"/>
      <c r="EUE109" s="769"/>
      <c r="EUF109" s="769"/>
      <c r="EUG109" s="769"/>
      <c r="EUH109" s="769"/>
      <c r="EUI109" s="769"/>
      <c r="EUJ109" s="769"/>
      <c r="EUK109" s="769"/>
      <c r="EUL109" s="769"/>
      <c r="EUM109" s="769"/>
      <c r="EUN109" s="769"/>
      <c r="EUO109" s="769"/>
      <c r="EUP109" s="769"/>
      <c r="EUQ109" s="769"/>
      <c r="EUR109" s="769"/>
      <c r="EUS109" s="769"/>
      <c r="EUT109" s="769"/>
      <c r="EUU109" s="769"/>
      <c r="EUV109" s="769"/>
      <c r="EUW109" s="769"/>
      <c r="EUX109" s="769"/>
      <c r="EUY109" s="769"/>
      <c r="EUZ109" s="769"/>
      <c r="EVA109" s="769"/>
      <c r="EVB109" s="769"/>
      <c r="EVC109" s="769"/>
      <c r="EVD109" s="769"/>
      <c r="EVE109" s="769"/>
      <c r="EVF109" s="769"/>
      <c r="EVG109" s="769"/>
      <c r="EVH109" s="769"/>
      <c r="EVI109" s="769"/>
      <c r="EVJ109" s="769"/>
      <c r="EVK109" s="769"/>
      <c r="EVL109" s="769"/>
      <c r="EVM109" s="769"/>
      <c r="EVN109" s="769"/>
      <c r="EVO109" s="769"/>
      <c r="EVP109" s="769"/>
      <c r="EVQ109" s="769"/>
      <c r="EVR109" s="769"/>
      <c r="EVS109" s="769"/>
      <c r="EVT109" s="769"/>
      <c r="EVU109" s="769"/>
      <c r="EVV109" s="769"/>
      <c r="EVW109" s="769"/>
      <c r="EVX109" s="769"/>
      <c r="EVY109" s="769"/>
      <c r="EVZ109" s="769"/>
      <c r="EWA109" s="769"/>
      <c r="EWB109" s="769"/>
      <c r="EWC109" s="769"/>
      <c r="EWD109" s="769"/>
      <c r="EWE109" s="769"/>
      <c r="EWF109" s="769"/>
      <c r="EWG109" s="769"/>
      <c r="EWH109" s="769"/>
      <c r="EWI109" s="769"/>
      <c r="EWJ109" s="769"/>
      <c r="EWK109" s="769"/>
      <c r="EWL109" s="769"/>
      <c r="EWM109" s="769"/>
      <c r="EWN109" s="769"/>
      <c r="EWO109" s="769"/>
      <c r="EWP109" s="769"/>
      <c r="EWQ109" s="769"/>
      <c r="EWR109" s="769"/>
      <c r="EWS109" s="769"/>
      <c r="EWT109" s="769"/>
      <c r="EWU109" s="769"/>
      <c r="EWV109" s="769"/>
      <c r="EWW109" s="769"/>
      <c r="EWX109" s="769"/>
      <c r="EWY109" s="769"/>
      <c r="EWZ109" s="769"/>
      <c r="EXA109" s="769"/>
      <c r="EXB109" s="769"/>
      <c r="EXC109" s="769"/>
      <c r="EXD109" s="769"/>
      <c r="EXE109" s="769"/>
      <c r="EXF109" s="769"/>
      <c r="EXG109" s="769"/>
      <c r="EXH109" s="769"/>
      <c r="EXI109" s="769"/>
      <c r="EXJ109" s="769"/>
      <c r="EXK109" s="769"/>
      <c r="EXL109" s="769"/>
      <c r="EXM109" s="769"/>
      <c r="EXN109" s="769"/>
      <c r="EXO109" s="769"/>
      <c r="EXP109" s="769"/>
      <c r="EXQ109" s="769"/>
      <c r="EXR109" s="769"/>
      <c r="EXS109" s="769"/>
      <c r="EXT109" s="769"/>
      <c r="EXU109" s="769"/>
      <c r="EXV109" s="769"/>
      <c r="EXW109" s="769"/>
      <c r="EXX109" s="769"/>
      <c r="EXY109" s="769"/>
      <c r="EXZ109" s="769"/>
      <c r="EYA109" s="769"/>
      <c r="EYB109" s="769"/>
      <c r="EYC109" s="769"/>
      <c r="EYD109" s="769"/>
      <c r="EYE109" s="769"/>
      <c r="EYF109" s="769"/>
      <c r="EYG109" s="769"/>
      <c r="EYH109" s="769"/>
      <c r="EYI109" s="769"/>
      <c r="EYJ109" s="769"/>
      <c r="EYK109" s="769"/>
      <c r="EYL109" s="769"/>
      <c r="EYM109" s="769"/>
      <c r="EYN109" s="769"/>
      <c r="EYO109" s="769"/>
      <c r="EYP109" s="769"/>
      <c r="EYQ109" s="769"/>
      <c r="EYR109" s="769"/>
      <c r="EYS109" s="769"/>
      <c r="EYT109" s="769"/>
      <c r="EYU109" s="769"/>
      <c r="EYV109" s="769"/>
      <c r="EYW109" s="769"/>
      <c r="EYX109" s="769"/>
      <c r="EYY109" s="769"/>
      <c r="EYZ109" s="769"/>
      <c r="EZA109" s="769"/>
      <c r="EZB109" s="769"/>
      <c r="EZC109" s="769"/>
      <c r="EZD109" s="769"/>
      <c r="EZE109" s="769"/>
      <c r="EZF109" s="769"/>
      <c r="EZG109" s="769"/>
      <c r="EZH109" s="769"/>
      <c r="EZI109" s="769"/>
      <c r="EZJ109" s="769"/>
      <c r="EZK109" s="769"/>
      <c r="EZL109" s="769"/>
      <c r="EZM109" s="769"/>
      <c r="EZN109" s="769"/>
      <c r="EZO109" s="769"/>
      <c r="EZP109" s="769"/>
      <c r="EZQ109" s="769"/>
      <c r="EZR109" s="769"/>
      <c r="EZS109" s="769"/>
      <c r="EZT109" s="769"/>
      <c r="EZU109" s="769"/>
      <c r="EZV109" s="769"/>
      <c r="EZW109" s="769"/>
      <c r="EZX109" s="769"/>
      <c r="EZY109" s="769"/>
      <c r="EZZ109" s="769"/>
      <c r="FAA109" s="769"/>
      <c r="FAB109" s="769"/>
      <c r="FAC109" s="769"/>
      <c r="FAD109" s="769"/>
      <c r="FAE109" s="769"/>
      <c r="FAF109" s="769"/>
      <c r="FAG109" s="769"/>
      <c r="FAH109" s="769"/>
      <c r="FAI109" s="769"/>
      <c r="FAJ109" s="769"/>
      <c r="FAK109" s="769"/>
      <c r="FAL109" s="769"/>
      <c r="FAM109" s="769"/>
      <c r="FAN109" s="769"/>
      <c r="FAO109" s="769"/>
      <c r="FAP109" s="769"/>
      <c r="FAQ109" s="769"/>
      <c r="FAR109" s="769"/>
      <c r="FAS109" s="769"/>
      <c r="FAT109" s="769"/>
      <c r="FAU109" s="769"/>
      <c r="FAV109" s="769"/>
      <c r="FAW109" s="769"/>
      <c r="FAX109" s="769"/>
      <c r="FAY109" s="769"/>
      <c r="FAZ109" s="769"/>
      <c r="FBA109" s="769"/>
      <c r="FBB109" s="769"/>
      <c r="FBC109" s="769"/>
      <c r="FBD109" s="769"/>
      <c r="FBE109" s="769"/>
      <c r="FBF109" s="769"/>
      <c r="FBG109" s="769"/>
      <c r="FBH109" s="769"/>
      <c r="FBI109" s="769"/>
      <c r="FBJ109" s="769"/>
      <c r="FBK109" s="769"/>
      <c r="FBL109" s="769"/>
      <c r="FBM109" s="769"/>
      <c r="FBN109" s="769"/>
      <c r="FBO109" s="769"/>
      <c r="FBP109" s="769"/>
      <c r="FBQ109" s="769"/>
      <c r="FBR109" s="769"/>
      <c r="FBS109" s="769"/>
      <c r="FBT109" s="769"/>
      <c r="FBU109" s="769"/>
      <c r="FBV109" s="769"/>
      <c r="FBW109" s="769"/>
      <c r="FBX109" s="769"/>
      <c r="FBY109" s="769"/>
      <c r="FBZ109" s="769"/>
      <c r="FCA109" s="769"/>
      <c r="FCB109" s="769"/>
      <c r="FCC109" s="769"/>
      <c r="FCD109" s="769"/>
      <c r="FCE109" s="769"/>
      <c r="FCF109" s="769"/>
      <c r="FCG109" s="769"/>
      <c r="FCH109" s="769"/>
      <c r="FCI109" s="769"/>
      <c r="FCJ109" s="769"/>
      <c r="FCK109" s="769"/>
      <c r="FCL109" s="769"/>
      <c r="FCM109" s="769"/>
      <c r="FCN109" s="769"/>
      <c r="FCO109" s="769"/>
      <c r="FCP109" s="769"/>
      <c r="FCQ109" s="769"/>
      <c r="FCR109" s="769"/>
      <c r="FCS109" s="769"/>
      <c r="FCT109" s="769"/>
      <c r="FCU109" s="769"/>
      <c r="FCV109" s="769"/>
      <c r="FCW109" s="769"/>
      <c r="FCX109" s="769"/>
      <c r="FCY109" s="769"/>
      <c r="FCZ109" s="769"/>
      <c r="FDA109" s="769"/>
      <c r="FDB109" s="769"/>
      <c r="FDC109" s="769"/>
      <c r="FDD109" s="769"/>
      <c r="FDE109" s="769"/>
      <c r="FDF109" s="769"/>
      <c r="FDG109" s="769"/>
      <c r="FDH109" s="769"/>
      <c r="FDI109" s="769"/>
      <c r="FDJ109" s="769"/>
      <c r="FDK109" s="769"/>
      <c r="FDL109" s="769"/>
      <c r="FDM109" s="769"/>
      <c r="FDN109" s="769"/>
      <c r="FDO109" s="769"/>
      <c r="FDP109" s="769"/>
      <c r="FDQ109" s="769"/>
      <c r="FDR109" s="769"/>
      <c r="FDS109" s="769"/>
      <c r="FDT109" s="769"/>
      <c r="FDU109" s="769"/>
      <c r="FDV109" s="769"/>
      <c r="FDW109" s="769"/>
      <c r="FDX109" s="769"/>
      <c r="FDY109" s="769"/>
      <c r="FDZ109" s="769"/>
      <c r="FEA109" s="769"/>
      <c r="FEB109" s="769"/>
      <c r="FEC109" s="769"/>
      <c r="FED109" s="769"/>
      <c r="FEE109" s="769"/>
      <c r="FEF109" s="769"/>
      <c r="FEG109" s="769"/>
      <c r="FEH109" s="769"/>
      <c r="FEI109" s="769"/>
      <c r="FEJ109" s="769"/>
      <c r="FEK109" s="769"/>
      <c r="FEL109" s="769"/>
      <c r="FEM109" s="769"/>
      <c r="FEN109" s="769"/>
      <c r="FEO109" s="769"/>
      <c r="FEP109" s="769"/>
      <c r="FEQ109" s="769"/>
      <c r="FER109" s="769"/>
      <c r="FES109" s="769"/>
      <c r="FET109" s="769"/>
      <c r="FEU109" s="769"/>
      <c r="FEV109" s="769"/>
      <c r="FEW109" s="769"/>
      <c r="FEX109" s="769"/>
      <c r="FEY109" s="769"/>
      <c r="FEZ109" s="769"/>
      <c r="FFA109" s="769"/>
      <c r="FFB109" s="769"/>
      <c r="FFC109" s="769"/>
      <c r="FFD109" s="769"/>
      <c r="FFE109" s="769"/>
      <c r="FFF109" s="769"/>
      <c r="FFG109" s="769"/>
      <c r="FFH109" s="769"/>
      <c r="FFI109" s="769"/>
      <c r="FFJ109" s="769"/>
      <c r="FFK109" s="769"/>
      <c r="FFL109" s="769"/>
      <c r="FFM109" s="769"/>
      <c r="FFN109" s="769"/>
      <c r="FFO109" s="769"/>
      <c r="FFP109" s="769"/>
      <c r="FFQ109" s="769"/>
      <c r="FFR109" s="769"/>
      <c r="FFS109" s="769"/>
      <c r="FFT109" s="769"/>
      <c r="FFU109" s="769"/>
      <c r="FFV109" s="769"/>
      <c r="FFW109" s="769"/>
      <c r="FFX109" s="769"/>
      <c r="FFY109" s="769"/>
      <c r="FFZ109" s="769"/>
      <c r="FGA109" s="769"/>
      <c r="FGB109" s="769"/>
      <c r="FGC109" s="769"/>
      <c r="FGD109" s="769"/>
      <c r="FGE109" s="769"/>
      <c r="FGF109" s="769"/>
      <c r="FGG109" s="769"/>
      <c r="FGH109" s="769"/>
      <c r="FGI109" s="769"/>
      <c r="FGJ109" s="769"/>
      <c r="FGK109" s="769"/>
      <c r="FGL109" s="769"/>
      <c r="FGM109" s="769"/>
      <c r="FGN109" s="769"/>
      <c r="FGO109" s="769"/>
      <c r="FGP109" s="769"/>
      <c r="FGQ109" s="769"/>
      <c r="FGR109" s="769"/>
      <c r="FGS109" s="769"/>
      <c r="FGT109" s="769"/>
      <c r="FGU109" s="769"/>
      <c r="FGV109" s="769"/>
      <c r="FGW109" s="769"/>
      <c r="FGX109" s="769"/>
      <c r="FGY109" s="769"/>
      <c r="FGZ109" s="769"/>
      <c r="FHA109" s="769"/>
      <c r="FHB109" s="769"/>
      <c r="FHC109" s="769"/>
      <c r="FHD109" s="769"/>
      <c r="FHE109" s="769"/>
      <c r="FHF109" s="769"/>
      <c r="FHG109" s="769"/>
      <c r="FHH109" s="769"/>
      <c r="FHI109" s="769"/>
      <c r="FHJ109" s="769"/>
      <c r="FHK109" s="769"/>
      <c r="FHL109" s="769"/>
      <c r="FHM109" s="769"/>
      <c r="FHN109" s="769"/>
      <c r="FHO109" s="769"/>
      <c r="FHP109" s="769"/>
      <c r="FHQ109" s="769"/>
      <c r="FHR109" s="769"/>
      <c r="FHS109" s="769"/>
      <c r="FHT109" s="769"/>
      <c r="FHU109" s="769"/>
      <c r="FHV109" s="769"/>
      <c r="FHW109" s="769"/>
      <c r="FHX109" s="769"/>
      <c r="FHY109" s="769"/>
      <c r="FHZ109" s="769"/>
      <c r="FIA109" s="769"/>
      <c r="FIB109" s="769"/>
      <c r="FIC109" s="769"/>
      <c r="FID109" s="769"/>
      <c r="FIE109" s="769"/>
      <c r="FIF109" s="769"/>
      <c r="FIG109" s="769"/>
      <c r="FIH109" s="769"/>
      <c r="FII109" s="769"/>
      <c r="FIJ109" s="769"/>
      <c r="FIK109" s="769"/>
      <c r="FIL109" s="769"/>
      <c r="FIM109" s="769"/>
      <c r="FIN109" s="769"/>
      <c r="FIO109" s="769"/>
      <c r="FIP109" s="769"/>
      <c r="FIQ109" s="769"/>
      <c r="FIR109" s="769"/>
      <c r="FIS109" s="769"/>
      <c r="FIT109" s="769"/>
      <c r="FIU109" s="769"/>
      <c r="FIV109" s="769"/>
      <c r="FIW109" s="769"/>
      <c r="FIX109" s="769"/>
      <c r="FIY109" s="769"/>
      <c r="FIZ109" s="769"/>
      <c r="FJA109" s="769"/>
      <c r="FJB109" s="769"/>
      <c r="FJC109" s="769"/>
      <c r="FJD109" s="769"/>
      <c r="FJE109" s="769"/>
      <c r="FJF109" s="769"/>
      <c r="FJG109" s="769"/>
      <c r="FJH109" s="769"/>
      <c r="FJI109" s="769"/>
      <c r="FJJ109" s="769"/>
      <c r="FJK109" s="769"/>
      <c r="FJL109" s="769"/>
      <c r="FJM109" s="769"/>
      <c r="FJN109" s="769"/>
      <c r="FJO109" s="769"/>
      <c r="FJP109" s="769"/>
      <c r="FJQ109" s="769"/>
      <c r="FJR109" s="769"/>
      <c r="FJS109" s="769"/>
      <c r="FJT109" s="769"/>
      <c r="FJU109" s="769"/>
      <c r="FJV109" s="769"/>
      <c r="FJW109" s="769"/>
      <c r="FJX109" s="769"/>
      <c r="FJY109" s="769"/>
      <c r="FJZ109" s="769"/>
      <c r="FKA109" s="769"/>
      <c r="FKB109" s="769"/>
      <c r="FKC109" s="769"/>
      <c r="FKD109" s="769"/>
      <c r="FKE109" s="769"/>
      <c r="FKF109" s="769"/>
      <c r="FKG109" s="769"/>
      <c r="FKH109" s="769"/>
      <c r="FKI109" s="769"/>
      <c r="FKJ109" s="769"/>
      <c r="FKK109" s="769"/>
      <c r="FKL109" s="769"/>
      <c r="FKM109" s="769"/>
      <c r="FKN109" s="769"/>
      <c r="FKO109" s="769"/>
      <c r="FKP109" s="769"/>
      <c r="FKQ109" s="769"/>
      <c r="FKR109" s="769"/>
      <c r="FKS109" s="769"/>
      <c r="FKT109" s="769"/>
      <c r="FKU109" s="769"/>
      <c r="FKV109" s="769"/>
      <c r="FKW109" s="769"/>
      <c r="FKX109" s="769"/>
      <c r="FKY109" s="769"/>
      <c r="FKZ109" s="769"/>
      <c r="FLA109" s="769"/>
      <c r="FLB109" s="769"/>
      <c r="FLC109" s="769"/>
      <c r="FLD109" s="769"/>
      <c r="FLE109" s="769"/>
      <c r="FLF109" s="769"/>
      <c r="FLG109" s="769"/>
      <c r="FLH109" s="769"/>
      <c r="FLI109" s="769"/>
      <c r="FLJ109" s="769"/>
      <c r="FLK109" s="769"/>
      <c r="FLL109" s="769"/>
      <c r="FLM109" s="769"/>
      <c r="FLN109" s="769"/>
      <c r="FLO109" s="769"/>
      <c r="FLP109" s="769"/>
      <c r="FLQ109" s="769"/>
      <c r="FLR109" s="769"/>
      <c r="FLS109" s="769"/>
      <c r="FLT109" s="769"/>
      <c r="FLU109" s="769"/>
      <c r="FLV109" s="769"/>
      <c r="FLW109" s="769"/>
      <c r="FLX109" s="769"/>
      <c r="FLY109" s="769"/>
      <c r="FLZ109" s="769"/>
      <c r="FMA109" s="769"/>
      <c r="FMB109" s="769"/>
      <c r="FMC109" s="769"/>
      <c r="FMD109" s="769"/>
      <c r="FME109" s="769"/>
      <c r="FMF109" s="769"/>
      <c r="FMG109" s="769"/>
      <c r="FMH109" s="769"/>
      <c r="FMI109" s="769"/>
      <c r="FMJ109" s="769"/>
      <c r="FMK109" s="769"/>
      <c r="FML109" s="769"/>
      <c r="FMM109" s="769"/>
      <c r="FMN109" s="769"/>
      <c r="FMO109" s="769"/>
      <c r="FMP109" s="769"/>
      <c r="FMQ109" s="769"/>
      <c r="FMR109" s="769"/>
      <c r="FMS109" s="769"/>
      <c r="FMT109" s="769"/>
      <c r="FMU109" s="769"/>
      <c r="FMV109" s="769"/>
      <c r="FMW109" s="769"/>
      <c r="FMX109" s="769"/>
      <c r="FMY109" s="769"/>
      <c r="FMZ109" s="769"/>
      <c r="FNA109" s="769"/>
      <c r="FNB109" s="769"/>
      <c r="FNC109" s="769"/>
      <c r="FND109" s="769"/>
      <c r="FNE109" s="769"/>
      <c r="FNF109" s="769"/>
      <c r="FNG109" s="769"/>
      <c r="FNH109" s="769"/>
      <c r="FNI109" s="769"/>
      <c r="FNJ109" s="769"/>
      <c r="FNK109" s="769"/>
      <c r="FNL109" s="769"/>
      <c r="FNM109" s="769"/>
      <c r="FNN109" s="769"/>
      <c r="FNO109" s="769"/>
      <c r="FNP109" s="769"/>
      <c r="FNQ109" s="769"/>
      <c r="FNR109" s="769"/>
      <c r="FNS109" s="769"/>
      <c r="FNT109" s="769"/>
      <c r="FNU109" s="769"/>
      <c r="FNV109" s="769"/>
      <c r="FNW109" s="769"/>
      <c r="FNX109" s="769"/>
      <c r="FNY109" s="769"/>
      <c r="FNZ109" s="769"/>
      <c r="FOA109" s="769"/>
      <c r="FOB109" s="769"/>
      <c r="FOC109" s="769"/>
      <c r="FOD109" s="769"/>
      <c r="FOE109" s="769"/>
      <c r="FOF109" s="769"/>
      <c r="FOG109" s="769"/>
      <c r="FOH109" s="769"/>
      <c r="FOI109" s="769"/>
      <c r="FOJ109" s="769"/>
      <c r="FOK109" s="769"/>
      <c r="FOL109" s="769"/>
      <c r="FOM109" s="769"/>
      <c r="FON109" s="769"/>
      <c r="FOO109" s="769"/>
      <c r="FOP109" s="769"/>
      <c r="FOQ109" s="769"/>
      <c r="FOR109" s="769"/>
      <c r="FOS109" s="769"/>
      <c r="FOT109" s="769"/>
      <c r="FOU109" s="769"/>
      <c r="FOV109" s="769"/>
      <c r="FOW109" s="769"/>
      <c r="FOX109" s="769"/>
      <c r="FOY109" s="769"/>
      <c r="FOZ109" s="769"/>
      <c r="FPA109" s="769"/>
      <c r="FPB109" s="769"/>
      <c r="FPC109" s="769"/>
      <c r="FPD109" s="769"/>
      <c r="FPE109" s="769"/>
      <c r="FPF109" s="769"/>
      <c r="FPG109" s="769"/>
      <c r="FPH109" s="769"/>
      <c r="FPI109" s="769"/>
      <c r="FPJ109" s="769"/>
      <c r="FPK109" s="769"/>
      <c r="FPL109" s="769"/>
      <c r="FPM109" s="769"/>
      <c r="FPN109" s="769"/>
      <c r="FPO109" s="769"/>
      <c r="FPP109" s="769"/>
      <c r="FPQ109" s="769"/>
      <c r="FPR109" s="769"/>
      <c r="FPS109" s="769"/>
      <c r="FPT109" s="769"/>
      <c r="FPU109" s="769"/>
      <c r="FPV109" s="769"/>
      <c r="FPW109" s="769"/>
      <c r="FPX109" s="769"/>
      <c r="FPY109" s="769"/>
      <c r="FPZ109" s="769"/>
      <c r="FQA109" s="769"/>
      <c r="FQB109" s="769"/>
      <c r="FQC109" s="769"/>
      <c r="FQD109" s="769"/>
      <c r="FQE109" s="769"/>
      <c r="FQF109" s="769"/>
      <c r="FQG109" s="769"/>
      <c r="FQH109" s="769"/>
      <c r="FQI109" s="769"/>
      <c r="FQJ109" s="769"/>
      <c r="FQK109" s="769"/>
      <c r="FQL109" s="769"/>
      <c r="FQM109" s="769"/>
      <c r="FQN109" s="769"/>
      <c r="FQO109" s="769"/>
      <c r="FQP109" s="769"/>
      <c r="FQQ109" s="769"/>
      <c r="FQR109" s="769"/>
      <c r="FQS109" s="769"/>
      <c r="FQT109" s="769"/>
      <c r="FQU109" s="769"/>
      <c r="FQV109" s="769"/>
      <c r="FQW109" s="769"/>
      <c r="FQX109" s="769"/>
      <c r="FQY109" s="769"/>
      <c r="FQZ109" s="769"/>
      <c r="FRA109" s="769"/>
      <c r="FRB109" s="769"/>
      <c r="FRC109" s="769"/>
      <c r="FRD109" s="769"/>
      <c r="FRE109" s="769"/>
      <c r="FRF109" s="769"/>
      <c r="FRG109" s="769"/>
      <c r="FRH109" s="769"/>
      <c r="FRI109" s="769"/>
      <c r="FRJ109" s="769"/>
      <c r="FRK109" s="769"/>
      <c r="FRL109" s="769"/>
      <c r="FRM109" s="769"/>
      <c r="FRN109" s="769"/>
      <c r="FRO109" s="769"/>
      <c r="FRP109" s="769"/>
      <c r="FRQ109" s="769"/>
      <c r="FRR109" s="769"/>
      <c r="FRS109" s="769"/>
      <c r="FRT109" s="769"/>
      <c r="FRU109" s="769"/>
      <c r="FRV109" s="769"/>
      <c r="FRW109" s="769"/>
      <c r="FRX109" s="769"/>
      <c r="FRY109" s="769"/>
      <c r="FRZ109" s="769"/>
      <c r="FSA109" s="769"/>
      <c r="FSB109" s="769"/>
      <c r="FSC109" s="769"/>
      <c r="FSD109" s="769"/>
      <c r="FSE109" s="769"/>
      <c r="FSF109" s="769"/>
      <c r="FSG109" s="769"/>
      <c r="FSH109" s="769"/>
      <c r="FSI109" s="769"/>
      <c r="FSJ109" s="769"/>
      <c r="FSK109" s="769"/>
      <c r="FSL109" s="769"/>
      <c r="FSM109" s="769"/>
      <c r="FSN109" s="769"/>
      <c r="FSO109" s="769"/>
      <c r="FSP109" s="769"/>
      <c r="FSQ109" s="769"/>
      <c r="FSR109" s="769"/>
      <c r="FSS109" s="769"/>
      <c r="FST109" s="769"/>
      <c r="FSU109" s="769"/>
      <c r="FSV109" s="769"/>
      <c r="FSW109" s="769"/>
      <c r="FSX109" s="769"/>
      <c r="FSY109" s="769"/>
      <c r="FSZ109" s="769"/>
      <c r="FTA109" s="769"/>
      <c r="FTB109" s="769"/>
      <c r="FTC109" s="769"/>
      <c r="FTD109" s="769"/>
      <c r="FTE109" s="769"/>
      <c r="FTF109" s="769"/>
      <c r="FTG109" s="769"/>
      <c r="FTH109" s="769"/>
      <c r="FTI109" s="769"/>
      <c r="FTJ109" s="769"/>
      <c r="FTK109" s="769"/>
      <c r="FTL109" s="769"/>
      <c r="FTM109" s="769"/>
      <c r="FTN109" s="769"/>
      <c r="FTO109" s="769"/>
      <c r="FTP109" s="769"/>
      <c r="FTQ109" s="769"/>
      <c r="FTR109" s="769"/>
      <c r="FTS109" s="769"/>
      <c r="FTT109" s="769"/>
      <c r="FTU109" s="769"/>
      <c r="FTV109" s="769"/>
      <c r="FTW109" s="769"/>
      <c r="FTX109" s="769"/>
      <c r="FTY109" s="769"/>
      <c r="FTZ109" s="769"/>
      <c r="FUA109" s="769"/>
      <c r="FUB109" s="769"/>
      <c r="FUC109" s="769"/>
      <c r="FUD109" s="769"/>
      <c r="FUE109" s="769"/>
      <c r="FUF109" s="769"/>
      <c r="FUG109" s="769"/>
      <c r="FUH109" s="769"/>
      <c r="FUI109" s="769"/>
      <c r="FUJ109" s="769"/>
      <c r="FUK109" s="769"/>
      <c r="FUL109" s="769"/>
      <c r="FUM109" s="769"/>
      <c r="FUN109" s="769"/>
      <c r="FUO109" s="769"/>
      <c r="FUP109" s="769"/>
      <c r="FUQ109" s="769"/>
      <c r="FUR109" s="769"/>
      <c r="FUS109" s="769"/>
      <c r="FUT109" s="769"/>
      <c r="FUU109" s="769"/>
      <c r="FUV109" s="769"/>
      <c r="FUW109" s="769"/>
      <c r="FUX109" s="769"/>
      <c r="FUY109" s="769"/>
      <c r="FUZ109" s="769"/>
      <c r="FVA109" s="769"/>
      <c r="FVB109" s="769"/>
      <c r="FVC109" s="769"/>
      <c r="FVD109" s="769"/>
      <c r="FVE109" s="769"/>
      <c r="FVF109" s="769"/>
      <c r="FVG109" s="769"/>
      <c r="FVH109" s="769"/>
      <c r="FVI109" s="769"/>
      <c r="FVJ109" s="769"/>
      <c r="FVK109" s="769"/>
      <c r="FVL109" s="769"/>
      <c r="FVM109" s="769"/>
      <c r="FVN109" s="769"/>
      <c r="FVO109" s="769"/>
      <c r="FVP109" s="769"/>
      <c r="FVQ109" s="769"/>
      <c r="FVR109" s="769"/>
      <c r="FVS109" s="769"/>
      <c r="FVT109" s="769"/>
      <c r="FVU109" s="769"/>
      <c r="FVV109" s="769"/>
      <c r="FVW109" s="769"/>
      <c r="FVX109" s="769"/>
      <c r="FVY109" s="769"/>
      <c r="FVZ109" s="769"/>
      <c r="FWA109" s="769"/>
      <c r="FWB109" s="769"/>
      <c r="FWC109" s="769"/>
      <c r="FWD109" s="769"/>
      <c r="FWE109" s="769"/>
      <c r="FWF109" s="769"/>
      <c r="FWG109" s="769"/>
      <c r="FWH109" s="769"/>
      <c r="FWI109" s="769"/>
      <c r="FWJ109" s="769"/>
      <c r="FWK109" s="769"/>
      <c r="FWL109" s="769"/>
      <c r="FWM109" s="769"/>
      <c r="FWN109" s="769"/>
      <c r="FWO109" s="769"/>
      <c r="FWP109" s="769"/>
      <c r="FWQ109" s="769"/>
      <c r="FWR109" s="769"/>
      <c r="FWS109" s="769"/>
      <c r="FWT109" s="769"/>
      <c r="FWU109" s="769"/>
      <c r="FWV109" s="769"/>
      <c r="FWW109" s="769"/>
      <c r="FWX109" s="769"/>
      <c r="FWY109" s="769"/>
      <c r="FWZ109" s="769"/>
      <c r="FXA109" s="769"/>
      <c r="FXB109" s="769"/>
      <c r="FXC109" s="769"/>
      <c r="FXD109" s="769"/>
      <c r="FXE109" s="769"/>
      <c r="FXF109" s="769"/>
      <c r="FXG109" s="769"/>
      <c r="FXH109" s="769"/>
      <c r="FXI109" s="769"/>
      <c r="FXJ109" s="769"/>
      <c r="FXK109" s="769"/>
      <c r="FXL109" s="769"/>
      <c r="FXM109" s="769"/>
      <c r="FXN109" s="769"/>
      <c r="FXO109" s="769"/>
      <c r="FXP109" s="769"/>
      <c r="FXQ109" s="769"/>
      <c r="FXR109" s="769"/>
      <c r="FXS109" s="769"/>
      <c r="FXT109" s="769"/>
      <c r="FXU109" s="769"/>
      <c r="FXV109" s="769"/>
      <c r="FXW109" s="769"/>
      <c r="FXX109" s="769"/>
      <c r="FXY109" s="769"/>
      <c r="FXZ109" s="769"/>
      <c r="FYA109" s="769"/>
      <c r="FYB109" s="769"/>
      <c r="FYC109" s="769"/>
      <c r="FYD109" s="769"/>
      <c r="FYE109" s="769"/>
      <c r="FYF109" s="769"/>
      <c r="FYG109" s="769"/>
      <c r="FYH109" s="769"/>
      <c r="FYI109" s="769"/>
      <c r="FYJ109" s="769"/>
      <c r="FYK109" s="769"/>
      <c r="FYL109" s="769"/>
      <c r="FYM109" s="769"/>
      <c r="FYN109" s="769"/>
      <c r="FYO109" s="769"/>
      <c r="FYP109" s="769"/>
      <c r="FYQ109" s="769"/>
      <c r="FYR109" s="769"/>
      <c r="FYS109" s="769"/>
      <c r="FYT109" s="769"/>
      <c r="FYU109" s="769"/>
      <c r="FYV109" s="769"/>
      <c r="FYW109" s="769"/>
      <c r="FYX109" s="769"/>
      <c r="FYY109" s="769"/>
      <c r="FYZ109" s="769"/>
      <c r="FZA109" s="769"/>
      <c r="FZB109" s="769"/>
      <c r="FZC109" s="769"/>
      <c r="FZD109" s="769"/>
      <c r="FZE109" s="769"/>
      <c r="FZF109" s="769"/>
      <c r="FZG109" s="769"/>
      <c r="FZH109" s="769"/>
      <c r="FZI109" s="769"/>
      <c r="FZJ109" s="769"/>
      <c r="FZK109" s="769"/>
      <c r="FZL109" s="769"/>
      <c r="FZM109" s="769"/>
      <c r="FZN109" s="769"/>
      <c r="FZO109" s="769"/>
      <c r="FZP109" s="769"/>
      <c r="FZQ109" s="769"/>
      <c r="FZR109" s="769"/>
      <c r="FZS109" s="769"/>
      <c r="FZT109" s="769"/>
      <c r="FZU109" s="769"/>
      <c r="FZV109" s="769"/>
      <c r="FZW109" s="769"/>
      <c r="FZX109" s="769"/>
      <c r="FZY109" s="769"/>
      <c r="FZZ109" s="769"/>
      <c r="GAA109" s="769"/>
      <c r="GAB109" s="769"/>
      <c r="GAC109" s="769"/>
      <c r="GAD109" s="769"/>
      <c r="GAE109" s="769"/>
      <c r="GAF109" s="769"/>
      <c r="GAG109" s="769"/>
      <c r="GAH109" s="769"/>
      <c r="GAI109" s="769"/>
      <c r="GAJ109" s="769"/>
      <c r="GAK109" s="769"/>
      <c r="GAL109" s="769"/>
      <c r="GAM109" s="769"/>
      <c r="GAN109" s="769"/>
      <c r="GAO109" s="769"/>
      <c r="GAP109" s="769"/>
      <c r="GAQ109" s="769"/>
      <c r="GAR109" s="769"/>
      <c r="GAS109" s="769"/>
      <c r="GAT109" s="769"/>
      <c r="GAU109" s="769"/>
      <c r="GAV109" s="769"/>
      <c r="GAW109" s="769"/>
      <c r="GAX109" s="769"/>
      <c r="GAY109" s="769"/>
      <c r="GAZ109" s="769"/>
      <c r="GBA109" s="769"/>
      <c r="GBB109" s="769"/>
      <c r="GBC109" s="769"/>
      <c r="GBD109" s="769"/>
      <c r="GBE109" s="769"/>
      <c r="GBF109" s="769"/>
      <c r="GBG109" s="769"/>
      <c r="GBH109" s="769"/>
      <c r="GBI109" s="769"/>
      <c r="GBJ109" s="769"/>
      <c r="GBK109" s="769"/>
      <c r="GBL109" s="769"/>
      <c r="GBM109" s="769"/>
      <c r="GBN109" s="769"/>
      <c r="GBO109" s="769"/>
      <c r="GBP109" s="769"/>
      <c r="GBQ109" s="769"/>
      <c r="GBR109" s="769"/>
      <c r="GBS109" s="769"/>
      <c r="GBT109" s="769"/>
      <c r="GBU109" s="769"/>
      <c r="GBV109" s="769"/>
      <c r="GBW109" s="769"/>
      <c r="GBX109" s="769"/>
      <c r="GBY109" s="769"/>
      <c r="GBZ109" s="769"/>
      <c r="GCA109" s="769"/>
      <c r="GCB109" s="769"/>
      <c r="GCC109" s="769"/>
      <c r="GCD109" s="769"/>
      <c r="GCE109" s="769"/>
      <c r="GCF109" s="769"/>
      <c r="GCG109" s="769"/>
      <c r="GCH109" s="769"/>
      <c r="GCI109" s="769"/>
      <c r="GCJ109" s="769"/>
      <c r="GCK109" s="769"/>
      <c r="GCL109" s="769"/>
      <c r="GCM109" s="769"/>
      <c r="GCN109" s="769"/>
      <c r="GCO109" s="769"/>
      <c r="GCP109" s="769"/>
      <c r="GCQ109" s="769"/>
      <c r="GCR109" s="769"/>
      <c r="GCS109" s="769"/>
      <c r="GCT109" s="769"/>
      <c r="GCU109" s="769"/>
      <c r="GCV109" s="769"/>
      <c r="GCW109" s="769"/>
      <c r="GCX109" s="769"/>
      <c r="GCY109" s="769"/>
      <c r="GCZ109" s="769"/>
      <c r="GDA109" s="769"/>
      <c r="GDB109" s="769"/>
      <c r="GDC109" s="769"/>
      <c r="GDD109" s="769"/>
      <c r="GDE109" s="769"/>
      <c r="GDF109" s="769"/>
      <c r="GDG109" s="769"/>
      <c r="GDH109" s="769"/>
      <c r="GDI109" s="769"/>
      <c r="GDJ109" s="769"/>
      <c r="GDK109" s="769"/>
      <c r="GDL109" s="769"/>
      <c r="GDM109" s="769"/>
      <c r="GDN109" s="769"/>
      <c r="GDO109" s="769"/>
      <c r="GDP109" s="769"/>
      <c r="GDQ109" s="769"/>
      <c r="GDR109" s="769"/>
      <c r="GDS109" s="769"/>
      <c r="GDT109" s="769"/>
      <c r="GDU109" s="769"/>
      <c r="GDV109" s="769"/>
      <c r="GDW109" s="769"/>
      <c r="GDX109" s="769"/>
      <c r="GDY109" s="769"/>
      <c r="GDZ109" s="769"/>
      <c r="GEA109" s="769"/>
      <c r="GEB109" s="769"/>
      <c r="GEC109" s="769"/>
      <c r="GED109" s="769"/>
      <c r="GEE109" s="769"/>
      <c r="GEF109" s="769"/>
      <c r="GEG109" s="769"/>
      <c r="GEH109" s="769"/>
      <c r="GEI109" s="769"/>
      <c r="GEJ109" s="769"/>
      <c r="GEK109" s="769"/>
      <c r="GEL109" s="769"/>
      <c r="GEM109" s="769"/>
      <c r="GEN109" s="769"/>
      <c r="GEO109" s="769"/>
      <c r="GEP109" s="769"/>
      <c r="GEQ109" s="769"/>
      <c r="GER109" s="769"/>
      <c r="GES109" s="769"/>
      <c r="GET109" s="769"/>
      <c r="GEU109" s="769"/>
      <c r="GEV109" s="769"/>
      <c r="GEW109" s="769"/>
      <c r="GEX109" s="769"/>
      <c r="GEY109" s="769"/>
      <c r="GEZ109" s="769"/>
      <c r="GFA109" s="769"/>
      <c r="GFB109" s="769"/>
      <c r="GFC109" s="769"/>
      <c r="GFD109" s="769"/>
      <c r="GFE109" s="769"/>
      <c r="GFF109" s="769"/>
      <c r="GFG109" s="769"/>
      <c r="GFH109" s="769"/>
      <c r="GFI109" s="769"/>
      <c r="GFJ109" s="769"/>
      <c r="GFK109" s="769"/>
      <c r="GFL109" s="769"/>
      <c r="GFM109" s="769"/>
      <c r="GFN109" s="769"/>
      <c r="GFO109" s="769"/>
      <c r="GFP109" s="769"/>
      <c r="GFQ109" s="769"/>
      <c r="GFR109" s="769"/>
      <c r="GFS109" s="769"/>
      <c r="GFT109" s="769"/>
      <c r="GFU109" s="769"/>
      <c r="GFV109" s="769"/>
      <c r="GFW109" s="769"/>
      <c r="GFX109" s="769"/>
      <c r="GFY109" s="769"/>
      <c r="GFZ109" s="769"/>
      <c r="GGA109" s="769"/>
      <c r="GGB109" s="769"/>
      <c r="GGC109" s="769"/>
      <c r="GGD109" s="769"/>
      <c r="GGE109" s="769"/>
      <c r="GGF109" s="769"/>
      <c r="GGG109" s="769"/>
      <c r="GGH109" s="769"/>
      <c r="GGI109" s="769"/>
      <c r="GGJ109" s="769"/>
      <c r="GGK109" s="769"/>
      <c r="GGL109" s="769"/>
      <c r="GGM109" s="769"/>
      <c r="GGN109" s="769"/>
      <c r="GGO109" s="769"/>
      <c r="GGP109" s="769"/>
      <c r="GGQ109" s="769"/>
      <c r="GGR109" s="769"/>
      <c r="GGS109" s="769"/>
      <c r="GGT109" s="769"/>
      <c r="GGU109" s="769"/>
      <c r="GGV109" s="769"/>
      <c r="GGW109" s="769"/>
      <c r="GGX109" s="769"/>
      <c r="GGY109" s="769"/>
      <c r="GGZ109" s="769"/>
      <c r="GHA109" s="769"/>
      <c r="GHB109" s="769"/>
      <c r="GHC109" s="769"/>
      <c r="GHD109" s="769"/>
      <c r="GHE109" s="769"/>
      <c r="GHF109" s="769"/>
      <c r="GHG109" s="769"/>
      <c r="GHH109" s="769"/>
      <c r="GHI109" s="769"/>
      <c r="GHJ109" s="769"/>
      <c r="GHK109" s="769"/>
      <c r="GHL109" s="769"/>
      <c r="GHM109" s="769"/>
      <c r="GHN109" s="769"/>
      <c r="GHO109" s="769"/>
      <c r="GHP109" s="769"/>
      <c r="GHQ109" s="769"/>
      <c r="GHR109" s="769"/>
      <c r="GHS109" s="769"/>
      <c r="GHT109" s="769"/>
      <c r="GHU109" s="769"/>
      <c r="GHV109" s="769"/>
      <c r="GHW109" s="769"/>
      <c r="GHX109" s="769"/>
      <c r="GHY109" s="769"/>
      <c r="GHZ109" s="769"/>
      <c r="GIA109" s="769"/>
      <c r="GIB109" s="769"/>
      <c r="GIC109" s="769"/>
      <c r="GID109" s="769"/>
      <c r="GIE109" s="769"/>
      <c r="GIF109" s="769"/>
      <c r="GIG109" s="769"/>
      <c r="GIH109" s="769"/>
      <c r="GII109" s="769"/>
      <c r="GIJ109" s="769"/>
      <c r="GIK109" s="769"/>
      <c r="GIL109" s="769"/>
      <c r="GIM109" s="769"/>
      <c r="GIN109" s="769"/>
      <c r="GIO109" s="769"/>
      <c r="GIP109" s="769"/>
      <c r="GIQ109" s="769"/>
      <c r="GIR109" s="769"/>
      <c r="GIS109" s="769"/>
      <c r="GIT109" s="769"/>
      <c r="GIU109" s="769"/>
      <c r="GIV109" s="769"/>
      <c r="GIW109" s="769"/>
      <c r="GIX109" s="769"/>
      <c r="GIY109" s="769"/>
      <c r="GIZ109" s="769"/>
      <c r="GJA109" s="769"/>
      <c r="GJB109" s="769"/>
      <c r="GJC109" s="769"/>
      <c r="GJD109" s="769"/>
      <c r="GJE109" s="769"/>
      <c r="GJF109" s="769"/>
      <c r="GJG109" s="769"/>
      <c r="GJH109" s="769"/>
      <c r="GJI109" s="769"/>
      <c r="GJJ109" s="769"/>
      <c r="GJK109" s="769"/>
      <c r="GJL109" s="769"/>
      <c r="GJM109" s="769"/>
      <c r="GJN109" s="769"/>
      <c r="GJO109" s="769"/>
      <c r="GJP109" s="769"/>
      <c r="GJQ109" s="769"/>
      <c r="GJR109" s="769"/>
      <c r="GJS109" s="769"/>
      <c r="GJT109" s="769"/>
      <c r="GJU109" s="769"/>
      <c r="GJV109" s="769"/>
      <c r="GJW109" s="769"/>
      <c r="GJX109" s="769"/>
      <c r="GJY109" s="769"/>
      <c r="GJZ109" s="769"/>
      <c r="GKA109" s="769"/>
      <c r="GKB109" s="769"/>
      <c r="GKC109" s="769"/>
      <c r="GKD109" s="769"/>
      <c r="GKE109" s="769"/>
      <c r="GKF109" s="769"/>
      <c r="GKG109" s="769"/>
      <c r="GKH109" s="769"/>
      <c r="GKI109" s="769"/>
      <c r="GKJ109" s="769"/>
      <c r="GKK109" s="769"/>
      <c r="GKL109" s="769"/>
      <c r="GKM109" s="769"/>
      <c r="GKN109" s="769"/>
      <c r="GKO109" s="769"/>
      <c r="GKP109" s="769"/>
      <c r="GKQ109" s="769"/>
      <c r="GKR109" s="769"/>
      <c r="GKS109" s="769"/>
      <c r="GKT109" s="769"/>
      <c r="GKU109" s="769"/>
      <c r="GKV109" s="769"/>
      <c r="GKW109" s="769"/>
      <c r="GKX109" s="769"/>
      <c r="GKY109" s="769"/>
      <c r="GKZ109" s="769"/>
      <c r="GLA109" s="769"/>
      <c r="GLB109" s="769"/>
      <c r="GLC109" s="769"/>
      <c r="GLD109" s="769"/>
      <c r="GLE109" s="769"/>
      <c r="GLF109" s="769"/>
      <c r="GLG109" s="769"/>
      <c r="GLH109" s="769"/>
      <c r="GLI109" s="769"/>
      <c r="GLJ109" s="769"/>
      <c r="GLK109" s="769"/>
      <c r="GLL109" s="769"/>
      <c r="GLM109" s="769"/>
      <c r="GLN109" s="769"/>
      <c r="GLO109" s="769"/>
      <c r="GLP109" s="769"/>
      <c r="GLQ109" s="769"/>
      <c r="GLR109" s="769"/>
      <c r="GLS109" s="769"/>
      <c r="GLT109" s="769"/>
      <c r="GLU109" s="769"/>
      <c r="GLV109" s="769"/>
      <c r="GLW109" s="769"/>
      <c r="GLX109" s="769"/>
      <c r="GLY109" s="769"/>
      <c r="GLZ109" s="769"/>
      <c r="GMA109" s="769"/>
      <c r="GMB109" s="769"/>
      <c r="GMC109" s="769"/>
      <c r="GMD109" s="769"/>
      <c r="GME109" s="769"/>
      <c r="GMF109" s="769"/>
      <c r="GMG109" s="769"/>
      <c r="GMH109" s="769"/>
      <c r="GMI109" s="769"/>
      <c r="GMJ109" s="769"/>
      <c r="GMK109" s="769"/>
      <c r="GML109" s="769"/>
      <c r="GMM109" s="769"/>
      <c r="GMN109" s="769"/>
      <c r="GMO109" s="769"/>
      <c r="GMP109" s="769"/>
      <c r="GMQ109" s="769"/>
      <c r="GMR109" s="769"/>
      <c r="GMS109" s="769"/>
      <c r="GMT109" s="769"/>
      <c r="GMU109" s="769"/>
      <c r="GMV109" s="769"/>
      <c r="GMW109" s="769"/>
      <c r="GMX109" s="769"/>
      <c r="GMY109" s="769"/>
      <c r="GMZ109" s="769"/>
      <c r="GNA109" s="769"/>
      <c r="GNB109" s="769"/>
      <c r="GNC109" s="769"/>
      <c r="GND109" s="769"/>
      <c r="GNE109" s="769"/>
      <c r="GNF109" s="769"/>
      <c r="GNG109" s="769"/>
      <c r="GNH109" s="769"/>
      <c r="GNI109" s="769"/>
      <c r="GNJ109" s="769"/>
      <c r="GNK109" s="769"/>
      <c r="GNL109" s="769"/>
      <c r="GNM109" s="769"/>
      <c r="GNN109" s="769"/>
      <c r="GNO109" s="769"/>
      <c r="GNP109" s="769"/>
      <c r="GNQ109" s="769"/>
      <c r="GNR109" s="769"/>
      <c r="GNS109" s="769"/>
      <c r="GNT109" s="769"/>
      <c r="GNU109" s="769"/>
      <c r="GNV109" s="769"/>
      <c r="GNW109" s="769"/>
      <c r="GNX109" s="769"/>
      <c r="GNY109" s="769"/>
      <c r="GNZ109" s="769"/>
      <c r="GOA109" s="769"/>
      <c r="GOB109" s="769"/>
      <c r="GOC109" s="769"/>
      <c r="GOD109" s="769"/>
      <c r="GOE109" s="769"/>
      <c r="GOF109" s="769"/>
      <c r="GOG109" s="769"/>
      <c r="GOH109" s="769"/>
      <c r="GOI109" s="769"/>
      <c r="GOJ109" s="769"/>
      <c r="GOK109" s="769"/>
      <c r="GOL109" s="769"/>
      <c r="GOM109" s="769"/>
      <c r="GON109" s="769"/>
      <c r="GOO109" s="769"/>
      <c r="GOP109" s="769"/>
      <c r="GOQ109" s="769"/>
      <c r="GOR109" s="769"/>
      <c r="GOS109" s="769"/>
      <c r="GOT109" s="769"/>
      <c r="GOU109" s="769"/>
      <c r="GOV109" s="769"/>
      <c r="GOW109" s="769"/>
      <c r="GOX109" s="769"/>
      <c r="GOY109" s="769"/>
      <c r="GOZ109" s="769"/>
      <c r="GPA109" s="769"/>
      <c r="GPB109" s="769"/>
      <c r="GPC109" s="769"/>
      <c r="GPD109" s="769"/>
      <c r="GPE109" s="769"/>
      <c r="GPF109" s="769"/>
      <c r="GPG109" s="769"/>
      <c r="GPH109" s="769"/>
      <c r="GPI109" s="769"/>
      <c r="GPJ109" s="769"/>
      <c r="GPK109" s="769"/>
      <c r="GPL109" s="769"/>
      <c r="GPM109" s="769"/>
      <c r="GPN109" s="769"/>
      <c r="GPO109" s="769"/>
      <c r="GPP109" s="769"/>
      <c r="GPQ109" s="769"/>
      <c r="GPR109" s="769"/>
      <c r="GPS109" s="769"/>
      <c r="GPT109" s="769"/>
      <c r="GPU109" s="769"/>
      <c r="GPV109" s="769"/>
      <c r="GPW109" s="769"/>
      <c r="GPX109" s="769"/>
      <c r="GPY109" s="769"/>
      <c r="GPZ109" s="769"/>
      <c r="GQA109" s="769"/>
      <c r="GQB109" s="769"/>
      <c r="GQC109" s="769"/>
      <c r="GQD109" s="769"/>
      <c r="GQE109" s="769"/>
      <c r="GQF109" s="769"/>
      <c r="GQG109" s="769"/>
      <c r="GQH109" s="769"/>
      <c r="GQI109" s="769"/>
      <c r="GQJ109" s="769"/>
      <c r="GQK109" s="769"/>
      <c r="GQL109" s="769"/>
      <c r="GQM109" s="769"/>
      <c r="GQN109" s="769"/>
      <c r="GQO109" s="769"/>
      <c r="GQP109" s="769"/>
      <c r="GQQ109" s="769"/>
      <c r="GQR109" s="769"/>
      <c r="GQS109" s="769"/>
      <c r="GQT109" s="769"/>
      <c r="GQU109" s="769"/>
      <c r="GQV109" s="769"/>
      <c r="GQW109" s="769"/>
      <c r="GQX109" s="769"/>
      <c r="GQY109" s="769"/>
      <c r="GQZ109" s="769"/>
      <c r="GRA109" s="769"/>
      <c r="GRB109" s="769"/>
      <c r="GRC109" s="769"/>
      <c r="GRD109" s="769"/>
      <c r="GRE109" s="769"/>
      <c r="GRF109" s="769"/>
      <c r="GRG109" s="769"/>
      <c r="GRH109" s="769"/>
      <c r="GRI109" s="769"/>
      <c r="GRJ109" s="769"/>
      <c r="GRK109" s="769"/>
      <c r="GRL109" s="769"/>
      <c r="GRM109" s="769"/>
      <c r="GRN109" s="769"/>
      <c r="GRO109" s="769"/>
      <c r="GRP109" s="769"/>
      <c r="GRQ109" s="769"/>
      <c r="GRR109" s="769"/>
      <c r="GRS109" s="769"/>
      <c r="GRT109" s="769"/>
      <c r="GRU109" s="769"/>
      <c r="GRV109" s="769"/>
      <c r="GRW109" s="769"/>
      <c r="GRX109" s="769"/>
      <c r="GRY109" s="769"/>
      <c r="GRZ109" s="769"/>
      <c r="GSA109" s="769"/>
      <c r="GSB109" s="769"/>
      <c r="GSC109" s="769"/>
      <c r="GSD109" s="769"/>
      <c r="GSE109" s="769"/>
      <c r="GSF109" s="769"/>
      <c r="GSG109" s="769"/>
      <c r="GSH109" s="769"/>
      <c r="GSI109" s="769"/>
      <c r="GSJ109" s="769"/>
      <c r="GSK109" s="769"/>
      <c r="GSL109" s="769"/>
      <c r="GSM109" s="769"/>
      <c r="GSN109" s="769"/>
      <c r="GSO109" s="769"/>
      <c r="GSP109" s="769"/>
      <c r="GSQ109" s="769"/>
      <c r="GSR109" s="769"/>
      <c r="GSS109" s="769"/>
      <c r="GST109" s="769"/>
      <c r="GSU109" s="769"/>
      <c r="GSV109" s="769"/>
      <c r="GSW109" s="769"/>
      <c r="GSX109" s="769"/>
      <c r="GSY109" s="769"/>
      <c r="GSZ109" s="769"/>
      <c r="GTA109" s="769"/>
      <c r="GTB109" s="769"/>
      <c r="GTC109" s="769"/>
      <c r="GTD109" s="769"/>
      <c r="GTE109" s="769"/>
      <c r="GTF109" s="769"/>
      <c r="GTG109" s="769"/>
      <c r="GTH109" s="769"/>
      <c r="GTI109" s="769"/>
      <c r="GTJ109" s="769"/>
      <c r="GTK109" s="769"/>
      <c r="GTL109" s="769"/>
      <c r="GTM109" s="769"/>
      <c r="GTN109" s="769"/>
      <c r="GTO109" s="769"/>
      <c r="GTP109" s="769"/>
      <c r="GTQ109" s="769"/>
      <c r="GTR109" s="769"/>
      <c r="GTS109" s="769"/>
      <c r="GTT109" s="769"/>
      <c r="GTU109" s="769"/>
      <c r="GTV109" s="769"/>
      <c r="GTW109" s="769"/>
      <c r="GTX109" s="769"/>
      <c r="GTY109" s="769"/>
      <c r="GTZ109" s="769"/>
      <c r="GUA109" s="769"/>
      <c r="GUB109" s="769"/>
      <c r="GUC109" s="769"/>
      <c r="GUD109" s="769"/>
      <c r="GUE109" s="769"/>
      <c r="GUF109" s="769"/>
      <c r="GUG109" s="769"/>
      <c r="GUH109" s="769"/>
      <c r="GUI109" s="769"/>
      <c r="GUJ109" s="769"/>
      <c r="GUK109" s="769"/>
      <c r="GUL109" s="769"/>
      <c r="GUM109" s="769"/>
      <c r="GUN109" s="769"/>
      <c r="GUO109" s="769"/>
      <c r="GUP109" s="769"/>
      <c r="GUQ109" s="769"/>
      <c r="GUR109" s="769"/>
      <c r="GUS109" s="769"/>
      <c r="GUT109" s="769"/>
      <c r="GUU109" s="769"/>
      <c r="GUV109" s="769"/>
      <c r="GUW109" s="769"/>
      <c r="GUX109" s="769"/>
      <c r="GUY109" s="769"/>
      <c r="GUZ109" s="769"/>
      <c r="GVA109" s="769"/>
      <c r="GVB109" s="769"/>
      <c r="GVC109" s="769"/>
      <c r="GVD109" s="769"/>
      <c r="GVE109" s="769"/>
      <c r="GVF109" s="769"/>
      <c r="GVG109" s="769"/>
      <c r="GVH109" s="769"/>
      <c r="GVI109" s="769"/>
      <c r="GVJ109" s="769"/>
      <c r="GVK109" s="769"/>
      <c r="GVL109" s="769"/>
      <c r="GVM109" s="769"/>
      <c r="GVN109" s="769"/>
      <c r="GVO109" s="769"/>
      <c r="GVP109" s="769"/>
      <c r="GVQ109" s="769"/>
      <c r="GVR109" s="769"/>
      <c r="GVS109" s="769"/>
      <c r="GVT109" s="769"/>
      <c r="GVU109" s="769"/>
      <c r="GVV109" s="769"/>
      <c r="GVW109" s="769"/>
      <c r="GVX109" s="769"/>
      <c r="GVY109" s="769"/>
      <c r="GVZ109" s="769"/>
      <c r="GWA109" s="769"/>
      <c r="GWB109" s="769"/>
      <c r="GWC109" s="769"/>
      <c r="GWD109" s="769"/>
      <c r="GWE109" s="769"/>
      <c r="GWF109" s="769"/>
      <c r="GWG109" s="769"/>
      <c r="GWH109" s="769"/>
      <c r="GWI109" s="769"/>
      <c r="GWJ109" s="769"/>
      <c r="GWK109" s="769"/>
      <c r="GWL109" s="769"/>
      <c r="GWM109" s="769"/>
      <c r="GWN109" s="769"/>
      <c r="GWO109" s="769"/>
      <c r="GWP109" s="769"/>
      <c r="GWQ109" s="769"/>
      <c r="GWR109" s="769"/>
      <c r="GWS109" s="769"/>
      <c r="GWT109" s="769"/>
      <c r="GWU109" s="769"/>
      <c r="GWV109" s="769"/>
      <c r="GWW109" s="769"/>
      <c r="GWX109" s="769"/>
      <c r="GWY109" s="769"/>
      <c r="GWZ109" s="769"/>
      <c r="GXA109" s="769"/>
      <c r="GXB109" s="769"/>
      <c r="GXC109" s="769"/>
      <c r="GXD109" s="769"/>
      <c r="GXE109" s="769"/>
      <c r="GXF109" s="769"/>
      <c r="GXG109" s="769"/>
      <c r="GXH109" s="769"/>
      <c r="GXI109" s="769"/>
      <c r="GXJ109" s="769"/>
      <c r="GXK109" s="769"/>
      <c r="GXL109" s="769"/>
      <c r="GXM109" s="769"/>
      <c r="GXN109" s="769"/>
      <c r="GXO109" s="769"/>
      <c r="GXP109" s="769"/>
      <c r="GXQ109" s="769"/>
      <c r="GXR109" s="769"/>
      <c r="GXS109" s="769"/>
      <c r="GXT109" s="769"/>
      <c r="GXU109" s="769"/>
      <c r="GXV109" s="769"/>
      <c r="GXW109" s="769"/>
      <c r="GXX109" s="769"/>
      <c r="GXY109" s="769"/>
      <c r="GXZ109" s="769"/>
      <c r="GYA109" s="769"/>
      <c r="GYB109" s="769"/>
      <c r="GYC109" s="769"/>
      <c r="GYD109" s="769"/>
      <c r="GYE109" s="769"/>
      <c r="GYF109" s="769"/>
      <c r="GYG109" s="769"/>
      <c r="GYH109" s="769"/>
      <c r="GYI109" s="769"/>
      <c r="GYJ109" s="769"/>
      <c r="GYK109" s="769"/>
      <c r="GYL109" s="769"/>
      <c r="GYM109" s="769"/>
      <c r="GYN109" s="769"/>
      <c r="GYO109" s="769"/>
      <c r="GYP109" s="769"/>
      <c r="GYQ109" s="769"/>
      <c r="GYR109" s="769"/>
      <c r="GYS109" s="769"/>
      <c r="GYT109" s="769"/>
      <c r="GYU109" s="769"/>
      <c r="GYV109" s="769"/>
      <c r="GYW109" s="769"/>
      <c r="GYX109" s="769"/>
      <c r="GYY109" s="769"/>
      <c r="GYZ109" s="769"/>
      <c r="GZA109" s="769"/>
      <c r="GZB109" s="769"/>
      <c r="GZC109" s="769"/>
      <c r="GZD109" s="769"/>
      <c r="GZE109" s="769"/>
      <c r="GZF109" s="769"/>
      <c r="GZG109" s="769"/>
      <c r="GZH109" s="769"/>
      <c r="GZI109" s="769"/>
      <c r="GZJ109" s="769"/>
      <c r="GZK109" s="769"/>
      <c r="GZL109" s="769"/>
      <c r="GZM109" s="769"/>
      <c r="GZN109" s="769"/>
      <c r="GZO109" s="769"/>
      <c r="GZP109" s="769"/>
      <c r="GZQ109" s="769"/>
      <c r="GZR109" s="769"/>
      <c r="GZS109" s="769"/>
      <c r="GZT109" s="769"/>
      <c r="GZU109" s="769"/>
      <c r="GZV109" s="769"/>
      <c r="GZW109" s="769"/>
      <c r="GZX109" s="769"/>
      <c r="GZY109" s="769"/>
      <c r="GZZ109" s="769"/>
      <c r="HAA109" s="769"/>
      <c r="HAB109" s="769"/>
      <c r="HAC109" s="769"/>
      <c r="HAD109" s="769"/>
      <c r="HAE109" s="769"/>
      <c r="HAF109" s="769"/>
      <c r="HAG109" s="769"/>
      <c r="HAH109" s="769"/>
      <c r="HAI109" s="769"/>
      <c r="HAJ109" s="769"/>
      <c r="HAK109" s="769"/>
      <c r="HAL109" s="769"/>
      <c r="HAM109" s="769"/>
      <c r="HAN109" s="769"/>
      <c r="HAO109" s="769"/>
      <c r="HAP109" s="769"/>
      <c r="HAQ109" s="769"/>
      <c r="HAR109" s="769"/>
      <c r="HAS109" s="769"/>
      <c r="HAT109" s="769"/>
      <c r="HAU109" s="769"/>
      <c r="HAV109" s="769"/>
      <c r="HAW109" s="769"/>
      <c r="HAX109" s="769"/>
      <c r="HAY109" s="769"/>
      <c r="HAZ109" s="769"/>
      <c r="HBA109" s="769"/>
      <c r="HBB109" s="769"/>
      <c r="HBC109" s="769"/>
      <c r="HBD109" s="769"/>
      <c r="HBE109" s="769"/>
      <c r="HBF109" s="769"/>
      <c r="HBG109" s="769"/>
      <c r="HBH109" s="769"/>
      <c r="HBI109" s="769"/>
      <c r="HBJ109" s="769"/>
      <c r="HBK109" s="769"/>
      <c r="HBL109" s="769"/>
      <c r="HBM109" s="769"/>
      <c r="HBN109" s="769"/>
      <c r="HBO109" s="769"/>
      <c r="HBP109" s="769"/>
      <c r="HBQ109" s="769"/>
      <c r="HBR109" s="769"/>
      <c r="HBS109" s="769"/>
      <c r="HBT109" s="769"/>
      <c r="HBU109" s="769"/>
      <c r="HBV109" s="769"/>
      <c r="HBW109" s="769"/>
      <c r="HBX109" s="769"/>
      <c r="HBY109" s="769"/>
      <c r="HBZ109" s="769"/>
      <c r="HCA109" s="769"/>
      <c r="HCB109" s="769"/>
      <c r="HCC109" s="769"/>
      <c r="HCD109" s="769"/>
      <c r="HCE109" s="769"/>
      <c r="HCF109" s="769"/>
      <c r="HCG109" s="769"/>
      <c r="HCH109" s="769"/>
      <c r="HCI109" s="769"/>
      <c r="HCJ109" s="769"/>
      <c r="HCK109" s="769"/>
      <c r="HCL109" s="769"/>
      <c r="HCM109" s="769"/>
      <c r="HCN109" s="769"/>
      <c r="HCO109" s="769"/>
      <c r="HCP109" s="769"/>
      <c r="HCQ109" s="769"/>
      <c r="HCR109" s="769"/>
      <c r="HCS109" s="769"/>
      <c r="HCT109" s="769"/>
      <c r="HCU109" s="769"/>
      <c r="HCV109" s="769"/>
      <c r="HCW109" s="769"/>
      <c r="HCX109" s="769"/>
      <c r="HCY109" s="769"/>
      <c r="HCZ109" s="769"/>
      <c r="HDA109" s="769"/>
      <c r="HDB109" s="769"/>
      <c r="HDC109" s="769"/>
      <c r="HDD109" s="769"/>
      <c r="HDE109" s="769"/>
      <c r="HDF109" s="769"/>
      <c r="HDG109" s="769"/>
      <c r="HDH109" s="769"/>
      <c r="HDI109" s="769"/>
      <c r="HDJ109" s="769"/>
      <c r="HDK109" s="769"/>
      <c r="HDL109" s="769"/>
      <c r="HDM109" s="769"/>
      <c r="HDN109" s="769"/>
      <c r="HDO109" s="769"/>
      <c r="HDP109" s="769"/>
      <c r="HDQ109" s="769"/>
      <c r="HDR109" s="769"/>
      <c r="HDS109" s="769"/>
      <c r="HDT109" s="769"/>
      <c r="HDU109" s="769"/>
      <c r="HDV109" s="769"/>
      <c r="HDW109" s="769"/>
      <c r="HDX109" s="769"/>
      <c r="HDY109" s="769"/>
      <c r="HDZ109" s="769"/>
      <c r="HEA109" s="769"/>
      <c r="HEB109" s="769"/>
      <c r="HEC109" s="769"/>
      <c r="HED109" s="769"/>
      <c r="HEE109" s="769"/>
      <c r="HEF109" s="769"/>
      <c r="HEG109" s="769"/>
      <c r="HEH109" s="769"/>
      <c r="HEI109" s="769"/>
      <c r="HEJ109" s="769"/>
      <c r="HEK109" s="769"/>
      <c r="HEL109" s="769"/>
      <c r="HEM109" s="769"/>
      <c r="HEN109" s="769"/>
      <c r="HEO109" s="769"/>
      <c r="HEP109" s="769"/>
      <c r="HEQ109" s="769"/>
      <c r="HER109" s="769"/>
      <c r="HES109" s="769"/>
      <c r="HET109" s="769"/>
      <c r="HEU109" s="769"/>
      <c r="HEV109" s="769"/>
      <c r="HEW109" s="769"/>
      <c r="HEX109" s="769"/>
      <c r="HEY109" s="769"/>
      <c r="HEZ109" s="769"/>
      <c r="HFA109" s="769"/>
      <c r="HFB109" s="769"/>
      <c r="HFC109" s="769"/>
      <c r="HFD109" s="769"/>
      <c r="HFE109" s="769"/>
      <c r="HFF109" s="769"/>
      <c r="HFG109" s="769"/>
      <c r="HFH109" s="769"/>
      <c r="HFI109" s="769"/>
      <c r="HFJ109" s="769"/>
      <c r="HFK109" s="769"/>
      <c r="HFL109" s="769"/>
      <c r="HFM109" s="769"/>
      <c r="HFN109" s="769"/>
      <c r="HFO109" s="769"/>
      <c r="HFP109" s="769"/>
      <c r="HFQ109" s="769"/>
      <c r="HFR109" s="769"/>
      <c r="HFS109" s="769"/>
      <c r="HFT109" s="769"/>
      <c r="HFU109" s="769"/>
      <c r="HFV109" s="769"/>
      <c r="HFW109" s="769"/>
      <c r="HFX109" s="769"/>
      <c r="HFY109" s="769"/>
      <c r="HFZ109" s="769"/>
      <c r="HGA109" s="769"/>
      <c r="HGB109" s="769"/>
      <c r="HGC109" s="769"/>
      <c r="HGD109" s="769"/>
      <c r="HGE109" s="769"/>
      <c r="HGF109" s="769"/>
      <c r="HGG109" s="769"/>
      <c r="HGH109" s="769"/>
      <c r="HGI109" s="769"/>
      <c r="HGJ109" s="769"/>
      <c r="HGK109" s="769"/>
      <c r="HGL109" s="769"/>
      <c r="HGM109" s="769"/>
      <c r="HGN109" s="769"/>
      <c r="HGO109" s="769"/>
      <c r="HGP109" s="769"/>
      <c r="HGQ109" s="769"/>
      <c r="HGR109" s="769"/>
      <c r="HGS109" s="769"/>
      <c r="HGT109" s="769"/>
      <c r="HGU109" s="769"/>
      <c r="HGV109" s="769"/>
      <c r="HGW109" s="769"/>
      <c r="HGX109" s="769"/>
      <c r="HGY109" s="769"/>
      <c r="HGZ109" s="769"/>
      <c r="HHA109" s="769"/>
      <c r="HHB109" s="769"/>
      <c r="HHC109" s="769"/>
      <c r="HHD109" s="769"/>
      <c r="HHE109" s="769"/>
      <c r="HHF109" s="769"/>
      <c r="HHG109" s="769"/>
      <c r="HHH109" s="769"/>
      <c r="HHI109" s="769"/>
      <c r="HHJ109" s="769"/>
      <c r="HHK109" s="769"/>
      <c r="HHL109" s="769"/>
      <c r="HHM109" s="769"/>
      <c r="HHN109" s="769"/>
      <c r="HHO109" s="769"/>
      <c r="HHP109" s="769"/>
      <c r="HHQ109" s="769"/>
      <c r="HHR109" s="769"/>
      <c r="HHS109" s="769"/>
      <c r="HHT109" s="769"/>
      <c r="HHU109" s="769"/>
      <c r="HHV109" s="769"/>
      <c r="HHW109" s="769"/>
      <c r="HHX109" s="769"/>
      <c r="HHY109" s="769"/>
      <c r="HHZ109" s="769"/>
      <c r="HIA109" s="769"/>
      <c r="HIB109" s="769"/>
      <c r="HIC109" s="769"/>
      <c r="HID109" s="769"/>
      <c r="HIE109" s="769"/>
      <c r="HIF109" s="769"/>
      <c r="HIG109" s="769"/>
      <c r="HIH109" s="769"/>
      <c r="HII109" s="769"/>
      <c r="HIJ109" s="769"/>
      <c r="HIK109" s="769"/>
      <c r="HIL109" s="769"/>
      <c r="HIM109" s="769"/>
      <c r="HIN109" s="769"/>
      <c r="HIO109" s="769"/>
      <c r="HIP109" s="769"/>
      <c r="HIQ109" s="769"/>
      <c r="HIR109" s="769"/>
      <c r="HIS109" s="769"/>
      <c r="HIT109" s="769"/>
      <c r="HIU109" s="769"/>
      <c r="HIV109" s="769"/>
      <c r="HIW109" s="769"/>
      <c r="HIX109" s="769"/>
      <c r="HIY109" s="769"/>
      <c r="HIZ109" s="769"/>
      <c r="HJA109" s="769"/>
      <c r="HJB109" s="769"/>
      <c r="HJC109" s="769"/>
      <c r="HJD109" s="769"/>
      <c r="HJE109" s="769"/>
      <c r="HJF109" s="769"/>
      <c r="HJG109" s="769"/>
      <c r="HJH109" s="769"/>
      <c r="HJI109" s="769"/>
      <c r="HJJ109" s="769"/>
      <c r="HJK109" s="769"/>
      <c r="HJL109" s="769"/>
      <c r="HJM109" s="769"/>
      <c r="HJN109" s="769"/>
      <c r="HJO109" s="769"/>
      <c r="HJP109" s="769"/>
      <c r="HJQ109" s="769"/>
      <c r="HJR109" s="769"/>
      <c r="HJS109" s="769"/>
      <c r="HJT109" s="769"/>
      <c r="HJU109" s="769"/>
      <c r="HJV109" s="769"/>
      <c r="HJW109" s="769"/>
      <c r="HJX109" s="769"/>
      <c r="HJY109" s="769"/>
      <c r="HJZ109" s="769"/>
      <c r="HKA109" s="769"/>
      <c r="HKB109" s="769"/>
      <c r="HKC109" s="769"/>
      <c r="HKD109" s="769"/>
      <c r="HKE109" s="769"/>
      <c r="HKF109" s="769"/>
      <c r="HKG109" s="769"/>
      <c r="HKH109" s="769"/>
      <c r="HKI109" s="769"/>
      <c r="HKJ109" s="769"/>
      <c r="HKK109" s="769"/>
      <c r="HKL109" s="769"/>
      <c r="HKM109" s="769"/>
      <c r="HKN109" s="769"/>
      <c r="HKO109" s="769"/>
      <c r="HKP109" s="769"/>
      <c r="HKQ109" s="769"/>
      <c r="HKR109" s="769"/>
      <c r="HKS109" s="769"/>
      <c r="HKT109" s="769"/>
      <c r="HKU109" s="769"/>
      <c r="HKV109" s="769"/>
      <c r="HKW109" s="769"/>
      <c r="HKX109" s="769"/>
      <c r="HKY109" s="769"/>
      <c r="HKZ109" s="769"/>
      <c r="HLA109" s="769"/>
      <c r="HLB109" s="769"/>
      <c r="HLC109" s="769"/>
      <c r="HLD109" s="769"/>
      <c r="HLE109" s="769"/>
      <c r="HLF109" s="769"/>
      <c r="HLG109" s="769"/>
      <c r="HLH109" s="769"/>
      <c r="HLI109" s="769"/>
      <c r="HLJ109" s="769"/>
      <c r="HLK109" s="769"/>
      <c r="HLL109" s="769"/>
      <c r="HLM109" s="769"/>
      <c r="HLN109" s="769"/>
      <c r="HLO109" s="769"/>
      <c r="HLP109" s="769"/>
      <c r="HLQ109" s="769"/>
      <c r="HLR109" s="769"/>
      <c r="HLS109" s="769"/>
      <c r="HLT109" s="769"/>
      <c r="HLU109" s="769"/>
      <c r="HLV109" s="769"/>
      <c r="HLW109" s="769"/>
      <c r="HLX109" s="769"/>
      <c r="HLY109" s="769"/>
      <c r="HLZ109" s="769"/>
      <c r="HMA109" s="769"/>
      <c r="HMB109" s="769"/>
      <c r="HMC109" s="769"/>
      <c r="HMD109" s="769"/>
      <c r="HME109" s="769"/>
      <c r="HMF109" s="769"/>
      <c r="HMG109" s="769"/>
      <c r="HMH109" s="769"/>
      <c r="HMI109" s="769"/>
      <c r="HMJ109" s="769"/>
      <c r="HMK109" s="769"/>
      <c r="HML109" s="769"/>
      <c r="HMM109" s="769"/>
      <c r="HMN109" s="769"/>
      <c r="HMO109" s="769"/>
      <c r="HMP109" s="769"/>
      <c r="HMQ109" s="769"/>
      <c r="HMR109" s="769"/>
      <c r="HMS109" s="769"/>
      <c r="HMT109" s="769"/>
      <c r="HMU109" s="769"/>
      <c r="HMV109" s="769"/>
      <c r="HMW109" s="769"/>
      <c r="HMX109" s="769"/>
      <c r="HMY109" s="769"/>
      <c r="HMZ109" s="769"/>
      <c r="HNA109" s="769"/>
      <c r="HNB109" s="769"/>
      <c r="HNC109" s="769"/>
      <c r="HND109" s="769"/>
      <c r="HNE109" s="769"/>
      <c r="HNF109" s="769"/>
      <c r="HNG109" s="769"/>
      <c r="HNH109" s="769"/>
      <c r="HNI109" s="769"/>
      <c r="HNJ109" s="769"/>
      <c r="HNK109" s="769"/>
      <c r="HNL109" s="769"/>
      <c r="HNM109" s="769"/>
      <c r="HNN109" s="769"/>
      <c r="HNO109" s="769"/>
      <c r="HNP109" s="769"/>
      <c r="HNQ109" s="769"/>
      <c r="HNR109" s="769"/>
      <c r="HNS109" s="769"/>
      <c r="HNT109" s="769"/>
      <c r="HNU109" s="769"/>
      <c r="HNV109" s="769"/>
      <c r="HNW109" s="769"/>
      <c r="HNX109" s="769"/>
      <c r="HNY109" s="769"/>
      <c r="HNZ109" s="769"/>
      <c r="HOA109" s="769"/>
      <c r="HOB109" s="769"/>
      <c r="HOC109" s="769"/>
      <c r="HOD109" s="769"/>
      <c r="HOE109" s="769"/>
      <c r="HOF109" s="769"/>
      <c r="HOG109" s="769"/>
      <c r="HOH109" s="769"/>
      <c r="HOI109" s="769"/>
      <c r="HOJ109" s="769"/>
      <c r="HOK109" s="769"/>
      <c r="HOL109" s="769"/>
      <c r="HOM109" s="769"/>
      <c r="HON109" s="769"/>
      <c r="HOO109" s="769"/>
      <c r="HOP109" s="769"/>
      <c r="HOQ109" s="769"/>
      <c r="HOR109" s="769"/>
      <c r="HOS109" s="769"/>
      <c r="HOT109" s="769"/>
      <c r="HOU109" s="769"/>
      <c r="HOV109" s="769"/>
      <c r="HOW109" s="769"/>
      <c r="HOX109" s="769"/>
      <c r="HOY109" s="769"/>
      <c r="HOZ109" s="769"/>
      <c r="HPA109" s="769"/>
      <c r="HPB109" s="769"/>
      <c r="HPC109" s="769"/>
      <c r="HPD109" s="769"/>
      <c r="HPE109" s="769"/>
      <c r="HPF109" s="769"/>
      <c r="HPG109" s="769"/>
      <c r="HPH109" s="769"/>
      <c r="HPI109" s="769"/>
      <c r="HPJ109" s="769"/>
      <c r="HPK109" s="769"/>
      <c r="HPL109" s="769"/>
      <c r="HPM109" s="769"/>
      <c r="HPN109" s="769"/>
      <c r="HPO109" s="769"/>
      <c r="HPP109" s="769"/>
      <c r="HPQ109" s="769"/>
      <c r="HPR109" s="769"/>
      <c r="HPS109" s="769"/>
      <c r="HPT109" s="769"/>
      <c r="HPU109" s="769"/>
      <c r="HPV109" s="769"/>
      <c r="HPW109" s="769"/>
      <c r="HPX109" s="769"/>
      <c r="HPY109" s="769"/>
      <c r="HPZ109" s="769"/>
      <c r="HQA109" s="769"/>
      <c r="HQB109" s="769"/>
      <c r="HQC109" s="769"/>
      <c r="HQD109" s="769"/>
      <c r="HQE109" s="769"/>
      <c r="HQF109" s="769"/>
      <c r="HQG109" s="769"/>
      <c r="HQH109" s="769"/>
      <c r="HQI109" s="769"/>
      <c r="HQJ109" s="769"/>
      <c r="HQK109" s="769"/>
      <c r="HQL109" s="769"/>
      <c r="HQM109" s="769"/>
      <c r="HQN109" s="769"/>
      <c r="HQO109" s="769"/>
      <c r="HQP109" s="769"/>
      <c r="HQQ109" s="769"/>
      <c r="HQR109" s="769"/>
      <c r="HQS109" s="769"/>
      <c r="HQT109" s="769"/>
      <c r="HQU109" s="769"/>
      <c r="HQV109" s="769"/>
      <c r="HQW109" s="769"/>
      <c r="HQX109" s="769"/>
      <c r="HQY109" s="769"/>
      <c r="HQZ109" s="769"/>
      <c r="HRA109" s="769"/>
      <c r="HRB109" s="769"/>
      <c r="HRC109" s="769"/>
      <c r="HRD109" s="769"/>
      <c r="HRE109" s="769"/>
      <c r="HRF109" s="769"/>
      <c r="HRG109" s="769"/>
      <c r="HRH109" s="769"/>
      <c r="HRI109" s="769"/>
      <c r="HRJ109" s="769"/>
      <c r="HRK109" s="769"/>
      <c r="HRL109" s="769"/>
      <c r="HRM109" s="769"/>
      <c r="HRN109" s="769"/>
      <c r="HRO109" s="769"/>
      <c r="HRP109" s="769"/>
      <c r="HRQ109" s="769"/>
      <c r="HRR109" s="769"/>
      <c r="HRS109" s="769"/>
      <c r="HRT109" s="769"/>
      <c r="HRU109" s="769"/>
      <c r="HRV109" s="769"/>
      <c r="HRW109" s="769"/>
      <c r="HRX109" s="769"/>
      <c r="HRY109" s="769"/>
      <c r="HRZ109" s="769"/>
      <c r="HSA109" s="769"/>
      <c r="HSB109" s="769"/>
      <c r="HSC109" s="769"/>
      <c r="HSD109" s="769"/>
      <c r="HSE109" s="769"/>
      <c r="HSF109" s="769"/>
      <c r="HSG109" s="769"/>
      <c r="HSH109" s="769"/>
      <c r="HSI109" s="769"/>
      <c r="HSJ109" s="769"/>
      <c r="HSK109" s="769"/>
      <c r="HSL109" s="769"/>
      <c r="HSM109" s="769"/>
      <c r="HSN109" s="769"/>
      <c r="HSO109" s="769"/>
      <c r="HSP109" s="769"/>
      <c r="HSQ109" s="769"/>
      <c r="HSR109" s="769"/>
      <c r="HSS109" s="769"/>
      <c r="HST109" s="769"/>
      <c r="HSU109" s="769"/>
      <c r="HSV109" s="769"/>
      <c r="HSW109" s="769"/>
      <c r="HSX109" s="769"/>
      <c r="HSY109" s="769"/>
      <c r="HSZ109" s="769"/>
      <c r="HTA109" s="769"/>
      <c r="HTB109" s="769"/>
      <c r="HTC109" s="769"/>
      <c r="HTD109" s="769"/>
      <c r="HTE109" s="769"/>
      <c r="HTF109" s="769"/>
      <c r="HTG109" s="769"/>
      <c r="HTH109" s="769"/>
      <c r="HTI109" s="769"/>
      <c r="HTJ109" s="769"/>
      <c r="HTK109" s="769"/>
      <c r="HTL109" s="769"/>
      <c r="HTM109" s="769"/>
      <c r="HTN109" s="769"/>
      <c r="HTO109" s="769"/>
      <c r="HTP109" s="769"/>
      <c r="HTQ109" s="769"/>
      <c r="HTR109" s="769"/>
      <c r="HTS109" s="769"/>
      <c r="HTT109" s="769"/>
      <c r="HTU109" s="769"/>
      <c r="HTV109" s="769"/>
      <c r="HTW109" s="769"/>
      <c r="HTX109" s="769"/>
      <c r="HTY109" s="769"/>
      <c r="HTZ109" s="769"/>
      <c r="HUA109" s="769"/>
      <c r="HUB109" s="769"/>
      <c r="HUC109" s="769"/>
      <c r="HUD109" s="769"/>
      <c r="HUE109" s="769"/>
      <c r="HUF109" s="769"/>
      <c r="HUG109" s="769"/>
      <c r="HUH109" s="769"/>
      <c r="HUI109" s="769"/>
      <c r="HUJ109" s="769"/>
      <c r="HUK109" s="769"/>
      <c r="HUL109" s="769"/>
      <c r="HUM109" s="769"/>
      <c r="HUN109" s="769"/>
      <c r="HUO109" s="769"/>
      <c r="HUP109" s="769"/>
      <c r="HUQ109" s="769"/>
      <c r="HUR109" s="769"/>
      <c r="HUS109" s="769"/>
      <c r="HUT109" s="769"/>
      <c r="HUU109" s="769"/>
      <c r="HUV109" s="769"/>
      <c r="HUW109" s="769"/>
      <c r="HUX109" s="769"/>
      <c r="HUY109" s="769"/>
      <c r="HUZ109" s="769"/>
      <c r="HVA109" s="769"/>
      <c r="HVB109" s="769"/>
      <c r="HVC109" s="769"/>
      <c r="HVD109" s="769"/>
      <c r="HVE109" s="769"/>
      <c r="HVF109" s="769"/>
      <c r="HVG109" s="769"/>
      <c r="HVH109" s="769"/>
      <c r="HVI109" s="769"/>
      <c r="HVJ109" s="769"/>
      <c r="HVK109" s="769"/>
      <c r="HVL109" s="769"/>
      <c r="HVM109" s="769"/>
      <c r="HVN109" s="769"/>
      <c r="HVO109" s="769"/>
      <c r="HVP109" s="769"/>
      <c r="HVQ109" s="769"/>
      <c r="HVR109" s="769"/>
      <c r="HVS109" s="769"/>
      <c r="HVT109" s="769"/>
      <c r="HVU109" s="769"/>
      <c r="HVV109" s="769"/>
      <c r="HVW109" s="769"/>
      <c r="HVX109" s="769"/>
      <c r="HVY109" s="769"/>
      <c r="HVZ109" s="769"/>
      <c r="HWA109" s="769"/>
      <c r="HWB109" s="769"/>
      <c r="HWC109" s="769"/>
      <c r="HWD109" s="769"/>
      <c r="HWE109" s="769"/>
      <c r="HWF109" s="769"/>
      <c r="HWG109" s="769"/>
      <c r="HWH109" s="769"/>
      <c r="HWI109" s="769"/>
      <c r="HWJ109" s="769"/>
      <c r="HWK109" s="769"/>
      <c r="HWL109" s="769"/>
      <c r="HWM109" s="769"/>
      <c r="HWN109" s="769"/>
      <c r="HWO109" s="769"/>
      <c r="HWP109" s="769"/>
      <c r="HWQ109" s="769"/>
      <c r="HWR109" s="769"/>
      <c r="HWS109" s="769"/>
      <c r="HWT109" s="769"/>
      <c r="HWU109" s="769"/>
      <c r="HWV109" s="769"/>
      <c r="HWW109" s="769"/>
      <c r="HWX109" s="769"/>
      <c r="HWY109" s="769"/>
      <c r="HWZ109" s="769"/>
      <c r="HXA109" s="769"/>
      <c r="HXB109" s="769"/>
      <c r="HXC109" s="769"/>
      <c r="HXD109" s="769"/>
      <c r="HXE109" s="769"/>
      <c r="HXF109" s="769"/>
      <c r="HXG109" s="769"/>
      <c r="HXH109" s="769"/>
      <c r="HXI109" s="769"/>
      <c r="HXJ109" s="769"/>
      <c r="HXK109" s="769"/>
      <c r="HXL109" s="769"/>
      <c r="HXM109" s="769"/>
      <c r="HXN109" s="769"/>
      <c r="HXO109" s="769"/>
      <c r="HXP109" s="769"/>
      <c r="HXQ109" s="769"/>
      <c r="HXR109" s="769"/>
      <c r="HXS109" s="769"/>
      <c r="HXT109" s="769"/>
      <c r="HXU109" s="769"/>
      <c r="HXV109" s="769"/>
      <c r="HXW109" s="769"/>
      <c r="HXX109" s="769"/>
      <c r="HXY109" s="769"/>
      <c r="HXZ109" s="769"/>
      <c r="HYA109" s="769"/>
      <c r="HYB109" s="769"/>
      <c r="HYC109" s="769"/>
      <c r="HYD109" s="769"/>
      <c r="HYE109" s="769"/>
      <c r="HYF109" s="769"/>
      <c r="HYG109" s="769"/>
      <c r="HYH109" s="769"/>
      <c r="HYI109" s="769"/>
      <c r="HYJ109" s="769"/>
      <c r="HYK109" s="769"/>
      <c r="HYL109" s="769"/>
      <c r="HYM109" s="769"/>
      <c r="HYN109" s="769"/>
      <c r="HYO109" s="769"/>
      <c r="HYP109" s="769"/>
      <c r="HYQ109" s="769"/>
      <c r="HYR109" s="769"/>
      <c r="HYS109" s="769"/>
      <c r="HYT109" s="769"/>
      <c r="HYU109" s="769"/>
      <c r="HYV109" s="769"/>
      <c r="HYW109" s="769"/>
      <c r="HYX109" s="769"/>
      <c r="HYY109" s="769"/>
      <c r="HYZ109" s="769"/>
      <c r="HZA109" s="769"/>
      <c r="HZB109" s="769"/>
      <c r="HZC109" s="769"/>
      <c r="HZD109" s="769"/>
      <c r="HZE109" s="769"/>
      <c r="HZF109" s="769"/>
      <c r="HZG109" s="769"/>
      <c r="HZH109" s="769"/>
      <c r="HZI109" s="769"/>
      <c r="HZJ109" s="769"/>
      <c r="HZK109" s="769"/>
      <c r="HZL109" s="769"/>
      <c r="HZM109" s="769"/>
      <c r="HZN109" s="769"/>
      <c r="HZO109" s="769"/>
      <c r="HZP109" s="769"/>
      <c r="HZQ109" s="769"/>
      <c r="HZR109" s="769"/>
      <c r="HZS109" s="769"/>
      <c r="HZT109" s="769"/>
      <c r="HZU109" s="769"/>
      <c r="HZV109" s="769"/>
      <c r="HZW109" s="769"/>
      <c r="HZX109" s="769"/>
      <c r="HZY109" s="769"/>
      <c r="HZZ109" s="769"/>
      <c r="IAA109" s="769"/>
      <c r="IAB109" s="769"/>
      <c r="IAC109" s="769"/>
      <c r="IAD109" s="769"/>
      <c r="IAE109" s="769"/>
      <c r="IAF109" s="769"/>
      <c r="IAG109" s="769"/>
      <c r="IAH109" s="769"/>
      <c r="IAI109" s="769"/>
      <c r="IAJ109" s="769"/>
      <c r="IAK109" s="769"/>
      <c r="IAL109" s="769"/>
      <c r="IAM109" s="769"/>
      <c r="IAN109" s="769"/>
      <c r="IAO109" s="769"/>
      <c r="IAP109" s="769"/>
      <c r="IAQ109" s="769"/>
      <c r="IAR109" s="769"/>
      <c r="IAS109" s="769"/>
      <c r="IAT109" s="769"/>
      <c r="IAU109" s="769"/>
      <c r="IAV109" s="769"/>
      <c r="IAW109" s="769"/>
      <c r="IAX109" s="769"/>
      <c r="IAY109" s="769"/>
      <c r="IAZ109" s="769"/>
      <c r="IBA109" s="769"/>
      <c r="IBB109" s="769"/>
      <c r="IBC109" s="769"/>
      <c r="IBD109" s="769"/>
      <c r="IBE109" s="769"/>
      <c r="IBF109" s="769"/>
      <c r="IBG109" s="769"/>
      <c r="IBH109" s="769"/>
      <c r="IBI109" s="769"/>
      <c r="IBJ109" s="769"/>
      <c r="IBK109" s="769"/>
      <c r="IBL109" s="769"/>
      <c r="IBM109" s="769"/>
      <c r="IBN109" s="769"/>
      <c r="IBO109" s="769"/>
      <c r="IBP109" s="769"/>
      <c r="IBQ109" s="769"/>
      <c r="IBR109" s="769"/>
      <c r="IBS109" s="769"/>
      <c r="IBT109" s="769"/>
      <c r="IBU109" s="769"/>
      <c r="IBV109" s="769"/>
      <c r="IBW109" s="769"/>
      <c r="IBX109" s="769"/>
      <c r="IBY109" s="769"/>
      <c r="IBZ109" s="769"/>
      <c r="ICA109" s="769"/>
      <c r="ICB109" s="769"/>
      <c r="ICC109" s="769"/>
      <c r="ICD109" s="769"/>
      <c r="ICE109" s="769"/>
      <c r="ICF109" s="769"/>
      <c r="ICG109" s="769"/>
      <c r="ICH109" s="769"/>
      <c r="ICI109" s="769"/>
      <c r="ICJ109" s="769"/>
      <c r="ICK109" s="769"/>
      <c r="ICL109" s="769"/>
      <c r="ICM109" s="769"/>
      <c r="ICN109" s="769"/>
      <c r="ICO109" s="769"/>
      <c r="ICP109" s="769"/>
      <c r="ICQ109" s="769"/>
      <c r="ICR109" s="769"/>
      <c r="ICS109" s="769"/>
      <c r="ICT109" s="769"/>
      <c r="ICU109" s="769"/>
      <c r="ICV109" s="769"/>
      <c r="ICW109" s="769"/>
      <c r="ICX109" s="769"/>
      <c r="ICY109" s="769"/>
      <c r="ICZ109" s="769"/>
      <c r="IDA109" s="769"/>
      <c r="IDB109" s="769"/>
      <c r="IDC109" s="769"/>
      <c r="IDD109" s="769"/>
      <c r="IDE109" s="769"/>
      <c r="IDF109" s="769"/>
      <c r="IDG109" s="769"/>
      <c r="IDH109" s="769"/>
      <c r="IDI109" s="769"/>
      <c r="IDJ109" s="769"/>
      <c r="IDK109" s="769"/>
      <c r="IDL109" s="769"/>
      <c r="IDM109" s="769"/>
      <c r="IDN109" s="769"/>
      <c r="IDO109" s="769"/>
      <c r="IDP109" s="769"/>
      <c r="IDQ109" s="769"/>
      <c r="IDR109" s="769"/>
      <c r="IDS109" s="769"/>
      <c r="IDT109" s="769"/>
      <c r="IDU109" s="769"/>
      <c r="IDV109" s="769"/>
      <c r="IDW109" s="769"/>
      <c r="IDX109" s="769"/>
      <c r="IDY109" s="769"/>
      <c r="IDZ109" s="769"/>
      <c r="IEA109" s="769"/>
      <c r="IEB109" s="769"/>
      <c r="IEC109" s="769"/>
      <c r="IED109" s="769"/>
      <c r="IEE109" s="769"/>
      <c r="IEF109" s="769"/>
      <c r="IEG109" s="769"/>
      <c r="IEH109" s="769"/>
      <c r="IEI109" s="769"/>
      <c r="IEJ109" s="769"/>
      <c r="IEK109" s="769"/>
      <c r="IEL109" s="769"/>
      <c r="IEM109" s="769"/>
      <c r="IEN109" s="769"/>
      <c r="IEO109" s="769"/>
      <c r="IEP109" s="769"/>
      <c r="IEQ109" s="769"/>
      <c r="IER109" s="769"/>
      <c r="IES109" s="769"/>
      <c r="IET109" s="769"/>
      <c r="IEU109" s="769"/>
      <c r="IEV109" s="769"/>
      <c r="IEW109" s="769"/>
      <c r="IEX109" s="769"/>
      <c r="IEY109" s="769"/>
      <c r="IEZ109" s="769"/>
      <c r="IFA109" s="769"/>
      <c r="IFB109" s="769"/>
      <c r="IFC109" s="769"/>
      <c r="IFD109" s="769"/>
      <c r="IFE109" s="769"/>
      <c r="IFF109" s="769"/>
      <c r="IFG109" s="769"/>
      <c r="IFH109" s="769"/>
      <c r="IFI109" s="769"/>
      <c r="IFJ109" s="769"/>
      <c r="IFK109" s="769"/>
      <c r="IFL109" s="769"/>
      <c r="IFM109" s="769"/>
      <c r="IFN109" s="769"/>
      <c r="IFO109" s="769"/>
      <c r="IFP109" s="769"/>
      <c r="IFQ109" s="769"/>
      <c r="IFR109" s="769"/>
      <c r="IFS109" s="769"/>
      <c r="IFT109" s="769"/>
      <c r="IFU109" s="769"/>
      <c r="IFV109" s="769"/>
      <c r="IFW109" s="769"/>
      <c r="IFX109" s="769"/>
      <c r="IFY109" s="769"/>
      <c r="IFZ109" s="769"/>
      <c r="IGA109" s="769"/>
      <c r="IGB109" s="769"/>
      <c r="IGC109" s="769"/>
      <c r="IGD109" s="769"/>
      <c r="IGE109" s="769"/>
      <c r="IGF109" s="769"/>
      <c r="IGG109" s="769"/>
      <c r="IGH109" s="769"/>
      <c r="IGI109" s="769"/>
      <c r="IGJ109" s="769"/>
      <c r="IGK109" s="769"/>
      <c r="IGL109" s="769"/>
      <c r="IGM109" s="769"/>
      <c r="IGN109" s="769"/>
      <c r="IGO109" s="769"/>
      <c r="IGP109" s="769"/>
      <c r="IGQ109" s="769"/>
      <c r="IGR109" s="769"/>
      <c r="IGS109" s="769"/>
      <c r="IGT109" s="769"/>
      <c r="IGU109" s="769"/>
      <c r="IGV109" s="769"/>
      <c r="IGW109" s="769"/>
      <c r="IGX109" s="769"/>
      <c r="IGY109" s="769"/>
      <c r="IGZ109" s="769"/>
      <c r="IHA109" s="769"/>
      <c r="IHB109" s="769"/>
      <c r="IHC109" s="769"/>
      <c r="IHD109" s="769"/>
      <c r="IHE109" s="769"/>
      <c r="IHF109" s="769"/>
      <c r="IHG109" s="769"/>
      <c r="IHH109" s="769"/>
      <c r="IHI109" s="769"/>
      <c r="IHJ109" s="769"/>
      <c r="IHK109" s="769"/>
      <c r="IHL109" s="769"/>
      <c r="IHM109" s="769"/>
      <c r="IHN109" s="769"/>
      <c r="IHO109" s="769"/>
      <c r="IHP109" s="769"/>
      <c r="IHQ109" s="769"/>
      <c r="IHR109" s="769"/>
      <c r="IHS109" s="769"/>
      <c r="IHT109" s="769"/>
      <c r="IHU109" s="769"/>
      <c r="IHV109" s="769"/>
      <c r="IHW109" s="769"/>
      <c r="IHX109" s="769"/>
      <c r="IHY109" s="769"/>
      <c r="IHZ109" s="769"/>
      <c r="IIA109" s="769"/>
      <c r="IIB109" s="769"/>
      <c r="IIC109" s="769"/>
      <c r="IID109" s="769"/>
      <c r="IIE109" s="769"/>
      <c r="IIF109" s="769"/>
      <c r="IIG109" s="769"/>
      <c r="IIH109" s="769"/>
      <c r="III109" s="769"/>
      <c r="IIJ109" s="769"/>
      <c r="IIK109" s="769"/>
      <c r="IIL109" s="769"/>
      <c r="IIM109" s="769"/>
      <c r="IIN109" s="769"/>
      <c r="IIO109" s="769"/>
      <c r="IIP109" s="769"/>
      <c r="IIQ109" s="769"/>
      <c r="IIR109" s="769"/>
      <c r="IIS109" s="769"/>
      <c r="IIT109" s="769"/>
      <c r="IIU109" s="769"/>
      <c r="IIV109" s="769"/>
      <c r="IIW109" s="769"/>
      <c r="IIX109" s="769"/>
      <c r="IIY109" s="769"/>
      <c r="IIZ109" s="769"/>
      <c r="IJA109" s="769"/>
      <c r="IJB109" s="769"/>
      <c r="IJC109" s="769"/>
      <c r="IJD109" s="769"/>
      <c r="IJE109" s="769"/>
      <c r="IJF109" s="769"/>
      <c r="IJG109" s="769"/>
      <c r="IJH109" s="769"/>
      <c r="IJI109" s="769"/>
      <c r="IJJ109" s="769"/>
      <c r="IJK109" s="769"/>
      <c r="IJL109" s="769"/>
      <c r="IJM109" s="769"/>
      <c r="IJN109" s="769"/>
      <c r="IJO109" s="769"/>
      <c r="IJP109" s="769"/>
      <c r="IJQ109" s="769"/>
      <c r="IJR109" s="769"/>
      <c r="IJS109" s="769"/>
      <c r="IJT109" s="769"/>
      <c r="IJU109" s="769"/>
      <c r="IJV109" s="769"/>
      <c r="IJW109" s="769"/>
      <c r="IJX109" s="769"/>
      <c r="IJY109" s="769"/>
      <c r="IJZ109" s="769"/>
      <c r="IKA109" s="769"/>
      <c r="IKB109" s="769"/>
      <c r="IKC109" s="769"/>
      <c r="IKD109" s="769"/>
      <c r="IKE109" s="769"/>
      <c r="IKF109" s="769"/>
      <c r="IKG109" s="769"/>
      <c r="IKH109" s="769"/>
      <c r="IKI109" s="769"/>
      <c r="IKJ109" s="769"/>
      <c r="IKK109" s="769"/>
      <c r="IKL109" s="769"/>
      <c r="IKM109" s="769"/>
      <c r="IKN109" s="769"/>
      <c r="IKO109" s="769"/>
      <c r="IKP109" s="769"/>
      <c r="IKQ109" s="769"/>
      <c r="IKR109" s="769"/>
      <c r="IKS109" s="769"/>
      <c r="IKT109" s="769"/>
      <c r="IKU109" s="769"/>
      <c r="IKV109" s="769"/>
      <c r="IKW109" s="769"/>
      <c r="IKX109" s="769"/>
      <c r="IKY109" s="769"/>
      <c r="IKZ109" s="769"/>
      <c r="ILA109" s="769"/>
      <c r="ILB109" s="769"/>
      <c r="ILC109" s="769"/>
      <c r="ILD109" s="769"/>
      <c r="ILE109" s="769"/>
      <c r="ILF109" s="769"/>
      <c r="ILG109" s="769"/>
      <c r="ILH109" s="769"/>
      <c r="ILI109" s="769"/>
      <c r="ILJ109" s="769"/>
      <c r="ILK109" s="769"/>
      <c r="ILL109" s="769"/>
      <c r="ILM109" s="769"/>
      <c r="ILN109" s="769"/>
      <c r="ILO109" s="769"/>
      <c r="ILP109" s="769"/>
      <c r="ILQ109" s="769"/>
      <c r="ILR109" s="769"/>
      <c r="ILS109" s="769"/>
      <c r="ILT109" s="769"/>
      <c r="ILU109" s="769"/>
      <c r="ILV109" s="769"/>
      <c r="ILW109" s="769"/>
      <c r="ILX109" s="769"/>
      <c r="ILY109" s="769"/>
      <c r="ILZ109" s="769"/>
      <c r="IMA109" s="769"/>
      <c r="IMB109" s="769"/>
      <c r="IMC109" s="769"/>
      <c r="IMD109" s="769"/>
      <c r="IME109" s="769"/>
      <c r="IMF109" s="769"/>
      <c r="IMG109" s="769"/>
      <c r="IMH109" s="769"/>
      <c r="IMI109" s="769"/>
      <c r="IMJ109" s="769"/>
      <c r="IMK109" s="769"/>
      <c r="IML109" s="769"/>
      <c r="IMM109" s="769"/>
      <c r="IMN109" s="769"/>
      <c r="IMO109" s="769"/>
      <c r="IMP109" s="769"/>
      <c r="IMQ109" s="769"/>
      <c r="IMR109" s="769"/>
      <c r="IMS109" s="769"/>
      <c r="IMT109" s="769"/>
      <c r="IMU109" s="769"/>
      <c r="IMV109" s="769"/>
      <c r="IMW109" s="769"/>
      <c r="IMX109" s="769"/>
      <c r="IMY109" s="769"/>
      <c r="IMZ109" s="769"/>
      <c r="INA109" s="769"/>
      <c r="INB109" s="769"/>
      <c r="INC109" s="769"/>
      <c r="IND109" s="769"/>
      <c r="INE109" s="769"/>
      <c r="INF109" s="769"/>
      <c r="ING109" s="769"/>
      <c r="INH109" s="769"/>
      <c r="INI109" s="769"/>
      <c r="INJ109" s="769"/>
      <c r="INK109" s="769"/>
      <c r="INL109" s="769"/>
      <c r="INM109" s="769"/>
      <c r="INN109" s="769"/>
      <c r="INO109" s="769"/>
      <c r="INP109" s="769"/>
      <c r="INQ109" s="769"/>
      <c r="INR109" s="769"/>
      <c r="INS109" s="769"/>
      <c r="INT109" s="769"/>
      <c r="INU109" s="769"/>
      <c r="INV109" s="769"/>
      <c r="INW109" s="769"/>
      <c r="INX109" s="769"/>
      <c r="INY109" s="769"/>
      <c r="INZ109" s="769"/>
      <c r="IOA109" s="769"/>
      <c r="IOB109" s="769"/>
      <c r="IOC109" s="769"/>
      <c r="IOD109" s="769"/>
      <c r="IOE109" s="769"/>
      <c r="IOF109" s="769"/>
      <c r="IOG109" s="769"/>
      <c r="IOH109" s="769"/>
      <c r="IOI109" s="769"/>
      <c r="IOJ109" s="769"/>
      <c r="IOK109" s="769"/>
      <c r="IOL109" s="769"/>
      <c r="IOM109" s="769"/>
      <c r="ION109" s="769"/>
      <c r="IOO109" s="769"/>
      <c r="IOP109" s="769"/>
      <c r="IOQ109" s="769"/>
      <c r="IOR109" s="769"/>
      <c r="IOS109" s="769"/>
      <c r="IOT109" s="769"/>
      <c r="IOU109" s="769"/>
      <c r="IOV109" s="769"/>
      <c r="IOW109" s="769"/>
      <c r="IOX109" s="769"/>
      <c r="IOY109" s="769"/>
      <c r="IOZ109" s="769"/>
      <c r="IPA109" s="769"/>
      <c r="IPB109" s="769"/>
      <c r="IPC109" s="769"/>
      <c r="IPD109" s="769"/>
      <c r="IPE109" s="769"/>
      <c r="IPF109" s="769"/>
      <c r="IPG109" s="769"/>
      <c r="IPH109" s="769"/>
      <c r="IPI109" s="769"/>
      <c r="IPJ109" s="769"/>
      <c r="IPK109" s="769"/>
      <c r="IPL109" s="769"/>
      <c r="IPM109" s="769"/>
      <c r="IPN109" s="769"/>
      <c r="IPO109" s="769"/>
      <c r="IPP109" s="769"/>
      <c r="IPQ109" s="769"/>
      <c r="IPR109" s="769"/>
      <c r="IPS109" s="769"/>
      <c r="IPT109" s="769"/>
      <c r="IPU109" s="769"/>
      <c r="IPV109" s="769"/>
      <c r="IPW109" s="769"/>
      <c r="IPX109" s="769"/>
      <c r="IPY109" s="769"/>
      <c r="IPZ109" s="769"/>
      <c r="IQA109" s="769"/>
      <c r="IQB109" s="769"/>
      <c r="IQC109" s="769"/>
      <c r="IQD109" s="769"/>
      <c r="IQE109" s="769"/>
      <c r="IQF109" s="769"/>
      <c r="IQG109" s="769"/>
      <c r="IQH109" s="769"/>
      <c r="IQI109" s="769"/>
      <c r="IQJ109" s="769"/>
      <c r="IQK109" s="769"/>
      <c r="IQL109" s="769"/>
      <c r="IQM109" s="769"/>
      <c r="IQN109" s="769"/>
      <c r="IQO109" s="769"/>
      <c r="IQP109" s="769"/>
      <c r="IQQ109" s="769"/>
      <c r="IQR109" s="769"/>
      <c r="IQS109" s="769"/>
      <c r="IQT109" s="769"/>
      <c r="IQU109" s="769"/>
      <c r="IQV109" s="769"/>
      <c r="IQW109" s="769"/>
      <c r="IQX109" s="769"/>
      <c r="IQY109" s="769"/>
      <c r="IQZ109" s="769"/>
      <c r="IRA109" s="769"/>
      <c r="IRB109" s="769"/>
      <c r="IRC109" s="769"/>
      <c r="IRD109" s="769"/>
      <c r="IRE109" s="769"/>
      <c r="IRF109" s="769"/>
      <c r="IRG109" s="769"/>
      <c r="IRH109" s="769"/>
      <c r="IRI109" s="769"/>
      <c r="IRJ109" s="769"/>
      <c r="IRK109" s="769"/>
      <c r="IRL109" s="769"/>
      <c r="IRM109" s="769"/>
      <c r="IRN109" s="769"/>
      <c r="IRO109" s="769"/>
      <c r="IRP109" s="769"/>
      <c r="IRQ109" s="769"/>
      <c r="IRR109" s="769"/>
      <c r="IRS109" s="769"/>
      <c r="IRT109" s="769"/>
      <c r="IRU109" s="769"/>
      <c r="IRV109" s="769"/>
      <c r="IRW109" s="769"/>
      <c r="IRX109" s="769"/>
      <c r="IRY109" s="769"/>
      <c r="IRZ109" s="769"/>
      <c r="ISA109" s="769"/>
      <c r="ISB109" s="769"/>
      <c r="ISC109" s="769"/>
      <c r="ISD109" s="769"/>
      <c r="ISE109" s="769"/>
      <c r="ISF109" s="769"/>
      <c r="ISG109" s="769"/>
      <c r="ISH109" s="769"/>
      <c r="ISI109" s="769"/>
      <c r="ISJ109" s="769"/>
      <c r="ISK109" s="769"/>
      <c r="ISL109" s="769"/>
      <c r="ISM109" s="769"/>
      <c r="ISN109" s="769"/>
      <c r="ISO109" s="769"/>
      <c r="ISP109" s="769"/>
      <c r="ISQ109" s="769"/>
      <c r="ISR109" s="769"/>
      <c r="ISS109" s="769"/>
      <c r="IST109" s="769"/>
      <c r="ISU109" s="769"/>
      <c r="ISV109" s="769"/>
      <c r="ISW109" s="769"/>
      <c r="ISX109" s="769"/>
      <c r="ISY109" s="769"/>
      <c r="ISZ109" s="769"/>
      <c r="ITA109" s="769"/>
      <c r="ITB109" s="769"/>
      <c r="ITC109" s="769"/>
      <c r="ITD109" s="769"/>
      <c r="ITE109" s="769"/>
      <c r="ITF109" s="769"/>
      <c r="ITG109" s="769"/>
      <c r="ITH109" s="769"/>
      <c r="ITI109" s="769"/>
      <c r="ITJ109" s="769"/>
      <c r="ITK109" s="769"/>
      <c r="ITL109" s="769"/>
      <c r="ITM109" s="769"/>
      <c r="ITN109" s="769"/>
      <c r="ITO109" s="769"/>
      <c r="ITP109" s="769"/>
      <c r="ITQ109" s="769"/>
      <c r="ITR109" s="769"/>
      <c r="ITS109" s="769"/>
      <c r="ITT109" s="769"/>
      <c r="ITU109" s="769"/>
      <c r="ITV109" s="769"/>
      <c r="ITW109" s="769"/>
      <c r="ITX109" s="769"/>
      <c r="ITY109" s="769"/>
      <c r="ITZ109" s="769"/>
      <c r="IUA109" s="769"/>
      <c r="IUB109" s="769"/>
      <c r="IUC109" s="769"/>
      <c r="IUD109" s="769"/>
      <c r="IUE109" s="769"/>
      <c r="IUF109" s="769"/>
      <c r="IUG109" s="769"/>
      <c r="IUH109" s="769"/>
      <c r="IUI109" s="769"/>
      <c r="IUJ109" s="769"/>
      <c r="IUK109" s="769"/>
      <c r="IUL109" s="769"/>
      <c r="IUM109" s="769"/>
      <c r="IUN109" s="769"/>
      <c r="IUO109" s="769"/>
      <c r="IUP109" s="769"/>
      <c r="IUQ109" s="769"/>
      <c r="IUR109" s="769"/>
      <c r="IUS109" s="769"/>
      <c r="IUT109" s="769"/>
      <c r="IUU109" s="769"/>
      <c r="IUV109" s="769"/>
      <c r="IUW109" s="769"/>
      <c r="IUX109" s="769"/>
      <c r="IUY109" s="769"/>
      <c r="IUZ109" s="769"/>
      <c r="IVA109" s="769"/>
      <c r="IVB109" s="769"/>
      <c r="IVC109" s="769"/>
      <c r="IVD109" s="769"/>
      <c r="IVE109" s="769"/>
      <c r="IVF109" s="769"/>
      <c r="IVG109" s="769"/>
      <c r="IVH109" s="769"/>
      <c r="IVI109" s="769"/>
      <c r="IVJ109" s="769"/>
      <c r="IVK109" s="769"/>
      <c r="IVL109" s="769"/>
      <c r="IVM109" s="769"/>
      <c r="IVN109" s="769"/>
      <c r="IVO109" s="769"/>
      <c r="IVP109" s="769"/>
      <c r="IVQ109" s="769"/>
      <c r="IVR109" s="769"/>
      <c r="IVS109" s="769"/>
      <c r="IVT109" s="769"/>
      <c r="IVU109" s="769"/>
      <c r="IVV109" s="769"/>
      <c r="IVW109" s="769"/>
      <c r="IVX109" s="769"/>
      <c r="IVY109" s="769"/>
      <c r="IVZ109" s="769"/>
      <c r="IWA109" s="769"/>
      <c r="IWB109" s="769"/>
      <c r="IWC109" s="769"/>
      <c r="IWD109" s="769"/>
      <c r="IWE109" s="769"/>
      <c r="IWF109" s="769"/>
      <c r="IWG109" s="769"/>
      <c r="IWH109" s="769"/>
      <c r="IWI109" s="769"/>
      <c r="IWJ109" s="769"/>
      <c r="IWK109" s="769"/>
      <c r="IWL109" s="769"/>
      <c r="IWM109" s="769"/>
      <c r="IWN109" s="769"/>
      <c r="IWO109" s="769"/>
      <c r="IWP109" s="769"/>
      <c r="IWQ109" s="769"/>
      <c r="IWR109" s="769"/>
      <c r="IWS109" s="769"/>
      <c r="IWT109" s="769"/>
      <c r="IWU109" s="769"/>
      <c r="IWV109" s="769"/>
      <c r="IWW109" s="769"/>
      <c r="IWX109" s="769"/>
      <c r="IWY109" s="769"/>
      <c r="IWZ109" s="769"/>
      <c r="IXA109" s="769"/>
      <c r="IXB109" s="769"/>
      <c r="IXC109" s="769"/>
      <c r="IXD109" s="769"/>
      <c r="IXE109" s="769"/>
      <c r="IXF109" s="769"/>
      <c r="IXG109" s="769"/>
      <c r="IXH109" s="769"/>
      <c r="IXI109" s="769"/>
      <c r="IXJ109" s="769"/>
      <c r="IXK109" s="769"/>
      <c r="IXL109" s="769"/>
      <c r="IXM109" s="769"/>
      <c r="IXN109" s="769"/>
      <c r="IXO109" s="769"/>
      <c r="IXP109" s="769"/>
      <c r="IXQ109" s="769"/>
      <c r="IXR109" s="769"/>
      <c r="IXS109" s="769"/>
      <c r="IXT109" s="769"/>
      <c r="IXU109" s="769"/>
      <c r="IXV109" s="769"/>
      <c r="IXW109" s="769"/>
      <c r="IXX109" s="769"/>
      <c r="IXY109" s="769"/>
      <c r="IXZ109" s="769"/>
      <c r="IYA109" s="769"/>
      <c r="IYB109" s="769"/>
      <c r="IYC109" s="769"/>
      <c r="IYD109" s="769"/>
      <c r="IYE109" s="769"/>
      <c r="IYF109" s="769"/>
      <c r="IYG109" s="769"/>
      <c r="IYH109" s="769"/>
      <c r="IYI109" s="769"/>
      <c r="IYJ109" s="769"/>
      <c r="IYK109" s="769"/>
      <c r="IYL109" s="769"/>
      <c r="IYM109" s="769"/>
      <c r="IYN109" s="769"/>
      <c r="IYO109" s="769"/>
      <c r="IYP109" s="769"/>
      <c r="IYQ109" s="769"/>
      <c r="IYR109" s="769"/>
      <c r="IYS109" s="769"/>
      <c r="IYT109" s="769"/>
      <c r="IYU109" s="769"/>
      <c r="IYV109" s="769"/>
      <c r="IYW109" s="769"/>
      <c r="IYX109" s="769"/>
      <c r="IYY109" s="769"/>
      <c r="IYZ109" s="769"/>
      <c r="IZA109" s="769"/>
      <c r="IZB109" s="769"/>
      <c r="IZC109" s="769"/>
      <c r="IZD109" s="769"/>
      <c r="IZE109" s="769"/>
      <c r="IZF109" s="769"/>
      <c r="IZG109" s="769"/>
      <c r="IZH109" s="769"/>
      <c r="IZI109" s="769"/>
      <c r="IZJ109" s="769"/>
      <c r="IZK109" s="769"/>
      <c r="IZL109" s="769"/>
      <c r="IZM109" s="769"/>
      <c r="IZN109" s="769"/>
      <c r="IZO109" s="769"/>
      <c r="IZP109" s="769"/>
      <c r="IZQ109" s="769"/>
      <c r="IZR109" s="769"/>
      <c r="IZS109" s="769"/>
      <c r="IZT109" s="769"/>
      <c r="IZU109" s="769"/>
      <c r="IZV109" s="769"/>
      <c r="IZW109" s="769"/>
      <c r="IZX109" s="769"/>
      <c r="IZY109" s="769"/>
      <c r="IZZ109" s="769"/>
      <c r="JAA109" s="769"/>
      <c r="JAB109" s="769"/>
      <c r="JAC109" s="769"/>
      <c r="JAD109" s="769"/>
      <c r="JAE109" s="769"/>
      <c r="JAF109" s="769"/>
      <c r="JAG109" s="769"/>
      <c r="JAH109" s="769"/>
      <c r="JAI109" s="769"/>
      <c r="JAJ109" s="769"/>
      <c r="JAK109" s="769"/>
      <c r="JAL109" s="769"/>
      <c r="JAM109" s="769"/>
      <c r="JAN109" s="769"/>
      <c r="JAO109" s="769"/>
      <c r="JAP109" s="769"/>
      <c r="JAQ109" s="769"/>
      <c r="JAR109" s="769"/>
      <c r="JAS109" s="769"/>
      <c r="JAT109" s="769"/>
      <c r="JAU109" s="769"/>
      <c r="JAV109" s="769"/>
      <c r="JAW109" s="769"/>
      <c r="JAX109" s="769"/>
      <c r="JAY109" s="769"/>
      <c r="JAZ109" s="769"/>
      <c r="JBA109" s="769"/>
      <c r="JBB109" s="769"/>
      <c r="JBC109" s="769"/>
      <c r="JBD109" s="769"/>
      <c r="JBE109" s="769"/>
      <c r="JBF109" s="769"/>
      <c r="JBG109" s="769"/>
      <c r="JBH109" s="769"/>
      <c r="JBI109" s="769"/>
      <c r="JBJ109" s="769"/>
      <c r="JBK109" s="769"/>
      <c r="JBL109" s="769"/>
      <c r="JBM109" s="769"/>
      <c r="JBN109" s="769"/>
      <c r="JBO109" s="769"/>
      <c r="JBP109" s="769"/>
      <c r="JBQ109" s="769"/>
      <c r="JBR109" s="769"/>
      <c r="JBS109" s="769"/>
      <c r="JBT109" s="769"/>
      <c r="JBU109" s="769"/>
      <c r="JBV109" s="769"/>
      <c r="JBW109" s="769"/>
      <c r="JBX109" s="769"/>
      <c r="JBY109" s="769"/>
      <c r="JBZ109" s="769"/>
      <c r="JCA109" s="769"/>
      <c r="JCB109" s="769"/>
      <c r="JCC109" s="769"/>
      <c r="JCD109" s="769"/>
      <c r="JCE109" s="769"/>
      <c r="JCF109" s="769"/>
      <c r="JCG109" s="769"/>
      <c r="JCH109" s="769"/>
      <c r="JCI109" s="769"/>
      <c r="JCJ109" s="769"/>
      <c r="JCK109" s="769"/>
      <c r="JCL109" s="769"/>
      <c r="JCM109" s="769"/>
      <c r="JCN109" s="769"/>
      <c r="JCO109" s="769"/>
      <c r="JCP109" s="769"/>
      <c r="JCQ109" s="769"/>
      <c r="JCR109" s="769"/>
      <c r="JCS109" s="769"/>
      <c r="JCT109" s="769"/>
      <c r="JCU109" s="769"/>
      <c r="JCV109" s="769"/>
      <c r="JCW109" s="769"/>
      <c r="JCX109" s="769"/>
      <c r="JCY109" s="769"/>
      <c r="JCZ109" s="769"/>
      <c r="JDA109" s="769"/>
      <c r="JDB109" s="769"/>
      <c r="JDC109" s="769"/>
      <c r="JDD109" s="769"/>
      <c r="JDE109" s="769"/>
      <c r="JDF109" s="769"/>
      <c r="JDG109" s="769"/>
      <c r="JDH109" s="769"/>
      <c r="JDI109" s="769"/>
      <c r="JDJ109" s="769"/>
      <c r="JDK109" s="769"/>
      <c r="JDL109" s="769"/>
      <c r="JDM109" s="769"/>
      <c r="JDN109" s="769"/>
      <c r="JDO109" s="769"/>
      <c r="JDP109" s="769"/>
      <c r="JDQ109" s="769"/>
      <c r="JDR109" s="769"/>
      <c r="JDS109" s="769"/>
      <c r="JDT109" s="769"/>
      <c r="JDU109" s="769"/>
      <c r="JDV109" s="769"/>
      <c r="JDW109" s="769"/>
      <c r="JDX109" s="769"/>
      <c r="JDY109" s="769"/>
      <c r="JDZ109" s="769"/>
      <c r="JEA109" s="769"/>
      <c r="JEB109" s="769"/>
      <c r="JEC109" s="769"/>
      <c r="JED109" s="769"/>
      <c r="JEE109" s="769"/>
      <c r="JEF109" s="769"/>
      <c r="JEG109" s="769"/>
      <c r="JEH109" s="769"/>
      <c r="JEI109" s="769"/>
      <c r="JEJ109" s="769"/>
      <c r="JEK109" s="769"/>
      <c r="JEL109" s="769"/>
      <c r="JEM109" s="769"/>
      <c r="JEN109" s="769"/>
      <c r="JEO109" s="769"/>
      <c r="JEP109" s="769"/>
      <c r="JEQ109" s="769"/>
      <c r="JER109" s="769"/>
      <c r="JES109" s="769"/>
      <c r="JET109" s="769"/>
      <c r="JEU109" s="769"/>
      <c r="JEV109" s="769"/>
      <c r="JEW109" s="769"/>
      <c r="JEX109" s="769"/>
      <c r="JEY109" s="769"/>
      <c r="JEZ109" s="769"/>
      <c r="JFA109" s="769"/>
      <c r="JFB109" s="769"/>
      <c r="JFC109" s="769"/>
      <c r="JFD109" s="769"/>
      <c r="JFE109" s="769"/>
      <c r="JFF109" s="769"/>
      <c r="JFG109" s="769"/>
      <c r="JFH109" s="769"/>
      <c r="JFI109" s="769"/>
      <c r="JFJ109" s="769"/>
      <c r="JFK109" s="769"/>
      <c r="JFL109" s="769"/>
      <c r="JFM109" s="769"/>
      <c r="JFN109" s="769"/>
      <c r="JFO109" s="769"/>
      <c r="JFP109" s="769"/>
      <c r="JFQ109" s="769"/>
      <c r="JFR109" s="769"/>
      <c r="JFS109" s="769"/>
      <c r="JFT109" s="769"/>
      <c r="JFU109" s="769"/>
      <c r="JFV109" s="769"/>
      <c r="JFW109" s="769"/>
      <c r="JFX109" s="769"/>
      <c r="JFY109" s="769"/>
      <c r="JFZ109" s="769"/>
      <c r="JGA109" s="769"/>
      <c r="JGB109" s="769"/>
      <c r="JGC109" s="769"/>
      <c r="JGD109" s="769"/>
      <c r="JGE109" s="769"/>
      <c r="JGF109" s="769"/>
      <c r="JGG109" s="769"/>
      <c r="JGH109" s="769"/>
      <c r="JGI109" s="769"/>
      <c r="JGJ109" s="769"/>
      <c r="JGK109" s="769"/>
      <c r="JGL109" s="769"/>
      <c r="JGM109" s="769"/>
      <c r="JGN109" s="769"/>
      <c r="JGO109" s="769"/>
      <c r="JGP109" s="769"/>
      <c r="JGQ109" s="769"/>
      <c r="JGR109" s="769"/>
      <c r="JGS109" s="769"/>
      <c r="JGT109" s="769"/>
      <c r="JGU109" s="769"/>
      <c r="JGV109" s="769"/>
      <c r="JGW109" s="769"/>
      <c r="JGX109" s="769"/>
      <c r="JGY109" s="769"/>
      <c r="JGZ109" s="769"/>
      <c r="JHA109" s="769"/>
      <c r="JHB109" s="769"/>
      <c r="JHC109" s="769"/>
      <c r="JHD109" s="769"/>
      <c r="JHE109" s="769"/>
      <c r="JHF109" s="769"/>
      <c r="JHG109" s="769"/>
      <c r="JHH109" s="769"/>
      <c r="JHI109" s="769"/>
      <c r="JHJ109" s="769"/>
      <c r="JHK109" s="769"/>
      <c r="JHL109" s="769"/>
      <c r="JHM109" s="769"/>
      <c r="JHN109" s="769"/>
      <c r="JHO109" s="769"/>
      <c r="JHP109" s="769"/>
      <c r="JHQ109" s="769"/>
      <c r="JHR109" s="769"/>
      <c r="JHS109" s="769"/>
      <c r="JHT109" s="769"/>
      <c r="JHU109" s="769"/>
      <c r="JHV109" s="769"/>
      <c r="JHW109" s="769"/>
      <c r="JHX109" s="769"/>
      <c r="JHY109" s="769"/>
      <c r="JHZ109" s="769"/>
      <c r="JIA109" s="769"/>
      <c r="JIB109" s="769"/>
      <c r="JIC109" s="769"/>
      <c r="JID109" s="769"/>
      <c r="JIE109" s="769"/>
      <c r="JIF109" s="769"/>
      <c r="JIG109" s="769"/>
      <c r="JIH109" s="769"/>
      <c r="JII109" s="769"/>
      <c r="JIJ109" s="769"/>
      <c r="JIK109" s="769"/>
      <c r="JIL109" s="769"/>
      <c r="JIM109" s="769"/>
      <c r="JIN109" s="769"/>
      <c r="JIO109" s="769"/>
      <c r="JIP109" s="769"/>
      <c r="JIQ109" s="769"/>
      <c r="JIR109" s="769"/>
      <c r="JIS109" s="769"/>
      <c r="JIT109" s="769"/>
      <c r="JIU109" s="769"/>
      <c r="JIV109" s="769"/>
      <c r="JIW109" s="769"/>
      <c r="JIX109" s="769"/>
      <c r="JIY109" s="769"/>
      <c r="JIZ109" s="769"/>
      <c r="JJA109" s="769"/>
      <c r="JJB109" s="769"/>
      <c r="JJC109" s="769"/>
      <c r="JJD109" s="769"/>
      <c r="JJE109" s="769"/>
      <c r="JJF109" s="769"/>
      <c r="JJG109" s="769"/>
      <c r="JJH109" s="769"/>
      <c r="JJI109" s="769"/>
      <c r="JJJ109" s="769"/>
      <c r="JJK109" s="769"/>
      <c r="JJL109" s="769"/>
      <c r="JJM109" s="769"/>
      <c r="JJN109" s="769"/>
      <c r="JJO109" s="769"/>
      <c r="JJP109" s="769"/>
      <c r="JJQ109" s="769"/>
      <c r="JJR109" s="769"/>
      <c r="JJS109" s="769"/>
      <c r="JJT109" s="769"/>
      <c r="JJU109" s="769"/>
      <c r="JJV109" s="769"/>
      <c r="JJW109" s="769"/>
      <c r="JJX109" s="769"/>
      <c r="JJY109" s="769"/>
      <c r="JJZ109" s="769"/>
      <c r="JKA109" s="769"/>
      <c r="JKB109" s="769"/>
      <c r="JKC109" s="769"/>
      <c r="JKD109" s="769"/>
      <c r="JKE109" s="769"/>
      <c r="JKF109" s="769"/>
      <c r="JKG109" s="769"/>
      <c r="JKH109" s="769"/>
      <c r="JKI109" s="769"/>
      <c r="JKJ109" s="769"/>
      <c r="JKK109" s="769"/>
      <c r="JKL109" s="769"/>
      <c r="JKM109" s="769"/>
      <c r="JKN109" s="769"/>
      <c r="JKO109" s="769"/>
      <c r="JKP109" s="769"/>
      <c r="JKQ109" s="769"/>
      <c r="JKR109" s="769"/>
      <c r="JKS109" s="769"/>
      <c r="JKT109" s="769"/>
      <c r="JKU109" s="769"/>
      <c r="JKV109" s="769"/>
      <c r="JKW109" s="769"/>
      <c r="JKX109" s="769"/>
      <c r="JKY109" s="769"/>
      <c r="JKZ109" s="769"/>
      <c r="JLA109" s="769"/>
      <c r="JLB109" s="769"/>
      <c r="JLC109" s="769"/>
      <c r="JLD109" s="769"/>
      <c r="JLE109" s="769"/>
      <c r="JLF109" s="769"/>
      <c r="JLG109" s="769"/>
      <c r="JLH109" s="769"/>
      <c r="JLI109" s="769"/>
      <c r="JLJ109" s="769"/>
      <c r="JLK109" s="769"/>
      <c r="JLL109" s="769"/>
      <c r="JLM109" s="769"/>
      <c r="JLN109" s="769"/>
      <c r="JLO109" s="769"/>
      <c r="JLP109" s="769"/>
      <c r="JLQ109" s="769"/>
      <c r="JLR109" s="769"/>
      <c r="JLS109" s="769"/>
      <c r="JLT109" s="769"/>
      <c r="JLU109" s="769"/>
      <c r="JLV109" s="769"/>
      <c r="JLW109" s="769"/>
      <c r="JLX109" s="769"/>
      <c r="JLY109" s="769"/>
      <c r="JLZ109" s="769"/>
      <c r="JMA109" s="769"/>
      <c r="JMB109" s="769"/>
      <c r="JMC109" s="769"/>
      <c r="JMD109" s="769"/>
      <c r="JME109" s="769"/>
      <c r="JMF109" s="769"/>
      <c r="JMG109" s="769"/>
      <c r="JMH109" s="769"/>
      <c r="JMI109" s="769"/>
      <c r="JMJ109" s="769"/>
      <c r="JMK109" s="769"/>
      <c r="JML109" s="769"/>
      <c r="JMM109" s="769"/>
      <c r="JMN109" s="769"/>
      <c r="JMO109" s="769"/>
      <c r="JMP109" s="769"/>
      <c r="JMQ109" s="769"/>
      <c r="JMR109" s="769"/>
      <c r="JMS109" s="769"/>
      <c r="JMT109" s="769"/>
      <c r="JMU109" s="769"/>
      <c r="JMV109" s="769"/>
      <c r="JMW109" s="769"/>
      <c r="JMX109" s="769"/>
      <c r="JMY109" s="769"/>
      <c r="JMZ109" s="769"/>
      <c r="JNA109" s="769"/>
      <c r="JNB109" s="769"/>
      <c r="JNC109" s="769"/>
      <c r="JND109" s="769"/>
      <c r="JNE109" s="769"/>
      <c r="JNF109" s="769"/>
      <c r="JNG109" s="769"/>
      <c r="JNH109" s="769"/>
      <c r="JNI109" s="769"/>
      <c r="JNJ109" s="769"/>
      <c r="JNK109" s="769"/>
      <c r="JNL109" s="769"/>
      <c r="JNM109" s="769"/>
      <c r="JNN109" s="769"/>
      <c r="JNO109" s="769"/>
      <c r="JNP109" s="769"/>
      <c r="JNQ109" s="769"/>
      <c r="JNR109" s="769"/>
      <c r="JNS109" s="769"/>
      <c r="JNT109" s="769"/>
      <c r="JNU109" s="769"/>
      <c r="JNV109" s="769"/>
      <c r="JNW109" s="769"/>
      <c r="JNX109" s="769"/>
      <c r="JNY109" s="769"/>
      <c r="JNZ109" s="769"/>
      <c r="JOA109" s="769"/>
      <c r="JOB109" s="769"/>
      <c r="JOC109" s="769"/>
      <c r="JOD109" s="769"/>
      <c r="JOE109" s="769"/>
      <c r="JOF109" s="769"/>
      <c r="JOG109" s="769"/>
      <c r="JOH109" s="769"/>
      <c r="JOI109" s="769"/>
      <c r="JOJ109" s="769"/>
      <c r="JOK109" s="769"/>
      <c r="JOL109" s="769"/>
      <c r="JOM109" s="769"/>
      <c r="JON109" s="769"/>
      <c r="JOO109" s="769"/>
      <c r="JOP109" s="769"/>
      <c r="JOQ109" s="769"/>
      <c r="JOR109" s="769"/>
      <c r="JOS109" s="769"/>
      <c r="JOT109" s="769"/>
      <c r="JOU109" s="769"/>
      <c r="JOV109" s="769"/>
      <c r="JOW109" s="769"/>
      <c r="JOX109" s="769"/>
      <c r="JOY109" s="769"/>
      <c r="JOZ109" s="769"/>
      <c r="JPA109" s="769"/>
      <c r="JPB109" s="769"/>
      <c r="JPC109" s="769"/>
      <c r="JPD109" s="769"/>
      <c r="JPE109" s="769"/>
      <c r="JPF109" s="769"/>
      <c r="JPG109" s="769"/>
      <c r="JPH109" s="769"/>
      <c r="JPI109" s="769"/>
      <c r="JPJ109" s="769"/>
      <c r="JPK109" s="769"/>
      <c r="JPL109" s="769"/>
      <c r="JPM109" s="769"/>
      <c r="JPN109" s="769"/>
      <c r="JPO109" s="769"/>
      <c r="JPP109" s="769"/>
      <c r="JPQ109" s="769"/>
      <c r="JPR109" s="769"/>
      <c r="JPS109" s="769"/>
      <c r="JPT109" s="769"/>
      <c r="JPU109" s="769"/>
      <c r="JPV109" s="769"/>
      <c r="JPW109" s="769"/>
      <c r="JPX109" s="769"/>
      <c r="JPY109" s="769"/>
      <c r="JPZ109" s="769"/>
      <c r="JQA109" s="769"/>
      <c r="JQB109" s="769"/>
      <c r="JQC109" s="769"/>
      <c r="JQD109" s="769"/>
      <c r="JQE109" s="769"/>
      <c r="JQF109" s="769"/>
      <c r="JQG109" s="769"/>
      <c r="JQH109" s="769"/>
      <c r="JQI109" s="769"/>
      <c r="JQJ109" s="769"/>
      <c r="JQK109" s="769"/>
      <c r="JQL109" s="769"/>
      <c r="JQM109" s="769"/>
      <c r="JQN109" s="769"/>
      <c r="JQO109" s="769"/>
      <c r="JQP109" s="769"/>
      <c r="JQQ109" s="769"/>
      <c r="JQR109" s="769"/>
      <c r="JQS109" s="769"/>
      <c r="JQT109" s="769"/>
      <c r="JQU109" s="769"/>
      <c r="JQV109" s="769"/>
      <c r="JQW109" s="769"/>
      <c r="JQX109" s="769"/>
      <c r="JQY109" s="769"/>
      <c r="JQZ109" s="769"/>
      <c r="JRA109" s="769"/>
      <c r="JRB109" s="769"/>
      <c r="JRC109" s="769"/>
      <c r="JRD109" s="769"/>
      <c r="JRE109" s="769"/>
      <c r="JRF109" s="769"/>
      <c r="JRG109" s="769"/>
      <c r="JRH109" s="769"/>
      <c r="JRI109" s="769"/>
      <c r="JRJ109" s="769"/>
      <c r="JRK109" s="769"/>
      <c r="JRL109" s="769"/>
      <c r="JRM109" s="769"/>
      <c r="JRN109" s="769"/>
      <c r="JRO109" s="769"/>
      <c r="JRP109" s="769"/>
      <c r="JRQ109" s="769"/>
      <c r="JRR109" s="769"/>
      <c r="JRS109" s="769"/>
      <c r="JRT109" s="769"/>
      <c r="JRU109" s="769"/>
      <c r="JRV109" s="769"/>
      <c r="JRW109" s="769"/>
      <c r="JRX109" s="769"/>
      <c r="JRY109" s="769"/>
      <c r="JRZ109" s="769"/>
      <c r="JSA109" s="769"/>
      <c r="JSB109" s="769"/>
      <c r="JSC109" s="769"/>
      <c r="JSD109" s="769"/>
      <c r="JSE109" s="769"/>
      <c r="JSF109" s="769"/>
      <c r="JSG109" s="769"/>
      <c r="JSH109" s="769"/>
      <c r="JSI109" s="769"/>
      <c r="JSJ109" s="769"/>
      <c r="JSK109" s="769"/>
      <c r="JSL109" s="769"/>
      <c r="JSM109" s="769"/>
      <c r="JSN109" s="769"/>
      <c r="JSO109" s="769"/>
      <c r="JSP109" s="769"/>
      <c r="JSQ109" s="769"/>
      <c r="JSR109" s="769"/>
      <c r="JSS109" s="769"/>
      <c r="JST109" s="769"/>
      <c r="JSU109" s="769"/>
      <c r="JSV109" s="769"/>
      <c r="JSW109" s="769"/>
      <c r="JSX109" s="769"/>
      <c r="JSY109" s="769"/>
      <c r="JSZ109" s="769"/>
      <c r="JTA109" s="769"/>
      <c r="JTB109" s="769"/>
      <c r="JTC109" s="769"/>
      <c r="JTD109" s="769"/>
      <c r="JTE109" s="769"/>
      <c r="JTF109" s="769"/>
      <c r="JTG109" s="769"/>
      <c r="JTH109" s="769"/>
      <c r="JTI109" s="769"/>
      <c r="JTJ109" s="769"/>
      <c r="JTK109" s="769"/>
      <c r="JTL109" s="769"/>
      <c r="JTM109" s="769"/>
      <c r="JTN109" s="769"/>
      <c r="JTO109" s="769"/>
      <c r="JTP109" s="769"/>
      <c r="JTQ109" s="769"/>
      <c r="JTR109" s="769"/>
      <c r="JTS109" s="769"/>
      <c r="JTT109" s="769"/>
      <c r="JTU109" s="769"/>
      <c r="JTV109" s="769"/>
      <c r="JTW109" s="769"/>
      <c r="JTX109" s="769"/>
      <c r="JTY109" s="769"/>
      <c r="JTZ109" s="769"/>
      <c r="JUA109" s="769"/>
      <c r="JUB109" s="769"/>
      <c r="JUC109" s="769"/>
      <c r="JUD109" s="769"/>
      <c r="JUE109" s="769"/>
      <c r="JUF109" s="769"/>
      <c r="JUG109" s="769"/>
      <c r="JUH109" s="769"/>
      <c r="JUI109" s="769"/>
      <c r="JUJ109" s="769"/>
      <c r="JUK109" s="769"/>
      <c r="JUL109" s="769"/>
      <c r="JUM109" s="769"/>
      <c r="JUN109" s="769"/>
      <c r="JUO109" s="769"/>
      <c r="JUP109" s="769"/>
      <c r="JUQ109" s="769"/>
      <c r="JUR109" s="769"/>
      <c r="JUS109" s="769"/>
      <c r="JUT109" s="769"/>
      <c r="JUU109" s="769"/>
      <c r="JUV109" s="769"/>
      <c r="JUW109" s="769"/>
      <c r="JUX109" s="769"/>
      <c r="JUY109" s="769"/>
      <c r="JUZ109" s="769"/>
      <c r="JVA109" s="769"/>
      <c r="JVB109" s="769"/>
      <c r="JVC109" s="769"/>
      <c r="JVD109" s="769"/>
      <c r="JVE109" s="769"/>
      <c r="JVF109" s="769"/>
      <c r="JVG109" s="769"/>
      <c r="JVH109" s="769"/>
      <c r="JVI109" s="769"/>
      <c r="JVJ109" s="769"/>
      <c r="JVK109" s="769"/>
      <c r="JVL109" s="769"/>
      <c r="JVM109" s="769"/>
      <c r="JVN109" s="769"/>
      <c r="JVO109" s="769"/>
      <c r="JVP109" s="769"/>
      <c r="JVQ109" s="769"/>
      <c r="JVR109" s="769"/>
      <c r="JVS109" s="769"/>
      <c r="JVT109" s="769"/>
      <c r="JVU109" s="769"/>
      <c r="JVV109" s="769"/>
      <c r="JVW109" s="769"/>
      <c r="JVX109" s="769"/>
      <c r="JVY109" s="769"/>
      <c r="JVZ109" s="769"/>
      <c r="JWA109" s="769"/>
      <c r="JWB109" s="769"/>
      <c r="JWC109" s="769"/>
      <c r="JWD109" s="769"/>
      <c r="JWE109" s="769"/>
      <c r="JWF109" s="769"/>
      <c r="JWG109" s="769"/>
      <c r="JWH109" s="769"/>
      <c r="JWI109" s="769"/>
      <c r="JWJ109" s="769"/>
      <c r="JWK109" s="769"/>
      <c r="JWL109" s="769"/>
      <c r="JWM109" s="769"/>
      <c r="JWN109" s="769"/>
      <c r="JWO109" s="769"/>
      <c r="JWP109" s="769"/>
      <c r="JWQ109" s="769"/>
      <c r="JWR109" s="769"/>
      <c r="JWS109" s="769"/>
      <c r="JWT109" s="769"/>
      <c r="JWU109" s="769"/>
      <c r="JWV109" s="769"/>
      <c r="JWW109" s="769"/>
      <c r="JWX109" s="769"/>
      <c r="JWY109" s="769"/>
      <c r="JWZ109" s="769"/>
      <c r="JXA109" s="769"/>
      <c r="JXB109" s="769"/>
      <c r="JXC109" s="769"/>
      <c r="JXD109" s="769"/>
      <c r="JXE109" s="769"/>
      <c r="JXF109" s="769"/>
      <c r="JXG109" s="769"/>
      <c r="JXH109" s="769"/>
      <c r="JXI109" s="769"/>
      <c r="JXJ109" s="769"/>
      <c r="JXK109" s="769"/>
      <c r="JXL109" s="769"/>
      <c r="JXM109" s="769"/>
      <c r="JXN109" s="769"/>
      <c r="JXO109" s="769"/>
      <c r="JXP109" s="769"/>
      <c r="JXQ109" s="769"/>
      <c r="JXR109" s="769"/>
      <c r="JXS109" s="769"/>
      <c r="JXT109" s="769"/>
      <c r="JXU109" s="769"/>
      <c r="JXV109" s="769"/>
      <c r="JXW109" s="769"/>
      <c r="JXX109" s="769"/>
      <c r="JXY109" s="769"/>
      <c r="JXZ109" s="769"/>
      <c r="JYA109" s="769"/>
      <c r="JYB109" s="769"/>
      <c r="JYC109" s="769"/>
      <c r="JYD109" s="769"/>
      <c r="JYE109" s="769"/>
      <c r="JYF109" s="769"/>
      <c r="JYG109" s="769"/>
      <c r="JYH109" s="769"/>
      <c r="JYI109" s="769"/>
      <c r="JYJ109" s="769"/>
      <c r="JYK109" s="769"/>
      <c r="JYL109" s="769"/>
      <c r="JYM109" s="769"/>
      <c r="JYN109" s="769"/>
      <c r="JYO109" s="769"/>
      <c r="JYP109" s="769"/>
      <c r="JYQ109" s="769"/>
      <c r="JYR109" s="769"/>
      <c r="JYS109" s="769"/>
      <c r="JYT109" s="769"/>
      <c r="JYU109" s="769"/>
      <c r="JYV109" s="769"/>
      <c r="JYW109" s="769"/>
      <c r="JYX109" s="769"/>
      <c r="JYY109" s="769"/>
      <c r="JYZ109" s="769"/>
      <c r="JZA109" s="769"/>
      <c r="JZB109" s="769"/>
      <c r="JZC109" s="769"/>
      <c r="JZD109" s="769"/>
      <c r="JZE109" s="769"/>
      <c r="JZF109" s="769"/>
      <c r="JZG109" s="769"/>
      <c r="JZH109" s="769"/>
      <c r="JZI109" s="769"/>
      <c r="JZJ109" s="769"/>
      <c r="JZK109" s="769"/>
      <c r="JZL109" s="769"/>
      <c r="JZM109" s="769"/>
      <c r="JZN109" s="769"/>
      <c r="JZO109" s="769"/>
      <c r="JZP109" s="769"/>
      <c r="JZQ109" s="769"/>
      <c r="JZR109" s="769"/>
      <c r="JZS109" s="769"/>
      <c r="JZT109" s="769"/>
      <c r="JZU109" s="769"/>
      <c r="JZV109" s="769"/>
      <c r="JZW109" s="769"/>
      <c r="JZX109" s="769"/>
      <c r="JZY109" s="769"/>
      <c r="JZZ109" s="769"/>
      <c r="KAA109" s="769"/>
      <c r="KAB109" s="769"/>
      <c r="KAC109" s="769"/>
      <c r="KAD109" s="769"/>
      <c r="KAE109" s="769"/>
      <c r="KAF109" s="769"/>
      <c r="KAG109" s="769"/>
      <c r="KAH109" s="769"/>
      <c r="KAI109" s="769"/>
      <c r="KAJ109" s="769"/>
      <c r="KAK109" s="769"/>
      <c r="KAL109" s="769"/>
      <c r="KAM109" s="769"/>
      <c r="KAN109" s="769"/>
      <c r="KAO109" s="769"/>
      <c r="KAP109" s="769"/>
      <c r="KAQ109" s="769"/>
      <c r="KAR109" s="769"/>
      <c r="KAS109" s="769"/>
      <c r="KAT109" s="769"/>
      <c r="KAU109" s="769"/>
      <c r="KAV109" s="769"/>
      <c r="KAW109" s="769"/>
      <c r="KAX109" s="769"/>
      <c r="KAY109" s="769"/>
      <c r="KAZ109" s="769"/>
      <c r="KBA109" s="769"/>
      <c r="KBB109" s="769"/>
      <c r="KBC109" s="769"/>
      <c r="KBD109" s="769"/>
      <c r="KBE109" s="769"/>
      <c r="KBF109" s="769"/>
      <c r="KBG109" s="769"/>
      <c r="KBH109" s="769"/>
      <c r="KBI109" s="769"/>
      <c r="KBJ109" s="769"/>
      <c r="KBK109" s="769"/>
      <c r="KBL109" s="769"/>
      <c r="KBM109" s="769"/>
      <c r="KBN109" s="769"/>
      <c r="KBO109" s="769"/>
      <c r="KBP109" s="769"/>
      <c r="KBQ109" s="769"/>
      <c r="KBR109" s="769"/>
      <c r="KBS109" s="769"/>
      <c r="KBT109" s="769"/>
      <c r="KBU109" s="769"/>
      <c r="KBV109" s="769"/>
      <c r="KBW109" s="769"/>
      <c r="KBX109" s="769"/>
      <c r="KBY109" s="769"/>
      <c r="KBZ109" s="769"/>
      <c r="KCA109" s="769"/>
      <c r="KCB109" s="769"/>
      <c r="KCC109" s="769"/>
      <c r="KCD109" s="769"/>
      <c r="KCE109" s="769"/>
      <c r="KCF109" s="769"/>
      <c r="KCG109" s="769"/>
      <c r="KCH109" s="769"/>
      <c r="KCI109" s="769"/>
      <c r="KCJ109" s="769"/>
      <c r="KCK109" s="769"/>
      <c r="KCL109" s="769"/>
      <c r="KCM109" s="769"/>
      <c r="KCN109" s="769"/>
      <c r="KCO109" s="769"/>
      <c r="KCP109" s="769"/>
      <c r="KCQ109" s="769"/>
      <c r="KCR109" s="769"/>
      <c r="KCS109" s="769"/>
      <c r="KCT109" s="769"/>
      <c r="KCU109" s="769"/>
      <c r="KCV109" s="769"/>
      <c r="KCW109" s="769"/>
      <c r="KCX109" s="769"/>
      <c r="KCY109" s="769"/>
      <c r="KCZ109" s="769"/>
      <c r="KDA109" s="769"/>
      <c r="KDB109" s="769"/>
      <c r="KDC109" s="769"/>
      <c r="KDD109" s="769"/>
      <c r="KDE109" s="769"/>
      <c r="KDF109" s="769"/>
      <c r="KDG109" s="769"/>
      <c r="KDH109" s="769"/>
      <c r="KDI109" s="769"/>
      <c r="KDJ109" s="769"/>
      <c r="KDK109" s="769"/>
      <c r="KDL109" s="769"/>
      <c r="KDM109" s="769"/>
      <c r="KDN109" s="769"/>
      <c r="KDO109" s="769"/>
      <c r="KDP109" s="769"/>
      <c r="KDQ109" s="769"/>
      <c r="KDR109" s="769"/>
      <c r="KDS109" s="769"/>
      <c r="KDT109" s="769"/>
      <c r="KDU109" s="769"/>
      <c r="KDV109" s="769"/>
      <c r="KDW109" s="769"/>
      <c r="KDX109" s="769"/>
      <c r="KDY109" s="769"/>
      <c r="KDZ109" s="769"/>
      <c r="KEA109" s="769"/>
      <c r="KEB109" s="769"/>
      <c r="KEC109" s="769"/>
      <c r="KED109" s="769"/>
      <c r="KEE109" s="769"/>
      <c r="KEF109" s="769"/>
      <c r="KEG109" s="769"/>
      <c r="KEH109" s="769"/>
      <c r="KEI109" s="769"/>
      <c r="KEJ109" s="769"/>
      <c r="KEK109" s="769"/>
      <c r="KEL109" s="769"/>
      <c r="KEM109" s="769"/>
      <c r="KEN109" s="769"/>
      <c r="KEO109" s="769"/>
      <c r="KEP109" s="769"/>
      <c r="KEQ109" s="769"/>
      <c r="KER109" s="769"/>
      <c r="KES109" s="769"/>
      <c r="KET109" s="769"/>
      <c r="KEU109" s="769"/>
      <c r="KEV109" s="769"/>
      <c r="KEW109" s="769"/>
      <c r="KEX109" s="769"/>
      <c r="KEY109" s="769"/>
      <c r="KEZ109" s="769"/>
      <c r="KFA109" s="769"/>
      <c r="KFB109" s="769"/>
      <c r="KFC109" s="769"/>
      <c r="KFD109" s="769"/>
      <c r="KFE109" s="769"/>
      <c r="KFF109" s="769"/>
      <c r="KFG109" s="769"/>
      <c r="KFH109" s="769"/>
      <c r="KFI109" s="769"/>
      <c r="KFJ109" s="769"/>
      <c r="KFK109" s="769"/>
      <c r="KFL109" s="769"/>
      <c r="KFM109" s="769"/>
      <c r="KFN109" s="769"/>
      <c r="KFO109" s="769"/>
      <c r="KFP109" s="769"/>
      <c r="KFQ109" s="769"/>
      <c r="KFR109" s="769"/>
      <c r="KFS109" s="769"/>
      <c r="KFT109" s="769"/>
      <c r="KFU109" s="769"/>
      <c r="KFV109" s="769"/>
      <c r="KFW109" s="769"/>
      <c r="KFX109" s="769"/>
      <c r="KFY109" s="769"/>
      <c r="KFZ109" s="769"/>
      <c r="KGA109" s="769"/>
      <c r="KGB109" s="769"/>
      <c r="KGC109" s="769"/>
      <c r="KGD109" s="769"/>
      <c r="KGE109" s="769"/>
      <c r="KGF109" s="769"/>
      <c r="KGG109" s="769"/>
      <c r="KGH109" s="769"/>
      <c r="KGI109" s="769"/>
      <c r="KGJ109" s="769"/>
      <c r="KGK109" s="769"/>
      <c r="KGL109" s="769"/>
      <c r="KGM109" s="769"/>
      <c r="KGN109" s="769"/>
      <c r="KGO109" s="769"/>
      <c r="KGP109" s="769"/>
      <c r="KGQ109" s="769"/>
      <c r="KGR109" s="769"/>
      <c r="KGS109" s="769"/>
      <c r="KGT109" s="769"/>
      <c r="KGU109" s="769"/>
      <c r="KGV109" s="769"/>
      <c r="KGW109" s="769"/>
      <c r="KGX109" s="769"/>
      <c r="KGY109" s="769"/>
      <c r="KGZ109" s="769"/>
      <c r="KHA109" s="769"/>
      <c r="KHB109" s="769"/>
      <c r="KHC109" s="769"/>
      <c r="KHD109" s="769"/>
      <c r="KHE109" s="769"/>
      <c r="KHF109" s="769"/>
      <c r="KHG109" s="769"/>
      <c r="KHH109" s="769"/>
      <c r="KHI109" s="769"/>
      <c r="KHJ109" s="769"/>
      <c r="KHK109" s="769"/>
      <c r="KHL109" s="769"/>
      <c r="KHM109" s="769"/>
      <c r="KHN109" s="769"/>
      <c r="KHO109" s="769"/>
      <c r="KHP109" s="769"/>
      <c r="KHQ109" s="769"/>
      <c r="KHR109" s="769"/>
      <c r="KHS109" s="769"/>
      <c r="KHT109" s="769"/>
      <c r="KHU109" s="769"/>
      <c r="KHV109" s="769"/>
      <c r="KHW109" s="769"/>
      <c r="KHX109" s="769"/>
      <c r="KHY109" s="769"/>
      <c r="KHZ109" s="769"/>
      <c r="KIA109" s="769"/>
      <c r="KIB109" s="769"/>
      <c r="KIC109" s="769"/>
      <c r="KID109" s="769"/>
      <c r="KIE109" s="769"/>
      <c r="KIF109" s="769"/>
      <c r="KIG109" s="769"/>
      <c r="KIH109" s="769"/>
      <c r="KII109" s="769"/>
      <c r="KIJ109" s="769"/>
      <c r="KIK109" s="769"/>
      <c r="KIL109" s="769"/>
      <c r="KIM109" s="769"/>
      <c r="KIN109" s="769"/>
      <c r="KIO109" s="769"/>
      <c r="KIP109" s="769"/>
      <c r="KIQ109" s="769"/>
      <c r="KIR109" s="769"/>
      <c r="KIS109" s="769"/>
      <c r="KIT109" s="769"/>
      <c r="KIU109" s="769"/>
      <c r="KIV109" s="769"/>
      <c r="KIW109" s="769"/>
      <c r="KIX109" s="769"/>
      <c r="KIY109" s="769"/>
      <c r="KIZ109" s="769"/>
      <c r="KJA109" s="769"/>
      <c r="KJB109" s="769"/>
      <c r="KJC109" s="769"/>
      <c r="KJD109" s="769"/>
      <c r="KJE109" s="769"/>
      <c r="KJF109" s="769"/>
      <c r="KJG109" s="769"/>
      <c r="KJH109" s="769"/>
      <c r="KJI109" s="769"/>
      <c r="KJJ109" s="769"/>
      <c r="KJK109" s="769"/>
      <c r="KJL109" s="769"/>
      <c r="KJM109" s="769"/>
      <c r="KJN109" s="769"/>
      <c r="KJO109" s="769"/>
      <c r="KJP109" s="769"/>
      <c r="KJQ109" s="769"/>
      <c r="KJR109" s="769"/>
      <c r="KJS109" s="769"/>
      <c r="KJT109" s="769"/>
      <c r="KJU109" s="769"/>
      <c r="KJV109" s="769"/>
      <c r="KJW109" s="769"/>
      <c r="KJX109" s="769"/>
      <c r="KJY109" s="769"/>
      <c r="KJZ109" s="769"/>
      <c r="KKA109" s="769"/>
      <c r="KKB109" s="769"/>
      <c r="KKC109" s="769"/>
      <c r="KKD109" s="769"/>
      <c r="KKE109" s="769"/>
      <c r="KKF109" s="769"/>
      <c r="KKG109" s="769"/>
      <c r="KKH109" s="769"/>
      <c r="KKI109" s="769"/>
      <c r="KKJ109" s="769"/>
      <c r="KKK109" s="769"/>
      <c r="KKL109" s="769"/>
      <c r="KKM109" s="769"/>
      <c r="KKN109" s="769"/>
      <c r="KKO109" s="769"/>
      <c r="KKP109" s="769"/>
      <c r="KKQ109" s="769"/>
      <c r="KKR109" s="769"/>
      <c r="KKS109" s="769"/>
      <c r="KKT109" s="769"/>
      <c r="KKU109" s="769"/>
      <c r="KKV109" s="769"/>
      <c r="KKW109" s="769"/>
      <c r="KKX109" s="769"/>
      <c r="KKY109" s="769"/>
      <c r="KKZ109" s="769"/>
      <c r="KLA109" s="769"/>
      <c r="KLB109" s="769"/>
      <c r="KLC109" s="769"/>
      <c r="KLD109" s="769"/>
      <c r="KLE109" s="769"/>
      <c r="KLF109" s="769"/>
      <c r="KLG109" s="769"/>
      <c r="KLH109" s="769"/>
      <c r="KLI109" s="769"/>
      <c r="KLJ109" s="769"/>
      <c r="KLK109" s="769"/>
      <c r="KLL109" s="769"/>
      <c r="KLM109" s="769"/>
      <c r="KLN109" s="769"/>
      <c r="KLO109" s="769"/>
      <c r="KLP109" s="769"/>
      <c r="KLQ109" s="769"/>
      <c r="KLR109" s="769"/>
      <c r="KLS109" s="769"/>
      <c r="KLT109" s="769"/>
      <c r="KLU109" s="769"/>
      <c r="KLV109" s="769"/>
      <c r="KLW109" s="769"/>
      <c r="KLX109" s="769"/>
      <c r="KLY109" s="769"/>
      <c r="KLZ109" s="769"/>
      <c r="KMA109" s="769"/>
      <c r="KMB109" s="769"/>
      <c r="KMC109" s="769"/>
      <c r="KMD109" s="769"/>
      <c r="KME109" s="769"/>
      <c r="KMF109" s="769"/>
      <c r="KMG109" s="769"/>
      <c r="KMH109" s="769"/>
      <c r="KMI109" s="769"/>
      <c r="KMJ109" s="769"/>
      <c r="KMK109" s="769"/>
      <c r="KML109" s="769"/>
      <c r="KMM109" s="769"/>
      <c r="KMN109" s="769"/>
      <c r="KMO109" s="769"/>
      <c r="KMP109" s="769"/>
      <c r="KMQ109" s="769"/>
      <c r="KMR109" s="769"/>
      <c r="KMS109" s="769"/>
      <c r="KMT109" s="769"/>
      <c r="KMU109" s="769"/>
      <c r="KMV109" s="769"/>
      <c r="KMW109" s="769"/>
      <c r="KMX109" s="769"/>
      <c r="KMY109" s="769"/>
      <c r="KMZ109" s="769"/>
      <c r="KNA109" s="769"/>
      <c r="KNB109" s="769"/>
      <c r="KNC109" s="769"/>
      <c r="KND109" s="769"/>
      <c r="KNE109" s="769"/>
      <c r="KNF109" s="769"/>
      <c r="KNG109" s="769"/>
      <c r="KNH109" s="769"/>
      <c r="KNI109" s="769"/>
      <c r="KNJ109" s="769"/>
      <c r="KNK109" s="769"/>
      <c r="KNL109" s="769"/>
      <c r="KNM109" s="769"/>
      <c r="KNN109" s="769"/>
      <c r="KNO109" s="769"/>
      <c r="KNP109" s="769"/>
      <c r="KNQ109" s="769"/>
      <c r="KNR109" s="769"/>
      <c r="KNS109" s="769"/>
      <c r="KNT109" s="769"/>
      <c r="KNU109" s="769"/>
      <c r="KNV109" s="769"/>
      <c r="KNW109" s="769"/>
      <c r="KNX109" s="769"/>
      <c r="KNY109" s="769"/>
      <c r="KNZ109" s="769"/>
      <c r="KOA109" s="769"/>
      <c r="KOB109" s="769"/>
      <c r="KOC109" s="769"/>
      <c r="KOD109" s="769"/>
      <c r="KOE109" s="769"/>
      <c r="KOF109" s="769"/>
      <c r="KOG109" s="769"/>
      <c r="KOH109" s="769"/>
      <c r="KOI109" s="769"/>
      <c r="KOJ109" s="769"/>
      <c r="KOK109" s="769"/>
      <c r="KOL109" s="769"/>
      <c r="KOM109" s="769"/>
      <c r="KON109" s="769"/>
      <c r="KOO109" s="769"/>
      <c r="KOP109" s="769"/>
      <c r="KOQ109" s="769"/>
      <c r="KOR109" s="769"/>
      <c r="KOS109" s="769"/>
      <c r="KOT109" s="769"/>
      <c r="KOU109" s="769"/>
      <c r="KOV109" s="769"/>
      <c r="KOW109" s="769"/>
      <c r="KOX109" s="769"/>
      <c r="KOY109" s="769"/>
      <c r="KOZ109" s="769"/>
      <c r="KPA109" s="769"/>
      <c r="KPB109" s="769"/>
      <c r="KPC109" s="769"/>
      <c r="KPD109" s="769"/>
      <c r="KPE109" s="769"/>
      <c r="KPF109" s="769"/>
      <c r="KPG109" s="769"/>
      <c r="KPH109" s="769"/>
      <c r="KPI109" s="769"/>
      <c r="KPJ109" s="769"/>
      <c r="KPK109" s="769"/>
      <c r="KPL109" s="769"/>
      <c r="KPM109" s="769"/>
      <c r="KPN109" s="769"/>
      <c r="KPO109" s="769"/>
      <c r="KPP109" s="769"/>
      <c r="KPQ109" s="769"/>
      <c r="KPR109" s="769"/>
      <c r="KPS109" s="769"/>
      <c r="KPT109" s="769"/>
      <c r="KPU109" s="769"/>
      <c r="KPV109" s="769"/>
      <c r="KPW109" s="769"/>
      <c r="KPX109" s="769"/>
      <c r="KPY109" s="769"/>
      <c r="KPZ109" s="769"/>
      <c r="KQA109" s="769"/>
      <c r="KQB109" s="769"/>
      <c r="KQC109" s="769"/>
      <c r="KQD109" s="769"/>
      <c r="KQE109" s="769"/>
      <c r="KQF109" s="769"/>
      <c r="KQG109" s="769"/>
      <c r="KQH109" s="769"/>
      <c r="KQI109" s="769"/>
      <c r="KQJ109" s="769"/>
      <c r="KQK109" s="769"/>
      <c r="KQL109" s="769"/>
      <c r="KQM109" s="769"/>
      <c r="KQN109" s="769"/>
      <c r="KQO109" s="769"/>
      <c r="KQP109" s="769"/>
      <c r="KQQ109" s="769"/>
      <c r="KQR109" s="769"/>
      <c r="KQS109" s="769"/>
      <c r="KQT109" s="769"/>
      <c r="KQU109" s="769"/>
      <c r="KQV109" s="769"/>
      <c r="KQW109" s="769"/>
      <c r="KQX109" s="769"/>
      <c r="KQY109" s="769"/>
      <c r="KQZ109" s="769"/>
      <c r="KRA109" s="769"/>
      <c r="KRB109" s="769"/>
      <c r="KRC109" s="769"/>
      <c r="KRD109" s="769"/>
      <c r="KRE109" s="769"/>
      <c r="KRF109" s="769"/>
      <c r="KRG109" s="769"/>
      <c r="KRH109" s="769"/>
      <c r="KRI109" s="769"/>
      <c r="KRJ109" s="769"/>
      <c r="KRK109" s="769"/>
      <c r="KRL109" s="769"/>
      <c r="KRM109" s="769"/>
      <c r="KRN109" s="769"/>
      <c r="KRO109" s="769"/>
      <c r="KRP109" s="769"/>
      <c r="KRQ109" s="769"/>
      <c r="KRR109" s="769"/>
      <c r="KRS109" s="769"/>
      <c r="KRT109" s="769"/>
      <c r="KRU109" s="769"/>
      <c r="KRV109" s="769"/>
      <c r="KRW109" s="769"/>
      <c r="KRX109" s="769"/>
      <c r="KRY109" s="769"/>
      <c r="KRZ109" s="769"/>
      <c r="KSA109" s="769"/>
      <c r="KSB109" s="769"/>
      <c r="KSC109" s="769"/>
      <c r="KSD109" s="769"/>
      <c r="KSE109" s="769"/>
      <c r="KSF109" s="769"/>
      <c r="KSG109" s="769"/>
      <c r="KSH109" s="769"/>
      <c r="KSI109" s="769"/>
      <c r="KSJ109" s="769"/>
      <c r="KSK109" s="769"/>
      <c r="KSL109" s="769"/>
      <c r="KSM109" s="769"/>
      <c r="KSN109" s="769"/>
      <c r="KSO109" s="769"/>
      <c r="KSP109" s="769"/>
      <c r="KSQ109" s="769"/>
      <c r="KSR109" s="769"/>
      <c r="KSS109" s="769"/>
      <c r="KST109" s="769"/>
      <c r="KSU109" s="769"/>
      <c r="KSV109" s="769"/>
      <c r="KSW109" s="769"/>
      <c r="KSX109" s="769"/>
      <c r="KSY109" s="769"/>
      <c r="KSZ109" s="769"/>
      <c r="KTA109" s="769"/>
      <c r="KTB109" s="769"/>
      <c r="KTC109" s="769"/>
      <c r="KTD109" s="769"/>
      <c r="KTE109" s="769"/>
      <c r="KTF109" s="769"/>
      <c r="KTG109" s="769"/>
      <c r="KTH109" s="769"/>
      <c r="KTI109" s="769"/>
      <c r="KTJ109" s="769"/>
      <c r="KTK109" s="769"/>
      <c r="KTL109" s="769"/>
      <c r="KTM109" s="769"/>
      <c r="KTN109" s="769"/>
      <c r="KTO109" s="769"/>
      <c r="KTP109" s="769"/>
      <c r="KTQ109" s="769"/>
      <c r="KTR109" s="769"/>
      <c r="KTS109" s="769"/>
      <c r="KTT109" s="769"/>
      <c r="KTU109" s="769"/>
      <c r="KTV109" s="769"/>
      <c r="KTW109" s="769"/>
      <c r="KTX109" s="769"/>
      <c r="KTY109" s="769"/>
      <c r="KTZ109" s="769"/>
      <c r="KUA109" s="769"/>
      <c r="KUB109" s="769"/>
      <c r="KUC109" s="769"/>
      <c r="KUD109" s="769"/>
      <c r="KUE109" s="769"/>
      <c r="KUF109" s="769"/>
      <c r="KUG109" s="769"/>
      <c r="KUH109" s="769"/>
      <c r="KUI109" s="769"/>
      <c r="KUJ109" s="769"/>
      <c r="KUK109" s="769"/>
      <c r="KUL109" s="769"/>
      <c r="KUM109" s="769"/>
      <c r="KUN109" s="769"/>
      <c r="KUO109" s="769"/>
      <c r="KUP109" s="769"/>
      <c r="KUQ109" s="769"/>
      <c r="KUR109" s="769"/>
      <c r="KUS109" s="769"/>
      <c r="KUT109" s="769"/>
      <c r="KUU109" s="769"/>
      <c r="KUV109" s="769"/>
      <c r="KUW109" s="769"/>
      <c r="KUX109" s="769"/>
      <c r="KUY109" s="769"/>
      <c r="KUZ109" s="769"/>
      <c r="KVA109" s="769"/>
      <c r="KVB109" s="769"/>
      <c r="KVC109" s="769"/>
      <c r="KVD109" s="769"/>
      <c r="KVE109" s="769"/>
      <c r="KVF109" s="769"/>
      <c r="KVG109" s="769"/>
      <c r="KVH109" s="769"/>
      <c r="KVI109" s="769"/>
      <c r="KVJ109" s="769"/>
      <c r="KVK109" s="769"/>
      <c r="KVL109" s="769"/>
      <c r="KVM109" s="769"/>
      <c r="KVN109" s="769"/>
      <c r="KVO109" s="769"/>
      <c r="KVP109" s="769"/>
      <c r="KVQ109" s="769"/>
      <c r="KVR109" s="769"/>
      <c r="KVS109" s="769"/>
      <c r="KVT109" s="769"/>
      <c r="KVU109" s="769"/>
      <c r="KVV109" s="769"/>
      <c r="KVW109" s="769"/>
      <c r="KVX109" s="769"/>
      <c r="KVY109" s="769"/>
      <c r="KVZ109" s="769"/>
      <c r="KWA109" s="769"/>
      <c r="KWB109" s="769"/>
      <c r="KWC109" s="769"/>
      <c r="KWD109" s="769"/>
      <c r="KWE109" s="769"/>
      <c r="KWF109" s="769"/>
      <c r="KWG109" s="769"/>
      <c r="KWH109" s="769"/>
      <c r="KWI109" s="769"/>
      <c r="KWJ109" s="769"/>
      <c r="KWK109" s="769"/>
      <c r="KWL109" s="769"/>
      <c r="KWM109" s="769"/>
      <c r="KWN109" s="769"/>
      <c r="KWO109" s="769"/>
      <c r="KWP109" s="769"/>
      <c r="KWQ109" s="769"/>
      <c r="KWR109" s="769"/>
      <c r="KWS109" s="769"/>
      <c r="KWT109" s="769"/>
      <c r="KWU109" s="769"/>
      <c r="KWV109" s="769"/>
      <c r="KWW109" s="769"/>
      <c r="KWX109" s="769"/>
      <c r="KWY109" s="769"/>
      <c r="KWZ109" s="769"/>
      <c r="KXA109" s="769"/>
      <c r="KXB109" s="769"/>
      <c r="KXC109" s="769"/>
      <c r="KXD109" s="769"/>
      <c r="KXE109" s="769"/>
      <c r="KXF109" s="769"/>
      <c r="KXG109" s="769"/>
      <c r="KXH109" s="769"/>
      <c r="KXI109" s="769"/>
      <c r="KXJ109" s="769"/>
      <c r="KXK109" s="769"/>
      <c r="KXL109" s="769"/>
      <c r="KXM109" s="769"/>
      <c r="KXN109" s="769"/>
      <c r="KXO109" s="769"/>
      <c r="KXP109" s="769"/>
      <c r="KXQ109" s="769"/>
      <c r="KXR109" s="769"/>
      <c r="KXS109" s="769"/>
      <c r="KXT109" s="769"/>
      <c r="KXU109" s="769"/>
      <c r="KXV109" s="769"/>
      <c r="KXW109" s="769"/>
      <c r="KXX109" s="769"/>
      <c r="KXY109" s="769"/>
      <c r="KXZ109" s="769"/>
      <c r="KYA109" s="769"/>
      <c r="KYB109" s="769"/>
      <c r="KYC109" s="769"/>
      <c r="KYD109" s="769"/>
      <c r="KYE109" s="769"/>
      <c r="KYF109" s="769"/>
      <c r="KYG109" s="769"/>
      <c r="KYH109" s="769"/>
      <c r="KYI109" s="769"/>
      <c r="KYJ109" s="769"/>
      <c r="KYK109" s="769"/>
      <c r="KYL109" s="769"/>
      <c r="KYM109" s="769"/>
      <c r="KYN109" s="769"/>
      <c r="KYO109" s="769"/>
      <c r="KYP109" s="769"/>
      <c r="KYQ109" s="769"/>
      <c r="KYR109" s="769"/>
      <c r="KYS109" s="769"/>
      <c r="KYT109" s="769"/>
      <c r="KYU109" s="769"/>
      <c r="KYV109" s="769"/>
      <c r="KYW109" s="769"/>
      <c r="KYX109" s="769"/>
      <c r="KYY109" s="769"/>
      <c r="KYZ109" s="769"/>
      <c r="KZA109" s="769"/>
      <c r="KZB109" s="769"/>
      <c r="KZC109" s="769"/>
      <c r="KZD109" s="769"/>
      <c r="KZE109" s="769"/>
      <c r="KZF109" s="769"/>
      <c r="KZG109" s="769"/>
      <c r="KZH109" s="769"/>
      <c r="KZI109" s="769"/>
      <c r="KZJ109" s="769"/>
      <c r="KZK109" s="769"/>
      <c r="KZL109" s="769"/>
      <c r="KZM109" s="769"/>
      <c r="KZN109" s="769"/>
      <c r="KZO109" s="769"/>
      <c r="KZP109" s="769"/>
      <c r="KZQ109" s="769"/>
      <c r="KZR109" s="769"/>
      <c r="KZS109" s="769"/>
      <c r="KZT109" s="769"/>
      <c r="KZU109" s="769"/>
      <c r="KZV109" s="769"/>
      <c r="KZW109" s="769"/>
      <c r="KZX109" s="769"/>
      <c r="KZY109" s="769"/>
      <c r="KZZ109" s="769"/>
      <c r="LAA109" s="769"/>
      <c r="LAB109" s="769"/>
      <c r="LAC109" s="769"/>
      <c r="LAD109" s="769"/>
      <c r="LAE109" s="769"/>
      <c r="LAF109" s="769"/>
      <c r="LAG109" s="769"/>
      <c r="LAH109" s="769"/>
      <c r="LAI109" s="769"/>
      <c r="LAJ109" s="769"/>
      <c r="LAK109" s="769"/>
      <c r="LAL109" s="769"/>
      <c r="LAM109" s="769"/>
      <c r="LAN109" s="769"/>
      <c r="LAO109" s="769"/>
      <c r="LAP109" s="769"/>
      <c r="LAQ109" s="769"/>
      <c r="LAR109" s="769"/>
      <c r="LAS109" s="769"/>
      <c r="LAT109" s="769"/>
      <c r="LAU109" s="769"/>
      <c r="LAV109" s="769"/>
      <c r="LAW109" s="769"/>
      <c r="LAX109" s="769"/>
      <c r="LAY109" s="769"/>
      <c r="LAZ109" s="769"/>
      <c r="LBA109" s="769"/>
      <c r="LBB109" s="769"/>
      <c r="LBC109" s="769"/>
      <c r="LBD109" s="769"/>
      <c r="LBE109" s="769"/>
      <c r="LBF109" s="769"/>
      <c r="LBG109" s="769"/>
      <c r="LBH109" s="769"/>
      <c r="LBI109" s="769"/>
      <c r="LBJ109" s="769"/>
      <c r="LBK109" s="769"/>
      <c r="LBL109" s="769"/>
      <c r="LBM109" s="769"/>
      <c r="LBN109" s="769"/>
      <c r="LBO109" s="769"/>
      <c r="LBP109" s="769"/>
      <c r="LBQ109" s="769"/>
      <c r="LBR109" s="769"/>
      <c r="LBS109" s="769"/>
      <c r="LBT109" s="769"/>
      <c r="LBU109" s="769"/>
      <c r="LBV109" s="769"/>
      <c r="LBW109" s="769"/>
      <c r="LBX109" s="769"/>
      <c r="LBY109" s="769"/>
      <c r="LBZ109" s="769"/>
      <c r="LCA109" s="769"/>
      <c r="LCB109" s="769"/>
      <c r="LCC109" s="769"/>
      <c r="LCD109" s="769"/>
      <c r="LCE109" s="769"/>
      <c r="LCF109" s="769"/>
      <c r="LCG109" s="769"/>
      <c r="LCH109" s="769"/>
      <c r="LCI109" s="769"/>
      <c r="LCJ109" s="769"/>
      <c r="LCK109" s="769"/>
      <c r="LCL109" s="769"/>
      <c r="LCM109" s="769"/>
      <c r="LCN109" s="769"/>
      <c r="LCO109" s="769"/>
      <c r="LCP109" s="769"/>
      <c r="LCQ109" s="769"/>
      <c r="LCR109" s="769"/>
      <c r="LCS109" s="769"/>
      <c r="LCT109" s="769"/>
      <c r="LCU109" s="769"/>
      <c r="LCV109" s="769"/>
      <c r="LCW109" s="769"/>
      <c r="LCX109" s="769"/>
      <c r="LCY109" s="769"/>
      <c r="LCZ109" s="769"/>
      <c r="LDA109" s="769"/>
      <c r="LDB109" s="769"/>
      <c r="LDC109" s="769"/>
      <c r="LDD109" s="769"/>
      <c r="LDE109" s="769"/>
      <c r="LDF109" s="769"/>
      <c r="LDG109" s="769"/>
      <c r="LDH109" s="769"/>
      <c r="LDI109" s="769"/>
      <c r="LDJ109" s="769"/>
      <c r="LDK109" s="769"/>
      <c r="LDL109" s="769"/>
      <c r="LDM109" s="769"/>
      <c r="LDN109" s="769"/>
      <c r="LDO109" s="769"/>
      <c r="LDP109" s="769"/>
      <c r="LDQ109" s="769"/>
      <c r="LDR109" s="769"/>
      <c r="LDS109" s="769"/>
      <c r="LDT109" s="769"/>
      <c r="LDU109" s="769"/>
      <c r="LDV109" s="769"/>
      <c r="LDW109" s="769"/>
      <c r="LDX109" s="769"/>
      <c r="LDY109" s="769"/>
      <c r="LDZ109" s="769"/>
      <c r="LEA109" s="769"/>
      <c r="LEB109" s="769"/>
      <c r="LEC109" s="769"/>
      <c r="LED109" s="769"/>
      <c r="LEE109" s="769"/>
      <c r="LEF109" s="769"/>
      <c r="LEG109" s="769"/>
      <c r="LEH109" s="769"/>
      <c r="LEI109" s="769"/>
      <c r="LEJ109" s="769"/>
      <c r="LEK109" s="769"/>
      <c r="LEL109" s="769"/>
      <c r="LEM109" s="769"/>
      <c r="LEN109" s="769"/>
      <c r="LEO109" s="769"/>
      <c r="LEP109" s="769"/>
      <c r="LEQ109" s="769"/>
      <c r="LER109" s="769"/>
      <c r="LES109" s="769"/>
      <c r="LET109" s="769"/>
      <c r="LEU109" s="769"/>
      <c r="LEV109" s="769"/>
      <c r="LEW109" s="769"/>
      <c r="LEX109" s="769"/>
      <c r="LEY109" s="769"/>
      <c r="LEZ109" s="769"/>
      <c r="LFA109" s="769"/>
      <c r="LFB109" s="769"/>
      <c r="LFC109" s="769"/>
      <c r="LFD109" s="769"/>
      <c r="LFE109" s="769"/>
      <c r="LFF109" s="769"/>
      <c r="LFG109" s="769"/>
      <c r="LFH109" s="769"/>
      <c r="LFI109" s="769"/>
      <c r="LFJ109" s="769"/>
      <c r="LFK109" s="769"/>
      <c r="LFL109" s="769"/>
      <c r="LFM109" s="769"/>
      <c r="LFN109" s="769"/>
      <c r="LFO109" s="769"/>
      <c r="LFP109" s="769"/>
      <c r="LFQ109" s="769"/>
      <c r="LFR109" s="769"/>
      <c r="LFS109" s="769"/>
      <c r="LFT109" s="769"/>
      <c r="LFU109" s="769"/>
      <c r="LFV109" s="769"/>
      <c r="LFW109" s="769"/>
      <c r="LFX109" s="769"/>
      <c r="LFY109" s="769"/>
      <c r="LFZ109" s="769"/>
      <c r="LGA109" s="769"/>
      <c r="LGB109" s="769"/>
      <c r="LGC109" s="769"/>
      <c r="LGD109" s="769"/>
      <c r="LGE109" s="769"/>
      <c r="LGF109" s="769"/>
      <c r="LGG109" s="769"/>
      <c r="LGH109" s="769"/>
      <c r="LGI109" s="769"/>
      <c r="LGJ109" s="769"/>
      <c r="LGK109" s="769"/>
      <c r="LGL109" s="769"/>
      <c r="LGM109" s="769"/>
      <c r="LGN109" s="769"/>
      <c r="LGO109" s="769"/>
      <c r="LGP109" s="769"/>
      <c r="LGQ109" s="769"/>
      <c r="LGR109" s="769"/>
      <c r="LGS109" s="769"/>
      <c r="LGT109" s="769"/>
      <c r="LGU109" s="769"/>
      <c r="LGV109" s="769"/>
      <c r="LGW109" s="769"/>
      <c r="LGX109" s="769"/>
      <c r="LGY109" s="769"/>
      <c r="LGZ109" s="769"/>
      <c r="LHA109" s="769"/>
      <c r="LHB109" s="769"/>
      <c r="LHC109" s="769"/>
      <c r="LHD109" s="769"/>
      <c r="LHE109" s="769"/>
      <c r="LHF109" s="769"/>
      <c r="LHG109" s="769"/>
      <c r="LHH109" s="769"/>
      <c r="LHI109" s="769"/>
      <c r="LHJ109" s="769"/>
      <c r="LHK109" s="769"/>
      <c r="LHL109" s="769"/>
      <c r="LHM109" s="769"/>
      <c r="LHN109" s="769"/>
      <c r="LHO109" s="769"/>
      <c r="LHP109" s="769"/>
      <c r="LHQ109" s="769"/>
      <c r="LHR109" s="769"/>
      <c r="LHS109" s="769"/>
      <c r="LHT109" s="769"/>
      <c r="LHU109" s="769"/>
      <c r="LHV109" s="769"/>
      <c r="LHW109" s="769"/>
      <c r="LHX109" s="769"/>
      <c r="LHY109" s="769"/>
      <c r="LHZ109" s="769"/>
      <c r="LIA109" s="769"/>
      <c r="LIB109" s="769"/>
      <c r="LIC109" s="769"/>
      <c r="LID109" s="769"/>
      <c r="LIE109" s="769"/>
      <c r="LIF109" s="769"/>
      <c r="LIG109" s="769"/>
      <c r="LIH109" s="769"/>
      <c r="LII109" s="769"/>
      <c r="LIJ109" s="769"/>
      <c r="LIK109" s="769"/>
      <c r="LIL109" s="769"/>
      <c r="LIM109" s="769"/>
      <c r="LIN109" s="769"/>
      <c r="LIO109" s="769"/>
      <c r="LIP109" s="769"/>
      <c r="LIQ109" s="769"/>
      <c r="LIR109" s="769"/>
      <c r="LIS109" s="769"/>
      <c r="LIT109" s="769"/>
      <c r="LIU109" s="769"/>
      <c r="LIV109" s="769"/>
      <c r="LIW109" s="769"/>
      <c r="LIX109" s="769"/>
      <c r="LIY109" s="769"/>
      <c r="LIZ109" s="769"/>
      <c r="LJA109" s="769"/>
      <c r="LJB109" s="769"/>
      <c r="LJC109" s="769"/>
      <c r="LJD109" s="769"/>
      <c r="LJE109" s="769"/>
      <c r="LJF109" s="769"/>
      <c r="LJG109" s="769"/>
      <c r="LJH109" s="769"/>
      <c r="LJI109" s="769"/>
      <c r="LJJ109" s="769"/>
      <c r="LJK109" s="769"/>
      <c r="LJL109" s="769"/>
      <c r="LJM109" s="769"/>
      <c r="LJN109" s="769"/>
      <c r="LJO109" s="769"/>
      <c r="LJP109" s="769"/>
      <c r="LJQ109" s="769"/>
      <c r="LJR109" s="769"/>
      <c r="LJS109" s="769"/>
      <c r="LJT109" s="769"/>
      <c r="LJU109" s="769"/>
      <c r="LJV109" s="769"/>
      <c r="LJW109" s="769"/>
      <c r="LJX109" s="769"/>
      <c r="LJY109" s="769"/>
      <c r="LJZ109" s="769"/>
      <c r="LKA109" s="769"/>
      <c r="LKB109" s="769"/>
      <c r="LKC109" s="769"/>
      <c r="LKD109" s="769"/>
      <c r="LKE109" s="769"/>
      <c r="LKF109" s="769"/>
      <c r="LKG109" s="769"/>
      <c r="LKH109" s="769"/>
      <c r="LKI109" s="769"/>
      <c r="LKJ109" s="769"/>
      <c r="LKK109" s="769"/>
      <c r="LKL109" s="769"/>
      <c r="LKM109" s="769"/>
      <c r="LKN109" s="769"/>
      <c r="LKO109" s="769"/>
      <c r="LKP109" s="769"/>
      <c r="LKQ109" s="769"/>
      <c r="LKR109" s="769"/>
      <c r="LKS109" s="769"/>
      <c r="LKT109" s="769"/>
      <c r="LKU109" s="769"/>
      <c r="LKV109" s="769"/>
      <c r="LKW109" s="769"/>
      <c r="LKX109" s="769"/>
      <c r="LKY109" s="769"/>
      <c r="LKZ109" s="769"/>
      <c r="LLA109" s="769"/>
      <c r="LLB109" s="769"/>
      <c r="LLC109" s="769"/>
      <c r="LLD109" s="769"/>
      <c r="LLE109" s="769"/>
      <c r="LLF109" s="769"/>
      <c r="LLG109" s="769"/>
      <c r="LLH109" s="769"/>
      <c r="LLI109" s="769"/>
      <c r="LLJ109" s="769"/>
      <c r="LLK109" s="769"/>
      <c r="LLL109" s="769"/>
      <c r="LLM109" s="769"/>
      <c r="LLN109" s="769"/>
      <c r="LLO109" s="769"/>
      <c r="LLP109" s="769"/>
      <c r="LLQ109" s="769"/>
      <c r="LLR109" s="769"/>
      <c r="LLS109" s="769"/>
      <c r="LLT109" s="769"/>
      <c r="LLU109" s="769"/>
      <c r="LLV109" s="769"/>
      <c r="LLW109" s="769"/>
      <c r="LLX109" s="769"/>
      <c r="LLY109" s="769"/>
      <c r="LLZ109" s="769"/>
      <c r="LMA109" s="769"/>
      <c r="LMB109" s="769"/>
      <c r="LMC109" s="769"/>
      <c r="LMD109" s="769"/>
      <c r="LME109" s="769"/>
      <c r="LMF109" s="769"/>
      <c r="LMG109" s="769"/>
      <c r="LMH109" s="769"/>
      <c r="LMI109" s="769"/>
      <c r="LMJ109" s="769"/>
      <c r="LMK109" s="769"/>
      <c r="LML109" s="769"/>
      <c r="LMM109" s="769"/>
      <c r="LMN109" s="769"/>
      <c r="LMO109" s="769"/>
      <c r="LMP109" s="769"/>
      <c r="LMQ109" s="769"/>
      <c r="LMR109" s="769"/>
      <c r="LMS109" s="769"/>
      <c r="LMT109" s="769"/>
      <c r="LMU109" s="769"/>
      <c r="LMV109" s="769"/>
      <c r="LMW109" s="769"/>
      <c r="LMX109" s="769"/>
      <c r="LMY109" s="769"/>
      <c r="LMZ109" s="769"/>
      <c r="LNA109" s="769"/>
      <c r="LNB109" s="769"/>
      <c r="LNC109" s="769"/>
      <c r="LND109" s="769"/>
      <c r="LNE109" s="769"/>
      <c r="LNF109" s="769"/>
      <c r="LNG109" s="769"/>
      <c r="LNH109" s="769"/>
      <c r="LNI109" s="769"/>
      <c r="LNJ109" s="769"/>
      <c r="LNK109" s="769"/>
      <c r="LNL109" s="769"/>
      <c r="LNM109" s="769"/>
      <c r="LNN109" s="769"/>
      <c r="LNO109" s="769"/>
      <c r="LNP109" s="769"/>
      <c r="LNQ109" s="769"/>
      <c r="LNR109" s="769"/>
      <c r="LNS109" s="769"/>
      <c r="LNT109" s="769"/>
      <c r="LNU109" s="769"/>
      <c r="LNV109" s="769"/>
      <c r="LNW109" s="769"/>
      <c r="LNX109" s="769"/>
      <c r="LNY109" s="769"/>
      <c r="LNZ109" s="769"/>
      <c r="LOA109" s="769"/>
      <c r="LOB109" s="769"/>
      <c r="LOC109" s="769"/>
      <c r="LOD109" s="769"/>
      <c r="LOE109" s="769"/>
      <c r="LOF109" s="769"/>
      <c r="LOG109" s="769"/>
      <c r="LOH109" s="769"/>
      <c r="LOI109" s="769"/>
      <c r="LOJ109" s="769"/>
      <c r="LOK109" s="769"/>
      <c r="LOL109" s="769"/>
      <c r="LOM109" s="769"/>
      <c r="LON109" s="769"/>
      <c r="LOO109" s="769"/>
      <c r="LOP109" s="769"/>
      <c r="LOQ109" s="769"/>
      <c r="LOR109" s="769"/>
      <c r="LOS109" s="769"/>
      <c r="LOT109" s="769"/>
      <c r="LOU109" s="769"/>
      <c r="LOV109" s="769"/>
      <c r="LOW109" s="769"/>
      <c r="LOX109" s="769"/>
      <c r="LOY109" s="769"/>
      <c r="LOZ109" s="769"/>
      <c r="LPA109" s="769"/>
      <c r="LPB109" s="769"/>
      <c r="LPC109" s="769"/>
      <c r="LPD109" s="769"/>
      <c r="LPE109" s="769"/>
      <c r="LPF109" s="769"/>
      <c r="LPG109" s="769"/>
      <c r="LPH109" s="769"/>
      <c r="LPI109" s="769"/>
      <c r="LPJ109" s="769"/>
      <c r="LPK109" s="769"/>
      <c r="LPL109" s="769"/>
      <c r="LPM109" s="769"/>
      <c r="LPN109" s="769"/>
      <c r="LPO109" s="769"/>
      <c r="LPP109" s="769"/>
      <c r="LPQ109" s="769"/>
      <c r="LPR109" s="769"/>
      <c r="LPS109" s="769"/>
      <c r="LPT109" s="769"/>
      <c r="LPU109" s="769"/>
      <c r="LPV109" s="769"/>
      <c r="LPW109" s="769"/>
      <c r="LPX109" s="769"/>
      <c r="LPY109" s="769"/>
      <c r="LPZ109" s="769"/>
      <c r="LQA109" s="769"/>
      <c r="LQB109" s="769"/>
      <c r="LQC109" s="769"/>
      <c r="LQD109" s="769"/>
      <c r="LQE109" s="769"/>
      <c r="LQF109" s="769"/>
      <c r="LQG109" s="769"/>
      <c r="LQH109" s="769"/>
      <c r="LQI109" s="769"/>
      <c r="LQJ109" s="769"/>
      <c r="LQK109" s="769"/>
      <c r="LQL109" s="769"/>
      <c r="LQM109" s="769"/>
      <c r="LQN109" s="769"/>
      <c r="LQO109" s="769"/>
      <c r="LQP109" s="769"/>
      <c r="LQQ109" s="769"/>
      <c r="LQR109" s="769"/>
      <c r="LQS109" s="769"/>
      <c r="LQT109" s="769"/>
      <c r="LQU109" s="769"/>
      <c r="LQV109" s="769"/>
      <c r="LQW109" s="769"/>
      <c r="LQX109" s="769"/>
      <c r="LQY109" s="769"/>
      <c r="LQZ109" s="769"/>
      <c r="LRA109" s="769"/>
      <c r="LRB109" s="769"/>
      <c r="LRC109" s="769"/>
      <c r="LRD109" s="769"/>
      <c r="LRE109" s="769"/>
      <c r="LRF109" s="769"/>
      <c r="LRG109" s="769"/>
      <c r="LRH109" s="769"/>
      <c r="LRI109" s="769"/>
      <c r="LRJ109" s="769"/>
      <c r="LRK109" s="769"/>
      <c r="LRL109" s="769"/>
      <c r="LRM109" s="769"/>
      <c r="LRN109" s="769"/>
      <c r="LRO109" s="769"/>
      <c r="LRP109" s="769"/>
      <c r="LRQ109" s="769"/>
      <c r="LRR109" s="769"/>
      <c r="LRS109" s="769"/>
      <c r="LRT109" s="769"/>
      <c r="LRU109" s="769"/>
      <c r="LRV109" s="769"/>
      <c r="LRW109" s="769"/>
      <c r="LRX109" s="769"/>
      <c r="LRY109" s="769"/>
      <c r="LRZ109" s="769"/>
      <c r="LSA109" s="769"/>
      <c r="LSB109" s="769"/>
      <c r="LSC109" s="769"/>
      <c r="LSD109" s="769"/>
      <c r="LSE109" s="769"/>
      <c r="LSF109" s="769"/>
      <c r="LSG109" s="769"/>
      <c r="LSH109" s="769"/>
      <c r="LSI109" s="769"/>
      <c r="LSJ109" s="769"/>
      <c r="LSK109" s="769"/>
      <c r="LSL109" s="769"/>
      <c r="LSM109" s="769"/>
      <c r="LSN109" s="769"/>
      <c r="LSO109" s="769"/>
      <c r="LSP109" s="769"/>
      <c r="LSQ109" s="769"/>
      <c r="LSR109" s="769"/>
      <c r="LSS109" s="769"/>
      <c r="LST109" s="769"/>
      <c r="LSU109" s="769"/>
      <c r="LSV109" s="769"/>
      <c r="LSW109" s="769"/>
      <c r="LSX109" s="769"/>
      <c r="LSY109" s="769"/>
      <c r="LSZ109" s="769"/>
      <c r="LTA109" s="769"/>
      <c r="LTB109" s="769"/>
      <c r="LTC109" s="769"/>
      <c r="LTD109" s="769"/>
      <c r="LTE109" s="769"/>
      <c r="LTF109" s="769"/>
      <c r="LTG109" s="769"/>
      <c r="LTH109" s="769"/>
      <c r="LTI109" s="769"/>
      <c r="LTJ109" s="769"/>
      <c r="LTK109" s="769"/>
      <c r="LTL109" s="769"/>
      <c r="LTM109" s="769"/>
      <c r="LTN109" s="769"/>
      <c r="LTO109" s="769"/>
      <c r="LTP109" s="769"/>
      <c r="LTQ109" s="769"/>
      <c r="LTR109" s="769"/>
      <c r="LTS109" s="769"/>
      <c r="LTT109" s="769"/>
      <c r="LTU109" s="769"/>
      <c r="LTV109" s="769"/>
      <c r="LTW109" s="769"/>
      <c r="LTX109" s="769"/>
      <c r="LTY109" s="769"/>
      <c r="LTZ109" s="769"/>
      <c r="LUA109" s="769"/>
      <c r="LUB109" s="769"/>
      <c r="LUC109" s="769"/>
      <c r="LUD109" s="769"/>
      <c r="LUE109" s="769"/>
      <c r="LUF109" s="769"/>
      <c r="LUG109" s="769"/>
      <c r="LUH109" s="769"/>
      <c r="LUI109" s="769"/>
      <c r="LUJ109" s="769"/>
      <c r="LUK109" s="769"/>
      <c r="LUL109" s="769"/>
      <c r="LUM109" s="769"/>
      <c r="LUN109" s="769"/>
      <c r="LUO109" s="769"/>
      <c r="LUP109" s="769"/>
      <c r="LUQ109" s="769"/>
      <c r="LUR109" s="769"/>
      <c r="LUS109" s="769"/>
      <c r="LUT109" s="769"/>
      <c r="LUU109" s="769"/>
      <c r="LUV109" s="769"/>
      <c r="LUW109" s="769"/>
      <c r="LUX109" s="769"/>
      <c r="LUY109" s="769"/>
      <c r="LUZ109" s="769"/>
      <c r="LVA109" s="769"/>
      <c r="LVB109" s="769"/>
      <c r="LVC109" s="769"/>
      <c r="LVD109" s="769"/>
      <c r="LVE109" s="769"/>
      <c r="LVF109" s="769"/>
      <c r="LVG109" s="769"/>
      <c r="LVH109" s="769"/>
      <c r="LVI109" s="769"/>
      <c r="LVJ109" s="769"/>
      <c r="LVK109" s="769"/>
      <c r="LVL109" s="769"/>
      <c r="LVM109" s="769"/>
      <c r="LVN109" s="769"/>
      <c r="LVO109" s="769"/>
      <c r="LVP109" s="769"/>
      <c r="LVQ109" s="769"/>
      <c r="LVR109" s="769"/>
      <c r="LVS109" s="769"/>
      <c r="LVT109" s="769"/>
      <c r="LVU109" s="769"/>
      <c r="LVV109" s="769"/>
      <c r="LVW109" s="769"/>
      <c r="LVX109" s="769"/>
      <c r="LVY109" s="769"/>
      <c r="LVZ109" s="769"/>
      <c r="LWA109" s="769"/>
      <c r="LWB109" s="769"/>
      <c r="LWC109" s="769"/>
      <c r="LWD109" s="769"/>
      <c r="LWE109" s="769"/>
      <c r="LWF109" s="769"/>
      <c r="LWG109" s="769"/>
      <c r="LWH109" s="769"/>
      <c r="LWI109" s="769"/>
      <c r="LWJ109" s="769"/>
      <c r="LWK109" s="769"/>
      <c r="LWL109" s="769"/>
      <c r="LWM109" s="769"/>
      <c r="LWN109" s="769"/>
      <c r="LWO109" s="769"/>
      <c r="LWP109" s="769"/>
      <c r="LWQ109" s="769"/>
      <c r="LWR109" s="769"/>
      <c r="LWS109" s="769"/>
      <c r="LWT109" s="769"/>
      <c r="LWU109" s="769"/>
      <c r="LWV109" s="769"/>
      <c r="LWW109" s="769"/>
      <c r="LWX109" s="769"/>
      <c r="LWY109" s="769"/>
      <c r="LWZ109" s="769"/>
      <c r="LXA109" s="769"/>
      <c r="LXB109" s="769"/>
      <c r="LXC109" s="769"/>
      <c r="LXD109" s="769"/>
      <c r="LXE109" s="769"/>
      <c r="LXF109" s="769"/>
      <c r="LXG109" s="769"/>
      <c r="LXH109" s="769"/>
      <c r="LXI109" s="769"/>
      <c r="LXJ109" s="769"/>
      <c r="LXK109" s="769"/>
      <c r="LXL109" s="769"/>
      <c r="LXM109" s="769"/>
      <c r="LXN109" s="769"/>
      <c r="LXO109" s="769"/>
      <c r="LXP109" s="769"/>
      <c r="LXQ109" s="769"/>
      <c r="LXR109" s="769"/>
      <c r="LXS109" s="769"/>
      <c r="LXT109" s="769"/>
      <c r="LXU109" s="769"/>
      <c r="LXV109" s="769"/>
      <c r="LXW109" s="769"/>
      <c r="LXX109" s="769"/>
      <c r="LXY109" s="769"/>
      <c r="LXZ109" s="769"/>
      <c r="LYA109" s="769"/>
      <c r="LYB109" s="769"/>
      <c r="LYC109" s="769"/>
      <c r="LYD109" s="769"/>
      <c r="LYE109" s="769"/>
      <c r="LYF109" s="769"/>
      <c r="LYG109" s="769"/>
      <c r="LYH109" s="769"/>
      <c r="LYI109" s="769"/>
      <c r="LYJ109" s="769"/>
      <c r="LYK109" s="769"/>
      <c r="LYL109" s="769"/>
      <c r="LYM109" s="769"/>
      <c r="LYN109" s="769"/>
      <c r="LYO109" s="769"/>
      <c r="LYP109" s="769"/>
      <c r="LYQ109" s="769"/>
      <c r="LYR109" s="769"/>
      <c r="LYS109" s="769"/>
      <c r="LYT109" s="769"/>
      <c r="LYU109" s="769"/>
      <c r="LYV109" s="769"/>
      <c r="LYW109" s="769"/>
      <c r="LYX109" s="769"/>
      <c r="LYY109" s="769"/>
      <c r="LYZ109" s="769"/>
      <c r="LZA109" s="769"/>
      <c r="LZB109" s="769"/>
      <c r="LZC109" s="769"/>
      <c r="LZD109" s="769"/>
      <c r="LZE109" s="769"/>
      <c r="LZF109" s="769"/>
      <c r="LZG109" s="769"/>
      <c r="LZH109" s="769"/>
      <c r="LZI109" s="769"/>
      <c r="LZJ109" s="769"/>
      <c r="LZK109" s="769"/>
      <c r="LZL109" s="769"/>
      <c r="LZM109" s="769"/>
      <c r="LZN109" s="769"/>
      <c r="LZO109" s="769"/>
      <c r="LZP109" s="769"/>
      <c r="LZQ109" s="769"/>
      <c r="LZR109" s="769"/>
      <c r="LZS109" s="769"/>
      <c r="LZT109" s="769"/>
      <c r="LZU109" s="769"/>
      <c r="LZV109" s="769"/>
      <c r="LZW109" s="769"/>
      <c r="LZX109" s="769"/>
      <c r="LZY109" s="769"/>
      <c r="LZZ109" s="769"/>
      <c r="MAA109" s="769"/>
      <c r="MAB109" s="769"/>
      <c r="MAC109" s="769"/>
      <c r="MAD109" s="769"/>
      <c r="MAE109" s="769"/>
      <c r="MAF109" s="769"/>
      <c r="MAG109" s="769"/>
      <c r="MAH109" s="769"/>
      <c r="MAI109" s="769"/>
      <c r="MAJ109" s="769"/>
      <c r="MAK109" s="769"/>
      <c r="MAL109" s="769"/>
      <c r="MAM109" s="769"/>
      <c r="MAN109" s="769"/>
      <c r="MAO109" s="769"/>
      <c r="MAP109" s="769"/>
      <c r="MAQ109" s="769"/>
      <c r="MAR109" s="769"/>
      <c r="MAS109" s="769"/>
      <c r="MAT109" s="769"/>
      <c r="MAU109" s="769"/>
      <c r="MAV109" s="769"/>
      <c r="MAW109" s="769"/>
      <c r="MAX109" s="769"/>
      <c r="MAY109" s="769"/>
      <c r="MAZ109" s="769"/>
      <c r="MBA109" s="769"/>
      <c r="MBB109" s="769"/>
      <c r="MBC109" s="769"/>
      <c r="MBD109" s="769"/>
      <c r="MBE109" s="769"/>
      <c r="MBF109" s="769"/>
      <c r="MBG109" s="769"/>
      <c r="MBH109" s="769"/>
      <c r="MBI109" s="769"/>
      <c r="MBJ109" s="769"/>
      <c r="MBK109" s="769"/>
      <c r="MBL109" s="769"/>
      <c r="MBM109" s="769"/>
      <c r="MBN109" s="769"/>
      <c r="MBO109" s="769"/>
      <c r="MBP109" s="769"/>
      <c r="MBQ109" s="769"/>
      <c r="MBR109" s="769"/>
      <c r="MBS109" s="769"/>
      <c r="MBT109" s="769"/>
      <c r="MBU109" s="769"/>
      <c r="MBV109" s="769"/>
      <c r="MBW109" s="769"/>
      <c r="MBX109" s="769"/>
      <c r="MBY109" s="769"/>
      <c r="MBZ109" s="769"/>
      <c r="MCA109" s="769"/>
      <c r="MCB109" s="769"/>
      <c r="MCC109" s="769"/>
      <c r="MCD109" s="769"/>
      <c r="MCE109" s="769"/>
      <c r="MCF109" s="769"/>
      <c r="MCG109" s="769"/>
      <c r="MCH109" s="769"/>
      <c r="MCI109" s="769"/>
      <c r="MCJ109" s="769"/>
      <c r="MCK109" s="769"/>
      <c r="MCL109" s="769"/>
      <c r="MCM109" s="769"/>
      <c r="MCN109" s="769"/>
      <c r="MCO109" s="769"/>
      <c r="MCP109" s="769"/>
      <c r="MCQ109" s="769"/>
      <c r="MCR109" s="769"/>
      <c r="MCS109" s="769"/>
      <c r="MCT109" s="769"/>
      <c r="MCU109" s="769"/>
      <c r="MCV109" s="769"/>
      <c r="MCW109" s="769"/>
      <c r="MCX109" s="769"/>
      <c r="MCY109" s="769"/>
      <c r="MCZ109" s="769"/>
      <c r="MDA109" s="769"/>
      <c r="MDB109" s="769"/>
      <c r="MDC109" s="769"/>
      <c r="MDD109" s="769"/>
      <c r="MDE109" s="769"/>
      <c r="MDF109" s="769"/>
      <c r="MDG109" s="769"/>
      <c r="MDH109" s="769"/>
      <c r="MDI109" s="769"/>
      <c r="MDJ109" s="769"/>
      <c r="MDK109" s="769"/>
      <c r="MDL109" s="769"/>
      <c r="MDM109" s="769"/>
      <c r="MDN109" s="769"/>
      <c r="MDO109" s="769"/>
      <c r="MDP109" s="769"/>
      <c r="MDQ109" s="769"/>
      <c r="MDR109" s="769"/>
      <c r="MDS109" s="769"/>
      <c r="MDT109" s="769"/>
      <c r="MDU109" s="769"/>
      <c r="MDV109" s="769"/>
      <c r="MDW109" s="769"/>
      <c r="MDX109" s="769"/>
      <c r="MDY109" s="769"/>
      <c r="MDZ109" s="769"/>
      <c r="MEA109" s="769"/>
      <c r="MEB109" s="769"/>
      <c r="MEC109" s="769"/>
      <c r="MED109" s="769"/>
      <c r="MEE109" s="769"/>
      <c r="MEF109" s="769"/>
      <c r="MEG109" s="769"/>
      <c r="MEH109" s="769"/>
      <c r="MEI109" s="769"/>
      <c r="MEJ109" s="769"/>
      <c r="MEK109" s="769"/>
      <c r="MEL109" s="769"/>
      <c r="MEM109" s="769"/>
      <c r="MEN109" s="769"/>
      <c r="MEO109" s="769"/>
      <c r="MEP109" s="769"/>
      <c r="MEQ109" s="769"/>
      <c r="MER109" s="769"/>
      <c r="MES109" s="769"/>
      <c r="MET109" s="769"/>
      <c r="MEU109" s="769"/>
      <c r="MEV109" s="769"/>
      <c r="MEW109" s="769"/>
      <c r="MEX109" s="769"/>
      <c r="MEY109" s="769"/>
      <c r="MEZ109" s="769"/>
      <c r="MFA109" s="769"/>
      <c r="MFB109" s="769"/>
      <c r="MFC109" s="769"/>
      <c r="MFD109" s="769"/>
      <c r="MFE109" s="769"/>
      <c r="MFF109" s="769"/>
      <c r="MFG109" s="769"/>
      <c r="MFH109" s="769"/>
      <c r="MFI109" s="769"/>
      <c r="MFJ109" s="769"/>
      <c r="MFK109" s="769"/>
      <c r="MFL109" s="769"/>
      <c r="MFM109" s="769"/>
      <c r="MFN109" s="769"/>
      <c r="MFO109" s="769"/>
      <c r="MFP109" s="769"/>
      <c r="MFQ109" s="769"/>
      <c r="MFR109" s="769"/>
      <c r="MFS109" s="769"/>
      <c r="MFT109" s="769"/>
      <c r="MFU109" s="769"/>
      <c r="MFV109" s="769"/>
      <c r="MFW109" s="769"/>
      <c r="MFX109" s="769"/>
      <c r="MFY109" s="769"/>
      <c r="MFZ109" s="769"/>
      <c r="MGA109" s="769"/>
      <c r="MGB109" s="769"/>
      <c r="MGC109" s="769"/>
      <c r="MGD109" s="769"/>
      <c r="MGE109" s="769"/>
      <c r="MGF109" s="769"/>
      <c r="MGG109" s="769"/>
      <c r="MGH109" s="769"/>
      <c r="MGI109" s="769"/>
      <c r="MGJ109" s="769"/>
      <c r="MGK109" s="769"/>
      <c r="MGL109" s="769"/>
      <c r="MGM109" s="769"/>
      <c r="MGN109" s="769"/>
      <c r="MGO109" s="769"/>
      <c r="MGP109" s="769"/>
      <c r="MGQ109" s="769"/>
      <c r="MGR109" s="769"/>
      <c r="MGS109" s="769"/>
      <c r="MGT109" s="769"/>
      <c r="MGU109" s="769"/>
      <c r="MGV109" s="769"/>
      <c r="MGW109" s="769"/>
      <c r="MGX109" s="769"/>
      <c r="MGY109" s="769"/>
      <c r="MGZ109" s="769"/>
      <c r="MHA109" s="769"/>
      <c r="MHB109" s="769"/>
      <c r="MHC109" s="769"/>
      <c r="MHD109" s="769"/>
      <c r="MHE109" s="769"/>
      <c r="MHF109" s="769"/>
      <c r="MHG109" s="769"/>
      <c r="MHH109" s="769"/>
      <c r="MHI109" s="769"/>
      <c r="MHJ109" s="769"/>
      <c r="MHK109" s="769"/>
      <c r="MHL109" s="769"/>
      <c r="MHM109" s="769"/>
      <c r="MHN109" s="769"/>
      <c r="MHO109" s="769"/>
      <c r="MHP109" s="769"/>
      <c r="MHQ109" s="769"/>
      <c r="MHR109" s="769"/>
      <c r="MHS109" s="769"/>
      <c r="MHT109" s="769"/>
      <c r="MHU109" s="769"/>
      <c r="MHV109" s="769"/>
      <c r="MHW109" s="769"/>
      <c r="MHX109" s="769"/>
      <c r="MHY109" s="769"/>
      <c r="MHZ109" s="769"/>
      <c r="MIA109" s="769"/>
      <c r="MIB109" s="769"/>
      <c r="MIC109" s="769"/>
      <c r="MID109" s="769"/>
      <c r="MIE109" s="769"/>
      <c r="MIF109" s="769"/>
      <c r="MIG109" s="769"/>
      <c r="MIH109" s="769"/>
      <c r="MII109" s="769"/>
      <c r="MIJ109" s="769"/>
      <c r="MIK109" s="769"/>
      <c r="MIL109" s="769"/>
      <c r="MIM109" s="769"/>
      <c r="MIN109" s="769"/>
      <c r="MIO109" s="769"/>
      <c r="MIP109" s="769"/>
      <c r="MIQ109" s="769"/>
      <c r="MIR109" s="769"/>
      <c r="MIS109" s="769"/>
      <c r="MIT109" s="769"/>
      <c r="MIU109" s="769"/>
      <c r="MIV109" s="769"/>
      <c r="MIW109" s="769"/>
      <c r="MIX109" s="769"/>
      <c r="MIY109" s="769"/>
      <c r="MIZ109" s="769"/>
      <c r="MJA109" s="769"/>
      <c r="MJB109" s="769"/>
      <c r="MJC109" s="769"/>
      <c r="MJD109" s="769"/>
      <c r="MJE109" s="769"/>
      <c r="MJF109" s="769"/>
      <c r="MJG109" s="769"/>
      <c r="MJH109" s="769"/>
      <c r="MJI109" s="769"/>
      <c r="MJJ109" s="769"/>
      <c r="MJK109" s="769"/>
      <c r="MJL109" s="769"/>
      <c r="MJM109" s="769"/>
      <c r="MJN109" s="769"/>
      <c r="MJO109" s="769"/>
      <c r="MJP109" s="769"/>
      <c r="MJQ109" s="769"/>
      <c r="MJR109" s="769"/>
      <c r="MJS109" s="769"/>
      <c r="MJT109" s="769"/>
      <c r="MJU109" s="769"/>
      <c r="MJV109" s="769"/>
      <c r="MJW109" s="769"/>
      <c r="MJX109" s="769"/>
      <c r="MJY109" s="769"/>
      <c r="MJZ109" s="769"/>
      <c r="MKA109" s="769"/>
      <c r="MKB109" s="769"/>
      <c r="MKC109" s="769"/>
      <c r="MKD109" s="769"/>
      <c r="MKE109" s="769"/>
      <c r="MKF109" s="769"/>
      <c r="MKG109" s="769"/>
      <c r="MKH109" s="769"/>
      <c r="MKI109" s="769"/>
      <c r="MKJ109" s="769"/>
      <c r="MKK109" s="769"/>
      <c r="MKL109" s="769"/>
      <c r="MKM109" s="769"/>
      <c r="MKN109" s="769"/>
      <c r="MKO109" s="769"/>
      <c r="MKP109" s="769"/>
      <c r="MKQ109" s="769"/>
      <c r="MKR109" s="769"/>
      <c r="MKS109" s="769"/>
      <c r="MKT109" s="769"/>
      <c r="MKU109" s="769"/>
      <c r="MKV109" s="769"/>
      <c r="MKW109" s="769"/>
      <c r="MKX109" s="769"/>
      <c r="MKY109" s="769"/>
      <c r="MKZ109" s="769"/>
      <c r="MLA109" s="769"/>
      <c r="MLB109" s="769"/>
      <c r="MLC109" s="769"/>
      <c r="MLD109" s="769"/>
      <c r="MLE109" s="769"/>
      <c r="MLF109" s="769"/>
      <c r="MLG109" s="769"/>
      <c r="MLH109" s="769"/>
      <c r="MLI109" s="769"/>
      <c r="MLJ109" s="769"/>
      <c r="MLK109" s="769"/>
      <c r="MLL109" s="769"/>
      <c r="MLM109" s="769"/>
      <c r="MLN109" s="769"/>
      <c r="MLO109" s="769"/>
      <c r="MLP109" s="769"/>
      <c r="MLQ109" s="769"/>
      <c r="MLR109" s="769"/>
      <c r="MLS109" s="769"/>
      <c r="MLT109" s="769"/>
      <c r="MLU109" s="769"/>
      <c r="MLV109" s="769"/>
      <c r="MLW109" s="769"/>
      <c r="MLX109" s="769"/>
      <c r="MLY109" s="769"/>
      <c r="MLZ109" s="769"/>
      <c r="MMA109" s="769"/>
      <c r="MMB109" s="769"/>
      <c r="MMC109" s="769"/>
      <c r="MMD109" s="769"/>
      <c r="MME109" s="769"/>
      <c r="MMF109" s="769"/>
      <c r="MMG109" s="769"/>
      <c r="MMH109" s="769"/>
      <c r="MMI109" s="769"/>
      <c r="MMJ109" s="769"/>
      <c r="MMK109" s="769"/>
      <c r="MML109" s="769"/>
      <c r="MMM109" s="769"/>
      <c r="MMN109" s="769"/>
      <c r="MMO109" s="769"/>
      <c r="MMP109" s="769"/>
      <c r="MMQ109" s="769"/>
      <c r="MMR109" s="769"/>
      <c r="MMS109" s="769"/>
      <c r="MMT109" s="769"/>
      <c r="MMU109" s="769"/>
      <c r="MMV109" s="769"/>
      <c r="MMW109" s="769"/>
      <c r="MMX109" s="769"/>
      <c r="MMY109" s="769"/>
      <c r="MMZ109" s="769"/>
      <c r="MNA109" s="769"/>
      <c r="MNB109" s="769"/>
      <c r="MNC109" s="769"/>
      <c r="MND109" s="769"/>
      <c r="MNE109" s="769"/>
      <c r="MNF109" s="769"/>
      <c r="MNG109" s="769"/>
      <c r="MNH109" s="769"/>
      <c r="MNI109" s="769"/>
      <c r="MNJ109" s="769"/>
      <c r="MNK109" s="769"/>
      <c r="MNL109" s="769"/>
      <c r="MNM109" s="769"/>
      <c r="MNN109" s="769"/>
      <c r="MNO109" s="769"/>
      <c r="MNP109" s="769"/>
      <c r="MNQ109" s="769"/>
      <c r="MNR109" s="769"/>
      <c r="MNS109" s="769"/>
      <c r="MNT109" s="769"/>
      <c r="MNU109" s="769"/>
      <c r="MNV109" s="769"/>
      <c r="MNW109" s="769"/>
      <c r="MNX109" s="769"/>
      <c r="MNY109" s="769"/>
      <c r="MNZ109" s="769"/>
      <c r="MOA109" s="769"/>
      <c r="MOB109" s="769"/>
      <c r="MOC109" s="769"/>
      <c r="MOD109" s="769"/>
      <c r="MOE109" s="769"/>
      <c r="MOF109" s="769"/>
      <c r="MOG109" s="769"/>
      <c r="MOH109" s="769"/>
      <c r="MOI109" s="769"/>
      <c r="MOJ109" s="769"/>
      <c r="MOK109" s="769"/>
      <c r="MOL109" s="769"/>
      <c r="MOM109" s="769"/>
      <c r="MON109" s="769"/>
      <c r="MOO109" s="769"/>
      <c r="MOP109" s="769"/>
      <c r="MOQ109" s="769"/>
      <c r="MOR109" s="769"/>
      <c r="MOS109" s="769"/>
      <c r="MOT109" s="769"/>
      <c r="MOU109" s="769"/>
      <c r="MOV109" s="769"/>
      <c r="MOW109" s="769"/>
      <c r="MOX109" s="769"/>
      <c r="MOY109" s="769"/>
      <c r="MOZ109" s="769"/>
      <c r="MPA109" s="769"/>
      <c r="MPB109" s="769"/>
      <c r="MPC109" s="769"/>
      <c r="MPD109" s="769"/>
      <c r="MPE109" s="769"/>
      <c r="MPF109" s="769"/>
      <c r="MPG109" s="769"/>
      <c r="MPH109" s="769"/>
      <c r="MPI109" s="769"/>
      <c r="MPJ109" s="769"/>
      <c r="MPK109" s="769"/>
      <c r="MPL109" s="769"/>
      <c r="MPM109" s="769"/>
      <c r="MPN109" s="769"/>
      <c r="MPO109" s="769"/>
      <c r="MPP109" s="769"/>
      <c r="MPQ109" s="769"/>
      <c r="MPR109" s="769"/>
      <c r="MPS109" s="769"/>
      <c r="MPT109" s="769"/>
      <c r="MPU109" s="769"/>
      <c r="MPV109" s="769"/>
      <c r="MPW109" s="769"/>
      <c r="MPX109" s="769"/>
      <c r="MPY109" s="769"/>
      <c r="MPZ109" s="769"/>
      <c r="MQA109" s="769"/>
      <c r="MQB109" s="769"/>
      <c r="MQC109" s="769"/>
      <c r="MQD109" s="769"/>
      <c r="MQE109" s="769"/>
      <c r="MQF109" s="769"/>
      <c r="MQG109" s="769"/>
      <c r="MQH109" s="769"/>
      <c r="MQI109" s="769"/>
      <c r="MQJ109" s="769"/>
      <c r="MQK109" s="769"/>
      <c r="MQL109" s="769"/>
      <c r="MQM109" s="769"/>
      <c r="MQN109" s="769"/>
      <c r="MQO109" s="769"/>
      <c r="MQP109" s="769"/>
      <c r="MQQ109" s="769"/>
      <c r="MQR109" s="769"/>
      <c r="MQS109" s="769"/>
      <c r="MQT109" s="769"/>
      <c r="MQU109" s="769"/>
      <c r="MQV109" s="769"/>
      <c r="MQW109" s="769"/>
      <c r="MQX109" s="769"/>
      <c r="MQY109" s="769"/>
      <c r="MQZ109" s="769"/>
      <c r="MRA109" s="769"/>
      <c r="MRB109" s="769"/>
      <c r="MRC109" s="769"/>
      <c r="MRD109" s="769"/>
      <c r="MRE109" s="769"/>
      <c r="MRF109" s="769"/>
      <c r="MRG109" s="769"/>
      <c r="MRH109" s="769"/>
      <c r="MRI109" s="769"/>
      <c r="MRJ109" s="769"/>
      <c r="MRK109" s="769"/>
      <c r="MRL109" s="769"/>
      <c r="MRM109" s="769"/>
      <c r="MRN109" s="769"/>
      <c r="MRO109" s="769"/>
      <c r="MRP109" s="769"/>
      <c r="MRQ109" s="769"/>
      <c r="MRR109" s="769"/>
      <c r="MRS109" s="769"/>
      <c r="MRT109" s="769"/>
      <c r="MRU109" s="769"/>
      <c r="MRV109" s="769"/>
      <c r="MRW109" s="769"/>
      <c r="MRX109" s="769"/>
      <c r="MRY109" s="769"/>
      <c r="MRZ109" s="769"/>
      <c r="MSA109" s="769"/>
      <c r="MSB109" s="769"/>
      <c r="MSC109" s="769"/>
      <c r="MSD109" s="769"/>
      <c r="MSE109" s="769"/>
      <c r="MSF109" s="769"/>
      <c r="MSG109" s="769"/>
      <c r="MSH109" s="769"/>
      <c r="MSI109" s="769"/>
      <c r="MSJ109" s="769"/>
      <c r="MSK109" s="769"/>
      <c r="MSL109" s="769"/>
      <c r="MSM109" s="769"/>
      <c r="MSN109" s="769"/>
      <c r="MSO109" s="769"/>
      <c r="MSP109" s="769"/>
      <c r="MSQ109" s="769"/>
      <c r="MSR109" s="769"/>
      <c r="MSS109" s="769"/>
      <c r="MST109" s="769"/>
      <c r="MSU109" s="769"/>
      <c r="MSV109" s="769"/>
      <c r="MSW109" s="769"/>
      <c r="MSX109" s="769"/>
      <c r="MSY109" s="769"/>
      <c r="MSZ109" s="769"/>
      <c r="MTA109" s="769"/>
      <c r="MTB109" s="769"/>
      <c r="MTC109" s="769"/>
      <c r="MTD109" s="769"/>
      <c r="MTE109" s="769"/>
      <c r="MTF109" s="769"/>
      <c r="MTG109" s="769"/>
      <c r="MTH109" s="769"/>
      <c r="MTI109" s="769"/>
      <c r="MTJ109" s="769"/>
      <c r="MTK109" s="769"/>
      <c r="MTL109" s="769"/>
      <c r="MTM109" s="769"/>
      <c r="MTN109" s="769"/>
      <c r="MTO109" s="769"/>
      <c r="MTP109" s="769"/>
      <c r="MTQ109" s="769"/>
      <c r="MTR109" s="769"/>
      <c r="MTS109" s="769"/>
      <c r="MTT109" s="769"/>
      <c r="MTU109" s="769"/>
      <c r="MTV109" s="769"/>
      <c r="MTW109" s="769"/>
      <c r="MTX109" s="769"/>
      <c r="MTY109" s="769"/>
      <c r="MTZ109" s="769"/>
      <c r="MUA109" s="769"/>
      <c r="MUB109" s="769"/>
      <c r="MUC109" s="769"/>
      <c r="MUD109" s="769"/>
      <c r="MUE109" s="769"/>
      <c r="MUF109" s="769"/>
      <c r="MUG109" s="769"/>
      <c r="MUH109" s="769"/>
      <c r="MUI109" s="769"/>
      <c r="MUJ109" s="769"/>
      <c r="MUK109" s="769"/>
      <c r="MUL109" s="769"/>
      <c r="MUM109" s="769"/>
      <c r="MUN109" s="769"/>
      <c r="MUO109" s="769"/>
      <c r="MUP109" s="769"/>
      <c r="MUQ109" s="769"/>
      <c r="MUR109" s="769"/>
      <c r="MUS109" s="769"/>
      <c r="MUT109" s="769"/>
      <c r="MUU109" s="769"/>
      <c r="MUV109" s="769"/>
      <c r="MUW109" s="769"/>
      <c r="MUX109" s="769"/>
      <c r="MUY109" s="769"/>
      <c r="MUZ109" s="769"/>
      <c r="MVA109" s="769"/>
      <c r="MVB109" s="769"/>
      <c r="MVC109" s="769"/>
      <c r="MVD109" s="769"/>
      <c r="MVE109" s="769"/>
      <c r="MVF109" s="769"/>
      <c r="MVG109" s="769"/>
      <c r="MVH109" s="769"/>
      <c r="MVI109" s="769"/>
      <c r="MVJ109" s="769"/>
      <c r="MVK109" s="769"/>
      <c r="MVL109" s="769"/>
      <c r="MVM109" s="769"/>
      <c r="MVN109" s="769"/>
      <c r="MVO109" s="769"/>
      <c r="MVP109" s="769"/>
      <c r="MVQ109" s="769"/>
      <c r="MVR109" s="769"/>
      <c r="MVS109" s="769"/>
      <c r="MVT109" s="769"/>
      <c r="MVU109" s="769"/>
      <c r="MVV109" s="769"/>
      <c r="MVW109" s="769"/>
      <c r="MVX109" s="769"/>
      <c r="MVY109" s="769"/>
      <c r="MVZ109" s="769"/>
      <c r="MWA109" s="769"/>
      <c r="MWB109" s="769"/>
      <c r="MWC109" s="769"/>
      <c r="MWD109" s="769"/>
      <c r="MWE109" s="769"/>
      <c r="MWF109" s="769"/>
      <c r="MWG109" s="769"/>
      <c r="MWH109" s="769"/>
      <c r="MWI109" s="769"/>
      <c r="MWJ109" s="769"/>
      <c r="MWK109" s="769"/>
      <c r="MWL109" s="769"/>
      <c r="MWM109" s="769"/>
      <c r="MWN109" s="769"/>
      <c r="MWO109" s="769"/>
      <c r="MWP109" s="769"/>
      <c r="MWQ109" s="769"/>
      <c r="MWR109" s="769"/>
      <c r="MWS109" s="769"/>
      <c r="MWT109" s="769"/>
      <c r="MWU109" s="769"/>
      <c r="MWV109" s="769"/>
      <c r="MWW109" s="769"/>
      <c r="MWX109" s="769"/>
      <c r="MWY109" s="769"/>
      <c r="MWZ109" s="769"/>
      <c r="MXA109" s="769"/>
      <c r="MXB109" s="769"/>
      <c r="MXC109" s="769"/>
      <c r="MXD109" s="769"/>
      <c r="MXE109" s="769"/>
      <c r="MXF109" s="769"/>
      <c r="MXG109" s="769"/>
      <c r="MXH109" s="769"/>
      <c r="MXI109" s="769"/>
      <c r="MXJ109" s="769"/>
      <c r="MXK109" s="769"/>
      <c r="MXL109" s="769"/>
      <c r="MXM109" s="769"/>
      <c r="MXN109" s="769"/>
      <c r="MXO109" s="769"/>
      <c r="MXP109" s="769"/>
      <c r="MXQ109" s="769"/>
      <c r="MXR109" s="769"/>
      <c r="MXS109" s="769"/>
      <c r="MXT109" s="769"/>
      <c r="MXU109" s="769"/>
      <c r="MXV109" s="769"/>
      <c r="MXW109" s="769"/>
      <c r="MXX109" s="769"/>
      <c r="MXY109" s="769"/>
      <c r="MXZ109" s="769"/>
      <c r="MYA109" s="769"/>
      <c r="MYB109" s="769"/>
      <c r="MYC109" s="769"/>
      <c r="MYD109" s="769"/>
      <c r="MYE109" s="769"/>
      <c r="MYF109" s="769"/>
      <c r="MYG109" s="769"/>
      <c r="MYH109" s="769"/>
      <c r="MYI109" s="769"/>
      <c r="MYJ109" s="769"/>
      <c r="MYK109" s="769"/>
      <c r="MYL109" s="769"/>
      <c r="MYM109" s="769"/>
      <c r="MYN109" s="769"/>
      <c r="MYO109" s="769"/>
      <c r="MYP109" s="769"/>
      <c r="MYQ109" s="769"/>
      <c r="MYR109" s="769"/>
      <c r="MYS109" s="769"/>
      <c r="MYT109" s="769"/>
      <c r="MYU109" s="769"/>
      <c r="MYV109" s="769"/>
      <c r="MYW109" s="769"/>
      <c r="MYX109" s="769"/>
      <c r="MYY109" s="769"/>
      <c r="MYZ109" s="769"/>
      <c r="MZA109" s="769"/>
      <c r="MZB109" s="769"/>
      <c r="MZC109" s="769"/>
      <c r="MZD109" s="769"/>
      <c r="MZE109" s="769"/>
      <c r="MZF109" s="769"/>
      <c r="MZG109" s="769"/>
      <c r="MZH109" s="769"/>
      <c r="MZI109" s="769"/>
      <c r="MZJ109" s="769"/>
      <c r="MZK109" s="769"/>
      <c r="MZL109" s="769"/>
      <c r="MZM109" s="769"/>
      <c r="MZN109" s="769"/>
      <c r="MZO109" s="769"/>
      <c r="MZP109" s="769"/>
      <c r="MZQ109" s="769"/>
      <c r="MZR109" s="769"/>
      <c r="MZS109" s="769"/>
      <c r="MZT109" s="769"/>
      <c r="MZU109" s="769"/>
      <c r="MZV109" s="769"/>
      <c r="MZW109" s="769"/>
      <c r="MZX109" s="769"/>
      <c r="MZY109" s="769"/>
      <c r="MZZ109" s="769"/>
      <c r="NAA109" s="769"/>
      <c r="NAB109" s="769"/>
      <c r="NAC109" s="769"/>
      <c r="NAD109" s="769"/>
      <c r="NAE109" s="769"/>
      <c r="NAF109" s="769"/>
      <c r="NAG109" s="769"/>
      <c r="NAH109" s="769"/>
      <c r="NAI109" s="769"/>
      <c r="NAJ109" s="769"/>
      <c r="NAK109" s="769"/>
      <c r="NAL109" s="769"/>
      <c r="NAM109" s="769"/>
      <c r="NAN109" s="769"/>
      <c r="NAO109" s="769"/>
      <c r="NAP109" s="769"/>
      <c r="NAQ109" s="769"/>
      <c r="NAR109" s="769"/>
      <c r="NAS109" s="769"/>
      <c r="NAT109" s="769"/>
      <c r="NAU109" s="769"/>
      <c r="NAV109" s="769"/>
      <c r="NAW109" s="769"/>
      <c r="NAX109" s="769"/>
      <c r="NAY109" s="769"/>
      <c r="NAZ109" s="769"/>
      <c r="NBA109" s="769"/>
      <c r="NBB109" s="769"/>
      <c r="NBC109" s="769"/>
      <c r="NBD109" s="769"/>
      <c r="NBE109" s="769"/>
      <c r="NBF109" s="769"/>
      <c r="NBG109" s="769"/>
      <c r="NBH109" s="769"/>
      <c r="NBI109" s="769"/>
      <c r="NBJ109" s="769"/>
      <c r="NBK109" s="769"/>
      <c r="NBL109" s="769"/>
      <c r="NBM109" s="769"/>
      <c r="NBN109" s="769"/>
      <c r="NBO109" s="769"/>
      <c r="NBP109" s="769"/>
      <c r="NBQ109" s="769"/>
      <c r="NBR109" s="769"/>
      <c r="NBS109" s="769"/>
      <c r="NBT109" s="769"/>
      <c r="NBU109" s="769"/>
      <c r="NBV109" s="769"/>
      <c r="NBW109" s="769"/>
      <c r="NBX109" s="769"/>
      <c r="NBY109" s="769"/>
      <c r="NBZ109" s="769"/>
      <c r="NCA109" s="769"/>
      <c r="NCB109" s="769"/>
      <c r="NCC109" s="769"/>
      <c r="NCD109" s="769"/>
      <c r="NCE109" s="769"/>
      <c r="NCF109" s="769"/>
      <c r="NCG109" s="769"/>
      <c r="NCH109" s="769"/>
      <c r="NCI109" s="769"/>
      <c r="NCJ109" s="769"/>
      <c r="NCK109" s="769"/>
      <c r="NCL109" s="769"/>
      <c r="NCM109" s="769"/>
      <c r="NCN109" s="769"/>
      <c r="NCO109" s="769"/>
      <c r="NCP109" s="769"/>
      <c r="NCQ109" s="769"/>
      <c r="NCR109" s="769"/>
      <c r="NCS109" s="769"/>
      <c r="NCT109" s="769"/>
      <c r="NCU109" s="769"/>
      <c r="NCV109" s="769"/>
      <c r="NCW109" s="769"/>
      <c r="NCX109" s="769"/>
      <c r="NCY109" s="769"/>
      <c r="NCZ109" s="769"/>
      <c r="NDA109" s="769"/>
      <c r="NDB109" s="769"/>
      <c r="NDC109" s="769"/>
      <c r="NDD109" s="769"/>
      <c r="NDE109" s="769"/>
      <c r="NDF109" s="769"/>
      <c r="NDG109" s="769"/>
      <c r="NDH109" s="769"/>
      <c r="NDI109" s="769"/>
      <c r="NDJ109" s="769"/>
      <c r="NDK109" s="769"/>
      <c r="NDL109" s="769"/>
      <c r="NDM109" s="769"/>
      <c r="NDN109" s="769"/>
      <c r="NDO109" s="769"/>
      <c r="NDP109" s="769"/>
      <c r="NDQ109" s="769"/>
      <c r="NDR109" s="769"/>
      <c r="NDS109" s="769"/>
      <c r="NDT109" s="769"/>
      <c r="NDU109" s="769"/>
      <c r="NDV109" s="769"/>
      <c r="NDW109" s="769"/>
      <c r="NDX109" s="769"/>
      <c r="NDY109" s="769"/>
      <c r="NDZ109" s="769"/>
      <c r="NEA109" s="769"/>
      <c r="NEB109" s="769"/>
      <c r="NEC109" s="769"/>
      <c r="NED109" s="769"/>
      <c r="NEE109" s="769"/>
      <c r="NEF109" s="769"/>
      <c r="NEG109" s="769"/>
      <c r="NEH109" s="769"/>
      <c r="NEI109" s="769"/>
      <c r="NEJ109" s="769"/>
      <c r="NEK109" s="769"/>
      <c r="NEL109" s="769"/>
      <c r="NEM109" s="769"/>
      <c r="NEN109" s="769"/>
      <c r="NEO109" s="769"/>
      <c r="NEP109" s="769"/>
      <c r="NEQ109" s="769"/>
      <c r="NER109" s="769"/>
      <c r="NES109" s="769"/>
      <c r="NET109" s="769"/>
      <c r="NEU109" s="769"/>
      <c r="NEV109" s="769"/>
      <c r="NEW109" s="769"/>
      <c r="NEX109" s="769"/>
      <c r="NEY109" s="769"/>
      <c r="NEZ109" s="769"/>
      <c r="NFA109" s="769"/>
      <c r="NFB109" s="769"/>
      <c r="NFC109" s="769"/>
      <c r="NFD109" s="769"/>
      <c r="NFE109" s="769"/>
      <c r="NFF109" s="769"/>
      <c r="NFG109" s="769"/>
      <c r="NFH109" s="769"/>
      <c r="NFI109" s="769"/>
      <c r="NFJ109" s="769"/>
      <c r="NFK109" s="769"/>
      <c r="NFL109" s="769"/>
      <c r="NFM109" s="769"/>
      <c r="NFN109" s="769"/>
      <c r="NFO109" s="769"/>
      <c r="NFP109" s="769"/>
      <c r="NFQ109" s="769"/>
      <c r="NFR109" s="769"/>
      <c r="NFS109" s="769"/>
      <c r="NFT109" s="769"/>
      <c r="NFU109" s="769"/>
      <c r="NFV109" s="769"/>
      <c r="NFW109" s="769"/>
      <c r="NFX109" s="769"/>
      <c r="NFY109" s="769"/>
      <c r="NFZ109" s="769"/>
      <c r="NGA109" s="769"/>
      <c r="NGB109" s="769"/>
      <c r="NGC109" s="769"/>
      <c r="NGD109" s="769"/>
      <c r="NGE109" s="769"/>
      <c r="NGF109" s="769"/>
      <c r="NGG109" s="769"/>
      <c r="NGH109" s="769"/>
      <c r="NGI109" s="769"/>
      <c r="NGJ109" s="769"/>
      <c r="NGK109" s="769"/>
      <c r="NGL109" s="769"/>
      <c r="NGM109" s="769"/>
      <c r="NGN109" s="769"/>
      <c r="NGO109" s="769"/>
      <c r="NGP109" s="769"/>
      <c r="NGQ109" s="769"/>
      <c r="NGR109" s="769"/>
      <c r="NGS109" s="769"/>
      <c r="NGT109" s="769"/>
      <c r="NGU109" s="769"/>
      <c r="NGV109" s="769"/>
      <c r="NGW109" s="769"/>
      <c r="NGX109" s="769"/>
      <c r="NGY109" s="769"/>
      <c r="NGZ109" s="769"/>
      <c r="NHA109" s="769"/>
      <c r="NHB109" s="769"/>
      <c r="NHC109" s="769"/>
      <c r="NHD109" s="769"/>
      <c r="NHE109" s="769"/>
      <c r="NHF109" s="769"/>
      <c r="NHG109" s="769"/>
      <c r="NHH109" s="769"/>
      <c r="NHI109" s="769"/>
      <c r="NHJ109" s="769"/>
      <c r="NHK109" s="769"/>
      <c r="NHL109" s="769"/>
      <c r="NHM109" s="769"/>
      <c r="NHN109" s="769"/>
      <c r="NHO109" s="769"/>
      <c r="NHP109" s="769"/>
      <c r="NHQ109" s="769"/>
      <c r="NHR109" s="769"/>
      <c r="NHS109" s="769"/>
      <c r="NHT109" s="769"/>
      <c r="NHU109" s="769"/>
      <c r="NHV109" s="769"/>
      <c r="NHW109" s="769"/>
      <c r="NHX109" s="769"/>
      <c r="NHY109" s="769"/>
      <c r="NHZ109" s="769"/>
      <c r="NIA109" s="769"/>
      <c r="NIB109" s="769"/>
      <c r="NIC109" s="769"/>
      <c r="NID109" s="769"/>
      <c r="NIE109" s="769"/>
      <c r="NIF109" s="769"/>
      <c r="NIG109" s="769"/>
      <c r="NIH109" s="769"/>
      <c r="NII109" s="769"/>
      <c r="NIJ109" s="769"/>
      <c r="NIK109" s="769"/>
      <c r="NIL109" s="769"/>
      <c r="NIM109" s="769"/>
      <c r="NIN109" s="769"/>
      <c r="NIO109" s="769"/>
      <c r="NIP109" s="769"/>
      <c r="NIQ109" s="769"/>
      <c r="NIR109" s="769"/>
      <c r="NIS109" s="769"/>
      <c r="NIT109" s="769"/>
      <c r="NIU109" s="769"/>
      <c r="NIV109" s="769"/>
      <c r="NIW109" s="769"/>
      <c r="NIX109" s="769"/>
      <c r="NIY109" s="769"/>
      <c r="NIZ109" s="769"/>
      <c r="NJA109" s="769"/>
      <c r="NJB109" s="769"/>
      <c r="NJC109" s="769"/>
      <c r="NJD109" s="769"/>
      <c r="NJE109" s="769"/>
      <c r="NJF109" s="769"/>
      <c r="NJG109" s="769"/>
      <c r="NJH109" s="769"/>
      <c r="NJI109" s="769"/>
      <c r="NJJ109" s="769"/>
      <c r="NJK109" s="769"/>
      <c r="NJL109" s="769"/>
      <c r="NJM109" s="769"/>
      <c r="NJN109" s="769"/>
      <c r="NJO109" s="769"/>
      <c r="NJP109" s="769"/>
      <c r="NJQ109" s="769"/>
      <c r="NJR109" s="769"/>
      <c r="NJS109" s="769"/>
      <c r="NJT109" s="769"/>
      <c r="NJU109" s="769"/>
      <c r="NJV109" s="769"/>
      <c r="NJW109" s="769"/>
      <c r="NJX109" s="769"/>
      <c r="NJY109" s="769"/>
      <c r="NJZ109" s="769"/>
      <c r="NKA109" s="769"/>
      <c r="NKB109" s="769"/>
      <c r="NKC109" s="769"/>
      <c r="NKD109" s="769"/>
      <c r="NKE109" s="769"/>
      <c r="NKF109" s="769"/>
      <c r="NKG109" s="769"/>
      <c r="NKH109" s="769"/>
      <c r="NKI109" s="769"/>
      <c r="NKJ109" s="769"/>
      <c r="NKK109" s="769"/>
      <c r="NKL109" s="769"/>
      <c r="NKM109" s="769"/>
      <c r="NKN109" s="769"/>
      <c r="NKO109" s="769"/>
      <c r="NKP109" s="769"/>
      <c r="NKQ109" s="769"/>
      <c r="NKR109" s="769"/>
      <c r="NKS109" s="769"/>
      <c r="NKT109" s="769"/>
      <c r="NKU109" s="769"/>
      <c r="NKV109" s="769"/>
      <c r="NKW109" s="769"/>
      <c r="NKX109" s="769"/>
      <c r="NKY109" s="769"/>
      <c r="NKZ109" s="769"/>
      <c r="NLA109" s="769"/>
      <c r="NLB109" s="769"/>
      <c r="NLC109" s="769"/>
      <c r="NLD109" s="769"/>
      <c r="NLE109" s="769"/>
      <c r="NLF109" s="769"/>
      <c r="NLG109" s="769"/>
      <c r="NLH109" s="769"/>
      <c r="NLI109" s="769"/>
      <c r="NLJ109" s="769"/>
      <c r="NLK109" s="769"/>
      <c r="NLL109" s="769"/>
      <c r="NLM109" s="769"/>
      <c r="NLN109" s="769"/>
      <c r="NLO109" s="769"/>
      <c r="NLP109" s="769"/>
      <c r="NLQ109" s="769"/>
      <c r="NLR109" s="769"/>
      <c r="NLS109" s="769"/>
      <c r="NLT109" s="769"/>
      <c r="NLU109" s="769"/>
      <c r="NLV109" s="769"/>
      <c r="NLW109" s="769"/>
      <c r="NLX109" s="769"/>
      <c r="NLY109" s="769"/>
      <c r="NLZ109" s="769"/>
      <c r="NMA109" s="769"/>
      <c r="NMB109" s="769"/>
      <c r="NMC109" s="769"/>
      <c r="NMD109" s="769"/>
      <c r="NME109" s="769"/>
      <c r="NMF109" s="769"/>
      <c r="NMG109" s="769"/>
      <c r="NMH109" s="769"/>
      <c r="NMI109" s="769"/>
      <c r="NMJ109" s="769"/>
      <c r="NMK109" s="769"/>
      <c r="NML109" s="769"/>
      <c r="NMM109" s="769"/>
      <c r="NMN109" s="769"/>
      <c r="NMO109" s="769"/>
      <c r="NMP109" s="769"/>
      <c r="NMQ109" s="769"/>
      <c r="NMR109" s="769"/>
      <c r="NMS109" s="769"/>
      <c r="NMT109" s="769"/>
      <c r="NMU109" s="769"/>
      <c r="NMV109" s="769"/>
      <c r="NMW109" s="769"/>
      <c r="NMX109" s="769"/>
      <c r="NMY109" s="769"/>
      <c r="NMZ109" s="769"/>
      <c r="NNA109" s="769"/>
      <c r="NNB109" s="769"/>
      <c r="NNC109" s="769"/>
      <c r="NND109" s="769"/>
      <c r="NNE109" s="769"/>
      <c r="NNF109" s="769"/>
      <c r="NNG109" s="769"/>
      <c r="NNH109" s="769"/>
      <c r="NNI109" s="769"/>
      <c r="NNJ109" s="769"/>
      <c r="NNK109" s="769"/>
      <c r="NNL109" s="769"/>
      <c r="NNM109" s="769"/>
      <c r="NNN109" s="769"/>
      <c r="NNO109" s="769"/>
      <c r="NNP109" s="769"/>
      <c r="NNQ109" s="769"/>
      <c r="NNR109" s="769"/>
      <c r="NNS109" s="769"/>
      <c r="NNT109" s="769"/>
      <c r="NNU109" s="769"/>
      <c r="NNV109" s="769"/>
      <c r="NNW109" s="769"/>
      <c r="NNX109" s="769"/>
      <c r="NNY109" s="769"/>
      <c r="NNZ109" s="769"/>
      <c r="NOA109" s="769"/>
      <c r="NOB109" s="769"/>
      <c r="NOC109" s="769"/>
      <c r="NOD109" s="769"/>
      <c r="NOE109" s="769"/>
      <c r="NOF109" s="769"/>
      <c r="NOG109" s="769"/>
      <c r="NOH109" s="769"/>
      <c r="NOI109" s="769"/>
      <c r="NOJ109" s="769"/>
      <c r="NOK109" s="769"/>
      <c r="NOL109" s="769"/>
      <c r="NOM109" s="769"/>
      <c r="NON109" s="769"/>
      <c r="NOO109" s="769"/>
      <c r="NOP109" s="769"/>
      <c r="NOQ109" s="769"/>
      <c r="NOR109" s="769"/>
      <c r="NOS109" s="769"/>
      <c r="NOT109" s="769"/>
      <c r="NOU109" s="769"/>
      <c r="NOV109" s="769"/>
      <c r="NOW109" s="769"/>
      <c r="NOX109" s="769"/>
      <c r="NOY109" s="769"/>
      <c r="NOZ109" s="769"/>
      <c r="NPA109" s="769"/>
      <c r="NPB109" s="769"/>
      <c r="NPC109" s="769"/>
      <c r="NPD109" s="769"/>
      <c r="NPE109" s="769"/>
      <c r="NPF109" s="769"/>
      <c r="NPG109" s="769"/>
      <c r="NPH109" s="769"/>
      <c r="NPI109" s="769"/>
      <c r="NPJ109" s="769"/>
      <c r="NPK109" s="769"/>
      <c r="NPL109" s="769"/>
      <c r="NPM109" s="769"/>
      <c r="NPN109" s="769"/>
      <c r="NPO109" s="769"/>
      <c r="NPP109" s="769"/>
      <c r="NPQ109" s="769"/>
      <c r="NPR109" s="769"/>
      <c r="NPS109" s="769"/>
      <c r="NPT109" s="769"/>
      <c r="NPU109" s="769"/>
      <c r="NPV109" s="769"/>
      <c r="NPW109" s="769"/>
      <c r="NPX109" s="769"/>
      <c r="NPY109" s="769"/>
      <c r="NPZ109" s="769"/>
      <c r="NQA109" s="769"/>
      <c r="NQB109" s="769"/>
      <c r="NQC109" s="769"/>
      <c r="NQD109" s="769"/>
      <c r="NQE109" s="769"/>
      <c r="NQF109" s="769"/>
      <c r="NQG109" s="769"/>
      <c r="NQH109" s="769"/>
      <c r="NQI109" s="769"/>
      <c r="NQJ109" s="769"/>
      <c r="NQK109" s="769"/>
      <c r="NQL109" s="769"/>
      <c r="NQM109" s="769"/>
      <c r="NQN109" s="769"/>
      <c r="NQO109" s="769"/>
      <c r="NQP109" s="769"/>
      <c r="NQQ109" s="769"/>
      <c r="NQR109" s="769"/>
      <c r="NQS109" s="769"/>
      <c r="NQT109" s="769"/>
      <c r="NQU109" s="769"/>
      <c r="NQV109" s="769"/>
      <c r="NQW109" s="769"/>
      <c r="NQX109" s="769"/>
      <c r="NQY109" s="769"/>
      <c r="NQZ109" s="769"/>
      <c r="NRA109" s="769"/>
      <c r="NRB109" s="769"/>
      <c r="NRC109" s="769"/>
      <c r="NRD109" s="769"/>
      <c r="NRE109" s="769"/>
      <c r="NRF109" s="769"/>
      <c r="NRG109" s="769"/>
      <c r="NRH109" s="769"/>
      <c r="NRI109" s="769"/>
      <c r="NRJ109" s="769"/>
      <c r="NRK109" s="769"/>
      <c r="NRL109" s="769"/>
      <c r="NRM109" s="769"/>
      <c r="NRN109" s="769"/>
      <c r="NRO109" s="769"/>
      <c r="NRP109" s="769"/>
      <c r="NRQ109" s="769"/>
      <c r="NRR109" s="769"/>
      <c r="NRS109" s="769"/>
      <c r="NRT109" s="769"/>
      <c r="NRU109" s="769"/>
      <c r="NRV109" s="769"/>
      <c r="NRW109" s="769"/>
      <c r="NRX109" s="769"/>
      <c r="NRY109" s="769"/>
      <c r="NRZ109" s="769"/>
      <c r="NSA109" s="769"/>
      <c r="NSB109" s="769"/>
      <c r="NSC109" s="769"/>
      <c r="NSD109" s="769"/>
      <c r="NSE109" s="769"/>
      <c r="NSF109" s="769"/>
      <c r="NSG109" s="769"/>
      <c r="NSH109" s="769"/>
      <c r="NSI109" s="769"/>
      <c r="NSJ109" s="769"/>
      <c r="NSK109" s="769"/>
      <c r="NSL109" s="769"/>
      <c r="NSM109" s="769"/>
      <c r="NSN109" s="769"/>
      <c r="NSO109" s="769"/>
      <c r="NSP109" s="769"/>
      <c r="NSQ109" s="769"/>
      <c r="NSR109" s="769"/>
      <c r="NSS109" s="769"/>
      <c r="NST109" s="769"/>
      <c r="NSU109" s="769"/>
      <c r="NSV109" s="769"/>
      <c r="NSW109" s="769"/>
      <c r="NSX109" s="769"/>
      <c r="NSY109" s="769"/>
      <c r="NSZ109" s="769"/>
      <c r="NTA109" s="769"/>
      <c r="NTB109" s="769"/>
      <c r="NTC109" s="769"/>
      <c r="NTD109" s="769"/>
      <c r="NTE109" s="769"/>
      <c r="NTF109" s="769"/>
      <c r="NTG109" s="769"/>
      <c r="NTH109" s="769"/>
      <c r="NTI109" s="769"/>
      <c r="NTJ109" s="769"/>
      <c r="NTK109" s="769"/>
      <c r="NTL109" s="769"/>
      <c r="NTM109" s="769"/>
      <c r="NTN109" s="769"/>
      <c r="NTO109" s="769"/>
      <c r="NTP109" s="769"/>
      <c r="NTQ109" s="769"/>
      <c r="NTR109" s="769"/>
      <c r="NTS109" s="769"/>
      <c r="NTT109" s="769"/>
      <c r="NTU109" s="769"/>
      <c r="NTV109" s="769"/>
      <c r="NTW109" s="769"/>
      <c r="NTX109" s="769"/>
      <c r="NTY109" s="769"/>
      <c r="NTZ109" s="769"/>
      <c r="NUA109" s="769"/>
      <c r="NUB109" s="769"/>
      <c r="NUC109" s="769"/>
      <c r="NUD109" s="769"/>
      <c r="NUE109" s="769"/>
      <c r="NUF109" s="769"/>
      <c r="NUG109" s="769"/>
      <c r="NUH109" s="769"/>
      <c r="NUI109" s="769"/>
      <c r="NUJ109" s="769"/>
      <c r="NUK109" s="769"/>
      <c r="NUL109" s="769"/>
      <c r="NUM109" s="769"/>
      <c r="NUN109" s="769"/>
      <c r="NUO109" s="769"/>
      <c r="NUP109" s="769"/>
      <c r="NUQ109" s="769"/>
      <c r="NUR109" s="769"/>
      <c r="NUS109" s="769"/>
      <c r="NUT109" s="769"/>
      <c r="NUU109" s="769"/>
      <c r="NUV109" s="769"/>
      <c r="NUW109" s="769"/>
      <c r="NUX109" s="769"/>
      <c r="NUY109" s="769"/>
      <c r="NUZ109" s="769"/>
      <c r="NVA109" s="769"/>
      <c r="NVB109" s="769"/>
      <c r="NVC109" s="769"/>
      <c r="NVD109" s="769"/>
      <c r="NVE109" s="769"/>
      <c r="NVF109" s="769"/>
      <c r="NVG109" s="769"/>
      <c r="NVH109" s="769"/>
      <c r="NVI109" s="769"/>
      <c r="NVJ109" s="769"/>
      <c r="NVK109" s="769"/>
      <c r="NVL109" s="769"/>
      <c r="NVM109" s="769"/>
      <c r="NVN109" s="769"/>
      <c r="NVO109" s="769"/>
      <c r="NVP109" s="769"/>
      <c r="NVQ109" s="769"/>
      <c r="NVR109" s="769"/>
      <c r="NVS109" s="769"/>
      <c r="NVT109" s="769"/>
      <c r="NVU109" s="769"/>
      <c r="NVV109" s="769"/>
      <c r="NVW109" s="769"/>
      <c r="NVX109" s="769"/>
      <c r="NVY109" s="769"/>
      <c r="NVZ109" s="769"/>
      <c r="NWA109" s="769"/>
      <c r="NWB109" s="769"/>
      <c r="NWC109" s="769"/>
      <c r="NWD109" s="769"/>
      <c r="NWE109" s="769"/>
      <c r="NWF109" s="769"/>
      <c r="NWG109" s="769"/>
      <c r="NWH109" s="769"/>
      <c r="NWI109" s="769"/>
      <c r="NWJ109" s="769"/>
      <c r="NWK109" s="769"/>
      <c r="NWL109" s="769"/>
      <c r="NWM109" s="769"/>
      <c r="NWN109" s="769"/>
      <c r="NWO109" s="769"/>
      <c r="NWP109" s="769"/>
      <c r="NWQ109" s="769"/>
      <c r="NWR109" s="769"/>
      <c r="NWS109" s="769"/>
      <c r="NWT109" s="769"/>
      <c r="NWU109" s="769"/>
      <c r="NWV109" s="769"/>
      <c r="NWW109" s="769"/>
      <c r="NWX109" s="769"/>
      <c r="NWY109" s="769"/>
      <c r="NWZ109" s="769"/>
      <c r="NXA109" s="769"/>
      <c r="NXB109" s="769"/>
      <c r="NXC109" s="769"/>
      <c r="NXD109" s="769"/>
      <c r="NXE109" s="769"/>
      <c r="NXF109" s="769"/>
      <c r="NXG109" s="769"/>
      <c r="NXH109" s="769"/>
      <c r="NXI109" s="769"/>
      <c r="NXJ109" s="769"/>
      <c r="NXK109" s="769"/>
      <c r="NXL109" s="769"/>
      <c r="NXM109" s="769"/>
      <c r="NXN109" s="769"/>
      <c r="NXO109" s="769"/>
      <c r="NXP109" s="769"/>
      <c r="NXQ109" s="769"/>
      <c r="NXR109" s="769"/>
      <c r="NXS109" s="769"/>
      <c r="NXT109" s="769"/>
      <c r="NXU109" s="769"/>
      <c r="NXV109" s="769"/>
      <c r="NXW109" s="769"/>
      <c r="NXX109" s="769"/>
      <c r="NXY109" s="769"/>
      <c r="NXZ109" s="769"/>
      <c r="NYA109" s="769"/>
      <c r="NYB109" s="769"/>
      <c r="NYC109" s="769"/>
      <c r="NYD109" s="769"/>
      <c r="NYE109" s="769"/>
      <c r="NYF109" s="769"/>
      <c r="NYG109" s="769"/>
      <c r="NYH109" s="769"/>
      <c r="NYI109" s="769"/>
      <c r="NYJ109" s="769"/>
      <c r="NYK109" s="769"/>
      <c r="NYL109" s="769"/>
      <c r="NYM109" s="769"/>
      <c r="NYN109" s="769"/>
      <c r="NYO109" s="769"/>
      <c r="NYP109" s="769"/>
      <c r="NYQ109" s="769"/>
      <c r="NYR109" s="769"/>
      <c r="NYS109" s="769"/>
      <c r="NYT109" s="769"/>
      <c r="NYU109" s="769"/>
      <c r="NYV109" s="769"/>
      <c r="NYW109" s="769"/>
      <c r="NYX109" s="769"/>
      <c r="NYY109" s="769"/>
      <c r="NYZ109" s="769"/>
      <c r="NZA109" s="769"/>
      <c r="NZB109" s="769"/>
      <c r="NZC109" s="769"/>
      <c r="NZD109" s="769"/>
      <c r="NZE109" s="769"/>
      <c r="NZF109" s="769"/>
      <c r="NZG109" s="769"/>
      <c r="NZH109" s="769"/>
      <c r="NZI109" s="769"/>
      <c r="NZJ109" s="769"/>
      <c r="NZK109" s="769"/>
      <c r="NZL109" s="769"/>
      <c r="NZM109" s="769"/>
      <c r="NZN109" s="769"/>
      <c r="NZO109" s="769"/>
      <c r="NZP109" s="769"/>
      <c r="NZQ109" s="769"/>
      <c r="NZR109" s="769"/>
      <c r="NZS109" s="769"/>
      <c r="NZT109" s="769"/>
      <c r="NZU109" s="769"/>
      <c r="NZV109" s="769"/>
      <c r="NZW109" s="769"/>
      <c r="NZX109" s="769"/>
      <c r="NZY109" s="769"/>
      <c r="NZZ109" s="769"/>
      <c r="OAA109" s="769"/>
      <c r="OAB109" s="769"/>
      <c r="OAC109" s="769"/>
      <c r="OAD109" s="769"/>
      <c r="OAE109" s="769"/>
      <c r="OAF109" s="769"/>
      <c r="OAG109" s="769"/>
      <c r="OAH109" s="769"/>
      <c r="OAI109" s="769"/>
      <c r="OAJ109" s="769"/>
      <c r="OAK109" s="769"/>
      <c r="OAL109" s="769"/>
      <c r="OAM109" s="769"/>
      <c r="OAN109" s="769"/>
      <c r="OAO109" s="769"/>
      <c r="OAP109" s="769"/>
      <c r="OAQ109" s="769"/>
      <c r="OAR109" s="769"/>
      <c r="OAS109" s="769"/>
      <c r="OAT109" s="769"/>
      <c r="OAU109" s="769"/>
      <c r="OAV109" s="769"/>
      <c r="OAW109" s="769"/>
      <c r="OAX109" s="769"/>
      <c r="OAY109" s="769"/>
      <c r="OAZ109" s="769"/>
      <c r="OBA109" s="769"/>
      <c r="OBB109" s="769"/>
      <c r="OBC109" s="769"/>
      <c r="OBD109" s="769"/>
      <c r="OBE109" s="769"/>
      <c r="OBF109" s="769"/>
      <c r="OBG109" s="769"/>
      <c r="OBH109" s="769"/>
      <c r="OBI109" s="769"/>
      <c r="OBJ109" s="769"/>
      <c r="OBK109" s="769"/>
      <c r="OBL109" s="769"/>
      <c r="OBM109" s="769"/>
      <c r="OBN109" s="769"/>
      <c r="OBO109" s="769"/>
      <c r="OBP109" s="769"/>
      <c r="OBQ109" s="769"/>
      <c r="OBR109" s="769"/>
      <c r="OBS109" s="769"/>
      <c r="OBT109" s="769"/>
      <c r="OBU109" s="769"/>
      <c r="OBV109" s="769"/>
      <c r="OBW109" s="769"/>
      <c r="OBX109" s="769"/>
      <c r="OBY109" s="769"/>
      <c r="OBZ109" s="769"/>
      <c r="OCA109" s="769"/>
      <c r="OCB109" s="769"/>
      <c r="OCC109" s="769"/>
      <c r="OCD109" s="769"/>
      <c r="OCE109" s="769"/>
      <c r="OCF109" s="769"/>
      <c r="OCG109" s="769"/>
      <c r="OCH109" s="769"/>
      <c r="OCI109" s="769"/>
      <c r="OCJ109" s="769"/>
      <c r="OCK109" s="769"/>
      <c r="OCL109" s="769"/>
      <c r="OCM109" s="769"/>
      <c r="OCN109" s="769"/>
      <c r="OCO109" s="769"/>
      <c r="OCP109" s="769"/>
      <c r="OCQ109" s="769"/>
      <c r="OCR109" s="769"/>
      <c r="OCS109" s="769"/>
      <c r="OCT109" s="769"/>
      <c r="OCU109" s="769"/>
      <c r="OCV109" s="769"/>
      <c r="OCW109" s="769"/>
      <c r="OCX109" s="769"/>
      <c r="OCY109" s="769"/>
      <c r="OCZ109" s="769"/>
      <c r="ODA109" s="769"/>
      <c r="ODB109" s="769"/>
      <c r="ODC109" s="769"/>
      <c r="ODD109" s="769"/>
      <c r="ODE109" s="769"/>
      <c r="ODF109" s="769"/>
      <c r="ODG109" s="769"/>
      <c r="ODH109" s="769"/>
      <c r="ODI109" s="769"/>
      <c r="ODJ109" s="769"/>
      <c r="ODK109" s="769"/>
      <c r="ODL109" s="769"/>
      <c r="ODM109" s="769"/>
      <c r="ODN109" s="769"/>
      <c r="ODO109" s="769"/>
      <c r="ODP109" s="769"/>
      <c r="ODQ109" s="769"/>
      <c r="ODR109" s="769"/>
      <c r="ODS109" s="769"/>
      <c r="ODT109" s="769"/>
      <c r="ODU109" s="769"/>
      <c r="ODV109" s="769"/>
      <c r="ODW109" s="769"/>
      <c r="ODX109" s="769"/>
      <c r="ODY109" s="769"/>
      <c r="ODZ109" s="769"/>
      <c r="OEA109" s="769"/>
      <c r="OEB109" s="769"/>
      <c r="OEC109" s="769"/>
      <c r="OED109" s="769"/>
      <c r="OEE109" s="769"/>
      <c r="OEF109" s="769"/>
      <c r="OEG109" s="769"/>
      <c r="OEH109" s="769"/>
      <c r="OEI109" s="769"/>
      <c r="OEJ109" s="769"/>
      <c r="OEK109" s="769"/>
      <c r="OEL109" s="769"/>
      <c r="OEM109" s="769"/>
      <c r="OEN109" s="769"/>
      <c r="OEO109" s="769"/>
      <c r="OEP109" s="769"/>
      <c r="OEQ109" s="769"/>
      <c r="OER109" s="769"/>
      <c r="OES109" s="769"/>
      <c r="OET109" s="769"/>
      <c r="OEU109" s="769"/>
      <c r="OEV109" s="769"/>
      <c r="OEW109" s="769"/>
      <c r="OEX109" s="769"/>
      <c r="OEY109" s="769"/>
      <c r="OEZ109" s="769"/>
      <c r="OFA109" s="769"/>
      <c r="OFB109" s="769"/>
      <c r="OFC109" s="769"/>
      <c r="OFD109" s="769"/>
      <c r="OFE109" s="769"/>
      <c r="OFF109" s="769"/>
      <c r="OFG109" s="769"/>
      <c r="OFH109" s="769"/>
      <c r="OFI109" s="769"/>
      <c r="OFJ109" s="769"/>
      <c r="OFK109" s="769"/>
      <c r="OFL109" s="769"/>
      <c r="OFM109" s="769"/>
      <c r="OFN109" s="769"/>
      <c r="OFO109" s="769"/>
      <c r="OFP109" s="769"/>
      <c r="OFQ109" s="769"/>
      <c r="OFR109" s="769"/>
      <c r="OFS109" s="769"/>
      <c r="OFT109" s="769"/>
      <c r="OFU109" s="769"/>
      <c r="OFV109" s="769"/>
      <c r="OFW109" s="769"/>
      <c r="OFX109" s="769"/>
      <c r="OFY109" s="769"/>
      <c r="OFZ109" s="769"/>
      <c r="OGA109" s="769"/>
      <c r="OGB109" s="769"/>
      <c r="OGC109" s="769"/>
      <c r="OGD109" s="769"/>
      <c r="OGE109" s="769"/>
      <c r="OGF109" s="769"/>
      <c r="OGG109" s="769"/>
      <c r="OGH109" s="769"/>
      <c r="OGI109" s="769"/>
      <c r="OGJ109" s="769"/>
      <c r="OGK109" s="769"/>
      <c r="OGL109" s="769"/>
      <c r="OGM109" s="769"/>
      <c r="OGN109" s="769"/>
      <c r="OGO109" s="769"/>
      <c r="OGP109" s="769"/>
      <c r="OGQ109" s="769"/>
      <c r="OGR109" s="769"/>
      <c r="OGS109" s="769"/>
      <c r="OGT109" s="769"/>
      <c r="OGU109" s="769"/>
      <c r="OGV109" s="769"/>
      <c r="OGW109" s="769"/>
      <c r="OGX109" s="769"/>
      <c r="OGY109" s="769"/>
      <c r="OGZ109" s="769"/>
      <c r="OHA109" s="769"/>
      <c r="OHB109" s="769"/>
      <c r="OHC109" s="769"/>
      <c r="OHD109" s="769"/>
      <c r="OHE109" s="769"/>
      <c r="OHF109" s="769"/>
      <c r="OHG109" s="769"/>
      <c r="OHH109" s="769"/>
      <c r="OHI109" s="769"/>
      <c r="OHJ109" s="769"/>
      <c r="OHK109" s="769"/>
      <c r="OHL109" s="769"/>
      <c r="OHM109" s="769"/>
      <c r="OHN109" s="769"/>
      <c r="OHO109" s="769"/>
      <c r="OHP109" s="769"/>
      <c r="OHQ109" s="769"/>
      <c r="OHR109" s="769"/>
      <c r="OHS109" s="769"/>
      <c r="OHT109" s="769"/>
      <c r="OHU109" s="769"/>
      <c r="OHV109" s="769"/>
      <c r="OHW109" s="769"/>
      <c r="OHX109" s="769"/>
      <c r="OHY109" s="769"/>
      <c r="OHZ109" s="769"/>
      <c r="OIA109" s="769"/>
      <c r="OIB109" s="769"/>
      <c r="OIC109" s="769"/>
      <c r="OID109" s="769"/>
      <c r="OIE109" s="769"/>
      <c r="OIF109" s="769"/>
      <c r="OIG109" s="769"/>
      <c r="OIH109" s="769"/>
      <c r="OII109" s="769"/>
      <c r="OIJ109" s="769"/>
      <c r="OIK109" s="769"/>
      <c r="OIL109" s="769"/>
      <c r="OIM109" s="769"/>
      <c r="OIN109" s="769"/>
      <c r="OIO109" s="769"/>
      <c r="OIP109" s="769"/>
      <c r="OIQ109" s="769"/>
      <c r="OIR109" s="769"/>
      <c r="OIS109" s="769"/>
      <c r="OIT109" s="769"/>
      <c r="OIU109" s="769"/>
      <c r="OIV109" s="769"/>
      <c r="OIW109" s="769"/>
      <c r="OIX109" s="769"/>
      <c r="OIY109" s="769"/>
      <c r="OIZ109" s="769"/>
      <c r="OJA109" s="769"/>
      <c r="OJB109" s="769"/>
      <c r="OJC109" s="769"/>
      <c r="OJD109" s="769"/>
      <c r="OJE109" s="769"/>
      <c r="OJF109" s="769"/>
      <c r="OJG109" s="769"/>
      <c r="OJH109" s="769"/>
      <c r="OJI109" s="769"/>
      <c r="OJJ109" s="769"/>
      <c r="OJK109" s="769"/>
      <c r="OJL109" s="769"/>
      <c r="OJM109" s="769"/>
      <c r="OJN109" s="769"/>
      <c r="OJO109" s="769"/>
      <c r="OJP109" s="769"/>
      <c r="OJQ109" s="769"/>
      <c r="OJR109" s="769"/>
      <c r="OJS109" s="769"/>
      <c r="OJT109" s="769"/>
      <c r="OJU109" s="769"/>
      <c r="OJV109" s="769"/>
      <c r="OJW109" s="769"/>
      <c r="OJX109" s="769"/>
      <c r="OJY109" s="769"/>
      <c r="OJZ109" s="769"/>
      <c r="OKA109" s="769"/>
      <c r="OKB109" s="769"/>
      <c r="OKC109" s="769"/>
      <c r="OKD109" s="769"/>
      <c r="OKE109" s="769"/>
      <c r="OKF109" s="769"/>
      <c r="OKG109" s="769"/>
      <c r="OKH109" s="769"/>
      <c r="OKI109" s="769"/>
      <c r="OKJ109" s="769"/>
      <c r="OKK109" s="769"/>
      <c r="OKL109" s="769"/>
      <c r="OKM109" s="769"/>
      <c r="OKN109" s="769"/>
      <c r="OKO109" s="769"/>
      <c r="OKP109" s="769"/>
      <c r="OKQ109" s="769"/>
      <c r="OKR109" s="769"/>
      <c r="OKS109" s="769"/>
      <c r="OKT109" s="769"/>
      <c r="OKU109" s="769"/>
      <c r="OKV109" s="769"/>
      <c r="OKW109" s="769"/>
      <c r="OKX109" s="769"/>
      <c r="OKY109" s="769"/>
      <c r="OKZ109" s="769"/>
      <c r="OLA109" s="769"/>
      <c r="OLB109" s="769"/>
      <c r="OLC109" s="769"/>
      <c r="OLD109" s="769"/>
      <c r="OLE109" s="769"/>
      <c r="OLF109" s="769"/>
      <c r="OLG109" s="769"/>
      <c r="OLH109" s="769"/>
      <c r="OLI109" s="769"/>
      <c r="OLJ109" s="769"/>
      <c r="OLK109" s="769"/>
      <c r="OLL109" s="769"/>
      <c r="OLM109" s="769"/>
      <c r="OLN109" s="769"/>
      <c r="OLO109" s="769"/>
      <c r="OLP109" s="769"/>
      <c r="OLQ109" s="769"/>
      <c r="OLR109" s="769"/>
      <c r="OLS109" s="769"/>
      <c r="OLT109" s="769"/>
      <c r="OLU109" s="769"/>
      <c r="OLV109" s="769"/>
      <c r="OLW109" s="769"/>
      <c r="OLX109" s="769"/>
      <c r="OLY109" s="769"/>
      <c r="OLZ109" s="769"/>
      <c r="OMA109" s="769"/>
      <c r="OMB109" s="769"/>
      <c r="OMC109" s="769"/>
      <c r="OMD109" s="769"/>
      <c r="OME109" s="769"/>
      <c r="OMF109" s="769"/>
      <c r="OMG109" s="769"/>
      <c r="OMH109" s="769"/>
      <c r="OMI109" s="769"/>
      <c r="OMJ109" s="769"/>
      <c r="OMK109" s="769"/>
      <c r="OML109" s="769"/>
      <c r="OMM109" s="769"/>
      <c r="OMN109" s="769"/>
      <c r="OMO109" s="769"/>
      <c r="OMP109" s="769"/>
      <c r="OMQ109" s="769"/>
      <c r="OMR109" s="769"/>
      <c r="OMS109" s="769"/>
      <c r="OMT109" s="769"/>
      <c r="OMU109" s="769"/>
      <c r="OMV109" s="769"/>
      <c r="OMW109" s="769"/>
      <c r="OMX109" s="769"/>
      <c r="OMY109" s="769"/>
      <c r="OMZ109" s="769"/>
      <c r="ONA109" s="769"/>
      <c r="ONB109" s="769"/>
      <c r="ONC109" s="769"/>
      <c r="OND109" s="769"/>
      <c r="ONE109" s="769"/>
      <c r="ONF109" s="769"/>
      <c r="ONG109" s="769"/>
      <c r="ONH109" s="769"/>
      <c r="ONI109" s="769"/>
      <c r="ONJ109" s="769"/>
      <c r="ONK109" s="769"/>
      <c r="ONL109" s="769"/>
      <c r="ONM109" s="769"/>
      <c r="ONN109" s="769"/>
      <c r="ONO109" s="769"/>
      <c r="ONP109" s="769"/>
      <c r="ONQ109" s="769"/>
      <c r="ONR109" s="769"/>
      <c r="ONS109" s="769"/>
      <c r="ONT109" s="769"/>
      <c r="ONU109" s="769"/>
      <c r="ONV109" s="769"/>
      <c r="ONW109" s="769"/>
      <c r="ONX109" s="769"/>
      <c r="ONY109" s="769"/>
      <c r="ONZ109" s="769"/>
      <c r="OOA109" s="769"/>
      <c r="OOB109" s="769"/>
      <c r="OOC109" s="769"/>
      <c r="OOD109" s="769"/>
      <c r="OOE109" s="769"/>
      <c r="OOF109" s="769"/>
      <c r="OOG109" s="769"/>
      <c r="OOH109" s="769"/>
      <c r="OOI109" s="769"/>
      <c r="OOJ109" s="769"/>
      <c r="OOK109" s="769"/>
      <c r="OOL109" s="769"/>
      <c r="OOM109" s="769"/>
      <c r="OON109" s="769"/>
      <c r="OOO109" s="769"/>
      <c r="OOP109" s="769"/>
      <c r="OOQ109" s="769"/>
      <c r="OOR109" s="769"/>
      <c r="OOS109" s="769"/>
      <c r="OOT109" s="769"/>
      <c r="OOU109" s="769"/>
      <c r="OOV109" s="769"/>
      <c r="OOW109" s="769"/>
      <c r="OOX109" s="769"/>
      <c r="OOY109" s="769"/>
      <c r="OOZ109" s="769"/>
      <c r="OPA109" s="769"/>
      <c r="OPB109" s="769"/>
      <c r="OPC109" s="769"/>
      <c r="OPD109" s="769"/>
      <c r="OPE109" s="769"/>
      <c r="OPF109" s="769"/>
      <c r="OPG109" s="769"/>
      <c r="OPH109" s="769"/>
      <c r="OPI109" s="769"/>
      <c r="OPJ109" s="769"/>
      <c r="OPK109" s="769"/>
      <c r="OPL109" s="769"/>
      <c r="OPM109" s="769"/>
      <c r="OPN109" s="769"/>
      <c r="OPO109" s="769"/>
      <c r="OPP109" s="769"/>
      <c r="OPQ109" s="769"/>
      <c r="OPR109" s="769"/>
      <c r="OPS109" s="769"/>
      <c r="OPT109" s="769"/>
      <c r="OPU109" s="769"/>
      <c r="OPV109" s="769"/>
      <c r="OPW109" s="769"/>
      <c r="OPX109" s="769"/>
      <c r="OPY109" s="769"/>
      <c r="OPZ109" s="769"/>
      <c r="OQA109" s="769"/>
      <c r="OQB109" s="769"/>
      <c r="OQC109" s="769"/>
      <c r="OQD109" s="769"/>
      <c r="OQE109" s="769"/>
      <c r="OQF109" s="769"/>
      <c r="OQG109" s="769"/>
      <c r="OQH109" s="769"/>
      <c r="OQI109" s="769"/>
      <c r="OQJ109" s="769"/>
      <c r="OQK109" s="769"/>
      <c r="OQL109" s="769"/>
      <c r="OQM109" s="769"/>
      <c r="OQN109" s="769"/>
      <c r="OQO109" s="769"/>
      <c r="OQP109" s="769"/>
      <c r="OQQ109" s="769"/>
      <c r="OQR109" s="769"/>
      <c r="OQS109" s="769"/>
      <c r="OQT109" s="769"/>
      <c r="OQU109" s="769"/>
      <c r="OQV109" s="769"/>
      <c r="OQW109" s="769"/>
      <c r="OQX109" s="769"/>
      <c r="OQY109" s="769"/>
      <c r="OQZ109" s="769"/>
      <c r="ORA109" s="769"/>
      <c r="ORB109" s="769"/>
      <c r="ORC109" s="769"/>
      <c r="ORD109" s="769"/>
      <c r="ORE109" s="769"/>
      <c r="ORF109" s="769"/>
      <c r="ORG109" s="769"/>
      <c r="ORH109" s="769"/>
      <c r="ORI109" s="769"/>
      <c r="ORJ109" s="769"/>
      <c r="ORK109" s="769"/>
      <c r="ORL109" s="769"/>
      <c r="ORM109" s="769"/>
      <c r="ORN109" s="769"/>
      <c r="ORO109" s="769"/>
      <c r="ORP109" s="769"/>
      <c r="ORQ109" s="769"/>
      <c r="ORR109" s="769"/>
      <c r="ORS109" s="769"/>
      <c r="ORT109" s="769"/>
      <c r="ORU109" s="769"/>
      <c r="ORV109" s="769"/>
      <c r="ORW109" s="769"/>
      <c r="ORX109" s="769"/>
      <c r="ORY109" s="769"/>
      <c r="ORZ109" s="769"/>
      <c r="OSA109" s="769"/>
      <c r="OSB109" s="769"/>
      <c r="OSC109" s="769"/>
      <c r="OSD109" s="769"/>
      <c r="OSE109" s="769"/>
      <c r="OSF109" s="769"/>
      <c r="OSG109" s="769"/>
      <c r="OSH109" s="769"/>
      <c r="OSI109" s="769"/>
      <c r="OSJ109" s="769"/>
      <c r="OSK109" s="769"/>
      <c r="OSL109" s="769"/>
      <c r="OSM109" s="769"/>
      <c r="OSN109" s="769"/>
      <c r="OSO109" s="769"/>
      <c r="OSP109" s="769"/>
      <c r="OSQ109" s="769"/>
      <c r="OSR109" s="769"/>
      <c r="OSS109" s="769"/>
      <c r="OST109" s="769"/>
      <c r="OSU109" s="769"/>
      <c r="OSV109" s="769"/>
      <c r="OSW109" s="769"/>
      <c r="OSX109" s="769"/>
      <c r="OSY109" s="769"/>
      <c r="OSZ109" s="769"/>
      <c r="OTA109" s="769"/>
      <c r="OTB109" s="769"/>
      <c r="OTC109" s="769"/>
      <c r="OTD109" s="769"/>
      <c r="OTE109" s="769"/>
      <c r="OTF109" s="769"/>
      <c r="OTG109" s="769"/>
      <c r="OTH109" s="769"/>
      <c r="OTI109" s="769"/>
      <c r="OTJ109" s="769"/>
      <c r="OTK109" s="769"/>
      <c r="OTL109" s="769"/>
      <c r="OTM109" s="769"/>
      <c r="OTN109" s="769"/>
      <c r="OTO109" s="769"/>
      <c r="OTP109" s="769"/>
      <c r="OTQ109" s="769"/>
      <c r="OTR109" s="769"/>
      <c r="OTS109" s="769"/>
      <c r="OTT109" s="769"/>
      <c r="OTU109" s="769"/>
      <c r="OTV109" s="769"/>
      <c r="OTW109" s="769"/>
      <c r="OTX109" s="769"/>
      <c r="OTY109" s="769"/>
      <c r="OTZ109" s="769"/>
      <c r="OUA109" s="769"/>
      <c r="OUB109" s="769"/>
      <c r="OUC109" s="769"/>
      <c r="OUD109" s="769"/>
      <c r="OUE109" s="769"/>
      <c r="OUF109" s="769"/>
      <c r="OUG109" s="769"/>
      <c r="OUH109" s="769"/>
      <c r="OUI109" s="769"/>
      <c r="OUJ109" s="769"/>
      <c r="OUK109" s="769"/>
      <c r="OUL109" s="769"/>
      <c r="OUM109" s="769"/>
      <c r="OUN109" s="769"/>
      <c r="OUO109" s="769"/>
      <c r="OUP109" s="769"/>
      <c r="OUQ109" s="769"/>
      <c r="OUR109" s="769"/>
      <c r="OUS109" s="769"/>
      <c r="OUT109" s="769"/>
      <c r="OUU109" s="769"/>
      <c r="OUV109" s="769"/>
      <c r="OUW109" s="769"/>
      <c r="OUX109" s="769"/>
      <c r="OUY109" s="769"/>
      <c r="OUZ109" s="769"/>
      <c r="OVA109" s="769"/>
      <c r="OVB109" s="769"/>
      <c r="OVC109" s="769"/>
      <c r="OVD109" s="769"/>
      <c r="OVE109" s="769"/>
      <c r="OVF109" s="769"/>
      <c r="OVG109" s="769"/>
      <c r="OVH109" s="769"/>
      <c r="OVI109" s="769"/>
      <c r="OVJ109" s="769"/>
      <c r="OVK109" s="769"/>
      <c r="OVL109" s="769"/>
      <c r="OVM109" s="769"/>
      <c r="OVN109" s="769"/>
      <c r="OVO109" s="769"/>
      <c r="OVP109" s="769"/>
      <c r="OVQ109" s="769"/>
      <c r="OVR109" s="769"/>
      <c r="OVS109" s="769"/>
      <c r="OVT109" s="769"/>
      <c r="OVU109" s="769"/>
      <c r="OVV109" s="769"/>
      <c r="OVW109" s="769"/>
      <c r="OVX109" s="769"/>
      <c r="OVY109" s="769"/>
      <c r="OVZ109" s="769"/>
      <c r="OWA109" s="769"/>
      <c r="OWB109" s="769"/>
      <c r="OWC109" s="769"/>
      <c r="OWD109" s="769"/>
      <c r="OWE109" s="769"/>
      <c r="OWF109" s="769"/>
      <c r="OWG109" s="769"/>
      <c r="OWH109" s="769"/>
      <c r="OWI109" s="769"/>
      <c r="OWJ109" s="769"/>
      <c r="OWK109" s="769"/>
      <c r="OWL109" s="769"/>
      <c r="OWM109" s="769"/>
      <c r="OWN109" s="769"/>
      <c r="OWO109" s="769"/>
      <c r="OWP109" s="769"/>
      <c r="OWQ109" s="769"/>
      <c r="OWR109" s="769"/>
      <c r="OWS109" s="769"/>
      <c r="OWT109" s="769"/>
      <c r="OWU109" s="769"/>
      <c r="OWV109" s="769"/>
      <c r="OWW109" s="769"/>
      <c r="OWX109" s="769"/>
      <c r="OWY109" s="769"/>
      <c r="OWZ109" s="769"/>
      <c r="OXA109" s="769"/>
      <c r="OXB109" s="769"/>
      <c r="OXC109" s="769"/>
      <c r="OXD109" s="769"/>
      <c r="OXE109" s="769"/>
      <c r="OXF109" s="769"/>
      <c r="OXG109" s="769"/>
      <c r="OXH109" s="769"/>
      <c r="OXI109" s="769"/>
      <c r="OXJ109" s="769"/>
      <c r="OXK109" s="769"/>
      <c r="OXL109" s="769"/>
      <c r="OXM109" s="769"/>
      <c r="OXN109" s="769"/>
      <c r="OXO109" s="769"/>
      <c r="OXP109" s="769"/>
      <c r="OXQ109" s="769"/>
      <c r="OXR109" s="769"/>
      <c r="OXS109" s="769"/>
      <c r="OXT109" s="769"/>
      <c r="OXU109" s="769"/>
      <c r="OXV109" s="769"/>
      <c r="OXW109" s="769"/>
      <c r="OXX109" s="769"/>
      <c r="OXY109" s="769"/>
      <c r="OXZ109" s="769"/>
      <c r="OYA109" s="769"/>
      <c r="OYB109" s="769"/>
      <c r="OYC109" s="769"/>
      <c r="OYD109" s="769"/>
      <c r="OYE109" s="769"/>
      <c r="OYF109" s="769"/>
      <c r="OYG109" s="769"/>
      <c r="OYH109" s="769"/>
      <c r="OYI109" s="769"/>
      <c r="OYJ109" s="769"/>
      <c r="OYK109" s="769"/>
      <c r="OYL109" s="769"/>
      <c r="OYM109" s="769"/>
      <c r="OYN109" s="769"/>
      <c r="OYO109" s="769"/>
      <c r="OYP109" s="769"/>
      <c r="OYQ109" s="769"/>
      <c r="OYR109" s="769"/>
      <c r="OYS109" s="769"/>
      <c r="OYT109" s="769"/>
      <c r="OYU109" s="769"/>
      <c r="OYV109" s="769"/>
      <c r="OYW109" s="769"/>
      <c r="OYX109" s="769"/>
      <c r="OYY109" s="769"/>
      <c r="OYZ109" s="769"/>
      <c r="OZA109" s="769"/>
      <c r="OZB109" s="769"/>
      <c r="OZC109" s="769"/>
      <c r="OZD109" s="769"/>
      <c r="OZE109" s="769"/>
      <c r="OZF109" s="769"/>
      <c r="OZG109" s="769"/>
      <c r="OZH109" s="769"/>
      <c r="OZI109" s="769"/>
      <c r="OZJ109" s="769"/>
      <c r="OZK109" s="769"/>
      <c r="OZL109" s="769"/>
      <c r="OZM109" s="769"/>
      <c r="OZN109" s="769"/>
      <c r="OZO109" s="769"/>
      <c r="OZP109" s="769"/>
      <c r="OZQ109" s="769"/>
      <c r="OZR109" s="769"/>
      <c r="OZS109" s="769"/>
      <c r="OZT109" s="769"/>
      <c r="OZU109" s="769"/>
      <c r="OZV109" s="769"/>
      <c r="OZW109" s="769"/>
      <c r="OZX109" s="769"/>
      <c r="OZY109" s="769"/>
      <c r="OZZ109" s="769"/>
      <c r="PAA109" s="769"/>
      <c r="PAB109" s="769"/>
      <c r="PAC109" s="769"/>
      <c r="PAD109" s="769"/>
      <c r="PAE109" s="769"/>
      <c r="PAF109" s="769"/>
      <c r="PAG109" s="769"/>
      <c r="PAH109" s="769"/>
      <c r="PAI109" s="769"/>
      <c r="PAJ109" s="769"/>
      <c r="PAK109" s="769"/>
      <c r="PAL109" s="769"/>
      <c r="PAM109" s="769"/>
      <c r="PAN109" s="769"/>
      <c r="PAO109" s="769"/>
      <c r="PAP109" s="769"/>
      <c r="PAQ109" s="769"/>
      <c r="PAR109" s="769"/>
      <c r="PAS109" s="769"/>
      <c r="PAT109" s="769"/>
      <c r="PAU109" s="769"/>
      <c r="PAV109" s="769"/>
      <c r="PAW109" s="769"/>
      <c r="PAX109" s="769"/>
      <c r="PAY109" s="769"/>
      <c r="PAZ109" s="769"/>
      <c r="PBA109" s="769"/>
      <c r="PBB109" s="769"/>
      <c r="PBC109" s="769"/>
      <c r="PBD109" s="769"/>
      <c r="PBE109" s="769"/>
      <c r="PBF109" s="769"/>
      <c r="PBG109" s="769"/>
      <c r="PBH109" s="769"/>
      <c r="PBI109" s="769"/>
      <c r="PBJ109" s="769"/>
      <c r="PBK109" s="769"/>
      <c r="PBL109" s="769"/>
      <c r="PBM109" s="769"/>
      <c r="PBN109" s="769"/>
      <c r="PBO109" s="769"/>
      <c r="PBP109" s="769"/>
      <c r="PBQ109" s="769"/>
      <c r="PBR109" s="769"/>
      <c r="PBS109" s="769"/>
      <c r="PBT109" s="769"/>
      <c r="PBU109" s="769"/>
      <c r="PBV109" s="769"/>
      <c r="PBW109" s="769"/>
      <c r="PBX109" s="769"/>
      <c r="PBY109" s="769"/>
      <c r="PBZ109" s="769"/>
      <c r="PCA109" s="769"/>
      <c r="PCB109" s="769"/>
      <c r="PCC109" s="769"/>
      <c r="PCD109" s="769"/>
      <c r="PCE109" s="769"/>
      <c r="PCF109" s="769"/>
      <c r="PCG109" s="769"/>
      <c r="PCH109" s="769"/>
      <c r="PCI109" s="769"/>
      <c r="PCJ109" s="769"/>
      <c r="PCK109" s="769"/>
      <c r="PCL109" s="769"/>
      <c r="PCM109" s="769"/>
      <c r="PCN109" s="769"/>
      <c r="PCO109" s="769"/>
      <c r="PCP109" s="769"/>
      <c r="PCQ109" s="769"/>
      <c r="PCR109" s="769"/>
      <c r="PCS109" s="769"/>
      <c r="PCT109" s="769"/>
      <c r="PCU109" s="769"/>
      <c r="PCV109" s="769"/>
      <c r="PCW109" s="769"/>
      <c r="PCX109" s="769"/>
      <c r="PCY109" s="769"/>
      <c r="PCZ109" s="769"/>
      <c r="PDA109" s="769"/>
      <c r="PDB109" s="769"/>
      <c r="PDC109" s="769"/>
      <c r="PDD109" s="769"/>
      <c r="PDE109" s="769"/>
      <c r="PDF109" s="769"/>
      <c r="PDG109" s="769"/>
      <c r="PDH109" s="769"/>
      <c r="PDI109" s="769"/>
      <c r="PDJ109" s="769"/>
      <c r="PDK109" s="769"/>
      <c r="PDL109" s="769"/>
      <c r="PDM109" s="769"/>
      <c r="PDN109" s="769"/>
      <c r="PDO109" s="769"/>
      <c r="PDP109" s="769"/>
      <c r="PDQ109" s="769"/>
      <c r="PDR109" s="769"/>
      <c r="PDS109" s="769"/>
      <c r="PDT109" s="769"/>
      <c r="PDU109" s="769"/>
      <c r="PDV109" s="769"/>
      <c r="PDW109" s="769"/>
      <c r="PDX109" s="769"/>
      <c r="PDY109" s="769"/>
      <c r="PDZ109" s="769"/>
      <c r="PEA109" s="769"/>
      <c r="PEB109" s="769"/>
      <c r="PEC109" s="769"/>
      <c r="PED109" s="769"/>
      <c r="PEE109" s="769"/>
      <c r="PEF109" s="769"/>
      <c r="PEG109" s="769"/>
      <c r="PEH109" s="769"/>
      <c r="PEI109" s="769"/>
      <c r="PEJ109" s="769"/>
      <c r="PEK109" s="769"/>
      <c r="PEL109" s="769"/>
      <c r="PEM109" s="769"/>
      <c r="PEN109" s="769"/>
      <c r="PEO109" s="769"/>
      <c r="PEP109" s="769"/>
      <c r="PEQ109" s="769"/>
      <c r="PER109" s="769"/>
      <c r="PES109" s="769"/>
      <c r="PET109" s="769"/>
      <c r="PEU109" s="769"/>
      <c r="PEV109" s="769"/>
      <c r="PEW109" s="769"/>
      <c r="PEX109" s="769"/>
      <c r="PEY109" s="769"/>
      <c r="PEZ109" s="769"/>
      <c r="PFA109" s="769"/>
      <c r="PFB109" s="769"/>
      <c r="PFC109" s="769"/>
      <c r="PFD109" s="769"/>
      <c r="PFE109" s="769"/>
      <c r="PFF109" s="769"/>
      <c r="PFG109" s="769"/>
      <c r="PFH109" s="769"/>
      <c r="PFI109" s="769"/>
      <c r="PFJ109" s="769"/>
      <c r="PFK109" s="769"/>
      <c r="PFL109" s="769"/>
      <c r="PFM109" s="769"/>
      <c r="PFN109" s="769"/>
      <c r="PFO109" s="769"/>
      <c r="PFP109" s="769"/>
      <c r="PFQ109" s="769"/>
      <c r="PFR109" s="769"/>
      <c r="PFS109" s="769"/>
      <c r="PFT109" s="769"/>
      <c r="PFU109" s="769"/>
      <c r="PFV109" s="769"/>
      <c r="PFW109" s="769"/>
      <c r="PFX109" s="769"/>
      <c r="PFY109" s="769"/>
      <c r="PFZ109" s="769"/>
      <c r="PGA109" s="769"/>
      <c r="PGB109" s="769"/>
      <c r="PGC109" s="769"/>
      <c r="PGD109" s="769"/>
      <c r="PGE109" s="769"/>
      <c r="PGF109" s="769"/>
      <c r="PGG109" s="769"/>
      <c r="PGH109" s="769"/>
      <c r="PGI109" s="769"/>
      <c r="PGJ109" s="769"/>
      <c r="PGK109" s="769"/>
      <c r="PGL109" s="769"/>
      <c r="PGM109" s="769"/>
      <c r="PGN109" s="769"/>
      <c r="PGO109" s="769"/>
      <c r="PGP109" s="769"/>
      <c r="PGQ109" s="769"/>
      <c r="PGR109" s="769"/>
      <c r="PGS109" s="769"/>
      <c r="PGT109" s="769"/>
      <c r="PGU109" s="769"/>
      <c r="PGV109" s="769"/>
      <c r="PGW109" s="769"/>
      <c r="PGX109" s="769"/>
      <c r="PGY109" s="769"/>
      <c r="PGZ109" s="769"/>
      <c r="PHA109" s="769"/>
      <c r="PHB109" s="769"/>
      <c r="PHC109" s="769"/>
      <c r="PHD109" s="769"/>
      <c r="PHE109" s="769"/>
      <c r="PHF109" s="769"/>
      <c r="PHG109" s="769"/>
      <c r="PHH109" s="769"/>
      <c r="PHI109" s="769"/>
      <c r="PHJ109" s="769"/>
      <c r="PHK109" s="769"/>
      <c r="PHL109" s="769"/>
      <c r="PHM109" s="769"/>
      <c r="PHN109" s="769"/>
      <c r="PHO109" s="769"/>
      <c r="PHP109" s="769"/>
      <c r="PHQ109" s="769"/>
      <c r="PHR109" s="769"/>
      <c r="PHS109" s="769"/>
      <c r="PHT109" s="769"/>
      <c r="PHU109" s="769"/>
      <c r="PHV109" s="769"/>
      <c r="PHW109" s="769"/>
      <c r="PHX109" s="769"/>
      <c r="PHY109" s="769"/>
      <c r="PHZ109" s="769"/>
      <c r="PIA109" s="769"/>
      <c r="PIB109" s="769"/>
      <c r="PIC109" s="769"/>
      <c r="PID109" s="769"/>
      <c r="PIE109" s="769"/>
      <c r="PIF109" s="769"/>
      <c r="PIG109" s="769"/>
      <c r="PIH109" s="769"/>
      <c r="PII109" s="769"/>
      <c r="PIJ109" s="769"/>
      <c r="PIK109" s="769"/>
      <c r="PIL109" s="769"/>
      <c r="PIM109" s="769"/>
      <c r="PIN109" s="769"/>
      <c r="PIO109" s="769"/>
      <c r="PIP109" s="769"/>
      <c r="PIQ109" s="769"/>
      <c r="PIR109" s="769"/>
      <c r="PIS109" s="769"/>
      <c r="PIT109" s="769"/>
      <c r="PIU109" s="769"/>
      <c r="PIV109" s="769"/>
      <c r="PIW109" s="769"/>
      <c r="PIX109" s="769"/>
      <c r="PIY109" s="769"/>
      <c r="PIZ109" s="769"/>
      <c r="PJA109" s="769"/>
      <c r="PJB109" s="769"/>
      <c r="PJC109" s="769"/>
      <c r="PJD109" s="769"/>
      <c r="PJE109" s="769"/>
      <c r="PJF109" s="769"/>
      <c r="PJG109" s="769"/>
      <c r="PJH109" s="769"/>
      <c r="PJI109" s="769"/>
      <c r="PJJ109" s="769"/>
      <c r="PJK109" s="769"/>
      <c r="PJL109" s="769"/>
      <c r="PJM109" s="769"/>
      <c r="PJN109" s="769"/>
      <c r="PJO109" s="769"/>
      <c r="PJP109" s="769"/>
      <c r="PJQ109" s="769"/>
      <c r="PJR109" s="769"/>
      <c r="PJS109" s="769"/>
      <c r="PJT109" s="769"/>
      <c r="PJU109" s="769"/>
      <c r="PJV109" s="769"/>
      <c r="PJW109" s="769"/>
      <c r="PJX109" s="769"/>
      <c r="PJY109" s="769"/>
      <c r="PJZ109" s="769"/>
      <c r="PKA109" s="769"/>
      <c r="PKB109" s="769"/>
      <c r="PKC109" s="769"/>
      <c r="PKD109" s="769"/>
      <c r="PKE109" s="769"/>
      <c r="PKF109" s="769"/>
      <c r="PKG109" s="769"/>
      <c r="PKH109" s="769"/>
      <c r="PKI109" s="769"/>
      <c r="PKJ109" s="769"/>
      <c r="PKK109" s="769"/>
      <c r="PKL109" s="769"/>
      <c r="PKM109" s="769"/>
      <c r="PKN109" s="769"/>
      <c r="PKO109" s="769"/>
      <c r="PKP109" s="769"/>
      <c r="PKQ109" s="769"/>
      <c r="PKR109" s="769"/>
      <c r="PKS109" s="769"/>
      <c r="PKT109" s="769"/>
      <c r="PKU109" s="769"/>
      <c r="PKV109" s="769"/>
      <c r="PKW109" s="769"/>
      <c r="PKX109" s="769"/>
      <c r="PKY109" s="769"/>
      <c r="PKZ109" s="769"/>
      <c r="PLA109" s="769"/>
      <c r="PLB109" s="769"/>
      <c r="PLC109" s="769"/>
      <c r="PLD109" s="769"/>
      <c r="PLE109" s="769"/>
      <c r="PLF109" s="769"/>
      <c r="PLG109" s="769"/>
      <c r="PLH109" s="769"/>
      <c r="PLI109" s="769"/>
      <c r="PLJ109" s="769"/>
      <c r="PLK109" s="769"/>
      <c r="PLL109" s="769"/>
      <c r="PLM109" s="769"/>
      <c r="PLN109" s="769"/>
      <c r="PLO109" s="769"/>
      <c r="PLP109" s="769"/>
      <c r="PLQ109" s="769"/>
      <c r="PLR109" s="769"/>
      <c r="PLS109" s="769"/>
      <c r="PLT109" s="769"/>
      <c r="PLU109" s="769"/>
      <c r="PLV109" s="769"/>
      <c r="PLW109" s="769"/>
      <c r="PLX109" s="769"/>
      <c r="PLY109" s="769"/>
      <c r="PLZ109" s="769"/>
      <c r="PMA109" s="769"/>
      <c r="PMB109" s="769"/>
      <c r="PMC109" s="769"/>
      <c r="PMD109" s="769"/>
      <c r="PME109" s="769"/>
      <c r="PMF109" s="769"/>
      <c r="PMG109" s="769"/>
      <c r="PMH109" s="769"/>
      <c r="PMI109" s="769"/>
      <c r="PMJ109" s="769"/>
      <c r="PMK109" s="769"/>
      <c r="PML109" s="769"/>
      <c r="PMM109" s="769"/>
      <c r="PMN109" s="769"/>
      <c r="PMO109" s="769"/>
      <c r="PMP109" s="769"/>
      <c r="PMQ109" s="769"/>
      <c r="PMR109" s="769"/>
      <c r="PMS109" s="769"/>
      <c r="PMT109" s="769"/>
      <c r="PMU109" s="769"/>
      <c r="PMV109" s="769"/>
      <c r="PMW109" s="769"/>
      <c r="PMX109" s="769"/>
      <c r="PMY109" s="769"/>
      <c r="PMZ109" s="769"/>
      <c r="PNA109" s="769"/>
      <c r="PNB109" s="769"/>
      <c r="PNC109" s="769"/>
      <c r="PND109" s="769"/>
      <c r="PNE109" s="769"/>
      <c r="PNF109" s="769"/>
      <c r="PNG109" s="769"/>
      <c r="PNH109" s="769"/>
      <c r="PNI109" s="769"/>
      <c r="PNJ109" s="769"/>
      <c r="PNK109" s="769"/>
      <c r="PNL109" s="769"/>
      <c r="PNM109" s="769"/>
      <c r="PNN109" s="769"/>
      <c r="PNO109" s="769"/>
      <c r="PNP109" s="769"/>
      <c r="PNQ109" s="769"/>
      <c r="PNR109" s="769"/>
      <c r="PNS109" s="769"/>
      <c r="PNT109" s="769"/>
      <c r="PNU109" s="769"/>
      <c r="PNV109" s="769"/>
      <c r="PNW109" s="769"/>
      <c r="PNX109" s="769"/>
      <c r="PNY109" s="769"/>
      <c r="PNZ109" s="769"/>
      <c r="POA109" s="769"/>
      <c r="POB109" s="769"/>
      <c r="POC109" s="769"/>
      <c r="POD109" s="769"/>
      <c r="POE109" s="769"/>
      <c r="POF109" s="769"/>
      <c r="POG109" s="769"/>
      <c r="POH109" s="769"/>
      <c r="POI109" s="769"/>
      <c r="POJ109" s="769"/>
      <c r="POK109" s="769"/>
      <c r="POL109" s="769"/>
      <c r="POM109" s="769"/>
      <c r="PON109" s="769"/>
      <c r="POO109" s="769"/>
      <c r="POP109" s="769"/>
      <c r="POQ109" s="769"/>
      <c r="POR109" s="769"/>
      <c r="POS109" s="769"/>
      <c r="POT109" s="769"/>
      <c r="POU109" s="769"/>
      <c r="POV109" s="769"/>
      <c r="POW109" s="769"/>
      <c r="POX109" s="769"/>
      <c r="POY109" s="769"/>
      <c r="POZ109" s="769"/>
      <c r="PPA109" s="769"/>
      <c r="PPB109" s="769"/>
      <c r="PPC109" s="769"/>
      <c r="PPD109" s="769"/>
      <c r="PPE109" s="769"/>
      <c r="PPF109" s="769"/>
      <c r="PPG109" s="769"/>
      <c r="PPH109" s="769"/>
      <c r="PPI109" s="769"/>
      <c r="PPJ109" s="769"/>
      <c r="PPK109" s="769"/>
      <c r="PPL109" s="769"/>
      <c r="PPM109" s="769"/>
      <c r="PPN109" s="769"/>
      <c r="PPO109" s="769"/>
      <c r="PPP109" s="769"/>
      <c r="PPQ109" s="769"/>
      <c r="PPR109" s="769"/>
      <c r="PPS109" s="769"/>
      <c r="PPT109" s="769"/>
      <c r="PPU109" s="769"/>
      <c r="PPV109" s="769"/>
      <c r="PPW109" s="769"/>
      <c r="PPX109" s="769"/>
      <c r="PPY109" s="769"/>
      <c r="PPZ109" s="769"/>
      <c r="PQA109" s="769"/>
      <c r="PQB109" s="769"/>
      <c r="PQC109" s="769"/>
      <c r="PQD109" s="769"/>
      <c r="PQE109" s="769"/>
      <c r="PQF109" s="769"/>
      <c r="PQG109" s="769"/>
      <c r="PQH109" s="769"/>
      <c r="PQI109" s="769"/>
      <c r="PQJ109" s="769"/>
      <c r="PQK109" s="769"/>
      <c r="PQL109" s="769"/>
      <c r="PQM109" s="769"/>
      <c r="PQN109" s="769"/>
      <c r="PQO109" s="769"/>
      <c r="PQP109" s="769"/>
      <c r="PQQ109" s="769"/>
      <c r="PQR109" s="769"/>
      <c r="PQS109" s="769"/>
      <c r="PQT109" s="769"/>
      <c r="PQU109" s="769"/>
      <c r="PQV109" s="769"/>
      <c r="PQW109" s="769"/>
      <c r="PQX109" s="769"/>
      <c r="PQY109" s="769"/>
      <c r="PQZ109" s="769"/>
      <c r="PRA109" s="769"/>
      <c r="PRB109" s="769"/>
      <c r="PRC109" s="769"/>
      <c r="PRD109" s="769"/>
      <c r="PRE109" s="769"/>
      <c r="PRF109" s="769"/>
      <c r="PRG109" s="769"/>
      <c r="PRH109" s="769"/>
      <c r="PRI109" s="769"/>
      <c r="PRJ109" s="769"/>
      <c r="PRK109" s="769"/>
      <c r="PRL109" s="769"/>
      <c r="PRM109" s="769"/>
      <c r="PRN109" s="769"/>
      <c r="PRO109" s="769"/>
      <c r="PRP109" s="769"/>
      <c r="PRQ109" s="769"/>
      <c r="PRR109" s="769"/>
      <c r="PRS109" s="769"/>
      <c r="PRT109" s="769"/>
      <c r="PRU109" s="769"/>
      <c r="PRV109" s="769"/>
      <c r="PRW109" s="769"/>
      <c r="PRX109" s="769"/>
      <c r="PRY109" s="769"/>
      <c r="PRZ109" s="769"/>
      <c r="PSA109" s="769"/>
      <c r="PSB109" s="769"/>
      <c r="PSC109" s="769"/>
      <c r="PSD109" s="769"/>
      <c r="PSE109" s="769"/>
      <c r="PSF109" s="769"/>
      <c r="PSG109" s="769"/>
      <c r="PSH109" s="769"/>
      <c r="PSI109" s="769"/>
      <c r="PSJ109" s="769"/>
      <c r="PSK109" s="769"/>
      <c r="PSL109" s="769"/>
      <c r="PSM109" s="769"/>
      <c r="PSN109" s="769"/>
      <c r="PSO109" s="769"/>
      <c r="PSP109" s="769"/>
      <c r="PSQ109" s="769"/>
      <c r="PSR109" s="769"/>
      <c r="PSS109" s="769"/>
      <c r="PST109" s="769"/>
      <c r="PSU109" s="769"/>
      <c r="PSV109" s="769"/>
      <c r="PSW109" s="769"/>
      <c r="PSX109" s="769"/>
      <c r="PSY109" s="769"/>
      <c r="PSZ109" s="769"/>
      <c r="PTA109" s="769"/>
      <c r="PTB109" s="769"/>
      <c r="PTC109" s="769"/>
      <c r="PTD109" s="769"/>
      <c r="PTE109" s="769"/>
      <c r="PTF109" s="769"/>
      <c r="PTG109" s="769"/>
      <c r="PTH109" s="769"/>
      <c r="PTI109" s="769"/>
      <c r="PTJ109" s="769"/>
      <c r="PTK109" s="769"/>
      <c r="PTL109" s="769"/>
      <c r="PTM109" s="769"/>
      <c r="PTN109" s="769"/>
      <c r="PTO109" s="769"/>
      <c r="PTP109" s="769"/>
      <c r="PTQ109" s="769"/>
      <c r="PTR109" s="769"/>
      <c r="PTS109" s="769"/>
      <c r="PTT109" s="769"/>
      <c r="PTU109" s="769"/>
      <c r="PTV109" s="769"/>
      <c r="PTW109" s="769"/>
      <c r="PTX109" s="769"/>
      <c r="PTY109" s="769"/>
      <c r="PTZ109" s="769"/>
      <c r="PUA109" s="769"/>
      <c r="PUB109" s="769"/>
      <c r="PUC109" s="769"/>
      <c r="PUD109" s="769"/>
      <c r="PUE109" s="769"/>
      <c r="PUF109" s="769"/>
      <c r="PUG109" s="769"/>
      <c r="PUH109" s="769"/>
      <c r="PUI109" s="769"/>
      <c r="PUJ109" s="769"/>
      <c r="PUK109" s="769"/>
      <c r="PUL109" s="769"/>
      <c r="PUM109" s="769"/>
      <c r="PUN109" s="769"/>
      <c r="PUO109" s="769"/>
      <c r="PUP109" s="769"/>
      <c r="PUQ109" s="769"/>
      <c r="PUR109" s="769"/>
      <c r="PUS109" s="769"/>
      <c r="PUT109" s="769"/>
      <c r="PUU109" s="769"/>
      <c r="PUV109" s="769"/>
      <c r="PUW109" s="769"/>
      <c r="PUX109" s="769"/>
      <c r="PUY109" s="769"/>
      <c r="PUZ109" s="769"/>
      <c r="PVA109" s="769"/>
      <c r="PVB109" s="769"/>
      <c r="PVC109" s="769"/>
      <c r="PVD109" s="769"/>
      <c r="PVE109" s="769"/>
      <c r="PVF109" s="769"/>
      <c r="PVG109" s="769"/>
      <c r="PVH109" s="769"/>
      <c r="PVI109" s="769"/>
      <c r="PVJ109" s="769"/>
      <c r="PVK109" s="769"/>
      <c r="PVL109" s="769"/>
      <c r="PVM109" s="769"/>
      <c r="PVN109" s="769"/>
      <c r="PVO109" s="769"/>
      <c r="PVP109" s="769"/>
      <c r="PVQ109" s="769"/>
      <c r="PVR109" s="769"/>
      <c r="PVS109" s="769"/>
      <c r="PVT109" s="769"/>
      <c r="PVU109" s="769"/>
      <c r="PVV109" s="769"/>
      <c r="PVW109" s="769"/>
      <c r="PVX109" s="769"/>
      <c r="PVY109" s="769"/>
      <c r="PVZ109" s="769"/>
      <c r="PWA109" s="769"/>
      <c r="PWB109" s="769"/>
      <c r="PWC109" s="769"/>
      <c r="PWD109" s="769"/>
      <c r="PWE109" s="769"/>
      <c r="PWF109" s="769"/>
      <c r="PWG109" s="769"/>
      <c r="PWH109" s="769"/>
      <c r="PWI109" s="769"/>
      <c r="PWJ109" s="769"/>
      <c r="PWK109" s="769"/>
      <c r="PWL109" s="769"/>
      <c r="PWM109" s="769"/>
      <c r="PWN109" s="769"/>
      <c r="PWO109" s="769"/>
      <c r="PWP109" s="769"/>
      <c r="PWQ109" s="769"/>
      <c r="PWR109" s="769"/>
      <c r="PWS109" s="769"/>
      <c r="PWT109" s="769"/>
      <c r="PWU109" s="769"/>
      <c r="PWV109" s="769"/>
      <c r="PWW109" s="769"/>
      <c r="PWX109" s="769"/>
      <c r="PWY109" s="769"/>
      <c r="PWZ109" s="769"/>
      <c r="PXA109" s="769"/>
      <c r="PXB109" s="769"/>
      <c r="PXC109" s="769"/>
      <c r="PXD109" s="769"/>
      <c r="PXE109" s="769"/>
      <c r="PXF109" s="769"/>
      <c r="PXG109" s="769"/>
      <c r="PXH109" s="769"/>
      <c r="PXI109" s="769"/>
      <c r="PXJ109" s="769"/>
      <c r="PXK109" s="769"/>
      <c r="PXL109" s="769"/>
      <c r="PXM109" s="769"/>
      <c r="PXN109" s="769"/>
      <c r="PXO109" s="769"/>
      <c r="PXP109" s="769"/>
      <c r="PXQ109" s="769"/>
      <c r="PXR109" s="769"/>
      <c r="PXS109" s="769"/>
      <c r="PXT109" s="769"/>
      <c r="PXU109" s="769"/>
      <c r="PXV109" s="769"/>
      <c r="PXW109" s="769"/>
      <c r="PXX109" s="769"/>
      <c r="PXY109" s="769"/>
      <c r="PXZ109" s="769"/>
      <c r="PYA109" s="769"/>
      <c r="PYB109" s="769"/>
      <c r="PYC109" s="769"/>
      <c r="PYD109" s="769"/>
      <c r="PYE109" s="769"/>
      <c r="PYF109" s="769"/>
      <c r="PYG109" s="769"/>
      <c r="PYH109" s="769"/>
      <c r="PYI109" s="769"/>
      <c r="PYJ109" s="769"/>
      <c r="PYK109" s="769"/>
      <c r="PYL109" s="769"/>
      <c r="PYM109" s="769"/>
      <c r="PYN109" s="769"/>
      <c r="PYO109" s="769"/>
      <c r="PYP109" s="769"/>
      <c r="PYQ109" s="769"/>
      <c r="PYR109" s="769"/>
      <c r="PYS109" s="769"/>
      <c r="PYT109" s="769"/>
      <c r="PYU109" s="769"/>
      <c r="PYV109" s="769"/>
      <c r="PYW109" s="769"/>
      <c r="PYX109" s="769"/>
      <c r="PYY109" s="769"/>
      <c r="PYZ109" s="769"/>
      <c r="PZA109" s="769"/>
      <c r="PZB109" s="769"/>
      <c r="PZC109" s="769"/>
      <c r="PZD109" s="769"/>
      <c r="PZE109" s="769"/>
      <c r="PZF109" s="769"/>
      <c r="PZG109" s="769"/>
      <c r="PZH109" s="769"/>
      <c r="PZI109" s="769"/>
      <c r="PZJ109" s="769"/>
      <c r="PZK109" s="769"/>
      <c r="PZL109" s="769"/>
      <c r="PZM109" s="769"/>
      <c r="PZN109" s="769"/>
      <c r="PZO109" s="769"/>
      <c r="PZP109" s="769"/>
      <c r="PZQ109" s="769"/>
      <c r="PZR109" s="769"/>
      <c r="PZS109" s="769"/>
      <c r="PZT109" s="769"/>
      <c r="PZU109" s="769"/>
      <c r="PZV109" s="769"/>
      <c r="PZW109" s="769"/>
      <c r="PZX109" s="769"/>
      <c r="PZY109" s="769"/>
      <c r="PZZ109" s="769"/>
      <c r="QAA109" s="769"/>
      <c r="QAB109" s="769"/>
      <c r="QAC109" s="769"/>
      <c r="QAD109" s="769"/>
      <c r="QAE109" s="769"/>
      <c r="QAF109" s="769"/>
      <c r="QAG109" s="769"/>
      <c r="QAH109" s="769"/>
      <c r="QAI109" s="769"/>
      <c r="QAJ109" s="769"/>
      <c r="QAK109" s="769"/>
      <c r="QAL109" s="769"/>
      <c r="QAM109" s="769"/>
      <c r="QAN109" s="769"/>
      <c r="QAO109" s="769"/>
      <c r="QAP109" s="769"/>
      <c r="QAQ109" s="769"/>
      <c r="QAR109" s="769"/>
      <c r="QAS109" s="769"/>
      <c r="QAT109" s="769"/>
      <c r="QAU109" s="769"/>
      <c r="QAV109" s="769"/>
      <c r="QAW109" s="769"/>
      <c r="QAX109" s="769"/>
      <c r="QAY109" s="769"/>
      <c r="QAZ109" s="769"/>
      <c r="QBA109" s="769"/>
      <c r="QBB109" s="769"/>
      <c r="QBC109" s="769"/>
      <c r="QBD109" s="769"/>
      <c r="QBE109" s="769"/>
      <c r="QBF109" s="769"/>
      <c r="QBG109" s="769"/>
      <c r="QBH109" s="769"/>
      <c r="QBI109" s="769"/>
      <c r="QBJ109" s="769"/>
      <c r="QBK109" s="769"/>
      <c r="QBL109" s="769"/>
      <c r="QBM109" s="769"/>
      <c r="QBN109" s="769"/>
      <c r="QBO109" s="769"/>
      <c r="QBP109" s="769"/>
      <c r="QBQ109" s="769"/>
      <c r="QBR109" s="769"/>
      <c r="QBS109" s="769"/>
      <c r="QBT109" s="769"/>
      <c r="QBU109" s="769"/>
      <c r="QBV109" s="769"/>
      <c r="QBW109" s="769"/>
      <c r="QBX109" s="769"/>
      <c r="QBY109" s="769"/>
      <c r="QBZ109" s="769"/>
      <c r="QCA109" s="769"/>
      <c r="QCB109" s="769"/>
      <c r="QCC109" s="769"/>
      <c r="QCD109" s="769"/>
      <c r="QCE109" s="769"/>
      <c r="QCF109" s="769"/>
      <c r="QCG109" s="769"/>
      <c r="QCH109" s="769"/>
      <c r="QCI109" s="769"/>
      <c r="QCJ109" s="769"/>
      <c r="QCK109" s="769"/>
      <c r="QCL109" s="769"/>
      <c r="QCM109" s="769"/>
      <c r="QCN109" s="769"/>
      <c r="QCO109" s="769"/>
      <c r="QCP109" s="769"/>
      <c r="QCQ109" s="769"/>
      <c r="QCR109" s="769"/>
      <c r="QCS109" s="769"/>
      <c r="QCT109" s="769"/>
      <c r="QCU109" s="769"/>
      <c r="QCV109" s="769"/>
      <c r="QCW109" s="769"/>
      <c r="QCX109" s="769"/>
      <c r="QCY109" s="769"/>
      <c r="QCZ109" s="769"/>
      <c r="QDA109" s="769"/>
      <c r="QDB109" s="769"/>
      <c r="QDC109" s="769"/>
      <c r="QDD109" s="769"/>
      <c r="QDE109" s="769"/>
      <c r="QDF109" s="769"/>
      <c r="QDG109" s="769"/>
      <c r="QDH109" s="769"/>
      <c r="QDI109" s="769"/>
      <c r="QDJ109" s="769"/>
      <c r="QDK109" s="769"/>
      <c r="QDL109" s="769"/>
      <c r="QDM109" s="769"/>
      <c r="QDN109" s="769"/>
      <c r="QDO109" s="769"/>
      <c r="QDP109" s="769"/>
      <c r="QDQ109" s="769"/>
      <c r="QDR109" s="769"/>
      <c r="QDS109" s="769"/>
      <c r="QDT109" s="769"/>
      <c r="QDU109" s="769"/>
      <c r="QDV109" s="769"/>
      <c r="QDW109" s="769"/>
      <c r="QDX109" s="769"/>
      <c r="QDY109" s="769"/>
      <c r="QDZ109" s="769"/>
      <c r="QEA109" s="769"/>
      <c r="QEB109" s="769"/>
      <c r="QEC109" s="769"/>
      <c r="QED109" s="769"/>
      <c r="QEE109" s="769"/>
      <c r="QEF109" s="769"/>
      <c r="QEG109" s="769"/>
      <c r="QEH109" s="769"/>
      <c r="QEI109" s="769"/>
      <c r="QEJ109" s="769"/>
      <c r="QEK109" s="769"/>
      <c r="QEL109" s="769"/>
      <c r="QEM109" s="769"/>
      <c r="QEN109" s="769"/>
      <c r="QEO109" s="769"/>
      <c r="QEP109" s="769"/>
      <c r="QEQ109" s="769"/>
      <c r="QER109" s="769"/>
      <c r="QES109" s="769"/>
      <c r="QET109" s="769"/>
      <c r="QEU109" s="769"/>
      <c r="QEV109" s="769"/>
      <c r="QEW109" s="769"/>
      <c r="QEX109" s="769"/>
      <c r="QEY109" s="769"/>
      <c r="QEZ109" s="769"/>
      <c r="QFA109" s="769"/>
      <c r="QFB109" s="769"/>
      <c r="QFC109" s="769"/>
      <c r="QFD109" s="769"/>
      <c r="QFE109" s="769"/>
      <c r="QFF109" s="769"/>
      <c r="QFG109" s="769"/>
      <c r="QFH109" s="769"/>
      <c r="QFI109" s="769"/>
      <c r="QFJ109" s="769"/>
      <c r="QFK109" s="769"/>
      <c r="QFL109" s="769"/>
      <c r="QFM109" s="769"/>
      <c r="QFN109" s="769"/>
      <c r="QFO109" s="769"/>
      <c r="QFP109" s="769"/>
      <c r="QFQ109" s="769"/>
      <c r="QFR109" s="769"/>
      <c r="QFS109" s="769"/>
      <c r="QFT109" s="769"/>
      <c r="QFU109" s="769"/>
      <c r="QFV109" s="769"/>
      <c r="QFW109" s="769"/>
      <c r="QFX109" s="769"/>
      <c r="QFY109" s="769"/>
      <c r="QFZ109" s="769"/>
      <c r="QGA109" s="769"/>
      <c r="QGB109" s="769"/>
      <c r="QGC109" s="769"/>
      <c r="QGD109" s="769"/>
      <c r="QGE109" s="769"/>
      <c r="QGF109" s="769"/>
      <c r="QGG109" s="769"/>
      <c r="QGH109" s="769"/>
      <c r="QGI109" s="769"/>
      <c r="QGJ109" s="769"/>
      <c r="QGK109" s="769"/>
      <c r="QGL109" s="769"/>
      <c r="QGM109" s="769"/>
      <c r="QGN109" s="769"/>
      <c r="QGO109" s="769"/>
      <c r="QGP109" s="769"/>
      <c r="QGQ109" s="769"/>
      <c r="QGR109" s="769"/>
      <c r="QGS109" s="769"/>
      <c r="QGT109" s="769"/>
      <c r="QGU109" s="769"/>
      <c r="QGV109" s="769"/>
      <c r="QGW109" s="769"/>
      <c r="QGX109" s="769"/>
      <c r="QGY109" s="769"/>
      <c r="QGZ109" s="769"/>
      <c r="QHA109" s="769"/>
      <c r="QHB109" s="769"/>
      <c r="QHC109" s="769"/>
      <c r="QHD109" s="769"/>
      <c r="QHE109" s="769"/>
      <c r="QHF109" s="769"/>
      <c r="QHG109" s="769"/>
      <c r="QHH109" s="769"/>
      <c r="QHI109" s="769"/>
      <c r="QHJ109" s="769"/>
      <c r="QHK109" s="769"/>
      <c r="QHL109" s="769"/>
      <c r="QHM109" s="769"/>
      <c r="QHN109" s="769"/>
      <c r="QHO109" s="769"/>
      <c r="QHP109" s="769"/>
      <c r="QHQ109" s="769"/>
      <c r="QHR109" s="769"/>
      <c r="QHS109" s="769"/>
      <c r="QHT109" s="769"/>
      <c r="QHU109" s="769"/>
      <c r="QHV109" s="769"/>
      <c r="QHW109" s="769"/>
      <c r="QHX109" s="769"/>
      <c r="QHY109" s="769"/>
      <c r="QHZ109" s="769"/>
      <c r="QIA109" s="769"/>
      <c r="QIB109" s="769"/>
      <c r="QIC109" s="769"/>
      <c r="QID109" s="769"/>
      <c r="QIE109" s="769"/>
      <c r="QIF109" s="769"/>
      <c r="QIG109" s="769"/>
      <c r="QIH109" s="769"/>
      <c r="QII109" s="769"/>
      <c r="QIJ109" s="769"/>
      <c r="QIK109" s="769"/>
      <c r="QIL109" s="769"/>
      <c r="QIM109" s="769"/>
      <c r="QIN109" s="769"/>
      <c r="QIO109" s="769"/>
      <c r="QIP109" s="769"/>
      <c r="QIQ109" s="769"/>
      <c r="QIR109" s="769"/>
      <c r="QIS109" s="769"/>
      <c r="QIT109" s="769"/>
      <c r="QIU109" s="769"/>
      <c r="QIV109" s="769"/>
      <c r="QIW109" s="769"/>
      <c r="QIX109" s="769"/>
      <c r="QIY109" s="769"/>
      <c r="QIZ109" s="769"/>
      <c r="QJA109" s="769"/>
      <c r="QJB109" s="769"/>
      <c r="QJC109" s="769"/>
      <c r="QJD109" s="769"/>
      <c r="QJE109" s="769"/>
      <c r="QJF109" s="769"/>
      <c r="QJG109" s="769"/>
      <c r="QJH109" s="769"/>
      <c r="QJI109" s="769"/>
      <c r="QJJ109" s="769"/>
      <c r="QJK109" s="769"/>
      <c r="QJL109" s="769"/>
      <c r="QJM109" s="769"/>
      <c r="QJN109" s="769"/>
      <c r="QJO109" s="769"/>
      <c r="QJP109" s="769"/>
      <c r="QJQ109" s="769"/>
      <c r="QJR109" s="769"/>
      <c r="QJS109" s="769"/>
      <c r="QJT109" s="769"/>
      <c r="QJU109" s="769"/>
      <c r="QJV109" s="769"/>
      <c r="QJW109" s="769"/>
      <c r="QJX109" s="769"/>
      <c r="QJY109" s="769"/>
      <c r="QJZ109" s="769"/>
      <c r="QKA109" s="769"/>
      <c r="QKB109" s="769"/>
      <c r="QKC109" s="769"/>
      <c r="QKD109" s="769"/>
      <c r="QKE109" s="769"/>
      <c r="QKF109" s="769"/>
      <c r="QKG109" s="769"/>
      <c r="QKH109" s="769"/>
      <c r="QKI109" s="769"/>
      <c r="QKJ109" s="769"/>
      <c r="QKK109" s="769"/>
      <c r="QKL109" s="769"/>
      <c r="QKM109" s="769"/>
      <c r="QKN109" s="769"/>
      <c r="QKO109" s="769"/>
      <c r="QKP109" s="769"/>
      <c r="QKQ109" s="769"/>
      <c r="QKR109" s="769"/>
      <c r="QKS109" s="769"/>
      <c r="QKT109" s="769"/>
      <c r="QKU109" s="769"/>
      <c r="QKV109" s="769"/>
      <c r="QKW109" s="769"/>
      <c r="QKX109" s="769"/>
      <c r="QKY109" s="769"/>
      <c r="QKZ109" s="769"/>
      <c r="QLA109" s="769"/>
      <c r="QLB109" s="769"/>
      <c r="QLC109" s="769"/>
      <c r="QLD109" s="769"/>
      <c r="QLE109" s="769"/>
      <c r="QLF109" s="769"/>
      <c r="QLG109" s="769"/>
      <c r="QLH109" s="769"/>
      <c r="QLI109" s="769"/>
      <c r="QLJ109" s="769"/>
      <c r="QLK109" s="769"/>
      <c r="QLL109" s="769"/>
      <c r="QLM109" s="769"/>
      <c r="QLN109" s="769"/>
      <c r="QLO109" s="769"/>
      <c r="QLP109" s="769"/>
      <c r="QLQ109" s="769"/>
      <c r="QLR109" s="769"/>
      <c r="QLS109" s="769"/>
      <c r="QLT109" s="769"/>
      <c r="QLU109" s="769"/>
      <c r="QLV109" s="769"/>
      <c r="QLW109" s="769"/>
      <c r="QLX109" s="769"/>
      <c r="QLY109" s="769"/>
      <c r="QLZ109" s="769"/>
      <c r="QMA109" s="769"/>
      <c r="QMB109" s="769"/>
      <c r="QMC109" s="769"/>
      <c r="QMD109" s="769"/>
      <c r="QME109" s="769"/>
      <c r="QMF109" s="769"/>
      <c r="QMG109" s="769"/>
      <c r="QMH109" s="769"/>
      <c r="QMI109" s="769"/>
      <c r="QMJ109" s="769"/>
      <c r="QMK109" s="769"/>
      <c r="QML109" s="769"/>
      <c r="QMM109" s="769"/>
      <c r="QMN109" s="769"/>
      <c r="QMO109" s="769"/>
      <c r="QMP109" s="769"/>
      <c r="QMQ109" s="769"/>
      <c r="QMR109" s="769"/>
      <c r="QMS109" s="769"/>
      <c r="QMT109" s="769"/>
      <c r="QMU109" s="769"/>
      <c r="QMV109" s="769"/>
      <c r="QMW109" s="769"/>
      <c r="QMX109" s="769"/>
      <c r="QMY109" s="769"/>
      <c r="QMZ109" s="769"/>
      <c r="QNA109" s="769"/>
      <c r="QNB109" s="769"/>
      <c r="QNC109" s="769"/>
      <c r="QND109" s="769"/>
      <c r="QNE109" s="769"/>
      <c r="QNF109" s="769"/>
      <c r="QNG109" s="769"/>
      <c r="QNH109" s="769"/>
      <c r="QNI109" s="769"/>
      <c r="QNJ109" s="769"/>
      <c r="QNK109" s="769"/>
      <c r="QNL109" s="769"/>
      <c r="QNM109" s="769"/>
      <c r="QNN109" s="769"/>
      <c r="QNO109" s="769"/>
      <c r="QNP109" s="769"/>
      <c r="QNQ109" s="769"/>
      <c r="QNR109" s="769"/>
      <c r="QNS109" s="769"/>
      <c r="QNT109" s="769"/>
      <c r="QNU109" s="769"/>
      <c r="QNV109" s="769"/>
      <c r="QNW109" s="769"/>
      <c r="QNX109" s="769"/>
      <c r="QNY109" s="769"/>
      <c r="QNZ109" s="769"/>
      <c r="QOA109" s="769"/>
      <c r="QOB109" s="769"/>
      <c r="QOC109" s="769"/>
      <c r="QOD109" s="769"/>
      <c r="QOE109" s="769"/>
      <c r="QOF109" s="769"/>
      <c r="QOG109" s="769"/>
      <c r="QOH109" s="769"/>
      <c r="QOI109" s="769"/>
      <c r="QOJ109" s="769"/>
      <c r="QOK109" s="769"/>
      <c r="QOL109" s="769"/>
      <c r="QOM109" s="769"/>
      <c r="QON109" s="769"/>
      <c r="QOO109" s="769"/>
      <c r="QOP109" s="769"/>
      <c r="QOQ109" s="769"/>
      <c r="QOR109" s="769"/>
      <c r="QOS109" s="769"/>
      <c r="QOT109" s="769"/>
      <c r="QOU109" s="769"/>
      <c r="QOV109" s="769"/>
      <c r="QOW109" s="769"/>
      <c r="QOX109" s="769"/>
      <c r="QOY109" s="769"/>
      <c r="QOZ109" s="769"/>
      <c r="QPA109" s="769"/>
      <c r="QPB109" s="769"/>
      <c r="QPC109" s="769"/>
      <c r="QPD109" s="769"/>
      <c r="QPE109" s="769"/>
      <c r="QPF109" s="769"/>
      <c r="QPG109" s="769"/>
      <c r="QPH109" s="769"/>
      <c r="QPI109" s="769"/>
      <c r="QPJ109" s="769"/>
      <c r="QPK109" s="769"/>
      <c r="QPL109" s="769"/>
      <c r="QPM109" s="769"/>
      <c r="QPN109" s="769"/>
      <c r="QPO109" s="769"/>
      <c r="QPP109" s="769"/>
      <c r="QPQ109" s="769"/>
      <c r="QPR109" s="769"/>
      <c r="QPS109" s="769"/>
      <c r="QPT109" s="769"/>
      <c r="QPU109" s="769"/>
      <c r="QPV109" s="769"/>
      <c r="QPW109" s="769"/>
      <c r="QPX109" s="769"/>
      <c r="QPY109" s="769"/>
      <c r="QPZ109" s="769"/>
      <c r="QQA109" s="769"/>
      <c r="QQB109" s="769"/>
      <c r="QQC109" s="769"/>
      <c r="QQD109" s="769"/>
      <c r="QQE109" s="769"/>
      <c r="QQF109" s="769"/>
      <c r="QQG109" s="769"/>
      <c r="QQH109" s="769"/>
      <c r="QQI109" s="769"/>
      <c r="QQJ109" s="769"/>
      <c r="QQK109" s="769"/>
      <c r="QQL109" s="769"/>
      <c r="QQM109" s="769"/>
      <c r="QQN109" s="769"/>
      <c r="QQO109" s="769"/>
      <c r="QQP109" s="769"/>
      <c r="QQQ109" s="769"/>
      <c r="QQR109" s="769"/>
      <c r="QQS109" s="769"/>
      <c r="QQT109" s="769"/>
      <c r="QQU109" s="769"/>
      <c r="QQV109" s="769"/>
      <c r="QQW109" s="769"/>
      <c r="QQX109" s="769"/>
      <c r="QQY109" s="769"/>
      <c r="QQZ109" s="769"/>
      <c r="QRA109" s="769"/>
      <c r="QRB109" s="769"/>
      <c r="QRC109" s="769"/>
      <c r="QRD109" s="769"/>
      <c r="QRE109" s="769"/>
      <c r="QRF109" s="769"/>
      <c r="QRG109" s="769"/>
      <c r="QRH109" s="769"/>
      <c r="QRI109" s="769"/>
      <c r="QRJ109" s="769"/>
      <c r="QRK109" s="769"/>
      <c r="QRL109" s="769"/>
      <c r="QRM109" s="769"/>
      <c r="QRN109" s="769"/>
      <c r="QRO109" s="769"/>
      <c r="QRP109" s="769"/>
      <c r="QRQ109" s="769"/>
      <c r="QRR109" s="769"/>
      <c r="QRS109" s="769"/>
      <c r="QRT109" s="769"/>
      <c r="QRU109" s="769"/>
      <c r="QRV109" s="769"/>
      <c r="QRW109" s="769"/>
      <c r="QRX109" s="769"/>
      <c r="QRY109" s="769"/>
      <c r="QRZ109" s="769"/>
      <c r="QSA109" s="769"/>
      <c r="QSB109" s="769"/>
      <c r="QSC109" s="769"/>
      <c r="QSD109" s="769"/>
      <c r="QSE109" s="769"/>
      <c r="QSF109" s="769"/>
      <c r="QSG109" s="769"/>
      <c r="QSH109" s="769"/>
      <c r="QSI109" s="769"/>
      <c r="QSJ109" s="769"/>
      <c r="QSK109" s="769"/>
      <c r="QSL109" s="769"/>
      <c r="QSM109" s="769"/>
      <c r="QSN109" s="769"/>
      <c r="QSO109" s="769"/>
      <c r="QSP109" s="769"/>
      <c r="QSQ109" s="769"/>
      <c r="QSR109" s="769"/>
      <c r="QSS109" s="769"/>
      <c r="QST109" s="769"/>
      <c r="QSU109" s="769"/>
      <c r="QSV109" s="769"/>
      <c r="QSW109" s="769"/>
      <c r="QSX109" s="769"/>
      <c r="QSY109" s="769"/>
      <c r="QSZ109" s="769"/>
      <c r="QTA109" s="769"/>
      <c r="QTB109" s="769"/>
      <c r="QTC109" s="769"/>
      <c r="QTD109" s="769"/>
      <c r="QTE109" s="769"/>
      <c r="QTF109" s="769"/>
      <c r="QTG109" s="769"/>
      <c r="QTH109" s="769"/>
      <c r="QTI109" s="769"/>
      <c r="QTJ109" s="769"/>
      <c r="QTK109" s="769"/>
      <c r="QTL109" s="769"/>
      <c r="QTM109" s="769"/>
      <c r="QTN109" s="769"/>
      <c r="QTO109" s="769"/>
      <c r="QTP109" s="769"/>
      <c r="QTQ109" s="769"/>
      <c r="QTR109" s="769"/>
      <c r="QTS109" s="769"/>
      <c r="QTT109" s="769"/>
      <c r="QTU109" s="769"/>
      <c r="QTV109" s="769"/>
      <c r="QTW109" s="769"/>
      <c r="QTX109" s="769"/>
      <c r="QTY109" s="769"/>
      <c r="QTZ109" s="769"/>
      <c r="QUA109" s="769"/>
      <c r="QUB109" s="769"/>
      <c r="QUC109" s="769"/>
      <c r="QUD109" s="769"/>
      <c r="QUE109" s="769"/>
      <c r="QUF109" s="769"/>
      <c r="QUG109" s="769"/>
      <c r="QUH109" s="769"/>
      <c r="QUI109" s="769"/>
      <c r="QUJ109" s="769"/>
      <c r="QUK109" s="769"/>
      <c r="QUL109" s="769"/>
      <c r="QUM109" s="769"/>
      <c r="QUN109" s="769"/>
      <c r="QUO109" s="769"/>
      <c r="QUP109" s="769"/>
      <c r="QUQ109" s="769"/>
      <c r="QUR109" s="769"/>
      <c r="QUS109" s="769"/>
      <c r="QUT109" s="769"/>
      <c r="QUU109" s="769"/>
      <c r="QUV109" s="769"/>
      <c r="QUW109" s="769"/>
      <c r="QUX109" s="769"/>
      <c r="QUY109" s="769"/>
      <c r="QUZ109" s="769"/>
      <c r="QVA109" s="769"/>
      <c r="QVB109" s="769"/>
      <c r="QVC109" s="769"/>
      <c r="QVD109" s="769"/>
      <c r="QVE109" s="769"/>
      <c r="QVF109" s="769"/>
      <c r="QVG109" s="769"/>
      <c r="QVH109" s="769"/>
      <c r="QVI109" s="769"/>
      <c r="QVJ109" s="769"/>
      <c r="QVK109" s="769"/>
      <c r="QVL109" s="769"/>
      <c r="QVM109" s="769"/>
      <c r="QVN109" s="769"/>
      <c r="QVO109" s="769"/>
      <c r="QVP109" s="769"/>
      <c r="QVQ109" s="769"/>
      <c r="QVR109" s="769"/>
      <c r="QVS109" s="769"/>
      <c r="QVT109" s="769"/>
      <c r="QVU109" s="769"/>
      <c r="QVV109" s="769"/>
      <c r="QVW109" s="769"/>
      <c r="QVX109" s="769"/>
      <c r="QVY109" s="769"/>
      <c r="QVZ109" s="769"/>
      <c r="QWA109" s="769"/>
      <c r="QWB109" s="769"/>
      <c r="QWC109" s="769"/>
      <c r="QWD109" s="769"/>
      <c r="QWE109" s="769"/>
      <c r="QWF109" s="769"/>
      <c r="QWG109" s="769"/>
      <c r="QWH109" s="769"/>
      <c r="QWI109" s="769"/>
      <c r="QWJ109" s="769"/>
      <c r="QWK109" s="769"/>
      <c r="QWL109" s="769"/>
      <c r="QWM109" s="769"/>
      <c r="QWN109" s="769"/>
      <c r="QWO109" s="769"/>
      <c r="QWP109" s="769"/>
      <c r="QWQ109" s="769"/>
      <c r="QWR109" s="769"/>
      <c r="QWS109" s="769"/>
      <c r="QWT109" s="769"/>
      <c r="QWU109" s="769"/>
      <c r="QWV109" s="769"/>
      <c r="QWW109" s="769"/>
      <c r="QWX109" s="769"/>
      <c r="QWY109" s="769"/>
      <c r="QWZ109" s="769"/>
      <c r="QXA109" s="769"/>
      <c r="QXB109" s="769"/>
      <c r="QXC109" s="769"/>
      <c r="QXD109" s="769"/>
      <c r="QXE109" s="769"/>
      <c r="QXF109" s="769"/>
      <c r="QXG109" s="769"/>
      <c r="QXH109" s="769"/>
      <c r="QXI109" s="769"/>
      <c r="QXJ109" s="769"/>
      <c r="QXK109" s="769"/>
      <c r="QXL109" s="769"/>
      <c r="QXM109" s="769"/>
      <c r="QXN109" s="769"/>
      <c r="QXO109" s="769"/>
      <c r="QXP109" s="769"/>
      <c r="QXQ109" s="769"/>
      <c r="QXR109" s="769"/>
      <c r="QXS109" s="769"/>
      <c r="QXT109" s="769"/>
      <c r="QXU109" s="769"/>
      <c r="QXV109" s="769"/>
      <c r="QXW109" s="769"/>
      <c r="QXX109" s="769"/>
      <c r="QXY109" s="769"/>
      <c r="QXZ109" s="769"/>
      <c r="QYA109" s="769"/>
      <c r="QYB109" s="769"/>
      <c r="QYC109" s="769"/>
      <c r="QYD109" s="769"/>
      <c r="QYE109" s="769"/>
      <c r="QYF109" s="769"/>
      <c r="QYG109" s="769"/>
      <c r="QYH109" s="769"/>
      <c r="QYI109" s="769"/>
      <c r="QYJ109" s="769"/>
      <c r="QYK109" s="769"/>
      <c r="QYL109" s="769"/>
      <c r="QYM109" s="769"/>
      <c r="QYN109" s="769"/>
      <c r="QYO109" s="769"/>
      <c r="QYP109" s="769"/>
      <c r="QYQ109" s="769"/>
      <c r="QYR109" s="769"/>
      <c r="QYS109" s="769"/>
      <c r="QYT109" s="769"/>
      <c r="QYU109" s="769"/>
      <c r="QYV109" s="769"/>
      <c r="QYW109" s="769"/>
      <c r="QYX109" s="769"/>
      <c r="QYY109" s="769"/>
      <c r="QYZ109" s="769"/>
      <c r="QZA109" s="769"/>
      <c r="QZB109" s="769"/>
      <c r="QZC109" s="769"/>
      <c r="QZD109" s="769"/>
      <c r="QZE109" s="769"/>
      <c r="QZF109" s="769"/>
      <c r="QZG109" s="769"/>
      <c r="QZH109" s="769"/>
      <c r="QZI109" s="769"/>
      <c r="QZJ109" s="769"/>
      <c r="QZK109" s="769"/>
      <c r="QZL109" s="769"/>
      <c r="QZM109" s="769"/>
      <c r="QZN109" s="769"/>
      <c r="QZO109" s="769"/>
      <c r="QZP109" s="769"/>
      <c r="QZQ109" s="769"/>
      <c r="QZR109" s="769"/>
      <c r="QZS109" s="769"/>
      <c r="QZT109" s="769"/>
      <c r="QZU109" s="769"/>
      <c r="QZV109" s="769"/>
      <c r="QZW109" s="769"/>
      <c r="QZX109" s="769"/>
      <c r="QZY109" s="769"/>
      <c r="QZZ109" s="769"/>
      <c r="RAA109" s="769"/>
      <c r="RAB109" s="769"/>
      <c r="RAC109" s="769"/>
      <c r="RAD109" s="769"/>
      <c r="RAE109" s="769"/>
      <c r="RAF109" s="769"/>
      <c r="RAG109" s="769"/>
      <c r="RAH109" s="769"/>
      <c r="RAI109" s="769"/>
      <c r="RAJ109" s="769"/>
      <c r="RAK109" s="769"/>
      <c r="RAL109" s="769"/>
      <c r="RAM109" s="769"/>
      <c r="RAN109" s="769"/>
      <c r="RAO109" s="769"/>
      <c r="RAP109" s="769"/>
      <c r="RAQ109" s="769"/>
      <c r="RAR109" s="769"/>
      <c r="RAS109" s="769"/>
      <c r="RAT109" s="769"/>
      <c r="RAU109" s="769"/>
      <c r="RAV109" s="769"/>
      <c r="RAW109" s="769"/>
      <c r="RAX109" s="769"/>
      <c r="RAY109" s="769"/>
      <c r="RAZ109" s="769"/>
      <c r="RBA109" s="769"/>
      <c r="RBB109" s="769"/>
      <c r="RBC109" s="769"/>
      <c r="RBD109" s="769"/>
      <c r="RBE109" s="769"/>
      <c r="RBF109" s="769"/>
      <c r="RBG109" s="769"/>
      <c r="RBH109" s="769"/>
      <c r="RBI109" s="769"/>
      <c r="RBJ109" s="769"/>
      <c r="RBK109" s="769"/>
      <c r="RBL109" s="769"/>
      <c r="RBM109" s="769"/>
      <c r="RBN109" s="769"/>
      <c r="RBO109" s="769"/>
      <c r="RBP109" s="769"/>
      <c r="RBQ109" s="769"/>
      <c r="RBR109" s="769"/>
      <c r="RBS109" s="769"/>
      <c r="RBT109" s="769"/>
      <c r="RBU109" s="769"/>
      <c r="RBV109" s="769"/>
      <c r="RBW109" s="769"/>
      <c r="RBX109" s="769"/>
      <c r="RBY109" s="769"/>
      <c r="RBZ109" s="769"/>
      <c r="RCA109" s="769"/>
      <c r="RCB109" s="769"/>
      <c r="RCC109" s="769"/>
      <c r="RCD109" s="769"/>
      <c r="RCE109" s="769"/>
      <c r="RCF109" s="769"/>
      <c r="RCG109" s="769"/>
      <c r="RCH109" s="769"/>
      <c r="RCI109" s="769"/>
      <c r="RCJ109" s="769"/>
      <c r="RCK109" s="769"/>
      <c r="RCL109" s="769"/>
      <c r="RCM109" s="769"/>
      <c r="RCN109" s="769"/>
      <c r="RCO109" s="769"/>
      <c r="RCP109" s="769"/>
      <c r="RCQ109" s="769"/>
      <c r="RCR109" s="769"/>
      <c r="RCS109" s="769"/>
      <c r="RCT109" s="769"/>
      <c r="RCU109" s="769"/>
      <c r="RCV109" s="769"/>
      <c r="RCW109" s="769"/>
      <c r="RCX109" s="769"/>
      <c r="RCY109" s="769"/>
      <c r="RCZ109" s="769"/>
      <c r="RDA109" s="769"/>
      <c r="RDB109" s="769"/>
      <c r="RDC109" s="769"/>
      <c r="RDD109" s="769"/>
      <c r="RDE109" s="769"/>
      <c r="RDF109" s="769"/>
      <c r="RDG109" s="769"/>
      <c r="RDH109" s="769"/>
      <c r="RDI109" s="769"/>
      <c r="RDJ109" s="769"/>
      <c r="RDK109" s="769"/>
      <c r="RDL109" s="769"/>
      <c r="RDM109" s="769"/>
      <c r="RDN109" s="769"/>
      <c r="RDO109" s="769"/>
      <c r="RDP109" s="769"/>
      <c r="RDQ109" s="769"/>
      <c r="RDR109" s="769"/>
      <c r="RDS109" s="769"/>
      <c r="RDT109" s="769"/>
      <c r="RDU109" s="769"/>
      <c r="RDV109" s="769"/>
      <c r="RDW109" s="769"/>
      <c r="RDX109" s="769"/>
      <c r="RDY109" s="769"/>
      <c r="RDZ109" s="769"/>
      <c r="REA109" s="769"/>
      <c r="REB109" s="769"/>
      <c r="REC109" s="769"/>
      <c r="RED109" s="769"/>
      <c r="REE109" s="769"/>
      <c r="REF109" s="769"/>
      <c r="REG109" s="769"/>
      <c r="REH109" s="769"/>
      <c r="REI109" s="769"/>
      <c r="REJ109" s="769"/>
      <c r="REK109" s="769"/>
      <c r="REL109" s="769"/>
      <c r="REM109" s="769"/>
      <c r="REN109" s="769"/>
      <c r="REO109" s="769"/>
      <c r="REP109" s="769"/>
      <c r="REQ109" s="769"/>
      <c r="RER109" s="769"/>
      <c r="RES109" s="769"/>
      <c r="RET109" s="769"/>
      <c r="REU109" s="769"/>
      <c r="REV109" s="769"/>
      <c r="REW109" s="769"/>
      <c r="REX109" s="769"/>
      <c r="REY109" s="769"/>
      <c r="REZ109" s="769"/>
      <c r="RFA109" s="769"/>
      <c r="RFB109" s="769"/>
      <c r="RFC109" s="769"/>
      <c r="RFD109" s="769"/>
      <c r="RFE109" s="769"/>
      <c r="RFF109" s="769"/>
      <c r="RFG109" s="769"/>
      <c r="RFH109" s="769"/>
      <c r="RFI109" s="769"/>
      <c r="RFJ109" s="769"/>
      <c r="RFK109" s="769"/>
      <c r="RFL109" s="769"/>
      <c r="RFM109" s="769"/>
      <c r="RFN109" s="769"/>
      <c r="RFO109" s="769"/>
      <c r="RFP109" s="769"/>
      <c r="RFQ109" s="769"/>
      <c r="RFR109" s="769"/>
      <c r="RFS109" s="769"/>
      <c r="RFT109" s="769"/>
      <c r="RFU109" s="769"/>
      <c r="RFV109" s="769"/>
      <c r="RFW109" s="769"/>
      <c r="RFX109" s="769"/>
      <c r="RFY109" s="769"/>
      <c r="RFZ109" s="769"/>
      <c r="RGA109" s="769"/>
      <c r="RGB109" s="769"/>
      <c r="RGC109" s="769"/>
      <c r="RGD109" s="769"/>
      <c r="RGE109" s="769"/>
      <c r="RGF109" s="769"/>
      <c r="RGG109" s="769"/>
      <c r="RGH109" s="769"/>
      <c r="RGI109" s="769"/>
      <c r="RGJ109" s="769"/>
      <c r="RGK109" s="769"/>
      <c r="RGL109" s="769"/>
      <c r="RGM109" s="769"/>
      <c r="RGN109" s="769"/>
      <c r="RGO109" s="769"/>
      <c r="RGP109" s="769"/>
      <c r="RGQ109" s="769"/>
      <c r="RGR109" s="769"/>
      <c r="RGS109" s="769"/>
      <c r="RGT109" s="769"/>
      <c r="RGU109" s="769"/>
      <c r="RGV109" s="769"/>
      <c r="RGW109" s="769"/>
      <c r="RGX109" s="769"/>
      <c r="RGY109" s="769"/>
      <c r="RGZ109" s="769"/>
      <c r="RHA109" s="769"/>
      <c r="RHB109" s="769"/>
      <c r="RHC109" s="769"/>
      <c r="RHD109" s="769"/>
      <c r="RHE109" s="769"/>
      <c r="RHF109" s="769"/>
      <c r="RHG109" s="769"/>
      <c r="RHH109" s="769"/>
      <c r="RHI109" s="769"/>
      <c r="RHJ109" s="769"/>
      <c r="RHK109" s="769"/>
      <c r="RHL109" s="769"/>
      <c r="RHM109" s="769"/>
      <c r="RHN109" s="769"/>
      <c r="RHO109" s="769"/>
      <c r="RHP109" s="769"/>
      <c r="RHQ109" s="769"/>
      <c r="RHR109" s="769"/>
      <c r="RHS109" s="769"/>
      <c r="RHT109" s="769"/>
      <c r="RHU109" s="769"/>
      <c r="RHV109" s="769"/>
      <c r="RHW109" s="769"/>
      <c r="RHX109" s="769"/>
      <c r="RHY109" s="769"/>
      <c r="RHZ109" s="769"/>
      <c r="RIA109" s="769"/>
      <c r="RIB109" s="769"/>
      <c r="RIC109" s="769"/>
      <c r="RID109" s="769"/>
      <c r="RIE109" s="769"/>
      <c r="RIF109" s="769"/>
      <c r="RIG109" s="769"/>
      <c r="RIH109" s="769"/>
      <c r="RII109" s="769"/>
      <c r="RIJ109" s="769"/>
      <c r="RIK109" s="769"/>
      <c r="RIL109" s="769"/>
      <c r="RIM109" s="769"/>
      <c r="RIN109" s="769"/>
      <c r="RIO109" s="769"/>
      <c r="RIP109" s="769"/>
      <c r="RIQ109" s="769"/>
      <c r="RIR109" s="769"/>
      <c r="RIS109" s="769"/>
      <c r="RIT109" s="769"/>
      <c r="RIU109" s="769"/>
      <c r="RIV109" s="769"/>
      <c r="RIW109" s="769"/>
      <c r="RIX109" s="769"/>
      <c r="RIY109" s="769"/>
      <c r="RIZ109" s="769"/>
      <c r="RJA109" s="769"/>
      <c r="RJB109" s="769"/>
      <c r="RJC109" s="769"/>
      <c r="RJD109" s="769"/>
      <c r="RJE109" s="769"/>
      <c r="RJF109" s="769"/>
      <c r="RJG109" s="769"/>
      <c r="RJH109" s="769"/>
      <c r="RJI109" s="769"/>
      <c r="RJJ109" s="769"/>
      <c r="RJK109" s="769"/>
      <c r="RJL109" s="769"/>
      <c r="RJM109" s="769"/>
      <c r="RJN109" s="769"/>
      <c r="RJO109" s="769"/>
      <c r="RJP109" s="769"/>
      <c r="RJQ109" s="769"/>
      <c r="RJR109" s="769"/>
      <c r="RJS109" s="769"/>
      <c r="RJT109" s="769"/>
      <c r="RJU109" s="769"/>
      <c r="RJV109" s="769"/>
      <c r="RJW109" s="769"/>
      <c r="RJX109" s="769"/>
      <c r="RJY109" s="769"/>
      <c r="RJZ109" s="769"/>
      <c r="RKA109" s="769"/>
      <c r="RKB109" s="769"/>
      <c r="RKC109" s="769"/>
      <c r="RKD109" s="769"/>
      <c r="RKE109" s="769"/>
      <c r="RKF109" s="769"/>
      <c r="RKG109" s="769"/>
      <c r="RKH109" s="769"/>
      <c r="RKI109" s="769"/>
      <c r="RKJ109" s="769"/>
      <c r="RKK109" s="769"/>
      <c r="RKL109" s="769"/>
      <c r="RKM109" s="769"/>
      <c r="RKN109" s="769"/>
      <c r="RKO109" s="769"/>
      <c r="RKP109" s="769"/>
      <c r="RKQ109" s="769"/>
      <c r="RKR109" s="769"/>
      <c r="RKS109" s="769"/>
      <c r="RKT109" s="769"/>
      <c r="RKU109" s="769"/>
      <c r="RKV109" s="769"/>
      <c r="RKW109" s="769"/>
      <c r="RKX109" s="769"/>
      <c r="RKY109" s="769"/>
      <c r="RKZ109" s="769"/>
      <c r="RLA109" s="769"/>
      <c r="RLB109" s="769"/>
      <c r="RLC109" s="769"/>
      <c r="RLD109" s="769"/>
      <c r="RLE109" s="769"/>
      <c r="RLF109" s="769"/>
      <c r="RLG109" s="769"/>
      <c r="RLH109" s="769"/>
      <c r="RLI109" s="769"/>
      <c r="RLJ109" s="769"/>
      <c r="RLK109" s="769"/>
      <c r="RLL109" s="769"/>
      <c r="RLM109" s="769"/>
      <c r="RLN109" s="769"/>
      <c r="RLO109" s="769"/>
      <c r="RLP109" s="769"/>
      <c r="RLQ109" s="769"/>
      <c r="RLR109" s="769"/>
      <c r="RLS109" s="769"/>
      <c r="RLT109" s="769"/>
      <c r="RLU109" s="769"/>
      <c r="RLV109" s="769"/>
      <c r="RLW109" s="769"/>
      <c r="RLX109" s="769"/>
      <c r="RLY109" s="769"/>
      <c r="RLZ109" s="769"/>
      <c r="RMA109" s="769"/>
      <c r="RMB109" s="769"/>
      <c r="RMC109" s="769"/>
      <c r="RMD109" s="769"/>
      <c r="RME109" s="769"/>
      <c r="RMF109" s="769"/>
      <c r="RMG109" s="769"/>
      <c r="RMH109" s="769"/>
      <c r="RMI109" s="769"/>
      <c r="RMJ109" s="769"/>
      <c r="RMK109" s="769"/>
      <c r="RML109" s="769"/>
      <c r="RMM109" s="769"/>
      <c r="RMN109" s="769"/>
      <c r="RMO109" s="769"/>
      <c r="RMP109" s="769"/>
      <c r="RMQ109" s="769"/>
      <c r="RMR109" s="769"/>
      <c r="RMS109" s="769"/>
      <c r="RMT109" s="769"/>
      <c r="RMU109" s="769"/>
      <c r="RMV109" s="769"/>
      <c r="RMW109" s="769"/>
      <c r="RMX109" s="769"/>
      <c r="RMY109" s="769"/>
      <c r="RMZ109" s="769"/>
      <c r="RNA109" s="769"/>
      <c r="RNB109" s="769"/>
      <c r="RNC109" s="769"/>
      <c r="RND109" s="769"/>
      <c r="RNE109" s="769"/>
      <c r="RNF109" s="769"/>
      <c r="RNG109" s="769"/>
      <c r="RNH109" s="769"/>
      <c r="RNI109" s="769"/>
      <c r="RNJ109" s="769"/>
      <c r="RNK109" s="769"/>
      <c r="RNL109" s="769"/>
      <c r="RNM109" s="769"/>
      <c r="RNN109" s="769"/>
      <c r="RNO109" s="769"/>
      <c r="RNP109" s="769"/>
      <c r="RNQ109" s="769"/>
      <c r="RNR109" s="769"/>
      <c r="RNS109" s="769"/>
      <c r="RNT109" s="769"/>
      <c r="RNU109" s="769"/>
      <c r="RNV109" s="769"/>
      <c r="RNW109" s="769"/>
      <c r="RNX109" s="769"/>
      <c r="RNY109" s="769"/>
      <c r="RNZ109" s="769"/>
      <c r="ROA109" s="769"/>
      <c r="ROB109" s="769"/>
      <c r="ROC109" s="769"/>
      <c r="ROD109" s="769"/>
      <c r="ROE109" s="769"/>
      <c r="ROF109" s="769"/>
      <c r="ROG109" s="769"/>
      <c r="ROH109" s="769"/>
      <c r="ROI109" s="769"/>
      <c r="ROJ109" s="769"/>
      <c r="ROK109" s="769"/>
      <c r="ROL109" s="769"/>
      <c r="ROM109" s="769"/>
      <c r="RON109" s="769"/>
      <c r="ROO109" s="769"/>
      <c r="ROP109" s="769"/>
      <c r="ROQ109" s="769"/>
      <c r="ROR109" s="769"/>
      <c r="ROS109" s="769"/>
      <c r="ROT109" s="769"/>
      <c r="ROU109" s="769"/>
      <c r="ROV109" s="769"/>
      <c r="ROW109" s="769"/>
      <c r="ROX109" s="769"/>
      <c r="ROY109" s="769"/>
      <c r="ROZ109" s="769"/>
      <c r="RPA109" s="769"/>
      <c r="RPB109" s="769"/>
      <c r="RPC109" s="769"/>
      <c r="RPD109" s="769"/>
      <c r="RPE109" s="769"/>
      <c r="RPF109" s="769"/>
      <c r="RPG109" s="769"/>
      <c r="RPH109" s="769"/>
      <c r="RPI109" s="769"/>
      <c r="RPJ109" s="769"/>
      <c r="RPK109" s="769"/>
      <c r="RPL109" s="769"/>
      <c r="RPM109" s="769"/>
      <c r="RPN109" s="769"/>
      <c r="RPO109" s="769"/>
      <c r="RPP109" s="769"/>
      <c r="RPQ109" s="769"/>
      <c r="RPR109" s="769"/>
      <c r="RPS109" s="769"/>
      <c r="RPT109" s="769"/>
      <c r="RPU109" s="769"/>
      <c r="RPV109" s="769"/>
      <c r="RPW109" s="769"/>
      <c r="RPX109" s="769"/>
      <c r="RPY109" s="769"/>
      <c r="RPZ109" s="769"/>
      <c r="RQA109" s="769"/>
      <c r="RQB109" s="769"/>
      <c r="RQC109" s="769"/>
      <c r="RQD109" s="769"/>
      <c r="RQE109" s="769"/>
      <c r="RQF109" s="769"/>
      <c r="RQG109" s="769"/>
      <c r="RQH109" s="769"/>
      <c r="RQI109" s="769"/>
      <c r="RQJ109" s="769"/>
      <c r="RQK109" s="769"/>
      <c r="RQL109" s="769"/>
      <c r="RQM109" s="769"/>
      <c r="RQN109" s="769"/>
      <c r="RQO109" s="769"/>
      <c r="RQP109" s="769"/>
      <c r="RQQ109" s="769"/>
      <c r="RQR109" s="769"/>
      <c r="RQS109" s="769"/>
      <c r="RQT109" s="769"/>
      <c r="RQU109" s="769"/>
      <c r="RQV109" s="769"/>
      <c r="RQW109" s="769"/>
      <c r="RQX109" s="769"/>
      <c r="RQY109" s="769"/>
      <c r="RQZ109" s="769"/>
      <c r="RRA109" s="769"/>
      <c r="RRB109" s="769"/>
      <c r="RRC109" s="769"/>
      <c r="RRD109" s="769"/>
      <c r="RRE109" s="769"/>
      <c r="RRF109" s="769"/>
      <c r="RRG109" s="769"/>
      <c r="RRH109" s="769"/>
      <c r="RRI109" s="769"/>
      <c r="RRJ109" s="769"/>
      <c r="RRK109" s="769"/>
      <c r="RRL109" s="769"/>
      <c r="RRM109" s="769"/>
      <c r="RRN109" s="769"/>
      <c r="RRO109" s="769"/>
      <c r="RRP109" s="769"/>
      <c r="RRQ109" s="769"/>
      <c r="RRR109" s="769"/>
      <c r="RRS109" s="769"/>
      <c r="RRT109" s="769"/>
      <c r="RRU109" s="769"/>
      <c r="RRV109" s="769"/>
      <c r="RRW109" s="769"/>
      <c r="RRX109" s="769"/>
      <c r="RRY109" s="769"/>
      <c r="RRZ109" s="769"/>
      <c r="RSA109" s="769"/>
      <c r="RSB109" s="769"/>
      <c r="RSC109" s="769"/>
      <c r="RSD109" s="769"/>
      <c r="RSE109" s="769"/>
      <c r="RSF109" s="769"/>
      <c r="RSG109" s="769"/>
      <c r="RSH109" s="769"/>
      <c r="RSI109" s="769"/>
      <c r="RSJ109" s="769"/>
      <c r="RSK109" s="769"/>
      <c r="RSL109" s="769"/>
      <c r="RSM109" s="769"/>
      <c r="RSN109" s="769"/>
      <c r="RSO109" s="769"/>
      <c r="RSP109" s="769"/>
      <c r="RSQ109" s="769"/>
      <c r="RSR109" s="769"/>
      <c r="RSS109" s="769"/>
      <c r="RST109" s="769"/>
      <c r="RSU109" s="769"/>
      <c r="RSV109" s="769"/>
      <c r="RSW109" s="769"/>
      <c r="RSX109" s="769"/>
      <c r="RSY109" s="769"/>
      <c r="RSZ109" s="769"/>
      <c r="RTA109" s="769"/>
      <c r="RTB109" s="769"/>
      <c r="RTC109" s="769"/>
      <c r="RTD109" s="769"/>
      <c r="RTE109" s="769"/>
      <c r="RTF109" s="769"/>
      <c r="RTG109" s="769"/>
      <c r="RTH109" s="769"/>
      <c r="RTI109" s="769"/>
      <c r="RTJ109" s="769"/>
      <c r="RTK109" s="769"/>
      <c r="RTL109" s="769"/>
      <c r="RTM109" s="769"/>
      <c r="RTN109" s="769"/>
      <c r="RTO109" s="769"/>
      <c r="RTP109" s="769"/>
      <c r="RTQ109" s="769"/>
      <c r="RTR109" s="769"/>
      <c r="RTS109" s="769"/>
      <c r="RTT109" s="769"/>
      <c r="RTU109" s="769"/>
      <c r="RTV109" s="769"/>
      <c r="RTW109" s="769"/>
      <c r="RTX109" s="769"/>
      <c r="RTY109" s="769"/>
      <c r="RTZ109" s="769"/>
      <c r="RUA109" s="769"/>
      <c r="RUB109" s="769"/>
      <c r="RUC109" s="769"/>
      <c r="RUD109" s="769"/>
      <c r="RUE109" s="769"/>
      <c r="RUF109" s="769"/>
      <c r="RUG109" s="769"/>
      <c r="RUH109" s="769"/>
      <c r="RUI109" s="769"/>
      <c r="RUJ109" s="769"/>
      <c r="RUK109" s="769"/>
      <c r="RUL109" s="769"/>
      <c r="RUM109" s="769"/>
      <c r="RUN109" s="769"/>
      <c r="RUO109" s="769"/>
      <c r="RUP109" s="769"/>
      <c r="RUQ109" s="769"/>
      <c r="RUR109" s="769"/>
      <c r="RUS109" s="769"/>
      <c r="RUT109" s="769"/>
      <c r="RUU109" s="769"/>
      <c r="RUV109" s="769"/>
      <c r="RUW109" s="769"/>
      <c r="RUX109" s="769"/>
      <c r="RUY109" s="769"/>
      <c r="RUZ109" s="769"/>
      <c r="RVA109" s="769"/>
      <c r="RVB109" s="769"/>
      <c r="RVC109" s="769"/>
      <c r="RVD109" s="769"/>
      <c r="RVE109" s="769"/>
      <c r="RVF109" s="769"/>
      <c r="RVG109" s="769"/>
      <c r="RVH109" s="769"/>
      <c r="RVI109" s="769"/>
      <c r="RVJ109" s="769"/>
      <c r="RVK109" s="769"/>
      <c r="RVL109" s="769"/>
      <c r="RVM109" s="769"/>
      <c r="RVN109" s="769"/>
      <c r="RVO109" s="769"/>
      <c r="RVP109" s="769"/>
      <c r="RVQ109" s="769"/>
      <c r="RVR109" s="769"/>
      <c r="RVS109" s="769"/>
      <c r="RVT109" s="769"/>
      <c r="RVU109" s="769"/>
      <c r="RVV109" s="769"/>
      <c r="RVW109" s="769"/>
      <c r="RVX109" s="769"/>
      <c r="RVY109" s="769"/>
      <c r="RVZ109" s="769"/>
      <c r="RWA109" s="769"/>
      <c r="RWB109" s="769"/>
      <c r="RWC109" s="769"/>
      <c r="RWD109" s="769"/>
      <c r="RWE109" s="769"/>
      <c r="RWF109" s="769"/>
      <c r="RWG109" s="769"/>
      <c r="RWH109" s="769"/>
      <c r="RWI109" s="769"/>
      <c r="RWJ109" s="769"/>
      <c r="RWK109" s="769"/>
      <c r="RWL109" s="769"/>
      <c r="RWM109" s="769"/>
      <c r="RWN109" s="769"/>
      <c r="RWO109" s="769"/>
      <c r="RWP109" s="769"/>
      <c r="RWQ109" s="769"/>
      <c r="RWR109" s="769"/>
      <c r="RWS109" s="769"/>
      <c r="RWT109" s="769"/>
      <c r="RWU109" s="769"/>
      <c r="RWV109" s="769"/>
      <c r="RWW109" s="769"/>
      <c r="RWX109" s="769"/>
      <c r="RWY109" s="769"/>
      <c r="RWZ109" s="769"/>
      <c r="RXA109" s="769"/>
      <c r="RXB109" s="769"/>
      <c r="RXC109" s="769"/>
      <c r="RXD109" s="769"/>
      <c r="RXE109" s="769"/>
      <c r="RXF109" s="769"/>
      <c r="RXG109" s="769"/>
      <c r="RXH109" s="769"/>
      <c r="RXI109" s="769"/>
      <c r="RXJ109" s="769"/>
      <c r="RXK109" s="769"/>
      <c r="RXL109" s="769"/>
      <c r="RXM109" s="769"/>
      <c r="RXN109" s="769"/>
      <c r="RXO109" s="769"/>
      <c r="RXP109" s="769"/>
      <c r="RXQ109" s="769"/>
      <c r="RXR109" s="769"/>
      <c r="RXS109" s="769"/>
      <c r="RXT109" s="769"/>
      <c r="RXU109" s="769"/>
      <c r="RXV109" s="769"/>
      <c r="RXW109" s="769"/>
      <c r="RXX109" s="769"/>
      <c r="RXY109" s="769"/>
      <c r="RXZ109" s="769"/>
      <c r="RYA109" s="769"/>
      <c r="RYB109" s="769"/>
      <c r="RYC109" s="769"/>
      <c r="RYD109" s="769"/>
      <c r="RYE109" s="769"/>
      <c r="RYF109" s="769"/>
      <c r="RYG109" s="769"/>
      <c r="RYH109" s="769"/>
      <c r="RYI109" s="769"/>
      <c r="RYJ109" s="769"/>
      <c r="RYK109" s="769"/>
      <c r="RYL109" s="769"/>
      <c r="RYM109" s="769"/>
      <c r="RYN109" s="769"/>
      <c r="RYO109" s="769"/>
      <c r="RYP109" s="769"/>
      <c r="RYQ109" s="769"/>
      <c r="RYR109" s="769"/>
      <c r="RYS109" s="769"/>
      <c r="RYT109" s="769"/>
      <c r="RYU109" s="769"/>
      <c r="RYV109" s="769"/>
      <c r="RYW109" s="769"/>
      <c r="RYX109" s="769"/>
      <c r="RYY109" s="769"/>
      <c r="RYZ109" s="769"/>
      <c r="RZA109" s="769"/>
      <c r="RZB109" s="769"/>
      <c r="RZC109" s="769"/>
      <c r="RZD109" s="769"/>
      <c r="RZE109" s="769"/>
      <c r="RZF109" s="769"/>
      <c r="RZG109" s="769"/>
      <c r="RZH109" s="769"/>
      <c r="RZI109" s="769"/>
      <c r="RZJ109" s="769"/>
      <c r="RZK109" s="769"/>
      <c r="RZL109" s="769"/>
      <c r="RZM109" s="769"/>
      <c r="RZN109" s="769"/>
      <c r="RZO109" s="769"/>
      <c r="RZP109" s="769"/>
      <c r="RZQ109" s="769"/>
      <c r="RZR109" s="769"/>
      <c r="RZS109" s="769"/>
      <c r="RZT109" s="769"/>
      <c r="RZU109" s="769"/>
      <c r="RZV109" s="769"/>
      <c r="RZW109" s="769"/>
      <c r="RZX109" s="769"/>
      <c r="RZY109" s="769"/>
      <c r="RZZ109" s="769"/>
      <c r="SAA109" s="769"/>
      <c r="SAB109" s="769"/>
      <c r="SAC109" s="769"/>
      <c r="SAD109" s="769"/>
      <c r="SAE109" s="769"/>
      <c r="SAF109" s="769"/>
      <c r="SAG109" s="769"/>
      <c r="SAH109" s="769"/>
      <c r="SAI109" s="769"/>
      <c r="SAJ109" s="769"/>
      <c r="SAK109" s="769"/>
      <c r="SAL109" s="769"/>
      <c r="SAM109" s="769"/>
      <c r="SAN109" s="769"/>
      <c r="SAO109" s="769"/>
      <c r="SAP109" s="769"/>
      <c r="SAQ109" s="769"/>
      <c r="SAR109" s="769"/>
      <c r="SAS109" s="769"/>
      <c r="SAT109" s="769"/>
      <c r="SAU109" s="769"/>
      <c r="SAV109" s="769"/>
      <c r="SAW109" s="769"/>
      <c r="SAX109" s="769"/>
      <c r="SAY109" s="769"/>
      <c r="SAZ109" s="769"/>
      <c r="SBA109" s="769"/>
      <c r="SBB109" s="769"/>
      <c r="SBC109" s="769"/>
      <c r="SBD109" s="769"/>
      <c r="SBE109" s="769"/>
      <c r="SBF109" s="769"/>
      <c r="SBG109" s="769"/>
      <c r="SBH109" s="769"/>
      <c r="SBI109" s="769"/>
      <c r="SBJ109" s="769"/>
      <c r="SBK109" s="769"/>
      <c r="SBL109" s="769"/>
      <c r="SBM109" s="769"/>
      <c r="SBN109" s="769"/>
      <c r="SBO109" s="769"/>
      <c r="SBP109" s="769"/>
      <c r="SBQ109" s="769"/>
      <c r="SBR109" s="769"/>
      <c r="SBS109" s="769"/>
      <c r="SBT109" s="769"/>
      <c r="SBU109" s="769"/>
      <c r="SBV109" s="769"/>
      <c r="SBW109" s="769"/>
      <c r="SBX109" s="769"/>
      <c r="SBY109" s="769"/>
      <c r="SBZ109" s="769"/>
      <c r="SCA109" s="769"/>
      <c r="SCB109" s="769"/>
      <c r="SCC109" s="769"/>
      <c r="SCD109" s="769"/>
      <c r="SCE109" s="769"/>
      <c r="SCF109" s="769"/>
      <c r="SCG109" s="769"/>
      <c r="SCH109" s="769"/>
      <c r="SCI109" s="769"/>
      <c r="SCJ109" s="769"/>
      <c r="SCK109" s="769"/>
      <c r="SCL109" s="769"/>
      <c r="SCM109" s="769"/>
      <c r="SCN109" s="769"/>
      <c r="SCO109" s="769"/>
      <c r="SCP109" s="769"/>
      <c r="SCQ109" s="769"/>
      <c r="SCR109" s="769"/>
      <c r="SCS109" s="769"/>
      <c r="SCT109" s="769"/>
      <c r="SCU109" s="769"/>
      <c r="SCV109" s="769"/>
      <c r="SCW109" s="769"/>
      <c r="SCX109" s="769"/>
      <c r="SCY109" s="769"/>
      <c r="SCZ109" s="769"/>
      <c r="SDA109" s="769"/>
      <c r="SDB109" s="769"/>
      <c r="SDC109" s="769"/>
      <c r="SDD109" s="769"/>
      <c r="SDE109" s="769"/>
      <c r="SDF109" s="769"/>
      <c r="SDG109" s="769"/>
      <c r="SDH109" s="769"/>
      <c r="SDI109" s="769"/>
      <c r="SDJ109" s="769"/>
      <c r="SDK109" s="769"/>
      <c r="SDL109" s="769"/>
      <c r="SDM109" s="769"/>
      <c r="SDN109" s="769"/>
      <c r="SDO109" s="769"/>
      <c r="SDP109" s="769"/>
      <c r="SDQ109" s="769"/>
      <c r="SDR109" s="769"/>
      <c r="SDS109" s="769"/>
      <c r="SDT109" s="769"/>
      <c r="SDU109" s="769"/>
      <c r="SDV109" s="769"/>
      <c r="SDW109" s="769"/>
      <c r="SDX109" s="769"/>
      <c r="SDY109" s="769"/>
      <c r="SDZ109" s="769"/>
      <c r="SEA109" s="769"/>
      <c r="SEB109" s="769"/>
      <c r="SEC109" s="769"/>
      <c r="SED109" s="769"/>
      <c r="SEE109" s="769"/>
      <c r="SEF109" s="769"/>
      <c r="SEG109" s="769"/>
      <c r="SEH109" s="769"/>
      <c r="SEI109" s="769"/>
      <c r="SEJ109" s="769"/>
      <c r="SEK109" s="769"/>
      <c r="SEL109" s="769"/>
      <c r="SEM109" s="769"/>
      <c r="SEN109" s="769"/>
      <c r="SEO109" s="769"/>
      <c r="SEP109" s="769"/>
      <c r="SEQ109" s="769"/>
      <c r="SER109" s="769"/>
      <c r="SES109" s="769"/>
      <c r="SET109" s="769"/>
      <c r="SEU109" s="769"/>
      <c r="SEV109" s="769"/>
      <c r="SEW109" s="769"/>
      <c r="SEX109" s="769"/>
      <c r="SEY109" s="769"/>
      <c r="SEZ109" s="769"/>
      <c r="SFA109" s="769"/>
      <c r="SFB109" s="769"/>
      <c r="SFC109" s="769"/>
      <c r="SFD109" s="769"/>
      <c r="SFE109" s="769"/>
      <c r="SFF109" s="769"/>
      <c r="SFG109" s="769"/>
      <c r="SFH109" s="769"/>
      <c r="SFI109" s="769"/>
      <c r="SFJ109" s="769"/>
      <c r="SFK109" s="769"/>
      <c r="SFL109" s="769"/>
      <c r="SFM109" s="769"/>
      <c r="SFN109" s="769"/>
      <c r="SFO109" s="769"/>
      <c r="SFP109" s="769"/>
      <c r="SFQ109" s="769"/>
      <c r="SFR109" s="769"/>
      <c r="SFS109" s="769"/>
      <c r="SFT109" s="769"/>
      <c r="SFU109" s="769"/>
      <c r="SFV109" s="769"/>
      <c r="SFW109" s="769"/>
      <c r="SFX109" s="769"/>
      <c r="SFY109" s="769"/>
      <c r="SFZ109" s="769"/>
      <c r="SGA109" s="769"/>
      <c r="SGB109" s="769"/>
      <c r="SGC109" s="769"/>
      <c r="SGD109" s="769"/>
      <c r="SGE109" s="769"/>
      <c r="SGF109" s="769"/>
      <c r="SGG109" s="769"/>
      <c r="SGH109" s="769"/>
      <c r="SGI109" s="769"/>
      <c r="SGJ109" s="769"/>
      <c r="SGK109" s="769"/>
      <c r="SGL109" s="769"/>
      <c r="SGM109" s="769"/>
      <c r="SGN109" s="769"/>
      <c r="SGO109" s="769"/>
      <c r="SGP109" s="769"/>
      <c r="SGQ109" s="769"/>
      <c r="SGR109" s="769"/>
      <c r="SGS109" s="769"/>
      <c r="SGT109" s="769"/>
      <c r="SGU109" s="769"/>
      <c r="SGV109" s="769"/>
      <c r="SGW109" s="769"/>
      <c r="SGX109" s="769"/>
      <c r="SGY109" s="769"/>
      <c r="SGZ109" s="769"/>
      <c r="SHA109" s="769"/>
      <c r="SHB109" s="769"/>
      <c r="SHC109" s="769"/>
      <c r="SHD109" s="769"/>
      <c r="SHE109" s="769"/>
      <c r="SHF109" s="769"/>
      <c r="SHG109" s="769"/>
      <c r="SHH109" s="769"/>
      <c r="SHI109" s="769"/>
      <c r="SHJ109" s="769"/>
      <c r="SHK109" s="769"/>
      <c r="SHL109" s="769"/>
      <c r="SHM109" s="769"/>
      <c r="SHN109" s="769"/>
      <c r="SHO109" s="769"/>
      <c r="SHP109" s="769"/>
      <c r="SHQ109" s="769"/>
      <c r="SHR109" s="769"/>
      <c r="SHS109" s="769"/>
      <c r="SHT109" s="769"/>
      <c r="SHU109" s="769"/>
      <c r="SHV109" s="769"/>
      <c r="SHW109" s="769"/>
      <c r="SHX109" s="769"/>
      <c r="SHY109" s="769"/>
      <c r="SHZ109" s="769"/>
      <c r="SIA109" s="769"/>
      <c r="SIB109" s="769"/>
      <c r="SIC109" s="769"/>
      <c r="SID109" s="769"/>
      <c r="SIE109" s="769"/>
      <c r="SIF109" s="769"/>
      <c r="SIG109" s="769"/>
      <c r="SIH109" s="769"/>
      <c r="SII109" s="769"/>
      <c r="SIJ109" s="769"/>
      <c r="SIK109" s="769"/>
      <c r="SIL109" s="769"/>
      <c r="SIM109" s="769"/>
      <c r="SIN109" s="769"/>
      <c r="SIO109" s="769"/>
      <c r="SIP109" s="769"/>
      <c r="SIQ109" s="769"/>
      <c r="SIR109" s="769"/>
      <c r="SIS109" s="769"/>
      <c r="SIT109" s="769"/>
      <c r="SIU109" s="769"/>
      <c r="SIV109" s="769"/>
      <c r="SIW109" s="769"/>
      <c r="SIX109" s="769"/>
      <c r="SIY109" s="769"/>
      <c r="SIZ109" s="769"/>
      <c r="SJA109" s="769"/>
      <c r="SJB109" s="769"/>
      <c r="SJC109" s="769"/>
      <c r="SJD109" s="769"/>
      <c r="SJE109" s="769"/>
      <c r="SJF109" s="769"/>
      <c r="SJG109" s="769"/>
      <c r="SJH109" s="769"/>
      <c r="SJI109" s="769"/>
      <c r="SJJ109" s="769"/>
      <c r="SJK109" s="769"/>
      <c r="SJL109" s="769"/>
      <c r="SJM109" s="769"/>
      <c r="SJN109" s="769"/>
      <c r="SJO109" s="769"/>
      <c r="SJP109" s="769"/>
      <c r="SJQ109" s="769"/>
      <c r="SJR109" s="769"/>
      <c r="SJS109" s="769"/>
      <c r="SJT109" s="769"/>
      <c r="SJU109" s="769"/>
      <c r="SJV109" s="769"/>
      <c r="SJW109" s="769"/>
      <c r="SJX109" s="769"/>
      <c r="SJY109" s="769"/>
      <c r="SJZ109" s="769"/>
      <c r="SKA109" s="769"/>
      <c r="SKB109" s="769"/>
      <c r="SKC109" s="769"/>
      <c r="SKD109" s="769"/>
      <c r="SKE109" s="769"/>
      <c r="SKF109" s="769"/>
      <c r="SKG109" s="769"/>
      <c r="SKH109" s="769"/>
      <c r="SKI109" s="769"/>
      <c r="SKJ109" s="769"/>
      <c r="SKK109" s="769"/>
      <c r="SKL109" s="769"/>
      <c r="SKM109" s="769"/>
      <c r="SKN109" s="769"/>
      <c r="SKO109" s="769"/>
      <c r="SKP109" s="769"/>
      <c r="SKQ109" s="769"/>
      <c r="SKR109" s="769"/>
      <c r="SKS109" s="769"/>
      <c r="SKT109" s="769"/>
      <c r="SKU109" s="769"/>
      <c r="SKV109" s="769"/>
      <c r="SKW109" s="769"/>
      <c r="SKX109" s="769"/>
      <c r="SKY109" s="769"/>
      <c r="SKZ109" s="769"/>
      <c r="SLA109" s="769"/>
      <c r="SLB109" s="769"/>
      <c r="SLC109" s="769"/>
      <c r="SLD109" s="769"/>
      <c r="SLE109" s="769"/>
      <c r="SLF109" s="769"/>
      <c r="SLG109" s="769"/>
      <c r="SLH109" s="769"/>
      <c r="SLI109" s="769"/>
      <c r="SLJ109" s="769"/>
      <c r="SLK109" s="769"/>
      <c r="SLL109" s="769"/>
      <c r="SLM109" s="769"/>
      <c r="SLN109" s="769"/>
      <c r="SLO109" s="769"/>
      <c r="SLP109" s="769"/>
      <c r="SLQ109" s="769"/>
      <c r="SLR109" s="769"/>
      <c r="SLS109" s="769"/>
      <c r="SLT109" s="769"/>
      <c r="SLU109" s="769"/>
      <c r="SLV109" s="769"/>
      <c r="SLW109" s="769"/>
      <c r="SLX109" s="769"/>
      <c r="SLY109" s="769"/>
      <c r="SLZ109" s="769"/>
      <c r="SMA109" s="769"/>
      <c r="SMB109" s="769"/>
      <c r="SMC109" s="769"/>
      <c r="SMD109" s="769"/>
      <c r="SME109" s="769"/>
      <c r="SMF109" s="769"/>
      <c r="SMG109" s="769"/>
      <c r="SMH109" s="769"/>
      <c r="SMI109" s="769"/>
      <c r="SMJ109" s="769"/>
      <c r="SMK109" s="769"/>
      <c r="SML109" s="769"/>
      <c r="SMM109" s="769"/>
      <c r="SMN109" s="769"/>
      <c r="SMO109" s="769"/>
      <c r="SMP109" s="769"/>
      <c r="SMQ109" s="769"/>
      <c r="SMR109" s="769"/>
      <c r="SMS109" s="769"/>
      <c r="SMT109" s="769"/>
      <c r="SMU109" s="769"/>
      <c r="SMV109" s="769"/>
      <c r="SMW109" s="769"/>
      <c r="SMX109" s="769"/>
      <c r="SMY109" s="769"/>
      <c r="SMZ109" s="769"/>
      <c r="SNA109" s="769"/>
      <c r="SNB109" s="769"/>
      <c r="SNC109" s="769"/>
      <c r="SND109" s="769"/>
      <c r="SNE109" s="769"/>
      <c r="SNF109" s="769"/>
      <c r="SNG109" s="769"/>
      <c r="SNH109" s="769"/>
      <c r="SNI109" s="769"/>
      <c r="SNJ109" s="769"/>
      <c r="SNK109" s="769"/>
      <c r="SNL109" s="769"/>
      <c r="SNM109" s="769"/>
      <c r="SNN109" s="769"/>
      <c r="SNO109" s="769"/>
      <c r="SNP109" s="769"/>
      <c r="SNQ109" s="769"/>
      <c r="SNR109" s="769"/>
      <c r="SNS109" s="769"/>
      <c r="SNT109" s="769"/>
      <c r="SNU109" s="769"/>
      <c r="SNV109" s="769"/>
      <c r="SNW109" s="769"/>
      <c r="SNX109" s="769"/>
      <c r="SNY109" s="769"/>
      <c r="SNZ109" s="769"/>
      <c r="SOA109" s="769"/>
      <c r="SOB109" s="769"/>
      <c r="SOC109" s="769"/>
      <c r="SOD109" s="769"/>
      <c r="SOE109" s="769"/>
      <c r="SOF109" s="769"/>
      <c r="SOG109" s="769"/>
      <c r="SOH109" s="769"/>
      <c r="SOI109" s="769"/>
      <c r="SOJ109" s="769"/>
      <c r="SOK109" s="769"/>
      <c r="SOL109" s="769"/>
      <c r="SOM109" s="769"/>
      <c r="SON109" s="769"/>
      <c r="SOO109" s="769"/>
      <c r="SOP109" s="769"/>
      <c r="SOQ109" s="769"/>
      <c r="SOR109" s="769"/>
      <c r="SOS109" s="769"/>
      <c r="SOT109" s="769"/>
      <c r="SOU109" s="769"/>
      <c r="SOV109" s="769"/>
      <c r="SOW109" s="769"/>
      <c r="SOX109" s="769"/>
      <c r="SOY109" s="769"/>
      <c r="SOZ109" s="769"/>
      <c r="SPA109" s="769"/>
      <c r="SPB109" s="769"/>
      <c r="SPC109" s="769"/>
      <c r="SPD109" s="769"/>
      <c r="SPE109" s="769"/>
      <c r="SPF109" s="769"/>
      <c r="SPG109" s="769"/>
      <c r="SPH109" s="769"/>
      <c r="SPI109" s="769"/>
      <c r="SPJ109" s="769"/>
      <c r="SPK109" s="769"/>
      <c r="SPL109" s="769"/>
      <c r="SPM109" s="769"/>
      <c r="SPN109" s="769"/>
      <c r="SPO109" s="769"/>
      <c r="SPP109" s="769"/>
      <c r="SPQ109" s="769"/>
      <c r="SPR109" s="769"/>
      <c r="SPS109" s="769"/>
      <c r="SPT109" s="769"/>
      <c r="SPU109" s="769"/>
      <c r="SPV109" s="769"/>
      <c r="SPW109" s="769"/>
      <c r="SPX109" s="769"/>
      <c r="SPY109" s="769"/>
      <c r="SPZ109" s="769"/>
      <c r="SQA109" s="769"/>
      <c r="SQB109" s="769"/>
      <c r="SQC109" s="769"/>
      <c r="SQD109" s="769"/>
      <c r="SQE109" s="769"/>
      <c r="SQF109" s="769"/>
      <c r="SQG109" s="769"/>
      <c r="SQH109" s="769"/>
      <c r="SQI109" s="769"/>
      <c r="SQJ109" s="769"/>
      <c r="SQK109" s="769"/>
      <c r="SQL109" s="769"/>
      <c r="SQM109" s="769"/>
      <c r="SQN109" s="769"/>
      <c r="SQO109" s="769"/>
      <c r="SQP109" s="769"/>
      <c r="SQQ109" s="769"/>
      <c r="SQR109" s="769"/>
      <c r="SQS109" s="769"/>
      <c r="SQT109" s="769"/>
      <c r="SQU109" s="769"/>
      <c r="SQV109" s="769"/>
      <c r="SQW109" s="769"/>
      <c r="SQX109" s="769"/>
      <c r="SQY109" s="769"/>
      <c r="SQZ109" s="769"/>
      <c r="SRA109" s="769"/>
      <c r="SRB109" s="769"/>
      <c r="SRC109" s="769"/>
      <c r="SRD109" s="769"/>
      <c r="SRE109" s="769"/>
      <c r="SRF109" s="769"/>
      <c r="SRG109" s="769"/>
      <c r="SRH109" s="769"/>
      <c r="SRI109" s="769"/>
      <c r="SRJ109" s="769"/>
      <c r="SRK109" s="769"/>
      <c r="SRL109" s="769"/>
      <c r="SRM109" s="769"/>
      <c r="SRN109" s="769"/>
      <c r="SRO109" s="769"/>
      <c r="SRP109" s="769"/>
      <c r="SRQ109" s="769"/>
      <c r="SRR109" s="769"/>
      <c r="SRS109" s="769"/>
      <c r="SRT109" s="769"/>
      <c r="SRU109" s="769"/>
      <c r="SRV109" s="769"/>
      <c r="SRW109" s="769"/>
      <c r="SRX109" s="769"/>
      <c r="SRY109" s="769"/>
      <c r="SRZ109" s="769"/>
      <c r="SSA109" s="769"/>
      <c r="SSB109" s="769"/>
      <c r="SSC109" s="769"/>
      <c r="SSD109" s="769"/>
      <c r="SSE109" s="769"/>
      <c r="SSF109" s="769"/>
      <c r="SSG109" s="769"/>
      <c r="SSH109" s="769"/>
      <c r="SSI109" s="769"/>
      <c r="SSJ109" s="769"/>
      <c r="SSK109" s="769"/>
      <c r="SSL109" s="769"/>
      <c r="SSM109" s="769"/>
      <c r="SSN109" s="769"/>
      <c r="SSO109" s="769"/>
      <c r="SSP109" s="769"/>
      <c r="SSQ109" s="769"/>
      <c r="SSR109" s="769"/>
      <c r="SSS109" s="769"/>
      <c r="SST109" s="769"/>
      <c r="SSU109" s="769"/>
      <c r="SSV109" s="769"/>
      <c r="SSW109" s="769"/>
      <c r="SSX109" s="769"/>
      <c r="SSY109" s="769"/>
      <c r="SSZ109" s="769"/>
      <c r="STA109" s="769"/>
      <c r="STB109" s="769"/>
      <c r="STC109" s="769"/>
      <c r="STD109" s="769"/>
      <c r="STE109" s="769"/>
      <c r="STF109" s="769"/>
      <c r="STG109" s="769"/>
      <c r="STH109" s="769"/>
      <c r="STI109" s="769"/>
      <c r="STJ109" s="769"/>
      <c r="STK109" s="769"/>
      <c r="STL109" s="769"/>
      <c r="STM109" s="769"/>
      <c r="STN109" s="769"/>
      <c r="STO109" s="769"/>
      <c r="STP109" s="769"/>
      <c r="STQ109" s="769"/>
      <c r="STR109" s="769"/>
      <c r="STS109" s="769"/>
      <c r="STT109" s="769"/>
      <c r="STU109" s="769"/>
      <c r="STV109" s="769"/>
      <c r="STW109" s="769"/>
      <c r="STX109" s="769"/>
      <c r="STY109" s="769"/>
      <c r="STZ109" s="769"/>
      <c r="SUA109" s="769"/>
      <c r="SUB109" s="769"/>
      <c r="SUC109" s="769"/>
      <c r="SUD109" s="769"/>
      <c r="SUE109" s="769"/>
      <c r="SUF109" s="769"/>
      <c r="SUG109" s="769"/>
      <c r="SUH109" s="769"/>
      <c r="SUI109" s="769"/>
      <c r="SUJ109" s="769"/>
      <c r="SUK109" s="769"/>
      <c r="SUL109" s="769"/>
      <c r="SUM109" s="769"/>
      <c r="SUN109" s="769"/>
      <c r="SUO109" s="769"/>
      <c r="SUP109" s="769"/>
      <c r="SUQ109" s="769"/>
      <c r="SUR109" s="769"/>
      <c r="SUS109" s="769"/>
      <c r="SUT109" s="769"/>
      <c r="SUU109" s="769"/>
      <c r="SUV109" s="769"/>
      <c r="SUW109" s="769"/>
      <c r="SUX109" s="769"/>
      <c r="SUY109" s="769"/>
      <c r="SUZ109" s="769"/>
      <c r="SVA109" s="769"/>
      <c r="SVB109" s="769"/>
      <c r="SVC109" s="769"/>
      <c r="SVD109" s="769"/>
      <c r="SVE109" s="769"/>
      <c r="SVF109" s="769"/>
      <c r="SVG109" s="769"/>
      <c r="SVH109" s="769"/>
      <c r="SVI109" s="769"/>
      <c r="SVJ109" s="769"/>
      <c r="SVK109" s="769"/>
      <c r="SVL109" s="769"/>
      <c r="SVM109" s="769"/>
      <c r="SVN109" s="769"/>
      <c r="SVO109" s="769"/>
      <c r="SVP109" s="769"/>
      <c r="SVQ109" s="769"/>
      <c r="SVR109" s="769"/>
      <c r="SVS109" s="769"/>
      <c r="SVT109" s="769"/>
      <c r="SVU109" s="769"/>
      <c r="SVV109" s="769"/>
      <c r="SVW109" s="769"/>
      <c r="SVX109" s="769"/>
      <c r="SVY109" s="769"/>
      <c r="SVZ109" s="769"/>
      <c r="SWA109" s="769"/>
      <c r="SWB109" s="769"/>
      <c r="SWC109" s="769"/>
      <c r="SWD109" s="769"/>
      <c r="SWE109" s="769"/>
      <c r="SWF109" s="769"/>
      <c r="SWG109" s="769"/>
      <c r="SWH109" s="769"/>
      <c r="SWI109" s="769"/>
      <c r="SWJ109" s="769"/>
      <c r="SWK109" s="769"/>
      <c r="SWL109" s="769"/>
      <c r="SWM109" s="769"/>
      <c r="SWN109" s="769"/>
      <c r="SWO109" s="769"/>
      <c r="SWP109" s="769"/>
      <c r="SWQ109" s="769"/>
      <c r="SWR109" s="769"/>
      <c r="SWS109" s="769"/>
      <c r="SWT109" s="769"/>
      <c r="SWU109" s="769"/>
      <c r="SWV109" s="769"/>
      <c r="SWW109" s="769"/>
      <c r="SWX109" s="769"/>
      <c r="SWY109" s="769"/>
      <c r="SWZ109" s="769"/>
      <c r="SXA109" s="769"/>
      <c r="SXB109" s="769"/>
      <c r="SXC109" s="769"/>
      <c r="SXD109" s="769"/>
      <c r="SXE109" s="769"/>
      <c r="SXF109" s="769"/>
      <c r="SXG109" s="769"/>
      <c r="SXH109" s="769"/>
      <c r="SXI109" s="769"/>
      <c r="SXJ109" s="769"/>
      <c r="SXK109" s="769"/>
      <c r="SXL109" s="769"/>
      <c r="SXM109" s="769"/>
      <c r="SXN109" s="769"/>
      <c r="SXO109" s="769"/>
      <c r="SXP109" s="769"/>
      <c r="SXQ109" s="769"/>
      <c r="SXR109" s="769"/>
      <c r="SXS109" s="769"/>
      <c r="SXT109" s="769"/>
      <c r="SXU109" s="769"/>
      <c r="SXV109" s="769"/>
      <c r="SXW109" s="769"/>
      <c r="SXX109" s="769"/>
      <c r="SXY109" s="769"/>
      <c r="SXZ109" s="769"/>
      <c r="SYA109" s="769"/>
      <c r="SYB109" s="769"/>
      <c r="SYC109" s="769"/>
      <c r="SYD109" s="769"/>
      <c r="SYE109" s="769"/>
      <c r="SYF109" s="769"/>
      <c r="SYG109" s="769"/>
      <c r="SYH109" s="769"/>
      <c r="SYI109" s="769"/>
      <c r="SYJ109" s="769"/>
      <c r="SYK109" s="769"/>
      <c r="SYL109" s="769"/>
      <c r="SYM109" s="769"/>
      <c r="SYN109" s="769"/>
      <c r="SYO109" s="769"/>
      <c r="SYP109" s="769"/>
      <c r="SYQ109" s="769"/>
      <c r="SYR109" s="769"/>
      <c r="SYS109" s="769"/>
      <c r="SYT109" s="769"/>
      <c r="SYU109" s="769"/>
      <c r="SYV109" s="769"/>
      <c r="SYW109" s="769"/>
      <c r="SYX109" s="769"/>
      <c r="SYY109" s="769"/>
      <c r="SYZ109" s="769"/>
      <c r="SZA109" s="769"/>
      <c r="SZB109" s="769"/>
      <c r="SZC109" s="769"/>
      <c r="SZD109" s="769"/>
      <c r="SZE109" s="769"/>
      <c r="SZF109" s="769"/>
      <c r="SZG109" s="769"/>
      <c r="SZH109" s="769"/>
      <c r="SZI109" s="769"/>
      <c r="SZJ109" s="769"/>
      <c r="SZK109" s="769"/>
      <c r="SZL109" s="769"/>
      <c r="SZM109" s="769"/>
      <c r="SZN109" s="769"/>
      <c r="SZO109" s="769"/>
      <c r="SZP109" s="769"/>
      <c r="SZQ109" s="769"/>
      <c r="SZR109" s="769"/>
      <c r="SZS109" s="769"/>
      <c r="SZT109" s="769"/>
      <c r="SZU109" s="769"/>
      <c r="SZV109" s="769"/>
      <c r="SZW109" s="769"/>
      <c r="SZX109" s="769"/>
      <c r="SZY109" s="769"/>
      <c r="SZZ109" s="769"/>
      <c r="TAA109" s="769"/>
      <c r="TAB109" s="769"/>
      <c r="TAC109" s="769"/>
      <c r="TAD109" s="769"/>
      <c r="TAE109" s="769"/>
      <c r="TAF109" s="769"/>
      <c r="TAG109" s="769"/>
      <c r="TAH109" s="769"/>
      <c r="TAI109" s="769"/>
      <c r="TAJ109" s="769"/>
      <c r="TAK109" s="769"/>
      <c r="TAL109" s="769"/>
      <c r="TAM109" s="769"/>
      <c r="TAN109" s="769"/>
      <c r="TAO109" s="769"/>
      <c r="TAP109" s="769"/>
      <c r="TAQ109" s="769"/>
      <c r="TAR109" s="769"/>
      <c r="TAS109" s="769"/>
      <c r="TAT109" s="769"/>
      <c r="TAU109" s="769"/>
      <c r="TAV109" s="769"/>
      <c r="TAW109" s="769"/>
      <c r="TAX109" s="769"/>
      <c r="TAY109" s="769"/>
      <c r="TAZ109" s="769"/>
      <c r="TBA109" s="769"/>
      <c r="TBB109" s="769"/>
      <c r="TBC109" s="769"/>
      <c r="TBD109" s="769"/>
      <c r="TBE109" s="769"/>
      <c r="TBF109" s="769"/>
      <c r="TBG109" s="769"/>
      <c r="TBH109" s="769"/>
      <c r="TBI109" s="769"/>
      <c r="TBJ109" s="769"/>
      <c r="TBK109" s="769"/>
      <c r="TBL109" s="769"/>
      <c r="TBM109" s="769"/>
      <c r="TBN109" s="769"/>
      <c r="TBO109" s="769"/>
      <c r="TBP109" s="769"/>
      <c r="TBQ109" s="769"/>
      <c r="TBR109" s="769"/>
      <c r="TBS109" s="769"/>
      <c r="TBT109" s="769"/>
      <c r="TBU109" s="769"/>
      <c r="TBV109" s="769"/>
      <c r="TBW109" s="769"/>
      <c r="TBX109" s="769"/>
      <c r="TBY109" s="769"/>
      <c r="TBZ109" s="769"/>
      <c r="TCA109" s="769"/>
      <c r="TCB109" s="769"/>
      <c r="TCC109" s="769"/>
      <c r="TCD109" s="769"/>
      <c r="TCE109" s="769"/>
      <c r="TCF109" s="769"/>
      <c r="TCG109" s="769"/>
      <c r="TCH109" s="769"/>
      <c r="TCI109" s="769"/>
      <c r="TCJ109" s="769"/>
      <c r="TCK109" s="769"/>
      <c r="TCL109" s="769"/>
      <c r="TCM109" s="769"/>
      <c r="TCN109" s="769"/>
      <c r="TCO109" s="769"/>
      <c r="TCP109" s="769"/>
      <c r="TCQ109" s="769"/>
      <c r="TCR109" s="769"/>
      <c r="TCS109" s="769"/>
      <c r="TCT109" s="769"/>
      <c r="TCU109" s="769"/>
      <c r="TCV109" s="769"/>
      <c r="TCW109" s="769"/>
      <c r="TCX109" s="769"/>
      <c r="TCY109" s="769"/>
      <c r="TCZ109" s="769"/>
      <c r="TDA109" s="769"/>
      <c r="TDB109" s="769"/>
      <c r="TDC109" s="769"/>
      <c r="TDD109" s="769"/>
      <c r="TDE109" s="769"/>
      <c r="TDF109" s="769"/>
      <c r="TDG109" s="769"/>
      <c r="TDH109" s="769"/>
      <c r="TDI109" s="769"/>
      <c r="TDJ109" s="769"/>
      <c r="TDK109" s="769"/>
      <c r="TDL109" s="769"/>
      <c r="TDM109" s="769"/>
      <c r="TDN109" s="769"/>
      <c r="TDO109" s="769"/>
      <c r="TDP109" s="769"/>
      <c r="TDQ109" s="769"/>
      <c r="TDR109" s="769"/>
      <c r="TDS109" s="769"/>
      <c r="TDT109" s="769"/>
      <c r="TDU109" s="769"/>
      <c r="TDV109" s="769"/>
      <c r="TDW109" s="769"/>
      <c r="TDX109" s="769"/>
      <c r="TDY109" s="769"/>
      <c r="TDZ109" s="769"/>
      <c r="TEA109" s="769"/>
      <c r="TEB109" s="769"/>
      <c r="TEC109" s="769"/>
      <c r="TED109" s="769"/>
      <c r="TEE109" s="769"/>
      <c r="TEF109" s="769"/>
      <c r="TEG109" s="769"/>
      <c r="TEH109" s="769"/>
      <c r="TEI109" s="769"/>
      <c r="TEJ109" s="769"/>
      <c r="TEK109" s="769"/>
      <c r="TEL109" s="769"/>
      <c r="TEM109" s="769"/>
      <c r="TEN109" s="769"/>
      <c r="TEO109" s="769"/>
      <c r="TEP109" s="769"/>
      <c r="TEQ109" s="769"/>
      <c r="TER109" s="769"/>
      <c r="TES109" s="769"/>
      <c r="TET109" s="769"/>
      <c r="TEU109" s="769"/>
      <c r="TEV109" s="769"/>
      <c r="TEW109" s="769"/>
      <c r="TEX109" s="769"/>
      <c r="TEY109" s="769"/>
      <c r="TEZ109" s="769"/>
      <c r="TFA109" s="769"/>
      <c r="TFB109" s="769"/>
      <c r="TFC109" s="769"/>
      <c r="TFD109" s="769"/>
      <c r="TFE109" s="769"/>
      <c r="TFF109" s="769"/>
      <c r="TFG109" s="769"/>
      <c r="TFH109" s="769"/>
      <c r="TFI109" s="769"/>
      <c r="TFJ109" s="769"/>
      <c r="TFK109" s="769"/>
      <c r="TFL109" s="769"/>
      <c r="TFM109" s="769"/>
      <c r="TFN109" s="769"/>
      <c r="TFO109" s="769"/>
      <c r="TFP109" s="769"/>
      <c r="TFQ109" s="769"/>
      <c r="TFR109" s="769"/>
      <c r="TFS109" s="769"/>
      <c r="TFT109" s="769"/>
      <c r="TFU109" s="769"/>
      <c r="TFV109" s="769"/>
      <c r="TFW109" s="769"/>
      <c r="TFX109" s="769"/>
      <c r="TFY109" s="769"/>
      <c r="TFZ109" s="769"/>
      <c r="TGA109" s="769"/>
      <c r="TGB109" s="769"/>
      <c r="TGC109" s="769"/>
      <c r="TGD109" s="769"/>
      <c r="TGE109" s="769"/>
      <c r="TGF109" s="769"/>
      <c r="TGG109" s="769"/>
      <c r="TGH109" s="769"/>
      <c r="TGI109" s="769"/>
      <c r="TGJ109" s="769"/>
      <c r="TGK109" s="769"/>
      <c r="TGL109" s="769"/>
      <c r="TGM109" s="769"/>
      <c r="TGN109" s="769"/>
      <c r="TGO109" s="769"/>
      <c r="TGP109" s="769"/>
      <c r="TGQ109" s="769"/>
      <c r="TGR109" s="769"/>
      <c r="TGS109" s="769"/>
      <c r="TGT109" s="769"/>
      <c r="TGU109" s="769"/>
      <c r="TGV109" s="769"/>
      <c r="TGW109" s="769"/>
      <c r="TGX109" s="769"/>
      <c r="TGY109" s="769"/>
      <c r="TGZ109" s="769"/>
      <c r="THA109" s="769"/>
      <c r="THB109" s="769"/>
      <c r="THC109" s="769"/>
      <c r="THD109" s="769"/>
      <c r="THE109" s="769"/>
      <c r="THF109" s="769"/>
      <c r="THG109" s="769"/>
      <c r="THH109" s="769"/>
      <c r="THI109" s="769"/>
      <c r="THJ109" s="769"/>
      <c r="THK109" s="769"/>
      <c r="THL109" s="769"/>
      <c r="THM109" s="769"/>
      <c r="THN109" s="769"/>
      <c r="THO109" s="769"/>
      <c r="THP109" s="769"/>
      <c r="THQ109" s="769"/>
      <c r="THR109" s="769"/>
      <c r="THS109" s="769"/>
      <c r="THT109" s="769"/>
      <c r="THU109" s="769"/>
      <c r="THV109" s="769"/>
      <c r="THW109" s="769"/>
      <c r="THX109" s="769"/>
      <c r="THY109" s="769"/>
      <c r="THZ109" s="769"/>
      <c r="TIA109" s="769"/>
      <c r="TIB109" s="769"/>
      <c r="TIC109" s="769"/>
      <c r="TID109" s="769"/>
      <c r="TIE109" s="769"/>
      <c r="TIF109" s="769"/>
      <c r="TIG109" s="769"/>
      <c r="TIH109" s="769"/>
      <c r="TII109" s="769"/>
      <c r="TIJ109" s="769"/>
      <c r="TIK109" s="769"/>
      <c r="TIL109" s="769"/>
      <c r="TIM109" s="769"/>
      <c r="TIN109" s="769"/>
      <c r="TIO109" s="769"/>
      <c r="TIP109" s="769"/>
      <c r="TIQ109" s="769"/>
      <c r="TIR109" s="769"/>
      <c r="TIS109" s="769"/>
      <c r="TIT109" s="769"/>
      <c r="TIU109" s="769"/>
      <c r="TIV109" s="769"/>
      <c r="TIW109" s="769"/>
      <c r="TIX109" s="769"/>
      <c r="TIY109" s="769"/>
      <c r="TIZ109" s="769"/>
      <c r="TJA109" s="769"/>
      <c r="TJB109" s="769"/>
      <c r="TJC109" s="769"/>
      <c r="TJD109" s="769"/>
      <c r="TJE109" s="769"/>
      <c r="TJF109" s="769"/>
      <c r="TJG109" s="769"/>
      <c r="TJH109" s="769"/>
      <c r="TJI109" s="769"/>
      <c r="TJJ109" s="769"/>
      <c r="TJK109" s="769"/>
      <c r="TJL109" s="769"/>
      <c r="TJM109" s="769"/>
      <c r="TJN109" s="769"/>
      <c r="TJO109" s="769"/>
      <c r="TJP109" s="769"/>
      <c r="TJQ109" s="769"/>
      <c r="TJR109" s="769"/>
      <c r="TJS109" s="769"/>
      <c r="TJT109" s="769"/>
      <c r="TJU109" s="769"/>
      <c r="TJV109" s="769"/>
      <c r="TJW109" s="769"/>
      <c r="TJX109" s="769"/>
      <c r="TJY109" s="769"/>
      <c r="TJZ109" s="769"/>
      <c r="TKA109" s="769"/>
      <c r="TKB109" s="769"/>
      <c r="TKC109" s="769"/>
      <c r="TKD109" s="769"/>
      <c r="TKE109" s="769"/>
      <c r="TKF109" s="769"/>
      <c r="TKG109" s="769"/>
      <c r="TKH109" s="769"/>
      <c r="TKI109" s="769"/>
      <c r="TKJ109" s="769"/>
      <c r="TKK109" s="769"/>
      <c r="TKL109" s="769"/>
      <c r="TKM109" s="769"/>
      <c r="TKN109" s="769"/>
      <c r="TKO109" s="769"/>
      <c r="TKP109" s="769"/>
      <c r="TKQ109" s="769"/>
      <c r="TKR109" s="769"/>
      <c r="TKS109" s="769"/>
      <c r="TKT109" s="769"/>
      <c r="TKU109" s="769"/>
      <c r="TKV109" s="769"/>
      <c r="TKW109" s="769"/>
      <c r="TKX109" s="769"/>
      <c r="TKY109" s="769"/>
      <c r="TKZ109" s="769"/>
      <c r="TLA109" s="769"/>
      <c r="TLB109" s="769"/>
      <c r="TLC109" s="769"/>
      <c r="TLD109" s="769"/>
      <c r="TLE109" s="769"/>
      <c r="TLF109" s="769"/>
      <c r="TLG109" s="769"/>
      <c r="TLH109" s="769"/>
      <c r="TLI109" s="769"/>
      <c r="TLJ109" s="769"/>
      <c r="TLK109" s="769"/>
      <c r="TLL109" s="769"/>
      <c r="TLM109" s="769"/>
      <c r="TLN109" s="769"/>
      <c r="TLO109" s="769"/>
      <c r="TLP109" s="769"/>
      <c r="TLQ109" s="769"/>
      <c r="TLR109" s="769"/>
      <c r="TLS109" s="769"/>
      <c r="TLT109" s="769"/>
      <c r="TLU109" s="769"/>
      <c r="TLV109" s="769"/>
      <c r="TLW109" s="769"/>
      <c r="TLX109" s="769"/>
      <c r="TLY109" s="769"/>
      <c r="TLZ109" s="769"/>
      <c r="TMA109" s="769"/>
      <c r="TMB109" s="769"/>
      <c r="TMC109" s="769"/>
      <c r="TMD109" s="769"/>
      <c r="TME109" s="769"/>
      <c r="TMF109" s="769"/>
      <c r="TMG109" s="769"/>
      <c r="TMH109" s="769"/>
      <c r="TMI109" s="769"/>
      <c r="TMJ109" s="769"/>
      <c r="TMK109" s="769"/>
      <c r="TML109" s="769"/>
      <c r="TMM109" s="769"/>
      <c r="TMN109" s="769"/>
      <c r="TMO109" s="769"/>
      <c r="TMP109" s="769"/>
      <c r="TMQ109" s="769"/>
      <c r="TMR109" s="769"/>
      <c r="TMS109" s="769"/>
      <c r="TMT109" s="769"/>
      <c r="TMU109" s="769"/>
      <c r="TMV109" s="769"/>
      <c r="TMW109" s="769"/>
      <c r="TMX109" s="769"/>
      <c r="TMY109" s="769"/>
      <c r="TMZ109" s="769"/>
      <c r="TNA109" s="769"/>
      <c r="TNB109" s="769"/>
      <c r="TNC109" s="769"/>
      <c r="TND109" s="769"/>
      <c r="TNE109" s="769"/>
      <c r="TNF109" s="769"/>
      <c r="TNG109" s="769"/>
      <c r="TNH109" s="769"/>
      <c r="TNI109" s="769"/>
      <c r="TNJ109" s="769"/>
      <c r="TNK109" s="769"/>
      <c r="TNL109" s="769"/>
      <c r="TNM109" s="769"/>
      <c r="TNN109" s="769"/>
      <c r="TNO109" s="769"/>
      <c r="TNP109" s="769"/>
      <c r="TNQ109" s="769"/>
      <c r="TNR109" s="769"/>
      <c r="TNS109" s="769"/>
      <c r="TNT109" s="769"/>
      <c r="TNU109" s="769"/>
      <c r="TNV109" s="769"/>
      <c r="TNW109" s="769"/>
      <c r="TNX109" s="769"/>
      <c r="TNY109" s="769"/>
      <c r="TNZ109" s="769"/>
      <c r="TOA109" s="769"/>
      <c r="TOB109" s="769"/>
      <c r="TOC109" s="769"/>
      <c r="TOD109" s="769"/>
      <c r="TOE109" s="769"/>
      <c r="TOF109" s="769"/>
      <c r="TOG109" s="769"/>
      <c r="TOH109" s="769"/>
      <c r="TOI109" s="769"/>
      <c r="TOJ109" s="769"/>
      <c r="TOK109" s="769"/>
      <c r="TOL109" s="769"/>
      <c r="TOM109" s="769"/>
      <c r="TON109" s="769"/>
      <c r="TOO109" s="769"/>
      <c r="TOP109" s="769"/>
      <c r="TOQ109" s="769"/>
      <c r="TOR109" s="769"/>
      <c r="TOS109" s="769"/>
      <c r="TOT109" s="769"/>
      <c r="TOU109" s="769"/>
      <c r="TOV109" s="769"/>
      <c r="TOW109" s="769"/>
      <c r="TOX109" s="769"/>
      <c r="TOY109" s="769"/>
      <c r="TOZ109" s="769"/>
      <c r="TPA109" s="769"/>
      <c r="TPB109" s="769"/>
      <c r="TPC109" s="769"/>
      <c r="TPD109" s="769"/>
      <c r="TPE109" s="769"/>
      <c r="TPF109" s="769"/>
      <c r="TPG109" s="769"/>
      <c r="TPH109" s="769"/>
      <c r="TPI109" s="769"/>
      <c r="TPJ109" s="769"/>
      <c r="TPK109" s="769"/>
      <c r="TPL109" s="769"/>
      <c r="TPM109" s="769"/>
      <c r="TPN109" s="769"/>
      <c r="TPO109" s="769"/>
      <c r="TPP109" s="769"/>
      <c r="TPQ109" s="769"/>
      <c r="TPR109" s="769"/>
      <c r="TPS109" s="769"/>
      <c r="TPT109" s="769"/>
      <c r="TPU109" s="769"/>
      <c r="TPV109" s="769"/>
      <c r="TPW109" s="769"/>
      <c r="TPX109" s="769"/>
      <c r="TPY109" s="769"/>
      <c r="TPZ109" s="769"/>
      <c r="TQA109" s="769"/>
      <c r="TQB109" s="769"/>
      <c r="TQC109" s="769"/>
      <c r="TQD109" s="769"/>
      <c r="TQE109" s="769"/>
      <c r="TQF109" s="769"/>
      <c r="TQG109" s="769"/>
      <c r="TQH109" s="769"/>
      <c r="TQI109" s="769"/>
      <c r="TQJ109" s="769"/>
      <c r="TQK109" s="769"/>
      <c r="TQL109" s="769"/>
      <c r="TQM109" s="769"/>
      <c r="TQN109" s="769"/>
      <c r="TQO109" s="769"/>
      <c r="TQP109" s="769"/>
      <c r="TQQ109" s="769"/>
      <c r="TQR109" s="769"/>
      <c r="TQS109" s="769"/>
      <c r="TQT109" s="769"/>
      <c r="TQU109" s="769"/>
      <c r="TQV109" s="769"/>
      <c r="TQW109" s="769"/>
      <c r="TQX109" s="769"/>
      <c r="TQY109" s="769"/>
      <c r="TQZ109" s="769"/>
      <c r="TRA109" s="769"/>
      <c r="TRB109" s="769"/>
      <c r="TRC109" s="769"/>
      <c r="TRD109" s="769"/>
      <c r="TRE109" s="769"/>
      <c r="TRF109" s="769"/>
      <c r="TRG109" s="769"/>
      <c r="TRH109" s="769"/>
      <c r="TRI109" s="769"/>
      <c r="TRJ109" s="769"/>
      <c r="TRK109" s="769"/>
      <c r="TRL109" s="769"/>
      <c r="TRM109" s="769"/>
      <c r="TRN109" s="769"/>
      <c r="TRO109" s="769"/>
      <c r="TRP109" s="769"/>
      <c r="TRQ109" s="769"/>
      <c r="TRR109" s="769"/>
      <c r="TRS109" s="769"/>
      <c r="TRT109" s="769"/>
      <c r="TRU109" s="769"/>
      <c r="TRV109" s="769"/>
      <c r="TRW109" s="769"/>
      <c r="TRX109" s="769"/>
      <c r="TRY109" s="769"/>
      <c r="TRZ109" s="769"/>
      <c r="TSA109" s="769"/>
      <c r="TSB109" s="769"/>
      <c r="TSC109" s="769"/>
      <c r="TSD109" s="769"/>
      <c r="TSE109" s="769"/>
      <c r="TSF109" s="769"/>
      <c r="TSG109" s="769"/>
      <c r="TSH109" s="769"/>
      <c r="TSI109" s="769"/>
      <c r="TSJ109" s="769"/>
      <c r="TSK109" s="769"/>
      <c r="TSL109" s="769"/>
      <c r="TSM109" s="769"/>
      <c r="TSN109" s="769"/>
      <c r="TSO109" s="769"/>
      <c r="TSP109" s="769"/>
      <c r="TSQ109" s="769"/>
      <c r="TSR109" s="769"/>
      <c r="TSS109" s="769"/>
      <c r="TST109" s="769"/>
      <c r="TSU109" s="769"/>
      <c r="TSV109" s="769"/>
      <c r="TSW109" s="769"/>
      <c r="TSX109" s="769"/>
      <c r="TSY109" s="769"/>
      <c r="TSZ109" s="769"/>
      <c r="TTA109" s="769"/>
      <c r="TTB109" s="769"/>
      <c r="TTC109" s="769"/>
      <c r="TTD109" s="769"/>
      <c r="TTE109" s="769"/>
      <c r="TTF109" s="769"/>
      <c r="TTG109" s="769"/>
      <c r="TTH109" s="769"/>
      <c r="TTI109" s="769"/>
      <c r="TTJ109" s="769"/>
      <c r="TTK109" s="769"/>
      <c r="TTL109" s="769"/>
      <c r="TTM109" s="769"/>
      <c r="TTN109" s="769"/>
      <c r="TTO109" s="769"/>
      <c r="TTP109" s="769"/>
      <c r="TTQ109" s="769"/>
      <c r="TTR109" s="769"/>
      <c r="TTS109" s="769"/>
      <c r="TTT109" s="769"/>
      <c r="TTU109" s="769"/>
      <c r="TTV109" s="769"/>
      <c r="TTW109" s="769"/>
      <c r="TTX109" s="769"/>
      <c r="TTY109" s="769"/>
      <c r="TTZ109" s="769"/>
      <c r="TUA109" s="769"/>
      <c r="TUB109" s="769"/>
      <c r="TUC109" s="769"/>
      <c r="TUD109" s="769"/>
      <c r="TUE109" s="769"/>
      <c r="TUF109" s="769"/>
      <c r="TUG109" s="769"/>
      <c r="TUH109" s="769"/>
      <c r="TUI109" s="769"/>
      <c r="TUJ109" s="769"/>
      <c r="TUK109" s="769"/>
      <c r="TUL109" s="769"/>
      <c r="TUM109" s="769"/>
      <c r="TUN109" s="769"/>
      <c r="TUO109" s="769"/>
      <c r="TUP109" s="769"/>
      <c r="TUQ109" s="769"/>
      <c r="TUR109" s="769"/>
      <c r="TUS109" s="769"/>
      <c r="TUT109" s="769"/>
      <c r="TUU109" s="769"/>
      <c r="TUV109" s="769"/>
      <c r="TUW109" s="769"/>
      <c r="TUX109" s="769"/>
      <c r="TUY109" s="769"/>
      <c r="TUZ109" s="769"/>
      <c r="TVA109" s="769"/>
      <c r="TVB109" s="769"/>
      <c r="TVC109" s="769"/>
      <c r="TVD109" s="769"/>
      <c r="TVE109" s="769"/>
      <c r="TVF109" s="769"/>
      <c r="TVG109" s="769"/>
      <c r="TVH109" s="769"/>
      <c r="TVI109" s="769"/>
      <c r="TVJ109" s="769"/>
      <c r="TVK109" s="769"/>
      <c r="TVL109" s="769"/>
      <c r="TVM109" s="769"/>
      <c r="TVN109" s="769"/>
      <c r="TVO109" s="769"/>
      <c r="TVP109" s="769"/>
      <c r="TVQ109" s="769"/>
      <c r="TVR109" s="769"/>
      <c r="TVS109" s="769"/>
      <c r="TVT109" s="769"/>
      <c r="TVU109" s="769"/>
      <c r="TVV109" s="769"/>
      <c r="TVW109" s="769"/>
      <c r="TVX109" s="769"/>
      <c r="TVY109" s="769"/>
      <c r="TVZ109" s="769"/>
      <c r="TWA109" s="769"/>
      <c r="TWB109" s="769"/>
      <c r="TWC109" s="769"/>
      <c r="TWD109" s="769"/>
      <c r="TWE109" s="769"/>
      <c r="TWF109" s="769"/>
      <c r="TWG109" s="769"/>
      <c r="TWH109" s="769"/>
      <c r="TWI109" s="769"/>
      <c r="TWJ109" s="769"/>
      <c r="TWK109" s="769"/>
      <c r="TWL109" s="769"/>
      <c r="TWM109" s="769"/>
      <c r="TWN109" s="769"/>
      <c r="TWO109" s="769"/>
      <c r="TWP109" s="769"/>
      <c r="TWQ109" s="769"/>
      <c r="TWR109" s="769"/>
      <c r="TWS109" s="769"/>
      <c r="TWT109" s="769"/>
      <c r="TWU109" s="769"/>
      <c r="TWV109" s="769"/>
      <c r="TWW109" s="769"/>
      <c r="TWX109" s="769"/>
      <c r="TWY109" s="769"/>
      <c r="TWZ109" s="769"/>
      <c r="TXA109" s="769"/>
      <c r="TXB109" s="769"/>
      <c r="TXC109" s="769"/>
      <c r="TXD109" s="769"/>
      <c r="TXE109" s="769"/>
      <c r="TXF109" s="769"/>
      <c r="TXG109" s="769"/>
      <c r="TXH109" s="769"/>
      <c r="TXI109" s="769"/>
      <c r="TXJ109" s="769"/>
      <c r="TXK109" s="769"/>
      <c r="TXL109" s="769"/>
      <c r="TXM109" s="769"/>
      <c r="TXN109" s="769"/>
      <c r="TXO109" s="769"/>
      <c r="TXP109" s="769"/>
      <c r="TXQ109" s="769"/>
      <c r="TXR109" s="769"/>
      <c r="TXS109" s="769"/>
      <c r="TXT109" s="769"/>
      <c r="TXU109" s="769"/>
      <c r="TXV109" s="769"/>
      <c r="TXW109" s="769"/>
      <c r="TXX109" s="769"/>
      <c r="TXY109" s="769"/>
      <c r="TXZ109" s="769"/>
      <c r="TYA109" s="769"/>
      <c r="TYB109" s="769"/>
      <c r="TYC109" s="769"/>
      <c r="TYD109" s="769"/>
      <c r="TYE109" s="769"/>
      <c r="TYF109" s="769"/>
      <c r="TYG109" s="769"/>
      <c r="TYH109" s="769"/>
      <c r="TYI109" s="769"/>
      <c r="TYJ109" s="769"/>
      <c r="TYK109" s="769"/>
      <c r="TYL109" s="769"/>
      <c r="TYM109" s="769"/>
      <c r="TYN109" s="769"/>
      <c r="TYO109" s="769"/>
      <c r="TYP109" s="769"/>
      <c r="TYQ109" s="769"/>
      <c r="TYR109" s="769"/>
      <c r="TYS109" s="769"/>
      <c r="TYT109" s="769"/>
      <c r="TYU109" s="769"/>
      <c r="TYV109" s="769"/>
      <c r="TYW109" s="769"/>
      <c r="TYX109" s="769"/>
      <c r="TYY109" s="769"/>
      <c r="TYZ109" s="769"/>
      <c r="TZA109" s="769"/>
      <c r="TZB109" s="769"/>
      <c r="TZC109" s="769"/>
      <c r="TZD109" s="769"/>
      <c r="TZE109" s="769"/>
      <c r="TZF109" s="769"/>
      <c r="TZG109" s="769"/>
      <c r="TZH109" s="769"/>
      <c r="TZI109" s="769"/>
      <c r="TZJ109" s="769"/>
      <c r="TZK109" s="769"/>
      <c r="TZL109" s="769"/>
      <c r="TZM109" s="769"/>
      <c r="TZN109" s="769"/>
      <c r="TZO109" s="769"/>
      <c r="TZP109" s="769"/>
      <c r="TZQ109" s="769"/>
      <c r="TZR109" s="769"/>
      <c r="TZS109" s="769"/>
      <c r="TZT109" s="769"/>
      <c r="TZU109" s="769"/>
      <c r="TZV109" s="769"/>
      <c r="TZW109" s="769"/>
      <c r="TZX109" s="769"/>
      <c r="TZY109" s="769"/>
      <c r="TZZ109" s="769"/>
      <c r="UAA109" s="769"/>
      <c r="UAB109" s="769"/>
      <c r="UAC109" s="769"/>
      <c r="UAD109" s="769"/>
      <c r="UAE109" s="769"/>
      <c r="UAF109" s="769"/>
      <c r="UAG109" s="769"/>
      <c r="UAH109" s="769"/>
      <c r="UAI109" s="769"/>
      <c r="UAJ109" s="769"/>
      <c r="UAK109" s="769"/>
      <c r="UAL109" s="769"/>
      <c r="UAM109" s="769"/>
      <c r="UAN109" s="769"/>
      <c r="UAO109" s="769"/>
      <c r="UAP109" s="769"/>
      <c r="UAQ109" s="769"/>
      <c r="UAR109" s="769"/>
      <c r="UAS109" s="769"/>
      <c r="UAT109" s="769"/>
      <c r="UAU109" s="769"/>
      <c r="UAV109" s="769"/>
      <c r="UAW109" s="769"/>
      <c r="UAX109" s="769"/>
      <c r="UAY109" s="769"/>
      <c r="UAZ109" s="769"/>
      <c r="UBA109" s="769"/>
      <c r="UBB109" s="769"/>
      <c r="UBC109" s="769"/>
      <c r="UBD109" s="769"/>
      <c r="UBE109" s="769"/>
      <c r="UBF109" s="769"/>
      <c r="UBG109" s="769"/>
      <c r="UBH109" s="769"/>
      <c r="UBI109" s="769"/>
      <c r="UBJ109" s="769"/>
      <c r="UBK109" s="769"/>
      <c r="UBL109" s="769"/>
      <c r="UBM109" s="769"/>
      <c r="UBN109" s="769"/>
      <c r="UBO109" s="769"/>
      <c r="UBP109" s="769"/>
      <c r="UBQ109" s="769"/>
      <c r="UBR109" s="769"/>
      <c r="UBS109" s="769"/>
      <c r="UBT109" s="769"/>
      <c r="UBU109" s="769"/>
      <c r="UBV109" s="769"/>
      <c r="UBW109" s="769"/>
      <c r="UBX109" s="769"/>
      <c r="UBY109" s="769"/>
      <c r="UBZ109" s="769"/>
      <c r="UCA109" s="769"/>
      <c r="UCB109" s="769"/>
      <c r="UCC109" s="769"/>
      <c r="UCD109" s="769"/>
      <c r="UCE109" s="769"/>
      <c r="UCF109" s="769"/>
      <c r="UCG109" s="769"/>
      <c r="UCH109" s="769"/>
      <c r="UCI109" s="769"/>
      <c r="UCJ109" s="769"/>
      <c r="UCK109" s="769"/>
      <c r="UCL109" s="769"/>
      <c r="UCM109" s="769"/>
      <c r="UCN109" s="769"/>
      <c r="UCO109" s="769"/>
      <c r="UCP109" s="769"/>
      <c r="UCQ109" s="769"/>
      <c r="UCR109" s="769"/>
      <c r="UCS109" s="769"/>
      <c r="UCT109" s="769"/>
      <c r="UCU109" s="769"/>
      <c r="UCV109" s="769"/>
      <c r="UCW109" s="769"/>
      <c r="UCX109" s="769"/>
      <c r="UCY109" s="769"/>
      <c r="UCZ109" s="769"/>
      <c r="UDA109" s="769"/>
      <c r="UDB109" s="769"/>
      <c r="UDC109" s="769"/>
      <c r="UDD109" s="769"/>
      <c r="UDE109" s="769"/>
      <c r="UDF109" s="769"/>
      <c r="UDG109" s="769"/>
      <c r="UDH109" s="769"/>
      <c r="UDI109" s="769"/>
      <c r="UDJ109" s="769"/>
      <c r="UDK109" s="769"/>
      <c r="UDL109" s="769"/>
      <c r="UDM109" s="769"/>
      <c r="UDN109" s="769"/>
      <c r="UDO109" s="769"/>
      <c r="UDP109" s="769"/>
      <c r="UDQ109" s="769"/>
      <c r="UDR109" s="769"/>
      <c r="UDS109" s="769"/>
      <c r="UDT109" s="769"/>
      <c r="UDU109" s="769"/>
      <c r="UDV109" s="769"/>
      <c r="UDW109" s="769"/>
      <c r="UDX109" s="769"/>
      <c r="UDY109" s="769"/>
      <c r="UDZ109" s="769"/>
      <c r="UEA109" s="769"/>
      <c r="UEB109" s="769"/>
      <c r="UEC109" s="769"/>
      <c r="UED109" s="769"/>
      <c r="UEE109" s="769"/>
      <c r="UEF109" s="769"/>
      <c r="UEG109" s="769"/>
      <c r="UEH109" s="769"/>
      <c r="UEI109" s="769"/>
      <c r="UEJ109" s="769"/>
      <c r="UEK109" s="769"/>
      <c r="UEL109" s="769"/>
      <c r="UEM109" s="769"/>
      <c r="UEN109" s="769"/>
      <c r="UEO109" s="769"/>
      <c r="UEP109" s="769"/>
      <c r="UEQ109" s="769"/>
      <c r="UER109" s="769"/>
      <c r="UES109" s="769"/>
      <c r="UET109" s="769"/>
      <c r="UEU109" s="769"/>
      <c r="UEV109" s="769"/>
      <c r="UEW109" s="769"/>
      <c r="UEX109" s="769"/>
      <c r="UEY109" s="769"/>
      <c r="UEZ109" s="769"/>
      <c r="UFA109" s="769"/>
      <c r="UFB109" s="769"/>
      <c r="UFC109" s="769"/>
      <c r="UFD109" s="769"/>
      <c r="UFE109" s="769"/>
      <c r="UFF109" s="769"/>
      <c r="UFG109" s="769"/>
      <c r="UFH109" s="769"/>
      <c r="UFI109" s="769"/>
      <c r="UFJ109" s="769"/>
      <c r="UFK109" s="769"/>
      <c r="UFL109" s="769"/>
      <c r="UFM109" s="769"/>
      <c r="UFN109" s="769"/>
      <c r="UFO109" s="769"/>
      <c r="UFP109" s="769"/>
      <c r="UFQ109" s="769"/>
      <c r="UFR109" s="769"/>
      <c r="UFS109" s="769"/>
      <c r="UFT109" s="769"/>
      <c r="UFU109" s="769"/>
      <c r="UFV109" s="769"/>
      <c r="UFW109" s="769"/>
      <c r="UFX109" s="769"/>
      <c r="UFY109" s="769"/>
      <c r="UFZ109" s="769"/>
      <c r="UGA109" s="769"/>
      <c r="UGB109" s="769"/>
      <c r="UGC109" s="769"/>
      <c r="UGD109" s="769"/>
      <c r="UGE109" s="769"/>
      <c r="UGF109" s="769"/>
      <c r="UGG109" s="769"/>
      <c r="UGH109" s="769"/>
      <c r="UGI109" s="769"/>
      <c r="UGJ109" s="769"/>
      <c r="UGK109" s="769"/>
      <c r="UGL109" s="769"/>
      <c r="UGM109" s="769"/>
      <c r="UGN109" s="769"/>
      <c r="UGO109" s="769"/>
      <c r="UGP109" s="769"/>
      <c r="UGQ109" s="769"/>
      <c r="UGR109" s="769"/>
      <c r="UGS109" s="769"/>
      <c r="UGT109" s="769"/>
      <c r="UGU109" s="769"/>
      <c r="UGV109" s="769"/>
      <c r="UGW109" s="769"/>
      <c r="UGX109" s="769"/>
      <c r="UGY109" s="769"/>
      <c r="UGZ109" s="769"/>
      <c r="UHA109" s="769"/>
      <c r="UHB109" s="769"/>
      <c r="UHC109" s="769"/>
      <c r="UHD109" s="769"/>
      <c r="UHE109" s="769"/>
      <c r="UHF109" s="769"/>
      <c r="UHG109" s="769"/>
      <c r="UHH109" s="769"/>
      <c r="UHI109" s="769"/>
      <c r="UHJ109" s="769"/>
      <c r="UHK109" s="769"/>
      <c r="UHL109" s="769"/>
      <c r="UHM109" s="769"/>
      <c r="UHN109" s="769"/>
      <c r="UHO109" s="769"/>
      <c r="UHP109" s="769"/>
      <c r="UHQ109" s="769"/>
      <c r="UHR109" s="769"/>
      <c r="UHS109" s="769"/>
      <c r="UHT109" s="769"/>
      <c r="UHU109" s="769"/>
      <c r="UHV109" s="769"/>
      <c r="UHW109" s="769"/>
      <c r="UHX109" s="769"/>
      <c r="UHY109" s="769"/>
      <c r="UHZ109" s="769"/>
      <c r="UIA109" s="769"/>
      <c r="UIB109" s="769"/>
      <c r="UIC109" s="769"/>
      <c r="UID109" s="769"/>
      <c r="UIE109" s="769"/>
      <c r="UIF109" s="769"/>
      <c r="UIG109" s="769"/>
      <c r="UIH109" s="769"/>
      <c r="UII109" s="769"/>
      <c r="UIJ109" s="769"/>
      <c r="UIK109" s="769"/>
      <c r="UIL109" s="769"/>
      <c r="UIM109" s="769"/>
      <c r="UIN109" s="769"/>
      <c r="UIO109" s="769"/>
      <c r="UIP109" s="769"/>
      <c r="UIQ109" s="769"/>
      <c r="UIR109" s="769"/>
      <c r="UIS109" s="769"/>
      <c r="UIT109" s="769"/>
      <c r="UIU109" s="769"/>
      <c r="UIV109" s="769"/>
      <c r="UIW109" s="769"/>
      <c r="UIX109" s="769"/>
      <c r="UIY109" s="769"/>
      <c r="UIZ109" s="769"/>
      <c r="UJA109" s="769"/>
      <c r="UJB109" s="769"/>
      <c r="UJC109" s="769"/>
      <c r="UJD109" s="769"/>
      <c r="UJE109" s="769"/>
      <c r="UJF109" s="769"/>
      <c r="UJG109" s="769"/>
      <c r="UJH109" s="769"/>
      <c r="UJI109" s="769"/>
      <c r="UJJ109" s="769"/>
      <c r="UJK109" s="769"/>
      <c r="UJL109" s="769"/>
      <c r="UJM109" s="769"/>
      <c r="UJN109" s="769"/>
      <c r="UJO109" s="769"/>
      <c r="UJP109" s="769"/>
      <c r="UJQ109" s="769"/>
      <c r="UJR109" s="769"/>
      <c r="UJS109" s="769"/>
      <c r="UJT109" s="769"/>
      <c r="UJU109" s="769"/>
      <c r="UJV109" s="769"/>
      <c r="UJW109" s="769"/>
      <c r="UJX109" s="769"/>
      <c r="UJY109" s="769"/>
      <c r="UJZ109" s="769"/>
      <c r="UKA109" s="769"/>
      <c r="UKB109" s="769"/>
      <c r="UKC109" s="769"/>
      <c r="UKD109" s="769"/>
      <c r="UKE109" s="769"/>
      <c r="UKF109" s="769"/>
      <c r="UKG109" s="769"/>
      <c r="UKH109" s="769"/>
      <c r="UKI109" s="769"/>
      <c r="UKJ109" s="769"/>
      <c r="UKK109" s="769"/>
      <c r="UKL109" s="769"/>
      <c r="UKM109" s="769"/>
      <c r="UKN109" s="769"/>
      <c r="UKO109" s="769"/>
      <c r="UKP109" s="769"/>
      <c r="UKQ109" s="769"/>
      <c r="UKR109" s="769"/>
      <c r="UKS109" s="769"/>
      <c r="UKT109" s="769"/>
      <c r="UKU109" s="769"/>
      <c r="UKV109" s="769"/>
      <c r="UKW109" s="769"/>
      <c r="UKX109" s="769"/>
      <c r="UKY109" s="769"/>
      <c r="UKZ109" s="769"/>
      <c r="ULA109" s="769"/>
      <c r="ULB109" s="769"/>
      <c r="ULC109" s="769"/>
      <c r="ULD109" s="769"/>
      <c r="ULE109" s="769"/>
      <c r="ULF109" s="769"/>
      <c r="ULG109" s="769"/>
      <c r="ULH109" s="769"/>
      <c r="ULI109" s="769"/>
      <c r="ULJ109" s="769"/>
      <c r="ULK109" s="769"/>
      <c r="ULL109" s="769"/>
      <c r="ULM109" s="769"/>
      <c r="ULN109" s="769"/>
      <c r="ULO109" s="769"/>
      <c r="ULP109" s="769"/>
      <c r="ULQ109" s="769"/>
      <c r="ULR109" s="769"/>
      <c r="ULS109" s="769"/>
      <c r="ULT109" s="769"/>
      <c r="ULU109" s="769"/>
      <c r="ULV109" s="769"/>
      <c r="ULW109" s="769"/>
      <c r="ULX109" s="769"/>
      <c r="ULY109" s="769"/>
      <c r="ULZ109" s="769"/>
      <c r="UMA109" s="769"/>
      <c r="UMB109" s="769"/>
      <c r="UMC109" s="769"/>
      <c r="UMD109" s="769"/>
      <c r="UME109" s="769"/>
      <c r="UMF109" s="769"/>
      <c r="UMG109" s="769"/>
      <c r="UMH109" s="769"/>
      <c r="UMI109" s="769"/>
      <c r="UMJ109" s="769"/>
      <c r="UMK109" s="769"/>
      <c r="UML109" s="769"/>
      <c r="UMM109" s="769"/>
      <c r="UMN109" s="769"/>
      <c r="UMO109" s="769"/>
      <c r="UMP109" s="769"/>
      <c r="UMQ109" s="769"/>
      <c r="UMR109" s="769"/>
      <c r="UMS109" s="769"/>
      <c r="UMT109" s="769"/>
      <c r="UMU109" s="769"/>
      <c r="UMV109" s="769"/>
      <c r="UMW109" s="769"/>
      <c r="UMX109" s="769"/>
      <c r="UMY109" s="769"/>
      <c r="UMZ109" s="769"/>
      <c r="UNA109" s="769"/>
      <c r="UNB109" s="769"/>
      <c r="UNC109" s="769"/>
      <c r="UND109" s="769"/>
      <c r="UNE109" s="769"/>
      <c r="UNF109" s="769"/>
      <c r="UNG109" s="769"/>
      <c r="UNH109" s="769"/>
      <c r="UNI109" s="769"/>
      <c r="UNJ109" s="769"/>
      <c r="UNK109" s="769"/>
      <c r="UNL109" s="769"/>
      <c r="UNM109" s="769"/>
      <c r="UNN109" s="769"/>
      <c r="UNO109" s="769"/>
      <c r="UNP109" s="769"/>
      <c r="UNQ109" s="769"/>
      <c r="UNR109" s="769"/>
      <c r="UNS109" s="769"/>
      <c r="UNT109" s="769"/>
      <c r="UNU109" s="769"/>
      <c r="UNV109" s="769"/>
      <c r="UNW109" s="769"/>
      <c r="UNX109" s="769"/>
      <c r="UNY109" s="769"/>
      <c r="UNZ109" s="769"/>
      <c r="UOA109" s="769"/>
      <c r="UOB109" s="769"/>
      <c r="UOC109" s="769"/>
      <c r="UOD109" s="769"/>
      <c r="UOE109" s="769"/>
      <c r="UOF109" s="769"/>
      <c r="UOG109" s="769"/>
      <c r="UOH109" s="769"/>
      <c r="UOI109" s="769"/>
      <c r="UOJ109" s="769"/>
      <c r="UOK109" s="769"/>
      <c r="UOL109" s="769"/>
      <c r="UOM109" s="769"/>
      <c r="UON109" s="769"/>
      <c r="UOO109" s="769"/>
      <c r="UOP109" s="769"/>
      <c r="UOQ109" s="769"/>
      <c r="UOR109" s="769"/>
      <c r="UOS109" s="769"/>
      <c r="UOT109" s="769"/>
      <c r="UOU109" s="769"/>
      <c r="UOV109" s="769"/>
      <c r="UOW109" s="769"/>
      <c r="UOX109" s="769"/>
      <c r="UOY109" s="769"/>
      <c r="UOZ109" s="769"/>
      <c r="UPA109" s="769"/>
      <c r="UPB109" s="769"/>
      <c r="UPC109" s="769"/>
      <c r="UPD109" s="769"/>
      <c r="UPE109" s="769"/>
      <c r="UPF109" s="769"/>
      <c r="UPG109" s="769"/>
      <c r="UPH109" s="769"/>
      <c r="UPI109" s="769"/>
      <c r="UPJ109" s="769"/>
      <c r="UPK109" s="769"/>
      <c r="UPL109" s="769"/>
      <c r="UPM109" s="769"/>
      <c r="UPN109" s="769"/>
      <c r="UPO109" s="769"/>
      <c r="UPP109" s="769"/>
      <c r="UPQ109" s="769"/>
      <c r="UPR109" s="769"/>
      <c r="UPS109" s="769"/>
      <c r="UPT109" s="769"/>
      <c r="UPU109" s="769"/>
      <c r="UPV109" s="769"/>
      <c r="UPW109" s="769"/>
      <c r="UPX109" s="769"/>
      <c r="UPY109" s="769"/>
      <c r="UPZ109" s="769"/>
      <c r="UQA109" s="769"/>
      <c r="UQB109" s="769"/>
      <c r="UQC109" s="769"/>
      <c r="UQD109" s="769"/>
      <c r="UQE109" s="769"/>
      <c r="UQF109" s="769"/>
      <c r="UQG109" s="769"/>
      <c r="UQH109" s="769"/>
      <c r="UQI109" s="769"/>
      <c r="UQJ109" s="769"/>
      <c r="UQK109" s="769"/>
      <c r="UQL109" s="769"/>
      <c r="UQM109" s="769"/>
      <c r="UQN109" s="769"/>
      <c r="UQO109" s="769"/>
      <c r="UQP109" s="769"/>
      <c r="UQQ109" s="769"/>
      <c r="UQR109" s="769"/>
      <c r="UQS109" s="769"/>
      <c r="UQT109" s="769"/>
      <c r="UQU109" s="769"/>
      <c r="UQV109" s="769"/>
      <c r="UQW109" s="769"/>
      <c r="UQX109" s="769"/>
      <c r="UQY109" s="769"/>
      <c r="UQZ109" s="769"/>
      <c r="URA109" s="769"/>
      <c r="URB109" s="769"/>
      <c r="URC109" s="769"/>
      <c r="URD109" s="769"/>
      <c r="URE109" s="769"/>
      <c r="URF109" s="769"/>
      <c r="URG109" s="769"/>
      <c r="URH109" s="769"/>
      <c r="URI109" s="769"/>
      <c r="URJ109" s="769"/>
      <c r="URK109" s="769"/>
      <c r="URL109" s="769"/>
      <c r="URM109" s="769"/>
      <c r="URN109" s="769"/>
      <c r="URO109" s="769"/>
      <c r="URP109" s="769"/>
      <c r="URQ109" s="769"/>
      <c r="URR109" s="769"/>
      <c r="URS109" s="769"/>
      <c r="URT109" s="769"/>
      <c r="URU109" s="769"/>
      <c r="URV109" s="769"/>
      <c r="URW109" s="769"/>
      <c r="URX109" s="769"/>
      <c r="URY109" s="769"/>
      <c r="URZ109" s="769"/>
      <c r="USA109" s="769"/>
      <c r="USB109" s="769"/>
      <c r="USC109" s="769"/>
      <c r="USD109" s="769"/>
      <c r="USE109" s="769"/>
      <c r="USF109" s="769"/>
      <c r="USG109" s="769"/>
      <c r="USH109" s="769"/>
      <c r="USI109" s="769"/>
      <c r="USJ109" s="769"/>
      <c r="USK109" s="769"/>
      <c r="USL109" s="769"/>
      <c r="USM109" s="769"/>
      <c r="USN109" s="769"/>
      <c r="USO109" s="769"/>
      <c r="USP109" s="769"/>
      <c r="USQ109" s="769"/>
      <c r="USR109" s="769"/>
      <c r="USS109" s="769"/>
      <c r="UST109" s="769"/>
      <c r="USU109" s="769"/>
      <c r="USV109" s="769"/>
      <c r="USW109" s="769"/>
      <c r="USX109" s="769"/>
      <c r="USY109" s="769"/>
      <c r="USZ109" s="769"/>
      <c r="UTA109" s="769"/>
      <c r="UTB109" s="769"/>
      <c r="UTC109" s="769"/>
      <c r="UTD109" s="769"/>
      <c r="UTE109" s="769"/>
      <c r="UTF109" s="769"/>
      <c r="UTG109" s="769"/>
      <c r="UTH109" s="769"/>
      <c r="UTI109" s="769"/>
      <c r="UTJ109" s="769"/>
      <c r="UTK109" s="769"/>
      <c r="UTL109" s="769"/>
      <c r="UTM109" s="769"/>
      <c r="UTN109" s="769"/>
      <c r="UTO109" s="769"/>
      <c r="UTP109" s="769"/>
      <c r="UTQ109" s="769"/>
      <c r="UTR109" s="769"/>
      <c r="UTS109" s="769"/>
      <c r="UTT109" s="769"/>
      <c r="UTU109" s="769"/>
      <c r="UTV109" s="769"/>
      <c r="UTW109" s="769"/>
      <c r="UTX109" s="769"/>
      <c r="UTY109" s="769"/>
      <c r="UTZ109" s="769"/>
      <c r="UUA109" s="769"/>
      <c r="UUB109" s="769"/>
      <c r="UUC109" s="769"/>
      <c r="UUD109" s="769"/>
      <c r="UUE109" s="769"/>
      <c r="UUF109" s="769"/>
      <c r="UUG109" s="769"/>
      <c r="UUH109" s="769"/>
      <c r="UUI109" s="769"/>
      <c r="UUJ109" s="769"/>
      <c r="UUK109" s="769"/>
      <c r="UUL109" s="769"/>
      <c r="UUM109" s="769"/>
      <c r="UUN109" s="769"/>
      <c r="UUO109" s="769"/>
      <c r="UUP109" s="769"/>
      <c r="UUQ109" s="769"/>
      <c r="UUR109" s="769"/>
      <c r="UUS109" s="769"/>
      <c r="UUT109" s="769"/>
      <c r="UUU109" s="769"/>
      <c r="UUV109" s="769"/>
      <c r="UUW109" s="769"/>
      <c r="UUX109" s="769"/>
      <c r="UUY109" s="769"/>
      <c r="UUZ109" s="769"/>
      <c r="UVA109" s="769"/>
      <c r="UVB109" s="769"/>
      <c r="UVC109" s="769"/>
      <c r="UVD109" s="769"/>
      <c r="UVE109" s="769"/>
      <c r="UVF109" s="769"/>
      <c r="UVG109" s="769"/>
      <c r="UVH109" s="769"/>
      <c r="UVI109" s="769"/>
      <c r="UVJ109" s="769"/>
      <c r="UVK109" s="769"/>
      <c r="UVL109" s="769"/>
      <c r="UVM109" s="769"/>
      <c r="UVN109" s="769"/>
      <c r="UVO109" s="769"/>
      <c r="UVP109" s="769"/>
      <c r="UVQ109" s="769"/>
      <c r="UVR109" s="769"/>
      <c r="UVS109" s="769"/>
      <c r="UVT109" s="769"/>
      <c r="UVU109" s="769"/>
      <c r="UVV109" s="769"/>
      <c r="UVW109" s="769"/>
      <c r="UVX109" s="769"/>
      <c r="UVY109" s="769"/>
      <c r="UVZ109" s="769"/>
      <c r="UWA109" s="769"/>
      <c r="UWB109" s="769"/>
      <c r="UWC109" s="769"/>
      <c r="UWD109" s="769"/>
      <c r="UWE109" s="769"/>
      <c r="UWF109" s="769"/>
      <c r="UWG109" s="769"/>
      <c r="UWH109" s="769"/>
      <c r="UWI109" s="769"/>
      <c r="UWJ109" s="769"/>
      <c r="UWK109" s="769"/>
      <c r="UWL109" s="769"/>
      <c r="UWM109" s="769"/>
      <c r="UWN109" s="769"/>
      <c r="UWO109" s="769"/>
      <c r="UWP109" s="769"/>
      <c r="UWQ109" s="769"/>
      <c r="UWR109" s="769"/>
      <c r="UWS109" s="769"/>
      <c r="UWT109" s="769"/>
      <c r="UWU109" s="769"/>
      <c r="UWV109" s="769"/>
      <c r="UWW109" s="769"/>
      <c r="UWX109" s="769"/>
      <c r="UWY109" s="769"/>
      <c r="UWZ109" s="769"/>
      <c r="UXA109" s="769"/>
      <c r="UXB109" s="769"/>
      <c r="UXC109" s="769"/>
      <c r="UXD109" s="769"/>
      <c r="UXE109" s="769"/>
      <c r="UXF109" s="769"/>
      <c r="UXG109" s="769"/>
      <c r="UXH109" s="769"/>
      <c r="UXI109" s="769"/>
      <c r="UXJ109" s="769"/>
      <c r="UXK109" s="769"/>
      <c r="UXL109" s="769"/>
      <c r="UXM109" s="769"/>
      <c r="UXN109" s="769"/>
      <c r="UXO109" s="769"/>
      <c r="UXP109" s="769"/>
      <c r="UXQ109" s="769"/>
      <c r="UXR109" s="769"/>
      <c r="UXS109" s="769"/>
      <c r="UXT109" s="769"/>
      <c r="UXU109" s="769"/>
      <c r="UXV109" s="769"/>
      <c r="UXW109" s="769"/>
      <c r="UXX109" s="769"/>
      <c r="UXY109" s="769"/>
      <c r="UXZ109" s="769"/>
      <c r="UYA109" s="769"/>
      <c r="UYB109" s="769"/>
      <c r="UYC109" s="769"/>
      <c r="UYD109" s="769"/>
      <c r="UYE109" s="769"/>
      <c r="UYF109" s="769"/>
      <c r="UYG109" s="769"/>
      <c r="UYH109" s="769"/>
      <c r="UYI109" s="769"/>
      <c r="UYJ109" s="769"/>
      <c r="UYK109" s="769"/>
      <c r="UYL109" s="769"/>
      <c r="UYM109" s="769"/>
      <c r="UYN109" s="769"/>
      <c r="UYO109" s="769"/>
      <c r="UYP109" s="769"/>
      <c r="UYQ109" s="769"/>
      <c r="UYR109" s="769"/>
      <c r="UYS109" s="769"/>
      <c r="UYT109" s="769"/>
      <c r="UYU109" s="769"/>
      <c r="UYV109" s="769"/>
      <c r="UYW109" s="769"/>
      <c r="UYX109" s="769"/>
      <c r="UYY109" s="769"/>
      <c r="UYZ109" s="769"/>
      <c r="UZA109" s="769"/>
      <c r="UZB109" s="769"/>
      <c r="UZC109" s="769"/>
      <c r="UZD109" s="769"/>
      <c r="UZE109" s="769"/>
      <c r="UZF109" s="769"/>
      <c r="UZG109" s="769"/>
      <c r="UZH109" s="769"/>
      <c r="UZI109" s="769"/>
      <c r="UZJ109" s="769"/>
      <c r="UZK109" s="769"/>
      <c r="UZL109" s="769"/>
      <c r="UZM109" s="769"/>
      <c r="UZN109" s="769"/>
      <c r="UZO109" s="769"/>
      <c r="UZP109" s="769"/>
      <c r="UZQ109" s="769"/>
      <c r="UZR109" s="769"/>
      <c r="UZS109" s="769"/>
      <c r="UZT109" s="769"/>
      <c r="UZU109" s="769"/>
      <c r="UZV109" s="769"/>
      <c r="UZW109" s="769"/>
      <c r="UZX109" s="769"/>
      <c r="UZY109" s="769"/>
      <c r="UZZ109" s="769"/>
      <c r="VAA109" s="769"/>
      <c r="VAB109" s="769"/>
      <c r="VAC109" s="769"/>
      <c r="VAD109" s="769"/>
      <c r="VAE109" s="769"/>
      <c r="VAF109" s="769"/>
      <c r="VAG109" s="769"/>
      <c r="VAH109" s="769"/>
      <c r="VAI109" s="769"/>
      <c r="VAJ109" s="769"/>
      <c r="VAK109" s="769"/>
      <c r="VAL109" s="769"/>
      <c r="VAM109" s="769"/>
      <c r="VAN109" s="769"/>
      <c r="VAO109" s="769"/>
      <c r="VAP109" s="769"/>
      <c r="VAQ109" s="769"/>
      <c r="VAR109" s="769"/>
      <c r="VAS109" s="769"/>
      <c r="VAT109" s="769"/>
      <c r="VAU109" s="769"/>
      <c r="VAV109" s="769"/>
      <c r="VAW109" s="769"/>
      <c r="VAX109" s="769"/>
      <c r="VAY109" s="769"/>
      <c r="VAZ109" s="769"/>
      <c r="VBA109" s="769"/>
      <c r="VBB109" s="769"/>
      <c r="VBC109" s="769"/>
      <c r="VBD109" s="769"/>
      <c r="VBE109" s="769"/>
      <c r="VBF109" s="769"/>
      <c r="VBG109" s="769"/>
      <c r="VBH109" s="769"/>
      <c r="VBI109" s="769"/>
      <c r="VBJ109" s="769"/>
      <c r="VBK109" s="769"/>
      <c r="VBL109" s="769"/>
      <c r="VBM109" s="769"/>
      <c r="VBN109" s="769"/>
      <c r="VBO109" s="769"/>
      <c r="VBP109" s="769"/>
      <c r="VBQ109" s="769"/>
      <c r="VBR109" s="769"/>
      <c r="VBS109" s="769"/>
      <c r="VBT109" s="769"/>
      <c r="VBU109" s="769"/>
      <c r="VBV109" s="769"/>
      <c r="VBW109" s="769"/>
      <c r="VBX109" s="769"/>
      <c r="VBY109" s="769"/>
      <c r="VBZ109" s="769"/>
      <c r="VCA109" s="769"/>
      <c r="VCB109" s="769"/>
      <c r="VCC109" s="769"/>
      <c r="VCD109" s="769"/>
      <c r="VCE109" s="769"/>
      <c r="VCF109" s="769"/>
      <c r="VCG109" s="769"/>
      <c r="VCH109" s="769"/>
      <c r="VCI109" s="769"/>
      <c r="VCJ109" s="769"/>
      <c r="VCK109" s="769"/>
      <c r="VCL109" s="769"/>
      <c r="VCM109" s="769"/>
      <c r="VCN109" s="769"/>
      <c r="VCO109" s="769"/>
      <c r="VCP109" s="769"/>
      <c r="VCQ109" s="769"/>
      <c r="VCR109" s="769"/>
      <c r="VCS109" s="769"/>
      <c r="VCT109" s="769"/>
      <c r="VCU109" s="769"/>
      <c r="VCV109" s="769"/>
      <c r="VCW109" s="769"/>
      <c r="VCX109" s="769"/>
      <c r="VCY109" s="769"/>
      <c r="VCZ109" s="769"/>
      <c r="VDA109" s="769"/>
      <c r="VDB109" s="769"/>
      <c r="VDC109" s="769"/>
      <c r="VDD109" s="769"/>
      <c r="VDE109" s="769"/>
      <c r="VDF109" s="769"/>
      <c r="VDG109" s="769"/>
      <c r="VDH109" s="769"/>
      <c r="VDI109" s="769"/>
      <c r="VDJ109" s="769"/>
      <c r="VDK109" s="769"/>
      <c r="VDL109" s="769"/>
      <c r="VDM109" s="769"/>
      <c r="VDN109" s="769"/>
      <c r="VDO109" s="769"/>
      <c r="VDP109" s="769"/>
      <c r="VDQ109" s="769"/>
      <c r="VDR109" s="769"/>
      <c r="VDS109" s="769"/>
      <c r="VDT109" s="769"/>
      <c r="VDU109" s="769"/>
      <c r="VDV109" s="769"/>
      <c r="VDW109" s="769"/>
      <c r="VDX109" s="769"/>
      <c r="VDY109" s="769"/>
      <c r="VDZ109" s="769"/>
      <c r="VEA109" s="769"/>
      <c r="VEB109" s="769"/>
      <c r="VEC109" s="769"/>
      <c r="VED109" s="769"/>
      <c r="VEE109" s="769"/>
      <c r="VEF109" s="769"/>
      <c r="VEG109" s="769"/>
      <c r="VEH109" s="769"/>
      <c r="VEI109" s="769"/>
      <c r="VEJ109" s="769"/>
      <c r="VEK109" s="769"/>
      <c r="VEL109" s="769"/>
      <c r="VEM109" s="769"/>
      <c r="VEN109" s="769"/>
      <c r="VEO109" s="769"/>
      <c r="VEP109" s="769"/>
      <c r="VEQ109" s="769"/>
      <c r="VER109" s="769"/>
      <c r="VES109" s="769"/>
      <c r="VET109" s="769"/>
      <c r="VEU109" s="769"/>
      <c r="VEV109" s="769"/>
      <c r="VEW109" s="769"/>
      <c r="VEX109" s="769"/>
      <c r="VEY109" s="769"/>
      <c r="VEZ109" s="769"/>
      <c r="VFA109" s="769"/>
      <c r="VFB109" s="769"/>
      <c r="VFC109" s="769"/>
      <c r="VFD109" s="769"/>
      <c r="VFE109" s="769"/>
      <c r="VFF109" s="769"/>
      <c r="VFG109" s="769"/>
      <c r="VFH109" s="769"/>
      <c r="VFI109" s="769"/>
      <c r="VFJ109" s="769"/>
      <c r="VFK109" s="769"/>
      <c r="VFL109" s="769"/>
      <c r="VFM109" s="769"/>
      <c r="VFN109" s="769"/>
      <c r="VFO109" s="769"/>
      <c r="VFP109" s="769"/>
      <c r="VFQ109" s="769"/>
      <c r="VFR109" s="769"/>
      <c r="VFS109" s="769"/>
      <c r="VFT109" s="769"/>
      <c r="VFU109" s="769"/>
      <c r="VFV109" s="769"/>
      <c r="VFW109" s="769"/>
      <c r="VFX109" s="769"/>
      <c r="VFY109" s="769"/>
      <c r="VFZ109" s="769"/>
      <c r="VGA109" s="769"/>
      <c r="VGB109" s="769"/>
      <c r="VGC109" s="769"/>
      <c r="VGD109" s="769"/>
      <c r="VGE109" s="769"/>
      <c r="VGF109" s="769"/>
      <c r="VGG109" s="769"/>
      <c r="VGH109" s="769"/>
      <c r="VGI109" s="769"/>
      <c r="VGJ109" s="769"/>
      <c r="VGK109" s="769"/>
      <c r="VGL109" s="769"/>
      <c r="VGM109" s="769"/>
      <c r="VGN109" s="769"/>
      <c r="VGO109" s="769"/>
      <c r="VGP109" s="769"/>
      <c r="VGQ109" s="769"/>
      <c r="VGR109" s="769"/>
      <c r="VGS109" s="769"/>
      <c r="VGT109" s="769"/>
      <c r="VGU109" s="769"/>
      <c r="VGV109" s="769"/>
      <c r="VGW109" s="769"/>
      <c r="VGX109" s="769"/>
      <c r="VGY109" s="769"/>
      <c r="VGZ109" s="769"/>
      <c r="VHA109" s="769"/>
      <c r="VHB109" s="769"/>
      <c r="VHC109" s="769"/>
      <c r="VHD109" s="769"/>
      <c r="VHE109" s="769"/>
      <c r="VHF109" s="769"/>
      <c r="VHG109" s="769"/>
      <c r="VHH109" s="769"/>
      <c r="VHI109" s="769"/>
      <c r="VHJ109" s="769"/>
      <c r="VHK109" s="769"/>
      <c r="VHL109" s="769"/>
      <c r="VHM109" s="769"/>
      <c r="VHN109" s="769"/>
      <c r="VHO109" s="769"/>
      <c r="VHP109" s="769"/>
      <c r="VHQ109" s="769"/>
      <c r="VHR109" s="769"/>
      <c r="VHS109" s="769"/>
      <c r="VHT109" s="769"/>
      <c r="VHU109" s="769"/>
      <c r="VHV109" s="769"/>
      <c r="VHW109" s="769"/>
      <c r="VHX109" s="769"/>
      <c r="VHY109" s="769"/>
      <c r="VHZ109" s="769"/>
      <c r="VIA109" s="769"/>
      <c r="VIB109" s="769"/>
      <c r="VIC109" s="769"/>
      <c r="VID109" s="769"/>
      <c r="VIE109" s="769"/>
      <c r="VIF109" s="769"/>
      <c r="VIG109" s="769"/>
      <c r="VIH109" s="769"/>
      <c r="VII109" s="769"/>
      <c r="VIJ109" s="769"/>
      <c r="VIK109" s="769"/>
      <c r="VIL109" s="769"/>
      <c r="VIM109" s="769"/>
      <c r="VIN109" s="769"/>
      <c r="VIO109" s="769"/>
      <c r="VIP109" s="769"/>
      <c r="VIQ109" s="769"/>
      <c r="VIR109" s="769"/>
      <c r="VIS109" s="769"/>
      <c r="VIT109" s="769"/>
      <c r="VIU109" s="769"/>
      <c r="VIV109" s="769"/>
      <c r="VIW109" s="769"/>
      <c r="VIX109" s="769"/>
      <c r="VIY109" s="769"/>
      <c r="VIZ109" s="769"/>
      <c r="VJA109" s="769"/>
      <c r="VJB109" s="769"/>
      <c r="VJC109" s="769"/>
      <c r="VJD109" s="769"/>
      <c r="VJE109" s="769"/>
      <c r="VJF109" s="769"/>
      <c r="VJG109" s="769"/>
      <c r="VJH109" s="769"/>
      <c r="VJI109" s="769"/>
      <c r="VJJ109" s="769"/>
      <c r="VJK109" s="769"/>
      <c r="VJL109" s="769"/>
      <c r="VJM109" s="769"/>
      <c r="VJN109" s="769"/>
      <c r="VJO109" s="769"/>
      <c r="VJP109" s="769"/>
      <c r="VJQ109" s="769"/>
      <c r="VJR109" s="769"/>
      <c r="VJS109" s="769"/>
      <c r="VJT109" s="769"/>
      <c r="VJU109" s="769"/>
      <c r="VJV109" s="769"/>
      <c r="VJW109" s="769"/>
      <c r="VJX109" s="769"/>
      <c r="VJY109" s="769"/>
      <c r="VJZ109" s="769"/>
      <c r="VKA109" s="769"/>
      <c r="VKB109" s="769"/>
      <c r="VKC109" s="769"/>
      <c r="VKD109" s="769"/>
      <c r="VKE109" s="769"/>
      <c r="VKF109" s="769"/>
      <c r="VKG109" s="769"/>
      <c r="VKH109" s="769"/>
      <c r="VKI109" s="769"/>
      <c r="VKJ109" s="769"/>
      <c r="VKK109" s="769"/>
      <c r="VKL109" s="769"/>
      <c r="VKM109" s="769"/>
      <c r="VKN109" s="769"/>
      <c r="VKO109" s="769"/>
      <c r="VKP109" s="769"/>
      <c r="VKQ109" s="769"/>
      <c r="VKR109" s="769"/>
      <c r="VKS109" s="769"/>
      <c r="VKT109" s="769"/>
      <c r="VKU109" s="769"/>
      <c r="VKV109" s="769"/>
      <c r="VKW109" s="769"/>
      <c r="VKX109" s="769"/>
      <c r="VKY109" s="769"/>
      <c r="VKZ109" s="769"/>
      <c r="VLA109" s="769"/>
      <c r="VLB109" s="769"/>
      <c r="VLC109" s="769"/>
      <c r="VLD109" s="769"/>
      <c r="VLE109" s="769"/>
      <c r="VLF109" s="769"/>
      <c r="VLG109" s="769"/>
      <c r="VLH109" s="769"/>
      <c r="VLI109" s="769"/>
      <c r="VLJ109" s="769"/>
      <c r="VLK109" s="769"/>
      <c r="VLL109" s="769"/>
      <c r="VLM109" s="769"/>
      <c r="VLN109" s="769"/>
      <c r="VLO109" s="769"/>
      <c r="VLP109" s="769"/>
      <c r="VLQ109" s="769"/>
      <c r="VLR109" s="769"/>
      <c r="VLS109" s="769"/>
      <c r="VLT109" s="769"/>
      <c r="VLU109" s="769"/>
      <c r="VLV109" s="769"/>
      <c r="VLW109" s="769"/>
      <c r="VLX109" s="769"/>
      <c r="VLY109" s="769"/>
      <c r="VLZ109" s="769"/>
      <c r="VMA109" s="769"/>
      <c r="VMB109" s="769"/>
      <c r="VMC109" s="769"/>
      <c r="VMD109" s="769"/>
      <c r="VME109" s="769"/>
      <c r="VMF109" s="769"/>
      <c r="VMG109" s="769"/>
      <c r="VMH109" s="769"/>
      <c r="VMI109" s="769"/>
      <c r="VMJ109" s="769"/>
      <c r="VMK109" s="769"/>
      <c r="VML109" s="769"/>
      <c r="VMM109" s="769"/>
      <c r="VMN109" s="769"/>
      <c r="VMO109" s="769"/>
      <c r="VMP109" s="769"/>
      <c r="VMQ109" s="769"/>
      <c r="VMR109" s="769"/>
      <c r="VMS109" s="769"/>
      <c r="VMT109" s="769"/>
      <c r="VMU109" s="769"/>
      <c r="VMV109" s="769"/>
      <c r="VMW109" s="769"/>
      <c r="VMX109" s="769"/>
      <c r="VMY109" s="769"/>
      <c r="VMZ109" s="769"/>
      <c r="VNA109" s="769"/>
      <c r="VNB109" s="769"/>
      <c r="VNC109" s="769"/>
      <c r="VND109" s="769"/>
      <c r="VNE109" s="769"/>
      <c r="VNF109" s="769"/>
      <c r="VNG109" s="769"/>
      <c r="VNH109" s="769"/>
      <c r="VNI109" s="769"/>
      <c r="VNJ109" s="769"/>
      <c r="VNK109" s="769"/>
      <c r="VNL109" s="769"/>
      <c r="VNM109" s="769"/>
      <c r="VNN109" s="769"/>
      <c r="VNO109" s="769"/>
      <c r="VNP109" s="769"/>
      <c r="VNQ109" s="769"/>
      <c r="VNR109" s="769"/>
      <c r="VNS109" s="769"/>
      <c r="VNT109" s="769"/>
      <c r="VNU109" s="769"/>
      <c r="VNV109" s="769"/>
      <c r="VNW109" s="769"/>
      <c r="VNX109" s="769"/>
      <c r="VNY109" s="769"/>
      <c r="VNZ109" s="769"/>
      <c r="VOA109" s="769"/>
      <c r="VOB109" s="769"/>
      <c r="VOC109" s="769"/>
      <c r="VOD109" s="769"/>
      <c r="VOE109" s="769"/>
      <c r="VOF109" s="769"/>
      <c r="VOG109" s="769"/>
      <c r="VOH109" s="769"/>
      <c r="VOI109" s="769"/>
      <c r="VOJ109" s="769"/>
      <c r="VOK109" s="769"/>
      <c r="VOL109" s="769"/>
      <c r="VOM109" s="769"/>
      <c r="VON109" s="769"/>
      <c r="VOO109" s="769"/>
      <c r="VOP109" s="769"/>
      <c r="VOQ109" s="769"/>
      <c r="VOR109" s="769"/>
      <c r="VOS109" s="769"/>
      <c r="VOT109" s="769"/>
      <c r="VOU109" s="769"/>
      <c r="VOV109" s="769"/>
      <c r="VOW109" s="769"/>
      <c r="VOX109" s="769"/>
      <c r="VOY109" s="769"/>
      <c r="VOZ109" s="769"/>
      <c r="VPA109" s="769"/>
      <c r="VPB109" s="769"/>
      <c r="VPC109" s="769"/>
      <c r="VPD109" s="769"/>
      <c r="VPE109" s="769"/>
      <c r="VPF109" s="769"/>
      <c r="VPG109" s="769"/>
      <c r="VPH109" s="769"/>
      <c r="VPI109" s="769"/>
      <c r="VPJ109" s="769"/>
      <c r="VPK109" s="769"/>
      <c r="VPL109" s="769"/>
      <c r="VPM109" s="769"/>
      <c r="VPN109" s="769"/>
      <c r="VPO109" s="769"/>
      <c r="VPP109" s="769"/>
      <c r="VPQ109" s="769"/>
      <c r="VPR109" s="769"/>
      <c r="VPS109" s="769"/>
      <c r="VPT109" s="769"/>
      <c r="VPU109" s="769"/>
      <c r="VPV109" s="769"/>
      <c r="VPW109" s="769"/>
      <c r="VPX109" s="769"/>
      <c r="VPY109" s="769"/>
      <c r="VPZ109" s="769"/>
      <c r="VQA109" s="769"/>
      <c r="VQB109" s="769"/>
      <c r="VQC109" s="769"/>
      <c r="VQD109" s="769"/>
      <c r="VQE109" s="769"/>
      <c r="VQF109" s="769"/>
      <c r="VQG109" s="769"/>
      <c r="VQH109" s="769"/>
      <c r="VQI109" s="769"/>
      <c r="VQJ109" s="769"/>
      <c r="VQK109" s="769"/>
      <c r="VQL109" s="769"/>
      <c r="VQM109" s="769"/>
      <c r="VQN109" s="769"/>
      <c r="VQO109" s="769"/>
      <c r="VQP109" s="769"/>
      <c r="VQQ109" s="769"/>
      <c r="VQR109" s="769"/>
      <c r="VQS109" s="769"/>
      <c r="VQT109" s="769"/>
      <c r="VQU109" s="769"/>
      <c r="VQV109" s="769"/>
      <c r="VQW109" s="769"/>
      <c r="VQX109" s="769"/>
      <c r="VQY109" s="769"/>
      <c r="VQZ109" s="769"/>
      <c r="VRA109" s="769"/>
      <c r="VRB109" s="769"/>
      <c r="VRC109" s="769"/>
      <c r="VRD109" s="769"/>
      <c r="VRE109" s="769"/>
      <c r="VRF109" s="769"/>
      <c r="VRG109" s="769"/>
      <c r="VRH109" s="769"/>
      <c r="VRI109" s="769"/>
      <c r="VRJ109" s="769"/>
      <c r="VRK109" s="769"/>
      <c r="VRL109" s="769"/>
      <c r="VRM109" s="769"/>
      <c r="VRN109" s="769"/>
      <c r="VRO109" s="769"/>
      <c r="VRP109" s="769"/>
      <c r="VRQ109" s="769"/>
      <c r="VRR109" s="769"/>
      <c r="VRS109" s="769"/>
      <c r="VRT109" s="769"/>
      <c r="VRU109" s="769"/>
      <c r="VRV109" s="769"/>
      <c r="VRW109" s="769"/>
      <c r="VRX109" s="769"/>
      <c r="VRY109" s="769"/>
      <c r="VRZ109" s="769"/>
      <c r="VSA109" s="769"/>
      <c r="VSB109" s="769"/>
      <c r="VSC109" s="769"/>
      <c r="VSD109" s="769"/>
      <c r="VSE109" s="769"/>
      <c r="VSF109" s="769"/>
      <c r="VSG109" s="769"/>
      <c r="VSH109" s="769"/>
      <c r="VSI109" s="769"/>
      <c r="VSJ109" s="769"/>
      <c r="VSK109" s="769"/>
      <c r="VSL109" s="769"/>
      <c r="VSM109" s="769"/>
      <c r="VSN109" s="769"/>
      <c r="VSO109" s="769"/>
      <c r="VSP109" s="769"/>
      <c r="VSQ109" s="769"/>
      <c r="VSR109" s="769"/>
      <c r="VSS109" s="769"/>
      <c r="VST109" s="769"/>
      <c r="VSU109" s="769"/>
      <c r="VSV109" s="769"/>
      <c r="VSW109" s="769"/>
      <c r="VSX109" s="769"/>
      <c r="VSY109" s="769"/>
      <c r="VSZ109" s="769"/>
      <c r="VTA109" s="769"/>
      <c r="VTB109" s="769"/>
      <c r="VTC109" s="769"/>
      <c r="VTD109" s="769"/>
      <c r="VTE109" s="769"/>
      <c r="VTF109" s="769"/>
      <c r="VTG109" s="769"/>
      <c r="VTH109" s="769"/>
      <c r="VTI109" s="769"/>
      <c r="VTJ109" s="769"/>
      <c r="VTK109" s="769"/>
      <c r="VTL109" s="769"/>
      <c r="VTM109" s="769"/>
      <c r="VTN109" s="769"/>
      <c r="VTO109" s="769"/>
      <c r="VTP109" s="769"/>
      <c r="VTQ109" s="769"/>
      <c r="VTR109" s="769"/>
      <c r="VTS109" s="769"/>
      <c r="VTT109" s="769"/>
      <c r="VTU109" s="769"/>
      <c r="VTV109" s="769"/>
      <c r="VTW109" s="769"/>
      <c r="VTX109" s="769"/>
      <c r="VTY109" s="769"/>
      <c r="VTZ109" s="769"/>
      <c r="VUA109" s="769"/>
      <c r="VUB109" s="769"/>
      <c r="VUC109" s="769"/>
      <c r="VUD109" s="769"/>
      <c r="VUE109" s="769"/>
      <c r="VUF109" s="769"/>
      <c r="VUG109" s="769"/>
      <c r="VUH109" s="769"/>
      <c r="VUI109" s="769"/>
      <c r="VUJ109" s="769"/>
      <c r="VUK109" s="769"/>
      <c r="VUL109" s="769"/>
      <c r="VUM109" s="769"/>
      <c r="VUN109" s="769"/>
      <c r="VUO109" s="769"/>
      <c r="VUP109" s="769"/>
      <c r="VUQ109" s="769"/>
      <c r="VUR109" s="769"/>
      <c r="VUS109" s="769"/>
      <c r="VUT109" s="769"/>
      <c r="VUU109" s="769"/>
      <c r="VUV109" s="769"/>
      <c r="VUW109" s="769"/>
      <c r="VUX109" s="769"/>
      <c r="VUY109" s="769"/>
      <c r="VUZ109" s="769"/>
      <c r="VVA109" s="769"/>
      <c r="VVB109" s="769"/>
      <c r="VVC109" s="769"/>
      <c r="VVD109" s="769"/>
      <c r="VVE109" s="769"/>
      <c r="VVF109" s="769"/>
      <c r="VVG109" s="769"/>
      <c r="VVH109" s="769"/>
      <c r="VVI109" s="769"/>
      <c r="VVJ109" s="769"/>
      <c r="VVK109" s="769"/>
      <c r="VVL109" s="769"/>
      <c r="VVM109" s="769"/>
      <c r="VVN109" s="769"/>
      <c r="VVO109" s="769"/>
      <c r="VVP109" s="769"/>
      <c r="VVQ109" s="769"/>
      <c r="VVR109" s="769"/>
      <c r="VVS109" s="769"/>
      <c r="VVT109" s="769"/>
      <c r="VVU109" s="769"/>
      <c r="VVV109" s="769"/>
      <c r="VVW109" s="769"/>
      <c r="VVX109" s="769"/>
      <c r="VVY109" s="769"/>
      <c r="VVZ109" s="769"/>
      <c r="VWA109" s="769"/>
      <c r="VWB109" s="769"/>
      <c r="VWC109" s="769"/>
      <c r="VWD109" s="769"/>
      <c r="VWE109" s="769"/>
      <c r="VWF109" s="769"/>
      <c r="VWG109" s="769"/>
      <c r="VWH109" s="769"/>
      <c r="VWI109" s="769"/>
      <c r="VWJ109" s="769"/>
      <c r="VWK109" s="769"/>
      <c r="VWL109" s="769"/>
      <c r="VWM109" s="769"/>
      <c r="VWN109" s="769"/>
      <c r="VWO109" s="769"/>
      <c r="VWP109" s="769"/>
      <c r="VWQ109" s="769"/>
      <c r="VWR109" s="769"/>
      <c r="VWS109" s="769"/>
      <c r="VWT109" s="769"/>
      <c r="VWU109" s="769"/>
      <c r="VWV109" s="769"/>
      <c r="VWW109" s="769"/>
      <c r="VWX109" s="769"/>
      <c r="VWY109" s="769"/>
      <c r="VWZ109" s="769"/>
      <c r="VXA109" s="769"/>
      <c r="VXB109" s="769"/>
      <c r="VXC109" s="769"/>
      <c r="VXD109" s="769"/>
      <c r="VXE109" s="769"/>
      <c r="VXF109" s="769"/>
      <c r="VXG109" s="769"/>
      <c r="VXH109" s="769"/>
      <c r="VXI109" s="769"/>
      <c r="VXJ109" s="769"/>
      <c r="VXK109" s="769"/>
      <c r="VXL109" s="769"/>
      <c r="VXM109" s="769"/>
      <c r="VXN109" s="769"/>
      <c r="VXO109" s="769"/>
      <c r="VXP109" s="769"/>
      <c r="VXQ109" s="769"/>
      <c r="VXR109" s="769"/>
      <c r="VXS109" s="769"/>
      <c r="VXT109" s="769"/>
      <c r="VXU109" s="769"/>
      <c r="VXV109" s="769"/>
      <c r="VXW109" s="769"/>
      <c r="VXX109" s="769"/>
      <c r="VXY109" s="769"/>
      <c r="VXZ109" s="769"/>
      <c r="VYA109" s="769"/>
      <c r="VYB109" s="769"/>
      <c r="VYC109" s="769"/>
      <c r="VYD109" s="769"/>
      <c r="VYE109" s="769"/>
      <c r="VYF109" s="769"/>
      <c r="VYG109" s="769"/>
      <c r="VYH109" s="769"/>
      <c r="VYI109" s="769"/>
      <c r="VYJ109" s="769"/>
      <c r="VYK109" s="769"/>
      <c r="VYL109" s="769"/>
      <c r="VYM109" s="769"/>
      <c r="VYN109" s="769"/>
      <c r="VYO109" s="769"/>
      <c r="VYP109" s="769"/>
      <c r="VYQ109" s="769"/>
      <c r="VYR109" s="769"/>
      <c r="VYS109" s="769"/>
      <c r="VYT109" s="769"/>
      <c r="VYU109" s="769"/>
      <c r="VYV109" s="769"/>
      <c r="VYW109" s="769"/>
      <c r="VYX109" s="769"/>
      <c r="VYY109" s="769"/>
      <c r="VYZ109" s="769"/>
      <c r="VZA109" s="769"/>
      <c r="VZB109" s="769"/>
      <c r="VZC109" s="769"/>
      <c r="VZD109" s="769"/>
      <c r="VZE109" s="769"/>
      <c r="VZF109" s="769"/>
      <c r="VZG109" s="769"/>
      <c r="VZH109" s="769"/>
      <c r="VZI109" s="769"/>
      <c r="VZJ109" s="769"/>
      <c r="VZK109" s="769"/>
      <c r="VZL109" s="769"/>
      <c r="VZM109" s="769"/>
      <c r="VZN109" s="769"/>
      <c r="VZO109" s="769"/>
      <c r="VZP109" s="769"/>
      <c r="VZQ109" s="769"/>
      <c r="VZR109" s="769"/>
      <c r="VZS109" s="769"/>
      <c r="VZT109" s="769"/>
      <c r="VZU109" s="769"/>
      <c r="VZV109" s="769"/>
      <c r="VZW109" s="769"/>
      <c r="VZX109" s="769"/>
      <c r="VZY109" s="769"/>
      <c r="VZZ109" s="769"/>
      <c r="WAA109" s="769"/>
      <c r="WAB109" s="769"/>
      <c r="WAC109" s="769"/>
      <c r="WAD109" s="769"/>
      <c r="WAE109" s="769"/>
      <c r="WAF109" s="769"/>
      <c r="WAG109" s="769"/>
      <c r="WAH109" s="769"/>
      <c r="WAI109" s="769"/>
      <c r="WAJ109" s="769"/>
      <c r="WAK109" s="769"/>
      <c r="WAL109" s="769"/>
      <c r="WAM109" s="769"/>
      <c r="WAN109" s="769"/>
      <c r="WAO109" s="769"/>
      <c r="WAP109" s="769"/>
      <c r="WAQ109" s="769"/>
      <c r="WAR109" s="769"/>
      <c r="WAS109" s="769"/>
      <c r="WAT109" s="769"/>
      <c r="WAU109" s="769"/>
      <c r="WAV109" s="769"/>
      <c r="WAW109" s="769"/>
      <c r="WAX109" s="769"/>
      <c r="WAY109" s="769"/>
      <c r="WAZ109" s="769"/>
      <c r="WBA109" s="769"/>
      <c r="WBB109" s="769"/>
      <c r="WBC109" s="769"/>
      <c r="WBD109" s="769"/>
      <c r="WBE109" s="769"/>
      <c r="WBF109" s="769"/>
      <c r="WBG109" s="769"/>
      <c r="WBH109" s="769"/>
      <c r="WBI109" s="769"/>
      <c r="WBJ109" s="769"/>
      <c r="WBK109" s="769"/>
      <c r="WBL109" s="769"/>
      <c r="WBM109" s="769"/>
      <c r="WBN109" s="769"/>
      <c r="WBO109" s="769"/>
      <c r="WBP109" s="769"/>
      <c r="WBQ109" s="769"/>
      <c r="WBR109" s="769"/>
      <c r="WBS109" s="769"/>
      <c r="WBT109" s="769"/>
      <c r="WBU109" s="769"/>
      <c r="WBV109" s="769"/>
      <c r="WBW109" s="769"/>
      <c r="WBX109" s="769"/>
      <c r="WBY109" s="769"/>
      <c r="WBZ109" s="769"/>
      <c r="WCA109" s="769"/>
      <c r="WCB109" s="769"/>
      <c r="WCC109" s="769"/>
      <c r="WCD109" s="769"/>
      <c r="WCE109" s="769"/>
      <c r="WCF109" s="769"/>
      <c r="WCG109" s="769"/>
      <c r="WCH109" s="769"/>
      <c r="WCI109" s="769"/>
      <c r="WCJ109" s="769"/>
      <c r="WCK109" s="769"/>
      <c r="WCL109" s="769"/>
      <c r="WCM109" s="769"/>
      <c r="WCN109" s="769"/>
      <c r="WCO109" s="769"/>
      <c r="WCP109" s="769"/>
      <c r="WCQ109" s="769"/>
      <c r="WCR109" s="769"/>
      <c r="WCS109" s="769"/>
      <c r="WCT109" s="769"/>
      <c r="WCU109" s="769"/>
      <c r="WCV109" s="769"/>
      <c r="WCW109" s="769"/>
      <c r="WCX109" s="769"/>
      <c r="WCY109" s="769"/>
      <c r="WCZ109" s="769"/>
      <c r="WDA109" s="769"/>
      <c r="WDB109" s="769"/>
      <c r="WDC109" s="769"/>
      <c r="WDD109" s="769"/>
      <c r="WDE109" s="769"/>
      <c r="WDF109" s="769"/>
      <c r="WDG109" s="769"/>
      <c r="WDH109" s="769"/>
      <c r="WDI109" s="769"/>
      <c r="WDJ109" s="769"/>
      <c r="WDK109" s="769"/>
      <c r="WDL109" s="769"/>
      <c r="WDM109" s="769"/>
      <c r="WDN109" s="769"/>
      <c r="WDO109" s="769"/>
      <c r="WDP109" s="769"/>
      <c r="WDQ109" s="769"/>
      <c r="WDR109" s="769"/>
      <c r="WDS109" s="769"/>
      <c r="WDT109" s="769"/>
      <c r="WDU109" s="769"/>
      <c r="WDV109" s="769"/>
      <c r="WDW109" s="769"/>
      <c r="WDX109" s="769"/>
      <c r="WDY109" s="769"/>
      <c r="WDZ109" s="769"/>
      <c r="WEA109" s="769"/>
      <c r="WEB109" s="769"/>
      <c r="WEC109" s="769"/>
      <c r="WED109" s="769"/>
      <c r="WEE109" s="769"/>
      <c r="WEF109" s="769"/>
      <c r="WEG109" s="769"/>
      <c r="WEH109" s="769"/>
      <c r="WEI109" s="769"/>
      <c r="WEJ109" s="769"/>
      <c r="WEK109" s="769"/>
      <c r="WEL109" s="769"/>
      <c r="WEM109" s="769"/>
      <c r="WEN109" s="769"/>
      <c r="WEO109" s="769"/>
      <c r="WEP109" s="769"/>
      <c r="WEQ109" s="769"/>
      <c r="WER109" s="769"/>
      <c r="WES109" s="769"/>
      <c r="WET109" s="769"/>
      <c r="WEU109" s="769"/>
      <c r="WEV109" s="769"/>
      <c r="WEW109" s="769"/>
      <c r="WEX109" s="769"/>
      <c r="WEY109" s="769"/>
      <c r="WEZ109" s="769"/>
      <c r="WFA109" s="769"/>
      <c r="WFB109" s="769"/>
      <c r="WFC109" s="769"/>
      <c r="WFD109" s="769"/>
      <c r="WFE109" s="769"/>
      <c r="WFF109" s="769"/>
      <c r="WFG109" s="769"/>
      <c r="WFH109" s="769"/>
      <c r="WFI109" s="769"/>
      <c r="WFJ109" s="769"/>
      <c r="WFK109" s="769"/>
      <c r="WFL109" s="769"/>
      <c r="WFM109" s="769"/>
      <c r="WFN109" s="769"/>
      <c r="WFO109" s="769"/>
      <c r="WFP109" s="769"/>
      <c r="WFQ109" s="769"/>
      <c r="WFR109" s="769"/>
      <c r="WFS109" s="769"/>
      <c r="WFT109" s="769"/>
      <c r="WFU109" s="769"/>
      <c r="WFV109" s="769"/>
      <c r="WFW109" s="769"/>
      <c r="WFX109" s="769"/>
      <c r="WFY109" s="769"/>
      <c r="WFZ109" s="769"/>
      <c r="WGA109" s="769"/>
      <c r="WGB109" s="769"/>
      <c r="WGC109" s="769"/>
      <c r="WGD109" s="769"/>
      <c r="WGE109" s="769"/>
      <c r="WGF109" s="769"/>
      <c r="WGG109" s="769"/>
      <c r="WGH109" s="769"/>
      <c r="WGI109" s="769"/>
      <c r="WGJ109" s="769"/>
      <c r="WGK109" s="769"/>
      <c r="WGL109" s="769"/>
      <c r="WGM109" s="769"/>
      <c r="WGN109" s="769"/>
      <c r="WGO109" s="769"/>
      <c r="WGP109" s="769"/>
      <c r="WGQ109" s="769"/>
      <c r="WGR109" s="769"/>
      <c r="WGS109" s="769"/>
      <c r="WGT109" s="769"/>
      <c r="WGU109" s="769"/>
      <c r="WGV109" s="769"/>
      <c r="WGW109" s="769"/>
      <c r="WGX109" s="769"/>
      <c r="WGY109" s="769"/>
      <c r="WGZ109" s="769"/>
      <c r="WHA109" s="769"/>
      <c r="WHB109" s="769"/>
      <c r="WHC109" s="769"/>
      <c r="WHD109" s="769"/>
      <c r="WHE109" s="769"/>
      <c r="WHF109" s="769"/>
      <c r="WHG109" s="769"/>
      <c r="WHH109" s="769"/>
      <c r="WHI109" s="769"/>
      <c r="WHJ109" s="769"/>
      <c r="WHK109" s="769"/>
      <c r="WHL109" s="769"/>
      <c r="WHM109" s="769"/>
      <c r="WHN109" s="769"/>
      <c r="WHO109" s="769"/>
      <c r="WHP109" s="769"/>
      <c r="WHQ109" s="769"/>
      <c r="WHR109" s="769"/>
      <c r="WHS109" s="769"/>
      <c r="WHT109" s="769"/>
      <c r="WHU109" s="769"/>
      <c r="WHV109" s="769"/>
      <c r="WHW109" s="769"/>
      <c r="WHX109" s="769"/>
      <c r="WHY109" s="769"/>
      <c r="WHZ109" s="769"/>
      <c r="WIA109" s="769"/>
      <c r="WIB109" s="769"/>
      <c r="WIC109" s="769"/>
      <c r="WID109" s="769"/>
      <c r="WIE109" s="769"/>
      <c r="WIF109" s="769"/>
      <c r="WIG109" s="769"/>
      <c r="WIH109" s="769"/>
      <c r="WII109" s="769"/>
      <c r="WIJ109" s="769"/>
      <c r="WIK109" s="769"/>
      <c r="WIL109" s="769"/>
      <c r="WIM109" s="769"/>
      <c r="WIN109" s="769"/>
      <c r="WIO109" s="769"/>
      <c r="WIP109" s="769"/>
      <c r="WIQ109" s="769"/>
      <c r="WIR109" s="769"/>
      <c r="WIS109" s="769"/>
      <c r="WIT109" s="769"/>
      <c r="WIU109" s="769"/>
      <c r="WIV109" s="769"/>
      <c r="WIW109" s="769"/>
      <c r="WIX109" s="769"/>
      <c r="WIY109" s="769"/>
      <c r="WIZ109" s="769"/>
      <c r="WJA109" s="769"/>
      <c r="WJB109" s="769"/>
      <c r="WJC109" s="769"/>
      <c r="WJD109" s="769"/>
      <c r="WJE109" s="769"/>
      <c r="WJF109" s="769"/>
      <c r="WJG109" s="769"/>
      <c r="WJH109" s="769"/>
      <c r="WJI109" s="769"/>
      <c r="WJJ109" s="769"/>
      <c r="WJK109" s="769"/>
      <c r="WJL109" s="769"/>
      <c r="WJM109" s="769"/>
      <c r="WJN109" s="769"/>
      <c r="WJO109" s="769"/>
      <c r="WJP109" s="769"/>
      <c r="WJQ109" s="769"/>
      <c r="WJR109" s="769"/>
      <c r="WJS109" s="769"/>
      <c r="WJT109" s="769"/>
      <c r="WJU109" s="769"/>
      <c r="WJV109" s="769"/>
      <c r="WJW109" s="769"/>
      <c r="WJX109" s="769"/>
      <c r="WJY109" s="769"/>
      <c r="WJZ109" s="769"/>
      <c r="WKA109" s="769"/>
      <c r="WKB109" s="769"/>
      <c r="WKC109" s="769"/>
      <c r="WKD109" s="769"/>
      <c r="WKE109" s="769"/>
      <c r="WKF109" s="769"/>
      <c r="WKG109" s="769"/>
      <c r="WKH109" s="769"/>
      <c r="WKI109" s="769"/>
      <c r="WKJ109" s="769"/>
      <c r="WKK109" s="769"/>
      <c r="WKL109" s="769"/>
      <c r="WKM109" s="769"/>
      <c r="WKN109" s="769"/>
      <c r="WKO109" s="769"/>
      <c r="WKP109" s="769"/>
      <c r="WKQ109" s="769"/>
      <c r="WKR109" s="769"/>
      <c r="WKS109" s="769"/>
      <c r="WKT109" s="769"/>
      <c r="WKU109" s="769"/>
      <c r="WKV109" s="769"/>
      <c r="WKW109" s="769"/>
      <c r="WKX109" s="769"/>
      <c r="WKY109" s="769"/>
      <c r="WKZ109" s="769"/>
      <c r="WLA109" s="769"/>
      <c r="WLB109" s="769"/>
      <c r="WLC109" s="769"/>
      <c r="WLD109" s="769"/>
      <c r="WLE109" s="769"/>
      <c r="WLF109" s="769"/>
      <c r="WLG109" s="769"/>
      <c r="WLH109" s="769"/>
      <c r="WLI109" s="769"/>
      <c r="WLJ109" s="769"/>
      <c r="WLK109" s="769"/>
      <c r="WLL109" s="769"/>
      <c r="WLM109" s="769"/>
      <c r="WLN109" s="769"/>
      <c r="WLO109" s="769"/>
      <c r="WLP109" s="769"/>
      <c r="WLQ109" s="769"/>
      <c r="WLR109" s="769"/>
      <c r="WLS109" s="769"/>
      <c r="WLT109" s="769"/>
      <c r="WLU109" s="769"/>
      <c r="WLV109" s="769"/>
      <c r="WLW109" s="769"/>
      <c r="WLX109" s="769"/>
      <c r="WLY109" s="769"/>
      <c r="WLZ109" s="769"/>
      <c r="WMA109" s="769"/>
      <c r="WMB109" s="769"/>
      <c r="WMC109" s="769"/>
      <c r="WMD109" s="769"/>
      <c r="WME109" s="769"/>
      <c r="WMF109" s="769"/>
      <c r="WMG109" s="769"/>
      <c r="WMH109" s="769"/>
      <c r="WMI109" s="769"/>
      <c r="WMJ109" s="769"/>
      <c r="WMK109" s="769"/>
      <c r="WML109" s="769"/>
      <c r="WMM109" s="769"/>
      <c r="WMN109" s="769"/>
      <c r="WMO109" s="769"/>
      <c r="WMP109" s="769"/>
      <c r="WMQ109" s="769"/>
      <c r="WMR109" s="769"/>
      <c r="WMS109" s="769"/>
      <c r="WMT109" s="769"/>
      <c r="WMU109" s="769"/>
      <c r="WMV109" s="769"/>
      <c r="WMW109" s="769"/>
      <c r="WMX109" s="769"/>
      <c r="WMY109" s="769"/>
      <c r="WMZ109" s="769"/>
      <c r="WNA109" s="769"/>
      <c r="WNB109" s="769"/>
      <c r="WNC109" s="769"/>
      <c r="WND109" s="769"/>
      <c r="WNE109" s="769"/>
      <c r="WNF109" s="769"/>
      <c r="WNG109" s="769"/>
      <c r="WNH109" s="769"/>
      <c r="WNI109" s="769"/>
      <c r="WNJ109" s="769"/>
      <c r="WNK109" s="769"/>
      <c r="WNL109" s="769"/>
      <c r="WNM109" s="769"/>
      <c r="WNN109" s="769"/>
      <c r="WNO109" s="769"/>
      <c r="WNP109" s="769"/>
      <c r="WNQ109" s="769"/>
      <c r="WNR109" s="769"/>
      <c r="WNS109" s="769"/>
      <c r="WNT109" s="769"/>
      <c r="WNU109" s="769"/>
      <c r="WNV109" s="769"/>
      <c r="WNW109" s="769"/>
      <c r="WNX109" s="769"/>
      <c r="WNY109" s="769"/>
      <c r="WNZ109" s="769"/>
      <c r="WOA109" s="769"/>
      <c r="WOB109" s="769"/>
      <c r="WOC109" s="769"/>
      <c r="WOD109" s="769"/>
      <c r="WOE109" s="769"/>
      <c r="WOF109" s="769"/>
      <c r="WOG109" s="769"/>
      <c r="WOH109" s="769"/>
      <c r="WOI109" s="769"/>
      <c r="WOJ109" s="769"/>
      <c r="WOK109" s="769"/>
      <c r="WOL109" s="769"/>
      <c r="WOM109" s="769"/>
      <c r="WON109" s="769"/>
      <c r="WOO109" s="769"/>
      <c r="WOP109" s="769"/>
      <c r="WOQ109" s="769"/>
      <c r="WOR109" s="769"/>
      <c r="WOS109" s="769"/>
      <c r="WOT109" s="769"/>
      <c r="WOU109" s="769"/>
      <c r="WOV109" s="769"/>
      <c r="WOW109" s="769"/>
      <c r="WOX109" s="769"/>
      <c r="WOY109" s="769"/>
      <c r="WOZ109" s="769"/>
      <c r="WPA109" s="769"/>
      <c r="WPB109" s="769"/>
      <c r="WPC109" s="769"/>
      <c r="WPD109" s="769"/>
      <c r="WPE109" s="769"/>
      <c r="WPF109" s="769"/>
      <c r="WPG109" s="769"/>
      <c r="WPH109" s="769"/>
      <c r="WPI109" s="769"/>
      <c r="WPJ109" s="769"/>
      <c r="WPK109" s="769"/>
      <c r="WPL109" s="769"/>
      <c r="WPM109" s="769"/>
      <c r="WPN109" s="769"/>
      <c r="WPO109" s="769"/>
      <c r="WPP109" s="769"/>
      <c r="WPQ109" s="769"/>
      <c r="WPR109" s="769"/>
      <c r="WPS109" s="769"/>
      <c r="WPT109" s="769"/>
      <c r="WPU109" s="769"/>
      <c r="WPV109" s="769"/>
      <c r="WPW109" s="769"/>
      <c r="WPX109" s="769"/>
      <c r="WPY109" s="769"/>
      <c r="WPZ109" s="769"/>
      <c r="WQA109" s="769"/>
      <c r="WQB109" s="769"/>
      <c r="WQC109" s="769"/>
      <c r="WQD109" s="769"/>
      <c r="WQE109" s="769"/>
      <c r="WQF109" s="769"/>
      <c r="WQG109" s="769"/>
      <c r="WQH109" s="769"/>
      <c r="WQI109" s="769"/>
      <c r="WQJ109" s="769"/>
      <c r="WQK109" s="769"/>
      <c r="WQL109" s="769"/>
      <c r="WQM109" s="769"/>
      <c r="WQN109" s="769"/>
      <c r="WQO109" s="769"/>
      <c r="WQP109" s="769"/>
      <c r="WQQ109" s="769"/>
      <c r="WQR109" s="769"/>
      <c r="WQS109" s="769"/>
      <c r="WQT109" s="769"/>
      <c r="WQU109" s="769"/>
      <c r="WQV109" s="769"/>
      <c r="WQW109" s="769"/>
      <c r="WQX109" s="769"/>
      <c r="WQY109" s="769"/>
      <c r="WQZ109" s="769"/>
      <c r="WRA109" s="769"/>
      <c r="WRB109" s="769"/>
      <c r="WRC109" s="769"/>
      <c r="WRD109" s="769"/>
      <c r="WRE109" s="769"/>
      <c r="WRF109" s="769"/>
      <c r="WRG109" s="769"/>
      <c r="WRH109" s="769"/>
      <c r="WRI109" s="769"/>
      <c r="WRJ109" s="769"/>
      <c r="WRK109" s="769"/>
      <c r="WRL109" s="769"/>
      <c r="WRM109" s="769"/>
      <c r="WRN109" s="769"/>
      <c r="WRO109" s="769"/>
      <c r="WRP109" s="769"/>
      <c r="WRQ109" s="769"/>
      <c r="WRR109" s="769"/>
      <c r="WRS109" s="769"/>
      <c r="WRT109" s="769"/>
      <c r="WRU109" s="769"/>
      <c r="WRV109" s="769"/>
      <c r="WRW109" s="769"/>
      <c r="WRX109" s="769"/>
      <c r="WRY109" s="769"/>
      <c r="WRZ109" s="769"/>
      <c r="WSA109" s="769"/>
      <c r="WSB109" s="769"/>
      <c r="WSC109" s="769"/>
      <c r="WSD109" s="769"/>
      <c r="WSE109" s="769"/>
      <c r="WSF109" s="769"/>
      <c r="WSG109" s="769"/>
      <c r="WSH109" s="769"/>
      <c r="WSI109" s="769"/>
      <c r="WSJ109" s="769"/>
      <c r="WSK109" s="769"/>
      <c r="WSL109" s="769"/>
      <c r="WSM109" s="769"/>
      <c r="WSN109" s="769"/>
      <c r="WSO109" s="769"/>
      <c r="WSP109" s="769"/>
      <c r="WSQ109" s="769"/>
      <c r="WSR109" s="769"/>
      <c r="WSS109" s="769"/>
      <c r="WST109" s="769"/>
      <c r="WSU109" s="769"/>
      <c r="WSV109" s="769"/>
      <c r="WSW109" s="769"/>
      <c r="WSX109" s="769"/>
      <c r="WSY109" s="769"/>
      <c r="WSZ109" s="769"/>
      <c r="WTA109" s="769"/>
      <c r="WTB109" s="769"/>
      <c r="WTC109" s="769"/>
      <c r="WTD109" s="769"/>
      <c r="WTE109" s="769"/>
      <c r="WTF109" s="769"/>
      <c r="WTG109" s="769"/>
      <c r="WTH109" s="769"/>
      <c r="WTI109" s="769"/>
      <c r="WTJ109" s="769"/>
      <c r="WTK109" s="769"/>
      <c r="WTL109" s="769"/>
      <c r="WTM109" s="769"/>
      <c r="WTN109" s="769"/>
      <c r="WTO109" s="769"/>
      <c r="WTP109" s="769"/>
      <c r="WTQ109" s="769"/>
      <c r="WTR109" s="769"/>
      <c r="WTS109" s="769"/>
      <c r="WTT109" s="769"/>
      <c r="WTU109" s="769"/>
      <c r="WTV109" s="769"/>
      <c r="WTW109" s="769"/>
      <c r="WTX109" s="769"/>
      <c r="WTY109" s="769"/>
      <c r="WTZ109" s="769"/>
      <c r="WUA109" s="769"/>
      <c r="WUB109" s="769"/>
      <c r="WUC109" s="769"/>
      <c r="WUD109" s="769"/>
      <c r="WUE109" s="769"/>
      <c r="WUF109" s="769"/>
      <c r="WUG109" s="769"/>
      <c r="WUH109" s="769"/>
      <c r="WUI109" s="769"/>
      <c r="WUJ109" s="769"/>
      <c r="WUK109" s="769"/>
      <c r="WUL109" s="769"/>
      <c r="WUM109" s="769"/>
      <c r="WUN109" s="769"/>
      <c r="WUO109" s="769"/>
      <c r="WUP109" s="769"/>
      <c r="WUQ109" s="769"/>
      <c r="WUR109" s="769"/>
      <c r="WUS109" s="769"/>
      <c r="WUT109" s="769"/>
      <c r="WUU109" s="769"/>
      <c r="WUV109" s="769"/>
      <c r="WUW109" s="769"/>
      <c r="WUX109" s="769"/>
      <c r="WUY109" s="769"/>
      <c r="WUZ109" s="769"/>
      <c r="WVA109" s="769"/>
      <c r="WVB109" s="769"/>
      <c r="WVC109" s="769"/>
      <c r="WVD109" s="769"/>
      <c r="WVE109" s="769"/>
      <c r="WVF109" s="769"/>
      <c r="WVG109" s="769"/>
      <c r="WVH109" s="769"/>
      <c r="WVI109" s="769"/>
      <c r="WVJ109" s="769"/>
      <c r="WVK109" s="769"/>
      <c r="WVL109" s="769"/>
      <c r="WVM109" s="769"/>
      <c r="WVN109" s="769"/>
      <c r="WVO109" s="769"/>
      <c r="WVP109" s="769"/>
      <c r="WVQ109" s="769"/>
      <c r="WVR109" s="769"/>
      <c r="WVS109" s="769"/>
      <c r="WVT109" s="769"/>
      <c r="WVU109" s="769"/>
      <c r="WVV109" s="769"/>
      <c r="WVW109" s="769"/>
      <c r="WVX109" s="769"/>
      <c r="WVY109" s="769"/>
      <c r="WVZ109" s="769"/>
      <c r="WWA109" s="769"/>
      <c r="WWB109" s="769"/>
      <c r="WWC109" s="769"/>
      <c r="WWD109" s="769"/>
      <c r="WWE109" s="769"/>
      <c r="WWF109" s="769"/>
      <c r="WWG109" s="769"/>
      <c r="WWH109" s="769"/>
      <c r="WWI109" s="769"/>
      <c r="WWJ109" s="769"/>
      <c r="WWK109" s="769"/>
      <c r="WWL109" s="769"/>
      <c r="WWM109" s="769"/>
      <c r="WWN109" s="769"/>
      <c r="WWO109" s="769"/>
      <c r="WWP109" s="769"/>
      <c r="WWQ109" s="769"/>
      <c r="WWR109" s="769"/>
      <c r="WWS109" s="769"/>
      <c r="WWT109" s="769"/>
      <c r="WWU109" s="769"/>
      <c r="WWV109" s="769"/>
      <c r="WWW109" s="769"/>
      <c r="WWX109" s="769"/>
      <c r="WWY109" s="769"/>
      <c r="WWZ109" s="769"/>
      <c r="WXA109" s="769"/>
      <c r="WXB109" s="769"/>
      <c r="WXC109" s="769"/>
      <c r="WXD109" s="769"/>
      <c r="WXE109" s="769"/>
      <c r="WXF109" s="769"/>
      <c r="WXG109" s="769"/>
      <c r="WXH109" s="769"/>
      <c r="WXI109" s="769"/>
      <c r="WXJ109" s="769"/>
      <c r="WXK109" s="769"/>
      <c r="WXL109" s="769"/>
      <c r="WXM109" s="769"/>
      <c r="WXN109" s="769"/>
      <c r="WXO109" s="769"/>
      <c r="WXP109" s="769"/>
      <c r="WXQ109" s="769"/>
      <c r="WXR109" s="769"/>
      <c r="WXS109" s="769"/>
      <c r="WXT109" s="769"/>
      <c r="WXU109" s="769"/>
      <c r="WXV109" s="769"/>
      <c r="WXW109" s="769"/>
      <c r="WXX109" s="769"/>
      <c r="WXY109" s="769"/>
      <c r="WXZ109" s="769"/>
      <c r="WYA109" s="769"/>
      <c r="WYB109" s="769"/>
      <c r="WYC109" s="769"/>
      <c r="WYD109" s="769"/>
      <c r="WYE109" s="769"/>
      <c r="WYF109" s="769"/>
      <c r="WYG109" s="769"/>
      <c r="WYH109" s="769"/>
      <c r="WYI109" s="769"/>
      <c r="WYJ109" s="769"/>
      <c r="WYK109" s="769"/>
      <c r="WYL109" s="769"/>
      <c r="WYM109" s="769"/>
      <c r="WYN109" s="769"/>
      <c r="WYO109" s="769"/>
      <c r="WYP109" s="769"/>
      <c r="WYQ109" s="769"/>
      <c r="WYR109" s="769"/>
      <c r="WYS109" s="769"/>
      <c r="WYT109" s="769"/>
      <c r="WYU109" s="769"/>
      <c r="WYV109" s="769"/>
      <c r="WYW109" s="769"/>
      <c r="WYX109" s="769"/>
      <c r="WYY109" s="769"/>
      <c r="WYZ109" s="769"/>
      <c r="WZA109" s="769"/>
      <c r="WZB109" s="769"/>
      <c r="WZC109" s="769"/>
      <c r="WZD109" s="769"/>
      <c r="WZE109" s="769"/>
      <c r="WZF109" s="769"/>
      <c r="WZG109" s="769"/>
      <c r="WZH109" s="769"/>
      <c r="WZI109" s="769"/>
      <c r="WZJ109" s="769"/>
      <c r="WZK109" s="769"/>
      <c r="WZL109" s="769"/>
      <c r="WZM109" s="769"/>
      <c r="WZN109" s="769"/>
      <c r="WZO109" s="769"/>
      <c r="WZP109" s="769"/>
      <c r="WZQ109" s="769"/>
      <c r="WZR109" s="769"/>
      <c r="WZS109" s="769"/>
      <c r="WZT109" s="769"/>
      <c r="WZU109" s="769"/>
      <c r="WZV109" s="769"/>
      <c r="WZW109" s="769"/>
      <c r="WZX109" s="769"/>
      <c r="WZY109" s="769"/>
      <c r="WZZ109" s="769"/>
      <c r="XAA109" s="769"/>
      <c r="XAB109" s="769"/>
      <c r="XAC109" s="769"/>
      <c r="XAD109" s="769"/>
      <c r="XAE109" s="769"/>
      <c r="XAF109" s="769"/>
      <c r="XAG109" s="769"/>
      <c r="XAH109" s="769"/>
      <c r="XAI109" s="769"/>
      <c r="XAJ109" s="769"/>
      <c r="XAK109" s="769"/>
      <c r="XAL109" s="769"/>
      <c r="XAM109" s="769"/>
      <c r="XAN109" s="769"/>
      <c r="XAO109" s="769"/>
      <c r="XAP109" s="769"/>
      <c r="XAQ109" s="769"/>
      <c r="XAR109" s="769"/>
      <c r="XAS109" s="769"/>
      <c r="XAT109" s="769"/>
      <c r="XAU109" s="769"/>
      <c r="XAV109" s="769"/>
      <c r="XAW109" s="769"/>
      <c r="XAX109" s="769"/>
      <c r="XAY109" s="769"/>
      <c r="XAZ109" s="769"/>
      <c r="XBA109" s="769"/>
      <c r="XBB109" s="769"/>
      <c r="XBC109" s="769"/>
      <c r="XBD109" s="769"/>
      <c r="XBE109" s="769"/>
      <c r="XBF109" s="769"/>
      <c r="XBG109" s="769"/>
      <c r="XBH109" s="769"/>
      <c r="XBI109" s="769"/>
      <c r="XBJ109" s="769"/>
      <c r="XBK109" s="769"/>
      <c r="XBL109" s="769"/>
      <c r="XBM109" s="769"/>
      <c r="XBN109" s="769"/>
      <c r="XBO109" s="769"/>
      <c r="XBP109" s="769"/>
      <c r="XBQ109" s="769"/>
      <c r="XBR109" s="769"/>
      <c r="XBS109" s="769"/>
      <c r="XBT109" s="769"/>
      <c r="XBU109" s="769"/>
      <c r="XBV109" s="769"/>
      <c r="XBW109" s="769"/>
      <c r="XBX109" s="769"/>
      <c r="XBY109" s="769"/>
      <c r="XBZ109" s="769"/>
      <c r="XCA109" s="769"/>
      <c r="XCB109" s="769"/>
      <c r="XCC109" s="769"/>
      <c r="XCD109" s="769"/>
      <c r="XCE109" s="769"/>
      <c r="XCF109" s="769"/>
      <c r="XCG109" s="769"/>
      <c r="XCH109" s="769"/>
      <c r="XCI109" s="769"/>
      <c r="XCJ109" s="769"/>
      <c r="XCK109" s="769"/>
      <c r="XCL109" s="769"/>
      <c r="XCM109" s="769"/>
      <c r="XCN109" s="769"/>
      <c r="XCO109" s="769"/>
      <c r="XCP109" s="769"/>
      <c r="XCQ109" s="769"/>
      <c r="XCR109" s="769"/>
      <c r="XCS109" s="769"/>
      <c r="XCT109" s="769"/>
      <c r="XCU109" s="769"/>
      <c r="XCV109" s="769"/>
      <c r="XCW109" s="769"/>
      <c r="XCX109" s="769"/>
      <c r="XCY109" s="769"/>
      <c r="XCZ109" s="769"/>
      <c r="XDA109" s="769"/>
      <c r="XDB109" s="769"/>
      <c r="XDC109" s="769"/>
      <c r="XDD109" s="769"/>
      <c r="XDE109" s="769"/>
      <c r="XDF109" s="769"/>
      <c r="XDG109" s="769"/>
      <c r="XDH109" s="769"/>
      <c r="XDI109" s="769"/>
      <c r="XDJ109" s="769"/>
      <c r="XDK109" s="769"/>
      <c r="XDL109" s="769"/>
      <c r="XDM109" s="769"/>
      <c r="XDN109" s="769"/>
      <c r="XDO109" s="769"/>
      <c r="XDP109" s="769"/>
      <c r="XDQ109" s="769"/>
      <c r="XDR109" s="769"/>
      <c r="XDS109" s="769"/>
      <c r="XDT109" s="769"/>
      <c r="XDU109" s="769"/>
      <c r="XDV109" s="769"/>
      <c r="XDW109" s="769"/>
      <c r="XDX109" s="769"/>
      <c r="XDY109" s="769"/>
      <c r="XDZ109" s="769"/>
      <c r="XEA109" s="769"/>
      <c r="XEB109" s="769"/>
      <c r="XEC109" s="769"/>
      <c r="XED109" s="769"/>
      <c r="XEE109" s="769"/>
      <c r="XEF109" s="769"/>
      <c r="XEG109" s="769"/>
      <c r="XEH109" s="769"/>
      <c r="XEI109" s="769"/>
      <c r="XEJ109" s="769"/>
      <c r="XEK109" s="769"/>
      <c r="XEL109" s="769"/>
      <c r="XEM109" s="769"/>
      <c r="XEN109" s="769"/>
      <c r="XEO109" s="769"/>
      <c r="XEP109" s="769"/>
      <c r="XEQ109" s="769"/>
      <c r="XER109" s="769"/>
      <c r="XES109" s="769"/>
      <c r="XET109" s="769"/>
      <c r="XEU109" s="769"/>
      <c r="XEV109" s="769"/>
      <c r="XEW109" s="769"/>
      <c r="XEX109" s="769"/>
      <c r="XEY109" s="769"/>
      <c r="XEZ109" s="769"/>
      <c r="XFA109" s="769"/>
      <c r="XFB109" s="769"/>
    </row>
    <row r="110" spans="1:16382" hidden="1" x14ac:dyDescent="0.25">
      <c r="A110" s="769"/>
      <c r="B110" s="50" t="s">
        <v>5512</v>
      </c>
      <c r="R110" s="769"/>
      <c r="S110" s="769"/>
      <c r="T110" s="769"/>
      <c r="U110" s="769"/>
      <c r="V110" s="769"/>
      <c r="W110" s="769"/>
      <c r="X110" s="769"/>
      <c r="Y110" s="769"/>
      <c r="Z110" s="769"/>
      <c r="AA110" s="769"/>
      <c r="AB110" s="769"/>
      <c r="AC110" s="769"/>
      <c r="AD110" s="769"/>
      <c r="AE110" s="769"/>
      <c r="AF110" s="769"/>
      <c r="AG110" s="769"/>
      <c r="AH110" s="769"/>
      <c r="AI110" s="769"/>
      <c r="AJ110" s="769"/>
      <c r="AK110" s="769"/>
      <c r="AL110" s="769"/>
      <c r="AM110" s="769"/>
      <c r="AN110" s="769"/>
      <c r="AO110" s="769"/>
      <c r="AP110" s="769"/>
      <c r="AQ110" s="769"/>
      <c r="AR110" s="769"/>
      <c r="AS110" s="769"/>
      <c r="AT110" s="769"/>
      <c r="AU110" s="769"/>
      <c r="AV110" s="769"/>
      <c r="AW110" s="769"/>
      <c r="AX110" s="769"/>
      <c r="AY110" s="769"/>
      <c r="AZ110" s="769"/>
      <c r="BA110" s="769"/>
      <c r="BB110" s="769"/>
      <c r="BC110" s="769"/>
      <c r="BD110" s="769"/>
      <c r="BE110" s="769"/>
      <c r="BF110" s="769"/>
      <c r="BG110" s="769"/>
      <c r="BH110" s="769"/>
      <c r="BI110" s="769"/>
      <c r="BJ110" s="769"/>
      <c r="BK110" s="769"/>
      <c r="BL110" s="769"/>
      <c r="BM110" s="769"/>
      <c r="BN110" s="769"/>
      <c r="BO110" s="769"/>
      <c r="BP110" s="769"/>
      <c r="BQ110" s="769"/>
      <c r="BR110" s="769"/>
      <c r="BS110" s="769"/>
      <c r="BT110" s="769"/>
      <c r="BU110" s="769"/>
      <c r="BV110" s="769"/>
      <c r="BW110" s="769"/>
      <c r="BX110" s="769"/>
      <c r="BY110" s="769"/>
      <c r="BZ110" s="769"/>
      <c r="CA110" s="769"/>
      <c r="CB110" s="769"/>
      <c r="CC110" s="769"/>
      <c r="CD110" s="769"/>
      <c r="CE110" s="769"/>
      <c r="CF110" s="769"/>
      <c r="CG110" s="769"/>
      <c r="CH110" s="769"/>
      <c r="CI110" s="769"/>
      <c r="CJ110" s="769"/>
      <c r="CK110" s="769"/>
      <c r="CL110" s="769"/>
      <c r="CM110" s="769"/>
      <c r="CN110" s="769"/>
      <c r="CO110" s="769"/>
      <c r="CP110" s="769"/>
      <c r="CQ110" s="769"/>
      <c r="CR110" s="769"/>
      <c r="CS110" s="769"/>
      <c r="CT110" s="769"/>
      <c r="CU110" s="769"/>
      <c r="CV110" s="769"/>
      <c r="CW110" s="769"/>
      <c r="CX110" s="769"/>
      <c r="CY110" s="769"/>
      <c r="CZ110" s="769"/>
      <c r="DA110" s="769"/>
      <c r="DB110" s="769"/>
      <c r="DC110" s="769"/>
      <c r="DD110" s="769"/>
      <c r="DE110" s="769"/>
      <c r="DF110" s="769"/>
      <c r="DG110" s="769"/>
      <c r="DH110" s="769"/>
      <c r="DI110" s="769"/>
      <c r="DJ110" s="769"/>
      <c r="DK110" s="769"/>
      <c r="DL110" s="769"/>
      <c r="DM110" s="769"/>
      <c r="DN110" s="769"/>
      <c r="DO110" s="769"/>
      <c r="DP110" s="769"/>
      <c r="DQ110" s="769"/>
      <c r="DR110" s="769"/>
      <c r="DS110" s="769"/>
      <c r="DT110" s="769"/>
      <c r="DU110" s="769"/>
      <c r="DV110" s="769"/>
      <c r="DW110" s="769"/>
      <c r="DX110" s="769"/>
      <c r="DY110" s="769"/>
      <c r="DZ110" s="769"/>
      <c r="EA110" s="769"/>
      <c r="EB110" s="769"/>
      <c r="EC110" s="769"/>
      <c r="ED110" s="769"/>
      <c r="EE110" s="769"/>
      <c r="EF110" s="769"/>
      <c r="EG110" s="769"/>
      <c r="EH110" s="769"/>
      <c r="EI110" s="769"/>
      <c r="EJ110" s="769"/>
      <c r="EK110" s="769"/>
      <c r="EL110" s="769"/>
      <c r="EM110" s="769"/>
      <c r="EN110" s="769"/>
      <c r="EO110" s="769"/>
      <c r="EP110" s="769"/>
      <c r="EQ110" s="769"/>
      <c r="ER110" s="769"/>
      <c r="ES110" s="769"/>
      <c r="ET110" s="769"/>
      <c r="EU110" s="769"/>
      <c r="EV110" s="769"/>
      <c r="EW110" s="769"/>
      <c r="EX110" s="769"/>
      <c r="EY110" s="769"/>
      <c r="EZ110" s="769"/>
      <c r="FA110" s="769"/>
      <c r="FB110" s="769"/>
      <c r="FC110" s="769"/>
      <c r="FD110" s="769"/>
      <c r="FE110" s="769"/>
      <c r="FF110" s="769"/>
      <c r="FG110" s="769"/>
      <c r="FH110" s="769"/>
      <c r="FI110" s="769"/>
      <c r="FJ110" s="769"/>
      <c r="FK110" s="769"/>
      <c r="FL110" s="769"/>
      <c r="FM110" s="769"/>
      <c r="FN110" s="769"/>
      <c r="FO110" s="769"/>
      <c r="FP110" s="769"/>
      <c r="FQ110" s="769"/>
      <c r="FR110" s="769"/>
      <c r="FS110" s="769"/>
      <c r="FT110" s="769"/>
      <c r="FU110" s="769"/>
      <c r="FV110" s="769"/>
      <c r="FW110" s="769"/>
      <c r="FX110" s="769"/>
      <c r="FY110" s="769"/>
      <c r="FZ110" s="769"/>
      <c r="GA110" s="769"/>
      <c r="GB110" s="769"/>
      <c r="GC110" s="769"/>
      <c r="GD110" s="769"/>
      <c r="GE110" s="769"/>
      <c r="GF110" s="769"/>
      <c r="GG110" s="769"/>
      <c r="GH110" s="769"/>
      <c r="GI110" s="769"/>
      <c r="GJ110" s="769"/>
      <c r="GK110" s="769"/>
      <c r="GL110" s="769"/>
      <c r="GM110" s="769"/>
      <c r="GN110" s="769"/>
      <c r="GO110" s="769"/>
      <c r="GP110" s="769"/>
      <c r="GQ110" s="769"/>
      <c r="GR110" s="769"/>
      <c r="GS110" s="769"/>
      <c r="GT110" s="769"/>
      <c r="GU110" s="769"/>
      <c r="GV110" s="769"/>
      <c r="GW110" s="769"/>
      <c r="GX110" s="769"/>
      <c r="GY110" s="769"/>
      <c r="GZ110" s="769"/>
      <c r="HA110" s="769"/>
      <c r="HB110" s="769"/>
      <c r="HC110" s="769"/>
      <c r="HD110" s="769"/>
      <c r="HE110" s="769"/>
      <c r="HF110" s="769"/>
      <c r="HG110" s="769"/>
      <c r="HH110" s="769"/>
      <c r="HI110" s="769"/>
      <c r="HJ110" s="769"/>
      <c r="HK110" s="769"/>
      <c r="HL110" s="769"/>
      <c r="HM110" s="769"/>
      <c r="HN110" s="769"/>
      <c r="HO110" s="769"/>
      <c r="HP110" s="769"/>
      <c r="HQ110" s="769"/>
      <c r="HR110" s="769"/>
      <c r="HS110" s="769"/>
      <c r="HT110" s="769"/>
      <c r="HU110" s="769"/>
      <c r="HV110" s="769"/>
      <c r="HW110" s="769"/>
      <c r="HX110" s="769"/>
      <c r="HY110" s="769"/>
      <c r="HZ110" s="769"/>
      <c r="IA110" s="769"/>
      <c r="IB110" s="769"/>
      <c r="IC110" s="769"/>
      <c r="ID110" s="769"/>
      <c r="IE110" s="769"/>
      <c r="IF110" s="769"/>
      <c r="IG110" s="769"/>
      <c r="IH110" s="769"/>
      <c r="II110" s="769"/>
      <c r="IJ110" s="769"/>
      <c r="IK110" s="769"/>
      <c r="IL110" s="769"/>
      <c r="IM110" s="769"/>
      <c r="IN110" s="769"/>
      <c r="IO110" s="769"/>
      <c r="IP110" s="769"/>
      <c r="IQ110" s="769"/>
      <c r="IR110" s="769"/>
      <c r="IS110" s="769"/>
      <c r="IT110" s="769"/>
      <c r="IU110" s="769"/>
      <c r="IV110" s="769"/>
      <c r="IW110" s="769"/>
      <c r="IX110" s="769"/>
      <c r="IY110" s="769"/>
      <c r="IZ110" s="769"/>
      <c r="JA110" s="769"/>
      <c r="JB110" s="769"/>
      <c r="JC110" s="769"/>
      <c r="JD110" s="769"/>
      <c r="JE110" s="769"/>
      <c r="JF110" s="769"/>
      <c r="JG110" s="769"/>
      <c r="JH110" s="769"/>
      <c r="JI110" s="769"/>
      <c r="JJ110" s="769"/>
      <c r="JK110" s="769"/>
      <c r="JL110" s="769"/>
      <c r="JM110" s="769"/>
      <c r="JN110" s="769"/>
      <c r="JO110" s="769"/>
      <c r="JP110" s="769"/>
      <c r="JQ110" s="769"/>
      <c r="JR110" s="769"/>
      <c r="JS110" s="769"/>
      <c r="JT110" s="769"/>
      <c r="JU110" s="769"/>
      <c r="JV110" s="769"/>
      <c r="JW110" s="769"/>
      <c r="JX110" s="769"/>
      <c r="JY110" s="769"/>
      <c r="JZ110" s="769"/>
      <c r="KA110" s="769"/>
      <c r="KB110" s="769"/>
      <c r="KC110" s="769"/>
      <c r="KD110" s="769"/>
      <c r="KE110" s="769"/>
      <c r="KF110" s="769"/>
      <c r="KG110" s="769"/>
      <c r="KH110" s="769"/>
      <c r="KI110" s="769"/>
      <c r="KJ110" s="769"/>
      <c r="KK110" s="769"/>
      <c r="KL110" s="769"/>
      <c r="KM110" s="769"/>
      <c r="KN110" s="769"/>
      <c r="KO110" s="769"/>
      <c r="KP110" s="769"/>
      <c r="KQ110" s="769"/>
      <c r="KR110" s="769"/>
      <c r="KS110" s="769"/>
      <c r="KT110" s="769"/>
      <c r="KU110" s="769"/>
      <c r="KV110" s="769"/>
      <c r="KW110" s="769"/>
      <c r="KX110" s="769"/>
      <c r="KY110" s="769"/>
      <c r="KZ110" s="769"/>
      <c r="LA110" s="769"/>
      <c r="LB110" s="769"/>
      <c r="LC110" s="769"/>
      <c r="LD110" s="769"/>
      <c r="LE110" s="769"/>
      <c r="LF110" s="769"/>
      <c r="LG110" s="769"/>
      <c r="LH110" s="769"/>
      <c r="LI110" s="769"/>
      <c r="LJ110" s="769"/>
      <c r="LK110" s="769"/>
      <c r="LL110" s="769"/>
      <c r="LM110" s="769"/>
      <c r="LN110" s="769"/>
      <c r="LO110" s="769"/>
      <c r="LP110" s="769"/>
      <c r="LQ110" s="769"/>
      <c r="LR110" s="769"/>
      <c r="LS110" s="769"/>
      <c r="LT110" s="769"/>
      <c r="LU110" s="769"/>
      <c r="LV110" s="769"/>
      <c r="LW110" s="769"/>
      <c r="LX110" s="769"/>
      <c r="LY110" s="769"/>
      <c r="LZ110" s="769"/>
      <c r="MA110" s="769"/>
      <c r="MB110" s="769"/>
      <c r="MC110" s="769"/>
      <c r="MD110" s="769"/>
      <c r="ME110" s="769"/>
      <c r="MF110" s="769"/>
      <c r="MG110" s="769"/>
      <c r="MH110" s="769"/>
      <c r="MI110" s="769"/>
      <c r="MJ110" s="769"/>
      <c r="MK110" s="769"/>
      <c r="ML110" s="769"/>
      <c r="MM110" s="769"/>
      <c r="MN110" s="769"/>
      <c r="MO110" s="769"/>
      <c r="MP110" s="769"/>
      <c r="MQ110" s="769"/>
      <c r="MR110" s="769"/>
      <c r="MS110" s="769"/>
      <c r="MT110" s="769"/>
      <c r="MU110" s="769"/>
      <c r="MV110" s="769"/>
      <c r="MW110" s="769"/>
      <c r="MX110" s="769"/>
      <c r="MY110" s="769"/>
      <c r="MZ110" s="769"/>
      <c r="NA110" s="769"/>
      <c r="NB110" s="769"/>
      <c r="NC110" s="769"/>
      <c r="ND110" s="769"/>
      <c r="NE110" s="769"/>
      <c r="NF110" s="769"/>
      <c r="NG110" s="769"/>
      <c r="NH110" s="769"/>
      <c r="NI110" s="769"/>
      <c r="NJ110" s="769"/>
      <c r="NK110" s="769"/>
      <c r="NL110" s="769"/>
      <c r="NM110" s="769"/>
      <c r="NN110" s="769"/>
      <c r="NO110" s="769"/>
      <c r="NP110" s="769"/>
      <c r="NQ110" s="769"/>
      <c r="NR110" s="769"/>
      <c r="NS110" s="769"/>
      <c r="NT110" s="769"/>
      <c r="NU110" s="769"/>
      <c r="NV110" s="769"/>
      <c r="NW110" s="769"/>
      <c r="NX110" s="769"/>
      <c r="NY110" s="769"/>
      <c r="NZ110" s="769"/>
      <c r="OA110" s="769"/>
      <c r="OB110" s="769"/>
      <c r="OC110" s="769"/>
      <c r="OD110" s="769"/>
      <c r="OE110" s="769"/>
      <c r="OF110" s="769"/>
      <c r="OG110" s="769"/>
      <c r="OH110" s="769"/>
      <c r="OI110" s="769"/>
      <c r="OJ110" s="769"/>
      <c r="OK110" s="769"/>
      <c r="OL110" s="769"/>
      <c r="OM110" s="769"/>
      <c r="ON110" s="769"/>
      <c r="OO110" s="769"/>
      <c r="OP110" s="769"/>
      <c r="OQ110" s="769"/>
      <c r="OR110" s="769"/>
      <c r="OS110" s="769"/>
      <c r="OT110" s="769"/>
      <c r="OU110" s="769"/>
      <c r="OV110" s="769"/>
      <c r="OW110" s="769"/>
      <c r="OX110" s="769"/>
      <c r="OY110" s="769"/>
      <c r="OZ110" s="769"/>
      <c r="PA110" s="769"/>
      <c r="PB110" s="769"/>
      <c r="PC110" s="769"/>
      <c r="PD110" s="769"/>
      <c r="PE110" s="769"/>
      <c r="PF110" s="769"/>
      <c r="PG110" s="769"/>
      <c r="PH110" s="769"/>
      <c r="PI110" s="769"/>
      <c r="PJ110" s="769"/>
      <c r="PK110" s="769"/>
      <c r="PL110" s="769"/>
      <c r="PM110" s="769"/>
      <c r="PN110" s="769"/>
      <c r="PO110" s="769"/>
      <c r="PP110" s="769"/>
      <c r="PQ110" s="769"/>
      <c r="PR110" s="769"/>
      <c r="PS110" s="769"/>
      <c r="PT110" s="769"/>
      <c r="PU110" s="769"/>
      <c r="PV110" s="769"/>
      <c r="PW110" s="769"/>
      <c r="PX110" s="769"/>
      <c r="PY110" s="769"/>
      <c r="PZ110" s="769"/>
      <c r="QA110" s="769"/>
      <c r="QB110" s="769"/>
      <c r="QC110" s="769"/>
      <c r="QD110" s="769"/>
      <c r="QE110" s="769"/>
      <c r="QF110" s="769"/>
      <c r="QG110" s="769"/>
      <c r="QH110" s="769"/>
      <c r="QI110" s="769"/>
      <c r="QJ110" s="769"/>
      <c r="QK110" s="769"/>
      <c r="QL110" s="769"/>
      <c r="QM110" s="769"/>
      <c r="QN110" s="769"/>
      <c r="QO110" s="769"/>
      <c r="QP110" s="769"/>
      <c r="QQ110" s="769"/>
      <c r="QR110" s="769"/>
      <c r="QS110" s="769"/>
      <c r="QT110" s="769"/>
      <c r="QU110" s="769"/>
      <c r="QV110" s="769"/>
      <c r="QW110" s="769"/>
      <c r="QX110" s="769"/>
      <c r="QY110" s="769"/>
      <c r="QZ110" s="769"/>
      <c r="RA110" s="769"/>
      <c r="RB110" s="769"/>
      <c r="RC110" s="769"/>
      <c r="RD110" s="769"/>
      <c r="RE110" s="769"/>
      <c r="RF110" s="769"/>
      <c r="RG110" s="769"/>
      <c r="RH110" s="769"/>
      <c r="RI110" s="769"/>
      <c r="RJ110" s="769"/>
      <c r="RK110" s="769"/>
      <c r="RL110" s="769"/>
      <c r="RM110" s="769"/>
      <c r="RN110" s="769"/>
      <c r="RO110" s="769"/>
      <c r="RP110" s="769"/>
      <c r="RQ110" s="769"/>
      <c r="RR110" s="769"/>
      <c r="RS110" s="769"/>
      <c r="RT110" s="769"/>
      <c r="RU110" s="769"/>
      <c r="RV110" s="769"/>
      <c r="RW110" s="769"/>
      <c r="RX110" s="769"/>
      <c r="RY110" s="769"/>
      <c r="RZ110" s="769"/>
      <c r="SA110" s="769"/>
      <c r="SB110" s="769"/>
      <c r="SC110" s="769"/>
      <c r="SD110" s="769"/>
      <c r="SE110" s="769"/>
      <c r="SF110" s="769"/>
      <c r="SG110" s="769"/>
      <c r="SH110" s="769"/>
      <c r="SI110" s="769"/>
      <c r="SJ110" s="769"/>
      <c r="SK110" s="769"/>
      <c r="SL110" s="769"/>
      <c r="SM110" s="769"/>
      <c r="SN110" s="769"/>
      <c r="SO110" s="769"/>
      <c r="SP110" s="769"/>
      <c r="SQ110" s="769"/>
      <c r="SR110" s="769"/>
      <c r="SS110" s="769"/>
      <c r="ST110" s="769"/>
      <c r="SU110" s="769"/>
      <c r="SV110" s="769"/>
      <c r="SW110" s="769"/>
      <c r="SX110" s="769"/>
      <c r="SY110" s="769"/>
      <c r="SZ110" s="769"/>
      <c r="TA110" s="769"/>
      <c r="TB110" s="769"/>
      <c r="TC110" s="769"/>
      <c r="TD110" s="769"/>
      <c r="TE110" s="769"/>
      <c r="TF110" s="769"/>
      <c r="TG110" s="769"/>
      <c r="TH110" s="769"/>
      <c r="TI110" s="769"/>
      <c r="TJ110" s="769"/>
      <c r="TK110" s="769"/>
      <c r="TL110" s="769"/>
      <c r="TM110" s="769"/>
      <c r="TN110" s="769"/>
      <c r="TO110" s="769"/>
      <c r="TP110" s="769"/>
      <c r="TQ110" s="769"/>
      <c r="TR110" s="769"/>
      <c r="TS110" s="769"/>
      <c r="TT110" s="769"/>
      <c r="TU110" s="769"/>
      <c r="TV110" s="769"/>
      <c r="TW110" s="769"/>
      <c r="TX110" s="769"/>
      <c r="TY110" s="769"/>
      <c r="TZ110" s="769"/>
      <c r="UA110" s="769"/>
      <c r="UB110" s="769"/>
      <c r="UC110" s="769"/>
      <c r="UD110" s="769"/>
      <c r="UE110" s="769"/>
      <c r="UF110" s="769"/>
      <c r="UG110" s="769"/>
      <c r="UH110" s="769"/>
      <c r="UI110" s="769"/>
      <c r="UJ110" s="769"/>
      <c r="UK110" s="769"/>
      <c r="UL110" s="769"/>
      <c r="UM110" s="769"/>
      <c r="UN110" s="769"/>
      <c r="UO110" s="769"/>
      <c r="UP110" s="769"/>
      <c r="UQ110" s="769"/>
      <c r="UR110" s="769"/>
      <c r="US110" s="769"/>
      <c r="UT110" s="769"/>
      <c r="UU110" s="769"/>
      <c r="UV110" s="769"/>
      <c r="UW110" s="769"/>
      <c r="UX110" s="769"/>
      <c r="UY110" s="769"/>
      <c r="UZ110" s="769"/>
      <c r="VA110" s="769"/>
      <c r="VB110" s="769"/>
      <c r="VC110" s="769"/>
      <c r="VD110" s="769"/>
      <c r="VE110" s="769"/>
      <c r="VF110" s="769"/>
      <c r="VG110" s="769"/>
      <c r="VH110" s="769"/>
      <c r="VI110" s="769"/>
      <c r="VJ110" s="769"/>
      <c r="VK110" s="769"/>
      <c r="VL110" s="769"/>
      <c r="VM110" s="769"/>
      <c r="VN110" s="769"/>
      <c r="VO110" s="769"/>
      <c r="VP110" s="769"/>
      <c r="VQ110" s="769"/>
      <c r="VR110" s="769"/>
      <c r="VS110" s="769"/>
      <c r="VT110" s="769"/>
      <c r="VU110" s="769"/>
      <c r="VV110" s="769"/>
      <c r="VW110" s="769"/>
      <c r="VX110" s="769"/>
      <c r="VY110" s="769"/>
      <c r="VZ110" s="769"/>
      <c r="WA110" s="769"/>
      <c r="WB110" s="769"/>
      <c r="WC110" s="769"/>
      <c r="WD110" s="769"/>
      <c r="WE110" s="769"/>
      <c r="WF110" s="769"/>
      <c r="WG110" s="769"/>
      <c r="WH110" s="769"/>
      <c r="WI110" s="769"/>
      <c r="WJ110" s="769"/>
      <c r="WK110" s="769"/>
      <c r="WL110" s="769"/>
      <c r="WM110" s="769"/>
      <c r="WN110" s="769"/>
      <c r="WO110" s="769"/>
      <c r="WP110" s="769"/>
      <c r="WQ110" s="769"/>
      <c r="WR110" s="769"/>
      <c r="WS110" s="769"/>
      <c r="WT110" s="769"/>
      <c r="WU110" s="769"/>
      <c r="WV110" s="769"/>
      <c r="WW110" s="769"/>
      <c r="WX110" s="769"/>
      <c r="WY110" s="769"/>
      <c r="WZ110" s="769"/>
      <c r="XA110" s="769"/>
      <c r="XB110" s="769"/>
      <c r="XC110" s="769"/>
      <c r="XD110" s="769"/>
      <c r="XE110" s="769"/>
      <c r="XF110" s="769"/>
      <c r="XG110" s="769"/>
      <c r="XH110" s="769"/>
      <c r="XI110" s="769"/>
      <c r="XJ110" s="769"/>
      <c r="XK110" s="769"/>
      <c r="XL110" s="769"/>
      <c r="XM110" s="769"/>
      <c r="XN110" s="769"/>
      <c r="XO110" s="769"/>
      <c r="XP110" s="769"/>
      <c r="XQ110" s="769"/>
      <c r="XR110" s="769"/>
      <c r="XS110" s="769"/>
      <c r="XT110" s="769"/>
      <c r="XU110" s="769"/>
      <c r="XV110" s="769"/>
      <c r="XW110" s="769"/>
      <c r="XX110" s="769"/>
      <c r="XY110" s="769"/>
      <c r="XZ110" s="769"/>
      <c r="YA110" s="769"/>
      <c r="YB110" s="769"/>
      <c r="YC110" s="769"/>
      <c r="YD110" s="769"/>
      <c r="YE110" s="769"/>
      <c r="YF110" s="769"/>
      <c r="YG110" s="769"/>
      <c r="YH110" s="769"/>
      <c r="YI110" s="769"/>
      <c r="YJ110" s="769"/>
      <c r="YK110" s="769"/>
      <c r="YL110" s="769"/>
      <c r="YM110" s="769"/>
      <c r="YN110" s="769"/>
      <c r="YO110" s="769"/>
      <c r="YP110" s="769"/>
      <c r="YQ110" s="769"/>
      <c r="YR110" s="769"/>
      <c r="YS110" s="769"/>
      <c r="YT110" s="769"/>
      <c r="YU110" s="769"/>
      <c r="YV110" s="769"/>
      <c r="YW110" s="769"/>
      <c r="YX110" s="769"/>
      <c r="YY110" s="769"/>
      <c r="YZ110" s="769"/>
      <c r="ZA110" s="769"/>
      <c r="ZB110" s="769"/>
      <c r="ZC110" s="769"/>
      <c r="ZD110" s="769"/>
      <c r="ZE110" s="769"/>
      <c r="ZF110" s="769"/>
      <c r="ZG110" s="769"/>
      <c r="ZH110" s="769"/>
      <c r="ZI110" s="769"/>
      <c r="ZJ110" s="769"/>
      <c r="ZK110" s="769"/>
      <c r="ZL110" s="769"/>
      <c r="ZM110" s="769"/>
      <c r="ZN110" s="769"/>
      <c r="ZO110" s="769"/>
      <c r="ZP110" s="769"/>
      <c r="ZQ110" s="769"/>
      <c r="ZR110" s="769"/>
      <c r="ZS110" s="769"/>
      <c r="ZT110" s="769"/>
      <c r="ZU110" s="769"/>
      <c r="ZV110" s="769"/>
      <c r="ZW110" s="769"/>
      <c r="ZX110" s="769"/>
      <c r="ZY110" s="769"/>
      <c r="ZZ110" s="769"/>
      <c r="AAA110" s="769"/>
      <c r="AAB110" s="769"/>
      <c r="AAC110" s="769"/>
      <c r="AAD110" s="769"/>
      <c r="AAE110" s="769"/>
      <c r="AAF110" s="769"/>
      <c r="AAG110" s="769"/>
      <c r="AAH110" s="769"/>
      <c r="AAI110" s="769"/>
      <c r="AAJ110" s="769"/>
      <c r="AAK110" s="769"/>
      <c r="AAL110" s="769"/>
      <c r="AAM110" s="769"/>
      <c r="AAN110" s="769"/>
      <c r="AAO110" s="769"/>
      <c r="AAP110" s="769"/>
      <c r="AAQ110" s="769"/>
      <c r="AAR110" s="769"/>
      <c r="AAS110" s="769"/>
      <c r="AAT110" s="769"/>
      <c r="AAU110" s="769"/>
      <c r="AAV110" s="769"/>
      <c r="AAW110" s="769"/>
      <c r="AAX110" s="769"/>
      <c r="AAY110" s="769"/>
      <c r="AAZ110" s="769"/>
      <c r="ABA110" s="769"/>
      <c r="ABB110" s="769"/>
      <c r="ABC110" s="769"/>
      <c r="ABD110" s="769"/>
      <c r="ABE110" s="769"/>
      <c r="ABF110" s="769"/>
      <c r="ABG110" s="769"/>
      <c r="ABH110" s="769"/>
      <c r="ABI110" s="769"/>
      <c r="ABJ110" s="769"/>
      <c r="ABK110" s="769"/>
      <c r="ABL110" s="769"/>
      <c r="ABM110" s="769"/>
      <c r="ABN110" s="769"/>
      <c r="ABO110" s="769"/>
      <c r="ABP110" s="769"/>
      <c r="ABQ110" s="769"/>
      <c r="ABR110" s="769"/>
      <c r="ABS110" s="769"/>
      <c r="ABT110" s="769"/>
      <c r="ABU110" s="769"/>
      <c r="ABV110" s="769"/>
      <c r="ABW110" s="769"/>
      <c r="ABX110" s="769"/>
      <c r="ABY110" s="769"/>
      <c r="ABZ110" s="769"/>
      <c r="ACA110" s="769"/>
      <c r="ACB110" s="769"/>
      <c r="ACC110" s="769"/>
      <c r="ACD110" s="769"/>
      <c r="ACE110" s="769"/>
      <c r="ACF110" s="769"/>
      <c r="ACG110" s="769"/>
      <c r="ACH110" s="769"/>
      <c r="ACI110" s="769"/>
      <c r="ACJ110" s="769"/>
      <c r="ACK110" s="769"/>
      <c r="ACL110" s="769"/>
      <c r="ACM110" s="769"/>
      <c r="ACN110" s="769"/>
      <c r="ACO110" s="769"/>
      <c r="ACP110" s="769"/>
      <c r="ACQ110" s="769"/>
      <c r="ACR110" s="769"/>
      <c r="ACS110" s="769"/>
      <c r="ACT110" s="769"/>
      <c r="ACU110" s="769"/>
      <c r="ACV110" s="769"/>
      <c r="ACW110" s="769"/>
      <c r="ACX110" s="769"/>
      <c r="ACY110" s="769"/>
      <c r="ACZ110" s="769"/>
      <c r="ADA110" s="769"/>
      <c r="ADB110" s="769"/>
      <c r="ADC110" s="769"/>
      <c r="ADD110" s="769"/>
      <c r="ADE110" s="769"/>
      <c r="ADF110" s="769"/>
      <c r="ADG110" s="769"/>
      <c r="ADH110" s="769"/>
      <c r="ADI110" s="769"/>
      <c r="ADJ110" s="769"/>
      <c r="ADK110" s="769"/>
      <c r="ADL110" s="769"/>
      <c r="ADM110" s="769"/>
      <c r="ADN110" s="769"/>
      <c r="ADO110" s="769"/>
      <c r="ADP110" s="769"/>
      <c r="ADQ110" s="769"/>
      <c r="ADR110" s="769"/>
      <c r="ADS110" s="769"/>
      <c r="ADT110" s="769"/>
      <c r="ADU110" s="769"/>
      <c r="ADV110" s="769"/>
      <c r="ADW110" s="769"/>
      <c r="ADX110" s="769"/>
      <c r="ADY110" s="769"/>
      <c r="ADZ110" s="769"/>
      <c r="AEA110" s="769"/>
      <c r="AEB110" s="769"/>
      <c r="AEC110" s="769"/>
      <c r="AED110" s="769"/>
      <c r="AEE110" s="769"/>
      <c r="AEF110" s="769"/>
      <c r="AEG110" s="769"/>
      <c r="AEH110" s="769"/>
      <c r="AEI110" s="769"/>
      <c r="AEJ110" s="769"/>
      <c r="AEK110" s="769"/>
      <c r="AEL110" s="769"/>
      <c r="AEM110" s="769"/>
      <c r="AEN110" s="769"/>
      <c r="AEO110" s="769"/>
      <c r="AEP110" s="769"/>
      <c r="AEQ110" s="769"/>
      <c r="AER110" s="769"/>
      <c r="AES110" s="769"/>
      <c r="AET110" s="769"/>
      <c r="AEU110" s="769"/>
      <c r="AEV110" s="769"/>
      <c r="AEW110" s="769"/>
      <c r="AEX110" s="769"/>
      <c r="AEY110" s="769"/>
      <c r="AEZ110" s="769"/>
      <c r="AFA110" s="769"/>
      <c r="AFB110" s="769"/>
      <c r="AFC110" s="769"/>
      <c r="AFD110" s="769"/>
      <c r="AFE110" s="769"/>
      <c r="AFF110" s="769"/>
      <c r="AFG110" s="769"/>
      <c r="AFH110" s="769"/>
      <c r="AFI110" s="769"/>
      <c r="AFJ110" s="769"/>
      <c r="AFK110" s="769"/>
      <c r="AFL110" s="769"/>
      <c r="AFM110" s="769"/>
      <c r="AFN110" s="769"/>
      <c r="AFO110" s="769"/>
      <c r="AFP110" s="769"/>
      <c r="AFQ110" s="769"/>
      <c r="AFR110" s="769"/>
      <c r="AFS110" s="769"/>
      <c r="AFT110" s="769"/>
      <c r="AFU110" s="769"/>
      <c r="AFV110" s="769"/>
      <c r="AFW110" s="769"/>
      <c r="AFX110" s="769"/>
      <c r="AFY110" s="769"/>
      <c r="AFZ110" s="769"/>
      <c r="AGA110" s="769"/>
      <c r="AGB110" s="769"/>
      <c r="AGC110" s="769"/>
      <c r="AGD110" s="769"/>
      <c r="AGE110" s="769"/>
      <c r="AGF110" s="769"/>
      <c r="AGG110" s="769"/>
      <c r="AGH110" s="769"/>
      <c r="AGI110" s="769"/>
      <c r="AGJ110" s="769"/>
      <c r="AGK110" s="769"/>
      <c r="AGL110" s="769"/>
      <c r="AGM110" s="769"/>
      <c r="AGN110" s="769"/>
      <c r="AGO110" s="769"/>
      <c r="AGP110" s="769"/>
      <c r="AGQ110" s="769"/>
      <c r="AGR110" s="769"/>
      <c r="AGS110" s="769"/>
      <c r="AGT110" s="769"/>
      <c r="AGU110" s="769"/>
      <c r="AGV110" s="769"/>
      <c r="AGW110" s="769"/>
      <c r="AGX110" s="769"/>
      <c r="AGY110" s="769"/>
      <c r="AGZ110" s="769"/>
      <c r="AHA110" s="769"/>
      <c r="AHB110" s="769"/>
      <c r="AHC110" s="769"/>
      <c r="AHD110" s="769"/>
      <c r="AHE110" s="769"/>
      <c r="AHF110" s="769"/>
      <c r="AHG110" s="769"/>
      <c r="AHH110" s="769"/>
      <c r="AHI110" s="769"/>
      <c r="AHJ110" s="769"/>
      <c r="AHK110" s="769"/>
      <c r="AHL110" s="769"/>
      <c r="AHM110" s="769"/>
      <c r="AHN110" s="769"/>
      <c r="AHO110" s="769"/>
      <c r="AHP110" s="769"/>
      <c r="AHQ110" s="769"/>
      <c r="AHR110" s="769"/>
      <c r="AHS110" s="769"/>
      <c r="AHT110" s="769"/>
      <c r="AHU110" s="769"/>
      <c r="AHV110" s="769"/>
      <c r="AHW110" s="769"/>
      <c r="AHX110" s="769"/>
      <c r="AHY110" s="769"/>
      <c r="AHZ110" s="769"/>
      <c r="AIA110" s="769"/>
      <c r="AIB110" s="769"/>
      <c r="AIC110" s="769"/>
      <c r="AID110" s="769"/>
      <c r="AIE110" s="769"/>
      <c r="AIF110" s="769"/>
      <c r="AIG110" s="769"/>
      <c r="AIH110" s="769"/>
      <c r="AII110" s="769"/>
      <c r="AIJ110" s="769"/>
      <c r="AIK110" s="769"/>
      <c r="AIL110" s="769"/>
      <c r="AIM110" s="769"/>
      <c r="AIN110" s="769"/>
      <c r="AIO110" s="769"/>
      <c r="AIP110" s="769"/>
      <c r="AIQ110" s="769"/>
      <c r="AIR110" s="769"/>
      <c r="AIS110" s="769"/>
      <c r="AIT110" s="769"/>
      <c r="AIU110" s="769"/>
      <c r="AIV110" s="769"/>
      <c r="AIW110" s="769"/>
      <c r="AIX110" s="769"/>
      <c r="AIY110" s="769"/>
      <c r="AIZ110" s="769"/>
      <c r="AJA110" s="769"/>
      <c r="AJB110" s="769"/>
      <c r="AJC110" s="769"/>
      <c r="AJD110" s="769"/>
      <c r="AJE110" s="769"/>
      <c r="AJF110" s="769"/>
      <c r="AJG110" s="769"/>
      <c r="AJH110" s="769"/>
      <c r="AJI110" s="769"/>
      <c r="AJJ110" s="769"/>
      <c r="AJK110" s="769"/>
      <c r="AJL110" s="769"/>
      <c r="AJM110" s="769"/>
      <c r="AJN110" s="769"/>
      <c r="AJO110" s="769"/>
      <c r="AJP110" s="769"/>
      <c r="AJQ110" s="769"/>
      <c r="AJR110" s="769"/>
      <c r="AJS110" s="769"/>
      <c r="AJT110" s="769"/>
      <c r="AJU110" s="769"/>
      <c r="AJV110" s="769"/>
      <c r="AJW110" s="769"/>
      <c r="AJX110" s="769"/>
      <c r="AJY110" s="769"/>
      <c r="AJZ110" s="769"/>
      <c r="AKA110" s="769"/>
      <c r="AKB110" s="769"/>
      <c r="AKC110" s="769"/>
      <c r="AKD110" s="769"/>
      <c r="AKE110" s="769"/>
      <c r="AKF110" s="769"/>
      <c r="AKG110" s="769"/>
      <c r="AKH110" s="769"/>
      <c r="AKI110" s="769"/>
      <c r="AKJ110" s="769"/>
      <c r="AKK110" s="769"/>
      <c r="AKL110" s="769"/>
      <c r="AKM110" s="769"/>
      <c r="AKN110" s="769"/>
      <c r="AKO110" s="769"/>
      <c r="AKP110" s="769"/>
      <c r="AKQ110" s="769"/>
      <c r="AKR110" s="769"/>
      <c r="AKS110" s="769"/>
      <c r="AKT110" s="769"/>
      <c r="AKU110" s="769"/>
      <c r="AKV110" s="769"/>
      <c r="AKW110" s="769"/>
      <c r="AKX110" s="769"/>
      <c r="AKY110" s="769"/>
      <c r="AKZ110" s="769"/>
      <c r="ALA110" s="769"/>
      <c r="ALB110" s="769"/>
      <c r="ALC110" s="769"/>
      <c r="ALD110" s="769"/>
      <c r="ALE110" s="769"/>
      <c r="ALF110" s="769"/>
      <c r="ALG110" s="769"/>
      <c r="ALH110" s="769"/>
      <c r="ALI110" s="769"/>
      <c r="ALJ110" s="769"/>
      <c r="ALK110" s="769"/>
      <c r="ALL110" s="769"/>
      <c r="ALM110" s="769"/>
      <c r="ALN110" s="769"/>
      <c r="ALO110" s="769"/>
      <c r="ALP110" s="769"/>
      <c r="ALQ110" s="769"/>
      <c r="ALR110" s="769"/>
      <c r="ALS110" s="769"/>
      <c r="ALT110" s="769"/>
      <c r="ALU110" s="769"/>
      <c r="ALV110" s="769"/>
      <c r="ALW110" s="769"/>
      <c r="ALX110" s="769"/>
      <c r="ALY110" s="769"/>
      <c r="ALZ110" s="769"/>
      <c r="AMA110" s="769"/>
      <c r="AMB110" s="769"/>
      <c r="AMC110" s="769"/>
      <c r="AMD110" s="769"/>
      <c r="AME110" s="769"/>
      <c r="AMF110" s="769"/>
      <c r="AMG110" s="769"/>
      <c r="AMH110" s="769"/>
      <c r="AMI110" s="769"/>
      <c r="AMJ110" s="769"/>
      <c r="AMK110" s="769"/>
      <c r="AML110" s="769"/>
      <c r="AMM110" s="769"/>
      <c r="AMN110" s="769"/>
      <c r="AMO110" s="769"/>
      <c r="AMP110" s="769"/>
      <c r="AMQ110" s="769"/>
      <c r="AMR110" s="769"/>
      <c r="AMS110" s="769"/>
      <c r="AMT110" s="769"/>
      <c r="AMU110" s="769"/>
      <c r="AMV110" s="769"/>
      <c r="AMW110" s="769"/>
      <c r="AMX110" s="769"/>
      <c r="AMY110" s="769"/>
      <c r="AMZ110" s="769"/>
      <c r="ANA110" s="769"/>
      <c r="ANB110" s="769"/>
      <c r="ANC110" s="769"/>
      <c r="AND110" s="769"/>
      <c r="ANE110" s="769"/>
      <c r="ANF110" s="769"/>
      <c r="ANG110" s="769"/>
      <c r="ANH110" s="769"/>
      <c r="ANI110" s="769"/>
      <c r="ANJ110" s="769"/>
      <c r="ANK110" s="769"/>
      <c r="ANL110" s="769"/>
      <c r="ANM110" s="769"/>
      <c r="ANN110" s="769"/>
      <c r="ANO110" s="769"/>
      <c r="ANP110" s="769"/>
      <c r="ANQ110" s="769"/>
      <c r="ANR110" s="769"/>
      <c r="ANS110" s="769"/>
      <c r="ANT110" s="769"/>
      <c r="ANU110" s="769"/>
      <c r="ANV110" s="769"/>
      <c r="ANW110" s="769"/>
      <c r="ANX110" s="769"/>
      <c r="ANY110" s="769"/>
      <c r="ANZ110" s="769"/>
      <c r="AOA110" s="769"/>
      <c r="AOB110" s="769"/>
      <c r="AOC110" s="769"/>
      <c r="AOD110" s="769"/>
      <c r="AOE110" s="769"/>
      <c r="AOF110" s="769"/>
      <c r="AOG110" s="769"/>
      <c r="AOH110" s="769"/>
      <c r="AOI110" s="769"/>
      <c r="AOJ110" s="769"/>
      <c r="AOK110" s="769"/>
      <c r="AOL110" s="769"/>
      <c r="AOM110" s="769"/>
      <c r="AON110" s="769"/>
      <c r="AOO110" s="769"/>
      <c r="AOP110" s="769"/>
      <c r="AOQ110" s="769"/>
      <c r="AOR110" s="769"/>
      <c r="AOS110" s="769"/>
      <c r="AOT110" s="769"/>
      <c r="AOU110" s="769"/>
      <c r="AOV110" s="769"/>
      <c r="AOW110" s="769"/>
      <c r="AOX110" s="769"/>
      <c r="AOY110" s="769"/>
      <c r="AOZ110" s="769"/>
      <c r="APA110" s="769"/>
      <c r="APB110" s="769"/>
      <c r="APC110" s="769"/>
      <c r="APD110" s="769"/>
      <c r="APE110" s="769"/>
      <c r="APF110" s="769"/>
      <c r="APG110" s="769"/>
      <c r="APH110" s="769"/>
      <c r="API110" s="769"/>
      <c r="APJ110" s="769"/>
      <c r="APK110" s="769"/>
      <c r="APL110" s="769"/>
      <c r="APM110" s="769"/>
      <c r="APN110" s="769"/>
      <c r="APO110" s="769"/>
      <c r="APP110" s="769"/>
      <c r="APQ110" s="769"/>
      <c r="APR110" s="769"/>
      <c r="APS110" s="769"/>
      <c r="APT110" s="769"/>
      <c r="APU110" s="769"/>
      <c r="APV110" s="769"/>
      <c r="APW110" s="769"/>
      <c r="APX110" s="769"/>
      <c r="APY110" s="769"/>
      <c r="APZ110" s="769"/>
      <c r="AQA110" s="769"/>
      <c r="AQB110" s="769"/>
      <c r="AQC110" s="769"/>
      <c r="AQD110" s="769"/>
      <c r="AQE110" s="769"/>
      <c r="AQF110" s="769"/>
      <c r="AQG110" s="769"/>
      <c r="AQH110" s="769"/>
      <c r="AQI110" s="769"/>
      <c r="AQJ110" s="769"/>
      <c r="AQK110" s="769"/>
      <c r="AQL110" s="769"/>
      <c r="AQM110" s="769"/>
      <c r="AQN110" s="769"/>
      <c r="AQO110" s="769"/>
      <c r="AQP110" s="769"/>
      <c r="AQQ110" s="769"/>
      <c r="AQR110" s="769"/>
      <c r="AQS110" s="769"/>
      <c r="AQT110" s="769"/>
      <c r="AQU110" s="769"/>
      <c r="AQV110" s="769"/>
      <c r="AQW110" s="769"/>
      <c r="AQX110" s="769"/>
      <c r="AQY110" s="769"/>
      <c r="AQZ110" s="769"/>
      <c r="ARA110" s="769"/>
      <c r="ARB110" s="769"/>
      <c r="ARC110" s="769"/>
      <c r="ARD110" s="769"/>
      <c r="ARE110" s="769"/>
      <c r="ARF110" s="769"/>
      <c r="ARG110" s="769"/>
      <c r="ARH110" s="769"/>
      <c r="ARI110" s="769"/>
      <c r="ARJ110" s="769"/>
      <c r="ARK110" s="769"/>
      <c r="ARL110" s="769"/>
      <c r="ARM110" s="769"/>
      <c r="ARN110" s="769"/>
      <c r="ARO110" s="769"/>
      <c r="ARP110" s="769"/>
      <c r="ARQ110" s="769"/>
      <c r="ARR110" s="769"/>
      <c r="ARS110" s="769"/>
      <c r="ART110" s="769"/>
      <c r="ARU110" s="769"/>
      <c r="ARV110" s="769"/>
      <c r="ARW110" s="769"/>
      <c r="ARX110" s="769"/>
      <c r="ARY110" s="769"/>
      <c r="ARZ110" s="769"/>
      <c r="ASA110" s="769"/>
      <c r="ASB110" s="769"/>
      <c r="ASC110" s="769"/>
      <c r="ASD110" s="769"/>
      <c r="ASE110" s="769"/>
      <c r="ASF110" s="769"/>
      <c r="ASG110" s="769"/>
      <c r="ASH110" s="769"/>
      <c r="ASI110" s="769"/>
      <c r="ASJ110" s="769"/>
      <c r="ASK110" s="769"/>
      <c r="ASL110" s="769"/>
      <c r="ASM110" s="769"/>
      <c r="ASN110" s="769"/>
      <c r="ASO110" s="769"/>
      <c r="ASP110" s="769"/>
      <c r="ASQ110" s="769"/>
      <c r="ASR110" s="769"/>
      <c r="ASS110" s="769"/>
      <c r="AST110" s="769"/>
      <c r="ASU110" s="769"/>
      <c r="ASV110" s="769"/>
      <c r="ASW110" s="769"/>
      <c r="ASX110" s="769"/>
      <c r="ASY110" s="769"/>
      <c r="ASZ110" s="769"/>
      <c r="ATA110" s="769"/>
      <c r="ATB110" s="769"/>
      <c r="ATC110" s="769"/>
      <c r="ATD110" s="769"/>
      <c r="ATE110" s="769"/>
      <c r="ATF110" s="769"/>
      <c r="ATG110" s="769"/>
      <c r="ATH110" s="769"/>
      <c r="ATI110" s="769"/>
      <c r="ATJ110" s="769"/>
      <c r="ATK110" s="769"/>
      <c r="ATL110" s="769"/>
      <c r="ATM110" s="769"/>
      <c r="ATN110" s="769"/>
      <c r="ATO110" s="769"/>
      <c r="ATP110" s="769"/>
      <c r="ATQ110" s="769"/>
      <c r="ATR110" s="769"/>
      <c r="ATS110" s="769"/>
      <c r="ATT110" s="769"/>
      <c r="ATU110" s="769"/>
      <c r="ATV110" s="769"/>
      <c r="ATW110" s="769"/>
      <c r="ATX110" s="769"/>
      <c r="ATY110" s="769"/>
      <c r="ATZ110" s="769"/>
      <c r="AUA110" s="769"/>
      <c r="AUB110" s="769"/>
      <c r="AUC110" s="769"/>
      <c r="AUD110" s="769"/>
      <c r="AUE110" s="769"/>
      <c r="AUF110" s="769"/>
      <c r="AUG110" s="769"/>
      <c r="AUH110" s="769"/>
      <c r="AUI110" s="769"/>
      <c r="AUJ110" s="769"/>
      <c r="AUK110" s="769"/>
      <c r="AUL110" s="769"/>
      <c r="AUM110" s="769"/>
      <c r="AUN110" s="769"/>
      <c r="AUO110" s="769"/>
      <c r="AUP110" s="769"/>
      <c r="AUQ110" s="769"/>
      <c r="AUR110" s="769"/>
      <c r="AUS110" s="769"/>
      <c r="AUT110" s="769"/>
      <c r="AUU110" s="769"/>
      <c r="AUV110" s="769"/>
      <c r="AUW110" s="769"/>
      <c r="AUX110" s="769"/>
      <c r="AUY110" s="769"/>
      <c r="AUZ110" s="769"/>
      <c r="AVA110" s="769"/>
      <c r="AVB110" s="769"/>
      <c r="AVC110" s="769"/>
      <c r="AVD110" s="769"/>
      <c r="AVE110" s="769"/>
      <c r="AVF110" s="769"/>
      <c r="AVG110" s="769"/>
      <c r="AVH110" s="769"/>
      <c r="AVI110" s="769"/>
      <c r="AVJ110" s="769"/>
      <c r="AVK110" s="769"/>
      <c r="AVL110" s="769"/>
      <c r="AVM110" s="769"/>
      <c r="AVN110" s="769"/>
      <c r="AVO110" s="769"/>
      <c r="AVP110" s="769"/>
      <c r="AVQ110" s="769"/>
      <c r="AVR110" s="769"/>
      <c r="AVS110" s="769"/>
      <c r="AVT110" s="769"/>
      <c r="AVU110" s="769"/>
      <c r="AVV110" s="769"/>
      <c r="AVW110" s="769"/>
      <c r="AVX110" s="769"/>
      <c r="AVY110" s="769"/>
      <c r="AVZ110" s="769"/>
      <c r="AWA110" s="769"/>
      <c r="AWB110" s="769"/>
      <c r="AWC110" s="769"/>
      <c r="AWD110" s="769"/>
      <c r="AWE110" s="769"/>
      <c r="AWF110" s="769"/>
      <c r="AWG110" s="769"/>
      <c r="AWH110" s="769"/>
      <c r="AWI110" s="769"/>
      <c r="AWJ110" s="769"/>
      <c r="AWK110" s="769"/>
      <c r="AWL110" s="769"/>
      <c r="AWM110" s="769"/>
      <c r="AWN110" s="769"/>
      <c r="AWO110" s="769"/>
      <c r="AWP110" s="769"/>
      <c r="AWQ110" s="769"/>
      <c r="AWR110" s="769"/>
      <c r="AWS110" s="769"/>
      <c r="AWT110" s="769"/>
      <c r="AWU110" s="769"/>
      <c r="AWV110" s="769"/>
      <c r="AWW110" s="769"/>
      <c r="AWX110" s="769"/>
      <c r="AWY110" s="769"/>
      <c r="AWZ110" s="769"/>
      <c r="AXA110" s="769"/>
      <c r="AXB110" s="769"/>
      <c r="AXC110" s="769"/>
      <c r="AXD110" s="769"/>
      <c r="AXE110" s="769"/>
      <c r="AXF110" s="769"/>
      <c r="AXG110" s="769"/>
      <c r="AXH110" s="769"/>
      <c r="AXI110" s="769"/>
      <c r="AXJ110" s="769"/>
      <c r="AXK110" s="769"/>
      <c r="AXL110" s="769"/>
      <c r="AXM110" s="769"/>
      <c r="AXN110" s="769"/>
      <c r="AXO110" s="769"/>
      <c r="AXP110" s="769"/>
      <c r="AXQ110" s="769"/>
      <c r="AXR110" s="769"/>
      <c r="AXS110" s="769"/>
      <c r="AXT110" s="769"/>
      <c r="AXU110" s="769"/>
      <c r="AXV110" s="769"/>
      <c r="AXW110" s="769"/>
      <c r="AXX110" s="769"/>
      <c r="AXY110" s="769"/>
      <c r="AXZ110" s="769"/>
      <c r="AYA110" s="769"/>
      <c r="AYB110" s="769"/>
      <c r="AYC110" s="769"/>
      <c r="AYD110" s="769"/>
      <c r="AYE110" s="769"/>
      <c r="AYF110" s="769"/>
      <c r="AYG110" s="769"/>
      <c r="AYH110" s="769"/>
      <c r="AYI110" s="769"/>
      <c r="AYJ110" s="769"/>
      <c r="AYK110" s="769"/>
      <c r="AYL110" s="769"/>
      <c r="AYM110" s="769"/>
      <c r="AYN110" s="769"/>
      <c r="AYO110" s="769"/>
      <c r="AYP110" s="769"/>
      <c r="AYQ110" s="769"/>
      <c r="AYR110" s="769"/>
      <c r="AYS110" s="769"/>
      <c r="AYT110" s="769"/>
      <c r="AYU110" s="769"/>
      <c r="AYV110" s="769"/>
      <c r="AYW110" s="769"/>
      <c r="AYX110" s="769"/>
      <c r="AYY110" s="769"/>
      <c r="AYZ110" s="769"/>
      <c r="AZA110" s="769"/>
      <c r="AZB110" s="769"/>
      <c r="AZC110" s="769"/>
      <c r="AZD110" s="769"/>
      <c r="AZE110" s="769"/>
      <c r="AZF110" s="769"/>
      <c r="AZG110" s="769"/>
      <c r="AZH110" s="769"/>
      <c r="AZI110" s="769"/>
      <c r="AZJ110" s="769"/>
      <c r="AZK110" s="769"/>
      <c r="AZL110" s="769"/>
      <c r="AZM110" s="769"/>
      <c r="AZN110" s="769"/>
      <c r="AZO110" s="769"/>
      <c r="AZP110" s="769"/>
      <c r="AZQ110" s="769"/>
      <c r="AZR110" s="769"/>
      <c r="AZS110" s="769"/>
      <c r="AZT110" s="769"/>
      <c r="AZU110" s="769"/>
      <c r="AZV110" s="769"/>
      <c r="AZW110" s="769"/>
      <c r="AZX110" s="769"/>
      <c r="AZY110" s="769"/>
      <c r="AZZ110" s="769"/>
      <c r="BAA110" s="769"/>
      <c r="BAB110" s="769"/>
      <c r="BAC110" s="769"/>
      <c r="BAD110" s="769"/>
      <c r="BAE110" s="769"/>
      <c r="BAF110" s="769"/>
      <c r="BAG110" s="769"/>
      <c r="BAH110" s="769"/>
      <c r="BAI110" s="769"/>
      <c r="BAJ110" s="769"/>
      <c r="BAK110" s="769"/>
      <c r="BAL110" s="769"/>
      <c r="BAM110" s="769"/>
      <c r="BAN110" s="769"/>
      <c r="BAO110" s="769"/>
      <c r="BAP110" s="769"/>
      <c r="BAQ110" s="769"/>
      <c r="BAR110" s="769"/>
      <c r="BAS110" s="769"/>
      <c r="BAT110" s="769"/>
      <c r="BAU110" s="769"/>
      <c r="BAV110" s="769"/>
      <c r="BAW110" s="769"/>
      <c r="BAX110" s="769"/>
      <c r="BAY110" s="769"/>
      <c r="BAZ110" s="769"/>
      <c r="BBA110" s="769"/>
      <c r="BBB110" s="769"/>
      <c r="BBC110" s="769"/>
      <c r="BBD110" s="769"/>
      <c r="BBE110" s="769"/>
      <c r="BBF110" s="769"/>
      <c r="BBG110" s="769"/>
      <c r="BBH110" s="769"/>
      <c r="BBI110" s="769"/>
      <c r="BBJ110" s="769"/>
      <c r="BBK110" s="769"/>
      <c r="BBL110" s="769"/>
      <c r="BBM110" s="769"/>
      <c r="BBN110" s="769"/>
      <c r="BBO110" s="769"/>
      <c r="BBP110" s="769"/>
      <c r="BBQ110" s="769"/>
      <c r="BBR110" s="769"/>
      <c r="BBS110" s="769"/>
      <c r="BBT110" s="769"/>
      <c r="BBU110" s="769"/>
      <c r="BBV110" s="769"/>
      <c r="BBW110" s="769"/>
      <c r="BBX110" s="769"/>
      <c r="BBY110" s="769"/>
      <c r="BBZ110" s="769"/>
      <c r="BCA110" s="769"/>
      <c r="BCB110" s="769"/>
      <c r="BCC110" s="769"/>
      <c r="BCD110" s="769"/>
      <c r="BCE110" s="769"/>
      <c r="BCF110" s="769"/>
      <c r="BCG110" s="769"/>
      <c r="BCH110" s="769"/>
      <c r="BCI110" s="769"/>
      <c r="BCJ110" s="769"/>
      <c r="BCK110" s="769"/>
      <c r="BCL110" s="769"/>
      <c r="BCM110" s="769"/>
      <c r="BCN110" s="769"/>
      <c r="BCO110" s="769"/>
      <c r="BCP110" s="769"/>
      <c r="BCQ110" s="769"/>
      <c r="BCR110" s="769"/>
      <c r="BCS110" s="769"/>
      <c r="BCT110" s="769"/>
      <c r="BCU110" s="769"/>
      <c r="BCV110" s="769"/>
      <c r="BCW110" s="769"/>
      <c r="BCX110" s="769"/>
      <c r="BCY110" s="769"/>
      <c r="BCZ110" s="769"/>
      <c r="BDA110" s="769"/>
      <c r="BDB110" s="769"/>
      <c r="BDC110" s="769"/>
      <c r="BDD110" s="769"/>
      <c r="BDE110" s="769"/>
      <c r="BDF110" s="769"/>
      <c r="BDG110" s="769"/>
      <c r="BDH110" s="769"/>
      <c r="BDI110" s="769"/>
      <c r="BDJ110" s="769"/>
      <c r="BDK110" s="769"/>
      <c r="BDL110" s="769"/>
      <c r="BDM110" s="769"/>
      <c r="BDN110" s="769"/>
      <c r="BDO110" s="769"/>
      <c r="BDP110" s="769"/>
      <c r="BDQ110" s="769"/>
      <c r="BDR110" s="769"/>
      <c r="BDS110" s="769"/>
      <c r="BDT110" s="769"/>
      <c r="BDU110" s="769"/>
      <c r="BDV110" s="769"/>
      <c r="BDW110" s="769"/>
      <c r="BDX110" s="769"/>
      <c r="BDY110" s="769"/>
      <c r="BDZ110" s="769"/>
      <c r="BEA110" s="769"/>
      <c r="BEB110" s="769"/>
      <c r="BEC110" s="769"/>
      <c r="BED110" s="769"/>
      <c r="BEE110" s="769"/>
      <c r="BEF110" s="769"/>
      <c r="BEG110" s="769"/>
      <c r="BEH110" s="769"/>
      <c r="BEI110" s="769"/>
      <c r="BEJ110" s="769"/>
      <c r="BEK110" s="769"/>
      <c r="BEL110" s="769"/>
      <c r="BEM110" s="769"/>
      <c r="BEN110" s="769"/>
      <c r="BEO110" s="769"/>
      <c r="BEP110" s="769"/>
      <c r="BEQ110" s="769"/>
      <c r="BER110" s="769"/>
      <c r="BES110" s="769"/>
      <c r="BET110" s="769"/>
      <c r="BEU110" s="769"/>
      <c r="BEV110" s="769"/>
      <c r="BEW110" s="769"/>
      <c r="BEX110" s="769"/>
      <c r="BEY110" s="769"/>
      <c r="BEZ110" s="769"/>
      <c r="BFA110" s="769"/>
      <c r="BFB110" s="769"/>
      <c r="BFC110" s="769"/>
      <c r="BFD110" s="769"/>
      <c r="BFE110" s="769"/>
      <c r="BFF110" s="769"/>
      <c r="BFG110" s="769"/>
      <c r="BFH110" s="769"/>
      <c r="BFI110" s="769"/>
      <c r="BFJ110" s="769"/>
      <c r="BFK110" s="769"/>
      <c r="BFL110" s="769"/>
      <c r="BFM110" s="769"/>
      <c r="BFN110" s="769"/>
      <c r="BFO110" s="769"/>
      <c r="BFP110" s="769"/>
      <c r="BFQ110" s="769"/>
      <c r="BFR110" s="769"/>
      <c r="BFS110" s="769"/>
      <c r="BFT110" s="769"/>
      <c r="BFU110" s="769"/>
      <c r="BFV110" s="769"/>
      <c r="BFW110" s="769"/>
      <c r="BFX110" s="769"/>
      <c r="BFY110" s="769"/>
      <c r="BFZ110" s="769"/>
      <c r="BGA110" s="769"/>
      <c r="BGB110" s="769"/>
      <c r="BGC110" s="769"/>
      <c r="BGD110" s="769"/>
      <c r="BGE110" s="769"/>
      <c r="BGF110" s="769"/>
      <c r="BGG110" s="769"/>
      <c r="BGH110" s="769"/>
      <c r="BGI110" s="769"/>
      <c r="BGJ110" s="769"/>
      <c r="BGK110" s="769"/>
      <c r="BGL110" s="769"/>
      <c r="BGM110" s="769"/>
      <c r="BGN110" s="769"/>
      <c r="BGO110" s="769"/>
      <c r="BGP110" s="769"/>
      <c r="BGQ110" s="769"/>
      <c r="BGR110" s="769"/>
      <c r="BGS110" s="769"/>
      <c r="BGT110" s="769"/>
      <c r="BGU110" s="769"/>
      <c r="BGV110" s="769"/>
      <c r="BGW110" s="769"/>
      <c r="BGX110" s="769"/>
      <c r="BGY110" s="769"/>
      <c r="BGZ110" s="769"/>
      <c r="BHA110" s="769"/>
      <c r="BHB110" s="769"/>
      <c r="BHC110" s="769"/>
      <c r="BHD110" s="769"/>
      <c r="BHE110" s="769"/>
      <c r="BHF110" s="769"/>
      <c r="BHG110" s="769"/>
      <c r="BHH110" s="769"/>
      <c r="BHI110" s="769"/>
      <c r="BHJ110" s="769"/>
      <c r="BHK110" s="769"/>
      <c r="BHL110" s="769"/>
      <c r="BHM110" s="769"/>
      <c r="BHN110" s="769"/>
      <c r="BHO110" s="769"/>
      <c r="BHP110" s="769"/>
      <c r="BHQ110" s="769"/>
      <c r="BHR110" s="769"/>
      <c r="BHS110" s="769"/>
      <c r="BHT110" s="769"/>
      <c r="BHU110" s="769"/>
      <c r="BHV110" s="769"/>
      <c r="BHW110" s="769"/>
      <c r="BHX110" s="769"/>
      <c r="BHY110" s="769"/>
      <c r="BHZ110" s="769"/>
      <c r="BIA110" s="769"/>
      <c r="BIB110" s="769"/>
      <c r="BIC110" s="769"/>
      <c r="BID110" s="769"/>
      <c r="BIE110" s="769"/>
      <c r="BIF110" s="769"/>
      <c r="BIG110" s="769"/>
      <c r="BIH110" s="769"/>
      <c r="BII110" s="769"/>
      <c r="BIJ110" s="769"/>
      <c r="BIK110" s="769"/>
      <c r="BIL110" s="769"/>
      <c r="BIM110" s="769"/>
      <c r="BIN110" s="769"/>
      <c r="BIO110" s="769"/>
      <c r="BIP110" s="769"/>
      <c r="BIQ110" s="769"/>
      <c r="BIR110" s="769"/>
      <c r="BIS110" s="769"/>
      <c r="BIT110" s="769"/>
      <c r="BIU110" s="769"/>
      <c r="BIV110" s="769"/>
      <c r="BIW110" s="769"/>
      <c r="BIX110" s="769"/>
      <c r="BIY110" s="769"/>
      <c r="BIZ110" s="769"/>
      <c r="BJA110" s="769"/>
      <c r="BJB110" s="769"/>
      <c r="BJC110" s="769"/>
      <c r="BJD110" s="769"/>
      <c r="BJE110" s="769"/>
      <c r="BJF110" s="769"/>
      <c r="BJG110" s="769"/>
      <c r="BJH110" s="769"/>
      <c r="BJI110" s="769"/>
      <c r="BJJ110" s="769"/>
      <c r="BJK110" s="769"/>
      <c r="BJL110" s="769"/>
      <c r="BJM110" s="769"/>
      <c r="BJN110" s="769"/>
      <c r="BJO110" s="769"/>
      <c r="BJP110" s="769"/>
      <c r="BJQ110" s="769"/>
      <c r="BJR110" s="769"/>
      <c r="BJS110" s="769"/>
      <c r="BJT110" s="769"/>
      <c r="BJU110" s="769"/>
      <c r="BJV110" s="769"/>
      <c r="BJW110" s="769"/>
      <c r="BJX110" s="769"/>
      <c r="BJY110" s="769"/>
      <c r="BJZ110" s="769"/>
      <c r="BKA110" s="769"/>
      <c r="BKB110" s="769"/>
      <c r="BKC110" s="769"/>
      <c r="BKD110" s="769"/>
      <c r="BKE110" s="769"/>
      <c r="BKF110" s="769"/>
      <c r="BKG110" s="769"/>
      <c r="BKH110" s="769"/>
      <c r="BKI110" s="769"/>
      <c r="BKJ110" s="769"/>
      <c r="BKK110" s="769"/>
      <c r="BKL110" s="769"/>
      <c r="BKM110" s="769"/>
      <c r="BKN110" s="769"/>
      <c r="BKO110" s="769"/>
      <c r="BKP110" s="769"/>
      <c r="BKQ110" s="769"/>
      <c r="BKR110" s="769"/>
      <c r="BKS110" s="769"/>
      <c r="BKT110" s="769"/>
      <c r="BKU110" s="769"/>
      <c r="BKV110" s="769"/>
      <c r="BKW110" s="769"/>
      <c r="BKX110" s="769"/>
      <c r="BKY110" s="769"/>
      <c r="BKZ110" s="769"/>
      <c r="BLA110" s="769"/>
      <c r="BLB110" s="769"/>
      <c r="BLC110" s="769"/>
      <c r="BLD110" s="769"/>
      <c r="BLE110" s="769"/>
      <c r="BLF110" s="769"/>
      <c r="BLG110" s="769"/>
      <c r="BLH110" s="769"/>
      <c r="BLI110" s="769"/>
      <c r="BLJ110" s="769"/>
      <c r="BLK110" s="769"/>
      <c r="BLL110" s="769"/>
      <c r="BLM110" s="769"/>
      <c r="BLN110" s="769"/>
      <c r="BLO110" s="769"/>
      <c r="BLP110" s="769"/>
      <c r="BLQ110" s="769"/>
      <c r="BLR110" s="769"/>
      <c r="BLS110" s="769"/>
      <c r="BLT110" s="769"/>
      <c r="BLU110" s="769"/>
      <c r="BLV110" s="769"/>
      <c r="BLW110" s="769"/>
      <c r="BLX110" s="769"/>
      <c r="BLY110" s="769"/>
      <c r="BLZ110" s="769"/>
      <c r="BMA110" s="769"/>
      <c r="BMB110" s="769"/>
      <c r="BMC110" s="769"/>
      <c r="BMD110" s="769"/>
      <c r="BME110" s="769"/>
      <c r="BMF110" s="769"/>
      <c r="BMG110" s="769"/>
      <c r="BMH110" s="769"/>
      <c r="BMI110" s="769"/>
      <c r="BMJ110" s="769"/>
      <c r="BMK110" s="769"/>
      <c r="BML110" s="769"/>
      <c r="BMM110" s="769"/>
      <c r="BMN110" s="769"/>
      <c r="BMO110" s="769"/>
      <c r="BMP110" s="769"/>
      <c r="BMQ110" s="769"/>
      <c r="BMR110" s="769"/>
      <c r="BMS110" s="769"/>
      <c r="BMT110" s="769"/>
      <c r="BMU110" s="769"/>
      <c r="BMV110" s="769"/>
      <c r="BMW110" s="769"/>
      <c r="BMX110" s="769"/>
      <c r="BMY110" s="769"/>
      <c r="BMZ110" s="769"/>
      <c r="BNA110" s="769"/>
      <c r="BNB110" s="769"/>
      <c r="BNC110" s="769"/>
      <c r="BND110" s="769"/>
      <c r="BNE110" s="769"/>
      <c r="BNF110" s="769"/>
      <c r="BNG110" s="769"/>
      <c r="BNH110" s="769"/>
      <c r="BNI110" s="769"/>
      <c r="BNJ110" s="769"/>
      <c r="BNK110" s="769"/>
      <c r="BNL110" s="769"/>
      <c r="BNM110" s="769"/>
      <c r="BNN110" s="769"/>
      <c r="BNO110" s="769"/>
      <c r="BNP110" s="769"/>
      <c r="BNQ110" s="769"/>
      <c r="BNR110" s="769"/>
      <c r="BNS110" s="769"/>
      <c r="BNT110" s="769"/>
      <c r="BNU110" s="769"/>
      <c r="BNV110" s="769"/>
      <c r="BNW110" s="769"/>
      <c r="BNX110" s="769"/>
      <c r="BNY110" s="769"/>
      <c r="BNZ110" s="769"/>
      <c r="BOA110" s="769"/>
      <c r="BOB110" s="769"/>
      <c r="BOC110" s="769"/>
      <c r="BOD110" s="769"/>
      <c r="BOE110" s="769"/>
      <c r="BOF110" s="769"/>
      <c r="BOG110" s="769"/>
      <c r="BOH110" s="769"/>
      <c r="BOI110" s="769"/>
      <c r="BOJ110" s="769"/>
      <c r="BOK110" s="769"/>
      <c r="BOL110" s="769"/>
      <c r="BOM110" s="769"/>
      <c r="BON110" s="769"/>
      <c r="BOO110" s="769"/>
      <c r="BOP110" s="769"/>
      <c r="BOQ110" s="769"/>
      <c r="BOR110" s="769"/>
      <c r="BOS110" s="769"/>
      <c r="BOT110" s="769"/>
      <c r="BOU110" s="769"/>
      <c r="BOV110" s="769"/>
      <c r="BOW110" s="769"/>
      <c r="BOX110" s="769"/>
      <c r="BOY110" s="769"/>
      <c r="BOZ110" s="769"/>
      <c r="BPA110" s="769"/>
      <c r="BPB110" s="769"/>
      <c r="BPC110" s="769"/>
      <c r="BPD110" s="769"/>
      <c r="BPE110" s="769"/>
      <c r="BPF110" s="769"/>
      <c r="BPG110" s="769"/>
      <c r="BPH110" s="769"/>
      <c r="BPI110" s="769"/>
      <c r="BPJ110" s="769"/>
      <c r="BPK110" s="769"/>
      <c r="BPL110" s="769"/>
      <c r="BPM110" s="769"/>
      <c r="BPN110" s="769"/>
      <c r="BPO110" s="769"/>
      <c r="BPP110" s="769"/>
      <c r="BPQ110" s="769"/>
      <c r="BPR110" s="769"/>
      <c r="BPS110" s="769"/>
      <c r="BPT110" s="769"/>
      <c r="BPU110" s="769"/>
      <c r="BPV110" s="769"/>
      <c r="BPW110" s="769"/>
      <c r="BPX110" s="769"/>
      <c r="BPY110" s="769"/>
      <c r="BPZ110" s="769"/>
      <c r="BQA110" s="769"/>
      <c r="BQB110" s="769"/>
      <c r="BQC110" s="769"/>
      <c r="BQD110" s="769"/>
      <c r="BQE110" s="769"/>
      <c r="BQF110" s="769"/>
      <c r="BQG110" s="769"/>
      <c r="BQH110" s="769"/>
      <c r="BQI110" s="769"/>
      <c r="BQJ110" s="769"/>
      <c r="BQK110" s="769"/>
      <c r="BQL110" s="769"/>
      <c r="BQM110" s="769"/>
      <c r="BQN110" s="769"/>
      <c r="BQO110" s="769"/>
      <c r="BQP110" s="769"/>
      <c r="BQQ110" s="769"/>
      <c r="BQR110" s="769"/>
      <c r="BQS110" s="769"/>
      <c r="BQT110" s="769"/>
      <c r="BQU110" s="769"/>
      <c r="BQV110" s="769"/>
      <c r="BQW110" s="769"/>
      <c r="BQX110" s="769"/>
      <c r="BQY110" s="769"/>
      <c r="BQZ110" s="769"/>
      <c r="BRA110" s="769"/>
      <c r="BRB110" s="769"/>
      <c r="BRC110" s="769"/>
      <c r="BRD110" s="769"/>
      <c r="BRE110" s="769"/>
      <c r="BRF110" s="769"/>
      <c r="BRG110" s="769"/>
      <c r="BRH110" s="769"/>
      <c r="BRI110" s="769"/>
      <c r="BRJ110" s="769"/>
      <c r="BRK110" s="769"/>
      <c r="BRL110" s="769"/>
      <c r="BRM110" s="769"/>
      <c r="BRN110" s="769"/>
      <c r="BRO110" s="769"/>
      <c r="BRP110" s="769"/>
      <c r="BRQ110" s="769"/>
      <c r="BRR110" s="769"/>
      <c r="BRS110" s="769"/>
      <c r="BRT110" s="769"/>
      <c r="BRU110" s="769"/>
      <c r="BRV110" s="769"/>
      <c r="BRW110" s="769"/>
      <c r="BRX110" s="769"/>
      <c r="BRY110" s="769"/>
      <c r="BRZ110" s="769"/>
      <c r="BSA110" s="769"/>
      <c r="BSB110" s="769"/>
      <c r="BSC110" s="769"/>
      <c r="BSD110" s="769"/>
      <c r="BSE110" s="769"/>
      <c r="BSF110" s="769"/>
      <c r="BSG110" s="769"/>
      <c r="BSH110" s="769"/>
      <c r="BSI110" s="769"/>
      <c r="BSJ110" s="769"/>
      <c r="BSK110" s="769"/>
      <c r="BSL110" s="769"/>
      <c r="BSM110" s="769"/>
      <c r="BSN110" s="769"/>
      <c r="BSO110" s="769"/>
      <c r="BSP110" s="769"/>
      <c r="BSQ110" s="769"/>
      <c r="BSR110" s="769"/>
      <c r="BSS110" s="769"/>
      <c r="BST110" s="769"/>
      <c r="BSU110" s="769"/>
      <c r="BSV110" s="769"/>
      <c r="BSW110" s="769"/>
      <c r="BSX110" s="769"/>
      <c r="BSY110" s="769"/>
      <c r="BSZ110" s="769"/>
      <c r="BTA110" s="769"/>
      <c r="BTB110" s="769"/>
      <c r="BTC110" s="769"/>
      <c r="BTD110" s="769"/>
      <c r="BTE110" s="769"/>
      <c r="BTF110" s="769"/>
      <c r="BTG110" s="769"/>
      <c r="BTH110" s="769"/>
      <c r="BTI110" s="769"/>
      <c r="BTJ110" s="769"/>
      <c r="BTK110" s="769"/>
      <c r="BTL110" s="769"/>
      <c r="BTM110" s="769"/>
      <c r="BTN110" s="769"/>
      <c r="BTO110" s="769"/>
      <c r="BTP110" s="769"/>
      <c r="BTQ110" s="769"/>
      <c r="BTR110" s="769"/>
      <c r="BTS110" s="769"/>
      <c r="BTT110" s="769"/>
      <c r="BTU110" s="769"/>
      <c r="BTV110" s="769"/>
      <c r="BTW110" s="769"/>
      <c r="BTX110" s="769"/>
      <c r="BTY110" s="769"/>
      <c r="BTZ110" s="769"/>
      <c r="BUA110" s="769"/>
      <c r="BUB110" s="769"/>
      <c r="BUC110" s="769"/>
      <c r="BUD110" s="769"/>
      <c r="BUE110" s="769"/>
      <c r="BUF110" s="769"/>
      <c r="BUG110" s="769"/>
      <c r="BUH110" s="769"/>
      <c r="BUI110" s="769"/>
      <c r="BUJ110" s="769"/>
      <c r="BUK110" s="769"/>
      <c r="BUL110" s="769"/>
      <c r="BUM110" s="769"/>
      <c r="BUN110" s="769"/>
      <c r="BUO110" s="769"/>
      <c r="BUP110" s="769"/>
      <c r="BUQ110" s="769"/>
      <c r="BUR110" s="769"/>
      <c r="BUS110" s="769"/>
      <c r="BUT110" s="769"/>
      <c r="BUU110" s="769"/>
      <c r="BUV110" s="769"/>
      <c r="BUW110" s="769"/>
      <c r="BUX110" s="769"/>
      <c r="BUY110" s="769"/>
      <c r="BUZ110" s="769"/>
      <c r="BVA110" s="769"/>
      <c r="BVB110" s="769"/>
      <c r="BVC110" s="769"/>
      <c r="BVD110" s="769"/>
      <c r="BVE110" s="769"/>
      <c r="BVF110" s="769"/>
      <c r="BVG110" s="769"/>
      <c r="BVH110" s="769"/>
      <c r="BVI110" s="769"/>
      <c r="BVJ110" s="769"/>
      <c r="BVK110" s="769"/>
      <c r="BVL110" s="769"/>
      <c r="BVM110" s="769"/>
      <c r="BVN110" s="769"/>
      <c r="BVO110" s="769"/>
      <c r="BVP110" s="769"/>
      <c r="BVQ110" s="769"/>
      <c r="BVR110" s="769"/>
      <c r="BVS110" s="769"/>
      <c r="BVT110" s="769"/>
      <c r="BVU110" s="769"/>
      <c r="BVV110" s="769"/>
      <c r="BVW110" s="769"/>
      <c r="BVX110" s="769"/>
      <c r="BVY110" s="769"/>
      <c r="BVZ110" s="769"/>
      <c r="BWA110" s="769"/>
      <c r="BWB110" s="769"/>
      <c r="BWC110" s="769"/>
      <c r="BWD110" s="769"/>
      <c r="BWE110" s="769"/>
      <c r="BWF110" s="769"/>
      <c r="BWG110" s="769"/>
      <c r="BWH110" s="769"/>
      <c r="BWI110" s="769"/>
      <c r="BWJ110" s="769"/>
      <c r="BWK110" s="769"/>
      <c r="BWL110" s="769"/>
      <c r="BWM110" s="769"/>
      <c r="BWN110" s="769"/>
      <c r="BWO110" s="769"/>
      <c r="BWP110" s="769"/>
      <c r="BWQ110" s="769"/>
      <c r="BWR110" s="769"/>
      <c r="BWS110" s="769"/>
      <c r="BWT110" s="769"/>
      <c r="BWU110" s="769"/>
      <c r="BWV110" s="769"/>
      <c r="BWW110" s="769"/>
      <c r="BWX110" s="769"/>
      <c r="BWY110" s="769"/>
      <c r="BWZ110" s="769"/>
      <c r="BXA110" s="769"/>
      <c r="BXB110" s="769"/>
      <c r="BXC110" s="769"/>
      <c r="BXD110" s="769"/>
      <c r="BXE110" s="769"/>
      <c r="BXF110" s="769"/>
      <c r="BXG110" s="769"/>
      <c r="BXH110" s="769"/>
      <c r="BXI110" s="769"/>
      <c r="BXJ110" s="769"/>
      <c r="BXK110" s="769"/>
      <c r="BXL110" s="769"/>
      <c r="BXM110" s="769"/>
      <c r="BXN110" s="769"/>
      <c r="BXO110" s="769"/>
      <c r="BXP110" s="769"/>
      <c r="BXQ110" s="769"/>
      <c r="BXR110" s="769"/>
      <c r="BXS110" s="769"/>
      <c r="BXT110" s="769"/>
      <c r="BXU110" s="769"/>
      <c r="BXV110" s="769"/>
      <c r="BXW110" s="769"/>
      <c r="BXX110" s="769"/>
      <c r="BXY110" s="769"/>
      <c r="BXZ110" s="769"/>
      <c r="BYA110" s="769"/>
      <c r="BYB110" s="769"/>
      <c r="BYC110" s="769"/>
      <c r="BYD110" s="769"/>
      <c r="BYE110" s="769"/>
      <c r="BYF110" s="769"/>
      <c r="BYG110" s="769"/>
      <c r="BYH110" s="769"/>
      <c r="BYI110" s="769"/>
      <c r="BYJ110" s="769"/>
      <c r="BYK110" s="769"/>
      <c r="BYL110" s="769"/>
      <c r="BYM110" s="769"/>
      <c r="BYN110" s="769"/>
      <c r="BYO110" s="769"/>
      <c r="BYP110" s="769"/>
      <c r="BYQ110" s="769"/>
      <c r="BYR110" s="769"/>
      <c r="BYS110" s="769"/>
      <c r="BYT110" s="769"/>
      <c r="BYU110" s="769"/>
      <c r="BYV110" s="769"/>
      <c r="BYW110" s="769"/>
      <c r="BYX110" s="769"/>
      <c r="BYY110" s="769"/>
      <c r="BYZ110" s="769"/>
      <c r="BZA110" s="769"/>
      <c r="BZB110" s="769"/>
      <c r="BZC110" s="769"/>
      <c r="BZD110" s="769"/>
      <c r="BZE110" s="769"/>
      <c r="BZF110" s="769"/>
      <c r="BZG110" s="769"/>
      <c r="BZH110" s="769"/>
      <c r="BZI110" s="769"/>
      <c r="BZJ110" s="769"/>
      <c r="BZK110" s="769"/>
      <c r="BZL110" s="769"/>
      <c r="BZM110" s="769"/>
      <c r="BZN110" s="769"/>
      <c r="BZO110" s="769"/>
      <c r="BZP110" s="769"/>
      <c r="BZQ110" s="769"/>
      <c r="BZR110" s="769"/>
      <c r="BZS110" s="769"/>
      <c r="BZT110" s="769"/>
      <c r="BZU110" s="769"/>
      <c r="BZV110" s="769"/>
      <c r="BZW110" s="769"/>
      <c r="BZX110" s="769"/>
      <c r="BZY110" s="769"/>
      <c r="BZZ110" s="769"/>
      <c r="CAA110" s="769"/>
      <c r="CAB110" s="769"/>
      <c r="CAC110" s="769"/>
      <c r="CAD110" s="769"/>
      <c r="CAE110" s="769"/>
      <c r="CAF110" s="769"/>
      <c r="CAG110" s="769"/>
      <c r="CAH110" s="769"/>
      <c r="CAI110" s="769"/>
      <c r="CAJ110" s="769"/>
      <c r="CAK110" s="769"/>
      <c r="CAL110" s="769"/>
      <c r="CAM110" s="769"/>
      <c r="CAN110" s="769"/>
      <c r="CAO110" s="769"/>
      <c r="CAP110" s="769"/>
      <c r="CAQ110" s="769"/>
      <c r="CAR110" s="769"/>
      <c r="CAS110" s="769"/>
      <c r="CAT110" s="769"/>
      <c r="CAU110" s="769"/>
      <c r="CAV110" s="769"/>
      <c r="CAW110" s="769"/>
      <c r="CAX110" s="769"/>
      <c r="CAY110" s="769"/>
      <c r="CAZ110" s="769"/>
      <c r="CBA110" s="769"/>
      <c r="CBB110" s="769"/>
      <c r="CBC110" s="769"/>
      <c r="CBD110" s="769"/>
      <c r="CBE110" s="769"/>
      <c r="CBF110" s="769"/>
      <c r="CBG110" s="769"/>
      <c r="CBH110" s="769"/>
      <c r="CBI110" s="769"/>
      <c r="CBJ110" s="769"/>
      <c r="CBK110" s="769"/>
      <c r="CBL110" s="769"/>
      <c r="CBM110" s="769"/>
      <c r="CBN110" s="769"/>
      <c r="CBO110" s="769"/>
      <c r="CBP110" s="769"/>
      <c r="CBQ110" s="769"/>
      <c r="CBR110" s="769"/>
      <c r="CBS110" s="769"/>
      <c r="CBT110" s="769"/>
      <c r="CBU110" s="769"/>
      <c r="CBV110" s="769"/>
      <c r="CBW110" s="769"/>
      <c r="CBX110" s="769"/>
      <c r="CBY110" s="769"/>
      <c r="CBZ110" s="769"/>
      <c r="CCA110" s="769"/>
      <c r="CCB110" s="769"/>
      <c r="CCC110" s="769"/>
      <c r="CCD110" s="769"/>
      <c r="CCE110" s="769"/>
      <c r="CCF110" s="769"/>
      <c r="CCG110" s="769"/>
      <c r="CCH110" s="769"/>
      <c r="CCI110" s="769"/>
      <c r="CCJ110" s="769"/>
      <c r="CCK110" s="769"/>
      <c r="CCL110" s="769"/>
      <c r="CCM110" s="769"/>
      <c r="CCN110" s="769"/>
      <c r="CCO110" s="769"/>
      <c r="CCP110" s="769"/>
      <c r="CCQ110" s="769"/>
      <c r="CCR110" s="769"/>
      <c r="CCS110" s="769"/>
      <c r="CCT110" s="769"/>
      <c r="CCU110" s="769"/>
      <c r="CCV110" s="769"/>
      <c r="CCW110" s="769"/>
      <c r="CCX110" s="769"/>
      <c r="CCY110" s="769"/>
      <c r="CCZ110" s="769"/>
      <c r="CDA110" s="769"/>
      <c r="CDB110" s="769"/>
      <c r="CDC110" s="769"/>
      <c r="CDD110" s="769"/>
      <c r="CDE110" s="769"/>
      <c r="CDF110" s="769"/>
      <c r="CDG110" s="769"/>
      <c r="CDH110" s="769"/>
      <c r="CDI110" s="769"/>
      <c r="CDJ110" s="769"/>
      <c r="CDK110" s="769"/>
      <c r="CDL110" s="769"/>
      <c r="CDM110" s="769"/>
      <c r="CDN110" s="769"/>
      <c r="CDO110" s="769"/>
      <c r="CDP110" s="769"/>
      <c r="CDQ110" s="769"/>
      <c r="CDR110" s="769"/>
      <c r="CDS110" s="769"/>
      <c r="CDT110" s="769"/>
      <c r="CDU110" s="769"/>
      <c r="CDV110" s="769"/>
      <c r="CDW110" s="769"/>
      <c r="CDX110" s="769"/>
      <c r="CDY110" s="769"/>
      <c r="CDZ110" s="769"/>
      <c r="CEA110" s="769"/>
      <c r="CEB110" s="769"/>
      <c r="CEC110" s="769"/>
      <c r="CED110" s="769"/>
      <c r="CEE110" s="769"/>
      <c r="CEF110" s="769"/>
      <c r="CEG110" s="769"/>
      <c r="CEH110" s="769"/>
      <c r="CEI110" s="769"/>
      <c r="CEJ110" s="769"/>
      <c r="CEK110" s="769"/>
      <c r="CEL110" s="769"/>
      <c r="CEM110" s="769"/>
      <c r="CEN110" s="769"/>
      <c r="CEO110" s="769"/>
      <c r="CEP110" s="769"/>
      <c r="CEQ110" s="769"/>
      <c r="CER110" s="769"/>
      <c r="CES110" s="769"/>
      <c r="CET110" s="769"/>
      <c r="CEU110" s="769"/>
      <c r="CEV110" s="769"/>
      <c r="CEW110" s="769"/>
      <c r="CEX110" s="769"/>
      <c r="CEY110" s="769"/>
      <c r="CEZ110" s="769"/>
      <c r="CFA110" s="769"/>
      <c r="CFB110" s="769"/>
      <c r="CFC110" s="769"/>
      <c r="CFD110" s="769"/>
      <c r="CFE110" s="769"/>
      <c r="CFF110" s="769"/>
      <c r="CFG110" s="769"/>
      <c r="CFH110" s="769"/>
      <c r="CFI110" s="769"/>
      <c r="CFJ110" s="769"/>
      <c r="CFK110" s="769"/>
      <c r="CFL110" s="769"/>
      <c r="CFM110" s="769"/>
      <c r="CFN110" s="769"/>
      <c r="CFO110" s="769"/>
      <c r="CFP110" s="769"/>
      <c r="CFQ110" s="769"/>
      <c r="CFR110" s="769"/>
      <c r="CFS110" s="769"/>
      <c r="CFT110" s="769"/>
      <c r="CFU110" s="769"/>
      <c r="CFV110" s="769"/>
      <c r="CFW110" s="769"/>
      <c r="CFX110" s="769"/>
      <c r="CFY110" s="769"/>
      <c r="CFZ110" s="769"/>
      <c r="CGA110" s="769"/>
      <c r="CGB110" s="769"/>
      <c r="CGC110" s="769"/>
      <c r="CGD110" s="769"/>
      <c r="CGE110" s="769"/>
      <c r="CGF110" s="769"/>
      <c r="CGG110" s="769"/>
      <c r="CGH110" s="769"/>
      <c r="CGI110" s="769"/>
      <c r="CGJ110" s="769"/>
      <c r="CGK110" s="769"/>
      <c r="CGL110" s="769"/>
      <c r="CGM110" s="769"/>
      <c r="CGN110" s="769"/>
      <c r="CGO110" s="769"/>
      <c r="CGP110" s="769"/>
      <c r="CGQ110" s="769"/>
      <c r="CGR110" s="769"/>
      <c r="CGS110" s="769"/>
      <c r="CGT110" s="769"/>
      <c r="CGU110" s="769"/>
      <c r="CGV110" s="769"/>
      <c r="CGW110" s="769"/>
      <c r="CGX110" s="769"/>
      <c r="CGY110" s="769"/>
      <c r="CGZ110" s="769"/>
      <c r="CHA110" s="769"/>
      <c r="CHB110" s="769"/>
      <c r="CHC110" s="769"/>
      <c r="CHD110" s="769"/>
      <c r="CHE110" s="769"/>
      <c r="CHF110" s="769"/>
      <c r="CHG110" s="769"/>
      <c r="CHH110" s="769"/>
      <c r="CHI110" s="769"/>
      <c r="CHJ110" s="769"/>
      <c r="CHK110" s="769"/>
      <c r="CHL110" s="769"/>
      <c r="CHM110" s="769"/>
      <c r="CHN110" s="769"/>
      <c r="CHO110" s="769"/>
      <c r="CHP110" s="769"/>
      <c r="CHQ110" s="769"/>
      <c r="CHR110" s="769"/>
      <c r="CHS110" s="769"/>
      <c r="CHT110" s="769"/>
      <c r="CHU110" s="769"/>
      <c r="CHV110" s="769"/>
      <c r="CHW110" s="769"/>
      <c r="CHX110" s="769"/>
      <c r="CHY110" s="769"/>
      <c r="CHZ110" s="769"/>
      <c r="CIA110" s="769"/>
      <c r="CIB110" s="769"/>
      <c r="CIC110" s="769"/>
      <c r="CID110" s="769"/>
      <c r="CIE110" s="769"/>
      <c r="CIF110" s="769"/>
      <c r="CIG110" s="769"/>
      <c r="CIH110" s="769"/>
      <c r="CII110" s="769"/>
      <c r="CIJ110" s="769"/>
      <c r="CIK110" s="769"/>
      <c r="CIL110" s="769"/>
      <c r="CIM110" s="769"/>
      <c r="CIN110" s="769"/>
      <c r="CIO110" s="769"/>
      <c r="CIP110" s="769"/>
      <c r="CIQ110" s="769"/>
      <c r="CIR110" s="769"/>
      <c r="CIS110" s="769"/>
      <c r="CIT110" s="769"/>
      <c r="CIU110" s="769"/>
      <c r="CIV110" s="769"/>
      <c r="CIW110" s="769"/>
      <c r="CIX110" s="769"/>
      <c r="CIY110" s="769"/>
      <c r="CIZ110" s="769"/>
      <c r="CJA110" s="769"/>
      <c r="CJB110" s="769"/>
      <c r="CJC110" s="769"/>
      <c r="CJD110" s="769"/>
      <c r="CJE110" s="769"/>
      <c r="CJF110" s="769"/>
      <c r="CJG110" s="769"/>
      <c r="CJH110" s="769"/>
      <c r="CJI110" s="769"/>
      <c r="CJJ110" s="769"/>
      <c r="CJK110" s="769"/>
      <c r="CJL110" s="769"/>
      <c r="CJM110" s="769"/>
      <c r="CJN110" s="769"/>
      <c r="CJO110" s="769"/>
      <c r="CJP110" s="769"/>
      <c r="CJQ110" s="769"/>
      <c r="CJR110" s="769"/>
      <c r="CJS110" s="769"/>
      <c r="CJT110" s="769"/>
      <c r="CJU110" s="769"/>
      <c r="CJV110" s="769"/>
      <c r="CJW110" s="769"/>
      <c r="CJX110" s="769"/>
      <c r="CJY110" s="769"/>
      <c r="CJZ110" s="769"/>
      <c r="CKA110" s="769"/>
      <c r="CKB110" s="769"/>
      <c r="CKC110" s="769"/>
      <c r="CKD110" s="769"/>
      <c r="CKE110" s="769"/>
      <c r="CKF110" s="769"/>
      <c r="CKG110" s="769"/>
      <c r="CKH110" s="769"/>
      <c r="CKI110" s="769"/>
      <c r="CKJ110" s="769"/>
      <c r="CKK110" s="769"/>
      <c r="CKL110" s="769"/>
      <c r="CKM110" s="769"/>
      <c r="CKN110" s="769"/>
      <c r="CKO110" s="769"/>
      <c r="CKP110" s="769"/>
      <c r="CKQ110" s="769"/>
      <c r="CKR110" s="769"/>
      <c r="CKS110" s="769"/>
      <c r="CKT110" s="769"/>
      <c r="CKU110" s="769"/>
      <c r="CKV110" s="769"/>
      <c r="CKW110" s="769"/>
      <c r="CKX110" s="769"/>
      <c r="CKY110" s="769"/>
      <c r="CKZ110" s="769"/>
      <c r="CLA110" s="769"/>
      <c r="CLB110" s="769"/>
      <c r="CLC110" s="769"/>
      <c r="CLD110" s="769"/>
      <c r="CLE110" s="769"/>
      <c r="CLF110" s="769"/>
      <c r="CLG110" s="769"/>
      <c r="CLH110" s="769"/>
      <c r="CLI110" s="769"/>
      <c r="CLJ110" s="769"/>
      <c r="CLK110" s="769"/>
      <c r="CLL110" s="769"/>
      <c r="CLM110" s="769"/>
      <c r="CLN110" s="769"/>
      <c r="CLO110" s="769"/>
      <c r="CLP110" s="769"/>
      <c r="CLQ110" s="769"/>
      <c r="CLR110" s="769"/>
      <c r="CLS110" s="769"/>
      <c r="CLT110" s="769"/>
      <c r="CLU110" s="769"/>
      <c r="CLV110" s="769"/>
      <c r="CLW110" s="769"/>
      <c r="CLX110" s="769"/>
      <c r="CLY110" s="769"/>
      <c r="CLZ110" s="769"/>
      <c r="CMA110" s="769"/>
      <c r="CMB110" s="769"/>
      <c r="CMC110" s="769"/>
      <c r="CMD110" s="769"/>
      <c r="CME110" s="769"/>
      <c r="CMF110" s="769"/>
      <c r="CMG110" s="769"/>
      <c r="CMH110" s="769"/>
      <c r="CMI110" s="769"/>
      <c r="CMJ110" s="769"/>
      <c r="CMK110" s="769"/>
      <c r="CML110" s="769"/>
      <c r="CMM110" s="769"/>
      <c r="CMN110" s="769"/>
      <c r="CMO110" s="769"/>
      <c r="CMP110" s="769"/>
      <c r="CMQ110" s="769"/>
      <c r="CMR110" s="769"/>
      <c r="CMS110" s="769"/>
      <c r="CMT110" s="769"/>
      <c r="CMU110" s="769"/>
      <c r="CMV110" s="769"/>
      <c r="CMW110" s="769"/>
      <c r="CMX110" s="769"/>
      <c r="CMY110" s="769"/>
      <c r="CMZ110" s="769"/>
      <c r="CNA110" s="769"/>
      <c r="CNB110" s="769"/>
      <c r="CNC110" s="769"/>
      <c r="CND110" s="769"/>
      <c r="CNE110" s="769"/>
      <c r="CNF110" s="769"/>
      <c r="CNG110" s="769"/>
      <c r="CNH110" s="769"/>
      <c r="CNI110" s="769"/>
      <c r="CNJ110" s="769"/>
      <c r="CNK110" s="769"/>
      <c r="CNL110" s="769"/>
      <c r="CNM110" s="769"/>
      <c r="CNN110" s="769"/>
      <c r="CNO110" s="769"/>
      <c r="CNP110" s="769"/>
      <c r="CNQ110" s="769"/>
      <c r="CNR110" s="769"/>
      <c r="CNS110" s="769"/>
      <c r="CNT110" s="769"/>
      <c r="CNU110" s="769"/>
      <c r="CNV110" s="769"/>
      <c r="CNW110" s="769"/>
      <c r="CNX110" s="769"/>
      <c r="CNY110" s="769"/>
      <c r="CNZ110" s="769"/>
      <c r="COA110" s="769"/>
      <c r="COB110" s="769"/>
      <c r="COC110" s="769"/>
      <c r="COD110" s="769"/>
      <c r="COE110" s="769"/>
      <c r="COF110" s="769"/>
      <c r="COG110" s="769"/>
      <c r="COH110" s="769"/>
      <c r="COI110" s="769"/>
      <c r="COJ110" s="769"/>
      <c r="COK110" s="769"/>
      <c r="COL110" s="769"/>
      <c r="COM110" s="769"/>
      <c r="CON110" s="769"/>
      <c r="COO110" s="769"/>
      <c r="COP110" s="769"/>
      <c r="COQ110" s="769"/>
      <c r="COR110" s="769"/>
      <c r="COS110" s="769"/>
      <c r="COT110" s="769"/>
      <c r="COU110" s="769"/>
      <c r="COV110" s="769"/>
      <c r="COW110" s="769"/>
      <c r="COX110" s="769"/>
      <c r="COY110" s="769"/>
      <c r="COZ110" s="769"/>
      <c r="CPA110" s="769"/>
      <c r="CPB110" s="769"/>
      <c r="CPC110" s="769"/>
      <c r="CPD110" s="769"/>
      <c r="CPE110" s="769"/>
      <c r="CPF110" s="769"/>
      <c r="CPG110" s="769"/>
      <c r="CPH110" s="769"/>
      <c r="CPI110" s="769"/>
      <c r="CPJ110" s="769"/>
      <c r="CPK110" s="769"/>
      <c r="CPL110" s="769"/>
      <c r="CPM110" s="769"/>
      <c r="CPN110" s="769"/>
      <c r="CPO110" s="769"/>
      <c r="CPP110" s="769"/>
      <c r="CPQ110" s="769"/>
      <c r="CPR110" s="769"/>
      <c r="CPS110" s="769"/>
      <c r="CPT110" s="769"/>
      <c r="CPU110" s="769"/>
      <c r="CPV110" s="769"/>
      <c r="CPW110" s="769"/>
      <c r="CPX110" s="769"/>
      <c r="CPY110" s="769"/>
      <c r="CPZ110" s="769"/>
      <c r="CQA110" s="769"/>
      <c r="CQB110" s="769"/>
      <c r="CQC110" s="769"/>
      <c r="CQD110" s="769"/>
      <c r="CQE110" s="769"/>
      <c r="CQF110" s="769"/>
      <c r="CQG110" s="769"/>
      <c r="CQH110" s="769"/>
      <c r="CQI110" s="769"/>
      <c r="CQJ110" s="769"/>
      <c r="CQK110" s="769"/>
      <c r="CQL110" s="769"/>
      <c r="CQM110" s="769"/>
      <c r="CQN110" s="769"/>
      <c r="CQO110" s="769"/>
      <c r="CQP110" s="769"/>
      <c r="CQQ110" s="769"/>
      <c r="CQR110" s="769"/>
      <c r="CQS110" s="769"/>
      <c r="CQT110" s="769"/>
      <c r="CQU110" s="769"/>
      <c r="CQV110" s="769"/>
      <c r="CQW110" s="769"/>
      <c r="CQX110" s="769"/>
      <c r="CQY110" s="769"/>
      <c r="CQZ110" s="769"/>
      <c r="CRA110" s="769"/>
      <c r="CRB110" s="769"/>
      <c r="CRC110" s="769"/>
      <c r="CRD110" s="769"/>
      <c r="CRE110" s="769"/>
      <c r="CRF110" s="769"/>
      <c r="CRG110" s="769"/>
      <c r="CRH110" s="769"/>
      <c r="CRI110" s="769"/>
      <c r="CRJ110" s="769"/>
      <c r="CRK110" s="769"/>
      <c r="CRL110" s="769"/>
      <c r="CRM110" s="769"/>
      <c r="CRN110" s="769"/>
      <c r="CRO110" s="769"/>
      <c r="CRP110" s="769"/>
      <c r="CRQ110" s="769"/>
      <c r="CRR110" s="769"/>
      <c r="CRS110" s="769"/>
      <c r="CRT110" s="769"/>
      <c r="CRU110" s="769"/>
      <c r="CRV110" s="769"/>
      <c r="CRW110" s="769"/>
      <c r="CRX110" s="769"/>
      <c r="CRY110" s="769"/>
      <c r="CRZ110" s="769"/>
      <c r="CSA110" s="769"/>
      <c r="CSB110" s="769"/>
      <c r="CSC110" s="769"/>
      <c r="CSD110" s="769"/>
      <c r="CSE110" s="769"/>
      <c r="CSF110" s="769"/>
      <c r="CSG110" s="769"/>
      <c r="CSH110" s="769"/>
      <c r="CSI110" s="769"/>
      <c r="CSJ110" s="769"/>
      <c r="CSK110" s="769"/>
      <c r="CSL110" s="769"/>
      <c r="CSM110" s="769"/>
      <c r="CSN110" s="769"/>
      <c r="CSO110" s="769"/>
      <c r="CSP110" s="769"/>
      <c r="CSQ110" s="769"/>
      <c r="CSR110" s="769"/>
      <c r="CSS110" s="769"/>
      <c r="CST110" s="769"/>
      <c r="CSU110" s="769"/>
      <c r="CSV110" s="769"/>
      <c r="CSW110" s="769"/>
      <c r="CSX110" s="769"/>
      <c r="CSY110" s="769"/>
      <c r="CSZ110" s="769"/>
      <c r="CTA110" s="769"/>
      <c r="CTB110" s="769"/>
      <c r="CTC110" s="769"/>
      <c r="CTD110" s="769"/>
      <c r="CTE110" s="769"/>
      <c r="CTF110" s="769"/>
      <c r="CTG110" s="769"/>
      <c r="CTH110" s="769"/>
      <c r="CTI110" s="769"/>
      <c r="CTJ110" s="769"/>
      <c r="CTK110" s="769"/>
      <c r="CTL110" s="769"/>
      <c r="CTM110" s="769"/>
      <c r="CTN110" s="769"/>
      <c r="CTO110" s="769"/>
      <c r="CTP110" s="769"/>
      <c r="CTQ110" s="769"/>
      <c r="CTR110" s="769"/>
      <c r="CTS110" s="769"/>
      <c r="CTT110" s="769"/>
      <c r="CTU110" s="769"/>
      <c r="CTV110" s="769"/>
      <c r="CTW110" s="769"/>
      <c r="CTX110" s="769"/>
      <c r="CTY110" s="769"/>
      <c r="CTZ110" s="769"/>
      <c r="CUA110" s="769"/>
      <c r="CUB110" s="769"/>
      <c r="CUC110" s="769"/>
      <c r="CUD110" s="769"/>
      <c r="CUE110" s="769"/>
      <c r="CUF110" s="769"/>
      <c r="CUG110" s="769"/>
      <c r="CUH110" s="769"/>
      <c r="CUI110" s="769"/>
      <c r="CUJ110" s="769"/>
      <c r="CUK110" s="769"/>
      <c r="CUL110" s="769"/>
      <c r="CUM110" s="769"/>
      <c r="CUN110" s="769"/>
      <c r="CUO110" s="769"/>
      <c r="CUP110" s="769"/>
      <c r="CUQ110" s="769"/>
      <c r="CUR110" s="769"/>
      <c r="CUS110" s="769"/>
      <c r="CUT110" s="769"/>
      <c r="CUU110" s="769"/>
      <c r="CUV110" s="769"/>
      <c r="CUW110" s="769"/>
      <c r="CUX110" s="769"/>
      <c r="CUY110" s="769"/>
      <c r="CUZ110" s="769"/>
      <c r="CVA110" s="769"/>
      <c r="CVB110" s="769"/>
      <c r="CVC110" s="769"/>
      <c r="CVD110" s="769"/>
      <c r="CVE110" s="769"/>
      <c r="CVF110" s="769"/>
      <c r="CVG110" s="769"/>
      <c r="CVH110" s="769"/>
      <c r="CVI110" s="769"/>
      <c r="CVJ110" s="769"/>
      <c r="CVK110" s="769"/>
      <c r="CVL110" s="769"/>
      <c r="CVM110" s="769"/>
      <c r="CVN110" s="769"/>
      <c r="CVO110" s="769"/>
      <c r="CVP110" s="769"/>
      <c r="CVQ110" s="769"/>
      <c r="CVR110" s="769"/>
      <c r="CVS110" s="769"/>
      <c r="CVT110" s="769"/>
      <c r="CVU110" s="769"/>
      <c r="CVV110" s="769"/>
      <c r="CVW110" s="769"/>
      <c r="CVX110" s="769"/>
      <c r="CVY110" s="769"/>
      <c r="CVZ110" s="769"/>
      <c r="CWA110" s="769"/>
      <c r="CWB110" s="769"/>
      <c r="CWC110" s="769"/>
      <c r="CWD110" s="769"/>
      <c r="CWE110" s="769"/>
      <c r="CWF110" s="769"/>
      <c r="CWG110" s="769"/>
      <c r="CWH110" s="769"/>
      <c r="CWI110" s="769"/>
      <c r="CWJ110" s="769"/>
      <c r="CWK110" s="769"/>
      <c r="CWL110" s="769"/>
      <c r="CWM110" s="769"/>
      <c r="CWN110" s="769"/>
      <c r="CWO110" s="769"/>
      <c r="CWP110" s="769"/>
      <c r="CWQ110" s="769"/>
      <c r="CWR110" s="769"/>
      <c r="CWS110" s="769"/>
      <c r="CWT110" s="769"/>
      <c r="CWU110" s="769"/>
      <c r="CWV110" s="769"/>
      <c r="CWW110" s="769"/>
      <c r="CWX110" s="769"/>
      <c r="CWY110" s="769"/>
      <c r="CWZ110" s="769"/>
      <c r="CXA110" s="769"/>
      <c r="CXB110" s="769"/>
      <c r="CXC110" s="769"/>
      <c r="CXD110" s="769"/>
      <c r="CXE110" s="769"/>
      <c r="CXF110" s="769"/>
      <c r="CXG110" s="769"/>
      <c r="CXH110" s="769"/>
      <c r="CXI110" s="769"/>
      <c r="CXJ110" s="769"/>
      <c r="CXK110" s="769"/>
      <c r="CXL110" s="769"/>
      <c r="CXM110" s="769"/>
      <c r="CXN110" s="769"/>
      <c r="CXO110" s="769"/>
      <c r="CXP110" s="769"/>
      <c r="CXQ110" s="769"/>
      <c r="CXR110" s="769"/>
      <c r="CXS110" s="769"/>
      <c r="CXT110" s="769"/>
      <c r="CXU110" s="769"/>
      <c r="CXV110" s="769"/>
      <c r="CXW110" s="769"/>
      <c r="CXX110" s="769"/>
      <c r="CXY110" s="769"/>
      <c r="CXZ110" s="769"/>
      <c r="CYA110" s="769"/>
      <c r="CYB110" s="769"/>
      <c r="CYC110" s="769"/>
      <c r="CYD110" s="769"/>
      <c r="CYE110" s="769"/>
      <c r="CYF110" s="769"/>
      <c r="CYG110" s="769"/>
      <c r="CYH110" s="769"/>
      <c r="CYI110" s="769"/>
      <c r="CYJ110" s="769"/>
      <c r="CYK110" s="769"/>
      <c r="CYL110" s="769"/>
      <c r="CYM110" s="769"/>
      <c r="CYN110" s="769"/>
      <c r="CYO110" s="769"/>
      <c r="CYP110" s="769"/>
      <c r="CYQ110" s="769"/>
      <c r="CYR110" s="769"/>
      <c r="CYS110" s="769"/>
      <c r="CYT110" s="769"/>
      <c r="CYU110" s="769"/>
      <c r="CYV110" s="769"/>
      <c r="CYW110" s="769"/>
      <c r="CYX110" s="769"/>
      <c r="CYY110" s="769"/>
      <c r="CYZ110" s="769"/>
      <c r="CZA110" s="769"/>
      <c r="CZB110" s="769"/>
      <c r="CZC110" s="769"/>
      <c r="CZD110" s="769"/>
      <c r="CZE110" s="769"/>
      <c r="CZF110" s="769"/>
      <c r="CZG110" s="769"/>
      <c r="CZH110" s="769"/>
      <c r="CZI110" s="769"/>
      <c r="CZJ110" s="769"/>
      <c r="CZK110" s="769"/>
      <c r="CZL110" s="769"/>
      <c r="CZM110" s="769"/>
      <c r="CZN110" s="769"/>
      <c r="CZO110" s="769"/>
      <c r="CZP110" s="769"/>
      <c r="CZQ110" s="769"/>
      <c r="CZR110" s="769"/>
      <c r="CZS110" s="769"/>
      <c r="CZT110" s="769"/>
      <c r="CZU110" s="769"/>
      <c r="CZV110" s="769"/>
      <c r="CZW110" s="769"/>
      <c r="CZX110" s="769"/>
      <c r="CZY110" s="769"/>
      <c r="CZZ110" s="769"/>
      <c r="DAA110" s="769"/>
      <c r="DAB110" s="769"/>
      <c r="DAC110" s="769"/>
      <c r="DAD110" s="769"/>
      <c r="DAE110" s="769"/>
      <c r="DAF110" s="769"/>
      <c r="DAG110" s="769"/>
      <c r="DAH110" s="769"/>
      <c r="DAI110" s="769"/>
      <c r="DAJ110" s="769"/>
      <c r="DAK110" s="769"/>
      <c r="DAL110" s="769"/>
      <c r="DAM110" s="769"/>
      <c r="DAN110" s="769"/>
      <c r="DAO110" s="769"/>
      <c r="DAP110" s="769"/>
      <c r="DAQ110" s="769"/>
      <c r="DAR110" s="769"/>
      <c r="DAS110" s="769"/>
      <c r="DAT110" s="769"/>
      <c r="DAU110" s="769"/>
      <c r="DAV110" s="769"/>
      <c r="DAW110" s="769"/>
      <c r="DAX110" s="769"/>
      <c r="DAY110" s="769"/>
      <c r="DAZ110" s="769"/>
      <c r="DBA110" s="769"/>
      <c r="DBB110" s="769"/>
      <c r="DBC110" s="769"/>
      <c r="DBD110" s="769"/>
      <c r="DBE110" s="769"/>
      <c r="DBF110" s="769"/>
      <c r="DBG110" s="769"/>
      <c r="DBH110" s="769"/>
      <c r="DBI110" s="769"/>
      <c r="DBJ110" s="769"/>
      <c r="DBK110" s="769"/>
      <c r="DBL110" s="769"/>
      <c r="DBM110" s="769"/>
      <c r="DBN110" s="769"/>
      <c r="DBO110" s="769"/>
      <c r="DBP110" s="769"/>
      <c r="DBQ110" s="769"/>
      <c r="DBR110" s="769"/>
      <c r="DBS110" s="769"/>
      <c r="DBT110" s="769"/>
      <c r="DBU110" s="769"/>
      <c r="DBV110" s="769"/>
      <c r="DBW110" s="769"/>
      <c r="DBX110" s="769"/>
      <c r="DBY110" s="769"/>
      <c r="DBZ110" s="769"/>
      <c r="DCA110" s="769"/>
      <c r="DCB110" s="769"/>
      <c r="DCC110" s="769"/>
      <c r="DCD110" s="769"/>
      <c r="DCE110" s="769"/>
      <c r="DCF110" s="769"/>
      <c r="DCG110" s="769"/>
      <c r="DCH110" s="769"/>
      <c r="DCI110" s="769"/>
      <c r="DCJ110" s="769"/>
      <c r="DCK110" s="769"/>
      <c r="DCL110" s="769"/>
      <c r="DCM110" s="769"/>
      <c r="DCN110" s="769"/>
      <c r="DCO110" s="769"/>
      <c r="DCP110" s="769"/>
      <c r="DCQ110" s="769"/>
      <c r="DCR110" s="769"/>
      <c r="DCS110" s="769"/>
      <c r="DCT110" s="769"/>
      <c r="DCU110" s="769"/>
      <c r="DCV110" s="769"/>
      <c r="DCW110" s="769"/>
      <c r="DCX110" s="769"/>
      <c r="DCY110" s="769"/>
      <c r="DCZ110" s="769"/>
      <c r="DDA110" s="769"/>
      <c r="DDB110" s="769"/>
      <c r="DDC110" s="769"/>
      <c r="DDD110" s="769"/>
      <c r="DDE110" s="769"/>
      <c r="DDF110" s="769"/>
      <c r="DDG110" s="769"/>
      <c r="DDH110" s="769"/>
      <c r="DDI110" s="769"/>
      <c r="DDJ110" s="769"/>
      <c r="DDK110" s="769"/>
      <c r="DDL110" s="769"/>
      <c r="DDM110" s="769"/>
      <c r="DDN110" s="769"/>
      <c r="DDO110" s="769"/>
      <c r="DDP110" s="769"/>
      <c r="DDQ110" s="769"/>
      <c r="DDR110" s="769"/>
      <c r="DDS110" s="769"/>
      <c r="DDT110" s="769"/>
      <c r="DDU110" s="769"/>
      <c r="DDV110" s="769"/>
      <c r="DDW110" s="769"/>
      <c r="DDX110" s="769"/>
      <c r="DDY110" s="769"/>
      <c r="DDZ110" s="769"/>
      <c r="DEA110" s="769"/>
      <c r="DEB110" s="769"/>
      <c r="DEC110" s="769"/>
      <c r="DED110" s="769"/>
      <c r="DEE110" s="769"/>
      <c r="DEF110" s="769"/>
      <c r="DEG110" s="769"/>
      <c r="DEH110" s="769"/>
      <c r="DEI110" s="769"/>
      <c r="DEJ110" s="769"/>
      <c r="DEK110" s="769"/>
      <c r="DEL110" s="769"/>
      <c r="DEM110" s="769"/>
      <c r="DEN110" s="769"/>
      <c r="DEO110" s="769"/>
      <c r="DEP110" s="769"/>
      <c r="DEQ110" s="769"/>
      <c r="DER110" s="769"/>
      <c r="DES110" s="769"/>
      <c r="DET110" s="769"/>
      <c r="DEU110" s="769"/>
      <c r="DEV110" s="769"/>
      <c r="DEW110" s="769"/>
      <c r="DEX110" s="769"/>
      <c r="DEY110" s="769"/>
      <c r="DEZ110" s="769"/>
      <c r="DFA110" s="769"/>
      <c r="DFB110" s="769"/>
      <c r="DFC110" s="769"/>
      <c r="DFD110" s="769"/>
      <c r="DFE110" s="769"/>
      <c r="DFF110" s="769"/>
      <c r="DFG110" s="769"/>
      <c r="DFH110" s="769"/>
      <c r="DFI110" s="769"/>
      <c r="DFJ110" s="769"/>
      <c r="DFK110" s="769"/>
      <c r="DFL110" s="769"/>
      <c r="DFM110" s="769"/>
      <c r="DFN110" s="769"/>
      <c r="DFO110" s="769"/>
      <c r="DFP110" s="769"/>
      <c r="DFQ110" s="769"/>
      <c r="DFR110" s="769"/>
      <c r="DFS110" s="769"/>
      <c r="DFT110" s="769"/>
      <c r="DFU110" s="769"/>
      <c r="DFV110" s="769"/>
      <c r="DFW110" s="769"/>
      <c r="DFX110" s="769"/>
      <c r="DFY110" s="769"/>
      <c r="DFZ110" s="769"/>
      <c r="DGA110" s="769"/>
      <c r="DGB110" s="769"/>
      <c r="DGC110" s="769"/>
      <c r="DGD110" s="769"/>
      <c r="DGE110" s="769"/>
      <c r="DGF110" s="769"/>
      <c r="DGG110" s="769"/>
      <c r="DGH110" s="769"/>
      <c r="DGI110" s="769"/>
      <c r="DGJ110" s="769"/>
      <c r="DGK110" s="769"/>
      <c r="DGL110" s="769"/>
      <c r="DGM110" s="769"/>
      <c r="DGN110" s="769"/>
      <c r="DGO110" s="769"/>
      <c r="DGP110" s="769"/>
      <c r="DGQ110" s="769"/>
      <c r="DGR110" s="769"/>
      <c r="DGS110" s="769"/>
      <c r="DGT110" s="769"/>
      <c r="DGU110" s="769"/>
      <c r="DGV110" s="769"/>
      <c r="DGW110" s="769"/>
      <c r="DGX110" s="769"/>
      <c r="DGY110" s="769"/>
      <c r="DGZ110" s="769"/>
      <c r="DHA110" s="769"/>
      <c r="DHB110" s="769"/>
      <c r="DHC110" s="769"/>
      <c r="DHD110" s="769"/>
      <c r="DHE110" s="769"/>
      <c r="DHF110" s="769"/>
      <c r="DHG110" s="769"/>
      <c r="DHH110" s="769"/>
      <c r="DHI110" s="769"/>
      <c r="DHJ110" s="769"/>
      <c r="DHK110" s="769"/>
      <c r="DHL110" s="769"/>
      <c r="DHM110" s="769"/>
      <c r="DHN110" s="769"/>
      <c r="DHO110" s="769"/>
      <c r="DHP110" s="769"/>
      <c r="DHQ110" s="769"/>
      <c r="DHR110" s="769"/>
      <c r="DHS110" s="769"/>
      <c r="DHT110" s="769"/>
      <c r="DHU110" s="769"/>
      <c r="DHV110" s="769"/>
      <c r="DHW110" s="769"/>
      <c r="DHX110" s="769"/>
      <c r="DHY110" s="769"/>
      <c r="DHZ110" s="769"/>
      <c r="DIA110" s="769"/>
      <c r="DIB110" s="769"/>
      <c r="DIC110" s="769"/>
      <c r="DID110" s="769"/>
      <c r="DIE110" s="769"/>
      <c r="DIF110" s="769"/>
      <c r="DIG110" s="769"/>
      <c r="DIH110" s="769"/>
      <c r="DII110" s="769"/>
      <c r="DIJ110" s="769"/>
      <c r="DIK110" s="769"/>
      <c r="DIL110" s="769"/>
      <c r="DIM110" s="769"/>
      <c r="DIN110" s="769"/>
      <c r="DIO110" s="769"/>
      <c r="DIP110" s="769"/>
      <c r="DIQ110" s="769"/>
      <c r="DIR110" s="769"/>
      <c r="DIS110" s="769"/>
      <c r="DIT110" s="769"/>
      <c r="DIU110" s="769"/>
      <c r="DIV110" s="769"/>
      <c r="DIW110" s="769"/>
      <c r="DIX110" s="769"/>
      <c r="DIY110" s="769"/>
      <c r="DIZ110" s="769"/>
      <c r="DJA110" s="769"/>
      <c r="DJB110" s="769"/>
      <c r="DJC110" s="769"/>
      <c r="DJD110" s="769"/>
      <c r="DJE110" s="769"/>
      <c r="DJF110" s="769"/>
      <c r="DJG110" s="769"/>
      <c r="DJH110" s="769"/>
      <c r="DJI110" s="769"/>
      <c r="DJJ110" s="769"/>
      <c r="DJK110" s="769"/>
      <c r="DJL110" s="769"/>
      <c r="DJM110" s="769"/>
      <c r="DJN110" s="769"/>
      <c r="DJO110" s="769"/>
      <c r="DJP110" s="769"/>
      <c r="DJQ110" s="769"/>
      <c r="DJR110" s="769"/>
      <c r="DJS110" s="769"/>
      <c r="DJT110" s="769"/>
      <c r="DJU110" s="769"/>
      <c r="DJV110" s="769"/>
      <c r="DJW110" s="769"/>
      <c r="DJX110" s="769"/>
      <c r="DJY110" s="769"/>
      <c r="DJZ110" s="769"/>
      <c r="DKA110" s="769"/>
      <c r="DKB110" s="769"/>
      <c r="DKC110" s="769"/>
      <c r="DKD110" s="769"/>
      <c r="DKE110" s="769"/>
      <c r="DKF110" s="769"/>
      <c r="DKG110" s="769"/>
      <c r="DKH110" s="769"/>
      <c r="DKI110" s="769"/>
      <c r="DKJ110" s="769"/>
      <c r="DKK110" s="769"/>
      <c r="DKL110" s="769"/>
      <c r="DKM110" s="769"/>
      <c r="DKN110" s="769"/>
      <c r="DKO110" s="769"/>
      <c r="DKP110" s="769"/>
      <c r="DKQ110" s="769"/>
      <c r="DKR110" s="769"/>
      <c r="DKS110" s="769"/>
      <c r="DKT110" s="769"/>
      <c r="DKU110" s="769"/>
      <c r="DKV110" s="769"/>
      <c r="DKW110" s="769"/>
      <c r="DKX110" s="769"/>
      <c r="DKY110" s="769"/>
      <c r="DKZ110" s="769"/>
      <c r="DLA110" s="769"/>
      <c r="DLB110" s="769"/>
      <c r="DLC110" s="769"/>
      <c r="DLD110" s="769"/>
      <c r="DLE110" s="769"/>
      <c r="DLF110" s="769"/>
      <c r="DLG110" s="769"/>
      <c r="DLH110" s="769"/>
      <c r="DLI110" s="769"/>
      <c r="DLJ110" s="769"/>
      <c r="DLK110" s="769"/>
      <c r="DLL110" s="769"/>
      <c r="DLM110" s="769"/>
      <c r="DLN110" s="769"/>
      <c r="DLO110" s="769"/>
      <c r="DLP110" s="769"/>
      <c r="DLQ110" s="769"/>
      <c r="DLR110" s="769"/>
      <c r="DLS110" s="769"/>
      <c r="DLT110" s="769"/>
      <c r="DLU110" s="769"/>
      <c r="DLV110" s="769"/>
      <c r="DLW110" s="769"/>
      <c r="DLX110" s="769"/>
      <c r="DLY110" s="769"/>
      <c r="DLZ110" s="769"/>
      <c r="DMA110" s="769"/>
      <c r="DMB110" s="769"/>
      <c r="DMC110" s="769"/>
      <c r="DMD110" s="769"/>
      <c r="DME110" s="769"/>
      <c r="DMF110" s="769"/>
      <c r="DMG110" s="769"/>
      <c r="DMH110" s="769"/>
      <c r="DMI110" s="769"/>
      <c r="DMJ110" s="769"/>
      <c r="DMK110" s="769"/>
      <c r="DML110" s="769"/>
      <c r="DMM110" s="769"/>
      <c r="DMN110" s="769"/>
      <c r="DMO110" s="769"/>
      <c r="DMP110" s="769"/>
      <c r="DMQ110" s="769"/>
      <c r="DMR110" s="769"/>
      <c r="DMS110" s="769"/>
      <c r="DMT110" s="769"/>
      <c r="DMU110" s="769"/>
      <c r="DMV110" s="769"/>
      <c r="DMW110" s="769"/>
      <c r="DMX110" s="769"/>
      <c r="DMY110" s="769"/>
      <c r="DMZ110" s="769"/>
      <c r="DNA110" s="769"/>
      <c r="DNB110" s="769"/>
      <c r="DNC110" s="769"/>
      <c r="DND110" s="769"/>
      <c r="DNE110" s="769"/>
      <c r="DNF110" s="769"/>
      <c r="DNG110" s="769"/>
      <c r="DNH110" s="769"/>
      <c r="DNI110" s="769"/>
      <c r="DNJ110" s="769"/>
      <c r="DNK110" s="769"/>
      <c r="DNL110" s="769"/>
      <c r="DNM110" s="769"/>
      <c r="DNN110" s="769"/>
      <c r="DNO110" s="769"/>
      <c r="DNP110" s="769"/>
      <c r="DNQ110" s="769"/>
      <c r="DNR110" s="769"/>
      <c r="DNS110" s="769"/>
      <c r="DNT110" s="769"/>
      <c r="DNU110" s="769"/>
      <c r="DNV110" s="769"/>
      <c r="DNW110" s="769"/>
      <c r="DNX110" s="769"/>
      <c r="DNY110" s="769"/>
      <c r="DNZ110" s="769"/>
      <c r="DOA110" s="769"/>
      <c r="DOB110" s="769"/>
      <c r="DOC110" s="769"/>
      <c r="DOD110" s="769"/>
      <c r="DOE110" s="769"/>
      <c r="DOF110" s="769"/>
      <c r="DOG110" s="769"/>
      <c r="DOH110" s="769"/>
      <c r="DOI110" s="769"/>
      <c r="DOJ110" s="769"/>
      <c r="DOK110" s="769"/>
      <c r="DOL110" s="769"/>
      <c r="DOM110" s="769"/>
      <c r="DON110" s="769"/>
      <c r="DOO110" s="769"/>
      <c r="DOP110" s="769"/>
      <c r="DOQ110" s="769"/>
      <c r="DOR110" s="769"/>
      <c r="DOS110" s="769"/>
      <c r="DOT110" s="769"/>
      <c r="DOU110" s="769"/>
      <c r="DOV110" s="769"/>
      <c r="DOW110" s="769"/>
      <c r="DOX110" s="769"/>
      <c r="DOY110" s="769"/>
      <c r="DOZ110" s="769"/>
      <c r="DPA110" s="769"/>
      <c r="DPB110" s="769"/>
      <c r="DPC110" s="769"/>
      <c r="DPD110" s="769"/>
      <c r="DPE110" s="769"/>
      <c r="DPF110" s="769"/>
      <c r="DPG110" s="769"/>
      <c r="DPH110" s="769"/>
      <c r="DPI110" s="769"/>
      <c r="DPJ110" s="769"/>
      <c r="DPK110" s="769"/>
      <c r="DPL110" s="769"/>
      <c r="DPM110" s="769"/>
      <c r="DPN110" s="769"/>
      <c r="DPO110" s="769"/>
      <c r="DPP110" s="769"/>
      <c r="DPQ110" s="769"/>
      <c r="DPR110" s="769"/>
      <c r="DPS110" s="769"/>
      <c r="DPT110" s="769"/>
      <c r="DPU110" s="769"/>
      <c r="DPV110" s="769"/>
      <c r="DPW110" s="769"/>
      <c r="DPX110" s="769"/>
      <c r="DPY110" s="769"/>
      <c r="DPZ110" s="769"/>
      <c r="DQA110" s="769"/>
      <c r="DQB110" s="769"/>
      <c r="DQC110" s="769"/>
      <c r="DQD110" s="769"/>
      <c r="DQE110" s="769"/>
      <c r="DQF110" s="769"/>
      <c r="DQG110" s="769"/>
      <c r="DQH110" s="769"/>
      <c r="DQI110" s="769"/>
      <c r="DQJ110" s="769"/>
      <c r="DQK110" s="769"/>
      <c r="DQL110" s="769"/>
      <c r="DQM110" s="769"/>
      <c r="DQN110" s="769"/>
      <c r="DQO110" s="769"/>
      <c r="DQP110" s="769"/>
      <c r="DQQ110" s="769"/>
      <c r="DQR110" s="769"/>
      <c r="DQS110" s="769"/>
      <c r="DQT110" s="769"/>
      <c r="DQU110" s="769"/>
      <c r="DQV110" s="769"/>
      <c r="DQW110" s="769"/>
      <c r="DQX110" s="769"/>
      <c r="DQY110" s="769"/>
      <c r="DQZ110" s="769"/>
      <c r="DRA110" s="769"/>
      <c r="DRB110" s="769"/>
      <c r="DRC110" s="769"/>
      <c r="DRD110" s="769"/>
      <c r="DRE110" s="769"/>
      <c r="DRF110" s="769"/>
      <c r="DRG110" s="769"/>
      <c r="DRH110" s="769"/>
      <c r="DRI110" s="769"/>
      <c r="DRJ110" s="769"/>
      <c r="DRK110" s="769"/>
      <c r="DRL110" s="769"/>
      <c r="DRM110" s="769"/>
      <c r="DRN110" s="769"/>
      <c r="DRO110" s="769"/>
      <c r="DRP110" s="769"/>
      <c r="DRQ110" s="769"/>
      <c r="DRR110" s="769"/>
      <c r="DRS110" s="769"/>
      <c r="DRT110" s="769"/>
      <c r="DRU110" s="769"/>
      <c r="DRV110" s="769"/>
      <c r="DRW110" s="769"/>
      <c r="DRX110" s="769"/>
      <c r="DRY110" s="769"/>
      <c r="DRZ110" s="769"/>
      <c r="DSA110" s="769"/>
      <c r="DSB110" s="769"/>
      <c r="DSC110" s="769"/>
      <c r="DSD110" s="769"/>
      <c r="DSE110" s="769"/>
      <c r="DSF110" s="769"/>
      <c r="DSG110" s="769"/>
      <c r="DSH110" s="769"/>
      <c r="DSI110" s="769"/>
      <c r="DSJ110" s="769"/>
      <c r="DSK110" s="769"/>
      <c r="DSL110" s="769"/>
      <c r="DSM110" s="769"/>
      <c r="DSN110" s="769"/>
      <c r="DSO110" s="769"/>
      <c r="DSP110" s="769"/>
      <c r="DSQ110" s="769"/>
      <c r="DSR110" s="769"/>
      <c r="DSS110" s="769"/>
      <c r="DST110" s="769"/>
      <c r="DSU110" s="769"/>
      <c r="DSV110" s="769"/>
      <c r="DSW110" s="769"/>
      <c r="DSX110" s="769"/>
      <c r="DSY110" s="769"/>
      <c r="DSZ110" s="769"/>
      <c r="DTA110" s="769"/>
      <c r="DTB110" s="769"/>
      <c r="DTC110" s="769"/>
      <c r="DTD110" s="769"/>
      <c r="DTE110" s="769"/>
      <c r="DTF110" s="769"/>
      <c r="DTG110" s="769"/>
      <c r="DTH110" s="769"/>
      <c r="DTI110" s="769"/>
      <c r="DTJ110" s="769"/>
      <c r="DTK110" s="769"/>
      <c r="DTL110" s="769"/>
      <c r="DTM110" s="769"/>
      <c r="DTN110" s="769"/>
      <c r="DTO110" s="769"/>
      <c r="DTP110" s="769"/>
      <c r="DTQ110" s="769"/>
      <c r="DTR110" s="769"/>
      <c r="DTS110" s="769"/>
      <c r="DTT110" s="769"/>
      <c r="DTU110" s="769"/>
      <c r="DTV110" s="769"/>
      <c r="DTW110" s="769"/>
      <c r="DTX110" s="769"/>
      <c r="DTY110" s="769"/>
      <c r="DTZ110" s="769"/>
      <c r="DUA110" s="769"/>
      <c r="DUB110" s="769"/>
      <c r="DUC110" s="769"/>
      <c r="DUD110" s="769"/>
      <c r="DUE110" s="769"/>
      <c r="DUF110" s="769"/>
      <c r="DUG110" s="769"/>
      <c r="DUH110" s="769"/>
      <c r="DUI110" s="769"/>
      <c r="DUJ110" s="769"/>
      <c r="DUK110" s="769"/>
      <c r="DUL110" s="769"/>
      <c r="DUM110" s="769"/>
      <c r="DUN110" s="769"/>
      <c r="DUO110" s="769"/>
      <c r="DUP110" s="769"/>
      <c r="DUQ110" s="769"/>
      <c r="DUR110" s="769"/>
      <c r="DUS110" s="769"/>
      <c r="DUT110" s="769"/>
      <c r="DUU110" s="769"/>
      <c r="DUV110" s="769"/>
      <c r="DUW110" s="769"/>
      <c r="DUX110" s="769"/>
      <c r="DUY110" s="769"/>
      <c r="DUZ110" s="769"/>
      <c r="DVA110" s="769"/>
      <c r="DVB110" s="769"/>
      <c r="DVC110" s="769"/>
      <c r="DVD110" s="769"/>
      <c r="DVE110" s="769"/>
      <c r="DVF110" s="769"/>
      <c r="DVG110" s="769"/>
      <c r="DVH110" s="769"/>
      <c r="DVI110" s="769"/>
      <c r="DVJ110" s="769"/>
      <c r="DVK110" s="769"/>
      <c r="DVL110" s="769"/>
      <c r="DVM110" s="769"/>
      <c r="DVN110" s="769"/>
      <c r="DVO110" s="769"/>
      <c r="DVP110" s="769"/>
      <c r="DVQ110" s="769"/>
      <c r="DVR110" s="769"/>
      <c r="DVS110" s="769"/>
      <c r="DVT110" s="769"/>
      <c r="DVU110" s="769"/>
      <c r="DVV110" s="769"/>
      <c r="DVW110" s="769"/>
      <c r="DVX110" s="769"/>
      <c r="DVY110" s="769"/>
      <c r="DVZ110" s="769"/>
      <c r="DWA110" s="769"/>
      <c r="DWB110" s="769"/>
      <c r="DWC110" s="769"/>
      <c r="DWD110" s="769"/>
      <c r="DWE110" s="769"/>
      <c r="DWF110" s="769"/>
      <c r="DWG110" s="769"/>
      <c r="DWH110" s="769"/>
      <c r="DWI110" s="769"/>
      <c r="DWJ110" s="769"/>
      <c r="DWK110" s="769"/>
      <c r="DWL110" s="769"/>
      <c r="DWM110" s="769"/>
      <c r="DWN110" s="769"/>
      <c r="DWO110" s="769"/>
      <c r="DWP110" s="769"/>
      <c r="DWQ110" s="769"/>
      <c r="DWR110" s="769"/>
      <c r="DWS110" s="769"/>
      <c r="DWT110" s="769"/>
      <c r="DWU110" s="769"/>
      <c r="DWV110" s="769"/>
      <c r="DWW110" s="769"/>
      <c r="DWX110" s="769"/>
      <c r="DWY110" s="769"/>
      <c r="DWZ110" s="769"/>
      <c r="DXA110" s="769"/>
      <c r="DXB110" s="769"/>
      <c r="DXC110" s="769"/>
      <c r="DXD110" s="769"/>
      <c r="DXE110" s="769"/>
      <c r="DXF110" s="769"/>
      <c r="DXG110" s="769"/>
      <c r="DXH110" s="769"/>
      <c r="DXI110" s="769"/>
      <c r="DXJ110" s="769"/>
      <c r="DXK110" s="769"/>
      <c r="DXL110" s="769"/>
      <c r="DXM110" s="769"/>
      <c r="DXN110" s="769"/>
      <c r="DXO110" s="769"/>
      <c r="DXP110" s="769"/>
      <c r="DXQ110" s="769"/>
      <c r="DXR110" s="769"/>
      <c r="DXS110" s="769"/>
      <c r="DXT110" s="769"/>
      <c r="DXU110" s="769"/>
      <c r="DXV110" s="769"/>
      <c r="DXW110" s="769"/>
      <c r="DXX110" s="769"/>
      <c r="DXY110" s="769"/>
      <c r="DXZ110" s="769"/>
      <c r="DYA110" s="769"/>
      <c r="DYB110" s="769"/>
      <c r="DYC110" s="769"/>
      <c r="DYD110" s="769"/>
      <c r="DYE110" s="769"/>
      <c r="DYF110" s="769"/>
      <c r="DYG110" s="769"/>
      <c r="DYH110" s="769"/>
      <c r="DYI110" s="769"/>
      <c r="DYJ110" s="769"/>
      <c r="DYK110" s="769"/>
      <c r="DYL110" s="769"/>
      <c r="DYM110" s="769"/>
      <c r="DYN110" s="769"/>
      <c r="DYO110" s="769"/>
      <c r="DYP110" s="769"/>
      <c r="DYQ110" s="769"/>
      <c r="DYR110" s="769"/>
      <c r="DYS110" s="769"/>
      <c r="DYT110" s="769"/>
      <c r="DYU110" s="769"/>
      <c r="DYV110" s="769"/>
      <c r="DYW110" s="769"/>
      <c r="DYX110" s="769"/>
      <c r="DYY110" s="769"/>
      <c r="DYZ110" s="769"/>
      <c r="DZA110" s="769"/>
      <c r="DZB110" s="769"/>
      <c r="DZC110" s="769"/>
      <c r="DZD110" s="769"/>
      <c r="DZE110" s="769"/>
      <c r="DZF110" s="769"/>
      <c r="DZG110" s="769"/>
      <c r="DZH110" s="769"/>
      <c r="DZI110" s="769"/>
      <c r="DZJ110" s="769"/>
      <c r="DZK110" s="769"/>
      <c r="DZL110" s="769"/>
      <c r="DZM110" s="769"/>
      <c r="DZN110" s="769"/>
      <c r="DZO110" s="769"/>
      <c r="DZP110" s="769"/>
      <c r="DZQ110" s="769"/>
      <c r="DZR110" s="769"/>
      <c r="DZS110" s="769"/>
      <c r="DZT110" s="769"/>
      <c r="DZU110" s="769"/>
      <c r="DZV110" s="769"/>
      <c r="DZW110" s="769"/>
      <c r="DZX110" s="769"/>
      <c r="DZY110" s="769"/>
      <c r="DZZ110" s="769"/>
      <c r="EAA110" s="769"/>
      <c r="EAB110" s="769"/>
      <c r="EAC110" s="769"/>
      <c r="EAD110" s="769"/>
      <c r="EAE110" s="769"/>
      <c r="EAF110" s="769"/>
      <c r="EAG110" s="769"/>
      <c r="EAH110" s="769"/>
      <c r="EAI110" s="769"/>
      <c r="EAJ110" s="769"/>
      <c r="EAK110" s="769"/>
      <c r="EAL110" s="769"/>
      <c r="EAM110" s="769"/>
      <c r="EAN110" s="769"/>
      <c r="EAO110" s="769"/>
      <c r="EAP110" s="769"/>
      <c r="EAQ110" s="769"/>
      <c r="EAR110" s="769"/>
      <c r="EAS110" s="769"/>
      <c r="EAT110" s="769"/>
      <c r="EAU110" s="769"/>
      <c r="EAV110" s="769"/>
      <c r="EAW110" s="769"/>
      <c r="EAX110" s="769"/>
      <c r="EAY110" s="769"/>
      <c r="EAZ110" s="769"/>
      <c r="EBA110" s="769"/>
      <c r="EBB110" s="769"/>
      <c r="EBC110" s="769"/>
      <c r="EBD110" s="769"/>
      <c r="EBE110" s="769"/>
      <c r="EBF110" s="769"/>
      <c r="EBG110" s="769"/>
      <c r="EBH110" s="769"/>
      <c r="EBI110" s="769"/>
      <c r="EBJ110" s="769"/>
      <c r="EBK110" s="769"/>
      <c r="EBL110" s="769"/>
      <c r="EBM110" s="769"/>
      <c r="EBN110" s="769"/>
      <c r="EBO110" s="769"/>
      <c r="EBP110" s="769"/>
      <c r="EBQ110" s="769"/>
      <c r="EBR110" s="769"/>
      <c r="EBS110" s="769"/>
      <c r="EBT110" s="769"/>
      <c r="EBU110" s="769"/>
      <c r="EBV110" s="769"/>
      <c r="EBW110" s="769"/>
      <c r="EBX110" s="769"/>
      <c r="EBY110" s="769"/>
      <c r="EBZ110" s="769"/>
      <c r="ECA110" s="769"/>
      <c r="ECB110" s="769"/>
      <c r="ECC110" s="769"/>
      <c r="ECD110" s="769"/>
      <c r="ECE110" s="769"/>
      <c r="ECF110" s="769"/>
      <c r="ECG110" s="769"/>
      <c r="ECH110" s="769"/>
      <c r="ECI110" s="769"/>
      <c r="ECJ110" s="769"/>
      <c r="ECK110" s="769"/>
      <c r="ECL110" s="769"/>
      <c r="ECM110" s="769"/>
      <c r="ECN110" s="769"/>
      <c r="ECO110" s="769"/>
      <c r="ECP110" s="769"/>
      <c r="ECQ110" s="769"/>
      <c r="ECR110" s="769"/>
      <c r="ECS110" s="769"/>
      <c r="ECT110" s="769"/>
      <c r="ECU110" s="769"/>
      <c r="ECV110" s="769"/>
      <c r="ECW110" s="769"/>
      <c r="ECX110" s="769"/>
      <c r="ECY110" s="769"/>
      <c r="ECZ110" s="769"/>
      <c r="EDA110" s="769"/>
      <c r="EDB110" s="769"/>
      <c r="EDC110" s="769"/>
      <c r="EDD110" s="769"/>
      <c r="EDE110" s="769"/>
      <c r="EDF110" s="769"/>
      <c r="EDG110" s="769"/>
      <c r="EDH110" s="769"/>
      <c r="EDI110" s="769"/>
      <c r="EDJ110" s="769"/>
      <c r="EDK110" s="769"/>
      <c r="EDL110" s="769"/>
      <c r="EDM110" s="769"/>
      <c r="EDN110" s="769"/>
      <c r="EDO110" s="769"/>
      <c r="EDP110" s="769"/>
      <c r="EDQ110" s="769"/>
      <c r="EDR110" s="769"/>
      <c r="EDS110" s="769"/>
      <c r="EDT110" s="769"/>
      <c r="EDU110" s="769"/>
      <c r="EDV110" s="769"/>
      <c r="EDW110" s="769"/>
      <c r="EDX110" s="769"/>
      <c r="EDY110" s="769"/>
      <c r="EDZ110" s="769"/>
      <c r="EEA110" s="769"/>
      <c r="EEB110" s="769"/>
      <c r="EEC110" s="769"/>
      <c r="EED110" s="769"/>
      <c r="EEE110" s="769"/>
      <c r="EEF110" s="769"/>
      <c r="EEG110" s="769"/>
      <c r="EEH110" s="769"/>
      <c r="EEI110" s="769"/>
      <c r="EEJ110" s="769"/>
      <c r="EEK110" s="769"/>
      <c r="EEL110" s="769"/>
      <c r="EEM110" s="769"/>
      <c r="EEN110" s="769"/>
      <c r="EEO110" s="769"/>
      <c r="EEP110" s="769"/>
      <c r="EEQ110" s="769"/>
      <c r="EER110" s="769"/>
      <c r="EES110" s="769"/>
      <c r="EET110" s="769"/>
      <c r="EEU110" s="769"/>
      <c r="EEV110" s="769"/>
      <c r="EEW110" s="769"/>
      <c r="EEX110" s="769"/>
      <c r="EEY110" s="769"/>
      <c r="EEZ110" s="769"/>
      <c r="EFA110" s="769"/>
      <c r="EFB110" s="769"/>
      <c r="EFC110" s="769"/>
      <c r="EFD110" s="769"/>
      <c r="EFE110" s="769"/>
      <c r="EFF110" s="769"/>
      <c r="EFG110" s="769"/>
      <c r="EFH110" s="769"/>
      <c r="EFI110" s="769"/>
      <c r="EFJ110" s="769"/>
      <c r="EFK110" s="769"/>
      <c r="EFL110" s="769"/>
      <c r="EFM110" s="769"/>
      <c r="EFN110" s="769"/>
      <c r="EFO110" s="769"/>
      <c r="EFP110" s="769"/>
      <c r="EFQ110" s="769"/>
      <c r="EFR110" s="769"/>
      <c r="EFS110" s="769"/>
      <c r="EFT110" s="769"/>
      <c r="EFU110" s="769"/>
      <c r="EFV110" s="769"/>
      <c r="EFW110" s="769"/>
      <c r="EFX110" s="769"/>
      <c r="EFY110" s="769"/>
      <c r="EFZ110" s="769"/>
      <c r="EGA110" s="769"/>
      <c r="EGB110" s="769"/>
      <c r="EGC110" s="769"/>
      <c r="EGD110" s="769"/>
      <c r="EGE110" s="769"/>
      <c r="EGF110" s="769"/>
      <c r="EGG110" s="769"/>
      <c r="EGH110" s="769"/>
      <c r="EGI110" s="769"/>
      <c r="EGJ110" s="769"/>
      <c r="EGK110" s="769"/>
      <c r="EGL110" s="769"/>
      <c r="EGM110" s="769"/>
      <c r="EGN110" s="769"/>
      <c r="EGO110" s="769"/>
      <c r="EGP110" s="769"/>
      <c r="EGQ110" s="769"/>
      <c r="EGR110" s="769"/>
      <c r="EGS110" s="769"/>
      <c r="EGT110" s="769"/>
      <c r="EGU110" s="769"/>
      <c r="EGV110" s="769"/>
      <c r="EGW110" s="769"/>
      <c r="EGX110" s="769"/>
      <c r="EGY110" s="769"/>
      <c r="EGZ110" s="769"/>
      <c r="EHA110" s="769"/>
      <c r="EHB110" s="769"/>
      <c r="EHC110" s="769"/>
      <c r="EHD110" s="769"/>
      <c r="EHE110" s="769"/>
      <c r="EHF110" s="769"/>
      <c r="EHG110" s="769"/>
      <c r="EHH110" s="769"/>
      <c r="EHI110" s="769"/>
      <c r="EHJ110" s="769"/>
      <c r="EHK110" s="769"/>
      <c r="EHL110" s="769"/>
      <c r="EHM110" s="769"/>
      <c r="EHN110" s="769"/>
      <c r="EHO110" s="769"/>
      <c r="EHP110" s="769"/>
      <c r="EHQ110" s="769"/>
      <c r="EHR110" s="769"/>
      <c r="EHS110" s="769"/>
      <c r="EHT110" s="769"/>
      <c r="EHU110" s="769"/>
      <c r="EHV110" s="769"/>
      <c r="EHW110" s="769"/>
      <c r="EHX110" s="769"/>
      <c r="EHY110" s="769"/>
      <c r="EHZ110" s="769"/>
      <c r="EIA110" s="769"/>
      <c r="EIB110" s="769"/>
      <c r="EIC110" s="769"/>
      <c r="EID110" s="769"/>
      <c r="EIE110" s="769"/>
      <c r="EIF110" s="769"/>
      <c r="EIG110" s="769"/>
      <c r="EIH110" s="769"/>
      <c r="EII110" s="769"/>
      <c r="EIJ110" s="769"/>
      <c r="EIK110" s="769"/>
      <c r="EIL110" s="769"/>
      <c r="EIM110" s="769"/>
      <c r="EIN110" s="769"/>
      <c r="EIO110" s="769"/>
      <c r="EIP110" s="769"/>
      <c r="EIQ110" s="769"/>
      <c r="EIR110" s="769"/>
      <c r="EIS110" s="769"/>
      <c r="EIT110" s="769"/>
      <c r="EIU110" s="769"/>
      <c r="EIV110" s="769"/>
      <c r="EIW110" s="769"/>
      <c r="EIX110" s="769"/>
      <c r="EIY110" s="769"/>
      <c r="EIZ110" s="769"/>
      <c r="EJA110" s="769"/>
      <c r="EJB110" s="769"/>
      <c r="EJC110" s="769"/>
      <c r="EJD110" s="769"/>
      <c r="EJE110" s="769"/>
      <c r="EJF110" s="769"/>
      <c r="EJG110" s="769"/>
      <c r="EJH110" s="769"/>
      <c r="EJI110" s="769"/>
      <c r="EJJ110" s="769"/>
      <c r="EJK110" s="769"/>
      <c r="EJL110" s="769"/>
      <c r="EJM110" s="769"/>
      <c r="EJN110" s="769"/>
      <c r="EJO110" s="769"/>
      <c r="EJP110" s="769"/>
      <c r="EJQ110" s="769"/>
      <c r="EJR110" s="769"/>
      <c r="EJS110" s="769"/>
      <c r="EJT110" s="769"/>
      <c r="EJU110" s="769"/>
      <c r="EJV110" s="769"/>
      <c r="EJW110" s="769"/>
      <c r="EJX110" s="769"/>
      <c r="EJY110" s="769"/>
      <c r="EJZ110" s="769"/>
      <c r="EKA110" s="769"/>
      <c r="EKB110" s="769"/>
      <c r="EKC110" s="769"/>
      <c r="EKD110" s="769"/>
      <c r="EKE110" s="769"/>
      <c r="EKF110" s="769"/>
      <c r="EKG110" s="769"/>
      <c r="EKH110" s="769"/>
      <c r="EKI110" s="769"/>
      <c r="EKJ110" s="769"/>
      <c r="EKK110" s="769"/>
      <c r="EKL110" s="769"/>
      <c r="EKM110" s="769"/>
      <c r="EKN110" s="769"/>
      <c r="EKO110" s="769"/>
      <c r="EKP110" s="769"/>
      <c r="EKQ110" s="769"/>
      <c r="EKR110" s="769"/>
      <c r="EKS110" s="769"/>
      <c r="EKT110" s="769"/>
      <c r="EKU110" s="769"/>
      <c r="EKV110" s="769"/>
      <c r="EKW110" s="769"/>
      <c r="EKX110" s="769"/>
      <c r="EKY110" s="769"/>
      <c r="EKZ110" s="769"/>
      <c r="ELA110" s="769"/>
      <c r="ELB110" s="769"/>
      <c r="ELC110" s="769"/>
      <c r="ELD110" s="769"/>
      <c r="ELE110" s="769"/>
      <c r="ELF110" s="769"/>
      <c r="ELG110" s="769"/>
      <c r="ELH110" s="769"/>
      <c r="ELI110" s="769"/>
      <c r="ELJ110" s="769"/>
      <c r="ELK110" s="769"/>
      <c r="ELL110" s="769"/>
      <c r="ELM110" s="769"/>
      <c r="ELN110" s="769"/>
      <c r="ELO110" s="769"/>
      <c r="ELP110" s="769"/>
      <c r="ELQ110" s="769"/>
      <c r="ELR110" s="769"/>
      <c r="ELS110" s="769"/>
      <c r="ELT110" s="769"/>
      <c r="ELU110" s="769"/>
      <c r="ELV110" s="769"/>
      <c r="ELW110" s="769"/>
      <c r="ELX110" s="769"/>
      <c r="ELY110" s="769"/>
      <c r="ELZ110" s="769"/>
      <c r="EMA110" s="769"/>
      <c r="EMB110" s="769"/>
      <c r="EMC110" s="769"/>
      <c r="EMD110" s="769"/>
      <c r="EME110" s="769"/>
      <c r="EMF110" s="769"/>
      <c r="EMG110" s="769"/>
      <c r="EMH110" s="769"/>
      <c r="EMI110" s="769"/>
      <c r="EMJ110" s="769"/>
      <c r="EMK110" s="769"/>
      <c r="EML110" s="769"/>
      <c r="EMM110" s="769"/>
      <c r="EMN110" s="769"/>
      <c r="EMO110" s="769"/>
      <c r="EMP110" s="769"/>
      <c r="EMQ110" s="769"/>
      <c r="EMR110" s="769"/>
      <c r="EMS110" s="769"/>
      <c r="EMT110" s="769"/>
      <c r="EMU110" s="769"/>
      <c r="EMV110" s="769"/>
      <c r="EMW110" s="769"/>
      <c r="EMX110" s="769"/>
      <c r="EMY110" s="769"/>
      <c r="EMZ110" s="769"/>
      <c r="ENA110" s="769"/>
      <c r="ENB110" s="769"/>
      <c r="ENC110" s="769"/>
      <c r="END110" s="769"/>
      <c r="ENE110" s="769"/>
      <c r="ENF110" s="769"/>
      <c r="ENG110" s="769"/>
      <c r="ENH110" s="769"/>
      <c r="ENI110" s="769"/>
      <c r="ENJ110" s="769"/>
      <c r="ENK110" s="769"/>
      <c r="ENL110" s="769"/>
      <c r="ENM110" s="769"/>
      <c r="ENN110" s="769"/>
      <c r="ENO110" s="769"/>
      <c r="ENP110" s="769"/>
      <c r="ENQ110" s="769"/>
      <c r="ENR110" s="769"/>
      <c r="ENS110" s="769"/>
      <c r="ENT110" s="769"/>
      <c r="ENU110" s="769"/>
      <c r="ENV110" s="769"/>
      <c r="ENW110" s="769"/>
      <c r="ENX110" s="769"/>
      <c r="ENY110" s="769"/>
      <c r="ENZ110" s="769"/>
      <c r="EOA110" s="769"/>
      <c r="EOB110" s="769"/>
      <c r="EOC110" s="769"/>
      <c r="EOD110" s="769"/>
      <c r="EOE110" s="769"/>
      <c r="EOF110" s="769"/>
      <c r="EOG110" s="769"/>
      <c r="EOH110" s="769"/>
      <c r="EOI110" s="769"/>
      <c r="EOJ110" s="769"/>
      <c r="EOK110" s="769"/>
      <c r="EOL110" s="769"/>
      <c r="EOM110" s="769"/>
      <c r="EON110" s="769"/>
      <c r="EOO110" s="769"/>
      <c r="EOP110" s="769"/>
      <c r="EOQ110" s="769"/>
      <c r="EOR110" s="769"/>
      <c r="EOS110" s="769"/>
      <c r="EOT110" s="769"/>
      <c r="EOU110" s="769"/>
      <c r="EOV110" s="769"/>
      <c r="EOW110" s="769"/>
      <c r="EOX110" s="769"/>
      <c r="EOY110" s="769"/>
      <c r="EOZ110" s="769"/>
      <c r="EPA110" s="769"/>
      <c r="EPB110" s="769"/>
      <c r="EPC110" s="769"/>
      <c r="EPD110" s="769"/>
      <c r="EPE110" s="769"/>
      <c r="EPF110" s="769"/>
      <c r="EPG110" s="769"/>
      <c r="EPH110" s="769"/>
      <c r="EPI110" s="769"/>
      <c r="EPJ110" s="769"/>
      <c r="EPK110" s="769"/>
      <c r="EPL110" s="769"/>
      <c r="EPM110" s="769"/>
      <c r="EPN110" s="769"/>
      <c r="EPO110" s="769"/>
      <c r="EPP110" s="769"/>
      <c r="EPQ110" s="769"/>
      <c r="EPR110" s="769"/>
      <c r="EPS110" s="769"/>
      <c r="EPT110" s="769"/>
      <c r="EPU110" s="769"/>
      <c r="EPV110" s="769"/>
      <c r="EPW110" s="769"/>
      <c r="EPX110" s="769"/>
      <c r="EPY110" s="769"/>
      <c r="EPZ110" s="769"/>
      <c r="EQA110" s="769"/>
      <c r="EQB110" s="769"/>
      <c r="EQC110" s="769"/>
      <c r="EQD110" s="769"/>
      <c r="EQE110" s="769"/>
      <c r="EQF110" s="769"/>
      <c r="EQG110" s="769"/>
      <c r="EQH110" s="769"/>
      <c r="EQI110" s="769"/>
      <c r="EQJ110" s="769"/>
      <c r="EQK110" s="769"/>
      <c r="EQL110" s="769"/>
      <c r="EQM110" s="769"/>
      <c r="EQN110" s="769"/>
      <c r="EQO110" s="769"/>
      <c r="EQP110" s="769"/>
      <c r="EQQ110" s="769"/>
      <c r="EQR110" s="769"/>
      <c r="EQS110" s="769"/>
      <c r="EQT110" s="769"/>
      <c r="EQU110" s="769"/>
      <c r="EQV110" s="769"/>
      <c r="EQW110" s="769"/>
      <c r="EQX110" s="769"/>
      <c r="EQY110" s="769"/>
      <c r="EQZ110" s="769"/>
      <c r="ERA110" s="769"/>
      <c r="ERB110" s="769"/>
      <c r="ERC110" s="769"/>
      <c r="ERD110" s="769"/>
      <c r="ERE110" s="769"/>
      <c r="ERF110" s="769"/>
      <c r="ERG110" s="769"/>
      <c r="ERH110" s="769"/>
      <c r="ERI110" s="769"/>
      <c r="ERJ110" s="769"/>
      <c r="ERK110" s="769"/>
      <c r="ERL110" s="769"/>
      <c r="ERM110" s="769"/>
      <c r="ERN110" s="769"/>
      <c r="ERO110" s="769"/>
      <c r="ERP110" s="769"/>
      <c r="ERQ110" s="769"/>
      <c r="ERR110" s="769"/>
      <c r="ERS110" s="769"/>
      <c r="ERT110" s="769"/>
      <c r="ERU110" s="769"/>
      <c r="ERV110" s="769"/>
      <c r="ERW110" s="769"/>
      <c r="ERX110" s="769"/>
      <c r="ERY110" s="769"/>
      <c r="ERZ110" s="769"/>
      <c r="ESA110" s="769"/>
      <c r="ESB110" s="769"/>
      <c r="ESC110" s="769"/>
      <c r="ESD110" s="769"/>
      <c r="ESE110" s="769"/>
      <c r="ESF110" s="769"/>
      <c r="ESG110" s="769"/>
      <c r="ESH110" s="769"/>
      <c r="ESI110" s="769"/>
      <c r="ESJ110" s="769"/>
      <c r="ESK110" s="769"/>
      <c r="ESL110" s="769"/>
      <c r="ESM110" s="769"/>
      <c r="ESN110" s="769"/>
      <c r="ESO110" s="769"/>
      <c r="ESP110" s="769"/>
      <c r="ESQ110" s="769"/>
      <c r="ESR110" s="769"/>
      <c r="ESS110" s="769"/>
      <c r="EST110" s="769"/>
      <c r="ESU110" s="769"/>
      <c r="ESV110" s="769"/>
      <c r="ESW110" s="769"/>
      <c r="ESX110" s="769"/>
      <c r="ESY110" s="769"/>
      <c r="ESZ110" s="769"/>
      <c r="ETA110" s="769"/>
      <c r="ETB110" s="769"/>
      <c r="ETC110" s="769"/>
      <c r="ETD110" s="769"/>
      <c r="ETE110" s="769"/>
      <c r="ETF110" s="769"/>
      <c r="ETG110" s="769"/>
      <c r="ETH110" s="769"/>
      <c r="ETI110" s="769"/>
      <c r="ETJ110" s="769"/>
      <c r="ETK110" s="769"/>
      <c r="ETL110" s="769"/>
      <c r="ETM110" s="769"/>
      <c r="ETN110" s="769"/>
      <c r="ETO110" s="769"/>
      <c r="ETP110" s="769"/>
      <c r="ETQ110" s="769"/>
      <c r="ETR110" s="769"/>
      <c r="ETS110" s="769"/>
      <c r="ETT110" s="769"/>
      <c r="ETU110" s="769"/>
      <c r="ETV110" s="769"/>
      <c r="ETW110" s="769"/>
      <c r="ETX110" s="769"/>
      <c r="ETY110" s="769"/>
      <c r="ETZ110" s="769"/>
      <c r="EUA110" s="769"/>
      <c r="EUB110" s="769"/>
      <c r="EUC110" s="769"/>
      <c r="EUD110" s="769"/>
      <c r="EUE110" s="769"/>
      <c r="EUF110" s="769"/>
      <c r="EUG110" s="769"/>
      <c r="EUH110" s="769"/>
      <c r="EUI110" s="769"/>
      <c r="EUJ110" s="769"/>
      <c r="EUK110" s="769"/>
      <c r="EUL110" s="769"/>
      <c r="EUM110" s="769"/>
      <c r="EUN110" s="769"/>
      <c r="EUO110" s="769"/>
      <c r="EUP110" s="769"/>
      <c r="EUQ110" s="769"/>
      <c r="EUR110" s="769"/>
      <c r="EUS110" s="769"/>
      <c r="EUT110" s="769"/>
      <c r="EUU110" s="769"/>
      <c r="EUV110" s="769"/>
      <c r="EUW110" s="769"/>
      <c r="EUX110" s="769"/>
      <c r="EUY110" s="769"/>
      <c r="EUZ110" s="769"/>
      <c r="EVA110" s="769"/>
      <c r="EVB110" s="769"/>
      <c r="EVC110" s="769"/>
      <c r="EVD110" s="769"/>
      <c r="EVE110" s="769"/>
      <c r="EVF110" s="769"/>
      <c r="EVG110" s="769"/>
      <c r="EVH110" s="769"/>
      <c r="EVI110" s="769"/>
      <c r="EVJ110" s="769"/>
      <c r="EVK110" s="769"/>
      <c r="EVL110" s="769"/>
      <c r="EVM110" s="769"/>
      <c r="EVN110" s="769"/>
      <c r="EVO110" s="769"/>
      <c r="EVP110" s="769"/>
      <c r="EVQ110" s="769"/>
      <c r="EVR110" s="769"/>
      <c r="EVS110" s="769"/>
      <c r="EVT110" s="769"/>
      <c r="EVU110" s="769"/>
      <c r="EVV110" s="769"/>
      <c r="EVW110" s="769"/>
      <c r="EVX110" s="769"/>
      <c r="EVY110" s="769"/>
      <c r="EVZ110" s="769"/>
      <c r="EWA110" s="769"/>
      <c r="EWB110" s="769"/>
      <c r="EWC110" s="769"/>
      <c r="EWD110" s="769"/>
      <c r="EWE110" s="769"/>
      <c r="EWF110" s="769"/>
      <c r="EWG110" s="769"/>
      <c r="EWH110" s="769"/>
      <c r="EWI110" s="769"/>
      <c r="EWJ110" s="769"/>
      <c r="EWK110" s="769"/>
      <c r="EWL110" s="769"/>
      <c r="EWM110" s="769"/>
      <c r="EWN110" s="769"/>
      <c r="EWO110" s="769"/>
      <c r="EWP110" s="769"/>
      <c r="EWQ110" s="769"/>
      <c r="EWR110" s="769"/>
      <c r="EWS110" s="769"/>
      <c r="EWT110" s="769"/>
      <c r="EWU110" s="769"/>
      <c r="EWV110" s="769"/>
      <c r="EWW110" s="769"/>
      <c r="EWX110" s="769"/>
      <c r="EWY110" s="769"/>
      <c r="EWZ110" s="769"/>
      <c r="EXA110" s="769"/>
      <c r="EXB110" s="769"/>
      <c r="EXC110" s="769"/>
      <c r="EXD110" s="769"/>
      <c r="EXE110" s="769"/>
      <c r="EXF110" s="769"/>
      <c r="EXG110" s="769"/>
      <c r="EXH110" s="769"/>
      <c r="EXI110" s="769"/>
      <c r="EXJ110" s="769"/>
      <c r="EXK110" s="769"/>
      <c r="EXL110" s="769"/>
      <c r="EXM110" s="769"/>
      <c r="EXN110" s="769"/>
      <c r="EXO110" s="769"/>
      <c r="EXP110" s="769"/>
      <c r="EXQ110" s="769"/>
      <c r="EXR110" s="769"/>
      <c r="EXS110" s="769"/>
      <c r="EXT110" s="769"/>
      <c r="EXU110" s="769"/>
      <c r="EXV110" s="769"/>
      <c r="EXW110" s="769"/>
      <c r="EXX110" s="769"/>
      <c r="EXY110" s="769"/>
      <c r="EXZ110" s="769"/>
      <c r="EYA110" s="769"/>
      <c r="EYB110" s="769"/>
      <c r="EYC110" s="769"/>
      <c r="EYD110" s="769"/>
      <c r="EYE110" s="769"/>
      <c r="EYF110" s="769"/>
      <c r="EYG110" s="769"/>
      <c r="EYH110" s="769"/>
      <c r="EYI110" s="769"/>
      <c r="EYJ110" s="769"/>
      <c r="EYK110" s="769"/>
      <c r="EYL110" s="769"/>
      <c r="EYM110" s="769"/>
      <c r="EYN110" s="769"/>
      <c r="EYO110" s="769"/>
      <c r="EYP110" s="769"/>
      <c r="EYQ110" s="769"/>
      <c r="EYR110" s="769"/>
      <c r="EYS110" s="769"/>
      <c r="EYT110" s="769"/>
      <c r="EYU110" s="769"/>
      <c r="EYV110" s="769"/>
      <c r="EYW110" s="769"/>
      <c r="EYX110" s="769"/>
      <c r="EYY110" s="769"/>
      <c r="EYZ110" s="769"/>
      <c r="EZA110" s="769"/>
      <c r="EZB110" s="769"/>
      <c r="EZC110" s="769"/>
      <c r="EZD110" s="769"/>
      <c r="EZE110" s="769"/>
      <c r="EZF110" s="769"/>
      <c r="EZG110" s="769"/>
      <c r="EZH110" s="769"/>
      <c r="EZI110" s="769"/>
      <c r="EZJ110" s="769"/>
      <c r="EZK110" s="769"/>
      <c r="EZL110" s="769"/>
      <c r="EZM110" s="769"/>
      <c r="EZN110" s="769"/>
      <c r="EZO110" s="769"/>
      <c r="EZP110" s="769"/>
      <c r="EZQ110" s="769"/>
      <c r="EZR110" s="769"/>
      <c r="EZS110" s="769"/>
      <c r="EZT110" s="769"/>
      <c r="EZU110" s="769"/>
      <c r="EZV110" s="769"/>
      <c r="EZW110" s="769"/>
      <c r="EZX110" s="769"/>
      <c r="EZY110" s="769"/>
      <c r="EZZ110" s="769"/>
      <c r="FAA110" s="769"/>
      <c r="FAB110" s="769"/>
      <c r="FAC110" s="769"/>
      <c r="FAD110" s="769"/>
      <c r="FAE110" s="769"/>
      <c r="FAF110" s="769"/>
      <c r="FAG110" s="769"/>
      <c r="FAH110" s="769"/>
      <c r="FAI110" s="769"/>
      <c r="FAJ110" s="769"/>
      <c r="FAK110" s="769"/>
      <c r="FAL110" s="769"/>
      <c r="FAM110" s="769"/>
      <c r="FAN110" s="769"/>
      <c r="FAO110" s="769"/>
      <c r="FAP110" s="769"/>
      <c r="FAQ110" s="769"/>
      <c r="FAR110" s="769"/>
      <c r="FAS110" s="769"/>
      <c r="FAT110" s="769"/>
      <c r="FAU110" s="769"/>
      <c r="FAV110" s="769"/>
      <c r="FAW110" s="769"/>
      <c r="FAX110" s="769"/>
      <c r="FAY110" s="769"/>
      <c r="FAZ110" s="769"/>
      <c r="FBA110" s="769"/>
      <c r="FBB110" s="769"/>
      <c r="FBC110" s="769"/>
      <c r="FBD110" s="769"/>
      <c r="FBE110" s="769"/>
      <c r="FBF110" s="769"/>
      <c r="FBG110" s="769"/>
      <c r="FBH110" s="769"/>
      <c r="FBI110" s="769"/>
      <c r="FBJ110" s="769"/>
      <c r="FBK110" s="769"/>
      <c r="FBL110" s="769"/>
      <c r="FBM110" s="769"/>
      <c r="FBN110" s="769"/>
      <c r="FBO110" s="769"/>
      <c r="FBP110" s="769"/>
      <c r="FBQ110" s="769"/>
      <c r="FBR110" s="769"/>
      <c r="FBS110" s="769"/>
      <c r="FBT110" s="769"/>
      <c r="FBU110" s="769"/>
      <c r="FBV110" s="769"/>
      <c r="FBW110" s="769"/>
      <c r="FBX110" s="769"/>
      <c r="FBY110" s="769"/>
      <c r="FBZ110" s="769"/>
      <c r="FCA110" s="769"/>
      <c r="FCB110" s="769"/>
      <c r="FCC110" s="769"/>
      <c r="FCD110" s="769"/>
      <c r="FCE110" s="769"/>
      <c r="FCF110" s="769"/>
      <c r="FCG110" s="769"/>
      <c r="FCH110" s="769"/>
      <c r="FCI110" s="769"/>
      <c r="FCJ110" s="769"/>
      <c r="FCK110" s="769"/>
      <c r="FCL110" s="769"/>
      <c r="FCM110" s="769"/>
      <c r="FCN110" s="769"/>
      <c r="FCO110" s="769"/>
      <c r="FCP110" s="769"/>
      <c r="FCQ110" s="769"/>
      <c r="FCR110" s="769"/>
      <c r="FCS110" s="769"/>
      <c r="FCT110" s="769"/>
      <c r="FCU110" s="769"/>
      <c r="FCV110" s="769"/>
      <c r="FCW110" s="769"/>
      <c r="FCX110" s="769"/>
      <c r="FCY110" s="769"/>
      <c r="FCZ110" s="769"/>
      <c r="FDA110" s="769"/>
      <c r="FDB110" s="769"/>
      <c r="FDC110" s="769"/>
      <c r="FDD110" s="769"/>
      <c r="FDE110" s="769"/>
      <c r="FDF110" s="769"/>
      <c r="FDG110" s="769"/>
      <c r="FDH110" s="769"/>
      <c r="FDI110" s="769"/>
      <c r="FDJ110" s="769"/>
      <c r="FDK110" s="769"/>
      <c r="FDL110" s="769"/>
      <c r="FDM110" s="769"/>
      <c r="FDN110" s="769"/>
      <c r="FDO110" s="769"/>
      <c r="FDP110" s="769"/>
      <c r="FDQ110" s="769"/>
      <c r="FDR110" s="769"/>
      <c r="FDS110" s="769"/>
      <c r="FDT110" s="769"/>
      <c r="FDU110" s="769"/>
      <c r="FDV110" s="769"/>
      <c r="FDW110" s="769"/>
      <c r="FDX110" s="769"/>
      <c r="FDY110" s="769"/>
      <c r="FDZ110" s="769"/>
      <c r="FEA110" s="769"/>
      <c r="FEB110" s="769"/>
      <c r="FEC110" s="769"/>
      <c r="FED110" s="769"/>
      <c r="FEE110" s="769"/>
      <c r="FEF110" s="769"/>
      <c r="FEG110" s="769"/>
      <c r="FEH110" s="769"/>
      <c r="FEI110" s="769"/>
      <c r="FEJ110" s="769"/>
      <c r="FEK110" s="769"/>
      <c r="FEL110" s="769"/>
      <c r="FEM110" s="769"/>
      <c r="FEN110" s="769"/>
      <c r="FEO110" s="769"/>
      <c r="FEP110" s="769"/>
      <c r="FEQ110" s="769"/>
      <c r="FER110" s="769"/>
      <c r="FES110" s="769"/>
      <c r="FET110" s="769"/>
      <c r="FEU110" s="769"/>
      <c r="FEV110" s="769"/>
      <c r="FEW110" s="769"/>
      <c r="FEX110" s="769"/>
      <c r="FEY110" s="769"/>
      <c r="FEZ110" s="769"/>
      <c r="FFA110" s="769"/>
      <c r="FFB110" s="769"/>
      <c r="FFC110" s="769"/>
      <c r="FFD110" s="769"/>
      <c r="FFE110" s="769"/>
      <c r="FFF110" s="769"/>
      <c r="FFG110" s="769"/>
      <c r="FFH110" s="769"/>
      <c r="FFI110" s="769"/>
      <c r="FFJ110" s="769"/>
      <c r="FFK110" s="769"/>
      <c r="FFL110" s="769"/>
      <c r="FFM110" s="769"/>
      <c r="FFN110" s="769"/>
      <c r="FFO110" s="769"/>
      <c r="FFP110" s="769"/>
      <c r="FFQ110" s="769"/>
      <c r="FFR110" s="769"/>
      <c r="FFS110" s="769"/>
      <c r="FFT110" s="769"/>
      <c r="FFU110" s="769"/>
      <c r="FFV110" s="769"/>
      <c r="FFW110" s="769"/>
      <c r="FFX110" s="769"/>
      <c r="FFY110" s="769"/>
      <c r="FFZ110" s="769"/>
      <c r="FGA110" s="769"/>
      <c r="FGB110" s="769"/>
      <c r="FGC110" s="769"/>
      <c r="FGD110" s="769"/>
      <c r="FGE110" s="769"/>
      <c r="FGF110" s="769"/>
      <c r="FGG110" s="769"/>
      <c r="FGH110" s="769"/>
      <c r="FGI110" s="769"/>
      <c r="FGJ110" s="769"/>
      <c r="FGK110" s="769"/>
      <c r="FGL110" s="769"/>
      <c r="FGM110" s="769"/>
      <c r="FGN110" s="769"/>
      <c r="FGO110" s="769"/>
      <c r="FGP110" s="769"/>
      <c r="FGQ110" s="769"/>
      <c r="FGR110" s="769"/>
      <c r="FGS110" s="769"/>
      <c r="FGT110" s="769"/>
      <c r="FGU110" s="769"/>
      <c r="FGV110" s="769"/>
      <c r="FGW110" s="769"/>
      <c r="FGX110" s="769"/>
      <c r="FGY110" s="769"/>
      <c r="FGZ110" s="769"/>
      <c r="FHA110" s="769"/>
      <c r="FHB110" s="769"/>
      <c r="FHC110" s="769"/>
      <c r="FHD110" s="769"/>
      <c r="FHE110" s="769"/>
      <c r="FHF110" s="769"/>
      <c r="FHG110" s="769"/>
      <c r="FHH110" s="769"/>
      <c r="FHI110" s="769"/>
      <c r="FHJ110" s="769"/>
      <c r="FHK110" s="769"/>
      <c r="FHL110" s="769"/>
      <c r="FHM110" s="769"/>
      <c r="FHN110" s="769"/>
      <c r="FHO110" s="769"/>
      <c r="FHP110" s="769"/>
      <c r="FHQ110" s="769"/>
      <c r="FHR110" s="769"/>
      <c r="FHS110" s="769"/>
      <c r="FHT110" s="769"/>
      <c r="FHU110" s="769"/>
      <c r="FHV110" s="769"/>
      <c r="FHW110" s="769"/>
      <c r="FHX110" s="769"/>
      <c r="FHY110" s="769"/>
      <c r="FHZ110" s="769"/>
      <c r="FIA110" s="769"/>
      <c r="FIB110" s="769"/>
      <c r="FIC110" s="769"/>
      <c r="FID110" s="769"/>
      <c r="FIE110" s="769"/>
      <c r="FIF110" s="769"/>
      <c r="FIG110" s="769"/>
      <c r="FIH110" s="769"/>
      <c r="FII110" s="769"/>
      <c r="FIJ110" s="769"/>
      <c r="FIK110" s="769"/>
      <c r="FIL110" s="769"/>
      <c r="FIM110" s="769"/>
      <c r="FIN110" s="769"/>
      <c r="FIO110" s="769"/>
      <c r="FIP110" s="769"/>
      <c r="FIQ110" s="769"/>
      <c r="FIR110" s="769"/>
      <c r="FIS110" s="769"/>
      <c r="FIT110" s="769"/>
      <c r="FIU110" s="769"/>
      <c r="FIV110" s="769"/>
      <c r="FIW110" s="769"/>
      <c r="FIX110" s="769"/>
      <c r="FIY110" s="769"/>
      <c r="FIZ110" s="769"/>
      <c r="FJA110" s="769"/>
      <c r="FJB110" s="769"/>
      <c r="FJC110" s="769"/>
      <c r="FJD110" s="769"/>
      <c r="FJE110" s="769"/>
      <c r="FJF110" s="769"/>
      <c r="FJG110" s="769"/>
      <c r="FJH110" s="769"/>
      <c r="FJI110" s="769"/>
      <c r="FJJ110" s="769"/>
      <c r="FJK110" s="769"/>
      <c r="FJL110" s="769"/>
      <c r="FJM110" s="769"/>
      <c r="FJN110" s="769"/>
      <c r="FJO110" s="769"/>
      <c r="FJP110" s="769"/>
      <c r="FJQ110" s="769"/>
      <c r="FJR110" s="769"/>
      <c r="FJS110" s="769"/>
      <c r="FJT110" s="769"/>
      <c r="FJU110" s="769"/>
      <c r="FJV110" s="769"/>
      <c r="FJW110" s="769"/>
      <c r="FJX110" s="769"/>
      <c r="FJY110" s="769"/>
      <c r="FJZ110" s="769"/>
      <c r="FKA110" s="769"/>
      <c r="FKB110" s="769"/>
      <c r="FKC110" s="769"/>
      <c r="FKD110" s="769"/>
      <c r="FKE110" s="769"/>
      <c r="FKF110" s="769"/>
      <c r="FKG110" s="769"/>
      <c r="FKH110" s="769"/>
      <c r="FKI110" s="769"/>
      <c r="FKJ110" s="769"/>
      <c r="FKK110" s="769"/>
      <c r="FKL110" s="769"/>
      <c r="FKM110" s="769"/>
      <c r="FKN110" s="769"/>
      <c r="FKO110" s="769"/>
      <c r="FKP110" s="769"/>
      <c r="FKQ110" s="769"/>
      <c r="FKR110" s="769"/>
      <c r="FKS110" s="769"/>
      <c r="FKT110" s="769"/>
      <c r="FKU110" s="769"/>
      <c r="FKV110" s="769"/>
      <c r="FKW110" s="769"/>
      <c r="FKX110" s="769"/>
      <c r="FKY110" s="769"/>
      <c r="FKZ110" s="769"/>
      <c r="FLA110" s="769"/>
      <c r="FLB110" s="769"/>
      <c r="FLC110" s="769"/>
      <c r="FLD110" s="769"/>
      <c r="FLE110" s="769"/>
      <c r="FLF110" s="769"/>
      <c r="FLG110" s="769"/>
      <c r="FLH110" s="769"/>
      <c r="FLI110" s="769"/>
      <c r="FLJ110" s="769"/>
      <c r="FLK110" s="769"/>
      <c r="FLL110" s="769"/>
      <c r="FLM110" s="769"/>
      <c r="FLN110" s="769"/>
      <c r="FLO110" s="769"/>
      <c r="FLP110" s="769"/>
      <c r="FLQ110" s="769"/>
      <c r="FLR110" s="769"/>
      <c r="FLS110" s="769"/>
      <c r="FLT110" s="769"/>
      <c r="FLU110" s="769"/>
      <c r="FLV110" s="769"/>
      <c r="FLW110" s="769"/>
      <c r="FLX110" s="769"/>
      <c r="FLY110" s="769"/>
      <c r="FLZ110" s="769"/>
      <c r="FMA110" s="769"/>
      <c r="FMB110" s="769"/>
      <c r="FMC110" s="769"/>
      <c r="FMD110" s="769"/>
      <c r="FME110" s="769"/>
      <c r="FMF110" s="769"/>
      <c r="FMG110" s="769"/>
      <c r="FMH110" s="769"/>
      <c r="FMI110" s="769"/>
      <c r="FMJ110" s="769"/>
      <c r="FMK110" s="769"/>
      <c r="FML110" s="769"/>
      <c r="FMM110" s="769"/>
      <c r="FMN110" s="769"/>
      <c r="FMO110" s="769"/>
      <c r="FMP110" s="769"/>
      <c r="FMQ110" s="769"/>
      <c r="FMR110" s="769"/>
      <c r="FMS110" s="769"/>
      <c r="FMT110" s="769"/>
      <c r="FMU110" s="769"/>
      <c r="FMV110" s="769"/>
      <c r="FMW110" s="769"/>
      <c r="FMX110" s="769"/>
      <c r="FMY110" s="769"/>
      <c r="FMZ110" s="769"/>
      <c r="FNA110" s="769"/>
      <c r="FNB110" s="769"/>
      <c r="FNC110" s="769"/>
      <c r="FND110" s="769"/>
      <c r="FNE110" s="769"/>
      <c r="FNF110" s="769"/>
      <c r="FNG110" s="769"/>
      <c r="FNH110" s="769"/>
      <c r="FNI110" s="769"/>
      <c r="FNJ110" s="769"/>
      <c r="FNK110" s="769"/>
      <c r="FNL110" s="769"/>
      <c r="FNM110" s="769"/>
      <c r="FNN110" s="769"/>
      <c r="FNO110" s="769"/>
      <c r="FNP110" s="769"/>
      <c r="FNQ110" s="769"/>
      <c r="FNR110" s="769"/>
      <c r="FNS110" s="769"/>
      <c r="FNT110" s="769"/>
      <c r="FNU110" s="769"/>
      <c r="FNV110" s="769"/>
      <c r="FNW110" s="769"/>
      <c r="FNX110" s="769"/>
      <c r="FNY110" s="769"/>
      <c r="FNZ110" s="769"/>
      <c r="FOA110" s="769"/>
      <c r="FOB110" s="769"/>
      <c r="FOC110" s="769"/>
      <c r="FOD110" s="769"/>
      <c r="FOE110" s="769"/>
      <c r="FOF110" s="769"/>
      <c r="FOG110" s="769"/>
      <c r="FOH110" s="769"/>
      <c r="FOI110" s="769"/>
      <c r="FOJ110" s="769"/>
      <c r="FOK110" s="769"/>
      <c r="FOL110" s="769"/>
      <c r="FOM110" s="769"/>
      <c r="FON110" s="769"/>
      <c r="FOO110" s="769"/>
      <c r="FOP110" s="769"/>
      <c r="FOQ110" s="769"/>
      <c r="FOR110" s="769"/>
      <c r="FOS110" s="769"/>
      <c r="FOT110" s="769"/>
      <c r="FOU110" s="769"/>
      <c r="FOV110" s="769"/>
      <c r="FOW110" s="769"/>
      <c r="FOX110" s="769"/>
      <c r="FOY110" s="769"/>
      <c r="FOZ110" s="769"/>
      <c r="FPA110" s="769"/>
      <c r="FPB110" s="769"/>
      <c r="FPC110" s="769"/>
      <c r="FPD110" s="769"/>
      <c r="FPE110" s="769"/>
      <c r="FPF110" s="769"/>
      <c r="FPG110" s="769"/>
      <c r="FPH110" s="769"/>
      <c r="FPI110" s="769"/>
      <c r="FPJ110" s="769"/>
      <c r="FPK110" s="769"/>
      <c r="FPL110" s="769"/>
      <c r="FPM110" s="769"/>
      <c r="FPN110" s="769"/>
      <c r="FPO110" s="769"/>
      <c r="FPP110" s="769"/>
      <c r="FPQ110" s="769"/>
      <c r="FPR110" s="769"/>
      <c r="FPS110" s="769"/>
      <c r="FPT110" s="769"/>
      <c r="FPU110" s="769"/>
      <c r="FPV110" s="769"/>
      <c r="FPW110" s="769"/>
      <c r="FPX110" s="769"/>
      <c r="FPY110" s="769"/>
      <c r="FPZ110" s="769"/>
      <c r="FQA110" s="769"/>
      <c r="FQB110" s="769"/>
      <c r="FQC110" s="769"/>
      <c r="FQD110" s="769"/>
      <c r="FQE110" s="769"/>
      <c r="FQF110" s="769"/>
      <c r="FQG110" s="769"/>
      <c r="FQH110" s="769"/>
      <c r="FQI110" s="769"/>
      <c r="FQJ110" s="769"/>
      <c r="FQK110" s="769"/>
      <c r="FQL110" s="769"/>
      <c r="FQM110" s="769"/>
      <c r="FQN110" s="769"/>
      <c r="FQO110" s="769"/>
      <c r="FQP110" s="769"/>
      <c r="FQQ110" s="769"/>
      <c r="FQR110" s="769"/>
      <c r="FQS110" s="769"/>
      <c r="FQT110" s="769"/>
      <c r="FQU110" s="769"/>
      <c r="FQV110" s="769"/>
      <c r="FQW110" s="769"/>
      <c r="FQX110" s="769"/>
      <c r="FQY110" s="769"/>
      <c r="FQZ110" s="769"/>
      <c r="FRA110" s="769"/>
      <c r="FRB110" s="769"/>
      <c r="FRC110" s="769"/>
      <c r="FRD110" s="769"/>
      <c r="FRE110" s="769"/>
      <c r="FRF110" s="769"/>
      <c r="FRG110" s="769"/>
      <c r="FRH110" s="769"/>
      <c r="FRI110" s="769"/>
      <c r="FRJ110" s="769"/>
      <c r="FRK110" s="769"/>
      <c r="FRL110" s="769"/>
      <c r="FRM110" s="769"/>
      <c r="FRN110" s="769"/>
      <c r="FRO110" s="769"/>
      <c r="FRP110" s="769"/>
      <c r="FRQ110" s="769"/>
      <c r="FRR110" s="769"/>
      <c r="FRS110" s="769"/>
      <c r="FRT110" s="769"/>
      <c r="FRU110" s="769"/>
      <c r="FRV110" s="769"/>
      <c r="FRW110" s="769"/>
      <c r="FRX110" s="769"/>
      <c r="FRY110" s="769"/>
      <c r="FRZ110" s="769"/>
      <c r="FSA110" s="769"/>
      <c r="FSB110" s="769"/>
      <c r="FSC110" s="769"/>
      <c r="FSD110" s="769"/>
      <c r="FSE110" s="769"/>
      <c r="FSF110" s="769"/>
      <c r="FSG110" s="769"/>
      <c r="FSH110" s="769"/>
      <c r="FSI110" s="769"/>
      <c r="FSJ110" s="769"/>
      <c r="FSK110" s="769"/>
      <c r="FSL110" s="769"/>
      <c r="FSM110" s="769"/>
      <c r="FSN110" s="769"/>
      <c r="FSO110" s="769"/>
      <c r="FSP110" s="769"/>
      <c r="FSQ110" s="769"/>
      <c r="FSR110" s="769"/>
      <c r="FSS110" s="769"/>
      <c r="FST110" s="769"/>
      <c r="FSU110" s="769"/>
      <c r="FSV110" s="769"/>
      <c r="FSW110" s="769"/>
      <c r="FSX110" s="769"/>
      <c r="FSY110" s="769"/>
      <c r="FSZ110" s="769"/>
      <c r="FTA110" s="769"/>
      <c r="FTB110" s="769"/>
      <c r="FTC110" s="769"/>
      <c r="FTD110" s="769"/>
      <c r="FTE110" s="769"/>
      <c r="FTF110" s="769"/>
      <c r="FTG110" s="769"/>
      <c r="FTH110" s="769"/>
      <c r="FTI110" s="769"/>
      <c r="FTJ110" s="769"/>
      <c r="FTK110" s="769"/>
      <c r="FTL110" s="769"/>
      <c r="FTM110" s="769"/>
      <c r="FTN110" s="769"/>
      <c r="FTO110" s="769"/>
      <c r="FTP110" s="769"/>
      <c r="FTQ110" s="769"/>
      <c r="FTR110" s="769"/>
      <c r="FTS110" s="769"/>
      <c r="FTT110" s="769"/>
      <c r="FTU110" s="769"/>
      <c r="FTV110" s="769"/>
      <c r="FTW110" s="769"/>
      <c r="FTX110" s="769"/>
      <c r="FTY110" s="769"/>
      <c r="FTZ110" s="769"/>
      <c r="FUA110" s="769"/>
      <c r="FUB110" s="769"/>
      <c r="FUC110" s="769"/>
      <c r="FUD110" s="769"/>
      <c r="FUE110" s="769"/>
      <c r="FUF110" s="769"/>
      <c r="FUG110" s="769"/>
      <c r="FUH110" s="769"/>
      <c r="FUI110" s="769"/>
      <c r="FUJ110" s="769"/>
      <c r="FUK110" s="769"/>
      <c r="FUL110" s="769"/>
      <c r="FUM110" s="769"/>
      <c r="FUN110" s="769"/>
      <c r="FUO110" s="769"/>
      <c r="FUP110" s="769"/>
      <c r="FUQ110" s="769"/>
      <c r="FUR110" s="769"/>
      <c r="FUS110" s="769"/>
      <c r="FUT110" s="769"/>
      <c r="FUU110" s="769"/>
      <c r="FUV110" s="769"/>
      <c r="FUW110" s="769"/>
      <c r="FUX110" s="769"/>
      <c r="FUY110" s="769"/>
      <c r="FUZ110" s="769"/>
      <c r="FVA110" s="769"/>
      <c r="FVB110" s="769"/>
      <c r="FVC110" s="769"/>
      <c r="FVD110" s="769"/>
      <c r="FVE110" s="769"/>
      <c r="FVF110" s="769"/>
      <c r="FVG110" s="769"/>
      <c r="FVH110" s="769"/>
      <c r="FVI110" s="769"/>
      <c r="FVJ110" s="769"/>
      <c r="FVK110" s="769"/>
      <c r="FVL110" s="769"/>
      <c r="FVM110" s="769"/>
      <c r="FVN110" s="769"/>
      <c r="FVO110" s="769"/>
      <c r="FVP110" s="769"/>
      <c r="FVQ110" s="769"/>
      <c r="FVR110" s="769"/>
      <c r="FVS110" s="769"/>
      <c r="FVT110" s="769"/>
      <c r="FVU110" s="769"/>
      <c r="FVV110" s="769"/>
      <c r="FVW110" s="769"/>
      <c r="FVX110" s="769"/>
      <c r="FVY110" s="769"/>
      <c r="FVZ110" s="769"/>
      <c r="FWA110" s="769"/>
      <c r="FWB110" s="769"/>
      <c r="FWC110" s="769"/>
      <c r="FWD110" s="769"/>
      <c r="FWE110" s="769"/>
      <c r="FWF110" s="769"/>
      <c r="FWG110" s="769"/>
      <c r="FWH110" s="769"/>
      <c r="FWI110" s="769"/>
      <c r="FWJ110" s="769"/>
      <c r="FWK110" s="769"/>
      <c r="FWL110" s="769"/>
      <c r="FWM110" s="769"/>
      <c r="FWN110" s="769"/>
      <c r="FWO110" s="769"/>
      <c r="FWP110" s="769"/>
      <c r="FWQ110" s="769"/>
      <c r="FWR110" s="769"/>
      <c r="FWS110" s="769"/>
      <c r="FWT110" s="769"/>
      <c r="FWU110" s="769"/>
      <c r="FWV110" s="769"/>
      <c r="FWW110" s="769"/>
      <c r="FWX110" s="769"/>
      <c r="FWY110" s="769"/>
      <c r="FWZ110" s="769"/>
      <c r="FXA110" s="769"/>
      <c r="FXB110" s="769"/>
      <c r="FXC110" s="769"/>
      <c r="FXD110" s="769"/>
      <c r="FXE110" s="769"/>
      <c r="FXF110" s="769"/>
      <c r="FXG110" s="769"/>
      <c r="FXH110" s="769"/>
      <c r="FXI110" s="769"/>
      <c r="FXJ110" s="769"/>
      <c r="FXK110" s="769"/>
      <c r="FXL110" s="769"/>
      <c r="FXM110" s="769"/>
      <c r="FXN110" s="769"/>
      <c r="FXO110" s="769"/>
      <c r="FXP110" s="769"/>
      <c r="FXQ110" s="769"/>
      <c r="FXR110" s="769"/>
      <c r="FXS110" s="769"/>
      <c r="FXT110" s="769"/>
      <c r="FXU110" s="769"/>
      <c r="FXV110" s="769"/>
      <c r="FXW110" s="769"/>
      <c r="FXX110" s="769"/>
      <c r="FXY110" s="769"/>
      <c r="FXZ110" s="769"/>
      <c r="FYA110" s="769"/>
      <c r="FYB110" s="769"/>
      <c r="FYC110" s="769"/>
      <c r="FYD110" s="769"/>
      <c r="FYE110" s="769"/>
      <c r="FYF110" s="769"/>
      <c r="FYG110" s="769"/>
      <c r="FYH110" s="769"/>
      <c r="FYI110" s="769"/>
      <c r="FYJ110" s="769"/>
      <c r="FYK110" s="769"/>
      <c r="FYL110" s="769"/>
      <c r="FYM110" s="769"/>
      <c r="FYN110" s="769"/>
      <c r="FYO110" s="769"/>
      <c r="FYP110" s="769"/>
      <c r="FYQ110" s="769"/>
      <c r="FYR110" s="769"/>
      <c r="FYS110" s="769"/>
      <c r="FYT110" s="769"/>
      <c r="FYU110" s="769"/>
      <c r="FYV110" s="769"/>
      <c r="FYW110" s="769"/>
      <c r="FYX110" s="769"/>
      <c r="FYY110" s="769"/>
      <c r="FYZ110" s="769"/>
      <c r="FZA110" s="769"/>
      <c r="FZB110" s="769"/>
      <c r="FZC110" s="769"/>
      <c r="FZD110" s="769"/>
      <c r="FZE110" s="769"/>
      <c r="FZF110" s="769"/>
      <c r="FZG110" s="769"/>
      <c r="FZH110" s="769"/>
      <c r="FZI110" s="769"/>
      <c r="FZJ110" s="769"/>
      <c r="FZK110" s="769"/>
      <c r="FZL110" s="769"/>
      <c r="FZM110" s="769"/>
      <c r="FZN110" s="769"/>
      <c r="FZO110" s="769"/>
      <c r="FZP110" s="769"/>
      <c r="FZQ110" s="769"/>
      <c r="FZR110" s="769"/>
      <c r="FZS110" s="769"/>
      <c r="FZT110" s="769"/>
      <c r="FZU110" s="769"/>
      <c r="FZV110" s="769"/>
      <c r="FZW110" s="769"/>
      <c r="FZX110" s="769"/>
      <c r="FZY110" s="769"/>
      <c r="FZZ110" s="769"/>
      <c r="GAA110" s="769"/>
      <c r="GAB110" s="769"/>
      <c r="GAC110" s="769"/>
      <c r="GAD110" s="769"/>
      <c r="GAE110" s="769"/>
      <c r="GAF110" s="769"/>
      <c r="GAG110" s="769"/>
      <c r="GAH110" s="769"/>
      <c r="GAI110" s="769"/>
      <c r="GAJ110" s="769"/>
      <c r="GAK110" s="769"/>
      <c r="GAL110" s="769"/>
      <c r="GAM110" s="769"/>
      <c r="GAN110" s="769"/>
      <c r="GAO110" s="769"/>
      <c r="GAP110" s="769"/>
      <c r="GAQ110" s="769"/>
      <c r="GAR110" s="769"/>
      <c r="GAS110" s="769"/>
      <c r="GAT110" s="769"/>
      <c r="GAU110" s="769"/>
      <c r="GAV110" s="769"/>
      <c r="GAW110" s="769"/>
      <c r="GAX110" s="769"/>
      <c r="GAY110" s="769"/>
      <c r="GAZ110" s="769"/>
      <c r="GBA110" s="769"/>
      <c r="GBB110" s="769"/>
      <c r="GBC110" s="769"/>
      <c r="GBD110" s="769"/>
      <c r="GBE110" s="769"/>
      <c r="GBF110" s="769"/>
      <c r="GBG110" s="769"/>
      <c r="GBH110" s="769"/>
      <c r="GBI110" s="769"/>
      <c r="GBJ110" s="769"/>
      <c r="GBK110" s="769"/>
      <c r="GBL110" s="769"/>
      <c r="GBM110" s="769"/>
      <c r="GBN110" s="769"/>
      <c r="GBO110" s="769"/>
      <c r="GBP110" s="769"/>
      <c r="GBQ110" s="769"/>
      <c r="GBR110" s="769"/>
      <c r="GBS110" s="769"/>
      <c r="GBT110" s="769"/>
      <c r="GBU110" s="769"/>
      <c r="GBV110" s="769"/>
      <c r="GBW110" s="769"/>
      <c r="GBX110" s="769"/>
      <c r="GBY110" s="769"/>
      <c r="GBZ110" s="769"/>
      <c r="GCA110" s="769"/>
      <c r="GCB110" s="769"/>
      <c r="GCC110" s="769"/>
      <c r="GCD110" s="769"/>
      <c r="GCE110" s="769"/>
      <c r="GCF110" s="769"/>
      <c r="GCG110" s="769"/>
      <c r="GCH110" s="769"/>
      <c r="GCI110" s="769"/>
      <c r="GCJ110" s="769"/>
      <c r="GCK110" s="769"/>
      <c r="GCL110" s="769"/>
      <c r="GCM110" s="769"/>
      <c r="GCN110" s="769"/>
      <c r="GCO110" s="769"/>
      <c r="GCP110" s="769"/>
      <c r="GCQ110" s="769"/>
      <c r="GCR110" s="769"/>
      <c r="GCS110" s="769"/>
      <c r="GCT110" s="769"/>
      <c r="GCU110" s="769"/>
      <c r="GCV110" s="769"/>
      <c r="GCW110" s="769"/>
      <c r="GCX110" s="769"/>
      <c r="GCY110" s="769"/>
      <c r="GCZ110" s="769"/>
      <c r="GDA110" s="769"/>
      <c r="GDB110" s="769"/>
      <c r="GDC110" s="769"/>
      <c r="GDD110" s="769"/>
      <c r="GDE110" s="769"/>
      <c r="GDF110" s="769"/>
      <c r="GDG110" s="769"/>
      <c r="GDH110" s="769"/>
      <c r="GDI110" s="769"/>
      <c r="GDJ110" s="769"/>
      <c r="GDK110" s="769"/>
      <c r="GDL110" s="769"/>
      <c r="GDM110" s="769"/>
      <c r="GDN110" s="769"/>
      <c r="GDO110" s="769"/>
      <c r="GDP110" s="769"/>
      <c r="GDQ110" s="769"/>
      <c r="GDR110" s="769"/>
      <c r="GDS110" s="769"/>
      <c r="GDT110" s="769"/>
      <c r="GDU110" s="769"/>
      <c r="GDV110" s="769"/>
      <c r="GDW110" s="769"/>
      <c r="GDX110" s="769"/>
      <c r="GDY110" s="769"/>
      <c r="GDZ110" s="769"/>
      <c r="GEA110" s="769"/>
      <c r="GEB110" s="769"/>
      <c r="GEC110" s="769"/>
      <c r="GED110" s="769"/>
      <c r="GEE110" s="769"/>
      <c r="GEF110" s="769"/>
      <c r="GEG110" s="769"/>
      <c r="GEH110" s="769"/>
      <c r="GEI110" s="769"/>
      <c r="GEJ110" s="769"/>
      <c r="GEK110" s="769"/>
      <c r="GEL110" s="769"/>
      <c r="GEM110" s="769"/>
      <c r="GEN110" s="769"/>
      <c r="GEO110" s="769"/>
      <c r="GEP110" s="769"/>
      <c r="GEQ110" s="769"/>
      <c r="GER110" s="769"/>
      <c r="GES110" s="769"/>
      <c r="GET110" s="769"/>
      <c r="GEU110" s="769"/>
      <c r="GEV110" s="769"/>
      <c r="GEW110" s="769"/>
      <c r="GEX110" s="769"/>
      <c r="GEY110" s="769"/>
      <c r="GEZ110" s="769"/>
      <c r="GFA110" s="769"/>
      <c r="GFB110" s="769"/>
      <c r="GFC110" s="769"/>
      <c r="GFD110" s="769"/>
      <c r="GFE110" s="769"/>
      <c r="GFF110" s="769"/>
      <c r="GFG110" s="769"/>
      <c r="GFH110" s="769"/>
      <c r="GFI110" s="769"/>
      <c r="GFJ110" s="769"/>
      <c r="GFK110" s="769"/>
      <c r="GFL110" s="769"/>
      <c r="GFM110" s="769"/>
      <c r="GFN110" s="769"/>
      <c r="GFO110" s="769"/>
      <c r="GFP110" s="769"/>
      <c r="GFQ110" s="769"/>
      <c r="GFR110" s="769"/>
      <c r="GFS110" s="769"/>
      <c r="GFT110" s="769"/>
      <c r="GFU110" s="769"/>
      <c r="GFV110" s="769"/>
      <c r="GFW110" s="769"/>
      <c r="GFX110" s="769"/>
      <c r="GFY110" s="769"/>
      <c r="GFZ110" s="769"/>
      <c r="GGA110" s="769"/>
      <c r="GGB110" s="769"/>
      <c r="GGC110" s="769"/>
      <c r="GGD110" s="769"/>
      <c r="GGE110" s="769"/>
      <c r="GGF110" s="769"/>
      <c r="GGG110" s="769"/>
      <c r="GGH110" s="769"/>
      <c r="GGI110" s="769"/>
      <c r="GGJ110" s="769"/>
      <c r="GGK110" s="769"/>
      <c r="GGL110" s="769"/>
      <c r="GGM110" s="769"/>
      <c r="GGN110" s="769"/>
      <c r="GGO110" s="769"/>
      <c r="GGP110" s="769"/>
      <c r="GGQ110" s="769"/>
      <c r="GGR110" s="769"/>
      <c r="GGS110" s="769"/>
      <c r="GGT110" s="769"/>
      <c r="GGU110" s="769"/>
      <c r="GGV110" s="769"/>
      <c r="GGW110" s="769"/>
      <c r="GGX110" s="769"/>
      <c r="GGY110" s="769"/>
      <c r="GGZ110" s="769"/>
      <c r="GHA110" s="769"/>
      <c r="GHB110" s="769"/>
      <c r="GHC110" s="769"/>
      <c r="GHD110" s="769"/>
      <c r="GHE110" s="769"/>
      <c r="GHF110" s="769"/>
      <c r="GHG110" s="769"/>
      <c r="GHH110" s="769"/>
      <c r="GHI110" s="769"/>
      <c r="GHJ110" s="769"/>
      <c r="GHK110" s="769"/>
      <c r="GHL110" s="769"/>
      <c r="GHM110" s="769"/>
      <c r="GHN110" s="769"/>
      <c r="GHO110" s="769"/>
      <c r="GHP110" s="769"/>
      <c r="GHQ110" s="769"/>
      <c r="GHR110" s="769"/>
      <c r="GHS110" s="769"/>
      <c r="GHT110" s="769"/>
      <c r="GHU110" s="769"/>
      <c r="GHV110" s="769"/>
      <c r="GHW110" s="769"/>
      <c r="GHX110" s="769"/>
      <c r="GHY110" s="769"/>
      <c r="GHZ110" s="769"/>
      <c r="GIA110" s="769"/>
      <c r="GIB110" s="769"/>
      <c r="GIC110" s="769"/>
      <c r="GID110" s="769"/>
      <c r="GIE110" s="769"/>
      <c r="GIF110" s="769"/>
      <c r="GIG110" s="769"/>
      <c r="GIH110" s="769"/>
      <c r="GII110" s="769"/>
      <c r="GIJ110" s="769"/>
      <c r="GIK110" s="769"/>
      <c r="GIL110" s="769"/>
      <c r="GIM110" s="769"/>
      <c r="GIN110" s="769"/>
      <c r="GIO110" s="769"/>
      <c r="GIP110" s="769"/>
      <c r="GIQ110" s="769"/>
      <c r="GIR110" s="769"/>
      <c r="GIS110" s="769"/>
      <c r="GIT110" s="769"/>
      <c r="GIU110" s="769"/>
      <c r="GIV110" s="769"/>
      <c r="GIW110" s="769"/>
      <c r="GIX110" s="769"/>
      <c r="GIY110" s="769"/>
      <c r="GIZ110" s="769"/>
      <c r="GJA110" s="769"/>
      <c r="GJB110" s="769"/>
      <c r="GJC110" s="769"/>
      <c r="GJD110" s="769"/>
      <c r="GJE110" s="769"/>
      <c r="GJF110" s="769"/>
      <c r="GJG110" s="769"/>
      <c r="GJH110" s="769"/>
      <c r="GJI110" s="769"/>
      <c r="GJJ110" s="769"/>
      <c r="GJK110" s="769"/>
      <c r="GJL110" s="769"/>
      <c r="GJM110" s="769"/>
      <c r="GJN110" s="769"/>
      <c r="GJO110" s="769"/>
      <c r="GJP110" s="769"/>
      <c r="GJQ110" s="769"/>
      <c r="GJR110" s="769"/>
      <c r="GJS110" s="769"/>
      <c r="GJT110" s="769"/>
      <c r="GJU110" s="769"/>
      <c r="GJV110" s="769"/>
      <c r="GJW110" s="769"/>
      <c r="GJX110" s="769"/>
      <c r="GJY110" s="769"/>
      <c r="GJZ110" s="769"/>
      <c r="GKA110" s="769"/>
      <c r="GKB110" s="769"/>
      <c r="GKC110" s="769"/>
      <c r="GKD110" s="769"/>
      <c r="GKE110" s="769"/>
      <c r="GKF110" s="769"/>
      <c r="GKG110" s="769"/>
      <c r="GKH110" s="769"/>
      <c r="GKI110" s="769"/>
      <c r="GKJ110" s="769"/>
      <c r="GKK110" s="769"/>
      <c r="GKL110" s="769"/>
      <c r="GKM110" s="769"/>
      <c r="GKN110" s="769"/>
      <c r="GKO110" s="769"/>
      <c r="GKP110" s="769"/>
      <c r="GKQ110" s="769"/>
      <c r="GKR110" s="769"/>
      <c r="GKS110" s="769"/>
      <c r="GKT110" s="769"/>
      <c r="GKU110" s="769"/>
      <c r="GKV110" s="769"/>
      <c r="GKW110" s="769"/>
      <c r="GKX110" s="769"/>
      <c r="GKY110" s="769"/>
      <c r="GKZ110" s="769"/>
      <c r="GLA110" s="769"/>
      <c r="GLB110" s="769"/>
      <c r="GLC110" s="769"/>
      <c r="GLD110" s="769"/>
      <c r="GLE110" s="769"/>
      <c r="GLF110" s="769"/>
      <c r="GLG110" s="769"/>
      <c r="GLH110" s="769"/>
      <c r="GLI110" s="769"/>
      <c r="GLJ110" s="769"/>
      <c r="GLK110" s="769"/>
      <c r="GLL110" s="769"/>
      <c r="GLM110" s="769"/>
      <c r="GLN110" s="769"/>
      <c r="GLO110" s="769"/>
      <c r="GLP110" s="769"/>
      <c r="GLQ110" s="769"/>
      <c r="GLR110" s="769"/>
      <c r="GLS110" s="769"/>
      <c r="GLT110" s="769"/>
      <c r="GLU110" s="769"/>
      <c r="GLV110" s="769"/>
      <c r="GLW110" s="769"/>
      <c r="GLX110" s="769"/>
      <c r="GLY110" s="769"/>
      <c r="GLZ110" s="769"/>
      <c r="GMA110" s="769"/>
      <c r="GMB110" s="769"/>
      <c r="GMC110" s="769"/>
      <c r="GMD110" s="769"/>
      <c r="GME110" s="769"/>
      <c r="GMF110" s="769"/>
      <c r="GMG110" s="769"/>
      <c r="GMH110" s="769"/>
      <c r="GMI110" s="769"/>
      <c r="GMJ110" s="769"/>
      <c r="GMK110" s="769"/>
      <c r="GML110" s="769"/>
      <c r="GMM110" s="769"/>
      <c r="GMN110" s="769"/>
      <c r="GMO110" s="769"/>
      <c r="GMP110" s="769"/>
      <c r="GMQ110" s="769"/>
      <c r="GMR110" s="769"/>
      <c r="GMS110" s="769"/>
      <c r="GMT110" s="769"/>
      <c r="GMU110" s="769"/>
      <c r="GMV110" s="769"/>
      <c r="GMW110" s="769"/>
      <c r="GMX110" s="769"/>
      <c r="GMY110" s="769"/>
      <c r="GMZ110" s="769"/>
      <c r="GNA110" s="769"/>
      <c r="GNB110" s="769"/>
      <c r="GNC110" s="769"/>
      <c r="GND110" s="769"/>
      <c r="GNE110" s="769"/>
      <c r="GNF110" s="769"/>
      <c r="GNG110" s="769"/>
      <c r="GNH110" s="769"/>
      <c r="GNI110" s="769"/>
      <c r="GNJ110" s="769"/>
      <c r="GNK110" s="769"/>
      <c r="GNL110" s="769"/>
      <c r="GNM110" s="769"/>
      <c r="GNN110" s="769"/>
      <c r="GNO110" s="769"/>
      <c r="GNP110" s="769"/>
      <c r="GNQ110" s="769"/>
      <c r="GNR110" s="769"/>
      <c r="GNS110" s="769"/>
      <c r="GNT110" s="769"/>
      <c r="GNU110" s="769"/>
      <c r="GNV110" s="769"/>
      <c r="GNW110" s="769"/>
      <c r="GNX110" s="769"/>
      <c r="GNY110" s="769"/>
      <c r="GNZ110" s="769"/>
      <c r="GOA110" s="769"/>
      <c r="GOB110" s="769"/>
      <c r="GOC110" s="769"/>
      <c r="GOD110" s="769"/>
      <c r="GOE110" s="769"/>
      <c r="GOF110" s="769"/>
      <c r="GOG110" s="769"/>
      <c r="GOH110" s="769"/>
      <c r="GOI110" s="769"/>
      <c r="GOJ110" s="769"/>
      <c r="GOK110" s="769"/>
      <c r="GOL110" s="769"/>
      <c r="GOM110" s="769"/>
      <c r="GON110" s="769"/>
      <c r="GOO110" s="769"/>
      <c r="GOP110" s="769"/>
      <c r="GOQ110" s="769"/>
      <c r="GOR110" s="769"/>
      <c r="GOS110" s="769"/>
      <c r="GOT110" s="769"/>
      <c r="GOU110" s="769"/>
      <c r="GOV110" s="769"/>
      <c r="GOW110" s="769"/>
      <c r="GOX110" s="769"/>
      <c r="GOY110" s="769"/>
      <c r="GOZ110" s="769"/>
      <c r="GPA110" s="769"/>
      <c r="GPB110" s="769"/>
      <c r="GPC110" s="769"/>
      <c r="GPD110" s="769"/>
      <c r="GPE110" s="769"/>
      <c r="GPF110" s="769"/>
      <c r="GPG110" s="769"/>
      <c r="GPH110" s="769"/>
      <c r="GPI110" s="769"/>
      <c r="GPJ110" s="769"/>
      <c r="GPK110" s="769"/>
      <c r="GPL110" s="769"/>
      <c r="GPM110" s="769"/>
      <c r="GPN110" s="769"/>
      <c r="GPO110" s="769"/>
      <c r="GPP110" s="769"/>
      <c r="GPQ110" s="769"/>
      <c r="GPR110" s="769"/>
      <c r="GPS110" s="769"/>
      <c r="GPT110" s="769"/>
      <c r="GPU110" s="769"/>
      <c r="GPV110" s="769"/>
      <c r="GPW110" s="769"/>
      <c r="GPX110" s="769"/>
      <c r="GPY110" s="769"/>
      <c r="GPZ110" s="769"/>
      <c r="GQA110" s="769"/>
      <c r="GQB110" s="769"/>
      <c r="GQC110" s="769"/>
      <c r="GQD110" s="769"/>
      <c r="GQE110" s="769"/>
      <c r="GQF110" s="769"/>
      <c r="GQG110" s="769"/>
      <c r="GQH110" s="769"/>
      <c r="GQI110" s="769"/>
      <c r="GQJ110" s="769"/>
      <c r="GQK110" s="769"/>
      <c r="GQL110" s="769"/>
      <c r="GQM110" s="769"/>
      <c r="GQN110" s="769"/>
      <c r="GQO110" s="769"/>
      <c r="GQP110" s="769"/>
      <c r="GQQ110" s="769"/>
      <c r="GQR110" s="769"/>
      <c r="GQS110" s="769"/>
      <c r="GQT110" s="769"/>
      <c r="GQU110" s="769"/>
      <c r="GQV110" s="769"/>
      <c r="GQW110" s="769"/>
      <c r="GQX110" s="769"/>
      <c r="GQY110" s="769"/>
      <c r="GQZ110" s="769"/>
      <c r="GRA110" s="769"/>
      <c r="GRB110" s="769"/>
      <c r="GRC110" s="769"/>
      <c r="GRD110" s="769"/>
      <c r="GRE110" s="769"/>
      <c r="GRF110" s="769"/>
      <c r="GRG110" s="769"/>
      <c r="GRH110" s="769"/>
      <c r="GRI110" s="769"/>
      <c r="GRJ110" s="769"/>
      <c r="GRK110" s="769"/>
      <c r="GRL110" s="769"/>
      <c r="GRM110" s="769"/>
      <c r="GRN110" s="769"/>
      <c r="GRO110" s="769"/>
      <c r="GRP110" s="769"/>
      <c r="GRQ110" s="769"/>
      <c r="GRR110" s="769"/>
      <c r="GRS110" s="769"/>
      <c r="GRT110" s="769"/>
      <c r="GRU110" s="769"/>
      <c r="GRV110" s="769"/>
      <c r="GRW110" s="769"/>
      <c r="GRX110" s="769"/>
      <c r="GRY110" s="769"/>
      <c r="GRZ110" s="769"/>
      <c r="GSA110" s="769"/>
      <c r="GSB110" s="769"/>
      <c r="GSC110" s="769"/>
      <c r="GSD110" s="769"/>
      <c r="GSE110" s="769"/>
      <c r="GSF110" s="769"/>
      <c r="GSG110" s="769"/>
      <c r="GSH110" s="769"/>
      <c r="GSI110" s="769"/>
      <c r="GSJ110" s="769"/>
      <c r="GSK110" s="769"/>
      <c r="GSL110" s="769"/>
      <c r="GSM110" s="769"/>
      <c r="GSN110" s="769"/>
      <c r="GSO110" s="769"/>
      <c r="GSP110" s="769"/>
      <c r="GSQ110" s="769"/>
      <c r="GSR110" s="769"/>
      <c r="GSS110" s="769"/>
      <c r="GST110" s="769"/>
      <c r="GSU110" s="769"/>
      <c r="GSV110" s="769"/>
      <c r="GSW110" s="769"/>
      <c r="GSX110" s="769"/>
      <c r="GSY110" s="769"/>
      <c r="GSZ110" s="769"/>
      <c r="GTA110" s="769"/>
      <c r="GTB110" s="769"/>
      <c r="GTC110" s="769"/>
      <c r="GTD110" s="769"/>
      <c r="GTE110" s="769"/>
      <c r="GTF110" s="769"/>
      <c r="GTG110" s="769"/>
      <c r="GTH110" s="769"/>
      <c r="GTI110" s="769"/>
      <c r="GTJ110" s="769"/>
      <c r="GTK110" s="769"/>
      <c r="GTL110" s="769"/>
      <c r="GTM110" s="769"/>
      <c r="GTN110" s="769"/>
      <c r="GTO110" s="769"/>
      <c r="GTP110" s="769"/>
      <c r="GTQ110" s="769"/>
      <c r="GTR110" s="769"/>
      <c r="GTS110" s="769"/>
      <c r="GTT110" s="769"/>
      <c r="GTU110" s="769"/>
      <c r="GTV110" s="769"/>
      <c r="GTW110" s="769"/>
      <c r="GTX110" s="769"/>
      <c r="GTY110" s="769"/>
      <c r="GTZ110" s="769"/>
      <c r="GUA110" s="769"/>
      <c r="GUB110" s="769"/>
      <c r="GUC110" s="769"/>
      <c r="GUD110" s="769"/>
      <c r="GUE110" s="769"/>
      <c r="GUF110" s="769"/>
      <c r="GUG110" s="769"/>
      <c r="GUH110" s="769"/>
      <c r="GUI110" s="769"/>
      <c r="GUJ110" s="769"/>
      <c r="GUK110" s="769"/>
      <c r="GUL110" s="769"/>
      <c r="GUM110" s="769"/>
      <c r="GUN110" s="769"/>
      <c r="GUO110" s="769"/>
      <c r="GUP110" s="769"/>
      <c r="GUQ110" s="769"/>
      <c r="GUR110" s="769"/>
      <c r="GUS110" s="769"/>
      <c r="GUT110" s="769"/>
      <c r="GUU110" s="769"/>
      <c r="GUV110" s="769"/>
      <c r="GUW110" s="769"/>
      <c r="GUX110" s="769"/>
      <c r="GUY110" s="769"/>
      <c r="GUZ110" s="769"/>
      <c r="GVA110" s="769"/>
      <c r="GVB110" s="769"/>
      <c r="GVC110" s="769"/>
      <c r="GVD110" s="769"/>
      <c r="GVE110" s="769"/>
      <c r="GVF110" s="769"/>
      <c r="GVG110" s="769"/>
      <c r="GVH110" s="769"/>
      <c r="GVI110" s="769"/>
      <c r="GVJ110" s="769"/>
      <c r="GVK110" s="769"/>
      <c r="GVL110" s="769"/>
      <c r="GVM110" s="769"/>
      <c r="GVN110" s="769"/>
      <c r="GVO110" s="769"/>
      <c r="GVP110" s="769"/>
      <c r="GVQ110" s="769"/>
      <c r="GVR110" s="769"/>
      <c r="GVS110" s="769"/>
      <c r="GVT110" s="769"/>
      <c r="GVU110" s="769"/>
      <c r="GVV110" s="769"/>
      <c r="GVW110" s="769"/>
      <c r="GVX110" s="769"/>
      <c r="GVY110" s="769"/>
      <c r="GVZ110" s="769"/>
      <c r="GWA110" s="769"/>
      <c r="GWB110" s="769"/>
      <c r="GWC110" s="769"/>
      <c r="GWD110" s="769"/>
      <c r="GWE110" s="769"/>
      <c r="GWF110" s="769"/>
      <c r="GWG110" s="769"/>
      <c r="GWH110" s="769"/>
      <c r="GWI110" s="769"/>
      <c r="GWJ110" s="769"/>
      <c r="GWK110" s="769"/>
      <c r="GWL110" s="769"/>
      <c r="GWM110" s="769"/>
      <c r="GWN110" s="769"/>
      <c r="GWO110" s="769"/>
      <c r="GWP110" s="769"/>
      <c r="GWQ110" s="769"/>
      <c r="GWR110" s="769"/>
      <c r="GWS110" s="769"/>
      <c r="GWT110" s="769"/>
      <c r="GWU110" s="769"/>
      <c r="GWV110" s="769"/>
      <c r="GWW110" s="769"/>
      <c r="GWX110" s="769"/>
      <c r="GWY110" s="769"/>
      <c r="GWZ110" s="769"/>
      <c r="GXA110" s="769"/>
      <c r="GXB110" s="769"/>
      <c r="GXC110" s="769"/>
      <c r="GXD110" s="769"/>
      <c r="GXE110" s="769"/>
      <c r="GXF110" s="769"/>
      <c r="GXG110" s="769"/>
      <c r="GXH110" s="769"/>
      <c r="GXI110" s="769"/>
      <c r="GXJ110" s="769"/>
      <c r="GXK110" s="769"/>
      <c r="GXL110" s="769"/>
      <c r="GXM110" s="769"/>
      <c r="GXN110" s="769"/>
      <c r="GXO110" s="769"/>
      <c r="GXP110" s="769"/>
      <c r="GXQ110" s="769"/>
      <c r="GXR110" s="769"/>
      <c r="GXS110" s="769"/>
      <c r="GXT110" s="769"/>
      <c r="GXU110" s="769"/>
      <c r="GXV110" s="769"/>
      <c r="GXW110" s="769"/>
      <c r="GXX110" s="769"/>
      <c r="GXY110" s="769"/>
      <c r="GXZ110" s="769"/>
      <c r="GYA110" s="769"/>
      <c r="GYB110" s="769"/>
      <c r="GYC110" s="769"/>
      <c r="GYD110" s="769"/>
      <c r="GYE110" s="769"/>
      <c r="GYF110" s="769"/>
      <c r="GYG110" s="769"/>
      <c r="GYH110" s="769"/>
      <c r="GYI110" s="769"/>
      <c r="GYJ110" s="769"/>
      <c r="GYK110" s="769"/>
      <c r="GYL110" s="769"/>
      <c r="GYM110" s="769"/>
      <c r="GYN110" s="769"/>
      <c r="GYO110" s="769"/>
      <c r="GYP110" s="769"/>
      <c r="GYQ110" s="769"/>
      <c r="GYR110" s="769"/>
      <c r="GYS110" s="769"/>
      <c r="GYT110" s="769"/>
      <c r="GYU110" s="769"/>
      <c r="GYV110" s="769"/>
      <c r="GYW110" s="769"/>
      <c r="GYX110" s="769"/>
      <c r="GYY110" s="769"/>
      <c r="GYZ110" s="769"/>
      <c r="GZA110" s="769"/>
      <c r="GZB110" s="769"/>
      <c r="GZC110" s="769"/>
      <c r="GZD110" s="769"/>
      <c r="GZE110" s="769"/>
      <c r="GZF110" s="769"/>
      <c r="GZG110" s="769"/>
      <c r="GZH110" s="769"/>
      <c r="GZI110" s="769"/>
      <c r="GZJ110" s="769"/>
      <c r="GZK110" s="769"/>
      <c r="GZL110" s="769"/>
      <c r="GZM110" s="769"/>
      <c r="GZN110" s="769"/>
      <c r="GZO110" s="769"/>
      <c r="GZP110" s="769"/>
      <c r="GZQ110" s="769"/>
      <c r="GZR110" s="769"/>
      <c r="GZS110" s="769"/>
      <c r="GZT110" s="769"/>
      <c r="GZU110" s="769"/>
      <c r="GZV110" s="769"/>
      <c r="GZW110" s="769"/>
      <c r="GZX110" s="769"/>
      <c r="GZY110" s="769"/>
      <c r="GZZ110" s="769"/>
      <c r="HAA110" s="769"/>
      <c r="HAB110" s="769"/>
      <c r="HAC110" s="769"/>
      <c r="HAD110" s="769"/>
      <c r="HAE110" s="769"/>
      <c r="HAF110" s="769"/>
      <c r="HAG110" s="769"/>
      <c r="HAH110" s="769"/>
      <c r="HAI110" s="769"/>
      <c r="HAJ110" s="769"/>
      <c r="HAK110" s="769"/>
      <c r="HAL110" s="769"/>
      <c r="HAM110" s="769"/>
      <c r="HAN110" s="769"/>
      <c r="HAO110" s="769"/>
      <c r="HAP110" s="769"/>
      <c r="HAQ110" s="769"/>
      <c r="HAR110" s="769"/>
      <c r="HAS110" s="769"/>
      <c r="HAT110" s="769"/>
      <c r="HAU110" s="769"/>
      <c r="HAV110" s="769"/>
      <c r="HAW110" s="769"/>
      <c r="HAX110" s="769"/>
      <c r="HAY110" s="769"/>
      <c r="HAZ110" s="769"/>
      <c r="HBA110" s="769"/>
      <c r="HBB110" s="769"/>
      <c r="HBC110" s="769"/>
      <c r="HBD110" s="769"/>
      <c r="HBE110" s="769"/>
      <c r="HBF110" s="769"/>
      <c r="HBG110" s="769"/>
      <c r="HBH110" s="769"/>
      <c r="HBI110" s="769"/>
      <c r="HBJ110" s="769"/>
      <c r="HBK110" s="769"/>
      <c r="HBL110" s="769"/>
      <c r="HBM110" s="769"/>
      <c r="HBN110" s="769"/>
      <c r="HBO110" s="769"/>
      <c r="HBP110" s="769"/>
      <c r="HBQ110" s="769"/>
      <c r="HBR110" s="769"/>
      <c r="HBS110" s="769"/>
      <c r="HBT110" s="769"/>
      <c r="HBU110" s="769"/>
      <c r="HBV110" s="769"/>
      <c r="HBW110" s="769"/>
      <c r="HBX110" s="769"/>
      <c r="HBY110" s="769"/>
      <c r="HBZ110" s="769"/>
      <c r="HCA110" s="769"/>
      <c r="HCB110" s="769"/>
      <c r="HCC110" s="769"/>
      <c r="HCD110" s="769"/>
      <c r="HCE110" s="769"/>
      <c r="HCF110" s="769"/>
      <c r="HCG110" s="769"/>
      <c r="HCH110" s="769"/>
      <c r="HCI110" s="769"/>
      <c r="HCJ110" s="769"/>
      <c r="HCK110" s="769"/>
      <c r="HCL110" s="769"/>
      <c r="HCM110" s="769"/>
      <c r="HCN110" s="769"/>
      <c r="HCO110" s="769"/>
      <c r="HCP110" s="769"/>
      <c r="HCQ110" s="769"/>
      <c r="HCR110" s="769"/>
      <c r="HCS110" s="769"/>
      <c r="HCT110" s="769"/>
      <c r="HCU110" s="769"/>
      <c r="HCV110" s="769"/>
      <c r="HCW110" s="769"/>
      <c r="HCX110" s="769"/>
      <c r="HCY110" s="769"/>
      <c r="HCZ110" s="769"/>
      <c r="HDA110" s="769"/>
      <c r="HDB110" s="769"/>
      <c r="HDC110" s="769"/>
      <c r="HDD110" s="769"/>
      <c r="HDE110" s="769"/>
      <c r="HDF110" s="769"/>
      <c r="HDG110" s="769"/>
      <c r="HDH110" s="769"/>
      <c r="HDI110" s="769"/>
      <c r="HDJ110" s="769"/>
      <c r="HDK110" s="769"/>
      <c r="HDL110" s="769"/>
      <c r="HDM110" s="769"/>
      <c r="HDN110" s="769"/>
      <c r="HDO110" s="769"/>
      <c r="HDP110" s="769"/>
      <c r="HDQ110" s="769"/>
      <c r="HDR110" s="769"/>
      <c r="HDS110" s="769"/>
      <c r="HDT110" s="769"/>
      <c r="HDU110" s="769"/>
      <c r="HDV110" s="769"/>
      <c r="HDW110" s="769"/>
      <c r="HDX110" s="769"/>
      <c r="HDY110" s="769"/>
      <c r="HDZ110" s="769"/>
      <c r="HEA110" s="769"/>
      <c r="HEB110" s="769"/>
      <c r="HEC110" s="769"/>
      <c r="HED110" s="769"/>
      <c r="HEE110" s="769"/>
      <c r="HEF110" s="769"/>
      <c r="HEG110" s="769"/>
      <c r="HEH110" s="769"/>
      <c r="HEI110" s="769"/>
      <c r="HEJ110" s="769"/>
      <c r="HEK110" s="769"/>
      <c r="HEL110" s="769"/>
      <c r="HEM110" s="769"/>
      <c r="HEN110" s="769"/>
      <c r="HEO110" s="769"/>
      <c r="HEP110" s="769"/>
      <c r="HEQ110" s="769"/>
      <c r="HER110" s="769"/>
      <c r="HES110" s="769"/>
      <c r="HET110" s="769"/>
      <c r="HEU110" s="769"/>
      <c r="HEV110" s="769"/>
      <c r="HEW110" s="769"/>
      <c r="HEX110" s="769"/>
      <c r="HEY110" s="769"/>
      <c r="HEZ110" s="769"/>
      <c r="HFA110" s="769"/>
      <c r="HFB110" s="769"/>
      <c r="HFC110" s="769"/>
      <c r="HFD110" s="769"/>
      <c r="HFE110" s="769"/>
      <c r="HFF110" s="769"/>
      <c r="HFG110" s="769"/>
      <c r="HFH110" s="769"/>
      <c r="HFI110" s="769"/>
      <c r="HFJ110" s="769"/>
      <c r="HFK110" s="769"/>
      <c r="HFL110" s="769"/>
      <c r="HFM110" s="769"/>
      <c r="HFN110" s="769"/>
      <c r="HFO110" s="769"/>
      <c r="HFP110" s="769"/>
      <c r="HFQ110" s="769"/>
      <c r="HFR110" s="769"/>
      <c r="HFS110" s="769"/>
      <c r="HFT110" s="769"/>
      <c r="HFU110" s="769"/>
      <c r="HFV110" s="769"/>
      <c r="HFW110" s="769"/>
      <c r="HFX110" s="769"/>
      <c r="HFY110" s="769"/>
      <c r="HFZ110" s="769"/>
      <c r="HGA110" s="769"/>
      <c r="HGB110" s="769"/>
      <c r="HGC110" s="769"/>
      <c r="HGD110" s="769"/>
      <c r="HGE110" s="769"/>
      <c r="HGF110" s="769"/>
      <c r="HGG110" s="769"/>
      <c r="HGH110" s="769"/>
      <c r="HGI110" s="769"/>
      <c r="HGJ110" s="769"/>
      <c r="HGK110" s="769"/>
      <c r="HGL110" s="769"/>
      <c r="HGM110" s="769"/>
      <c r="HGN110" s="769"/>
      <c r="HGO110" s="769"/>
      <c r="HGP110" s="769"/>
      <c r="HGQ110" s="769"/>
      <c r="HGR110" s="769"/>
      <c r="HGS110" s="769"/>
      <c r="HGT110" s="769"/>
      <c r="HGU110" s="769"/>
      <c r="HGV110" s="769"/>
      <c r="HGW110" s="769"/>
      <c r="HGX110" s="769"/>
      <c r="HGY110" s="769"/>
      <c r="HGZ110" s="769"/>
      <c r="HHA110" s="769"/>
      <c r="HHB110" s="769"/>
      <c r="HHC110" s="769"/>
      <c r="HHD110" s="769"/>
      <c r="HHE110" s="769"/>
      <c r="HHF110" s="769"/>
      <c r="HHG110" s="769"/>
      <c r="HHH110" s="769"/>
      <c r="HHI110" s="769"/>
      <c r="HHJ110" s="769"/>
      <c r="HHK110" s="769"/>
      <c r="HHL110" s="769"/>
      <c r="HHM110" s="769"/>
      <c r="HHN110" s="769"/>
      <c r="HHO110" s="769"/>
      <c r="HHP110" s="769"/>
      <c r="HHQ110" s="769"/>
      <c r="HHR110" s="769"/>
      <c r="HHS110" s="769"/>
      <c r="HHT110" s="769"/>
      <c r="HHU110" s="769"/>
      <c r="HHV110" s="769"/>
      <c r="HHW110" s="769"/>
      <c r="HHX110" s="769"/>
      <c r="HHY110" s="769"/>
      <c r="HHZ110" s="769"/>
      <c r="HIA110" s="769"/>
      <c r="HIB110" s="769"/>
      <c r="HIC110" s="769"/>
      <c r="HID110" s="769"/>
      <c r="HIE110" s="769"/>
      <c r="HIF110" s="769"/>
      <c r="HIG110" s="769"/>
      <c r="HIH110" s="769"/>
      <c r="HII110" s="769"/>
      <c r="HIJ110" s="769"/>
      <c r="HIK110" s="769"/>
      <c r="HIL110" s="769"/>
      <c r="HIM110" s="769"/>
      <c r="HIN110" s="769"/>
      <c r="HIO110" s="769"/>
      <c r="HIP110" s="769"/>
      <c r="HIQ110" s="769"/>
      <c r="HIR110" s="769"/>
      <c r="HIS110" s="769"/>
      <c r="HIT110" s="769"/>
      <c r="HIU110" s="769"/>
      <c r="HIV110" s="769"/>
      <c r="HIW110" s="769"/>
      <c r="HIX110" s="769"/>
      <c r="HIY110" s="769"/>
      <c r="HIZ110" s="769"/>
      <c r="HJA110" s="769"/>
      <c r="HJB110" s="769"/>
      <c r="HJC110" s="769"/>
      <c r="HJD110" s="769"/>
      <c r="HJE110" s="769"/>
      <c r="HJF110" s="769"/>
      <c r="HJG110" s="769"/>
      <c r="HJH110" s="769"/>
      <c r="HJI110" s="769"/>
      <c r="HJJ110" s="769"/>
      <c r="HJK110" s="769"/>
      <c r="HJL110" s="769"/>
      <c r="HJM110" s="769"/>
      <c r="HJN110" s="769"/>
      <c r="HJO110" s="769"/>
      <c r="HJP110" s="769"/>
      <c r="HJQ110" s="769"/>
      <c r="HJR110" s="769"/>
      <c r="HJS110" s="769"/>
      <c r="HJT110" s="769"/>
      <c r="HJU110" s="769"/>
      <c r="HJV110" s="769"/>
      <c r="HJW110" s="769"/>
      <c r="HJX110" s="769"/>
      <c r="HJY110" s="769"/>
      <c r="HJZ110" s="769"/>
      <c r="HKA110" s="769"/>
      <c r="HKB110" s="769"/>
      <c r="HKC110" s="769"/>
      <c r="HKD110" s="769"/>
      <c r="HKE110" s="769"/>
      <c r="HKF110" s="769"/>
      <c r="HKG110" s="769"/>
      <c r="HKH110" s="769"/>
      <c r="HKI110" s="769"/>
      <c r="HKJ110" s="769"/>
      <c r="HKK110" s="769"/>
      <c r="HKL110" s="769"/>
      <c r="HKM110" s="769"/>
      <c r="HKN110" s="769"/>
      <c r="HKO110" s="769"/>
      <c r="HKP110" s="769"/>
      <c r="HKQ110" s="769"/>
      <c r="HKR110" s="769"/>
      <c r="HKS110" s="769"/>
      <c r="HKT110" s="769"/>
      <c r="HKU110" s="769"/>
      <c r="HKV110" s="769"/>
      <c r="HKW110" s="769"/>
      <c r="HKX110" s="769"/>
      <c r="HKY110" s="769"/>
      <c r="HKZ110" s="769"/>
      <c r="HLA110" s="769"/>
      <c r="HLB110" s="769"/>
      <c r="HLC110" s="769"/>
      <c r="HLD110" s="769"/>
      <c r="HLE110" s="769"/>
      <c r="HLF110" s="769"/>
      <c r="HLG110" s="769"/>
      <c r="HLH110" s="769"/>
      <c r="HLI110" s="769"/>
      <c r="HLJ110" s="769"/>
      <c r="HLK110" s="769"/>
      <c r="HLL110" s="769"/>
      <c r="HLM110" s="769"/>
      <c r="HLN110" s="769"/>
      <c r="HLO110" s="769"/>
      <c r="HLP110" s="769"/>
      <c r="HLQ110" s="769"/>
      <c r="HLR110" s="769"/>
      <c r="HLS110" s="769"/>
      <c r="HLT110" s="769"/>
      <c r="HLU110" s="769"/>
      <c r="HLV110" s="769"/>
      <c r="HLW110" s="769"/>
      <c r="HLX110" s="769"/>
      <c r="HLY110" s="769"/>
      <c r="HLZ110" s="769"/>
      <c r="HMA110" s="769"/>
      <c r="HMB110" s="769"/>
      <c r="HMC110" s="769"/>
      <c r="HMD110" s="769"/>
      <c r="HME110" s="769"/>
      <c r="HMF110" s="769"/>
      <c r="HMG110" s="769"/>
      <c r="HMH110" s="769"/>
      <c r="HMI110" s="769"/>
      <c r="HMJ110" s="769"/>
      <c r="HMK110" s="769"/>
      <c r="HML110" s="769"/>
      <c r="HMM110" s="769"/>
      <c r="HMN110" s="769"/>
      <c r="HMO110" s="769"/>
      <c r="HMP110" s="769"/>
      <c r="HMQ110" s="769"/>
      <c r="HMR110" s="769"/>
      <c r="HMS110" s="769"/>
      <c r="HMT110" s="769"/>
      <c r="HMU110" s="769"/>
      <c r="HMV110" s="769"/>
      <c r="HMW110" s="769"/>
      <c r="HMX110" s="769"/>
      <c r="HMY110" s="769"/>
      <c r="HMZ110" s="769"/>
      <c r="HNA110" s="769"/>
      <c r="HNB110" s="769"/>
      <c r="HNC110" s="769"/>
      <c r="HND110" s="769"/>
      <c r="HNE110" s="769"/>
      <c r="HNF110" s="769"/>
      <c r="HNG110" s="769"/>
      <c r="HNH110" s="769"/>
      <c r="HNI110" s="769"/>
      <c r="HNJ110" s="769"/>
      <c r="HNK110" s="769"/>
      <c r="HNL110" s="769"/>
      <c r="HNM110" s="769"/>
      <c r="HNN110" s="769"/>
      <c r="HNO110" s="769"/>
      <c r="HNP110" s="769"/>
      <c r="HNQ110" s="769"/>
      <c r="HNR110" s="769"/>
      <c r="HNS110" s="769"/>
      <c r="HNT110" s="769"/>
      <c r="HNU110" s="769"/>
      <c r="HNV110" s="769"/>
      <c r="HNW110" s="769"/>
      <c r="HNX110" s="769"/>
      <c r="HNY110" s="769"/>
      <c r="HNZ110" s="769"/>
      <c r="HOA110" s="769"/>
      <c r="HOB110" s="769"/>
      <c r="HOC110" s="769"/>
      <c r="HOD110" s="769"/>
      <c r="HOE110" s="769"/>
      <c r="HOF110" s="769"/>
      <c r="HOG110" s="769"/>
      <c r="HOH110" s="769"/>
      <c r="HOI110" s="769"/>
      <c r="HOJ110" s="769"/>
      <c r="HOK110" s="769"/>
      <c r="HOL110" s="769"/>
      <c r="HOM110" s="769"/>
      <c r="HON110" s="769"/>
      <c r="HOO110" s="769"/>
      <c r="HOP110" s="769"/>
      <c r="HOQ110" s="769"/>
      <c r="HOR110" s="769"/>
      <c r="HOS110" s="769"/>
      <c r="HOT110" s="769"/>
      <c r="HOU110" s="769"/>
      <c r="HOV110" s="769"/>
      <c r="HOW110" s="769"/>
      <c r="HOX110" s="769"/>
      <c r="HOY110" s="769"/>
      <c r="HOZ110" s="769"/>
      <c r="HPA110" s="769"/>
      <c r="HPB110" s="769"/>
      <c r="HPC110" s="769"/>
      <c r="HPD110" s="769"/>
      <c r="HPE110" s="769"/>
      <c r="HPF110" s="769"/>
      <c r="HPG110" s="769"/>
      <c r="HPH110" s="769"/>
      <c r="HPI110" s="769"/>
      <c r="HPJ110" s="769"/>
      <c r="HPK110" s="769"/>
      <c r="HPL110" s="769"/>
      <c r="HPM110" s="769"/>
      <c r="HPN110" s="769"/>
      <c r="HPO110" s="769"/>
      <c r="HPP110" s="769"/>
      <c r="HPQ110" s="769"/>
      <c r="HPR110" s="769"/>
      <c r="HPS110" s="769"/>
      <c r="HPT110" s="769"/>
      <c r="HPU110" s="769"/>
      <c r="HPV110" s="769"/>
      <c r="HPW110" s="769"/>
      <c r="HPX110" s="769"/>
      <c r="HPY110" s="769"/>
      <c r="HPZ110" s="769"/>
      <c r="HQA110" s="769"/>
      <c r="HQB110" s="769"/>
      <c r="HQC110" s="769"/>
      <c r="HQD110" s="769"/>
      <c r="HQE110" s="769"/>
      <c r="HQF110" s="769"/>
      <c r="HQG110" s="769"/>
      <c r="HQH110" s="769"/>
      <c r="HQI110" s="769"/>
      <c r="HQJ110" s="769"/>
      <c r="HQK110" s="769"/>
      <c r="HQL110" s="769"/>
      <c r="HQM110" s="769"/>
      <c r="HQN110" s="769"/>
      <c r="HQO110" s="769"/>
      <c r="HQP110" s="769"/>
      <c r="HQQ110" s="769"/>
      <c r="HQR110" s="769"/>
      <c r="HQS110" s="769"/>
      <c r="HQT110" s="769"/>
      <c r="HQU110" s="769"/>
      <c r="HQV110" s="769"/>
      <c r="HQW110" s="769"/>
      <c r="HQX110" s="769"/>
      <c r="HQY110" s="769"/>
      <c r="HQZ110" s="769"/>
      <c r="HRA110" s="769"/>
      <c r="HRB110" s="769"/>
      <c r="HRC110" s="769"/>
      <c r="HRD110" s="769"/>
      <c r="HRE110" s="769"/>
      <c r="HRF110" s="769"/>
      <c r="HRG110" s="769"/>
      <c r="HRH110" s="769"/>
      <c r="HRI110" s="769"/>
      <c r="HRJ110" s="769"/>
      <c r="HRK110" s="769"/>
      <c r="HRL110" s="769"/>
      <c r="HRM110" s="769"/>
      <c r="HRN110" s="769"/>
      <c r="HRO110" s="769"/>
      <c r="HRP110" s="769"/>
      <c r="HRQ110" s="769"/>
      <c r="HRR110" s="769"/>
      <c r="HRS110" s="769"/>
      <c r="HRT110" s="769"/>
      <c r="HRU110" s="769"/>
      <c r="HRV110" s="769"/>
      <c r="HRW110" s="769"/>
      <c r="HRX110" s="769"/>
      <c r="HRY110" s="769"/>
      <c r="HRZ110" s="769"/>
      <c r="HSA110" s="769"/>
      <c r="HSB110" s="769"/>
      <c r="HSC110" s="769"/>
      <c r="HSD110" s="769"/>
      <c r="HSE110" s="769"/>
      <c r="HSF110" s="769"/>
      <c r="HSG110" s="769"/>
      <c r="HSH110" s="769"/>
      <c r="HSI110" s="769"/>
      <c r="HSJ110" s="769"/>
      <c r="HSK110" s="769"/>
      <c r="HSL110" s="769"/>
      <c r="HSM110" s="769"/>
      <c r="HSN110" s="769"/>
      <c r="HSO110" s="769"/>
      <c r="HSP110" s="769"/>
      <c r="HSQ110" s="769"/>
      <c r="HSR110" s="769"/>
      <c r="HSS110" s="769"/>
      <c r="HST110" s="769"/>
      <c r="HSU110" s="769"/>
      <c r="HSV110" s="769"/>
      <c r="HSW110" s="769"/>
      <c r="HSX110" s="769"/>
      <c r="HSY110" s="769"/>
      <c r="HSZ110" s="769"/>
      <c r="HTA110" s="769"/>
      <c r="HTB110" s="769"/>
      <c r="HTC110" s="769"/>
      <c r="HTD110" s="769"/>
      <c r="HTE110" s="769"/>
      <c r="HTF110" s="769"/>
      <c r="HTG110" s="769"/>
      <c r="HTH110" s="769"/>
      <c r="HTI110" s="769"/>
      <c r="HTJ110" s="769"/>
      <c r="HTK110" s="769"/>
      <c r="HTL110" s="769"/>
      <c r="HTM110" s="769"/>
      <c r="HTN110" s="769"/>
      <c r="HTO110" s="769"/>
      <c r="HTP110" s="769"/>
      <c r="HTQ110" s="769"/>
      <c r="HTR110" s="769"/>
      <c r="HTS110" s="769"/>
      <c r="HTT110" s="769"/>
      <c r="HTU110" s="769"/>
      <c r="HTV110" s="769"/>
      <c r="HTW110" s="769"/>
      <c r="HTX110" s="769"/>
      <c r="HTY110" s="769"/>
      <c r="HTZ110" s="769"/>
      <c r="HUA110" s="769"/>
      <c r="HUB110" s="769"/>
      <c r="HUC110" s="769"/>
      <c r="HUD110" s="769"/>
      <c r="HUE110" s="769"/>
      <c r="HUF110" s="769"/>
      <c r="HUG110" s="769"/>
      <c r="HUH110" s="769"/>
      <c r="HUI110" s="769"/>
      <c r="HUJ110" s="769"/>
      <c r="HUK110" s="769"/>
      <c r="HUL110" s="769"/>
      <c r="HUM110" s="769"/>
      <c r="HUN110" s="769"/>
      <c r="HUO110" s="769"/>
      <c r="HUP110" s="769"/>
      <c r="HUQ110" s="769"/>
      <c r="HUR110" s="769"/>
      <c r="HUS110" s="769"/>
      <c r="HUT110" s="769"/>
      <c r="HUU110" s="769"/>
      <c r="HUV110" s="769"/>
      <c r="HUW110" s="769"/>
      <c r="HUX110" s="769"/>
      <c r="HUY110" s="769"/>
      <c r="HUZ110" s="769"/>
      <c r="HVA110" s="769"/>
      <c r="HVB110" s="769"/>
      <c r="HVC110" s="769"/>
      <c r="HVD110" s="769"/>
      <c r="HVE110" s="769"/>
      <c r="HVF110" s="769"/>
      <c r="HVG110" s="769"/>
      <c r="HVH110" s="769"/>
      <c r="HVI110" s="769"/>
      <c r="HVJ110" s="769"/>
      <c r="HVK110" s="769"/>
      <c r="HVL110" s="769"/>
      <c r="HVM110" s="769"/>
      <c r="HVN110" s="769"/>
      <c r="HVO110" s="769"/>
      <c r="HVP110" s="769"/>
      <c r="HVQ110" s="769"/>
      <c r="HVR110" s="769"/>
      <c r="HVS110" s="769"/>
      <c r="HVT110" s="769"/>
      <c r="HVU110" s="769"/>
      <c r="HVV110" s="769"/>
      <c r="HVW110" s="769"/>
      <c r="HVX110" s="769"/>
      <c r="HVY110" s="769"/>
      <c r="HVZ110" s="769"/>
      <c r="HWA110" s="769"/>
      <c r="HWB110" s="769"/>
      <c r="HWC110" s="769"/>
      <c r="HWD110" s="769"/>
      <c r="HWE110" s="769"/>
      <c r="HWF110" s="769"/>
      <c r="HWG110" s="769"/>
      <c r="HWH110" s="769"/>
      <c r="HWI110" s="769"/>
      <c r="HWJ110" s="769"/>
      <c r="HWK110" s="769"/>
      <c r="HWL110" s="769"/>
      <c r="HWM110" s="769"/>
      <c r="HWN110" s="769"/>
      <c r="HWO110" s="769"/>
      <c r="HWP110" s="769"/>
      <c r="HWQ110" s="769"/>
      <c r="HWR110" s="769"/>
      <c r="HWS110" s="769"/>
      <c r="HWT110" s="769"/>
      <c r="HWU110" s="769"/>
      <c r="HWV110" s="769"/>
      <c r="HWW110" s="769"/>
      <c r="HWX110" s="769"/>
      <c r="HWY110" s="769"/>
      <c r="HWZ110" s="769"/>
      <c r="HXA110" s="769"/>
      <c r="HXB110" s="769"/>
      <c r="HXC110" s="769"/>
      <c r="HXD110" s="769"/>
      <c r="HXE110" s="769"/>
      <c r="HXF110" s="769"/>
      <c r="HXG110" s="769"/>
      <c r="HXH110" s="769"/>
      <c r="HXI110" s="769"/>
      <c r="HXJ110" s="769"/>
      <c r="HXK110" s="769"/>
      <c r="HXL110" s="769"/>
      <c r="HXM110" s="769"/>
      <c r="HXN110" s="769"/>
      <c r="HXO110" s="769"/>
      <c r="HXP110" s="769"/>
      <c r="HXQ110" s="769"/>
      <c r="HXR110" s="769"/>
      <c r="HXS110" s="769"/>
      <c r="HXT110" s="769"/>
      <c r="HXU110" s="769"/>
      <c r="HXV110" s="769"/>
      <c r="HXW110" s="769"/>
      <c r="HXX110" s="769"/>
      <c r="HXY110" s="769"/>
      <c r="HXZ110" s="769"/>
      <c r="HYA110" s="769"/>
      <c r="HYB110" s="769"/>
      <c r="HYC110" s="769"/>
      <c r="HYD110" s="769"/>
      <c r="HYE110" s="769"/>
      <c r="HYF110" s="769"/>
      <c r="HYG110" s="769"/>
      <c r="HYH110" s="769"/>
      <c r="HYI110" s="769"/>
      <c r="HYJ110" s="769"/>
      <c r="HYK110" s="769"/>
      <c r="HYL110" s="769"/>
      <c r="HYM110" s="769"/>
      <c r="HYN110" s="769"/>
      <c r="HYO110" s="769"/>
      <c r="HYP110" s="769"/>
      <c r="HYQ110" s="769"/>
      <c r="HYR110" s="769"/>
      <c r="HYS110" s="769"/>
      <c r="HYT110" s="769"/>
      <c r="HYU110" s="769"/>
      <c r="HYV110" s="769"/>
      <c r="HYW110" s="769"/>
      <c r="HYX110" s="769"/>
      <c r="HYY110" s="769"/>
      <c r="HYZ110" s="769"/>
      <c r="HZA110" s="769"/>
      <c r="HZB110" s="769"/>
      <c r="HZC110" s="769"/>
      <c r="HZD110" s="769"/>
      <c r="HZE110" s="769"/>
      <c r="HZF110" s="769"/>
      <c r="HZG110" s="769"/>
      <c r="HZH110" s="769"/>
      <c r="HZI110" s="769"/>
      <c r="HZJ110" s="769"/>
      <c r="HZK110" s="769"/>
      <c r="HZL110" s="769"/>
      <c r="HZM110" s="769"/>
      <c r="HZN110" s="769"/>
      <c r="HZO110" s="769"/>
      <c r="HZP110" s="769"/>
      <c r="HZQ110" s="769"/>
      <c r="HZR110" s="769"/>
      <c r="HZS110" s="769"/>
      <c r="HZT110" s="769"/>
      <c r="HZU110" s="769"/>
      <c r="HZV110" s="769"/>
      <c r="HZW110" s="769"/>
      <c r="HZX110" s="769"/>
      <c r="HZY110" s="769"/>
      <c r="HZZ110" s="769"/>
      <c r="IAA110" s="769"/>
      <c r="IAB110" s="769"/>
      <c r="IAC110" s="769"/>
      <c r="IAD110" s="769"/>
      <c r="IAE110" s="769"/>
      <c r="IAF110" s="769"/>
      <c r="IAG110" s="769"/>
      <c r="IAH110" s="769"/>
      <c r="IAI110" s="769"/>
      <c r="IAJ110" s="769"/>
      <c r="IAK110" s="769"/>
      <c r="IAL110" s="769"/>
      <c r="IAM110" s="769"/>
      <c r="IAN110" s="769"/>
      <c r="IAO110" s="769"/>
      <c r="IAP110" s="769"/>
      <c r="IAQ110" s="769"/>
      <c r="IAR110" s="769"/>
      <c r="IAS110" s="769"/>
      <c r="IAT110" s="769"/>
      <c r="IAU110" s="769"/>
      <c r="IAV110" s="769"/>
      <c r="IAW110" s="769"/>
      <c r="IAX110" s="769"/>
      <c r="IAY110" s="769"/>
      <c r="IAZ110" s="769"/>
      <c r="IBA110" s="769"/>
      <c r="IBB110" s="769"/>
      <c r="IBC110" s="769"/>
      <c r="IBD110" s="769"/>
      <c r="IBE110" s="769"/>
      <c r="IBF110" s="769"/>
      <c r="IBG110" s="769"/>
      <c r="IBH110" s="769"/>
      <c r="IBI110" s="769"/>
      <c r="IBJ110" s="769"/>
      <c r="IBK110" s="769"/>
      <c r="IBL110" s="769"/>
      <c r="IBM110" s="769"/>
      <c r="IBN110" s="769"/>
      <c r="IBO110" s="769"/>
      <c r="IBP110" s="769"/>
      <c r="IBQ110" s="769"/>
      <c r="IBR110" s="769"/>
      <c r="IBS110" s="769"/>
      <c r="IBT110" s="769"/>
      <c r="IBU110" s="769"/>
      <c r="IBV110" s="769"/>
      <c r="IBW110" s="769"/>
      <c r="IBX110" s="769"/>
      <c r="IBY110" s="769"/>
      <c r="IBZ110" s="769"/>
      <c r="ICA110" s="769"/>
      <c r="ICB110" s="769"/>
      <c r="ICC110" s="769"/>
      <c r="ICD110" s="769"/>
      <c r="ICE110" s="769"/>
      <c r="ICF110" s="769"/>
      <c r="ICG110" s="769"/>
      <c r="ICH110" s="769"/>
      <c r="ICI110" s="769"/>
      <c r="ICJ110" s="769"/>
      <c r="ICK110" s="769"/>
      <c r="ICL110" s="769"/>
      <c r="ICM110" s="769"/>
      <c r="ICN110" s="769"/>
      <c r="ICO110" s="769"/>
      <c r="ICP110" s="769"/>
      <c r="ICQ110" s="769"/>
      <c r="ICR110" s="769"/>
      <c r="ICS110" s="769"/>
      <c r="ICT110" s="769"/>
      <c r="ICU110" s="769"/>
      <c r="ICV110" s="769"/>
      <c r="ICW110" s="769"/>
      <c r="ICX110" s="769"/>
      <c r="ICY110" s="769"/>
      <c r="ICZ110" s="769"/>
      <c r="IDA110" s="769"/>
      <c r="IDB110" s="769"/>
      <c r="IDC110" s="769"/>
      <c r="IDD110" s="769"/>
      <c r="IDE110" s="769"/>
      <c r="IDF110" s="769"/>
      <c r="IDG110" s="769"/>
      <c r="IDH110" s="769"/>
      <c r="IDI110" s="769"/>
      <c r="IDJ110" s="769"/>
      <c r="IDK110" s="769"/>
      <c r="IDL110" s="769"/>
      <c r="IDM110" s="769"/>
      <c r="IDN110" s="769"/>
      <c r="IDO110" s="769"/>
      <c r="IDP110" s="769"/>
      <c r="IDQ110" s="769"/>
      <c r="IDR110" s="769"/>
      <c r="IDS110" s="769"/>
      <c r="IDT110" s="769"/>
      <c r="IDU110" s="769"/>
      <c r="IDV110" s="769"/>
      <c r="IDW110" s="769"/>
      <c r="IDX110" s="769"/>
      <c r="IDY110" s="769"/>
      <c r="IDZ110" s="769"/>
      <c r="IEA110" s="769"/>
      <c r="IEB110" s="769"/>
      <c r="IEC110" s="769"/>
      <c r="IED110" s="769"/>
      <c r="IEE110" s="769"/>
      <c r="IEF110" s="769"/>
      <c r="IEG110" s="769"/>
      <c r="IEH110" s="769"/>
      <c r="IEI110" s="769"/>
      <c r="IEJ110" s="769"/>
      <c r="IEK110" s="769"/>
      <c r="IEL110" s="769"/>
      <c r="IEM110" s="769"/>
      <c r="IEN110" s="769"/>
      <c r="IEO110" s="769"/>
      <c r="IEP110" s="769"/>
      <c r="IEQ110" s="769"/>
      <c r="IER110" s="769"/>
      <c r="IES110" s="769"/>
      <c r="IET110" s="769"/>
      <c r="IEU110" s="769"/>
      <c r="IEV110" s="769"/>
      <c r="IEW110" s="769"/>
      <c r="IEX110" s="769"/>
      <c r="IEY110" s="769"/>
      <c r="IEZ110" s="769"/>
      <c r="IFA110" s="769"/>
      <c r="IFB110" s="769"/>
      <c r="IFC110" s="769"/>
      <c r="IFD110" s="769"/>
      <c r="IFE110" s="769"/>
      <c r="IFF110" s="769"/>
      <c r="IFG110" s="769"/>
      <c r="IFH110" s="769"/>
      <c r="IFI110" s="769"/>
      <c r="IFJ110" s="769"/>
      <c r="IFK110" s="769"/>
      <c r="IFL110" s="769"/>
      <c r="IFM110" s="769"/>
      <c r="IFN110" s="769"/>
      <c r="IFO110" s="769"/>
      <c r="IFP110" s="769"/>
      <c r="IFQ110" s="769"/>
      <c r="IFR110" s="769"/>
      <c r="IFS110" s="769"/>
      <c r="IFT110" s="769"/>
      <c r="IFU110" s="769"/>
      <c r="IFV110" s="769"/>
      <c r="IFW110" s="769"/>
      <c r="IFX110" s="769"/>
      <c r="IFY110" s="769"/>
      <c r="IFZ110" s="769"/>
      <c r="IGA110" s="769"/>
      <c r="IGB110" s="769"/>
      <c r="IGC110" s="769"/>
      <c r="IGD110" s="769"/>
      <c r="IGE110" s="769"/>
      <c r="IGF110" s="769"/>
      <c r="IGG110" s="769"/>
      <c r="IGH110" s="769"/>
      <c r="IGI110" s="769"/>
      <c r="IGJ110" s="769"/>
      <c r="IGK110" s="769"/>
      <c r="IGL110" s="769"/>
      <c r="IGM110" s="769"/>
      <c r="IGN110" s="769"/>
      <c r="IGO110" s="769"/>
      <c r="IGP110" s="769"/>
      <c r="IGQ110" s="769"/>
      <c r="IGR110" s="769"/>
      <c r="IGS110" s="769"/>
      <c r="IGT110" s="769"/>
      <c r="IGU110" s="769"/>
      <c r="IGV110" s="769"/>
      <c r="IGW110" s="769"/>
      <c r="IGX110" s="769"/>
      <c r="IGY110" s="769"/>
      <c r="IGZ110" s="769"/>
      <c r="IHA110" s="769"/>
      <c r="IHB110" s="769"/>
      <c r="IHC110" s="769"/>
      <c r="IHD110" s="769"/>
      <c r="IHE110" s="769"/>
      <c r="IHF110" s="769"/>
      <c r="IHG110" s="769"/>
      <c r="IHH110" s="769"/>
      <c r="IHI110" s="769"/>
      <c r="IHJ110" s="769"/>
      <c r="IHK110" s="769"/>
      <c r="IHL110" s="769"/>
      <c r="IHM110" s="769"/>
      <c r="IHN110" s="769"/>
      <c r="IHO110" s="769"/>
      <c r="IHP110" s="769"/>
      <c r="IHQ110" s="769"/>
      <c r="IHR110" s="769"/>
      <c r="IHS110" s="769"/>
      <c r="IHT110" s="769"/>
      <c r="IHU110" s="769"/>
      <c r="IHV110" s="769"/>
      <c r="IHW110" s="769"/>
      <c r="IHX110" s="769"/>
      <c r="IHY110" s="769"/>
      <c r="IHZ110" s="769"/>
      <c r="IIA110" s="769"/>
      <c r="IIB110" s="769"/>
      <c r="IIC110" s="769"/>
      <c r="IID110" s="769"/>
      <c r="IIE110" s="769"/>
      <c r="IIF110" s="769"/>
      <c r="IIG110" s="769"/>
      <c r="IIH110" s="769"/>
      <c r="III110" s="769"/>
      <c r="IIJ110" s="769"/>
      <c r="IIK110" s="769"/>
      <c r="IIL110" s="769"/>
      <c r="IIM110" s="769"/>
      <c r="IIN110" s="769"/>
      <c r="IIO110" s="769"/>
      <c r="IIP110" s="769"/>
      <c r="IIQ110" s="769"/>
      <c r="IIR110" s="769"/>
      <c r="IIS110" s="769"/>
      <c r="IIT110" s="769"/>
      <c r="IIU110" s="769"/>
      <c r="IIV110" s="769"/>
      <c r="IIW110" s="769"/>
      <c r="IIX110" s="769"/>
      <c r="IIY110" s="769"/>
      <c r="IIZ110" s="769"/>
      <c r="IJA110" s="769"/>
      <c r="IJB110" s="769"/>
      <c r="IJC110" s="769"/>
      <c r="IJD110" s="769"/>
      <c r="IJE110" s="769"/>
      <c r="IJF110" s="769"/>
      <c r="IJG110" s="769"/>
      <c r="IJH110" s="769"/>
      <c r="IJI110" s="769"/>
      <c r="IJJ110" s="769"/>
      <c r="IJK110" s="769"/>
      <c r="IJL110" s="769"/>
      <c r="IJM110" s="769"/>
      <c r="IJN110" s="769"/>
      <c r="IJO110" s="769"/>
      <c r="IJP110" s="769"/>
      <c r="IJQ110" s="769"/>
      <c r="IJR110" s="769"/>
      <c r="IJS110" s="769"/>
      <c r="IJT110" s="769"/>
      <c r="IJU110" s="769"/>
      <c r="IJV110" s="769"/>
      <c r="IJW110" s="769"/>
      <c r="IJX110" s="769"/>
      <c r="IJY110" s="769"/>
      <c r="IJZ110" s="769"/>
      <c r="IKA110" s="769"/>
      <c r="IKB110" s="769"/>
      <c r="IKC110" s="769"/>
      <c r="IKD110" s="769"/>
      <c r="IKE110" s="769"/>
      <c r="IKF110" s="769"/>
      <c r="IKG110" s="769"/>
      <c r="IKH110" s="769"/>
      <c r="IKI110" s="769"/>
      <c r="IKJ110" s="769"/>
      <c r="IKK110" s="769"/>
      <c r="IKL110" s="769"/>
      <c r="IKM110" s="769"/>
      <c r="IKN110" s="769"/>
      <c r="IKO110" s="769"/>
      <c r="IKP110" s="769"/>
      <c r="IKQ110" s="769"/>
      <c r="IKR110" s="769"/>
      <c r="IKS110" s="769"/>
      <c r="IKT110" s="769"/>
      <c r="IKU110" s="769"/>
      <c r="IKV110" s="769"/>
      <c r="IKW110" s="769"/>
      <c r="IKX110" s="769"/>
      <c r="IKY110" s="769"/>
      <c r="IKZ110" s="769"/>
      <c r="ILA110" s="769"/>
      <c r="ILB110" s="769"/>
      <c r="ILC110" s="769"/>
      <c r="ILD110" s="769"/>
      <c r="ILE110" s="769"/>
      <c r="ILF110" s="769"/>
      <c r="ILG110" s="769"/>
      <c r="ILH110" s="769"/>
      <c r="ILI110" s="769"/>
      <c r="ILJ110" s="769"/>
      <c r="ILK110" s="769"/>
      <c r="ILL110" s="769"/>
      <c r="ILM110" s="769"/>
      <c r="ILN110" s="769"/>
      <c r="ILO110" s="769"/>
      <c r="ILP110" s="769"/>
      <c r="ILQ110" s="769"/>
      <c r="ILR110" s="769"/>
      <c r="ILS110" s="769"/>
      <c r="ILT110" s="769"/>
      <c r="ILU110" s="769"/>
      <c r="ILV110" s="769"/>
      <c r="ILW110" s="769"/>
      <c r="ILX110" s="769"/>
      <c r="ILY110" s="769"/>
      <c r="ILZ110" s="769"/>
      <c r="IMA110" s="769"/>
      <c r="IMB110" s="769"/>
      <c r="IMC110" s="769"/>
      <c r="IMD110" s="769"/>
      <c r="IME110" s="769"/>
      <c r="IMF110" s="769"/>
      <c r="IMG110" s="769"/>
      <c r="IMH110" s="769"/>
      <c r="IMI110" s="769"/>
      <c r="IMJ110" s="769"/>
      <c r="IMK110" s="769"/>
      <c r="IML110" s="769"/>
      <c r="IMM110" s="769"/>
      <c r="IMN110" s="769"/>
      <c r="IMO110" s="769"/>
      <c r="IMP110" s="769"/>
      <c r="IMQ110" s="769"/>
      <c r="IMR110" s="769"/>
      <c r="IMS110" s="769"/>
      <c r="IMT110" s="769"/>
      <c r="IMU110" s="769"/>
      <c r="IMV110" s="769"/>
      <c r="IMW110" s="769"/>
      <c r="IMX110" s="769"/>
      <c r="IMY110" s="769"/>
      <c r="IMZ110" s="769"/>
      <c r="INA110" s="769"/>
      <c r="INB110" s="769"/>
      <c r="INC110" s="769"/>
      <c r="IND110" s="769"/>
      <c r="INE110" s="769"/>
      <c r="INF110" s="769"/>
      <c r="ING110" s="769"/>
      <c r="INH110" s="769"/>
      <c r="INI110" s="769"/>
      <c r="INJ110" s="769"/>
      <c r="INK110" s="769"/>
      <c r="INL110" s="769"/>
      <c r="INM110" s="769"/>
      <c r="INN110" s="769"/>
      <c r="INO110" s="769"/>
      <c r="INP110" s="769"/>
      <c r="INQ110" s="769"/>
      <c r="INR110" s="769"/>
      <c r="INS110" s="769"/>
      <c r="INT110" s="769"/>
      <c r="INU110" s="769"/>
      <c r="INV110" s="769"/>
      <c r="INW110" s="769"/>
      <c r="INX110" s="769"/>
      <c r="INY110" s="769"/>
      <c r="INZ110" s="769"/>
      <c r="IOA110" s="769"/>
      <c r="IOB110" s="769"/>
      <c r="IOC110" s="769"/>
      <c r="IOD110" s="769"/>
      <c r="IOE110" s="769"/>
      <c r="IOF110" s="769"/>
      <c r="IOG110" s="769"/>
      <c r="IOH110" s="769"/>
      <c r="IOI110" s="769"/>
      <c r="IOJ110" s="769"/>
      <c r="IOK110" s="769"/>
      <c r="IOL110" s="769"/>
      <c r="IOM110" s="769"/>
      <c r="ION110" s="769"/>
      <c r="IOO110" s="769"/>
      <c r="IOP110" s="769"/>
      <c r="IOQ110" s="769"/>
      <c r="IOR110" s="769"/>
      <c r="IOS110" s="769"/>
      <c r="IOT110" s="769"/>
      <c r="IOU110" s="769"/>
      <c r="IOV110" s="769"/>
      <c r="IOW110" s="769"/>
      <c r="IOX110" s="769"/>
      <c r="IOY110" s="769"/>
      <c r="IOZ110" s="769"/>
      <c r="IPA110" s="769"/>
      <c r="IPB110" s="769"/>
      <c r="IPC110" s="769"/>
      <c r="IPD110" s="769"/>
      <c r="IPE110" s="769"/>
      <c r="IPF110" s="769"/>
      <c r="IPG110" s="769"/>
      <c r="IPH110" s="769"/>
      <c r="IPI110" s="769"/>
      <c r="IPJ110" s="769"/>
      <c r="IPK110" s="769"/>
      <c r="IPL110" s="769"/>
      <c r="IPM110" s="769"/>
      <c r="IPN110" s="769"/>
      <c r="IPO110" s="769"/>
      <c r="IPP110" s="769"/>
      <c r="IPQ110" s="769"/>
      <c r="IPR110" s="769"/>
      <c r="IPS110" s="769"/>
      <c r="IPT110" s="769"/>
      <c r="IPU110" s="769"/>
      <c r="IPV110" s="769"/>
      <c r="IPW110" s="769"/>
      <c r="IPX110" s="769"/>
      <c r="IPY110" s="769"/>
      <c r="IPZ110" s="769"/>
      <c r="IQA110" s="769"/>
      <c r="IQB110" s="769"/>
      <c r="IQC110" s="769"/>
      <c r="IQD110" s="769"/>
      <c r="IQE110" s="769"/>
      <c r="IQF110" s="769"/>
      <c r="IQG110" s="769"/>
      <c r="IQH110" s="769"/>
      <c r="IQI110" s="769"/>
      <c r="IQJ110" s="769"/>
      <c r="IQK110" s="769"/>
      <c r="IQL110" s="769"/>
      <c r="IQM110" s="769"/>
      <c r="IQN110" s="769"/>
      <c r="IQO110" s="769"/>
      <c r="IQP110" s="769"/>
      <c r="IQQ110" s="769"/>
      <c r="IQR110" s="769"/>
      <c r="IQS110" s="769"/>
      <c r="IQT110" s="769"/>
      <c r="IQU110" s="769"/>
      <c r="IQV110" s="769"/>
      <c r="IQW110" s="769"/>
      <c r="IQX110" s="769"/>
      <c r="IQY110" s="769"/>
      <c r="IQZ110" s="769"/>
      <c r="IRA110" s="769"/>
      <c r="IRB110" s="769"/>
      <c r="IRC110" s="769"/>
      <c r="IRD110" s="769"/>
      <c r="IRE110" s="769"/>
      <c r="IRF110" s="769"/>
      <c r="IRG110" s="769"/>
      <c r="IRH110" s="769"/>
      <c r="IRI110" s="769"/>
      <c r="IRJ110" s="769"/>
      <c r="IRK110" s="769"/>
      <c r="IRL110" s="769"/>
      <c r="IRM110" s="769"/>
      <c r="IRN110" s="769"/>
      <c r="IRO110" s="769"/>
      <c r="IRP110" s="769"/>
      <c r="IRQ110" s="769"/>
      <c r="IRR110" s="769"/>
      <c r="IRS110" s="769"/>
      <c r="IRT110" s="769"/>
      <c r="IRU110" s="769"/>
      <c r="IRV110" s="769"/>
      <c r="IRW110" s="769"/>
      <c r="IRX110" s="769"/>
      <c r="IRY110" s="769"/>
      <c r="IRZ110" s="769"/>
      <c r="ISA110" s="769"/>
      <c r="ISB110" s="769"/>
      <c r="ISC110" s="769"/>
      <c r="ISD110" s="769"/>
      <c r="ISE110" s="769"/>
      <c r="ISF110" s="769"/>
      <c r="ISG110" s="769"/>
      <c r="ISH110" s="769"/>
      <c r="ISI110" s="769"/>
      <c r="ISJ110" s="769"/>
      <c r="ISK110" s="769"/>
      <c r="ISL110" s="769"/>
      <c r="ISM110" s="769"/>
      <c r="ISN110" s="769"/>
      <c r="ISO110" s="769"/>
      <c r="ISP110" s="769"/>
      <c r="ISQ110" s="769"/>
      <c r="ISR110" s="769"/>
      <c r="ISS110" s="769"/>
      <c r="IST110" s="769"/>
      <c r="ISU110" s="769"/>
      <c r="ISV110" s="769"/>
      <c r="ISW110" s="769"/>
      <c r="ISX110" s="769"/>
      <c r="ISY110" s="769"/>
      <c r="ISZ110" s="769"/>
      <c r="ITA110" s="769"/>
      <c r="ITB110" s="769"/>
      <c r="ITC110" s="769"/>
      <c r="ITD110" s="769"/>
      <c r="ITE110" s="769"/>
      <c r="ITF110" s="769"/>
      <c r="ITG110" s="769"/>
      <c r="ITH110" s="769"/>
      <c r="ITI110" s="769"/>
      <c r="ITJ110" s="769"/>
      <c r="ITK110" s="769"/>
      <c r="ITL110" s="769"/>
      <c r="ITM110" s="769"/>
      <c r="ITN110" s="769"/>
      <c r="ITO110" s="769"/>
      <c r="ITP110" s="769"/>
      <c r="ITQ110" s="769"/>
      <c r="ITR110" s="769"/>
      <c r="ITS110" s="769"/>
      <c r="ITT110" s="769"/>
      <c r="ITU110" s="769"/>
      <c r="ITV110" s="769"/>
      <c r="ITW110" s="769"/>
      <c r="ITX110" s="769"/>
      <c r="ITY110" s="769"/>
      <c r="ITZ110" s="769"/>
      <c r="IUA110" s="769"/>
      <c r="IUB110" s="769"/>
      <c r="IUC110" s="769"/>
      <c r="IUD110" s="769"/>
      <c r="IUE110" s="769"/>
      <c r="IUF110" s="769"/>
      <c r="IUG110" s="769"/>
      <c r="IUH110" s="769"/>
      <c r="IUI110" s="769"/>
      <c r="IUJ110" s="769"/>
      <c r="IUK110" s="769"/>
      <c r="IUL110" s="769"/>
      <c r="IUM110" s="769"/>
      <c r="IUN110" s="769"/>
      <c r="IUO110" s="769"/>
      <c r="IUP110" s="769"/>
      <c r="IUQ110" s="769"/>
      <c r="IUR110" s="769"/>
      <c r="IUS110" s="769"/>
      <c r="IUT110" s="769"/>
      <c r="IUU110" s="769"/>
      <c r="IUV110" s="769"/>
      <c r="IUW110" s="769"/>
      <c r="IUX110" s="769"/>
      <c r="IUY110" s="769"/>
      <c r="IUZ110" s="769"/>
      <c r="IVA110" s="769"/>
      <c r="IVB110" s="769"/>
      <c r="IVC110" s="769"/>
      <c r="IVD110" s="769"/>
      <c r="IVE110" s="769"/>
      <c r="IVF110" s="769"/>
      <c r="IVG110" s="769"/>
      <c r="IVH110" s="769"/>
      <c r="IVI110" s="769"/>
      <c r="IVJ110" s="769"/>
      <c r="IVK110" s="769"/>
      <c r="IVL110" s="769"/>
      <c r="IVM110" s="769"/>
      <c r="IVN110" s="769"/>
      <c r="IVO110" s="769"/>
      <c r="IVP110" s="769"/>
      <c r="IVQ110" s="769"/>
      <c r="IVR110" s="769"/>
      <c r="IVS110" s="769"/>
      <c r="IVT110" s="769"/>
      <c r="IVU110" s="769"/>
      <c r="IVV110" s="769"/>
      <c r="IVW110" s="769"/>
      <c r="IVX110" s="769"/>
      <c r="IVY110" s="769"/>
      <c r="IVZ110" s="769"/>
      <c r="IWA110" s="769"/>
      <c r="IWB110" s="769"/>
      <c r="IWC110" s="769"/>
      <c r="IWD110" s="769"/>
      <c r="IWE110" s="769"/>
      <c r="IWF110" s="769"/>
      <c r="IWG110" s="769"/>
      <c r="IWH110" s="769"/>
      <c r="IWI110" s="769"/>
      <c r="IWJ110" s="769"/>
      <c r="IWK110" s="769"/>
      <c r="IWL110" s="769"/>
      <c r="IWM110" s="769"/>
      <c r="IWN110" s="769"/>
      <c r="IWO110" s="769"/>
      <c r="IWP110" s="769"/>
      <c r="IWQ110" s="769"/>
      <c r="IWR110" s="769"/>
      <c r="IWS110" s="769"/>
      <c r="IWT110" s="769"/>
      <c r="IWU110" s="769"/>
      <c r="IWV110" s="769"/>
      <c r="IWW110" s="769"/>
      <c r="IWX110" s="769"/>
      <c r="IWY110" s="769"/>
      <c r="IWZ110" s="769"/>
      <c r="IXA110" s="769"/>
      <c r="IXB110" s="769"/>
      <c r="IXC110" s="769"/>
      <c r="IXD110" s="769"/>
      <c r="IXE110" s="769"/>
      <c r="IXF110" s="769"/>
      <c r="IXG110" s="769"/>
      <c r="IXH110" s="769"/>
      <c r="IXI110" s="769"/>
      <c r="IXJ110" s="769"/>
      <c r="IXK110" s="769"/>
      <c r="IXL110" s="769"/>
      <c r="IXM110" s="769"/>
      <c r="IXN110" s="769"/>
      <c r="IXO110" s="769"/>
      <c r="IXP110" s="769"/>
      <c r="IXQ110" s="769"/>
      <c r="IXR110" s="769"/>
      <c r="IXS110" s="769"/>
      <c r="IXT110" s="769"/>
      <c r="IXU110" s="769"/>
      <c r="IXV110" s="769"/>
      <c r="IXW110" s="769"/>
      <c r="IXX110" s="769"/>
      <c r="IXY110" s="769"/>
      <c r="IXZ110" s="769"/>
      <c r="IYA110" s="769"/>
      <c r="IYB110" s="769"/>
      <c r="IYC110" s="769"/>
      <c r="IYD110" s="769"/>
      <c r="IYE110" s="769"/>
      <c r="IYF110" s="769"/>
      <c r="IYG110" s="769"/>
      <c r="IYH110" s="769"/>
      <c r="IYI110" s="769"/>
      <c r="IYJ110" s="769"/>
      <c r="IYK110" s="769"/>
      <c r="IYL110" s="769"/>
      <c r="IYM110" s="769"/>
      <c r="IYN110" s="769"/>
      <c r="IYO110" s="769"/>
      <c r="IYP110" s="769"/>
      <c r="IYQ110" s="769"/>
      <c r="IYR110" s="769"/>
      <c r="IYS110" s="769"/>
      <c r="IYT110" s="769"/>
      <c r="IYU110" s="769"/>
      <c r="IYV110" s="769"/>
      <c r="IYW110" s="769"/>
      <c r="IYX110" s="769"/>
      <c r="IYY110" s="769"/>
      <c r="IYZ110" s="769"/>
      <c r="IZA110" s="769"/>
      <c r="IZB110" s="769"/>
      <c r="IZC110" s="769"/>
      <c r="IZD110" s="769"/>
      <c r="IZE110" s="769"/>
      <c r="IZF110" s="769"/>
      <c r="IZG110" s="769"/>
      <c r="IZH110" s="769"/>
      <c r="IZI110" s="769"/>
      <c r="IZJ110" s="769"/>
      <c r="IZK110" s="769"/>
      <c r="IZL110" s="769"/>
      <c r="IZM110" s="769"/>
      <c r="IZN110" s="769"/>
      <c r="IZO110" s="769"/>
      <c r="IZP110" s="769"/>
      <c r="IZQ110" s="769"/>
      <c r="IZR110" s="769"/>
      <c r="IZS110" s="769"/>
      <c r="IZT110" s="769"/>
      <c r="IZU110" s="769"/>
      <c r="IZV110" s="769"/>
      <c r="IZW110" s="769"/>
      <c r="IZX110" s="769"/>
      <c r="IZY110" s="769"/>
      <c r="IZZ110" s="769"/>
      <c r="JAA110" s="769"/>
      <c r="JAB110" s="769"/>
      <c r="JAC110" s="769"/>
      <c r="JAD110" s="769"/>
      <c r="JAE110" s="769"/>
      <c r="JAF110" s="769"/>
      <c r="JAG110" s="769"/>
      <c r="JAH110" s="769"/>
      <c r="JAI110" s="769"/>
      <c r="JAJ110" s="769"/>
      <c r="JAK110" s="769"/>
      <c r="JAL110" s="769"/>
      <c r="JAM110" s="769"/>
      <c r="JAN110" s="769"/>
      <c r="JAO110" s="769"/>
      <c r="JAP110" s="769"/>
      <c r="JAQ110" s="769"/>
      <c r="JAR110" s="769"/>
      <c r="JAS110" s="769"/>
      <c r="JAT110" s="769"/>
      <c r="JAU110" s="769"/>
      <c r="JAV110" s="769"/>
      <c r="JAW110" s="769"/>
      <c r="JAX110" s="769"/>
      <c r="JAY110" s="769"/>
      <c r="JAZ110" s="769"/>
      <c r="JBA110" s="769"/>
      <c r="JBB110" s="769"/>
      <c r="JBC110" s="769"/>
      <c r="JBD110" s="769"/>
      <c r="JBE110" s="769"/>
      <c r="JBF110" s="769"/>
      <c r="JBG110" s="769"/>
      <c r="JBH110" s="769"/>
      <c r="JBI110" s="769"/>
      <c r="JBJ110" s="769"/>
      <c r="JBK110" s="769"/>
      <c r="JBL110" s="769"/>
      <c r="JBM110" s="769"/>
      <c r="JBN110" s="769"/>
      <c r="JBO110" s="769"/>
      <c r="JBP110" s="769"/>
      <c r="JBQ110" s="769"/>
      <c r="JBR110" s="769"/>
      <c r="JBS110" s="769"/>
      <c r="JBT110" s="769"/>
      <c r="JBU110" s="769"/>
      <c r="JBV110" s="769"/>
      <c r="JBW110" s="769"/>
      <c r="JBX110" s="769"/>
      <c r="JBY110" s="769"/>
      <c r="JBZ110" s="769"/>
      <c r="JCA110" s="769"/>
      <c r="JCB110" s="769"/>
      <c r="JCC110" s="769"/>
      <c r="JCD110" s="769"/>
      <c r="JCE110" s="769"/>
      <c r="JCF110" s="769"/>
      <c r="JCG110" s="769"/>
      <c r="JCH110" s="769"/>
      <c r="JCI110" s="769"/>
      <c r="JCJ110" s="769"/>
      <c r="JCK110" s="769"/>
      <c r="JCL110" s="769"/>
      <c r="JCM110" s="769"/>
      <c r="JCN110" s="769"/>
      <c r="JCO110" s="769"/>
      <c r="JCP110" s="769"/>
      <c r="JCQ110" s="769"/>
      <c r="JCR110" s="769"/>
      <c r="JCS110" s="769"/>
      <c r="JCT110" s="769"/>
      <c r="JCU110" s="769"/>
      <c r="JCV110" s="769"/>
      <c r="JCW110" s="769"/>
      <c r="JCX110" s="769"/>
      <c r="JCY110" s="769"/>
      <c r="JCZ110" s="769"/>
      <c r="JDA110" s="769"/>
      <c r="JDB110" s="769"/>
      <c r="JDC110" s="769"/>
      <c r="JDD110" s="769"/>
      <c r="JDE110" s="769"/>
      <c r="JDF110" s="769"/>
      <c r="JDG110" s="769"/>
      <c r="JDH110" s="769"/>
      <c r="JDI110" s="769"/>
      <c r="JDJ110" s="769"/>
      <c r="JDK110" s="769"/>
      <c r="JDL110" s="769"/>
      <c r="JDM110" s="769"/>
      <c r="JDN110" s="769"/>
      <c r="JDO110" s="769"/>
      <c r="JDP110" s="769"/>
      <c r="JDQ110" s="769"/>
      <c r="JDR110" s="769"/>
      <c r="JDS110" s="769"/>
      <c r="JDT110" s="769"/>
      <c r="JDU110" s="769"/>
      <c r="JDV110" s="769"/>
      <c r="JDW110" s="769"/>
      <c r="JDX110" s="769"/>
      <c r="JDY110" s="769"/>
      <c r="JDZ110" s="769"/>
      <c r="JEA110" s="769"/>
      <c r="JEB110" s="769"/>
      <c r="JEC110" s="769"/>
      <c r="JED110" s="769"/>
      <c r="JEE110" s="769"/>
      <c r="JEF110" s="769"/>
      <c r="JEG110" s="769"/>
      <c r="JEH110" s="769"/>
      <c r="JEI110" s="769"/>
      <c r="JEJ110" s="769"/>
      <c r="JEK110" s="769"/>
      <c r="JEL110" s="769"/>
      <c r="JEM110" s="769"/>
      <c r="JEN110" s="769"/>
      <c r="JEO110" s="769"/>
      <c r="JEP110" s="769"/>
      <c r="JEQ110" s="769"/>
      <c r="JER110" s="769"/>
      <c r="JES110" s="769"/>
      <c r="JET110" s="769"/>
      <c r="JEU110" s="769"/>
      <c r="JEV110" s="769"/>
      <c r="JEW110" s="769"/>
      <c r="JEX110" s="769"/>
      <c r="JEY110" s="769"/>
      <c r="JEZ110" s="769"/>
      <c r="JFA110" s="769"/>
      <c r="JFB110" s="769"/>
      <c r="JFC110" s="769"/>
      <c r="JFD110" s="769"/>
      <c r="JFE110" s="769"/>
      <c r="JFF110" s="769"/>
      <c r="JFG110" s="769"/>
      <c r="JFH110" s="769"/>
      <c r="JFI110" s="769"/>
      <c r="JFJ110" s="769"/>
      <c r="JFK110" s="769"/>
      <c r="JFL110" s="769"/>
      <c r="JFM110" s="769"/>
      <c r="JFN110" s="769"/>
      <c r="JFO110" s="769"/>
      <c r="JFP110" s="769"/>
      <c r="JFQ110" s="769"/>
      <c r="JFR110" s="769"/>
      <c r="JFS110" s="769"/>
      <c r="JFT110" s="769"/>
      <c r="JFU110" s="769"/>
      <c r="JFV110" s="769"/>
      <c r="JFW110" s="769"/>
      <c r="JFX110" s="769"/>
      <c r="JFY110" s="769"/>
      <c r="JFZ110" s="769"/>
      <c r="JGA110" s="769"/>
      <c r="JGB110" s="769"/>
      <c r="JGC110" s="769"/>
      <c r="JGD110" s="769"/>
      <c r="JGE110" s="769"/>
      <c r="JGF110" s="769"/>
      <c r="JGG110" s="769"/>
      <c r="JGH110" s="769"/>
      <c r="JGI110" s="769"/>
      <c r="JGJ110" s="769"/>
      <c r="JGK110" s="769"/>
      <c r="JGL110" s="769"/>
      <c r="JGM110" s="769"/>
      <c r="JGN110" s="769"/>
      <c r="JGO110" s="769"/>
      <c r="JGP110" s="769"/>
      <c r="JGQ110" s="769"/>
      <c r="JGR110" s="769"/>
      <c r="JGS110" s="769"/>
      <c r="JGT110" s="769"/>
      <c r="JGU110" s="769"/>
      <c r="JGV110" s="769"/>
      <c r="JGW110" s="769"/>
      <c r="JGX110" s="769"/>
      <c r="JGY110" s="769"/>
      <c r="JGZ110" s="769"/>
      <c r="JHA110" s="769"/>
      <c r="JHB110" s="769"/>
      <c r="JHC110" s="769"/>
      <c r="JHD110" s="769"/>
      <c r="JHE110" s="769"/>
      <c r="JHF110" s="769"/>
      <c r="JHG110" s="769"/>
      <c r="JHH110" s="769"/>
      <c r="JHI110" s="769"/>
      <c r="JHJ110" s="769"/>
      <c r="JHK110" s="769"/>
      <c r="JHL110" s="769"/>
      <c r="JHM110" s="769"/>
      <c r="JHN110" s="769"/>
      <c r="JHO110" s="769"/>
      <c r="JHP110" s="769"/>
      <c r="JHQ110" s="769"/>
      <c r="JHR110" s="769"/>
      <c r="JHS110" s="769"/>
      <c r="JHT110" s="769"/>
      <c r="JHU110" s="769"/>
      <c r="JHV110" s="769"/>
      <c r="JHW110" s="769"/>
      <c r="JHX110" s="769"/>
      <c r="JHY110" s="769"/>
      <c r="JHZ110" s="769"/>
      <c r="JIA110" s="769"/>
      <c r="JIB110" s="769"/>
      <c r="JIC110" s="769"/>
      <c r="JID110" s="769"/>
      <c r="JIE110" s="769"/>
      <c r="JIF110" s="769"/>
      <c r="JIG110" s="769"/>
      <c r="JIH110" s="769"/>
      <c r="JII110" s="769"/>
      <c r="JIJ110" s="769"/>
      <c r="JIK110" s="769"/>
      <c r="JIL110" s="769"/>
      <c r="JIM110" s="769"/>
      <c r="JIN110" s="769"/>
      <c r="JIO110" s="769"/>
      <c r="JIP110" s="769"/>
      <c r="JIQ110" s="769"/>
      <c r="JIR110" s="769"/>
      <c r="JIS110" s="769"/>
      <c r="JIT110" s="769"/>
      <c r="JIU110" s="769"/>
      <c r="JIV110" s="769"/>
      <c r="JIW110" s="769"/>
      <c r="JIX110" s="769"/>
      <c r="JIY110" s="769"/>
      <c r="JIZ110" s="769"/>
      <c r="JJA110" s="769"/>
      <c r="JJB110" s="769"/>
      <c r="JJC110" s="769"/>
      <c r="JJD110" s="769"/>
      <c r="JJE110" s="769"/>
      <c r="JJF110" s="769"/>
      <c r="JJG110" s="769"/>
      <c r="JJH110" s="769"/>
      <c r="JJI110" s="769"/>
      <c r="JJJ110" s="769"/>
      <c r="JJK110" s="769"/>
      <c r="JJL110" s="769"/>
      <c r="JJM110" s="769"/>
      <c r="JJN110" s="769"/>
      <c r="JJO110" s="769"/>
      <c r="JJP110" s="769"/>
      <c r="JJQ110" s="769"/>
      <c r="JJR110" s="769"/>
      <c r="JJS110" s="769"/>
      <c r="JJT110" s="769"/>
      <c r="JJU110" s="769"/>
      <c r="JJV110" s="769"/>
      <c r="JJW110" s="769"/>
      <c r="JJX110" s="769"/>
      <c r="JJY110" s="769"/>
      <c r="JJZ110" s="769"/>
      <c r="JKA110" s="769"/>
      <c r="JKB110" s="769"/>
      <c r="JKC110" s="769"/>
      <c r="JKD110" s="769"/>
      <c r="JKE110" s="769"/>
      <c r="JKF110" s="769"/>
      <c r="JKG110" s="769"/>
      <c r="JKH110" s="769"/>
      <c r="JKI110" s="769"/>
      <c r="JKJ110" s="769"/>
      <c r="JKK110" s="769"/>
      <c r="JKL110" s="769"/>
      <c r="JKM110" s="769"/>
      <c r="JKN110" s="769"/>
      <c r="JKO110" s="769"/>
      <c r="JKP110" s="769"/>
      <c r="JKQ110" s="769"/>
      <c r="JKR110" s="769"/>
      <c r="JKS110" s="769"/>
      <c r="JKT110" s="769"/>
      <c r="JKU110" s="769"/>
      <c r="JKV110" s="769"/>
      <c r="JKW110" s="769"/>
      <c r="JKX110" s="769"/>
      <c r="JKY110" s="769"/>
      <c r="JKZ110" s="769"/>
      <c r="JLA110" s="769"/>
      <c r="JLB110" s="769"/>
      <c r="JLC110" s="769"/>
      <c r="JLD110" s="769"/>
      <c r="JLE110" s="769"/>
      <c r="JLF110" s="769"/>
      <c r="JLG110" s="769"/>
      <c r="JLH110" s="769"/>
      <c r="JLI110" s="769"/>
      <c r="JLJ110" s="769"/>
      <c r="JLK110" s="769"/>
      <c r="JLL110" s="769"/>
      <c r="JLM110" s="769"/>
      <c r="JLN110" s="769"/>
      <c r="JLO110" s="769"/>
      <c r="JLP110" s="769"/>
      <c r="JLQ110" s="769"/>
      <c r="JLR110" s="769"/>
      <c r="JLS110" s="769"/>
      <c r="JLT110" s="769"/>
      <c r="JLU110" s="769"/>
      <c r="JLV110" s="769"/>
      <c r="JLW110" s="769"/>
      <c r="JLX110" s="769"/>
      <c r="JLY110" s="769"/>
      <c r="JLZ110" s="769"/>
      <c r="JMA110" s="769"/>
      <c r="JMB110" s="769"/>
      <c r="JMC110" s="769"/>
      <c r="JMD110" s="769"/>
      <c r="JME110" s="769"/>
      <c r="JMF110" s="769"/>
      <c r="JMG110" s="769"/>
      <c r="JMH110" s="769"/>
      <c r="JMI110" s="769"/>
      <c r="JMJ110" s="769"/>
      <c r="JMK110" s="769"/>
      <c r="JML110" s="769"/>
      <c r="JMM110" s="769"/>
      <c r="JMN110" s="769"/>
      <c r="JMO110" s="769"/>
      <c r="JMP110" s="769"/>
      <c r="JMQ110" s="769"/>
      <c r="JMR110" s="769"/>
      <c r="JMS110" s="769"/>
      <c r="JMT110" s="769"/>
      <c r="JMU110" s="769"/>
      <c r="JMV110" s="769"/>
      <c r="JMW110" s="769"/>
      <c r="JMX110" s="769"/>
      <c r="JMY110" s="769"/>
      <c r="JMZ110" s="769"/>
      <c r="JNA110" s="769"/>
      <c r="JNB110" s="769"/>
      <c r="JNC110" s="769"/>
      <c r="JND110" s="769"/>
      <c r="JNE110" s="769"/>
      <c r="JNF110" s="769"/>
      <c r="JNG110" s="769"/>
      <c r="JNH110" s="769"/>
      <c r="JNI110" s="769"/>
      <c r="JNJ110" s="769"/>
      <c r="JNK110" s="769"/>
      <c r="JNL110" s="769"/>
      <c r="JNM110" s="769"/>
      <c r="JNN110" s="769"/>
      <c r="JNO110" s="769"/>
      <c r="JNP110" s="769"/>
      <c r="JNQ110" s="769"/>
      <c r="JNR110" s="769"/>
      <c r="JNS110" s="769"/>
      <c r="JNT110" s="769"/>
      <c r="JNU110" s="769"/>
      <c r="JNV110" s="769"/>
      <c r="JNW110" s="769"/>
      <c r="JNX110" s="769"/>
      <c r="JNY110" s="769"/>
      <c r="JNZ110" s="769"/>
      <c r="JOA110" s="769"/>
      <c r="JOB110" s="769"/>
      <c r="JOC110" s="769"/>
      <c r="JOD110" s="769"/>
      <c r="JOE110" s="769"/>
      <c r="JOF110" s="769"/>
      <c r="JOG110" s="769"/>
      <c r="JOH110" s="769"/>
      <c r="JOI110" s="769"/>
      <c r="JOJ110" s="769"/>
      <c r="JOK110" s="769"/>
      <c r="JOL110" s="769"/>
      <c r="JOM110" s="769"/>
      <c r="JON110" s="769"/>
      <c r="JOO110" s="769"/>
      <c r="JOP110" s="769"/>
      <c r="JOQ110" s="769"/>
      <c r="JOR110" s="769"/>
      <c r="JOS110" s="769"/>
      <c r="JOT110" s="769"/>
      <c r="JOU110" s="769"/>
      <c r="JOV110" s="769"/>
      <c r="JOW110" s="769"/>
      <c r="JOX110" s="769"/>
      <c r="JOY110" s="769"/>
      <c r="JOZ110" s="769"/>
      <c r="JPA110" s="769"/>
      <c r="JPB110" s="769"/>
      <c r="JPC110" s="769"/>
      <c r="JPD110" s="769"/>
      <c r="JPE110" s="769"/>
      <c r="JPF110" s="769"/>
      <c r="JPG110" s="769"/>
      <c r="JPH110" s="769"/>
      <c r="JPI110" s="769"/>
      <c r="JPJ110" s="769"/>
      <c r="JPK110" s="769"/>
      <c r="JPL110" s="769"/>
      <c r="JPM110" s="769"/>
      <c r="JPN110" s="769"/>
      <c r="JPO110" s="769"/>
      <c r="JPP110" s="769"/>
      <c r="JPQ110" s="769"/>
      <c r="JPR110" s="769"/>
      <c r="JPS110" s="769"/>
      <c r="JPT110" s="769"/>
      <c r="JPU110" s="769"/>
      <c r="JPV110" s="769"/>
      <c r="JPW110" s="769"/>
      <c r="JPX110" s="769"/>
      <c r="JPY110" s="769"/>
      <c r="JPZ110" s="769"/>
      <c r="JQA110" s="769"/>
      <c r="JQB110" s="769"/>
      <c r="JQC110" s="769"/>
      <c r="JQD110" s="769"/>
      <c r="JQE110" s="769"/>
      <c r="JQF110" s="769"/>
      <c r="JQG110" s="769"/>
      <c r="JQH110" s="769"/>
      <c r="JQI110" s="769"/>
      <c r="JQJ110" s="769"/>
      <c r="JQK110" s="769"/>
      <c r="JQL110" s="769"/>
      <c r="JQM110" s="769"/>
      <c r="JQN110" s="769"/>
      <c r="JQO110" s="769"/>
      <c r="JQP110" s="769"/>
      <c r="JQQ110" s="769"/>
      <c r="JQR110" s="769"/>
      <c r="JQS110" s="769"/>
      <c r="JQT110" s="769"/>
      <c r="JQU110" s="769"/>
      <c r="JQV110" s="769"/>
      <c r="JQW110" s="769"/>
      <c r="JQX110" s="769"/>
      <c r="JQY110" s="769"/>
      <c r="JQZ110" s="769"/>
      <c r="JRA110" s="769"/>
      <c r="JRB110" s="769"/>
      <c r="JRC110" s="769"/>
      <c r="JRD110" s="769"/>
      <c r="JRE110" s="769"/>
      <c r="JRF110" s="769"/>
      <c r="JRG110" s="769"/>
      <c r="JRH110" s="769"/>
      <c r="JRI110" s="769"/>
      <c r="JRJ110" s="769"/>
      <c r="JRK110" s="769"/>
      <c r="JRL110" s="769"/>
      <c r="JRM110" s="769"/>
      <c r="JRN110" s="769"/>
      <c r="JRO110" s="769"/>
      <c r="JRP110" s="769"/>
      <c r="JRQ110" s="769"/>
      <c r="JRR110" s="769"/>
      <c r="JRS110" s="769"/>
      <c r="JRT110" s="769"/>
      <c r="JRU110" s="769"/>
      <c r="JRV110" s="769"/>
      <c r="JRW110" s="769"/>
      <c r="JRX110" s="769"/>
      <c r="JRY110" s="769"/>
      <c r="JRZ110" s="769"/>
      <c r="JSA110" s="769"/>
      <c r="JSB110" s="769"/>
      <c r="JSC110" s="769"/>
      <c r="JSD110" s="769"/>
      <c r="JSE110" s="769"/>
      <c r="JSF110" s="769"/>
      <c r="JSG110" s="769"/>
      <c r="JSH110" s="769"/>
      <c r="JSI110" s="769"/>
      <c r="JSJ110" s="769"/>
      <c r="JSK110" s="769"/>
      <c r="JSL110" s="769"/>
      <c r="JSM110" s="769"/>
      <c r="JSN110" s="769"/>
      <c r="JSO110" s="769"/>
      <c r="JSP110" s="769"/>
      <c r="JSQ110" s="769"/>
      <c r="JSR110" s="769"/>
      <c r="JSS110" s="769"/>
      <c r="JST110" s="769"/>
      <c r="JSU110" s="769"/>
      <c r="JSV110" s="769"/>
      <c r="JSW110" s="769"/>
      <c r="JSX110" s="769"/>
      <c r="JSY110" s="769"/>
      <c r="JSZ110" s="769"/>
      <c r="JTA110" s="769"/>
      <c r="JTB110" s="769"/>
      <c r="JTC110" s="769"/>
      <c r="JTD110" s="769"/>
      <c r="JTE110" s="769"/>
      <c r="JTF110" s="769"/>
      <c r="JTG110" s="769"/>
      <c r="JTH110" s="769"/>
      <c r="JTI110" s="769"/>
      <c r="JTJ110" s="769"/>
      <c r="JTK110" s="769"/>
      <c r="JTL110" s="769"/>
      <c r="JTM110" s="769"/>
      <c r="JTN110" s="769"/>
      <c r="JTO110" s="769"/>
      <c r="JTP110" s="769"/>
      <c r="JTQ110" s="769"/>
      <c r="JTR110" s="769"/>
      <c r="JTS110" s="769"/>
      <c r="JTT110" s="769"/>
      <c r="JTU110" s="769"/>
      <c r="JTV110" s="769"/>
      <c r="JTW110" s="769"/>
      <c r="JTX110" s="769"/>
      <c r="JTY110" s="769"/>
      <c r="JTZ110" s="769"/>
      <c r="JUA110" s="769"/>
      <c r="JUB110" s="769"/>
      <c r="JUC110" s="769"/>
      <c r="JUD110" s="769"/>
      <c r="JUE110" s="769"/>
      <c r="JUF110" s="769"/>
      <c r="JUG110" s="769"/>
      <c r="JUH110" s="769"/>
      <c r="JUI110" s="769"/>
      <c r="JUJ110" s="769"/>
      <c r="JUK110" s="769"/>
      <c r="JUL110" s="769"/>
      <c r="JUM110" s="769"/>
      <c r="JUN110" s="769"/>
      <c r="JUO110" s="769"/>
      <c r="JUP110" s="769"/>
      <c r="JUQ110" s="769"/>
      <c r="JUR110" s="769"/>
      <c r="JUS110" s="769"/>
      <c r="JUT110" s="769"/>
      <c r="JUU110" s="769"/>
      <c r="JUV110" s="769"/>
      <c r="JUW110" s="769"/>
      <c r="JUX110" s="769"/>
      <c r="JUY110" s="769"/>
      <c r="JUZ110" s="769"/>
      <c r="JVA110" s="769"/>
      <c r="JVB110" s="769"/>
      <c r="JVC110" s="769"/>
      <c r="JVD110" s="769"/>
      <c r="JVE110" s="769"/>
      <c r="JVF110" s="769"/>
      <c r="JVG110" s="769"/>
      <c r="JVH110" s="769"/>
      <c r="JVI110" s="769"/>
      <c r="JVJ110" s="769"/>
      <c r="JVK110" s="769"/>
      <c r="JVL110" s="769"/>
      <c r="JVM110" s="769"/>
      <c r="JVN110" s="769"/>
      <c r="JVO110" s="769"/>
      <c r="JVP110" s="769"/>
      <c r="JVQ110" s="769"/>
      <c r="JVR110" s="769"/>
      <c r="JVS110" s="769"/>
      <c r="JVT110" s="769"/>
      <c r="JVU110" s="769"/>
      <c r="JVV110" s="769"/>
      <c r="JVW110" s="769"/>
      <c r="JVX110" s="769"/>
      <c r="JVY110" s="769"/>
      <c r="JVZ110" s="769"/>
      <c r="JWA110" s="769"/>
      <c r="JWB110" s="769"/>
      <c r="JWC110" s="769"/>
      <c r="JWD110" s="769"/>
      <c r="JWE110" s="769"/>
      <c r="JWF110" s="769"/>
      <c r="JWG110" s="769"/>
      <c r="JWH110" s="769"/>
      <c r="JWI110" s="769"/>
      <c r="JWJ110" s="769"/>
      <c r="JWK110" s="769"/>
      <c r="JWL110" s="769"/>
      <c r="JWM110" s="769"/>
      <c r="JWN110" s="769"/>
      <c r="JWO110" s="769"/>
      <c r="JWP110" s="769"/>
      <c r="JWQ110" s="769"/>
      <c r="JWR110" s="769"/>
      <c r="JWS110" s="769"/>
      <c r="JWT110" s="769"/>
      <c r="JWU110" s="769"/>
      <c r="JWV110" s="769"/>
      <c r="JWW110" s="769"/>
      <c r="JWX110" s="769"/>
      <c r="JWY110" s="769"/>
      <c r="JWZ110" s="769"/>
      <c r="JXA110" s="769"/>
      <c r="JXB110" s="769"/>
      <c r="JXC110" s="769"/>
      <c r="JXD110" s="769"/>
      <c r="JXE110" s="769"/>
      <c r="JXF110" s="769"/>
      <c r="JXG110" s="769"/>
      <c r="JXH110" s="769"/>
      <c r="JXI110" s="769"/>
      <c r="JXJ110" s="769"/>
      <c r="JXK110" s="769"/>
      <c r="JXL110" s="769"/>
      <c r="JXM110" s="769"/>
      <c r="JXN110" s="769"/>
      <c r="JXO110" s="769"/>
      <c r="JXP110" s="769"/>
      <c r="JXQ110" s="769"/>
      <c r="JXR110" s="769"/>
      <c r="JXS110" s="769"/>
      <c r="JXT110" s="769"/>
      <c r="JXU110" s="769"/>
      <c r="JXV110" s="769"/>
      <c r="JXW110" s="769"/>
      <c r="JXX110" s="769"/>
      <c r="JXY110" s="769"/>
      <c r="JXZ110" s="769"/>
      <c r="JYA110" s="769"/>
      <c r="JYB110" s="769"/>
      <c r="JYC110" s="769"/>
      <c r="JYD110" s="769"/>
      <c r="JYE110" s="769"/>
      <c r="JYF110" s="769"/>
      <c r="JYG110" s="769"/>
      <c r="JYH110" s="769"/>
      <c r="JYI110" s="769"/>
      <c r="JYJ110" s="769"/>
      <c r="JYK110" s="769"/>
      <c r="JYL110" s="769"/>
      <c r="JYM110" s="769"/>
      <c r="JYN110" s="769"/>
      <c r="JYO110" s="769"/>
      <c r="JYP110" s="769"/>
      <c r="JYQ110" s="769"/>
      <c r="JYR110" s="769"/>
      <c r="JYS110" s="769"/>
      <c r="JYT110" s="769"/>
      <c r="JYU110" s="769"/>
      <c r="JYV110" s="769"/>
      <c r="JYW110" s="769"/>
      <c r="JYX110" s="769"/>
      <c r="JYY110" s="769"/>
      <c r="JYZ110" s="769"/>
      <c r="JZA110" s="769"/>
      <c r="JZB110" s="769"/>
      <c r="JZC110" s="769"/>
      <c r="JZD110" s="769"/>
      <c r="JZE110" s="769"/>
      <c r="JZF110" s="769"/>
      <c r="JZG110" s="769"/>
      <c r="JZH110" s="769"/>
      <c r="JZI110" s="769"/>
      <c r="JZJ110" s="769"/>
      <c r="JZK110" s="769"/>
      <c r="JZL110" s="769"/>
      <c r="JZM110" s="769"/>
      <c r="JZN110" s="769"/>
      <c r="JZO110" s="769"/>
      <c r="JZP110" s="769"/>
      <c r="JZQ110" s="769"/>
      <c r="JZR110" s="769"/>
      <c r="JZS110" s="769"/>
      <c r="JZT110" s="769"/>
      <c r="JZU110" s="769"/>
      <c r="JZV110" s="769"/>
      <c r="JZW110" s="769"/>
      <c r="JZX110" s="769"/>
      <c r="JZY110" s="769"/>
      <c r="JZZ110" s="769"/>
      <c r="KAA110" s="769"/>
      <c r="KAB110" s="769"/>
      <c r="KAC110" s="769"/>
      <c r="KAD110" s="769"/>
      <c r="KAE110" s="769"/>
      <c r="KAF110" s="769"/>
      <c r="KAG110" s="769"/>
      <c r="KAH110" s="769"/>
      <c r="KAI110" s="769"/>
      <c r="KAJ110" s="769"/>
      <c r="KAK110" s="769"/>
      <c r="KAL110" s="769"/>
      <c r="KAM110" s="769"/>
      <c r="KAN110" s="769"/>
      <c r="KAO110" s="769"/>
      <c r="KAP110" s="769"/>
      <c r="KAQ110" s="769"/>
      <c r="KAR110" s="769"/>
      <c r="KAS110" s="769"/>
      <c r="KAT110" s="769"/>
      <c r="KAU110" s="769"/>
      <c r="KAV110" s="769"/>
      <c r="KAW110" s="769"/>
      <c r="KAX110" s="769"/>
      <c r="KAY110" s="769"/>
      <c r="KAZ110" s="769"/>
      <c r="KBA110" s="769"/>
      <c r="KBB110" s="769"/>
      <c r="KBC110" s="769"/>
      <c r="KBD110" s="769"/>
      <c r="KBE110" s="769"/>
      <c r="KBF110" s="769"/>
      <c r="KBG110" s="769"/>
      <c r="KBH110" s="769"/>
      <c r="KBI110" s="769"/>
      <c r="KBJ110" s="769"/>
      <c r="KBK110" s="769"/>
      <c r="KBL110" s="769"/>
      <c r="KBM110" s="769"/>
      <c r="KBN110" s="769"/>
      <c r="KBO110" s="769"/>
      <c r="KBP110" s="769"/>
      <c r="KBQ110" s="769"/>
      <c r="KBR110" s="769"/>
      <c r="KBS110" s="769"/>
      <c r="KBT110" s="769"/>
      <c r="KBU110" s="769"/>
      <c r="KBV110" s="769"/>
      <c r="KBW110" s="769"/>
      <c r="KBX110" s="769"/>
      <c r="KBY110" s="769"/>
      <c r="KBZ110" s="769"/>
      <c r="KCA110" s="769"/>
      <c r="KCB110" s="769"/>
      <c r="KCC110" s="769"/>
      <c r="KCD110" s="769"/>
      <c r="KCE110" s="769"/>
      <c r="KCF110" s="769"/>
      <c r="KCG110" s="769"/>
      <c r="KCH110" s="769"/>
      <c r="KCI110" s="769"/>
      <c r="KCJ110" s="769"/>
      <c r="KCK110" s="769"/>
      <c r="KCL110" s="769"/>
      <c r="KCM110" s="769"/>
      <c r="KCN110" s="769"/>
      <c r="KCO110" s="769"/>
      <c r="KCP110" s="769"/>
      <c r="KCQ110" s="769"/>
      <c r="KCR110" s="769"/>
      <c r="KCS110" s="769"/>
      <c r="KCT110" s="769"/>
      <c r="KCU110" s="769"/>
      <c r="KCV110" s="769"/>
      <c r="KCW110" s="769"/>
      <c r="KCX110" s="769"/>
      <c r="KCY110" s="769"/>
      <c r="KCZ110" s="769"/>
      <c r="KDA110" s="769"/>
      <c r="KDB110" s="769"/>
      <c r="KDC110" s="769"/>
      <c r="KDD110" s="769"/>
      <c r="KDE110" s="769"/>
      <c r="KDF110" s="769"/>
      <c r="KDG110" s="769"/>
      <c r="KDH110" s="769"/>
      <c r="KDI110" s="769"/>
      <c r="KDJ110" s="769"/>
      <c r="KDK110" s="769"/>
      <c r="KDL110" s="769"/>
      <c r="KDM110" s="769"/>
      <c r="KDN110" s="769"/>
      <c r="KDO110" s="769"/>
      <c r="KDP110" s="769"/>
      <c r="KDQ110" s="769"/>
      <c r="KDR110" s="769"/>
      <c r="KDS110" s="769"/>
      <c r="KDT110" s="769"/>
      <c r="KDU110" s="769"/>
      <c r="KDV110" s="769"/>
      <c r="KDW110" s="769"/>
      <c r="KDX110" s="769"/>
      <c r="KDY110" s="769"/>
      <c r="KDZ110" s="769"/>
      <c r="KEA110" s="769"/>
      <c r="KEB110" s="769"/>
      <c r="KEC110" s="769"/>
      <c r="KED110" s="769"/>
      <c r="KEE110" s="769"/>
      <c r="KEF110" s="769"/>
      <c r="KEG110" s="769"/>
      <c r="KEH110" s="769"/>
      <c r="KEI110" s="769"/>
      <c r="KEJ110" s="769"/>
      <c r="KEK110" s="769"/>
      <c r="KEL110" s="769"/>
      <c r="KEM110" s="769"/>
      <c r="KEN110" s="769"/>
      <c r="KEO110" s="769"/>
      <c r="KEP110" s="769"/>
      <c r="KEQ110" s="769"/>
      <c r="KER110" s="769"/>
      <c r="KES110" s="769"/>
      <c r="KET110" s="769"/>
      <c r="KEU110" s="769"/>
      <c r="KEV110" s="769"/>
      <c r="KEW110" s="769"/>
      <c r="KEX110" s="769"/>
      <c r="KEY110" s="769"/>
      <c r="KEZ110" s="769"/>
      <c r="KFA110" s="769"/>
      <c r="KFB110" s="769"/>
      <c r="KFC110" s="769"/>
      <c r="KFD110" s="769"/>
      <c r="KFE110" s="769"/>
      <c r="KFF110" s="769"/>
      <c r="KFG110" s="769"/>
      <c r="KFH110" s="769"/>
      <c r="KFI110" s="769"/>
      <c r="KFJ110" s="769"/>
      <c r="KFK110" s="769"/>
      <c r="KFL110" s="769"/>
      <c r="KFM110" s="769"/>
      <c r="KFN110" s="769"/>
      <c r="KFO110" s="769"/>
      <c r="KFP110" s="769"/>
      <c r="KFQ110" s="769"/>
      <c r="KFR110" s="769"/>
      <c r="KFS110" s="769"/>
      <c r="KFT110" s="769"/>
      <c r="KFU110" s="769"/>
      <c r="KFV110" s="769"/>
      <c r="KFW110" s="769"/>
      <c r="KFX110" s="769"/>
      <c r="KFY110" s="769"/>
      <c r="KFZ110" s="769"/>
      <c r="KGA110" s="769"/>
      <c r="KGB110" s="769"/>
      <c r="KGC110" s="769"/>
      <c r="KGD110" s="769"/>
      <c r="KGE110" s="769"/>
      <c r="KGF110" s="769"/>
      <c r="KGG110" s="769"/>
      <c r="KGH110" s="769"/>
      <c r="KGI110" s="769"/>
      <c r="KGJ110" s="769"/>
      <c r="KGK110" s="769"/>
      <c r="KGL110" s="769"/>
      <c r="KGM110" s="769"/>
      <c r="KGN110" s="769"/>
      <c r="KGO110" s="769"/>
      <c r="KGP110" s="769"/>
      <c r="KGQ110" s="769"/>
      <c r="KGR110" s="769"/>
      <c r="KGS110" s="769"/>
      <c r="KGT110" s="769"/>
      <c r="KGU110" s="769"/>
      <c r="KGV110" s="769"/>
      <c r="KGW110" s="769"/>
      <c r="KGX110" s="769"/>
      <c r="KGY110" s="769"/>
      <c r="KGZ110" s="769"/>
      <c r="KHA110" s="769"/>
      <c r="KHB110" s="769"/>
      <c r="KHC110" s="769"/>
      <c r="KHD110" s="769"/>
      <c r="KHE110" s="769"/>
      <c r="KHF110" s="769"/>
      <c r="KHG110" s="769"/>
      <c r="KHH110" s="769"/>
      <c r="KHI110" s="769"/>
      <c r="KHJ110" s="769"/>
      <c r="KHK110" s="769"/>
      <c r="KHL110" s="769"/>
      <c r="KHM110" s="769"/>
      <c r="KHN110" s="769"/>
      <c r="KHO110" s="769"/>
      <c r="KHP110" s="769"/>
      <c r="KHQ110" s="769"/>
      <c r="KHR110" s="769"/>
      <c r="KHS110" s="769"/>
      <c r="KHT110" s="769"/>
      <c r="KHU110" s="769"/>
      <c r="KHV110" s="769"/>
      <c r="KHW110" s="769"/>
      <c r="KHX110" s="769"/>
      <c r="KHY110" s="769"/>
      <c r="KHZ110" s="769"/>
      <c r="KIA110" s="769"/>
      <c r="KIB110" s="769"/>
      <c r="KIC110" s="769"/>
      <c r="KID110" s="769"/>
      <c r="KIE110" s="769"/>
      <c r="KIF110" s="769"/>
      <c r="KIG110" s="769"/>
      <c r="KIH110" s="769"/>
      <c r="KII110" s="769"/>
      <c r="KIJ110" s="769"/>
      <c r="KIK110" s="769"/>
      <c r="KIL110" s="769"/>
      <c r="KIM110" s="769"/>
      <c r="KIN110" s="769"/>
      <c r="KIO110" s="769"/>
      <c r="KIP110" s="769"/>
      <c r="KIQ110" s="769"/>
      <c r="KIR110" s="769"/>
      <c r="KIS110" s="769"/>
      <c r="KIT110" s="769"/>
      <c r="KIU110" s="769"/>
      <c r="KIV110" s="769"/>
      <c r="KIW110" s="769"/>
      <c r="KIX110" s="769"/>
      <c r="KIY110" s="769"/>
      <c r="KIZ110" s="769"/>
      <c r="KJA110" s="769"/>
      <c r="KJB110" s="769"/>
      <c r="KJC110" s="769"/>
      <c r="KJD110" s="769"/>
      <c r="KJE110" s="769"/>
      <c r="KJF110" s="769"/>
      <c r="KJG110" s="769"/>
      <c r="KJH110" s="769"/>
      <c r="KJI110" s="769"/>
      <c r="KJJ110" s="769"/>
      <c r="KJK110" s="769"/>
      <c r="KJL110" s="769"/>
      <c r="KJM110" s="769"/>
      <c r="KJN110" s="769"/>
      <c r="KJO110" s="769"/>
      <c r="KJP110" s="769"/>
      <c r="KJQ110" s="769"/>
      <c r="KJR110" s="769"/>
      <c r="KJS110" s="769"/>
      <c r="KJT110" s="769"/>
      <c r="KJU110" s="769"/>
      <c r="KJV110" s="769"/>
      <c r="KJW110" s="769"/>
      <c r="KJX110" s="769"/>
      <c r="KJY110" s="769"/>
      <c r="KJZ110" s="769"/>
      <c r="KKA110" s="769"/>
      <c r="KKB110" s="769"/>
      <c r="KKC110" s="769"/>
      <c r="KKD110" s="769"/>
      <c r="KKE110" s="769"/>
      <c r="KKF110" s="769"/>
      <c r="KKG110" s="769"/>
      <c r="KKH110" s="769"/>
      <c r="KKI110" s="769"/>
      <c r="KKJ110" s="769"/>
      <c r="KKK110" s="769"/>
      <c r="KKL110" s="769"/>
      <c r="KKM110" s="769"/>
      <c r="KKN110" s="769"/>
      <c r="KKO110" s="769"/>
      <c r="KKP110" s="769"/>
      <c r="KKQ110" s="769"/>
      <c r="KKR110" s="769"/>
      <c r="KKS110" s="769"/>
      <c r="KKT110" s="769"/>
      <c r="KKU110" s="769"/>
      <c r="KKV110" s="769"/>
      <c r="KKW110" s="769"/>
      <c r="KKX110" s="769"/>
      <c r="KKY110" s="769"/>
      <c r="KKZ110" s="769"/>
      <c r="KLA110" s="769"/>
      <c r="KLB110" s="769"/>
      <c r="KLC110" s="769"/>
      <c r="KLD110" s="769"/>
      <c r="KLE110" s="769"/>
      <c r="KLF110" s="769"/>
      <c r="KLG110" s="769"/>
      <c r="KLH110" s="769"/>
      <c r="KLI110" s="769"/>
      <c r="KLJ110" s="769"/>
      <c r="KLK110" s="769"/>
      <c r="KLL110" s="769"/>
      <c r="KLM110" s="769"/>
      <c r="KLN110" s="769"/>
      <c r="KLO110" s="769"/>
      <c r="KLP110" s="769"/>
      <c r="KLQ110" s="769"/>
      <c r="KLR110" s="769"/>
      <c r="KLS110" s="769"/>
      <c r="KLT110" s="769"/>
      <c r="KLU110" s="769"/>
      <c r="KLV110" s="769"/>
      <c r="KLW110" s="769"/>
      <c r="KLX110" s="769"/>
      <c r="KLY110" s="769"/>
      <c r="KLZ110" s="769"/>
      <c r="KMA110" s="769"/>
      <c r="KMB110" s="769"/>
      <c r="KMC110" s="769"/>
      <c r="KMD110" s="769"/>
      <c r="KME110" s="769"/>
      <c r="KMF110" s="769"/>
      <c r="KMG110" s="769"/>
      <c r="KMH110" s="769"/>
      <c r="KMI110" s="769"/>
      <c r="KMJ110" s="769"/>
      <c r="KMK110" s="769"/>
      <c r="KML110" s="769"/>
      <c r="KMM110" s="769"/>
      <c r="KMN110" s="769"/>
      <c r="KMO110" s="769"/>
      <c r="KMP110" s="769"/>
      <c r="KMQ110" s="769"/>
      <c r="KMR110" s="769"/>
      <c r="KMS110" s="769"/>
      <c r="KMT110" s="769"/>
      <c r="KMU110" s="769"/>
      <c r="KMV110" s="769"/>
      <c r="KMW110" s="769"/>
      <c r="KMX110" s="769"/>
      <c r="KMY110" s="769"/>
      <c r="KMZ110" s="769"/>
      <c r="KNA110" s="769"/>
      <c r="KNB110" s="769"/>
      <c r="KNC110" s="769"/>
      <c r="KND110" s="769"/>
      <c r="KNE110" s="769"/>
      <c r="KNF110" s="769"/>
      <c r="KNG110" s="769"/>
      <c r="KNH110" s="769"/>
      <c r="KNI110" s="769"/>
      <c r="KNJ110" s="769"/>
      <c r="KNK110" s="769"/>
      <c r="KNL110" s="769"/>
      <c r="KNM110" s="769"/>
      <c r="KNN110" s="769"/>
      <c r="KNO110" s="769"/>
      <c r="KNP110" s="769"/>
      <c r="KNQ110" s="769"/>
      <c r="KNR110" s="769"/>
      <c r="KNS110" s="769"/>
      <c r="KNT110" s="769"/>
      <c r="KNU110" s="769"/>
      <c r="KNV110" s="769"/>
      <c r="KNW110" s="769"/>
      <c r="KNX110" s="769"/>
      <c r="KNY110" s="769"/>
      <c r="KNZ110" s="769"/>
      <c r="KOA110" s="769"/>
      <c r="KOB110" s="769"/>
      <c r="KOC110" s="769"/>
      <c r="KOD110" s="769"/>
      <c r="KOE110" s="769"/>
      <c r="KOF110" s="769"/>
      <c r="KOG110" s="769"/>
      <c r="KOH110" s="769"/>
      <c r="KOI110" s="769"/>
      <c r="KOJ110" s="769"/>
      <c r="KOK110" s="769"/>
      <c r="KOL110" s="769"/>
      <c r="KOM110" s="769"/>
      <c r="KON110" s="769"/>
      <c r="KOO110" s="769"/>
      <c r="KOP110" s="769"/>
      <c r="KOQ110" s="769"/>
      <c r="KOR110" s="769"/>
      <c r="KOS110" s="769"/>
      <c r="KOT110" s="769"/>
      <c r="KOU110" s="769"/>
      <c r="KOV110" s="769"/>
      <c r="KOW110" s="769"/>
      <c r="KOX110" s="769"/>
      <c r="KOY110" s="769"/>
      <c r="KOZ110" s="769"/>
      <c r="KPA110" s="769"/>
      <c r="KPB110" s="769"/>
      <c r="KPC110" s="769"/>
      <c r="KPD110" s="769"/>
      <c r="KPE110" s="769"/>
      <c r="KPF110" s="769"/>
      <c r="KPG110" s="769"/>
      <c r="KPH110" s="769"/>
      <c r="KPI110" s="769"/>
      <c r="KPJ110" s="769"/>
      <c r="KPK110" s="769"/>
      <c r="KPL110" s="769"/>
      <c r="KPM110" s="769"/>
      <c r="KPN110" s="769"/>
      <c r="KPO110" s="769"/>
      <c r="KPP110" s="769"/>
      <c r="KPQ110" s="769"/>
      <c r="KPR110" s="769"/>
      <c r="KPS110" s="769"/>
      <c r="KPT110" s="769"/>
      <c r="KPU110" s="769"/>
      <c r="KPV110" s="769"/>
      <c r="KPW110" s="769"/>
      <c r="KPX110" s="769"/>
      <c r="KPY110" s="769"/>
      <c r="KPZ110" s="769"/>
      <c r="KQA110" s="769"/>
      <c r="KQB110" s="769"/>
      <c r="KQC110" s="769"/>
      <c r="KQD110" s="769"/>
      <c r="KQE110" s="769"/>
      <c r="KQF110" s="769"/>
      <c r="KQG110" s="769"/>
      <c r="KQH110" s="769"/>
      <c r="KQI110" s="769"/>
      <c r="KQJ110" s="769"/>
      <c r="KQK110" s="769"/>
      <c r="KQL110" s="769"/>
      <c r="KQM110" s="769"/>
      <c r="KQN110" s="769"/>
      <c r="KQO110" s="769"/>
      <c r="KQP110" s="769"/>
      <c r="KQQ110" s="769"/>
      <c r="KQR110" s="769"/>
      <c r="KQS110" s="769"/>
      <c r="KQT110" s="769"/>
      <c r="KQU110" s="769"/>
      <c r="KQV110" s="769"/>
      <c r="KQW110" s="769"/>
      <c r="KQX110" s="769"/>
      <c r="KQY110" s="769"/>
      <c r="KQZ110" s="769"/>
      <c r="KRA110" s="769"/>
      <c r="KRB110" s="769"/>
      <c r="KRC110" s="769"/>
      <c r="KRD110" s="769"/>
      <c r="KRE110" s="769"/>
      <c r="KRF110" s="769"/>
      <c r="KRG110" s="769"/>
      <c r="KRH110" s="769"/>
      <c r="KRI110" s="769"/>
      <c r="KRJ110" s="769"/>
      <c r="KRK110" s="769"/>
      <c r="KRL110" s="769"/>
      <c r="KRM110" s="769"/>
      <c r="KRN110" s="769"/>
      <c r="KRO110" s="769"/>
      <c r="KRP110" s="769"/>
      <c r="KRQ110" s="769"/>
      <c r="KRR110" s="769"/>
      <c r="KRS110" s="769"/>
      <c r="KRT110" s="769"/>
      <c r="KRU110" s="769"/>
      <c r="KRV110" s="769"/>
      <c r="KRW110" s="769"/>
      <c r="KRX110" s="769"/>
      <c r="KRY110" s="769"/>
      <c r="KRZ110" s="769"/>
      <c r="KSA110" s="769"/>
      <c r="KSB110" s="769"/>
      <c r="KSC110" s="769"/>
      <c r="KSD110" s="769"/>
      <c r="KSE110" s="769"/>
      <c r="KSF110" s="769"/>
      <c r="KSG110" s="769"/>
      <c r="KSH110" s="769"/>
      <c r="KSI110" s="769"/>
      <c r="KSJ110" s="769"/>
      <c r="KSK110" s="769"/>
      <c r="KSL110" s="769"/>
      <c r="KSM110" s="769"/>
      <c r="KSN110" s="769"/>
      <c r="KSO110" s="769"/>
      <c r="KSP110" s="769"/>
      <c r="KSQ110" s="769"/>
      <c r="KSR110" s="769"/>
      <c r="KSS110" s="769"/>
      <c r="KST110" s="769"/>
      <c r="KSU110" s="769"/>
      <c r="KSV110" s="769"/>
      <c r="KSW110" s="769"/>
      <c r="KSX110" s="769"/>
      <c r="KSY110" s="769"/>
      <c r="KSZ110" s="769"/>
      <c r="KTA110" s="769"/>
      <c r="KTB110" s="769"/>
      <c r="KTC110" s="769"/>
      <c r="KTD110" s="769"/>
      <c r="KTE110" s="769"/>
      <c r="KTF110" s="769"/>
      <c r="KTG110" s="769"/>
      <c r="KTH110" s="769"/>
      <c r="KTI110" s="769"/>
      <c r="KTJ110" s="769"/>
      <c r="KTK110" s="769"/>
      <c r="KTL110" s="769"/>
      <c r="KTM110" s="769"/>
      <c r="KTN110" s="769"/>
      <c r="KTO110" s="769"/>
      <c r="KTP110" s="769"/>
      <c r="KTQ110" s="769"/>
      <c r="KTR110" s="769"/>
      <c r="KTS110" s="769"/>
      <c r="KTT110" s="769"/>
      <c r="KTU110" s="769"/>
      <c r="KTV110" s="769"/>
      <c r="KTW110" s="769"/>
      <c r="KTX110" s="769"/>
      <c r="KTY110" s="769"/>
      <c r="KTZ110" s="769"/>
      <c r="KUA110" s="769"/>
      <c r="KUB110" s="769"/>
      <c r="KUC110" s="769"/>
      <c r="KUD110" s="769"/>
      <c r="KUE110" s="769"/>
      <c r="KUF110" s="769"/>
      <c r="KUG110" s="769"/>
      <c r="KUH110" s="769"/>
      <c r="KUI110" s="769"/>
      <c r="KUJ110" s="769"/>
      <c r="KUK110" s="769"/>
      <c r="KUL110" s="769"/>
      <c r="KUM110" s="769"/>
      <c r="KUN110" s="769"/>
      <c r="KUO110" s="769"/>
      <c r="KUP110" s="769"/>
      <c r="KUQ110" s="769"/>
      <c r="KUR110" s="769"/>
      <c r="KUS110" s="769"/>
      <c r="KUT110" s="769"/>
      <c r="KUU110" s="769"/>
      <c r="KUV110" s="769"/>
      <c r="KUW110" s="769"/>
      <c r="KUX110" s="769"/>
      <c r="KUY110" s="769"/>
      <c r="KUZ110" s="769"/>
      <c r="KVA110" s="769"/>
      <c r="KVB110" s="769"/>
      <c r="KVC110" s="769"/>
      <c r="KVD110" s="769"/>
      <c r="KVE110" s="769"/>
      <c r="KVF110" s="769"/>
      <c r="KVG110" s="769"/>
      <c r="KVH110" s="769"/>
      <c r="KVI110" s="769"/>
      <c r="KVJ110" s="769"/>
      <c r="KVK110" s="769"/>
      <c r="KVL110" s="769"/>
      <c r="KVM110" s="769"/>
      <c r="KVN110" s="769"/>
      <c r="KVO110" s="769"/>
      <c r="KVP110" s="769"/>
      <c r="KVQ110" s="769"/>
      <c r="KVR110" s="769"/>
      <c r="KVS110" s="769"/>
      <c r="KVT110" s="769"/>
      <c r="KVU110" s="769"/>
      <c r="KVV110" s="769"/>
      <c r="KVW110" s="769"/>
      <c r="KVX110" s="769"/>
      <c r="KVY110" s="769"/>
      <c r="KVZ110" s="769"/>
      <c r="KWA110" s="769"/>
      <c r="KWB110" s="769"/>
      <c r="KWC110" s="769"/>
      <c r="KWD110" s="769"/>
      <c r="KWE110" s="769"/>
      <c r="KWF110" s="769"/>
      <c r="KWG110" s="769"/>
      <c r="KWH110" s="769"/>
      <c r="KWI110" s="769"/>
      <c r="KWJ110" s="769"/>
      <c r="KWK110" s="769"/>
      <c r="KWL110" s="769"/>
      <c r="KWM110" s="769"/>
      <c r="KWN110" s="769"/>
      <c r="KWO110" s="769"/>
      <c r="KWP110" s="769"/>
      <c r="KWQ110" s="769"/>
      <c r="KWR110" s="769"/>
      <c r="KWS110" s="769"/>
      <c r="KWT110" s="769"/>
      <c r="KWU110" s="769"/>
      <c r="KWV110" s="769"/>
      <c r="KWW110" s="769"/>
      <c r="KWX110" s="769"/>
      <c r="KWY110" s="769"/>
      <c r="KWZ110" s="769"/>
      <c r="KXA110" s="769"/>
      <c r="KXB110" s="769"/>
      <c r="KXC110" s="769"/>
      <c r="KXD110" s="769"/>
      <c r="KXE110" s="769"/>
      <c r="KXF110" s="769"/>
      <c r="KXG110" s="769"/>
      <c r="KXH110" s="769"/>
      <c r="KXI110" s="769"/>
      <c r="KXJ110" s="769"/>
      <c r="KXK110" s="769"/>
      <c r="KXL110" s="769"/>
      <c r="KXM110" s="769"/>
      <c r="KXN110" s="769"/>
      <c r="KXO110" s="769"/>
      <c r="KXP110" s="769"/>
      <c r="KXQ110" s="769"/>
      <c r="KXR110" s="769"/>
      <c r="KXS110" s="769"/>
      <c r="KXT110" s="769"/>
      <c r="KXU110" s="769"/>
      <c r="KXV110" s="769"/>
      <c r="KXW110" s="769"/>
      <c r="KXX110" s="769"/>
      <c r="KXY110" s="769"/>
      <c r="KXZ110" s="769"/>
      <c r="KYA110" s="769"/>
      <c r="KYB110" s="769"/>
      <c r="KYC110" s="769"/>
      <c r="KYD110" s="769"/>
      <c r="KYE110" s="769"/>
      <c r="KYF110" s="769"/>
      <c r="KYG110" s="769"/>
      <c r="KYH110" s="769"/>
      <c r="KYI110" s="769"/>
      <c r="KYJ110" s="769"/>
      <c r="KYK110" s="769"/>
      <c r="KYL110" s="769"/>
      <c r="KYM110" s="769"/>
      <c r="KYN110" s="769"/>
      <c r="KYO110" s="769"/>
      <c r="KYP110" s="769"/>
      <c r="KYQ110" s="769"/>
      <c r="KYR110" s="769"/>
      <c r="KYS110" s="769"/>
      <c r="KYT110" s="769"/>
      <c r="KYU110" s="769"/>
      <c r="KYV110" s="769"/>
      <c r="KYW110" s="769"/>
      <c r="KYX110" s="769"/>
      <c r="KYY110" s="769"/>
      <c r="KYZ110" s="769"/>
      <c r="KZA110" s="769"/>
      <c r="KZB110" s="769"/>
      <c r="KZC110" s="769"/>
      <c r="KZD110" s="769"/>
      <c r="KZE110" s="769"/>
      <c r="KZF110" s="769"/>
      <c r="KZG110" s="769"/>
      <c r="KZH110" s="769"/>
      <c r="KZI110" s="769"/>
      <c r="KZJ110" s="769"/>
      <c r="KZK110" s="769"/>
      <c r="KZL110" s="769"/>
      <c r="KZM110" s="769"/>
      <c r="KZN110" s="769"/>
      <c r="KZO110" s="769"/>
      <c r="KZP110" s="769"/>
      <c r="KZQ110" s="769"/>
      <c r="KZR110" s="769"/>
      <c r="KZS110" s="769"/>
      <c r="KZT110" s="769"/>
      <c r="KZU110" s="769"/>
      <c r="KZV110" s="769"/>
      <c r="KZW110" s="769"/>
      <c r="KZX110" s="769"/>
      <c r="KZY110" s="769"/>
      <c r="KZZ110" s="769"/>
      <c r="LAA110" s="769"/>
      <c r="LAB110" s="769"/>
      <c r="LAC110" s="769"/>
      <c r="LAD110" s="769"/>
      <c r="LAE110" s="769"/>
      <c r="LAF110" s="769"/>
      <c r="LAG110" s="769"/>
      <c r="LAH110" s="769"/>
      <c r="LAI110" s="769"/>
      <c r="LAJ110" s="769"/>
      <c r="LAK110" s="769"/>
      <c r="LAL110" s="769"/>
      <c r="LAM110" s="769"/>
      <c r="LAN110" s="769"/>
      <c r="LAO110" s="769"/>
      <c r="LAP110" s="769"/>
      <c r="LAQ110" s="769"/>
      <c r="LAR110" s="769"/>
      <c r="LAS110" s="769"/>
      <c r="LAT110" s="769"/>
      <c r="LAU110" s="769"/>
      <c r="LAV110" s="769"/>
      <c r="LAW110" s="769"/>
      <c r="LAX110" s="769"/>
      <c r="LAY110" s="769"/>
      <c r="LAZ110" s="769"/>
      <c r="LBA110" s="769"/>
      <c r="LBB110" s="769"/>
      <c r="LBC110" s="769"/>
      <c r="LBD110" s="769"/>
      <c r="LBE110" s="769"/>
      <c r="LBF110" s="769"/>
      <c r="LBG110" s="769"/>
      <c r="LBH110" s="769"/>
      <c r="LBI110" s="769"/>
      <c r="LBJ110" s="769"/>
      <c r="LBK110" s="769"/>
      <c r="LBL110" s="769"/>
      <c r="LBM110" s="769"/>
      <c r="LBN110" s="769"/>
      <c r="LBO110" s="769"/>
      <c r="LBP110" s="769"/>
      <c r="LBQ110" s="769"/>
      <c r="LBR110" s="769"/>
      <c r="LBS110" s="769"/>
      <c r="LBT110" s="769"/>
      <c r="LBU110" s="769"/>
      <c r="LBV110" s="769"/>
      <c r="LBW110" s="769"/>
      <c r="LBX110" s="769"/>
      <c r="LBY110" s="769"/>
      <c r="LBZ110" s="769"/>
      <c r="LCA110" s="769"/>
      <c r="LCB110" s="769"/>
      <c r="LCC110" s="769"/>
      <c r="LCD110" s="769"/>
      <c r="LCE110" s="769"/>
      <c r="LCF110" s="769"/>
      <c r="LCG110" s="769"/>
      <c r="LCH110" s="769"/>
      <c r="LCI110" s="769"/>
      <c r="LCJ110" s="769"/>
      <c r="LCK110" s="769"/>
      <c r="LCL110" s="769"/>
      <c r="LCM110" s="769"/>
      <c r="LCN110" s="769"/>
      <c r="LCO110" s="769"/>
      <c r="LCP110" s="769"/>
      <c r="LCQ110" s="769"/>
      <c r="LCR110" s="769"/>
      <c r="LCS110" s="769"/>
      <c r="LCT110" s="769"/>
      <c r="LCU110" s="769"/>
      <c r="LCV110" s="769"/>
      <c r="LCW110" s="769"/>
      <c r="LCX110" s="769"/>
      <c r="LCY110" s="769"/>
      <c r="LCZ110" s="769"/>
      <c r="LDA110" s="769"/>
      <c r="LDB110" s="769"/>
      <c r="LDC110" s="769"/>
      <c r="LDD110" s="769"/>
      <c r="LDE110" s="769"/>
      <c r="LDF110" s="769"/>
      <c r="LDG110" s="769"/>
      <c r="LDH110" s="769"/>
      <c r="LDI110" s="769"/>
      <c r="LDJ110" s="769"/>
      <c r="LDK110" s="769"/>
      <c r="LDL110" s="769"/>
      <c r="LDM110" s="769"/>
      <c r="LDN110" s="769"/>
      <c r="LDO110" s="769"/>
      <c r="LDP110" s="769"/>
      <c r="LDQ110" s="769"/>
      <c r="LDR110" s="769"/>
      <c r="LDS110" s="769"/>
      <c r="LDT110" s="769"/>
      <c r="LDU110" s="769"/>
      <c r="LDV110" s="769"/>
      <c r="LDW110" s="769"/>
      <c r="LDX110" s="769"/>
      <c r="LDY110" s="769"/>
      <c r="LDZ110" s="769"/>
      <c r="LEA110" s="769"/>
      <c r="LEB110" s="769"/>
      <c r="LEC110" s="769"/>
      <c r="LED110" s="769"/>
      <c r="LEE110" s="769"/>
      <c r="LEF110" s="769"/>
      <c r="LEG110" s="769"/>
      <c r="LEH110" s="769"/>
      <c r="LEI110" s="769"/>
      <c r="LEJ110" s="769"/>
      <c r="LEK110" s="769"/>
      <c r="LEL110" s="769"/>
      <c r="LEM110" s="769"/>
      <c r="LEN110" s="769"/>
      <c r="LEO110" s="769"/>
      <c r="LEP110" s="769"/>
      <c r="LEQ110" s="769"/>
      <c r="LER110" s="769"/>
      <c r="LES110" s="769"/>
      <c r="LET110" s="769"/>
      <c r="LEU110" s="769"/>
      <c r="LEV110" s="769"/>
      <c r="LEW110" s="769"/>
      <c r="LEX110" s="769"/>
      <c r="LEY110" s="769"/>
      <c r="LEZ110" s="769"/>
      <c r="LFA110" s="769"/>
      <c r="LFB110" s="769"/>
      <c r="LFC110" s="769"/>
      <c r="LFD110" s="769"/>
      <c r="LFE110" s="769"/>
      <c r="LFF110" s="769"/>
      <c r="LFG110" s="769"/>
      <c r="LFH110" s="769"/>
      <c r="LFI110" s="769"/>
      <c r="LFJ110" s="769"/>
      <c r="LFK110" s="769"/>
      <c r="LFL110" s="769"/>
      <c r="LFM110" s="769"/>
      <c r="LFN110" s="769"/>
      <c r="LFO110" s="769"/>
      <c r="LFP110" s="769"/>
      <c r="LFQ110" s="769"/>
      <c r="LFR110" s="769"/>
      <c r="LFS110" s="769"/>
      <c r="LFT110" s="769"/>
      <c r="LFU110" s="769"/>
      <c r="LFV110" s="769"/>
      <c r="LFW110" s="769"/>
      <c r="LFX110" s="769"/>
      <c r="LFY110" s="769"/>
      <c r="LFZ110" s="769"/>
      <c r="LGA110" s="769"/>
      <c r="LGB110" s="769"/>
      <c r="LGC110" s="769"/>
      <c r="LGD110" s="769"/>
      <c r="LGE110" s="769"/>
      <c r="LGF110" s="769"/>
      <c r="LGG110" s="769"/>
      <c r="LGH110" s="769"/>
      <c r="LGI110" s="769"/>
      <c r="LGJ110" s="769"/>
      <c r="LGK110" s="769"/>
      <c r="LGL110" s="769"/>
      <c r="LGM110" s="769"/>
      <c r="LGN110" s="769"/>
      <c r="LGO110" s="769"/>
      <c r="LGP110" s="769"/>
      <c r="LGQ110" s="769"/>
      <c r="LGR110" s="769"/>
      <c r="LGS110" s="769"/>
      <c r="LGT110" s="769"/>
      <c r="LGU110" s="769"/>
      <c r="LGV110" s="769"/>
      <c r="LGW110" s="769"/>
      <c r="LGX110" s="769"/>
      <c r="LGY110" s="769"/>
      <c r="LGZ110" s="769"/>
      <c r="LHA110" s="769"/>
      <c r="LHB110" s="769"/>
      <c r="LHC110" s="769"/>
      <c r="LHD110" s="769"/>
      <c r="LHE110" s="769"/>
      <c r="LHF110" s="769"/>
      <c r="LHG110" s="769"/>
      <c r="LHH110" s="769"/>
      <c r="LHI110" s="769"/>
      <c r="LHJ110" s="769"/>
      <c r="LHK110" s="769"/>
      <c r="LHL110" s="769"/>
      <c r="LHM110" s="769"/>
      <c r="LHN110" s="769"/>
      <c r="LHO110" s="769"/>
      <c r="LHP110" s="769"/>
      <c r="LHQ110" s="769"/>
      <c r="LHR110" s="769"/>
      <c r="LHS110" s="769"/>
      <c r="LHT110" s="769"/>
      <c r="LHU110" s="769"/>
      <c r="LHV110" s="769"/>
      <c r="LHW110" s="769"/>
      <c r="LHX110" s="769"/>
      <c r="LHY110" s="769"/>
      <c r="LHZ110" s="769"/>
      <c r="LIA110" s="769"/>
      <c r="LIB110" s="769"/>
      <c r="LIC110" s="769"/>
      <c r="LID110" s="769"/>
      <c r="LIE110" s="769"/>
      <c r="LIF110" s="769"/>
      <c r="LIG110" s="769"/>
      <c r="LIH110" s="769"/>
      <c r="LII110" s="769"/>
      <c r="LIJ110" s="769"/>
      <c r="LIK110" s="769"/>
      <c r="LIL110" s="769"/>
      <c r="LIM110" s="769"/>
      <c r="LIN110" s="769"/>
      <c r="LIO110" s="769"/>
      <c r="LIP110" s="769"/>
      <c r="LIQ110" s="769"/>
      <c r="LIR110" s="769"/>
      <c r="LIS110" s="769"/>
      <c r="LIT110" s="769"/>
      <c r="LIU110" s="769"/>
      <c r="LIV110" s="769"/>
      <c r="LIW110" s="769"/>
      <c r="LIX110" s="769"/>
      <c r="LIY110" s="769"/>
      <c r="LIZ110" s="769"/>
      <c r="LJA110" s="769"/>
      <c r="LJB110" s="769"/>
      <c r="LJC110" s="769"/>
      <c r="LJD110" s="769"/>
      <c r="LJE110" s="769"/>
      <c r="LJF110" s="769"/>
      <c r="LJG110" s="769"/>
      <c r="LJH110" s="769"/>
      <c r="LJI110" s="769"/>
      <c r="LJJ110" s="769"/>
      <c r="LJK110" s="769"/>
      <c r="LJL110" s="769"/>
      <c r="LJM110" s="769"/>
      <c r="LJN110" s="769"/>
      <c r="LJO110" s="769"/>
      <c r="LJP110" s="769"/>
      <c r="LJQ110" s="769"/>
      <c r="LJR110" s="769"/>
      <c r="LJS110" s="769"/>
      <c r="LJT110" s="769"/>
      <c r="LJU110" s="769"/>
      <c r="LJV110" s="769"/>
      <c r="LJW110" s="769"/>
      <c r="LJX110" s="769"/>
      <c r="LJY110" s="769"/>
      <c r="LJZ110" s="769"/>
      <c r="LKA110" s="769"/>
      <c r="LKB110" s="769"/>
      <c r="LKC110" s="769"/>
      <c r="LKD110" s="769"/>
      <c r="LKE110" s="769"/>
      <c r="LKF110" s="769"/>
      <c r="LKG110" s="769"/>
      <c r="LKH110" s="769"/>
      <c r="LKI110" s="769"/>
      <c r="LKJ110" s="769"/>
      <c r="LKK110" s="769"/>
      <c r="LKL110" s="769"/>
      <c r="LKM110" s="769"/>
      <c r="LKN110" s="769"/>
      <c r="LKO110" s="769"/>
      <c r="LKP110" s="769"/>
      <c r="LKQ110" s="769"/>
      <c r="LKR110" s="769"/>
      <c r="LKS110" s="769"/>
      <c r="LKT110" s="769"/>
      <c r="LKU110" s="769"/>
      <c r="LKV110" s="769"/>
      <c r="LKW110" s="769"/>
      <c r="LKX110" s="769"/>
      <c r="LKY110" s="769"/>
      <c r="LKZ110" s="769"/>
      <c r="LLA110" s="769"/>
      <c r="LLB110" s="769"/>
      <c r="LLC110" s="769"/>
      <c r="LLD110" s="769"/>
      <c r="LLE110" s="769"/>
      <c r="LLF110" s="769"/>
      <c r="LLG110" s="769"/>
      <c r="LLH110" s="769"/>
      <c r="LLI110" s="769"/>
      <c r="LLJ110" s="769"/>
      <c r="LLK110" s="769"/>
      <c r="LLL110" s="769"/>
      <c r="LLM110" s="769"/>
      <c r="LLN110" s="769"/>
      <c r="LLO110" s="769"/>
      <c r="LLP110" s="769"/>
      <c r="LLQ110" s="769"/>
      <c r="LLR110" s="769"/>
      <c r="LLS110" s="769"/>
      <c r="LLT110" s="769"/>
      <c r="LLU110" s="769"/>
      <c r="LLV110" s="769"/>
      <c r="LLW110" s="769"/>
      <c r="LLX110" s="769"/>
      <c r="LLY110" s="769"/>
      <c r="LLZ110" s="769"/>
      <c r="LMA110" s="769"/>
      <c r="LMB110" s="769"/>
      <c r="LMC110" s="769"/>
      <c r="LMD110" s="769"/>
      <c r="LME110" s="769"/>
      <c r="LMF110" s="769"/>
      <c r="LMG110" s="769"/>
      <c r="LMH110" s="769"/>
      <c r="LMI110" s="769"/>
      <c r="LMJ110" s="769"/>
      <c r="LMK110" s="769"/>
      <c r="LML110" s="769"/>
      <c r="LMM110" s="769"/>
      <c r="LMN110" s="769"/>
      <c r="LMO110" s="769"/>
      <c r="LMP110" s="769"/>
      <c r="LMQ110" s="769"/>
      <c r="LMR110" s="769"/>
      <c r="LMS110" s="769"/>
      <c r="LMT110" s="769"/>
      <c r="LMU110" s="769"/>
      <c r="LMV110" s="769"/>
      <c r="LMW110" s="769"/>
      <c r="LMX110" s="769"/>
      <c r="LMY110" s="769"/>
      <c r="LMZ110" s="769"/>
      <c r="LNA110" s="769"/>
      <c r="LNB110" s="769"/>
      <c r="LNC110" s="769"/>
      <c r="LND110" s="769"/>
      <c r="LNE110" s="769"/>
      <c r="LNF110" s="769"/>
      <c r="LNG110" s="769"/>
      <c r="LNH110" s="769"/>
      <c r="LNI110" s="769"/>
      <c r="LNJ110" s="769"/>
      <c r="LNK110" s="769"/>
      <c r="LNL110" s="769"/>
      <c r="LNM110" s="769"/>
      <c r="LNN110" s="769"/>
      <c r="LNO110" s="769"/>
      <c r="LNP110" s="769"/>
      <c r="LNQ110" s="769"/>
      <c r="LNR110" s="769"/>
      <c r="LNS110" s="769"/>
      <c r="LNT110" s="769"/>
      <c r="LNU110" s="769"/>
      <c r="LNV110" s="769"/>
      <c r="LNW110" s="769"/>
      <c r="LNX110" s="769"/>
      <c r="LNY110" s="769"/>
      <c r="LNZ110" s="769"/>
      <c r="LOA110" s="769"/>
      <c r="LOB110" s="769"/>
      <c r="LOC110" s="769"/>
      <c r="LOD110" s="769"/>
      <c r="LOE110" s="769"/>
      <c r="LOF110" s="769"/>
      <c r="LOG110" s="769"/>
      <c r="LOH110" s="769"/>
      <c r="LOI110" s="769"/>
      <c r="LOJ110" s="769"/>
      <c r="LOK110" s="769"/>
      <c r="LOL110" s="769"/>
      <c r="LOM110" s="769"/>
      <c r="LON110" s="769"/>
      <c r="LOO110" s="769"/>
      <c r="LOP110" s="769"/>
      <c r="LOQ110" s="769"/>
      <c r="LOR110" s="769"/>
      <c r="LOS110" s="769"/>
      <c r="LOT110" s="769"/>
      <c r="LOU110" s="769"/>
      <c r="LOV110" s="769"/>
      <c r="LOW110" s="769"/>
      <c r="LOX110" s="769"/>
      <c r="LOY110" s="769"/>
      <c r="LOZ110" s="769"/>
      <c r="LPA110" s="769"/>
      <c r="LPB110" s="769"/>
      <c r="LPC110" s="769"/>
      <c r="LPD110" s="769"/>
      <c r="LPE110" s="769"/>
      <c r="LPF110" s="769"/>
      <c r="LPG110" s="769"/>
      <c r="LPH110" s="769"/>
      <c r="LPI110" s="769"/>
      <c r="LPJ110" s="769"/>
      <c r="LPK110" s="769"/>
      <c r="LPL110" s="769"/>
      <c r="LPM110" s="769"/>
      <c r="LPN110" s="769"/>
      <c r="LPO110" s="769"/>
      <c r="LPP110" s="769"/>
      <c r="LPQ110" s="769"/>
      <c r="LPR110" s="769"/>
      <c r="LPS110" s="769"/>
      <c r="LPT110" s="769"/>
      <c r="LPU110" s="769"/>
      <c r="LPV110" s="769"/>
      <c r="LPW110" s="769"/>
      <c r="LPX110" s="769"/>
      <c r="LPY110" s="769"/>
      <c r="LPZ110" s="769"/>
      <c r="LQA110" s="769"/>
      <c r="LQB110" s="769"/>
      <c r="LQC110" s="769"/>
      <c r="LQD110" s="769"/>
      <c r="LQE110" s="769"/>
      <c r="LQF110" s="769"/>
      <c r="LQG110" s="769"/>
      <c r="LQH110" s="769"/>
      <c r="LQI110" s="769"/>
      <c r="LQJ110" s="769"/>
      <c r="LQK110" s="769"/>
      <c r="LQL110" s="769"/>
      <c r="LQM110" s="769"/>
      <c r="LQN110" s="769"/>
      <c r="LQO110" s="769"/>
      <c r="LQP110" s="769"/>
      <c r="LQQ110" s="769"/>
      <c r="LQR110" s="769"/>
      <c r="LQS110" s="769"/>
      <c r="LQT110" s="769"/>
      <c r="LQU110" s="769"/>
      <c r="LQV110" s="769"/>
      <c r="LQW110" s="769"/>
      <c r="LQX110" s="769"/>
      <c r="LQY110" s="769"/>
      <c r="LQZ110" s="769"/>
      <c r="LRA110" s="769"/>
      <c r="LRB110" s="769"/>
      <c r="LRC110" s="769"/>
      <c r="LRD110" s="769"/>
      <c r="LRE110" s="769"/>
      <c r="LRF110" s="769"/>
      <c r="LRG110" s="769"/>
      <c r="LRH110" s="769"/>
      <c r="LRI110" s="769"/>
      <c r="LRJ110" s="769"/>
      <c r="LRK110" s="769"/>
      <c r="LRL110" s="769"/>
      <c r="LRM110" s="769"/>
      <c r="LRN110" s="769"/>
      <c r="LRO110" s="769"/>
      <c r="LRP110" s="769"/>
      <c r="LRQ110" s="769"/>
      <c r="LRR110" s="769"/>
      <c r="LRS110" s="769"/>
      <c r="LRT110" s="769"/>
      <c r="LRU110" s="769"/>
      <c r="LRV110" s="769"/>
      <c r="LRW110" s="769"/>
      <c r="LRX110" s="769"/>
      <c r="LRY110" s="769"/>
      <c r="LRZ110" s="769"/>
      <c r="LSA110" s="769"/>
      <c r="LSB110" s="769"/>
      <c r="LSC110" s="769"/>
      <c r="LSD110" s="769"/>
      <c r="LSE110" s="769"/>
      <c r="LSF110" s="769"/>
      <c r="LSG110" s="769"/>
      <c r="LSH110" s="769"/>
      <c r="LSI110" s="769"/>
      <c r="LSJ110" s="769"/>
      <c r="LSK110" s="769"/>
      <c r="LSL110" s="769"/>
      <c r="LSM110" s="769"/>
      <c r="LSN110" s="769"/>
      <c r="LSO110" s="769"/>
      <c r="LSP110" s="769"/>
      <c r="LSQ110" s="769"/>
      <c r="LSR110" s="769"/>
      <c r="LSS110" s="769"/>
      <c r="LST110" s="769"/>
      <c r="LSU110" s="769"/>
      <c r="LSV110" s="769"/>
      <c r="LSW110" s="769"/>
      <c r="LSX110" s="769"/>
      <c r="LSY110" s="769"/>
      <c r="LSZ110" s="769"/>
      <c r="LTA110" s="769"/>
      <c r="LTB110" s="769"/>
      <c r="LTC110" s="769"/>
      <c r="LTD110" s="769"/>
      <c r="LTE110" s="769"/>
      <c r="LTF110" s="769"/>
      <c r="LTG110" s="769"/>
      <c r="LTH110" s="769"/>
      <c r="LTI110" s="769"/>
      <c r="LTJ110" s="769"/>
      <c r="LTK110" s="769"/>
      <c r="LTL110" s="769"/>
      <c r="LTM110" s="769"/>
      <c r="LTN110" s="769"/>
      <c r="LTO110" s="769"/>
      <c r="LTP110" s="769"/>
      <c r="LTQ110" s="769"/>
      <c r="LTR110" s="769"/>
      <c r="LTS110" s="769"/>
      <c r="LTT110" s="769"/>
      <c r="LTU110" s="769"/>
      <c r="LTV110" s="769"/>
      <c r="LTW110" s="769"/>
      <c r="LTX110" s="769"/>
      <c r="LTY110" s="769"/>
      <c r="LTZ110" s="769"/>
      <c r="LUA110" s="769"/>
      <c r="LUB110" s="769"/>
      <c r="LUC110" s="769"/>
      <c r="LUD110" s="769"/>
      <c r="LUE110" s="769"/>
      <c r="LUF110" s="769"/>
      <c r="LUG110" s="769"/>
      <c r="LUH110" s="769"/>
      <c r="LUI110" s="769"/>
      <c r="LUJ110" s="769"/>
      <c r="LUK110" s="769"/>
      <c r="LUL110" s="769"/>
      <c r="LUM110" s="769"/>
      <c r="LUN110" s="769"/>
      <c r="LUO110" s="769"/>
      <c r="LUP110" s="769"/>
      <c r="LUQ110" s="769"/>
      <c r="LUR110" s="769"/>
      <c r="LUS110" s="769"/>
      <c r="LUT110" s="769"/>
      <c r="LUU110" s="769"/>
      <c r="LUV110" s="769"/>
      <c r="LUW110" s="769"/>
      <c r="LUX110" s="769"/>
      <c r="LUY110" s="769"/>
      <c r="LUZ110" s="769"/>
      <c r="LVA110" s="769"/>
      <c r="LVB110" s="769"/>
      <c r="LVC110" s="769"/>
      <c r="LVD110" s="769"/>
      <c r="LVE110" s="769"/>
      <c r="LVF110" s="769"/>
      <c r="LVG110" s="769"/>
      <c r="LVH110" s="769"/>
      <c r="LVI110" s="769"/>
      <c r="LVJ110" s="769"/>
      <c r="LVK110" s="769"/>
      <c r="LVL110" s="769"/>
      <c r="LVM110" s="769"/>
      <c r="LVN110" s="769"/>
      <c r="LVO110" s="769"/>
      <c r="LVP110" s="769"/>
      <c r="LVQ110" s="769"/>
      <c r="LVR110" s="769"/>
      <c r="LVS110" s="769"/>
      <c r="LVT110" s="769"/>
      <c r="LVU110" s="769"/>
      <c r="LVV110" s="769"/>
      <c r="LVW110" s="769"/>
      <c r="LVX110" s="769"/>
      <c r="LVY110" s="769"/>
      <c r="LVZ110" s="769"/>
      <c r="LWA110" s="769"/>
      <c r="LWB110" s="769"/>
      <c r="LWC110" s="769"/>
      <c r="LWD110" s="769"/>
      <c r="LWE110" s="769"/>
      <c r="LWF110" s="769"/>
      <c r="LWG110" s="769"/>
      <c r="LWH110" s="769"/>
      <c r="LWI110" s="769"/>
      <c r="LWJ110" s="769"/>
      <c r="LWK110" s="769"/>
      <c r="LWL110" s="769"/>
      <c r="LWM110" s="769"/>
      <c r="LWN110" s="769"/>
      <c r="LWO110" s="769"/>
      <c r="LWP110" s="769"/>
      <c r="LWQ110" s="769"/>
      <c r="LWR110" s="769"/>
      <c r="LWS110" s="769"/>
      <c r="LWT110" s="769"/>
      <c r="LWU110" s="769"/>
      <c r="LWV110" s="769"/>
      <c r="LWW110" s="769"/>
      <c r="LWX110" s="769"/>
      <c r="LWY110" s="769"/>
      <c r="LWZ110" s="769"/>
      <c r="LXA110" s="769"/>
      <c r="LXB110" s="769"/>
      <c r="LXC110" s="769"/>
      <c r="LXD110" s="769"/>
      <c r="LXE110" s="769"/>
      <c r="LXF110" s="769"/>
      <c r="LXG110" s="769"/>
      <c r="LXH110" s="769"/>
      <c r="LXI110" s="769"/>
      <c r="LXJ110" s="769"/>
      <c r="LXK110" s="769"/>
      <c r="LXL110" s="769"/>
      <c r="LXM110" s="769"/>
      <c r="LXN110" s="769"/>
      <c r="LXO110" s="769"/>
      <c r="LXP110" s="769"/>
      <c r="LXQ110" s="769"/>
      <c r="LXR110" s="769"/>
      <c r="LXS110" s="769"/>
      <c r="LXT110" s="769"/>
      <c r="LXU110" s="769"/>
      <c r="LXV110" s="769"/>
      <c r="LXW110" s="769"/>
      <c r="LXX110" s="769"/>
      <c r="LXY110" s="769"/>
      <c r="LXZ110" s="769"/>
      <c r="LYA110" s="769"/>
      <c r="LYB110" s="769"/>
      <c r="LYC110" s="769"/>
      <c r="LYD110" s="769"/>
      <c r="LYE110" s="769"/>
      <c r="LYF110" s="769"/>
      <c r="LYG110" s="769"/>
      <c r="LYH110" s="769"/>
      <c r="LYI110" s="769"/>
      <c r="LYJ110" s="769"/>
      <c r="LYK110" s="769"/>
      <c r="LYL110" s="769"/>
      <c r="LYM110" s="769"/>
      <c r="LYN110" s="769"/>
      <c r="LYO110" s="769"/>
      <c r="LYP110" s="769"/>
      <c r="LYQ110" s="769"/>
      <c r="LYR110" s="769"/>
      <c r="LYS110" s="769"/>
      <c r="LYT110" s="769"/>
      <c r="LYU110" s="769"/>
      <c r="LYV110" s="769"/>
      <c r="LYW110" s="769"/>
      <c r="LYX110" s="769"/>
      <c r="LYY110" s="769"/>
      <c r="LYZ110" s="769"/>
      <c r="LZA110" s="769"/>
      <c r="LZB110" s="769"/>
      <c r="LZC110" s="769"/>
      <c r="LZD110" s="769"/>
      <c r="LZE110" s="769"/>
      <c r="LZF110" s="769"/>
      <c r="LZG110" s="769"/>
      <c r="LZH110" s="769"/>
      <c r="LZI110" s="769"/>
      <c r="LZJ110" s="769"/>
      <c r="LZK110" s="769"/>
      <c r="LZL110" s="769"/>
      <c r="LZM110" s="769"/>
      <c r="LZN110" s="769"/>
      <c r="LZO110" s="769"/>
      <c r="LZP110" s="769"/>
      <c r="LZQ110" s="769"/>
      <c r="LZR110" s="769"/>
      <c r="LZS110" s="769"/>
      <c r="LZT110" s="769"/>
      <c r="LZU110" s="769"/>
      <c r="LZV110" s="769"/>
      <c r="LZW110" s="769"/>
      <c r="LZX110" s="769"/>
      <c r="LZY110" s="769"/>
      <c r="LZZ110" s="769"/>
      <c r="MAA110" s="769"/>
      <c r="MAB110" s="769"/>
      <c r="MAC110" s="769"/>
      <c r="MAD110" s="769"/>
      <c r="MAE110" s="769"/>
      <c r="MAF110" s="769"/>
      <c r="MAG110" s="769"/>
      <c r="MAH110" s="769"/>
      <c r="MAI110" s="769"/>
      <c r="MAJ110" s="769"/>
      <c r="MAK110" s="769"/>
      <c r="MAL110" s="769"/>
      <c r="MAM110" s="769"/>
      <c r="MAN110" s="769"/>
      <c r="MAO110" s="769"/>
      <c r="MAP110" s="769"/>
      <c r="MAQ110" s="769"/>
      <c r="MAR110" s="769"/>
      <c r="MAS110" s="769"/>
      <c r="MAT110" s="769"/>
      <c r="MAU110" s="769"/>
      <c r="MAV110" s="769"/>
      <c r="MAW110" s="769"/>
      <c r="MAX110" s="769"/>
      <c r="MAY110" s="769"/>
      <c r="MAZ110" s="769"/>
      <c r="MBA110" s="769"/>
      <c r="MBB110" s="769"/>
      <c r="MBC110" s="769"/>
      <c r="MBD110" s="769"/>
      <c r="MBE110" s="769"/>
      <c r="MBF110" s="769"/>
      <c r="MBG110" s="769"/>
      <c r="MBH110" s="769"/>
      <c r="MBI110" s="769"/>
      <c r="MBJ110" s="769"/>
      <c r="MBK110" s="769"/>
      <c r="MBL110" s="769"/>
      <c r="MBM110" s="769"/>
      <c r="MBN110" s="769"/>
      <c r="MBO110" s="769"/>
      <c r="MBP110" s="769"/>
      <c r="MBQ110" s="769"/>
      <c r="MBR110" s="769"/>
      <c r="MBS110" s="769"/>
      <c r="MBT110" s="769"/>
      <c r="MBU110" s="769"/>
      <c r="MBV110" s="769"/>
      <c r="MBW110" s="769"/>
      <c r="MBX110" s="769"/>
      <c r="MBY110" s="769"/>
      <c r="MBZ110" s="769"/>
      <c r="MCA110" s="769"/>
      <c r="MCB110" s="769"/>
      <c r="MCC110" s="769"/>
      <c r="MCD110" s="769"/>
      <c r="MCE110" s="769"/>
      <c r="MCF110" s="769"/>
      <c r="MCG110" s="769"/>
      <c r="MCH110" s="769"/>
      <c r="MCI110" s="769"/>
      <c r="MCJ110" s="769"/>
      <c r="MCK110" s="769"/>
      <c r="MCL110" s="769"/>
      <c r="MCM110" s="769"/>
      <c r="MCN110" s="769"/>
      <c r="MCO110" s="769"/>
      <c r="MCP110" s="769"/>
      <c r="MCQ110" s="769"/>
      <c r="MCR110" s="769"/>
      <c r="MCS110" s="769"/>
      <c r="MCT110" s="769"/>
      <c r="MCU110" s="769"/>
      <c r="MCV110" s="769"/>
      <c r="MCW110" s="769"/>
      <c r="MCX110" s="769"/>
      <c r="MCY110" s="769"/>
      <c r="MCZ110" s="769"/>
      <c r="MDA110" s="769"/>
      <c r="MDB110" s="769"/>
      <c r="MDC110" s="769"/>
      <c r="MDD110" s="769"/>
      <c r="MDE110" s="769"/>
      <c r="MDF110" s="769"/>
      <c r="MDG110" s="769"/>
      <c r="MDH110" s="769"/>
      <c r="MDI110" s="769"/>
      <c r="MDJ110" s="769"/>
      <c r="MDK110" s="769"/>
      <c r="MDL110" s="769"/>
      <c r="MDM110" s="769"/>
      <c r="MDN110" s="769"/>
      <c r="MDO110" s="769"/>
      <c r="MDP110" s="769"/>
      <c r="MDQ110" s="769"/>
      <c r="MDR110" s="769"/>
      <c r="MDS110" s="769"/>
      <c r="MDT110" s="769"/>
      <c r="MDU110" s="769"/>
      <c r="MDV110" s="769"/>
      <c r="MDW110" s="769"/>
      <c r="MDX110" s="769"/>
      <c r="MDY110" s="769"/>
      <c r="MDZ110" s="769"/>
      <c r="MEA110" s="769"/>
      <c r="MEB110" s="769"/>
      <c r="MEC110" s="769"/>
      <c r="MED110" s="769"/>
      <c r="MEE110" s="769"/>
      <c r="MEF110" s="769"/>
      <c r="MEG110" s="769"/>
      <c r="MEH110" s="769"/>
      <c r="MEI110" s="769"/>
      <c r="MEJ110" s="769"/>
      <c r="MEK110" s="769"/>
      <c r="MEL110" s="769"/>
      <c r="MEM110" s="769"/>
      <c r="MEN110" s="769"/>
      <c r="MEO110" s="769"/>
      <c r="MEP110" s="769"/>
      <c r="MEQ110" s="769"/>
      <c r="MER110" s="769"/>
      <c r="MES110" s="769"/>
      <c r="MET110" s="769"/>
      <c r="MEU110" s="769"/>
      <c r="MEV110" s="769"/>
      <c r="MEW110" s="769"/>
      <c r="MEX110" s="769"/>
      <c r="MEY110" s="769"/>
      <c r="MEZ110" s="769"/>
      <c r="MFA110" s="769"/>
      <c r="MFB110" s="769"/>
      <c r="MFC110" s="769"/>
      <c r="MFD110" s="769"/>
      <c r="MFE110" s="769"/>
      <c r="MFF110" s="769"/>
      <c r="MFG110" s="769"/>
      <c r="MFH110" s="769"/>
      <c r="MFI110" s="769"/>
      <c r="MFJ110" s="769"/>
      <c r="MFK110" s="769"/>
      <c r="MFL110" s="769"/>
      <c r="MFM110" s="769"/>
      <c r="MFN110" s="769"/>
      <c r="MFO110" s="769"/>
      <c r="MFP110" s="769"/>
      <c r="MFQ110" s="769"/>
      <c r="MFR110" s="769"/>
      <c r="MFS110" s="769"/>
      <c r="MFT110" s="769"/>
      <c r="MFU110" s="769"/>
      <c r="MFV110" s="769"/>
      <c r="MFW110" s="769"/>
      <c r="MFX110" s="769"/>
      <c r="MFY110" s="769"/>
      <c r="MFZ110" s="769"/>
      <c r="MGA110" s="769"/>
      <c r="MGB110" s="769"/>
      <c r="MGC110" s="769"/>
      <c r="MGD110" s="769"/>
      <c r="MGE110" s="769"/>
      <c r="MGF110" s="769"/>
      <c r="MGG110" s="769"/>
      <c r="MGH110" s="769"/>
      <c r="MGI110" s="769"/>
      <c r="MGJ110" s="769"/>
      <c r="MGK110" s="769"/>
      <c r="MGL110" s="769"/>
      <c r="MGM110" s="769"/>
      <c r="MGN110" s="769"/>
      <c r="MGO110" s="769"/>
      <c r="MGP110" s="769"/>
      <c r="MGQ110" s="769"/>
      <c r="MGR110" s="769"/>
      <c r="MGS110" s="769"/>
      <c r="MGT110" s="769"/>
      <c r="MGU110" s="769"/>
      <c r="MGV110" s="769"/>
      <c r="MGW110" s="769"/>
      <c r="MGX110" s="769"/>
      <c r="MGY110" s="769"/>
      <c r="MGZ110" s="769"/>
      <c r="MHA110" s="769"/>
      <c r="MHB110" s="769"/>
      <c r="MHC110" s="769"/>
      <c r="MHD110" s="769"/>
      <c r="MHE110" s="769"/>
      <c r="MHF110" s="769"/>
      <c r="MHG110" s="769"/>
      <c r="MHH110" s="769"/>
      <c r="MHI110" s="769"/>
      <c r="MHJ110" s="769"/>
      <c r="MHK110" s="769"/>
      <c r="MHL110" s="769"/>
      <c r="MHM110" s="769"/>
      <c r="MHN110" s="769"/>
      <c r="MHO110" s="769"/>
      <c r="MHP110" s="769"/>
      <c r="MHQ110" s="769"/>
      <c r="MHR110" s="769"/>
      <c r="MHS110" s="769"/>
      <c r="MHT110" s="769"/>
      <c r="MHU110" s="769"/>
      <c r="MHV110" s="769"/>
      <c r="MHW110" s="769"/>
      <c r="MHX110" s="769"/>
      <c r="MHY110" s="769"/>
      <c r="MHZ110" s="769"/>
      <c r="MIA110" s="769"/>
      <c r="MIB110" s="769"/>
      <c r="MIC110" s="769"/>
      <c r="MID110" s="769"/>
      <c r="MIE110" s="769"/>
      <c r="MIF110" s="769"/>
      <c r="MIG110" s="769"/>
      <c r="MIH110" s="769"/>
      <c r="MII110" s="769"/>
      <c r="MIJ110" s="769"/>
      <c r="MIK110" s="769"/>
      <c r="MIL110" s="769"/>
      <c r="MIM110" s="769"/>
      <c r="MIN110" s="769"/>
      <c r="MIO110" s="769"/>
      <c r="MIP110" s="769"/>
      <c r="MIQ110" s="769"/>
      <c r="MIR110" s="769"/>
      <c r="MIS110" s="769"/>
      <c r="MIT110" s="769"/>
      <c r="MIU110" s="769"/>
      <c r="MIV110" s="769"/>
      <c r="MIW110" s="769"/>
      <c r="MIX110" s="769"/>
      <c r="MIY110" s="769"/>
      <c r="MIZ110" s="769"/>
      <c r="MJA110" s="769"/>
      <c r="MJB110" s="769"/>
      <c r="MJC110" s="769"/>
      <c r="MJD110" s="769"/>
      <c r="MJE110" s="769"/>
      <c r="MJF110" s="769"/>
      <c r="MJG110" s="769"/>
      <c r="MJH110" s="769"/>
      <c r="MJI110" s="769"/>
      <c r="MJJ110" s="769"/>
      <c r="MJK110" s="769"/>
      <c r="MJL110" s="769"/>
      <c r="MJM110" s="769"/>
      <c r="MJN110" s="769"/>
      <c r="MJO110" s="769"/>
      <c r="MJP110" s="769"/>
      <c r="MJQ110" s="769"/>
      <c r="MJR110" s="769"/>
      <c r="MJS110" s="769"/>
      <c r="MJT110" s="769"/>
      <c r="MJU110" s="769"/>
      <c r="MJV110" s="769"/>
      <c r="MJW110" s="769"/>
      <c r="MJX110" s="769"/>
      <c r="MJY110" s="769"/>
      <c r="MJZ110" s="769"/>
      <c r="MKA110" s="769"/>
      <c r="MKB110" s="769"/>
      <c r="MKC110" s="769"/>
      <c r="MKD110" s="769"/>
      <c r="MKE110" s="769"/>
      <c r="MKF110" s="769"/>
      <c r="MKG110" s="769"/>
      <c r="MKH110" s="769"/>
      <c r="MKI110" s="769"/>
      <c r="MKJ110" s="769"/>
      <c r="MKK110" s="769"/>
      <c r="MKL110" s="769"/>
      <c r="MKM110" s="769"/>
      <c r="MKN110" s="769"/>
      <c r="MKO110" s="769"/>
      <c r="MKP110" s="769"/>
      <c r="MKQ110" s="769"/>
      <c r="MKR110" s="769"/>
      <c r="MKS110" s="769"/>
      <c r="MKT110" s="769"/>
      <c r="MKU110" s="769"/>
      <c r="MKV110" s="769"/>
      <c r="MKW110" s="769"/>
      <c r="MKX110" s="769"/>
      <c r="MKY110" s="769"/>
      <c r="MKZ110" s="769"/>
      <c r="MLA110" s="769"/>
      <c r="MLB110" s="769"/>
      <c r="MLC110" s="769"/>
      <c r="MLD110" s="769"/>
      <c r="MLE110" s="769"/>
      <c r="MLF110" s="769"/>
      <c r="MLG110" s="769"/>
      <c r="MLH110" s="769"/>
      <c r="MLI110" s="769"/>
      <c r="MLJ110" s="769"/>
      <c r="MLK110" s="769"/>
      <c r="MLL110" s="769"/>
      <c r="MLM110" s="769"/>
      <c r="MLN110" s="769"/>
      <c r="MLO110" s="769"/>
      <c r="MLP110" s="769"/>
      <c r="MLQ110" s="769"/>
      <c r="MLR110" s="769"/>
      <c r="MLS110" s="769"/>
      <c r="MLT110" s="769"/>
      <c r="MLU110" s="769"/>
      <c r="MLV110" s="769"/>
      <c r="MLW110" s="769"/>
      <c r="MLX110" s="769"/>
      <c r="MLY110" s="769"/>
      <c r="MLZ110" s="769"/>
      <c r="MMA110" s="769"/>
      <c r="MMB110" s="769"/>
      <c r="MMC110" s="769"/>
      <c r="MMD110" s="769"/>
      <c r="MME110" s="769"/>
      <c r="MMF110" s="769"/>
      <c r="MMG110" s="769"/>
      <c r="MMH110" s="769"/>
      <c r="MMI110" s="769"/>
      <c r="MMJ110" s="769"/>
      <c r="MMK110" s="769"/>
      <c r="MML110" s="769"/>
      <c r="MMM110" s="769"/>
      <c r="MMN110" s="769"/>
      <c r="MMO110" s="769"/>
      <c r="MMP110" s="769"/>
      <c r="MMQ110" s="769"/>
      <c r="MMR110" s="769"/>
      <c r="MMS110" s="769"/>
      <c r="MMT110" s="769"/>
      <c r="MMU110" s="769"/>
      <c r="MMV110" s="769"/>
      <c r="MMW110" s="769"/>
      <c r="MMX110" s="769"/>
      <c r="MMY110" s="769"/>
      <c r="MMZ110" s="769"/>
      <c r="MNA110" s="769"/>
      <c r="MNB110" s="769"/>
      <c r="MNC110" s="769"/>
      <c r="MND110" s="769"/>
      <c r="MNE110" s="769"/>
      <c r="MNF110" s="769"/>
      <c r="MNG110" s="769"/>
      <c r="MNH110" s="769"/>
      <c r="MNI110" s="769"/>
      <c r="MNJ110" s="769"/>
      <c r="MNK110" s="769"/>
      <c r="MNL110" s="769"/>
      <c r="MNM110" s="769"/>
      <c r="MNN110" s="769"/>
      <c r="MNO110" s="769"/>
      <c r="MNP110" s="769"/>
      <c r="MNQ110" s="769"/>
      <c r="MNR110" s="769"/>
      <c r="MNS110" s="769"/>
      <c r="MNT110" s="769"/>
      <c r="MNU110" s="769"/>
      <c r="MNV110" s="769"/>
      <c r="MNW110" s="769"/>
      <c r="MNX110" s="769"/>
      <c r="MNY110" s="769"/>
      <c r="MNZ110" s="769"/>
      <c r="MOA110" s="769"/>
      <c r="MOB110" s="769"/>
      <c r="MOC110" s="769"/>
      <c r="MOD110" s="769"/>
      <c r="MOE110" s="769"/>
      <c r="MOF110" s="769"/>
      <c r="MOG110" s="769"/>
      <c r="MOH110" s="769"/>
      <c r="MOI110" s="769"/>
      <c r="MOJ110" s="769"/>
      <c r="MOK110" s="769"/>
      <c r="MOL110" s="769"/>
      <c r="MOM110" s="769"/>
      <c r="MON110" s="769"/>
      <c r="MOO110" s="769"/>
      <c r="MOP110" s="769"/>
      <c r="MOQ110" s="769"/>
      <c r="MOR110" s="769"/>
      <c r="MOS110" s="769"/>
      <c r="MOT110" s="769"/>
      <c r="MOU110" s="769"/>
      <c r="MOV110" s="769"/>
      <c r="MOW110" s="769"/>
      <c r="MOX110" s="769"/>
      <c r="MOY110" s="769"/>
      <c r="MOZ110" s="769"/>
      <c r="MPA110" s="769"/>
      <c r="MPB110" s="769"/>
      <c r="MPC110" s="769"/>
      <c r="MPD110" s="769"/>
      <c r="MPE110" s="769"/>
      <c r="MPF110" s="769"/>
      <c r="MPG110" s="769"/>
      <c r="MPH110" s="769"/>
      <c r="MPI110" s="769"/>
      <c r="MPJ110" s="769"/>
      <c r="MPK110" s="769"/>
      <c r="MPL110" s="769"/>
      <c r="MPM110" s="769"/>
      <c r="MPN110" s="769"/>
      <c r="MPO110" s="769"/>
      <c r="MPP110" s="769"/>
      <c r="MPQ110" s="769"/>
      <c r="MPR110" s="769"/>
      <c r="MPS110" s="769"/>
      <c r="MPT110" s="769"/>
      <c r="MPU110" s="769"/>
      <c r="MPV110" s="769"/>
      <c r="MPW110" s="769"/>
      <c r="MPX110" s="769"/>
      <c r="MPY110" s="769"/>
      <c r="MPZ110" s="769"/>
      <c r="MQA110" s="769"/>
      <c r="MQB110" s="769"/>
      <c r="MQC110" s="769"/>
      <c r="MQD110" s="769"/>
      <c r="MQE110" s="769"/>
      <c r="MQF110" s="769"/>
      <c r="MQG110" s="769"/>
      <c r="MQH110" s="769"/>
      <c r="MQI110" s="769"/>
      <c r="MQJ110" s="769"/>
      <c r="MQK110" s="769"/>
      <c r="MQL110" s="769"/>
      <c r="MQM110" s="769"/>
      <c r="MQN110" s="769"/>
      <c r="MQO110" s="769"/>
      <c r="MQP110" s="769"/>
      <c r="MQQ110" s="769"/>
      <c r="MQR110" s="769"/>
      <c r="MQS110" s="769"/>
      <c r="MQT110" s="769"/>
      <c r="MQU110" s="769"/>
      <c r="MQV110" s="769"/>
      <c r="MQW110" s="769"/>
      <c r="MQX110" s="769"/>
      <c r="MQY110" s="769"/>
      <c r="MQZ110" s="769"/>
      <c r="MRA110" s="769"/>
      <c r="MRB110" s="769"/>
      <c r="MRC110" s="769"/>
      <c r="MRD110" s="769"/>
      <c r="MRE110" s="769"/>
      <c r="MRF110" s="769"/>
      <c r="MRG110" s="769"/>
      <c r="MRH110" s="769"/>
      <c r="MRI110" s="769"/>
      <c r="MRJ110" s="769"/>
      <c r="MRK110" s="769"/>
      <c r="MRL110" s="769"/>
      <c r="MRM110" s="769"/>
      <c r="MRN110" s="769"/>
      <c r="MRO110" s="769"/>
      <c r="MRP110" s="769"/>
      <c r="MRQ110" s="769"/>
      <c r="MRR110" s="769"/>
      <c r="MRS110" s="769"/>
      <c r="MRT110" s="769"/>
      <c r="MRU110" s="769"/>
      <c r="MRV110" s="769"/>
      <c r="MRW110" s="769"/>
      <c r="MRX110" s="769"/>
      <c r="MRY110" s="769"/>
      <c r="MRZ110" s="769"/>
      <c r="MSA110" s="769"/>
      <c r="MSB110" s="769"/>
      <c r="MSC110" s="769"/>
      <c r="MSD110" s="769"/>
      <c r="MSE110" s="769"/>
      <c r="MSF110" s="769"/>
      <c r="MSG110" s="769"/>
      <c r="MSH110" s="769"/>
      <c r="MSI110" s="769"/>
      <c r="MSJ110" s="769"/>
      <c r="MSK110" s="769"/>
      <c r="MSL110" s="769"/>
      <c r="MSM110" s="769"/>
      <c r="MSN110" s="769"/>
      <c r="MSO110" s="769"/>
      <c r="MSP110" s="769"/>
      <c r="MSQ110" s="769"/>
      <c r="MSR110" s="769"/>
      <c r="MSS110" s="769"/>
      <c r="MST110" s="769"/>
      <c r="MSU110" s="769"/>
      <c r="MSV110" s="769"/>
      <c r="MSW110" s="769"/>
      <c r="MSX110" s="769"/>
      <c r="MSY110" s="769"/>
      <c r="MSZ110" s="769"/>
      <c r="MTA110" s="769"/>
      <c r="MTB110" s="769"/>
      <c r="MTC110" s="769"/>
      <c r="MTD110" s="769"/>
      <c r="MTE110" s="769"/>
      <c r="MTF110" s="769"/>
      <c r="MTG110" s="769"/>
      <c r="MTH110" s="769"/>
      <c r="MTI110" s="769"/>
      <c r="MTJ110" s="769"/>
      <c r="MTK110" s="769"/>
      <c r="MTL110" s="769"/>
      <c r="MTM110" s="769"/>
      <c r="MTN110" s="769"/>
      <c r="MTO110" s="769"/>
      <c r="MTP110" s="769"/>
      <c r="MTQ110" s="769"/>
      <c r="MTR110" s="769"/>
      <c r="MTS110" s="769"/>
      <c r="MTT110" s="769"/>
      <c r="MTU110" s="769"/>
      <c r="MTV110" s="769"/>
      <c r="MTW110" s="769"/>
      <c r="MTX110" s="769"/>
      <c r="MTY110" s="769"/>
      <c r="MTZ110" s="769"/>
      <c r="MUA110" s="769"/>
      <c r="MUB110" s="769"/>
      <c r="MUC110" s="769"/>
      <c r="MUD110" s="769"/>
      <c r="MUE110" s="769"/>
      <c r="MUF110" s="769"/>
      <c r="MUG110" s="769"/>
      <c r="MUH110" s="769"/>
      <c r="MUI110" s="769"/>
      <c r="MUJ110" s="769"/>
      <c r="MUK110" s="769"/>
      <c r="MUL110" s="769"/>
      <c r="MUM110" s="769"/>
      <c r="MUN110" s="769"/>
      <c r="MUO110" s="769"/>
      <c r="MUP110" s="769"/>
      <c r="MUQ110" s="769"/>
      <c r="MUR110" s="769"/>
      <c r="MUS110" s="769"/>
      <c r="MUT110" s="769"/>
      <c r="MUU110" s="769"/>
      <c r="MUV110" s="769"/>
      <c r="MUW110" s="769"/>
      <c r="MUX110" s="769"/>
      <c r="MUY110" s="769"/>
      <c r="MUZ110" s="769"/>
      <c r="MVA110" s="769"/>
      <c r="MVB110" s="769"/>
      <c r="MVC110" s="769"/>
      <c r="MVD110" s="769"/>
      <c r="MVE110" s="769"/>
      <c r="MVF110" s="769"/>
      <c r="MVG110" s="769"/>
      <c r="MVH110" s="769"/>
      <c r="MVI110" s="769"/>
      <c r="MVJ110" s="769"/>
      <c r="MVK110" s="769"/>
      <c r="MVL110" s="769"/>
      <c r="MVM110" s="769"/>
      <c r="MVN110" s="769"/>
      <c r="MVO110" s="769"/>
      <c r="MVP110" s="769"/>
      <c r="MVQ110" s="769"/>
      <c r="MVR110" s="769"/>
      <c r="MVS110" s="769"/>
      <c r="MVT110" s="769"/>
      <c r="MVU110" s="769"/>
      <c r="MVV110" s="769"/>
      <c r="MVW110" s="769"/>
      <c r="MVX110" s="769"/>
      <c r="MVY110" s="769"/>
      <c r="MVZ110" s="769"/>
      <c r="MWA110" s="769"/>
      <c r="MWB110" s="769"/>
      <c r="MWC110" s="769"/>
      <c r="MWD110" s="769"/>
      <c r="MWE110" s="769"/>
      <c r="MWF110" s="769"/>
      <c r="MWG110" s="769"/>
      <c r="MWH110" s="769"/>
      <c r="MWI110" s="769"/>
      <c r="MWJ110" s="769"/>
      <c r="MWK110" s="769"/>
      <c r="MWL110" s="769"/>
      <c r="MWM110" s="769"/>
      <c r="MWN110" s="769"/>
      <c r="MWO110" s="769"/>
      <c r="MWP110" s="769"/>
      <c r="MWQ110" s="769"/>
      <c r="MWR110" s="769"/>
      <c r="MWS110" s="769"/>
      <c r="MWT110" s="769"/>
      <c r="MWU110" s="769"/>
      <c r="MWV110" s="769"/>
      <c r="MWW110" s="769"/>
      <c r="MWX110" s="769"/>
      <c r="MWY110" s="769"/>
      <c r="MWZ110" s="769"/>
      <c r="MXA110" s="769"/>
      <c r="MXB110" s="769"/>
      <c r="MXC110" s="769"/>
      <c r="MXD110" s="769"/>
      <c r="MXE110" s="769"/>
      <c r="MXF110" s="769"/>
      <c r="MXG110" s="769"/>
      <c r="MXH110" s="769"/>
      <c r="MXI110" s="769"/>
      <c r="MXJ110" s="769"/>
      <c r="MXK110" s="769"/>
      <c r="MXL110" s="769"/>
      <c r="MXM110" s="769"/>
      <c r="MXN110" s="769"/>
      <c r="MXO110" s="769"/>
      <c r="MXP110" s="769"/>
      <c r="MXQ110" s="769"/>
      <c r="MXR110" s="769"/>
      <c r="MXS110" s="769"/>
      <c r="MXT110" s="769"/>
      <c r="MXU110" s="769"/>
      <c r="MXV110" s="769"/>
      <c r="MXW110" s="769"/>
      <c r="MXX110" s="769"/>
      <c r="MXY110" s="769"/>
      <c r="MXZ110" s="769"/>
      <c r="MYA110" s="769"/>
      <c r="MYB110" s="769"/>
      <c r="MYC110" s="769"/>
      <c r="MYD110" s="769"/>
      <c r="MYE110" s="769"/>
      <c r="MYF110" s="769"/>
      <c r="MYG110" s="769"/>
      <c r="MYH110" s="769"/>
      <c r="MYI110" s="769"/>
      <c r="MYJ110" s="769"/>
      <c r="MYK110" s="769"/>
      <c r="MYL110" s="769"/>
      <c r="MYM110" s="769"/>
      <c r="MYN110" s="769"/>
      <c r="MYO110" s="769"/>
      <c r="MYP110" s="769"/>
      <c r="MYQ110" s="769"/>
      <c r="MYR110" s="769"/>
      <c r="MYS110" s="769"/>
      <c r="MYT110" s="769"/>
      <c r="MYU110" s="769"/>
      <c r="MYV110" s="769"/>
      <c r="MYW110" s="769"/>
      <c r="MYX110" s="769"/>
      <c r="MYY110" s="769"/>
      <c r="MYZ110" s="769"/>
      <c r="MZA110" s="769"/>
      <c r="MZB110" s="769"/>
      <c r="MZC110" s="769"/>
      <c r="MZD110" s="769"/>
      <c r="MZE110" s="769"/>
      <c r="MZF110" s="769"/>
      <c r="MZG110" s="769"/>
      <c r="MZH110" s="769"/>
      <c r="MZI110" s="769"/>
      <c r="MZJ110" s="769"/>
      <c r="MZK110" s="769"/>
      <c r="MZL110" s="769"/>
      <c r="MZM110" s="769"/>
      <c r="MZN110" s="769"/>
      <c r="MZO110" s="769"/>
      <c r="MZP110" s="769"/>
      <c r="MZQ110" s="769"/>
      <c r="MZR110" s="769"/>
      <c r="MZS110" s="769"/>
      <c r="MZT110" s="769"/>
      <c r="MZU110" s="769"/>
      <c r="MZV110" s="769"/>
      <c r="MZW110" s="769"/>
      <c r="MZX110" s="769"/>
      <c r="MZY110" s="769"/>
      <c r="MZZ110" s="769"/>
      <c r="NAA110" s="769"/>
      <c r="NAB110" s="769"/>
      <c r="NAC110" s="769"/>
      <c r="NAD110" s="769"/>
      <c r="NAE110" s="769"/>
      <c r="NAF110" s="769"/>
      <c r="NAG110" s="769"/>
      <c r="NAH110" s="769"/>
      <c r="NAI110" s="769"/>
      <c r="NAJ110" s="769"/>
      <c r="NAK110" s="769"/>
      <c r="NAL110" s="769"/>
      <c r="NAM110" s="769"/>
      <c r="NAN110" s="769"/>
      <c r="NAO110" s="769"/>
      <c r="NAP110" s="769"/>
      <c r="NAQ110" s="769"/>
      <c r="NAR110" s="769"/>
      <c r="NAS110" s="769"/>
      <c r="NAT110" s="769"/>
      <c r="NAU110" s="769"/>
      <c r="NAV110" s="769"/>
      <c r="NAW110" s="769"/>
      <c r="NAX110" s="769"/>
      <c r="NAY110" s="769"/>
      <c r="NAZ110" s="769"/>
      <c r="NBA110" s="769"/>
      <c r="NBB110" s="769"/>
      <c r="NBC110" s="769"/>
      <c r="NBD110" s="769"/>
      <c r="NBE110" s="769"/>
      <c r="NBF110" s="769"/>
      <c r="NBG110" s="769"/>
      <c r="NBH110" s="769"/>
      <c r="NBI110" s="769"/>
      <c r="NBJ110" s="769"/>
      <c r="NBK110" s="769"/>
      <c r="NBL110" s="769"/>
      <c r="NBM110" s="769"/>
      <c r="NBN110" s="769"/>
      <c r="NBO110" s="769"/>
      <c r="NBP110" s="769"/>
      <c r="NBQ110" s="769"/>
      <c r="NBR110" s="769"/>
      <c r="NBS110" s="769"/>
      <c r="NBT110" s="769"/>
      <c r="NBU110" s="769"/>
      <c r="NBV110" s="769"/>
      <c r="NBW110" s="769"/>
      <c r="NBX110" s="769"/>
      <c r="NBY110" s="769"/>
      <c r="NBZ110" s="769"/>
      <c r="NCA110" s="769"/>
      <c r="NCB110" s="769"/>
      <c r="NCC110" s="769"/>
      <c r="NCD110" s="769"/>
      <c r="NCE110" s="769"/>
      <c r="NCF110" s="769"/>
      <c r="NCG110" s="769"/>
      <c r="NCH110" s="769"/>
      <c r="NCI110" s="769"/>
      <c r="NCJ110" s="769"/>
      <c r="NCK110" s="769"/>
      <c r="NCL110" s="769"/>
      <c r="NCM110" s="769"/>
      <c r="NCN110" s="769"/>
      <c r="NCO110" s="769"/>
      <c r="NCP110" s="769"/>
      <c r="NCQ110" s="769"/>
      <c r="NCR110" s="769"/>
      <c r="NCS110" s="769"/>
      <c r="NCT110" s="769"/>
      <c r="NCU110" s="769"/>
      <c r="NCV110" s="769"/>
      <c r="NCW110" s="769"/>
      <c r="NCX110" s="769"/>
      <c r="NCY110" s="769"/>
      <c r="NCZ110" s="769"/>
      <c r="NDA110" s="769"/>
      <c r="NDB110" s="769"/>
      <c r="NDC110" s="769"/>
      <c r="NDD110" s="769"/>
      <c r="NDE110" s="769"/>
      <c r="NDF110" s="769"/>
      <c r="NDG110" s="769"/>
      <c r="NDH110" s="769"/>
      <c r="NDI110" s="769"/>
      <c r="NDJ110" s="769"/>
      <c r="NDK110" s="769"/>
      <c r="NDL110" s="769"/>
      <c r="NDM110" s="769"/>
      <c r="NDN110" s="769"/>
      <c r="NDO110" s="769"/>
      <c r="NDP110" s="769"/>
      <c r="NDQ110" s="769"/>
      <c r="NDR110" s="769"/>
      <c r="NDS110" s="769"/>
      <c r="NDT110" s="769"/>
      <c r="NDU110" s="769"/>
      <c r="NDV110" s="769"/>
      <c r="NDW110" s="769"/>
      <c r="NDX110" s="769"/>
      <c r="NDY110" s="769"/>
      <c r="NDZ110" s="769"/>
      <c r="NEA110" s="769"/>
      <c r="NEB110" s="769"/>
      <c r="NEC110" s="769"/>
      <c r="NED110" s="769"/>
      <c r="NEE110" s="769"/>
      <c r="NEF110" s="769"/>
      <c r="NEG110" s="769"/>
      <c r="NEH110" s="769"/>
      <c r="NEI110" s="769"/>
      <c r="NEJ110" s="769"/>
      <c r="NEK110" s="769"/>
      <c r="NEL110" s="769"/>
      <c r="NEM110" s="769"/>
      <c r="NEN110" s="769"/>
      <c r="NEO110" s="769"/>
      <c r="NEP110" s="769"/>
      <c r="NEQ110" s="769"/>
      <c r="NER110" s="769"/>
      <c r="NES110" s="769"/>
      <c r="NET110" s="769"/>
      <c r="NEU110" s="769"/>
      <c r="NEV110" s="769"/>
      <c r="NEW110" s="769"/>
      <c r="NEX110" s="769"/>
      <c r="NEY110" s="769"/>
      <c r="NEZ110" s="769"/>
      <c r="NFA110" s="769"/>
      <c r="NFB110" s="769"/>
      <c r="NFC110" s="769"/>
      <c r="NFD110" s="769"/>
      <c r="NFE110" s="769"/>
      <c r="NFF110" s="769"/>
      <c r="NFG110" s="769"/>
      <c r="NFH110" s="769"/>
      <c r="NFI110" s="769"/>
      <c r="NFJ110" s="769"/>
      <c r="NFK110" s="769"/>
      <c r="NFL110" s="769"/>
      <c r="NFM110" s="769"/>
      <c r="NFN110" s="769"/>
      <c r="NFO110" s="769"/>
      <c r="NFP110" s="769"/>
      <c r="NFQ110" s="769"/>
      <c r="NFR110" s="769"/>
      <c r="NFS110" s="769"/>
      <c r="NFT110" s="769"/>
      <c r="NFU110" s="769"/>
      <c r="NFV110" s="769"/>
      <c r="NFW110" s="769"/>
      <c r="NFX110" s="769"/>
      <c r="NFY110" s="769"/>
      <c r="NFZ110" s="769"/>
      <c r="NGA110" s="769"/>
      <c r="NGB110" s="769"/>
      <c r="NGC110" s="769"/>
      <c r="NGD110" s="769"/>
      <c r="NGE110" s="769"/>
      <c r="NGF110" s="769"/>
      <c r="NGG110" s="769"/>
      <c r="NGH110" s="769"/>
      <c r="NGI110" s="769"/>
      <c r="NGJ110" s="769"/>
      <c r="NGK110" s="769"/>
      <c r="NGL110" s="769"/>
      <c r="NGM110" s="769"/>
      <c r="NGN110" s="769"/>
      <c r="NGO110" s="769"/>
      <c r="NGP110" s="769"/>
      <c r="NGQ110" s="769"/>
      <c r="NGR110" s="769"/>
      <c r="NGS110" s="769"/>
      <c r="NGT110" s="769"/>
      <c r="NGU110" s="769"/>
      <c r="NGV110" s="769"/>
      <c r="NGW110" s="769"/>
      <c r="NGX110" s="769"/>
      <c r="NGY110" s="769"/>
      <c r="NGZ110" s="769"/>
      <c r="NHA110" s="769"/>
      <c r="NHB110" s="769"/>
      <c r="NHC110" s="769"/>
      <c r="NHD110" s="769"/>
      <c r="NHE110" s="769"/>
      <c r="NHF110" s="769"/>
      <c r="NHG110" s="769"/>
      <c r="NHH110" s="769"/>
      <c r="NHI110" s="769"/>
      <c r="NHJ110" s="769"/>
      <c r="NHK110" s="769"/>
      <c r="NHL110" s="769"/>
      <c r="NHM110" s="769"/>
      <c r="NHN110" s="769"/>
      <c r="NHO110" s="769"/>
      <c r="NHP110" s="769"/>
      <c r="NHQ110" s="769"/>
      <c r="NHR110" s="769"/>
      <c r="NHS110" s="769"/>
      <c r="NHT110" s="769"/>
      <c r="NHU110" s="769"/>
      <c r="NHV110" s="769"/>
      <c r="NHW110" s="769"/>
      <c r="NHX110" s="769"/>
      <c r="NHY110" s="769"/>
      <c r="NHZ110" s="769"/>
      <c r="NIA110" s="769"/>
      <c r="NIB110" s="769"/>
      <c r="NIC110" s="769"/>
      <c r="NID110" s="769"/>
      <c r="NIE110" s="769"/>
      <c r="NIF110" s="769"/>
      <c r="NIG110" s="769"/>
      <c r="NIH110" s="769"/>
      <c r="NII110" s="769"/>
      <c r="NIJ110" s="769"/>
      <c r="NIK110" s="769"/>
      <c r="NIL110" s="769"/>
      <c r="NIM110" s="769"/>
      <c r="NIN110" s="769"/>
      <c r="NIO110" s="769"/>
      <c r="NIP110" s="769"/>
      <c r="NIQ110" s="769"/>
      <c r="NIR110" s="769"/>
      <c r="NIS110" s="769"/>
      <c r="NIT110" s="769"/>
      <c r="NIU110" s="769"/>
      <c r="NIV110" s="769"/>
      <c r="NIW110" s="769"/>
      <c r="NIX110" s="769"/>
      <c r="NIY110" s="769"/>
      <c r="NIZ110" s="769"/>
      <c r="NJA110" s="769"/>
      <c r="NJB110" s="769"/>
      <c r="NJC110" s="769"/>
      <c r="NJD110" s="769"/>
      <c r="NJE110" s="769"/>
      <c r="NJF110" s="769"/>
      <c r="NJG110" s="769"/>
      <c r="NJH110" s="769"/>
      <c r="NJI110" s="769"/>
      <c r="NJJ110" s="769"/>
      <c r="NJK110" s="769"/>
      <c r="NJL110" s="769"/>
      <c r="NJM110" s="769"/>
      <c r="NJN110" s="769"/>
      <c r="NJO110" s="769"/>
      <c r="NJP110" s="769"/>
      <c r="NJQ110" s="769"/>
      <c r="NJR110" s="769"/>
      <c r="NJS110" s="769"/>
      <c r="NJT110" s="769"/>
      <c r="NJU110" s="769"/>
      <c r="NJV110" s="769"/>
      <c r="NJW110" s="769"/>
      <c r="NJX110" s="769"/>
      <c r="NJY110" s="769"/>
      <c r="NJZ110" s="769"/>
      <c r="NKA110" s="769"/>
      <c r="NKB110" s="769"/>
      <c r="NKC110" s="769"/>
      <c r="NKD110" s="769"/>
      <c r="NKE110" s="769"/>
      <c r="NKF110" s="769"/>
      <c r="NKG110" s="769"/>
      <c r="NKH110" s="769"/>
      <c r="NKI110" s="769"/>
      <c r="NKJ110" s="769"/>
      <c r="NKK110" s="769"/>
      <c r="NKL110" s="769"/>
      <c r="NKM110" s="769"/>
      <c r="NKN110" s="769"/>
      <c r="NKO110" s="769"/>
      <c r="NKP110" s="769"/>
      <c r="NKQ110" s="769"/>
      <c r="NKR110" s="769"/>
      <c r="NKS110" s="769"/>
      <c r="NKT110" s="769"/>
      <c r="NKU110" s="769"/>
      <c r="NKV110" s="769"/>
      <c r="NKW110" s="769"/>
      <c r="NKX110" s="769"/>
      <c r="NKY110" s="769"/>
      <c r="NKZ110" s="769"/>
      <c r="NLA110" s="769"/>
      <c r="NLB110" s="769"/>
      <c r="NLC110" s="769"/>
      <c r="NLD110" s="769"/>
      <c r="NLE110" s="769"/>
      <c r="NLF110" s="769"/>
      <c r="NLG110" s="769"/>
      <c r="NLH110" s="769"/>
      <c r="NLI110" s="769"/>
      <c r="NLJ110" s="769"/>
      <c r="NLK110" s="769"/>
      <c r="NLL110" s="769"/>
      <c r="NLM110" s="769"/>
      <c r="NLN110" s="769"/>
      <c r="NLO110" s="769"/>
      <c r="NLP110" s="769"/>
      <c r="NLQ110" s="769"/>
      <c r="NLR110" s="769"/>
      <c r="NLS110" s="769"/>
      <c r="NLT110" s="769"/>
      <c r="NLU110" s="769"/>
      <c r="NLV110" s="769"/>
      <c r="NLW110" s="769"/>
      <c r="NLX110" s="769"/>
      <c r="NLY110" s="769"/>
      <c r="NLZ110" s="769"/>
      <c r="NMA110" s="769"/>
      <c r="NMB110" s="769"/>
      <c r="NMC110" s="769"/>
      <c r="NMD110" s="769"/>
      <c r="NME110" s="769"/>
      <c r="NMF110" s="769"/>
      <c r="NMG110" s="769"/>
      <c r="NMH110" s="769"/>
      <c r="NMI110" s="769"/>
      <c r="NMJ110" s="769"/>
      <c r="NMK110" s="769"/>
      <c r="NML110" s="769"/>
      <c r="NMM110" s="769"/>
      <c r="NMN110" s="769"/>
      <c r="NMO110" s="769"/>
      <c r="NMP110" s="769"/>
      <c r="NMQ110" s="769"/>
      <c r="NMR110" s="769"/>
      <c r="NMS110" s="769"/>
      <c r="NMT110" s="769"/>
      <c r="NMU110" s="769"/>
      <c r="NMV110" s="769"/>
      <c r="NMW110" s="769"/>
      <c r="NMX110" s="769"/>
      <c r="NMY110" s="769"/>
      <c r="NMZ110" s="769"/>
      <c r="NNA110" s="769"/>
      <c r="NNB110" s="769"/>
      <c r="NNC110" s="769"/>
      <c r="NND110" s="769"/>
      <c r="NNE110" s="769"/>
      <c r="NNF110" s="769"/>
      <c r="NNG110" s="769"/>
      <c r="NNH110" s="769"/>
      <c r="NNI110" s="769"/>
      <c r="NNJ110" s="769"/>
      <c r="NNK110" s="769"/>
      <c r="NNL110" s="769"/>
      <c r="NNM110" s="769"/>
      <c r="NNN110" s="769"/>
      <c r="NNO110" s="769"/>
      <c r="NNP110" s="769"/>
      <c r="NNQ110" s="769"/>
      <c r="NNR110" s="769"/>
      <c r="NNS110" s="769"/>
      <c r="NNT110" s="769"/>
      <c r="NNU110" s="769"/>
      <c r="NNV110" s="769"/>
      <c r="NNW110" s="769"/>
      <c r="NNX110" s="769"/>
      <c r="NNY110" s="769"/>
      <c r="NNZ110" s="769"/>
      <c r="NOA110" s="769"/>
      <c r="NOB110" s="769"/>
      <c r="NOC110" s="769"/>
      <c r="NOD110" s="769"/>
      <c r="NOE110" s="769"/>
      <c r="NOF110" s="769"/>
      <c r="NOG110" s="769"/>
      <c r="NOH110" s="769"/>
      <c r="NOI110" s="769"/>
      <c r="NOJ110" s="769"/>
      <c r="NOK110" s="769"/>
      <c r="NOL110" s="769"/>
      <c r="NOM110" s="769"/>
      <c r="NON110" s="769"/>
      <c r="NOO110" s="769"/>
      <c r="NOP110" s="769"/>
      <c r="NOQ110" s="769"/>
      <c r="NOR110" s="769"/>
      <c r="NOS110" s="769"/>
      <c r="NOT110" s="769"/>
      <c r="NOU110" s="769"/>
      <c r="NOV110" s="769"/>
      <c r="NOW110" s="769"/>
      <c r="NOX110" s="769"/>
      <c r="NOY110" s="769"/>
      <c r="NOZ110" s="769"/>
      <c r="NPA110" s="769"/>
      <c r="NPB110" s="769"/>
      <c r="NPC110" s="769"/>
      <c r="NPD110" s="769"/>
      <c r="NPE110" s="769"/>
      <c r="NPF110" s="769"/>
      <c r="NPG110" s="769"/>
      <c r="NPH110" s="769"/>
      <c r="NPI110" s="769"/>
      <c r="NPJ110" s="769"/>
      <c r="NPK110" s="769"/>
      <c r="NPL110" s="769"/>
      <c r="NPM110" s="769"/>
      <c r="NPN110" s="769"/>
      <c r="NPO110" s="769"/>
      <c r="NPP110" s="769"/>
      <c r="NPQ110" s="769"/>
      <c r="NPR110" s="769"/>
      <c r="NPS110" s="769"/>
      <c r="NPT110" s="769"/>
      <c r="NPU110" s="769"/>
      <c r="NPV110" s="769"/>
      <c r="NPW110" s="769"/>
      <c r="NPX110" s="769"/>
      <c r="NPY110" s="769"/>
      <c r="NPZ110" s="769"/>
      <c r="NQA110" s="769"/>
      <c r="NQB110" s="769"/>
      <c r="NQC110" s="769"/>
      <c r="NQD110" s="769"/>
      <c r="NQE110" s="769"/>
      <c r="NQF110" s="769"/>
      <c r="NQG110" s="769"/>
      <c r="NQH110" s="769"/>
      <c r="NQI110" s="769"/>
      <c r="NQJ110" s="769"/>
      <c r="NQK110" s="769"/>
      <c r="NQL110" s="769"/>
      <c r="NQM110" s="769"/>
      <c r="NQN110" s="769"/>
      <c r="NQO110" s="769"/>
      <c r="NQP110" s="769"/>
      <c r="NQQ110" s="769"/>
      <c r="NQR110" s="769"/>
      <c r="NQS110" s="769"/>
      <c r="NQT110" s="769"/>
      <c r="NQU110" s="769"/>
      <c r="NQV110" s="769"/>
      <c r="NQW110" s="769"/>
      <c r="NQX110" s="769"/>
      <c r="NQY110" s="769"/>
      <c r="NQZ110" s="769"/>
      <c r="NRA110" s="769"/>
      <c r="NRB110" s="769"/>
      <c r="NRC110" s="769"/>
      <c r="NRD110" s="769"/>
      <c r="NRE110" s="769"/>
      <c r="NRF110" s="769"/>
      <c r="NRG110" s="769"/>
      <c r="NRH110" s="769"/>
      <c r="NRI110" s="769"/>
      <c r="NRJ110" s="769"/>
      <c r="NRK110" s="769"/>
      <c r="NRL110" s="769"/>
      <c r="NRM110" s="769"/>
      <c r="NRN110" s="769"/>
      <c r="NRO110" s="769"/>
      <c r="NRP110" s="769"/>
      <c r="NRQ110" s="769"/>
      <c r="NRR110" s="769"/>
      <c r="NRS110" s="769"/>
      <c r="NRT110" s="769"/>
      <c r="NRU110" s="769"/>
      <c r="NRV110" s="769"/>
      <c r="NRW110" s="769"/>
      <c r="NRX110" s="769"/>
      <c r="NRY110" s="769"/>
      <c r="NRZ110" s="769"/>
      <c r="NSA110" s="769"/>
      <c r="NSB110" s="769"/>
      <c r="NSC110" s="769"/>
      <c r="NSD110" s="769"/>
      <c r="NSE110" s="769"/>
      <c r="NSF110" s="769"/>
      <c r="NSG110" s="769"/>
      <c r="NSH110" s="769"/>
      <c r="NSI110" s="769"/>
      <c r="NSJ110" s="769"/>
      <c r="NSK110" s="769"/>
      <c r="NSL110" s="769"/>
      <c r="NSM110" s="769"/>
      <c r="NSN110" s="769"/>
      <c r="NSO110" s="769"/>
      <c r="NSP110" s="769"/>
      <c r="NSQ110" s="769"/>
      <c r="NSR110" s="769"/>
      <c r="NSS110" s="769"/>
      <c r="NST110" s="769"/>
      <c r="NSU110" s="769"/>
      <c r="NSV110" s="769"/>
      <c r="NSW110" s="769"/>
      <c r="NSX110" s="769"/>
      <c r="NSY110" s="769"/>
      <c r="NSZ110" s="769"/>
      <c r="NTA110" s="769"/>
      <c r="NTB110" s="769"/>
      <c r="NTC110" s="769"/>
      <c r="NTD110" s="769"/>
      <c r="NTE110" s="769"/>
      <c r="NTF110" s="769"/>
      <c r="NTG110" s="769"/>
      <c r="NTH110" s="769"/>
      <c r="NTI110" s="769"/>
      <c r="NTJ110" s="769"/>
      <c r="NTK110" s="769"/>
      <c r="NTL110" s="769"/>
      <c r="NTM110" s="769"/>
      <c r="NTN110" s="769"/>
      <c r="NTO110" s="769"/>
      <c r="NTP110" s="769"/>
      <c r="NTQ110" s="769"/>
      <c r="NTR110" s="769"/>
      <c r="NTS110" s="769"/>
      <c r="NTT110" s="769"/>
      <c r="NTU110" s="769"/>
      <c r="NTV110" s="769"/>
      <c r="NTW110" s="769"/>
      <c r="NTX110" s="769"/>
      <c r="NTY110" s="769"/>
      <c r="NTZ110" s="769"/>
      <c r="NUA110" s="769"/>
      <c r="NUB110" s="769"/>
      <c r="NUC110" s="769"/>
      <c r="NUD110" s="769"/>
      <c r="NUE110" s="769"/>
      <c r="NUF110" s="769"/>
      <c r="NUG110" s="769"/>
      <c r="NUH110" s="769"/>
      <c r="NUI110" s="769"/>
      <c r="NUJ110" s="769"/>
      <c r="NUK110" s="769"/>
      <c r="NUL110" s="769"/>
      <c r="NUM110" s="769"/>
      <c r="NUN110" s="769"/>
      <c r="NUO110" s="769"/>
      <c r="NUP110" s="769"/>
      <c r="NUQ110" s="769"/>
      <c r="NUR110" s="769"/>
      <c r="NUS110" s="769"/>
      <c r="NUT110" s="769"/>
      <c r="NUU110" s="769"/>
      <c r="NUV110" s="769"/>
      <c r="NUW110" s="769"/>
      <c r="NUX110" s="769"/>
      <c r="NUY110" s="769"/>
      <c r="NUZ110" s="769"/>
      <c r="NVA110" s="769"/>
      <c r="NVB110" s="769"/>
      <c r="NVC110" s="769"/>
      <c r="NVD110" s="769"/>
      <c r="NVE110" s="769"/>
      <c r="NVF110" s="769"/>
      <c r="NVG110" s="769"/>
      <c r="NVH110" s="769"/>
      <c r="NVI110" s="769"/>
      <c r="NVJ110" s="769"/>
      <c r="NVK110" s="769"/>
      <c r="NVL110" s="769"/>
      <c r="NVM110" s="769"/>
      <c r="NVN110" s="769"/>
      <c r="NVO110" s="769"/>
      <c r="NVP110" s="769"/>
      <c r="NVQ110" s="769"/>
      <c r="NVR110" s="769"/>
      <c r="NVS110" s="769"/>
      <c r="NVT110" s="769"/>
      <c r="NVU110" s="769"/>
      <c r="NVV110" s="769"/>
      <c r="NVW110" s="769"/>
      <c r="NVX110" s="769"/>
      <c r="NVY110" s="769"/>
      <c r="NVZ110" s="769"/>
      <c r="NWA110" s="769"/>
      <c r="NWB110" s="769"/>
      <c r="NWC110" s="769"/>
      <c r="NWD110" s="769"/>
      <c r="NWE110" s="769"/>
      <c r="NWF110" s="769"/>
      <c r="NWG110" s="769"/>
      <c r="NWH110" s="769"/>
      <c r="NWI110" s="769"/>
      <c r="NWJ110" s="769"/>
      <c r="NWK110" s="769"/>
      <c r="NWL110" s="769"/>
      <c r="NWM110" s="769"/>
      <c r="NWN110" s="769"/>
      <c r="NWO110" s="769"/>
      <c r="NWP110" s="769"/>
      <c r="NWQ110" s="769"/>
      <c r="NWR110" s="769"/>
      <c r="NWS110" s="769"/>
      <c r="NWT110" s="769"/>
      <c r="NWU110" s="769"/>
      <c r="NWV110" s="769"/>
      <c r="NWW110" s="769"/>
      <c r="NWX110" s="769"/>
      <c r="NWY110" s="769"/>
      <c r="NWZ110" s="769"/>
      <c r="NXA110" s="769"/>
      <c r="NXB110" s="769"/>
      <c r="NXC110" s="769"/>
      <c r="NXD110" s="769"/>
      <c r="NXE110" s="769"/>
      <c r="NXF110" s="769"/>
      <c r="NXG110" s="769"/>
      <c r="NXH110" s="769"/>
      <c r="NXI110" s="769"/>
      <c r="NXJ110" s="769"/>
      <c r="NXK110" s="769"/>
      <c r="NXL110" s="769"/>
      <c r="NXM110" s="769"/>
      <c r="NXN110" s="769"/>
      <c r="NXO110" s="769"/>
      <c r="NXP110" s="769"/>
      <c r="NXQ110" s="769"/>
      <c r="NXR110" s="769"/>
      <c r="NXS110" s="769"/>
      <c r="NXT110" s="769"/>
      <c r="NXU110" s="769"/>
      <c r="NXV110" s="769"/>
      <c r="NXW110" s="769"/>
      <c r="NXX110" s="769"/>
      <c r="NXY110" s="769"/>
      <c r="NXZ110" s="769"/>
      <c r="NYA110" s="769"/>
      <c r="NYB110" s="769"/>
      <c r="NYC110" s="769"/>
      <c r="NYD110" s="769"/>
      <c r="NYE110" s="769"/>
      <c r="NYF110" s="769"/>
      <c r="NYG110" s="769"/>
      <c r="NYH110" s="769"/>
      <c r="NYI110" s="769"/>
      <c r="NYJ110" s="769"/>
      <c r="NYK110" s="769"/>
      <c r="NYL110" s="769"/>
      <c r="NYM110" s="769"/>
      <c r="NYN110" s="769"/>
      <c r="NYO110" s="769"/>
      <c r="NYP110" s="769"/>
      <c r="NYQ110" s="769"/>
      <c r="NYR110" s="769"/>
      <c r="NYS110" s="769"/>
      <c r="NYT110" s="769"/>
      <c r="NYU110" s="769"/>
      <c r="NYV110" s="769"/>
      <c r="NYW110" s="769"/>
      <c r="NYX110" s="769"/>
      <c r="NYY110" s="769"/>
      <c r="NYZ110" s="769"/>
      <c r="NZA110" s="769"/>
      <c r="NZB110" s="769"/>
      <c r="NZC110" s="769"/>
      <c r="NZD110" s="769"/>
      <c r="NZE110" s="769"/>
      <c r="NZF110" s="769"/>
      <c r="NZG110" s="769"/>
      <c r="NZH110" s="769"/>
      <c r="NZI110" s="769"/>
      <c r="NZJ110" s="769"/>
      <c r="NZK110" s="769"/>
      <c r="NZL110" s="769"/>
      <c r="NZM110" s="769"/>
      <c r="NZN110" s="769"/>
      <c r="NZO110" s="769"/>
      <c r="NZP110" s="769"/>
      <c r="NZQ110" s="769"/>
      <c r="NZR110" s="769"/>
      <c r="NZS110" s="769"/>
      <c r="NZT110" s="769"/>
      <c r="NZU110" s="769"/>
      <c r="NZV110" s="769"/>
      <c r="NZW110" s="769"/>
      <c r="NZX110" s="769"/>
      <c r="NZY110" s="769"/>
      <c r="NZZ110" s="769"/>
      <c r="OAA110" s="769"/>
      <c r="OAB110" s="769"/>
      <c r="OAC110" s="769"/>
      <c r="OAD110" s="769"/>
      <c r="OAE110" s="769"/>
      <c r="OAF110" s="769"/>
      <c r="OAG110" s="769"/>
      <c r="OAH110" s="769"/>
      <c r="OAI110" s="769"/>
      <c r="OAJ110" s="769"/>
      <c r="OAK110" s="769"/>
      <c r="OAL110" s="769"/>
      <c r="OAM110" s="769"/>
      <c r="OAN110" s="769"/>
      <c r="OAO110" s="769"/>
      <c r="OAP110" s="769"/>
      <c r="OAQ110" s="769"/>
      <c r="OAR110" s="769"/>
      <c r="OAS110" s="769"/>
      <c r="OAT110" s="769"/>
      <c r="OAU110" s="769"/>
      <c r="OAV110" s="769"/>
      <c r="OAW110" s="769"/>
      <c r="OAX110" s="769"/>
      <c r="OAY110" s="769"/>
      <c r="OAZ110" s="769"/>
      <c r="OBA110" s="769"/>
      <c r="OBB110" s="769"/>
      <c r="OBC110" s="769"/>
      <c r="OBD110" s="769"/>
      <c r="OBE110" s="769"/>
      <c r="OBF110" s="769"/>
      <c r="OBG110" s="769"/>
      <c r="OBH110" s="769"/>
      <c r="OBI110" s="769"/>
      <c r="OBJ110" s="769"/>
      <c r="OBK110" s="769"/>
      <c r="OBL110" s="769"/>
      <c r="OBM110" s="769"/>
      <c r="OBN110" s="769"/>
      <c r="OBO110" s="769"/>
      <c r="OBP110" s="769"/>
      <c r="OBQ110" s="769"/>
      <c r="OBR110" s="769"/>
      <c r="OBS110" s="769"/>
      <c r="OBT110" s="769"/>
      <c r="OBU110" s="769"/>
      <c r="OBV110" s="769"/>
      <c r="OBW110" s="769"/>
      <c r="OBX110" s="769"/>
      <c r="OBY110" s="769"/>
      <c r="OBZ110" s="769"/>
      <c r="OCA110" s="769"/>
      <c r="OCB110" s="769"/>
      <c r="OCC110" s="769"/>
      <c r="OCD110" s="769"/>
      <c r="OCE110" s="769"/>
      <c r="OCF110" s="769"/>
      <c r="OCG110" s="769"/>
      <c r="OCH110" s="769"/>
      <c r="OCI110" s="769"/>
      <c r="OCJ110" s="769"/>
      <c r="OCK110" s="769"/>
      <c r="OCL110" s="769"/>
      <c r="OCM110" s="769"/>
      <c r="OCN110" s="769"/>
      <c r="OCO110" s="769"/>
      <c r="OCP110" s="769"/>
      <c r="OCQ110" s="769"/>
      <c r="OCR110" s="769"/>
      <c r="OCS110" s="769"/>
      <c r="OCT110" s="769"/>
      <c r="OCU110" s="769"/>
      <c r="OCV110" s="769"/>
      <c r="OCW110" s="769"/>
      <c r="OCX110" s="769"/>
      <c r="OCY110" s="769"/>
      <c r="OCZ110" s="769"/>
      <c r="ODA110" s="769"/>
      <c r="ODB110" s="769"/>
      <c r="ODC110" s="769"/>
      <c r="ODD110" s="769"/>
      <c r="ODE110" s="769"/>
      <c r="ODF110" s="769"/>
      <c r="ODG110" s="769"/>
      <c r="ODH110" s="769"/>
      <c r="ODI110" s="769"/>
      <c r="ODJ110" s="769"/>
      <c r="ODK110" s="769"/>
      <c r="ODL110" s="769"/>
      <c r="ODM110" s="769"/>
      <c r="ODN110" s="769"/>
      <c r="ODO110" s="769"/>
      <c r="ODP110" s="769"/>
      <c r="ODQ110" s="769"/>
      <c r="ODR110" s="769"/>
      <c r="ODS110" s="769"/>
      <c r="ODT110" s="769"/>
      <c r="ODU110" s="769"/>
      <c r="ODV110" s="769"/>
      <c r="ODW110" s="769"/>
      <c r="ODX110" s="769"/>
      <c r="ODY110" s="769"/>
      <c r="ODZ110" s="769"/>
      <c r="OEA110" s="769"/>
      <c r="OEB110" s="769"/>
      <c r="OEC110" s="769"/>
      <c r="OED110" s="769"/>
      <c r="OEE110" s="769"/>
      <c r="OEF110" s="769"/>
      <c r="OEG110" s="769"/>
      <c r="OEH110" s="769"/>
      <c r="OEI110" s="769"/>
      <c r="OEJ110" s="769"/>
      <c r="OEK110" s="769"/>
      <c r="OEL110" s="769"/>
      <c r="OEM110" s="769"/>
      <c r="OEN110" s="769"/>
      <c r="OEO110" s="769"/>
      <c r="OEP110" s="769"/>
      <c r="OEQ110" s="769"/>
      <c r="OER110" s="769"/>
      <c r="OES110" s="769"/>
      <c r="OET110" s="769"/>
      <c r="OEU110" s="769"/>
      <c r="OEV110" s="769"/>
      <c r="OEW110" s="769"/>
      <c r="OEX110" s="769"/>
      <c r="OEY110" s="769"/>
      <c r="OEZ110" s="769"/>
      <c r="OFA110" s="769"/>
      <c r="OFB110" s="769"/>
      <c r="OFC110" s="769"/>
      <c r="OFD110" s="769"/>
      <c r="OFE110" s="769"/>
      <c r="OFF110" s="769"/>
      <c r="OFG110" s="769"/>
      <c r="OFH110" s="769"/>
      <c r="OFI110" s="769"/>
      <c r="OFJ110" s="769"/>
      <c r="OFK110" s="769"/>
      <c r="OFL110" s="769"/>
      <c r="OFM110" s="769"/>
      <c r="OFN110" s="769"/>
      <c r="OFO110" s="769"/>
      <c r="OFP110" s="769"/>
      <c r="OFQ110" s="769"/>
      <c r="OFR110" s="769"/>
      <c r="OFS110" s="769"/>
      <c r="OFT110" s="769"/>
      <c r="OFU110" s="769"/>
      <c r="OFV110" s="769"/>
      <c r="OFW110" s="769"/>
      <c r="OFX110" s="769"/>
      <c r="OFY110" s="769"/>
      <c r="OFZ110" s="769"/>
      <c r="OGA110" s="769"/>
      <c r="OGB110" s="769"/>
      <c r="OGC110" s="769"/>
      <c r="OGD110" s="769"/>
      <c r="OGE110" s="769"/>
      <c r="OGF110" s="769"/>
      <c r="OGG110" s="769"/>
      <c r="OGH110" s="769"/>
      <c r="OGI110" s="769"/>
      <c r="OGJ110" s="769"/>
      <c r="OGK110" s="769"/>
      <c r="OGL110" s="769"/>
      <c r="OGM110" s="769"/>
      <c r="OGN110" s="769"/>
      <c r="OGO110" s="769"/>
      <c r="OGP110" s="769"/>
      <c r="OGQ110" s="769"/>
      <c r="OGR110" s="769"/>
      <c r="OGS110" s="769"/>
      <c r="OGT110" s="769"/>
      <c r="OGU110" s="769"/>
      <c r="OGV110" s="769"/>
      <c r="OGW110" s="769"/>
      <c r="OGX110" s="769"/>
      <c r="OGY110" s="769"/>
      <c r="OGZ110" s="769"/>
      <c r="OHA110" s="769"/>
      <c r="OHB110" s="769"/>
      <c r="OHC110" s="769"/>
      <c r="OHD110" s="769"/>
      <c r="OHE110" s="769"/>
      <c r="OHF110" s="769"/>
      <c r="OHG110" s="769"/>
      <c r="OHH110" s="769"/>
      <c r="OHI110" s="769"/>
      <c r="OHJ110" s="769"/>
      <c r="OHK110" s="769"/>
      <c r="OHL110" s="769"/>
      <c r="OHM110" s="769"/>
      <c r="OHN110" s="769"/>
      <c r="OHO110" s="769"/>
      <c r="OHP110" s="769"/>
      <c r="OHQ110" s="769"/>
      <c r="OHR110" s="769"/>
      <c r="OHS110" s="769"/>
      <c r="OHT110" s="769"/>
      <c r="OHU110" s="769"/>
      <c r="OHV110" s="769"/>
      <c r="OHW110" s="769"/>
      <c r="OHX110" s="769"/>
      <c r="OHY110" s="769"/>
      <c r="OHZ110" s="769"/>
      <c r="OIA110" s="769"/>
      <c r="OIB110" s="769"/>
      <c r="OIC110" s="769"/>
      <c r="OID110" s="769"/>
      <c r="OIE110" s="769"/>
      <c r="OIF110" s="769"/>
      <c r="OIG110" s="769"/>
      <c r="OIH110" s="769"/>
      <c r="OII110" s="769"/>
      <c r="OIJ110" s="769"/>
      <c r="OIK110" s="769"/>
      <c r="OIL110" s="769"/>
      <c r="OIM110" s="769"/>
      <c r="OIN110" s="769"/>
      <c r="OIO110" s="769"/>
      <c r="OIP110" s="769"/>
      <c r="OIQ110" s="769"/>
      <c r="OIR110" s="769"/>
      <c r="OIS110" s="769"/>
      <c r="OIT110" s="769"/>
      <c r="OIU110" s="769"/>
      <c r="OIV110" s="769"/>
      <c r="OIW110" s="769"/>
      <c r="OIX110" s="769"/>
      <c r="OIY110" s="769"/>
      <c r="OIZ110" s="769"/>
      <c r="OJA110" s="769"/>
      <c r="OJB110" s="769"/>
      <c r="OJC110" s="769"/>
      <c r="OJD110" s="769"/>
      <c r="OJE110" s="769"/>
      <c r="OJF110" s="769"/>
      <c r="OJG110" s="769"/>
      <c r="OJH110" s="769"/>
      <c r="OJI110" s="769"/>
      <c r="OJJ110" s="769"/>
      <c r="OJK110" s="769"/>
      <c r="OJL110" s="769"/>
      <c r="OJM110" s="769"/>
      <c r="OJN110" s="769"/>
      <c r="OJO110" s="769"/>
      <c r="OJP110" s="769"/>
      <c r="OJQ110" s="769"/>
      <c r="OJR110" s="769"/>
      <c r="OJS110" s="769"/>
      <c r="OJT110" s="769"/>
      <c r="OJU110" s="769"/>
      <c r="OJV110" s="769"/>
      <c r="OJW110" s="769"/>
      <c r="OJX110" s="769"/>
      <c r="OJY110" s="769"/>
      <c r="OJZ110" s="769"/>
      <c r="OKA110" s="769"/>
      <c r="OKB110" s="769"/>
      <c r="OKC110" s="769"/>
      <c r="OKD110" s="769"/>
      <c r="OKE110" s="769"/>
      <c r="OKF110" s="769"/>
      <c r="OKG110" s="769"/>
      <c r="OKH110" s="769"/>
      <c r="OKI110" s="769"/>
      <c r="OKJ110" s="769"/>
      <c r="OKK110" s="769"/>
      <c r="OKL110" s="769"/>
      <c r="OKM110" s="769"/>
      <c r="OKN110" s="769"/>
      <c r="OKO110" s="769"/>
      <c r="OKP110" s="769"/>
      <c r="OKQ110" s="769"/>
      <c r="OKR110" s="769"/>
      <c r="OKS110" s="769"/>
      <c r="OKT110" s="769"/>
      <c r="OKU110" s="769"/>
      <c r="OKV110" s="769"/>
      <c r="OKW110" s="769"/>
      <c r="OKX110" s="769"/>
      <c r="OKY110" s="769"/>
      <c r="OKZ110" s="769"/>
      <c r="OLA110" s="769"/>
      <c r="OLB110" s="769"/>
      <c r="OLC110" s="769"/>
      <c r="OLD110" s="769"/>
      <c r="OLE110" s="769"/>
      <c r="OLF110" s="769"/>
      <c r="OLG110" s="769"/>
      <c r="OLH110" s="769"/>
      <c r="OLI110" s="769"/>
      <c r="OLJ110" s="769"/>
      <c r="OLK110" s="769"/>
      <c r="OLL110" s="769"/>
      <c r="OLM110" s="769"/>
      <c r="OLN110" s="769"/>
      <c r="OLO110" s="769"/>
      <c r="OLP110" s="769"/>
      <c r="OLQ110" s="769"/>
      <c r="OLR110" s="769"/>
      <c r="OLS110" s="769"/>
      <c r="OLT110" s="769"/>
      <c r="OLU110" s="769"/>
      <c r="OLV110" s="769"/>
      <c r="OLW110" s="769"/>
      <c r="OLX110" s="769"/>
      <c r="OLY110" s="769"/>
      <c r="OLZ110" s="769"/>
      <c r="OMA110" s="769"/>
      <c r="OMB110" s="769"/>
      <c r="OMC110" s="769"/>
      <c r="OMD110" s="769"/>
      <c r="OME110" s="769"/>
      <c r="OMF110" s="769"/>
      <c r="OMG110" s="769"/>
      <c r="OMH110" s="769"/>
      <c r="OMI110" s="769"/>
      <c r="OMJ110" s="769"/>
      <c r="OMK110" s="769"/>
      <c r="OML110" s="769"/>
      <c r="OMM110" s="769"/>
      <c r="OMN110" s="769"/>
      <c r="OMO110" s="769"/>
      <c r="OMP110" s="769"/>
      <c r="OMQ110" s="769"/>
      <c r="OMR110" s="769"/>
      <c r="OMS110" s="769"/>
      <c r="OMT110" s="769"/>
      <c r="OMU110" s="769"/>
      <c r="OMV110" s="769"/>
      <c r="OMW110" s="769"/>
      <c r="OMX110" s="769"/>
      <c r="OMY110" s="769"/>
      <c r="OMZ110" s="769"/>
      <c r="ONA110" s="769"/>
      <c r="ONB110" s="769"/>
      <c r="ONC110" s="769"/>
      <c r="OND110" s="769"/>
      <c r="ONE110" s="769"/>
      <c r="ONF110" s="769"/>
      <c r="ONG110" s="769"/>
      <c r="ONH110" s="769"/>
      <c r="ONI110" s="769"/>
      <c r="ONJ110" s="769"/>
      <c r="ONK110" s="769"/>
      <c r="ONL110" s="769"/>
      <c r="ONM110" s="769"/>
      <c r="ONN110" s="769"/>
      <c r="ONO110" s="769"/>
      <c r="ONP110" s="769"/>
      <c r="ONQ110" s="769"/>
      <c r="ONR110" s="769"/>
      <c r="ONS110" s="769"/>
      <c r="ONT110" s="769"/>
      <c r="ONU110" s="769"/>
      <c r="ONV110" s="769"/>
      <c r="ONW110" s="769"/>
      <c r="ONX110" s="769"/>
      <c r="ONY110" s="769"/>
      <c r="ONZ110" s="769"/>
      <c r="OOA110" s="769"/>
      <c r="OOB110" s="769"/>
      <c r="OOC110" s="769"/>
      <c r="OOD110" s="769"/>
      <c r="OOE110" s="769"/>
      <c r="OOF110" s="769"/>
      <c r="OOG110" s="769"/>
      <c r="OOH110" s="769"/>
      <c r="OOI110" s="769"/>
      <c r="OOJ110" s="769"/>
      <c r="OOK110" s="769"/>
      <c r="OOL110" s="769"/>
      <c r="OOM110" s="769"/>
      <c r="OON110" s="769"/>
      <c r="OOO110" s="769"/>
      <c r="OOP110" s="769"/>
      <c r="OOQ110" s="769"/>
      <c r="OOR110" s="769"/>
      <c r="OOS110" s="769"/>
      <c r="OOT110" s="769"/>
      <c r="OOU110" s="769"/>
      <c r="OOV110" s="769"/>
      <c r="OOW110" s="769"/>
      <c r="OOX110" s="769"/>
      <c r="OOY110" s="769"/>
      <c r="OOZ110" s="769"/>
      <c r="OPA110" s="769"/>
      <c r="OPB110" s="769"/>
      <c r="OPC110" s="769"/>
      <c r="OPD110" s="769"/>
      <c r="OPE110" s="769"/>
      <c r="OPF110" s="769"/>
      <c r="OPG110" s="769"/>
      <c r="OPH110" s="769"/>
      <c r="OPI110" s="769"/>
      <c r="OPJ110" s="769"/>
      <c r="OPK110" s="769"/>
      <c r="OPL110" s="769"/>
      <c r="OPM110" s="769"/>
      <c r="OPN110" s="769"/>
      <c r="OPO110" s="769"/>
      <c r="OPP110" s="769"/>
      <c r="OPQ110" s="769"/>
      <c r="OPR110" s="769"/>
      <c r="OPS110" s="769"/>
      <c r="OPT110" s="769"/>
      <c r="OPU110" s="769"/>
      <c r="OPV110" s="769"/>
      <c r="OPW110" s="769"/>
      <c r="OPX110" s="769"/>
      <c r="OPY110" s="769"/>
      <c r="OPZ110" s="769"/>
      <c r="OQA110" s="769"/>
      <c r="OQB110" s="769"/>
      <c r="OQC110" s="769"/>
      <c r="OQD110" s="769"/>
      <c r="OQE110" s="769"/>
      <c r="OQF110" s="769"/>
      <c r="OQG110" s="769"/>
      <c r="OQH110" s="769"/>
      <c r="OQI110" s="769"/>
      <c r="OQJ110" s="769"/>
      <c r="OQK110" s="769"/>
      <c r="OQL110" s="769"/>
      <c r="OQM110" s="769"/>
      <c r="OQN110" s="769"/>
      <c r="OQO110" s="769"/>
      <c r="OQP110" s="769"/>
      <c r="OQQ110" s="769"/>
      <c r="OQR110" s="769"/>
      <c r="OQS110" s="769"/>
      <c r="OQT110" s="769"/>
      <c r="OQU110" s="769"/>
      <c r="OQV110" s="769"/>
      <c r="OQW110" s="769"/>
      <c r="OQX110" s="769"/>
      <c r="OQY110" s="769"/>
      <c r="OQZ110" s="769"/>
      <c r="ORA110" s="769"/>
      <c r="ORB110" s="769"/>
      <c r="ORC110" s="769"/>
      <c r="ORD110" s="769"/>
      <c r="ORE110" s="769"/>
      <c r="ORF110" s="769"/>
      <c r="ORG110" s="769"/>
      <c r="ORH110" s="769"/>
      <c r="ORI110" s="769"/>
      <c r="ORJ110" s="769"/>
      <c r="ORK110" s="769"/>
      <c r="ORL110" s="769"/>
      <c r="ORM110" s="769"/>
      <c r="ORN110" s="769"/>
      <c r="ORO110" s="769"/>
      <c r="ORP110" s="769"/>
      <c r="ORQ110" s="769"/>
      <c r="ORR110" s="769"/>
      <c r="ORS110" s="769"/>
      <c r="ORT110" s="769"/>
      <c r="ORU110" s="769"/>
      <c r="ORV110" s="769"/>
      <c r="ORW110" s="769"/>
      <c r="ORX110" s="769"/>
      <c r="ORY110" s="769"/>
      <c r="ORZ110" s="769"/>
      <c r="OSA110" s="769"/>
      <c r="OSB110" s="769"/>
      <c r="OSC110" s="769"/>
      <c r="OSD110" s="769"/>
      <c r="OSE110" s="769"/>
      <c r="OSF110" s="769"/>
      <c r="OSG110" s="769"/>
      <c r="OSH110" s="769"/>
      <c r="OSI110" s="769"/>
      <c r="OSJ110" s="769"/>
      <c r="OSK110" s="769"/>
      <c r="OSL110" s="769"/>
      <c r="OSM110" s="769"/>
      <c r="OSN110" s="769"/>
      <c r="OSO110" s="769"/>
      <c r="OSP110" s="769"/>
      <c r="OSQ110" s="769"/>
      <c r="OSR110" s="769"/>
      <c r="OSS110" s="769"/>
      <c r="OST110" s="769"/>
      <c r="OSU110" s="769"/>
      <c r="OSV110" s="769"/>
      <c r="OSW110" s="769"/>
      <c r="OSX110" s="769"/>
      <c r="OSY110" s="769"/>
      <c r="OSZ110" s="769"/>
      <c r="OTA110" s="769"/>
      <c r="OTB110" s="769"/>
      <c r="OTC110" s="769"/>
      <c r="OTD110" s="769"/>
      <c r="OTE110" s="769"/>
      <c r="OTF110" s="769"/>
      <c r="OTG110" s="769"/>
      <c r="OTH110" s="769"/>
      <c r="OTI110" s="769"/>
      <c r="OTJ110" s="769"/>
      <c r="OTK110" s="769"/>
      <c r="OTL110" s="769"/>
      <c r="OTM110" s="769"/>
      <c r="OTN110" s="769"/>
      <c r="OTO110" s="769"/>
      <c r="OTP110" s="769"/>
      <c r="OTQ110" s="769"/>
      <c r="OTR110" s="769"/>
      <c r="OTS110" s="769"/>
      <c r="OTT110" s="769"/>
      <c r="OTU110" s="769"/>
      <c r="OTV110" s="769"/>
      <c r="OTW110" s="769"/>
      <c r="OTX110" s="769"/>
      <c r="OTY110" s="769"/>
      <c r="OTZ110" s="769"/>
      <c r="OUA110" s="769"/>
      <c r="OUB110" s="769"/>
      <c r="OUC110" s="769"/>
      <c r="OUD110" s="769"/>
      <c r="OUE110" s="769"/>
      <c r="OUF110" s="769"/>
      <c r="OUG110" s="769"/>
      <c r="OUH110" s="769"/>
      <c r="OUI110" s="769"/>
      <c r="OUJ110" s="769"/>
      <c r="OUK110" s="769"/>
      <c r="OUL110" s="769"/>
      <c r="OUM110" s="769"/>
      <c r="OUN110" s="769"/>
      <c r="OUO110" s="769"/>
      <c r="OUP110" s="769"/>
      <c r="OUQ110" s="769"/>
      <c r="OUR110" s="769"/>
      <c r="OUS110" s="769"/>
      <c r="OUT110" s="769"/>
      <c r="OUU110" s="769"/>
      <c r="OUV110" s="769"/>
      <c r="OUW110" s="769"/>
      <c r="OUX110" s="769"/>
      <c r="OUY110" s="769"/>
      <c r="OUZ110" s="769"/>
      <c r="OVA110" s="769"/>
      <c r="OVB110" s="769"/>
      <c r="OVC110" s="769"/>
      <c r="OVD110" s="769"/>
      <c r="OVE110" s="769"/>
      <c r="OVF110" s="769"/>
      <c r="OVG110" s="769"/>
      <c r="OVH110" s="769"/>
      <c r="OVI110" s="769"/>
      <c r="OVJ110" s="769"/>
      <c r="OVK110" s="769"/>
      <c r="OVL110" s="769"/>
      <c r="OVM110" s="769"/>
      <c r="OVN110" s="769"/>
      <c r="OVO110" s="769"/>
      <c r="OVP110" s="769"/>
      <c r="OVQ110" s="769"/>
      <c r="OVR110" s="769"/>
      <c r="OVS110" s="769"/>
      <c r="OVT110" s="769"/>
      <c r="OVU110" s="769"/>
      <c r="OVV110" s="769"/>
      <c r="OVW110" s="769"/>
      <c r="OVX110" s="769"/>
      <c r="OVY110" s="769"/>
      <c r="OVZ110" s="769"/>
      <c r="OWA110" s="769"/>
      <c r="OWB110" s="769"/>
      <c r="OWC110" s="769"/>
      <c r="OWD110" s="769"/>
      <c r="OWE110" s="769"/>
      <c r="OWF110" s="769"/>
      <c r="OWG110" s="769"/>
      <c r="OWH110" s="769"/>
      <c r="OWI110" s="769"/>
      <c r="OWJ110" s="769"/>
      <c r="OWK110" s="769"/>
      <c r="OWL110" s="769"/>
      <c r="OWM110" s="769"/>
      <c r="OWN110" s="769"/>
      <c r="OWO110" s="769"/>
      <c r="OWP110" s="769"/>
      <c r="OWQ110" s="769"/>
      <c r="OWR110" s="769"/>
      <c r="OWS110" s="769"/>
      <c r="OWT110" s="769"/>
      <c r="OWU110" s="769"/>
      <c r="OWV110" s="769"/>
      <c r="OWW110" s="769"/>
      <c r="OWX110" s="769"/>
      <c r="OWY110" s="769"/>
      <c r="OWZ110" s="769"/>
      <c r="OXA110" s="769"/>
      <c r="OXB110" s="769"/>
      <c r="OXC110" s="769"/>
      <c r="OXD110" s="769"/>
      <c r="OXE110" s="769"/>
      <c r="OXF110" s="769"/>
      <c r="OXG110" s="769"/>
      <c r="OXH110" s="769"/>
      <c r="OXI110" s="769"/>
      <c r="OXJ110" s="769"/>
      <c r="OXK110" s="769"/>
      <c r="OXL110" s="769"/>
      <c r="OXM110" s="769"/>
      <c r="OXN110" s="769"/>
      <c r="OXO110" s="769"/>
      <c r="OXP110" s="769"/>
      <c r="OXQ110" s="769"/>
      <c r="OXR110" s="769"/>
      <c r="OXS110" s="769"/>
      <c r="OXT110" s="769"/>
      <c r="OXU110" s="769"/>
      <c r="OXV110" s="769"/>
      <c r="OXW110" s="769"/>
      <c r="OXX110" s="769"/>
      <c r="OXY110" s="769"/>
      <c r="OXZ110" s="769"/>
      <c r="OYA110" s="769"/>
      <c r="OYB110" s="769"/>
      <c r="OYC110" s="769"/>
      <c r="OYD110" s="769"/>
      <c r="OYE110" s="769"/>
      <c r="OYF110" s="769"/>
      <c r="OYG110" s="769"/>
      <c r="OYH110" s="769"/>
      <c r="OYI110" s="769"/>
      <c r="OYJ110" s="769"/>
      <c r="OYK110" s="769"/>
      <c r="OYL110" s="769"/>
      <c r="OYM110" s="769"/>
      <c r="OYN110" s="769"/>
      <c r="OYO110" s="769"/>
      <c r="OYP110" s="769"/>
      <c r="OYQ110" s="769"/>
      <c r="OYR110" s="769"/>
      <c r="OYS110" s="769"/>
      <c r="OYT110" s="769"/>
      <c r="OYU110" s="769"/>
      <c r="OYV110" s="769"/>
      <c r="OYW110" s="769"/>
      <c r="OYX110" s="769"/>
      <c r="OYY110" s="769"/>
      <c r="OYZ110" s="769"/>
      <c r="OZA110" s="769"/>
      <c r="OZB110" s="769"/>
      <c r="OZC110" s="769"/>
      <c r="OZD110" s="769"/>
      <c r="OZE110" s="769"/>
      <c r="OZF110" s="769"/>
      <c r="OZG110" s="769"/>
      <c r="OZH110" s="769"/>
      <c r="OZI110" s="769"/>
      <c r="OZJ110" s="769"/>
      <c r="OZK110" s="769"/>
      <c r="OZL110" s="769"/>
      <c r="OZM110" s="769"/>
      <c r="OZN110" s="769"/>
      <c r="OZO110" s="769"/>
      <c r="OZP110" s="769"/>
      <c r="OZQ110" s="769"/>
      <c r="OZR110" s="769"/>
      <c r="OZS110" s="769"/>
      <c r="OZT110" s="769"/>
      <c r="OZU110" s="769"/>
      <c r="OZV110" s="769"/>
      <c r="OZW110" s="769"/>
      <c r="OZX110" s="769"/>
      <c r="OZY110" s="769"/>
      <c r="OZZ110" s="769"/>
      <c r="PAA110" s="769"/>
      <c r="PAB110" s="769"/>
      <c r="PAC110" s="769"/>
      <c r="PAD110" s="769"/>
      <c r="PAE110" s="769"/>
      <c r="PAF110" s="769"/>
      <c r="PAG110" s="769"/>
      <c r="PAH110" s="769"/>
      <c r="PAI110" s="769"/>
      <c r="PAJ110" s="769"/>
      <c r="PAK110" s="769"/>
      <c r="PAL110" s="769"/>
      <c r="PAM110" s="769"/>
      <c r="PAN110" s="769"/>
      <c r="PAO110" s="769"/>
      <c r="PAP110" s="769"/>
      <c r="PAQ110" s="769"/>
      <c r="PAR110" s="769"/>
      <c r="PAS110" s="769"/>
      <c r="PAT110" s="769"/>
      <c r="PAU110" s="769"/>
      <c r="PAV110" s="769"/>
      <c r="PAW110" s="769"/>
      <c r="PAX110" s="769"/>
      <c r="PAY110" s="769"/>
      <c r="PAZ110" s="769"/>
      <c r="PBA110" s="769"/>
      <c r="PBB110" s="769"/>
      <c r="PBC110" s="769"/>
      <c r="PBD110" s="769"/>
      <c r="PBE110" s="769"/>
      <c r="PBF110" s="769"/>
      <c r="PBG110" s="769"/>
      <c r="PBH110" s="769"/>
      <c r="PBI110" s="769"/>
      <c r="PBJ110" s="769"/>
      <c r="PBK110" s="769"/>
      <c r="PBL110" s="769"/>
      <c r="PBM110" s="769"/>
      <c r="PBN110" s="769"/>
      <c r="PBO110" s="769"/>
      <c r="PBP110" s="769"/>
      <c r="PBQ110" s="769"/>
      <c r="PBR110" s="769"/>
      <c r="PBS110" s="769"/>
      <c r="PBT110" s="769"/>
      <c r="PBU110" s="769"/>
      <c r="PBV110" s="769"/>
      <c r="PBW110" s="769"/>
      <c r="PBX110" s="769"/>
      <c r="PBY110" s="769"/>
      <c r="PBZ110" s="769"/>
      <c r="PCA110" s="769"/>
      <c r="PCB110" s="769"/>
      <c r="PCC110" s="769"/>
      <c r="PCD110" s="769"/>
      <c r="PCE110" s="769"/>
      <c r="PCF110" s="769"/>
      <c r="PCG110" s="769"/>
      <c r="PCH110" s="769"/>
      <c r="PCI110" s="769"/>
      <c r="PCJ110" s="769"/>
      <c r="PCK110" s="769"/>
      <c r="PCL110" s="769"/>
      <c r="PCM110" s="769"/>
      <c r="PCN110" s="769"/>
      <c r="PCO110" s="769"/>
      <c r="PCP110" s="769"/>
      <c r="PCQ110" s="769"/>
      <c r="PCR110" s="769"/>
      <c r="PCS110" s="769"/>
      <c r="PCT110" s="769"/>
      <c r="PCU110" s="769"/>
      <c r="PCV110" s="769"/>
      <c r="PCW110" s="769"/>
      <c r="PCX110" s="769"/>
      <c r="PCY110" s="769"/>
      <c r="PCZ110" s="769"/>
      <c r="PDA110" s="769"/>
      <c r="PDB110" s="769"/>
      <c r="PDC110" s="769"/>
      <c r="PDD110" s="769"/>
      <c r="PDE110" s="769"/>
      <c r="PDF110" s="769"/>
      <c r="PDG110" s="769"/>
      <c r="PDH110" s="769"/>
      <c r="PDI110" s="769"/>
      <c r="PDJ110" s="769"/>
      <c r="PDK110" s="769"/>
      <c r="PDL110" s="769"/>
      <c r="PDM110" s="769"/>
      <c r="PDN110" s="769"/>
      <c r="PDO110" s="769"/>
      <c r="PDP110" s="769"/>
      <c r="PDQ110" s="769"/>
      <c r="PDR110" s="769"/>
      <c r="PDS110" s="769"/>
      <c r="PDT110" s="769"/>
      <c r="PDU110" s="769"/>
      <c r="PDV110" s="769"/>
      <c r="PDW110" s="769"/>
      <c r="PDX110" s="769"/>
      <c r="PDY110" s="769"/>
      <c r="PDZ110" s="769"/>
      <c r="PEA110" s="769"/>
      <c r="PEB110" s="769"/>
      <c r="PEC110" s="769"/>
      <c r="PED110" s="769"/>
      <c r="PEE110" s="769"/>
      <c r="PEF110" s="769"/>
      <c r="PEG110" s="769"/>
      <c r="PEH110" s="769"/>
      <c r="PEI110" s="769"/>
      <c r="PEJ110" s="769"/>
      <c r="PEK110" s="769"/>
      <c r="PEL110" s="769"/>
      <c r="PEM110" s="769"/>
      <c r="PEN110" s="769"/>
      <c r="PEO110" s="769"/>
      <c r="PEP110" s="769"/>
      <c r="PEQ110" s="769"/>
      <c r="PER110" s="769"/>
      <c r="PES110" s="769"/>
      <c r="PET110" s="769"/>
      <c r="PEU110" s="769"/>
      <c r="PEV110" s="769"/>
      <c r="PEW110" s="769"/>
      <c r="PEX110" s="769"/>
      <c r="PEY110" s="769"/>
      <c r="PEZ110" s="769"/>
      <c r="PFA110" s="769"/>
      <c r="PFB110" s="769"/>
      <c r="PFC110" s="769"/>
      <c r="PFD110" s="769"/>
      <c r="PFE110" s="769"/>
      <c r="PFF110" s="769"/>
      <c r="PFG110" s="769"/>
      <c r="PFH110" s="769"/>
      <c r="PFI110" s="769"/>
      <c r="PFJ110" s="769"/>
      <c r="PFK110" s="769"/>
      <c r="PFL110" s="769"/>
      <c r="PFM110" s="769"/>
      <c r="PFN110" s="769"/>
      <c r="PFO110" s="769"/>
      <c r="PFP110" s="769"/>
      <c r="PFQ110" s="769"/>
      <c r="PFR110" s="769"/>
      <c r="PFS110" s="769"/>
      <c r="PFT110" s="769"/>
      <c r="PFU110" s="769"/>
      <c r="PFV110" s="769"/>
      <c r="PFW110" s="769"/>
      <c r="PFX110" s="769"/>
      <c r="PFY110" s="769"/>
      <c r="PFZ110" s="769"/>
      <c r="PGA110" s="769"/>
      <c r="PGB110" s="769"/>
      <c r="PGC110" s="769"/>
      <c r="PGD110" s="769"/>
      <c r="PGE110" s="769"/>
      <c r="PGF110" s="769"/>
      <c r="PGG110" s="769"/>
      <c r="PGH110" s="769"/>
      <c r="PGI110" s="769"/>
      <c r="PGJ110" s="769"/>
      <c r="PGK110" s="769"/>
      <c r="PGL110" s="769"/>
      <c r="PGM110" s="769"/>
      <c r="PGN110" s="769"/>
      <c r="PGO110" s="769"/>
      <c r="PGP110" s="769"/>
      <c r="PGQ110" s="769"/>
      <c r="PGR110" s="769"/>
      <c r="PGS110" s="769"/>
      <c r="PGT110" s="769"/>
      <c r="PGU110" s="769"/>
      <c r="PGV110" s="769"/>
      <c r="PGW110" s="769"/>
      <c r="PGX110" s="769"/>
      <c r="PGY110" s="769"/>
      <c r="PGZ110" s="769"/>
      <c r="PHA110" s="769"/>
      <c r="PHB110" s="769"/>
      <c r="PHC110" s="769"/>
      <c r="PHD110" s="769"/>
      <c r="PHE110" s="769"/>
      <c r="PHF110" s="769"/>
      <c r="PHG110" s="769"/>
      <c r="PHH110" s="769"/>
      <c r="PHI110" s="769"/>
      <c r="PHJ110" s="769"/>
      <c r="PHK110" s="769"/>
      <c r="PHL110" s="769"/>
      <c r="PHM110" s="769"/>
      <c r="PHN110" s="769"/>
      <c r="PHO110" s="769"/>
      <c r="PHP110" s="769"/>
      <c r="PHQ110" s="769"/>
      <c r="PHR110" s="769"/>
      <c r="PHS110" s="769"/>
      <c r="PHT110" s="769"/>
      <c r="PHU110" s="769"/>
      <c r="PHV110" s="769"/>
      <c r="PHW110" s="769"/>
      <c r="PHX110" s="769"/>
      <c r="PHY110" s="769"/>
      <c r="PHZ110" s="769"/>
      <c r="PIA110" s="769"/>
      <c r="PIB110" s="769"/>
      <c r="PIC110" s="769"/>
      <c r="PID110" s="769"/>
      <c r="PIE110" s="769"/>
      <c r="PIF110" s="769"/>
      <c r="PIG110" s="769"/>
      <c r="PIH110" s="769"/>
      <c r="PII110" s="769"/>
      <c r="PIJ110" s="769"/>
      <c r="PIK110" s="769"/>
      <c r="PIL110" s="769"/>
      <c r="PIM110" s="769"/>
      <c r="PIN110" s="769"/>
      <c r="PIO110" s="769"/>
      <c r="PIP110" s="769"/>
      <c r="PIQ110" s="769"/>
      <c r="PIR110" s="769"/>
      <c r="PIS110" s="769"/>
      <c r="PIT110" s="769"/>
      <c r="PIU110" s="769"/>
      <c r="PIV110" s="769"/>
      <c r="PIW110" s="769"/>
      <c r="PIX110" s="769"/>
      <c r="PIY110" s="769"/>
      <c r="PIZ110" s="769"/>
      <c r="PJA110" s="769"/>
      <c r="PJB110" s="769"/>
      <c r="PJC110" s="769"/>
      <c r="PJD110" s="769"/>
      <c r="PJE110" s="769"/>
      <c r="PJF110" s="769"/>
      <c r="PJG110" s="769"/>
      <c r="PJH110" s="769"/>
      <c r="PJI110" s="769"/>
      <c r="PJJ110" s="769"/>
      <c r="PJK110" s="769"/>
      <c r="PJL110" s="769"/>
      <c r="PJM110" s="769"/>
      <c r="PJN110" s="769"/>
      <c r="PJO110" s="769"/>
      <c r="PJP110" s="769"/>
      <c r="PJQ110" s="769"/>
      <c r="PJR110" s="769"/>
      <c r="PJS110" s="769"/>
      <c r="PJT110" s="769"/>
      <c r="PJU110" s="769"/>
      <c r="PJV110" s="769"/>
      <c r="PJW110" s="769"/>
      <c r="PJX110" s="769"/>
      <c r="PJY110" s="769"/>
      <c r="PJZ110" s="769"/>
      <c r="PKA110" s="769"/>
      <c r="PKB110" s="769"/>
      <c r="PKC110" s="769"/>
      <c r="PKD110" s="769"/>
      <c r="PKE110" s="769"/>
      <c r="PKF110" s="769"/>
      <c r="PKG110" s="769"/>
      <c r="PKH110" s="769"/>
      <c r="PKI110" s="769"/>
      <c r="PKJ110" s="769"/>
      <c r="PKK110" s="769"/>
      <c r="PKL110" s="769"/>
      <c r="PKM110" s="769"/>
      <c r="PKN110" s="769"/>
      <c r="PKO110" s="769"/>
      <c r="PKP110" s="769"/>
      <c r="PKQ110" s="769"/>
      <c r="PKR110" s="769"/>
      <c r="PKS110" s="769"/>
      <c r="PKT110" s="769"/>
      <c r="PKU110" s="769"/>
      <c r="PKV110" s="769"/>
      <c r="PKW110" s="769"/>
      <c r="PKX110" s="769"/>
      <c r="PKY110" s="769"/>
      <c r="PKZ110" s="769"/>
      <c r="PLA110" s="769"/>
      <c r="PLB110" s="769"/>
      <c r="PLC110" s="769"/>
      <c r="PLD110" s="769"/>
      <c r="PLE110" s="769"/>
      <c r="PLF110" s="769"/>
      <c r="PLG110" s="769"/>
      <c r="PLH110" s="769"/>
      <c r="PLI110" s="769"/>
      <c r="PLJ110" s="769"/>
      <c r="PLK110" s="769"/>
      <c r="PLL110" s="769"/>
      <c r="PLM110" s="769"/>
      <c r="PLN110" s="769"/>
      <c r="PLO110" s="769"/>
      <c r="PLP110" s="769"/>
      <c r="PLQ110" s="769"/>
      <c r="PLR110" s="769"/>
      <c r="PLS110" s="769"/>
      <c r="PLT110" s="769"/>
      <c r="PLU110" s="769"/>
      <c r="PLV110" s="769"/>
      <c r="PLW110" s="769"/>
      <c r="PLX110" s="769"/>
      <c r="PLY110" s="769"/>
      <c r="PLZ110" s="769"/>
      <c r="PMA110" s="769"/>
      <c r="PMB110" s="769"/>
      <c r="PMC110" s="769"/>
      <c r="PMD110" s="769"/>
      <c r="PME110" s="769"/>
      <c r="PMF110" s="769"/>
      <c r="PMG110" s="769"/>
      <c r="PMH110" s="769"/>
      <c r="PMI110" s="769"/>
      <c r="PMJ110" s="769"/>
      <c r="PMK110" s="769"/>
      <c r="PML110" s="769"/>
      <c r="PMM110" s="769"/>
      <c r="PMN110" s="769"/>
      <c r="PMO110" s="769"/>
      <c r="PMP110" s="769"/>
      <c r="PMQ110" s="769"/>
      <c r="PMR110" s="769"/>
      <c r="PMS110" s="769"/>
      <c r="PMT110" s="769"/>
      <c r="PMU110" s="769"/>
      <c r="PMV110" s="769"/>
      <c r="PMW110" s="769"/>
      <c r="PMX110" s="769"/>
      <c r="PMY110" s="769"/>
      <c r="PMZ110" s="769"/>
      <c r="PNA110" s="769"/>
      <c r="PNB110" s="769"/>
      <c r="PNC110" s="769"/>
      <c r="PND110" s="769"/>
      <c r="PNE110" s="769"/>
      <c r="PNF110" s="769"/>
      <c r="PNG110" s="769"/>
      <c r="PNH110" s="769"/>
      <c r="PNI110" s="769"/>
      <c r="PNJ110" s="769"/>
      <c r="PNK110" s="769"/>
      <c r="PNL110" s="769"/>
      <c r="PNM110" s="769"/>
      <c r="PNN110" s="769"/>
      <c r="PNO110" s="769"/>
      <c r="PNP110" s="769"/>
      <c r="PNQ110" s="769"/>
      <c r="PNR110" s="769"/>
      <c r="PNS110" s="769"/>
      <c r="PNT110" s="769"/>
      <c r="PNU110" s="769"/>
      <c r="PNV110" s="769"/>
      <c r="PNW110" s="769"/>
      <c r="PNX110" s="769"/>
      <c r="PNY110" s="769"/>
      <c r="PNZ110" s="769"/>
      <c r="POA110" s="769"/>
      <c r="POB110" s="769"/>
      <c r="POC110" s="769"/>
      <c r="POD110" s="769"/>
      <c r="POE110" s="769"/>
      <c r="POF110" s="769"/>
      <c r="POG110" s="769"/>
      <c r="POH110" s="769"/>
      <c r="POI110" s="769"/>
      <c r="POJ110" s="769"/>
      <c r="POK110" s="769"/>
      <c r="POL110" s="769"/>
      <c r="POM110" s="769"/>
      <c r="PON110" s="769"/>
      <c r="POO110" s="769"/>
      <c r="POP110" s="769"/>
      <c r="POQ110" s="769"/>
      <c r="POR110" s="769"/>
      <c r="POS110" s="769"/>
      <c r="POT110" s="769"/>
      <c r="POU110" s="769"/>
      <c r="POV110" s="769"/>
      <c r="POW110" s="769"/>
      <c r="POX110" s="769"/>
      <c r="POY110" s="769"/>
      <c r="POZ110" s="769"/>
      <c r="PPA110" s="769"/>
      <c r="PPB110" s="769"/>
      <c r="PPC110" s="769"/>
      <c r="PPD110" s="769"/>
      <c r="PPE110" s="769"/>
      <c r="PPF110" s="769"/>
      <c r="PPG110" s="769"/>
      <c r="PPH110" s="769"/>
      <c r="PPI110" s="769"/>
      <c r="PPJ110" s="769"/>
      <c r="PPK110" s="769"/>
      <c r="PPL110" s="769"/>
      <c r="PPM110" s="769"/>
      <c r="PPN110" s="769"/>
      <c r="PPO110" s="769"/>
      <c r="PPP110" s="769"/>
      <c r="PPQ110" s="769"/>
      <c r="PPR110" s="769"/>
      <c r="PPS110" s="769"/>
      <c r="PPT110" s="769"/>
      <c r="PPU110" s="769"/>
      <c r="PPV110" s="769"/>
      <c r="PPW110" s="769"/>
      <c r="PPX110" s="769"/>
      <c r="PPY110" s="769"/>
      <c r="PPZ110" s="769"/>
      <c r="PQA110" s="769"/>
      <c r="PQB110" s="769"/>
      <c r="PQC110" s="769"/>
      <c r="PQD110" s="769"/>
      <c r="PQE110" s="769"/>
      <c r="PQF110" s="769"/>
      <c r="PQG110" s="769"/>
      <c r="PQH110" s="769"/>
      <c r="PQI110" s="769"/>
      <c r="PQJ110" s="769"/>
      <c r="PQK110" s="769"/>
      <c r="PQL110" s="769"/>
      <c r="PQM110" s="769"/>
      <c r="PQN110" s="769"/>
      <c r="PQO110" s="769"/>
      <c r="PQP110" s="769"/>
      <c r="PQQ110" s="769"/>
      <c r="PQR110" s="769"/>
      <c r="PQS110" s="769"/>
      <c r="PQT110" s="769"/>
      <c r="PQU110" s="769"/>
      <c r="PQV110" s="769"/>
      <c r="PQW110" s="769"/>
      <c r="PQX110" s="769"/>
      <c r="PQY110" s="769"/>
      <c r="PQZ110" s="769"/>
      <c r="PRA110" s="769"/>
      <c r="PRB110" s="769"/>
      <c r="PRC110" s="769"/>
      <c r="PRD110" s="769"/>
      <c r="PRE110" s="769"/>
      <c r="PRF110" s="769"/>
      <c r="PRG110" s="769"/>
      <c r="PRH110" s="769"/>
      <c r="PRI110" s="769"/>
      <c r="PRJ110" s="769"/>
      <c r="PRK110" s="769"/>
      <c r="PRL110" s="769"/>
      <c r="PRM110" s="769"/>
      <c r="PRN110" s="769"/>
      <c r="PRO110" s="769"/>
      <c r="PRP110" s="769"/>
      <c r="PRQ110" s="769"/>
      <c r="PRR110" s="769"/>
      <c r="PRS110" s="769"/>
      <c r="PRT110" s="769"/>
      <c r="PRU110" s="769"/>
      <c r="PRV110" s="769"/>
      <c r="PRW110" s="769"/>
      <c r="PRX110" s="769"/>
      <c r="PRY110" s="769"/>
      <c r="PRZ110" s="769"/>
      <c r="PSA110" s="769"/>
      <c r="PSB110" s="769"/>
      <c r="PSC110" s="769"/>
      <c r="PSD110" s="769"/>
      <c r="PSE110" s="769"/>
      <c r="PSF110" s="769"/>
      <c r="PSG110" s="769"/>
      <c r="PSH110" s="769"/>
      <c r="PSI110" s="769"/>
      <c r="PSJ110" s="769"/>
      <c r="PSK110" s="769"/>
      <c r="PSL110" s="769"/>
      <c r="PSM110" s="769"/>
      <c r="PSN110" s="769"/>
      <c r="PSO110" s="769"/>
      <c r="PSP110" s="769"/>
      <c r="PSQ110" s="769"/>
      <c r="PSR110" s="769"/>
      <c r="PSS110" s="769"/>
      <c r="PST110" s="769"/>
      <c r="PSU110" s="769"/>
      <c r="PSV110" s="769"/>
      <c r="PSW110" s="769"/>
      <c r="PSX110" s="769"/>
      <c r="PSY110" s="769"/>
      <c r="PSZ110" s="769"/>
      <c r="PTA110" s="769"/>
      <c r="PTB110" s="769"/>
      <c r="PTC110" s="769"/>
      <c r="PTD110" s="769"/>
      <c r="PTE110" s="769"/>
      <c r="PTF110" s="769"/>
      <c r="PTG110" s="769"/>
      <c r="PTH110" s="769"/>
      <c r="PTI110" s="769"/>
      <c r="PTJ110" s="769"/>
      <c r="PTK110" s="769"/>
      <c r="PTL110" s="769"/>
      <c r="PTM110" s="769"/>
      <c r="PTN110" s="769"/>
      <c r="PTO110" s="769"/>
      <c r="PTP110" s="769"/>
      <c r="PTQ110" s="769"/>
      <c r="PTR110" s="769"/>
      <c r="PTS110" s="769"/>
      <c r="PTT110" s="769"/>
      <c r="PTU110" s="769"/>
      <c r="PTV110" s="769"/>
      <c r="PTW110" s="769"/>
      <c r="PTX110" s="769"/>
      <c r="PTY110" s="769"/>
      <c r="PTZ110" s="769"/>
      <c r="PUA110" s="769"/>
      <c r="PUB110" s="769"/>
      <c r="PUC110" s="769"/>
      <c r="PUD110" s="769"/>
      <c r="PUE110" s="769"/>
      <c r="PUF110" s="769"/>
      <c r="PUG110" s="769"/>
      <c r="PUH110" s="769"/>
      <c r="PUI110" s="769"/>
      <c r="PUJ110" s="769"/>
      <c r="PUK110" s="769"/>
      <c r="PUL110" s="769"/>
      <c r="PUM110" s="769"/>
      <c r="PUN110" s="769"/>
      <c r="PUO110" s="769"/>
      <c r="PUP110" s="769"/>
      <c r="PUQ110" s="769"/>
      <c r="PUR110" s="769"/>
      <c r="PUS110" s="769"/>
      <c r="PUT110" s="769"/>
      <c r="PUU110" s="769"/>
      <c r="PUV110" s="769"/>
      <c r="PUW110" s="769"/>
      <c r="PUX110" s="769"/>
      <c r="PUY110" s="769"/>
      <c r="PUZ110" s="769"/>
      <c r="PVA110" s="769"/>
      <c r="PVB110" s="769"/>
      <c r="PVC110" s="769"/>
      <c r="PVD110" s="769"/>
      <c r="PVE110" s="769"/>
      <c r="PVF110" s="769"/>
      <c r="PVG110" s="769"/>
      <c r="PVH110" s="769"/>
      <c r="PVI110" s="769"/>
      <c r="PVJ110" s="769"/>
      <c r="PVK110" s="769"/>
      <c r="PVL110" s="769"/>
      <c r="PVM110" s="769"/>
      <c r="PVN110" s="769"/>
      <c r="PVO110" s="769"/>
      <c r="PVP110" s="769"/>
      <c r="PVQ110" s="769"/>
      <c r="PVR110" s="769"/>
      <c r="PVS110" s="769"/>
      <c r="PVT110" s="769"/>
      <c r="PVU110" s="769"/>
      <c r="PVV110" s="769"/>
      <c r="PVW110" s="769"/>
      <c r="PVX110" s="769"/>
      <c r="PVY110" s="769"/>
      <c r="PVZ110" s="769"/>
      <c r="PWA110" s="769"/>
      <c r="PWB110" s="769"/>
      <c r="PWC110" s="769"/>
      <c r="PWD110" s="769"/>
      <c r="PWE110" s="769"/>
      <c r="PWF110" s="769"/>
      <c r="PWG110" s="769"/>
      <c r="PWH110" s="769"/>
      <c r="PWI110" s="769"/>
      <c r="PWJ110" s="769"/>
      <c r="PWK110" s="769"/>
      <c r="PWL110" s="769"/>
      <c r="PWM110" s="769"/>
      <c r="PWN110" s="769"/>
      <c r="PWO110" s="769"/>
      <c r="PWP110" s="769"/>
      <c r="PWQ110" s="769"/>
      <c r="PWR110" s="769"/>
      <c r="PWS110" s="769"/>
      <c r="PWT110" s="769"/>
      <c r="PWU110" s="769"/>
      <c r="PWV110" s="769"/>
      <c r="PWW110" s="769"/>
      <c r="PWX110" s="769"/>
      <c r="PWY110" s="769"/>
      <c r="PWZ110" s="769"/>
      <c r="PXA110" s="769"/>
      <c r="PXB110" s="769"/>
      <c r="PXC110" s="769"/>
      <c r="PXD110" s="769"/>
      <c r="PXE110" s="769"/>
      <c r="PXF110" s="769"/>
      <c r="PXG110" s="769"/>
      <c r="PXH110" s="769"/>
      <c r="PXI110" s="769"/>
      <c r="PXJ110" s="769"/>
      <c r="PXK110" s="769"/>
      <c r="PXL110" s="769"/>
      <c r="PXM110" s="769"/>
      <c r="PXN110" s="769"/>
      <c r="PXO110" s="769"/>
      <c r="PXP110" s="769"/>
      <c r="PXQ110" s="769"/>
      <c r="PXR110" s="769"/>
      <c r="PXS110" s="769"/>
      <c r="PXT110" s="769"/>
      <c r="PXU110" s="769"/>
      <c r="PXV110" s="769"/>
      <c r="PXW110" s="769"/>
      <c r="PXX110" s="769"/>
      <c r="PXY110" s="769"/>
      <c r="PXZ110" s="769"/>
      <c r="PYA110" s="769"/>
      <c r="PYB110" s="769"/>
      <c r="PYC110" s="769"/>
      <c r="PYD110" s="769"/>
      <c r="PYE110" s="769"/>
      <c r="PYF110" s="769"/>
      <c r="PYG110" s="769"/>
      <c r="PYH110" s="769"/>
      <c r="PYI110" s="769"/>
      <c r="PYJ110" s="769"/>
      <c r="PYK110" s="769"/>
      <c r="PYL110" s="769"/>
      <c r="PYM110" s="769"/>
      <c r="PYN110" s="769"/>
      <c r="PYO110" s="769"/>
      <c r="PYP110" s="769"/>
      <c r="PYQ110" s="769"/>
      <c r="PYR110" s="769"/>
      <c r="PYS110" s="769"/>
      <c r="PYT110" s="769"/>
      <c r="PYU110" s="769"/>
      <c r="PYV110" s="769"/>
      <c r="PYW110" s="769"/>
      <c r="PYX110" s="769"/>
      <c r="PYY110" s="769"/>
      <c r="PYZ110" s="769"/>
      <c r="PZA110" s="769"/>
      <c r="PZB110" s="769"/>
      <c r="PZC110" s="769"/>
      <c r="PZD110" s="769"/>
      <c r="PZE110" s="769"/>
      <c r="PZF110" s="769"/>
      <c r="PZG110" s="769"/>
      <c r="PZH110" s="769"/>
      <c r="PZI110" s="769"/>
      <c r="PZJ110" s="769"/>
      <c r="PZK110" s="769"/>
      <c r="PZL110" s="769"/>
      <c r="PZM110" s="769"/>
      <c r="PZN110" s="769"/>
      <c r="PZO110" s="769"/>
      <c r="PZP110" s="769"/>
      <c r="PZQ110" s="769"/>
      <c r="PZR110" s="769"/>
      <c r="PZS110" s="769"/>
      <c r="PZT110" s="769"/>
      <c r="PZU110" s="769"/>
      <c r="PZV110" s="769"/>
      <c r="PZW110" s="769"/>
      <c r="PZX110" s="769"/>
      <c r="PZY110" s="769"/>
      <c r="PZZ110" s="769"/>
      <c r="QAA110" s="769"/>
      <c r="QAB110" s="769"/>
      <c r="QAC110" s="769"/>
      <c r="QAD110" s="769"/>
      <c r="QAE110" s="769"/>
      <c r="QAF110" s="769"/>
      <c r="QAG110" s="769"/>
      <c r="QAH110" s="769"/>
      <c r="QAI110" s="769"/>
      <c r="QAJ110" s="769"/>
      <c r="QAK110" s="769"/>
      <c r="QAL110" s="769"/>
      <c r="QAM110" s="769"/>
      <c r="QAN110" s="769"/>
      <c r="QAO110" s="769"/>
      <c r="QAP110" s="769"/>
      <c r="QAQ110" s="769"/>
      <c r="QAR110" s="769"/>
      <c r="QAS110" s="769"/>
      <c r="QAT110" s="769"/>
      <c r="QAU110" s="769"/>
      <c r="QAV110" s="769"/>
      <c r="QAW110" s="769"/>
      <c r="QAX110" s="769"/>
      <c r="QAY110" s="769"/>
      <c r="QAZ110" s="769"/>
      <c r="QBA110" s="769"/>
      <c r="QBB110" s="769"/>
      <c r="QBC110" s="769"/>
      <c r="QBD110" s="769"/>
      <c r="QBE110" s="769"/>
      <c r="QBF110" s="769"/>
      <c r="QBG110" s="769"/>
      <c r="QBH110" s="769"/>
      <c r="QBI110" s="769"/>
      <c r="QBJ110" s="769"/>
      <c r="QBK110" s="769"/>
      <c r="QBL110" s="769"/>
      <c r="QBM110" s="769"/>
      <c r="QBN110" s="769"/>
      <c r="QBO110" s="769"/>
      <c r="QBP110" s="769"/>
      <c r="QBQ110" s="769"/>
      <c r="QBR110" s="769"/>
      <c r="QBS110" s="769"/>
      <c r="QBT110" s="769"/>
      <c r="QBU110" s="769"/>
      <c r="QBV110" s="769"/>
      <c r="QBW110" s="769"/>
      <c r="QBX110" s="769"/>
      <c r="QBY110" s="769"/>
      <c r="QBZ110" s="769"/>
      <c r="QCA110" s="769"/>
      <c r="QCB110" s="769"/>
      <c r="QCC110" s="769"/>
      <c r="QCD110" s="769"/>
      <c r="QCE110" s="769"/>
      <c r="QCF110" s="769"/>
      <c r="QCG110" s="769"/>
      <c r="QCH110" s="769"/>
      <c r="QCI110" s="769"/>
      <c r="QCJ110" s="769"/>
      <c r="QCK110" s="769"/>
      <c r="QCL110" s="769"/>
      <c r="QCM110" s="769"/>
      <c r="QCN110" s="769"/>
      <c r="QCO110" s="769"/>
      <c r="QCP110" s="769"/>
      <c r="QCQ110" s="769"/>
      <c r="QCR110" s="769"/>
      <c r="QCS110" s="769"/>
      <c r="QCT110" s="769"/>
      <c r="QCU110" s="769"/>
      <c r="QCV110" s="769"/>
      <c r="QCW110" s="769"/>
      <c r="QCX110" s="769"/>
      <c r="QCY110" s="769"/>
      <c r="QCZ110" s="769"/>
      <c r="QDA110" s="769"/>
      <c r="QDB110" s="769"/>
      <c r="QDC110" s="769"/>
      <c r="QDD110" s="769"/>
      <c r="QDE110" s="769"/>
      <c r="QDF110" s="769"/>
      <c r="QDG110" s="769"/>
      <c r="QDH110" s="769"/>
      <c r="QDI110" s="769"/>
      <c r="QDJ110" s="769"/>
      <c r="QDK110" s="769"/>
      <c r="QDL110" s="769"/>
      <c r="QDM110" s="769"/>
      <c r="QDN110" s="769"/>
      <c r="QDO110" s="769"/>
      <c r="QDP110" s="769"/>
      <c r="QDQ110" s="769"/>
      <c r="QDR110" s="769"/>
      <c r="QDS110" s="769"/>
      <c r="QDT110" s="769"/>
      <c r="QDU110" s="769"/>
      <c r="QDV110" s="769"/>
      <c r="QDW110" s="769"/>
      <c r="QDX110" s="769"/>
      <c r="QDY110" s="769"/>
      <c r="QDZ110" s="769"/>
      <c r="QEA110" s="769"/>
      <c r="QEB110" s="769"/>
      <c r="QEC110" s="769"/>
      <c r="QED110" s="769"/>
      <c r="QEE110" s="769"/>
      <c r="QEF110" s="769"/>
      <c r="QEG110" s="769"/>
      <c r="QEH110" s="769"/>
      <c r="QEI110" s="769"/>
      <c r="QEJ110" s="769"/>
      <c r="QEK110" s="769"/>
      <c r="QEL110" s="769"/>
      <c r="QEM110" s="769"/>
      <c r="QEN110" s="769"/>
      <c r="QEO110" s="769"/>
      <c r="QEP110" s="769"/>
      <c r="QEQ110" s="769"/>
      <c r="QER110" s="769"/>
      <c r="QES110" s="769"/>
      <c r="QET110" s="769"/>
      <c r="QEU110" s="769"/>
      <c r="QEV110" s="769"/>
      <c r="QEW110" s="769"/>
      <c r="QEX110" s="769"/>
      <c r="QEY110" s="769"/>
      <c r="QEZ110" s="769"/>
      <c r="QFA110" s="769"/>
      <c r="QFB110" s="769"/>
      <c r="QFC110" s="769"/>
      <c r="QFD110" s="769"/>
      <c r="QFE110" s="769"/>
      <c r="QFF110" s="769"/>
      <c r="QFG110" s="769"/>
      <c r="QFH110" s="769"/>
      <c r="QFI110" s="769"/>
      <c r="QFJ110" s="769"/>
      <c r="QFK110" s="769"/>
      <c r="QFL110" s="769"/>
      <c r="QFM110" s="769"/>
      <c r="QFN110" s="769"/>
      <c r="QFO110" s="769"/>
      <c r="QFP110" s="769"/>
      <c r="QFQ110" s="769"/>
      <c r="QFR110" s="769"/>
      <c r="QFS110" s="769"/>
      <c r="QFT110" s="769"/>
      <c r="QFU110" s="769"/>
      <c r="QFV110" s="769"/>
      <c r="QFW110" s="769"/>
      <c r="QFX110" s="769"/>
      <c r="QFY110" s="769"/>
      <c r="QFZ110" s="769"/>
      <c r="QGA110" s="769"/>
      <c r="QGB110" s="769"/>
      <c r="QGC110" s="769"/>
      <c r="QGD110" s="769"/>
      <c r="QGE110" s="769"/>
      <c r="QGF110" s="769"/>
      <c r="QGG110" s="769"/>
      <c r="QGH110" s="769"/>
      <c r="QGI110" s="769"/>
      <c r="QGJ110" s="769"/>
      <c r="QGK110" s="769"/>
      <c r="QGL110" s="769"/>
      <c r="QGM110" s="769"/>
      <c r="QGN110" s="769"/>
      <c r="QGO110" s="769"/>
      <c r="QGP110" s="769"/>
      <c r="QGQ110" s="769"/>
      <c r="QGR110" s="769"/>
      <c r="QGS110" s="769"/>
      <c r="QGT110" s="769"/>
      <c r="QGU110" s="769"/>
      <c r="QGV110" s="769"/>
      <c r="QGW110" s="769"/>
      <c r="QGX110" s="769"/>
      <c r="QGY110" s="769"/>
      <c r="QGZ110" s="769"/>
      <c r="QHA110" s="769"/>
      <c r="QHB110" s="769"/>
      <c r="QHC110" s="769"/>
      <c r="QHD110" s="769"/>
      <c r="QHE110" s="769"/>
      <c r="QHF110" s="769"/>
      <c r="QHG110" s="769"/>
      <c r="QHH110" s="769"/>
      <c r="QHI110" s="769"/>
      <c r="QHJ110" s="769"/>
      <c r="QHK110" s="769"/>
      <c r="QHL110" s="769"/>
      <c r="QHM110" s="769"/>
      <c r="QHN110" s="769"/>
      <c r="QHO110" s="769"/>
      <c r="QHP110" s="769"/>
      <c r="QHQ110" s="769"/>
      <c r="QHR110" s="769"/>
      <c r="QHS110" s="769"/>
      <c r="QHT110" s="769"/>
      <c r="QHU110" s="769"/>
      <c r="QHV110" s="769"/>
      <c r="QHW110" s="769"/>
      <c r="QHX110" s="769"/>
      <c r="QHY110" s="769"/>
      <c r="QHZ110" s="769"/>
      <c r="QIA110" s="769"/>
      <c r="QIB110" s="769"/>
      <c r="QIC110" s="769"/>
      <c r="QID110" s="769"/>
      <c r="QIE110" s="769"/>
      <c r="QIF110" s="769"/>
      <c r="QIG110" s="769"/>
      <c r="QIH110" s="769"/>
      <c r="QII110" s="769"/>
      <c r="QIJ110" s="769"/>
      <c r="QIK110" s="769"/>
      <c r="QIL110" s="769"/>
      <c r="QIM110" s="769"/>
      <c r="QIN110" s="769"/>
      <c r="QIO110" s="769"/>
      <c r="QIP110" s="769"/>
      <c r="QIQ110" s="769"/>
      <c r="QIR110" s="769"/>
      <c r="QIS110" s="769"/>
      <c r="QIT110" s="769"/>
      <c r="QIU110" s="769"/>
      <c r="QIV110" s="769"/>
      <c r="QIW110" s="769"/>
      <c r="QIX110" s="769"/>
      <c r="QIY110" s="769"/>
      <c r="QIZ110" s="769"/>
      <c r="QJA110" s="769"/>
      <c r="QJB110" s="769"/>
      <c r="QJC110" s="769"/>
      <c r="QJD110" s="769"/>
      <c r="QJE110" s="769"/>
      <c r="QJF110" s="769"/>
      <c r="QJG110" s="769"/>
      <c r="QJH110" s="769"/>
      <c r="QJI110" s="769"/>
      <c r="QJJ110" s="769"/>
      <c r="QJK110" s="769"/>
      <c r="QJL110" s="769"/>
      <c r="QJM110" s="769"/>
      <c r="QJN110" s="769"/>
      <c r="QJO110" s="769"/>
      <c r="QJP110" s="769"/>
      <c r="QJQ110" s="769"/>
      <c r="QJR110" s="769"/>
      <c r="QJS110" s="769"/>
      <c r="QJT110" s="769"/>
      <c r="QJU110" s="769"/>
      <c r="QJV110" s="769"/>
      <c r="QJW110" s="769"/>
      <c r="QJX110" s="769"/>
      <c r="QJY110" s="769"/>
      <c r="QJZ110" s="769"/>
      <c r="QKA110" s="769"/>
      <c r="QKB110" s="769"/>
      <c r="QKC110" s="769"/>
      <c r="QKD110" s="769"/>
      <c r="QKE110" s="769"/>
      <c r="QKF110" s="769"/>
      <c r="QKG110" s="769"/>
      <c r="QKH110" s="769"/>
      <c r="QKI110" s="769"/>
      <c r="QKJ110" s="769"/>
      <c r="QKK110" s="769"/>
      <c r="QKL110" s="769"/>
      <c r="QKM110" s="769"/>
      <c r="QKN110" s="769"/>
      <c r="QKO110" s="769"/>
      <c r="QKP110" s="769"/>
      <c r="QKQ110" s="769"/>
      <c r="QKR110" s="769"/>
      <c r="QKS110" s="769"/>
      <c r="QKT110" s="769"/>
      <c r="QKU110" s="769"/>
      <c r="QKV110" s="769"/>
      <c r="QKW110" s="769"/>
      <c r="QKX110" s="769"/>
      <c r="QKY110" s="769"/>
      <c r="QKZ110" s="769"/>
      <c r="QLA110" s="769"/>
      <c r="QLB110" s="769"/>
      <c r="QLC110" s="769"/>
      <c r="QLD110" s="769"/>
      <c r="QLE110" s="769"/>
      <c r="QLF110" s="769"/>
      <c r="QLG110" s="769"/>
      <c r="QLH110" s="769"/>
      <c r="QLI110" s="769"/>
      <c r="QLJ110" s="769"/>
      <c r="QLK110" s="769"/>
      <c r="QLL110" s="769"/>
      <c r="QLM110" s="769"/>
      <c r="QLN110" s="769"/>
      <c r="QLO110" s="769"/>
      <c r="QLP110" s="769"/>
      <c r="QLQ110" s="769"/>
      <c r="QLR110" s="769"/>
      <c r="QLS110" s="769"/>
      <c r="QLT110" s="769"/>
      <c r="QLU110" s="769"/>
      <c r="QLV110" s="769"/>
      <c r="QLW110" s="769"/>
      <c r="QLX110" s="769"/>
      <c r="QLY110" s="769"/>
      <c r="QLZ110" s="769"/>
      <c r="QMA110" s="769"/>
      <c r="QMB110" s="769"/>
      <c r="QMC110" s="769"/>
      <c r="QMD110" s="769"/>
      <c r="QME110" s="769"/>
      <c r="QMF110" s="769"/>
      <c r="QMG110" s="769"/>
      <c r="QMH110" s="769"/>
      <c r="QMI110" s="769"/>
      <c r="QMJ110" s="769"/>
      <c r="QMK110" s="769"/>
      <c r="QML110" s="769"/>
      <c r="QMM110" s="769"/>
      <c r="QMN110" s="769"/>
      <c r="QMO110" s="769"/>
      <c r="QMP110" s="769"/>
      <c r="QMQ110" s="769"/>
      <c r="QMR110" s="769"/>
      <c r="QMS110" s="769"/>
      <c r="QMT110" s="769"/>
      <c r="QMU110" s="769"/>
      <c r="QMV110" s="769"/>
      <c r="QMW110" s="769"/>
      <c r="QMX110" s="769"/>
      <c r="QMY110" s="769"/>
      <c r="QMZ110" s="769"/>
      <c r="QNA110" s="769"/>
      <c r="QNB110" s="769"/>
      <c r="QNC110" s="769"/>
      <c r="QND110" s="769"/>
      <c r="QNE110" s="769"/>
      <c r="QNF110" s="769"/>
      <c r="QNG110" s="769"/>
      <c r="QNH110" s="769"/>
      <c r="QNI110" s="769"/>
      <c r="QNJ110" s="769"/>
      <c r="QNK110" s="769"/>
      <c r="QNL110" s="769"/>
      <c r="QNM110" s="769"/>
      <c r="QNN110" s="769"/>
      <c r="QNO110" s="769"/>
      <c r="QNP110" s="769"/>
      <c r="QNQ110" s="769"/>
      <c r="QNR110" s="769"/>
      <c r="QNS110" s="769"/>
      <c r="QNT110" s="769"/>
      <c r="QNU110" s="769"/>
      <c r="QNV110" s="769"/>
      <c r="QNW110" s="769"/>
      <c r="QNX110" s="769"/>
      <c r="QNY110" s="769"/>
      <c r="QNZ110" s="769"/>
      <c r="QOA110" s="769"/>
      <c r="QOB110" s="769"/>
      <c r="QOC110" s="769"/>
      <c r="QOD110" s="769"/>
      <c r="QOE110" s="769"/>
      <c r="QOF110" s="769"/>
      <c r="QOG110" s="769"/>
      <c r="QOH110" s="769"/>
      <c r="QOI110" s="769"/>
      <c r="QOJ110" s="769"/>
      <c r="QOK110" s="769"/>
      <c r="QOL110" s="769"/>
      <c r="QOM110" s="769"/>
      <c r="QON110" s="769"/>
      <c r="QOO110" s="769"/>
      <c r="QOP110" s="769"/>
      <c r="QOQ110" s="769"/>
      <c r="QOR110" s="769"/>
      <c r="QOS110" s="769"/>
      <c r="QOT110" s="769"/>
      <c r="QOU110" s="769"/>
      <c r="QOV110" s="769"/>
      <c r="QOW110" s="769"/>
      <c r="QOX110" s="769"/>
      <c r="QOY110" s="769"/>
      <c r="QOZ110" s="769"/>
      <c r="QPA110" s="769"/>
      <c r="QPB110" s="769"/>
      <c r="QPC110" s="769"/>
      <c r="QPD110" s="769"/>
      <c r="QPE110" s="769"/>
      <c r="QPF110" s="769"/>
      <c r="QPG110" s="769"/>
      <c r="QPH110" s="769"/>
      <c r="QPI110" s="769"/>
      <c r="QPJ110" s="769"/>
      <c r="QPK110" s="769"/>
      <c r="QPL110" s="769"/>
      <c r="QPM110" s="769"/>
      <c r="QPN110" s="769"/>
      <c r="QPO110" s="769"/>
      <c r="QPP110" s="769"/>
      <c r="QPQ110" s="769"/>
      <c r="QPR110" s="769"/>
      <c r="QPS110" s="769"/>
      <c r="QPT110" s="769"/>
      <c r="QPU110" s="769"/>
      <c r="QPV110" s="769"/>
      <c r="QPW110" s="769"/>
      <c r="QPX110" s="769"/>
      <c r="QPY110" s="769"/>
      <c r="QPZ110" s="769"/>
      <c r="QQA110" s="769"/>
      <c r="QQB110" s="769"/>
      <c r="QQC110" s="769"/>
      <c r="QQD110" s="769"/>
      <c r="QQE110" s="769"/>
      <c r="QQF110" s="769"/>
      <c r="QQG110" s="769"/>
      <c r="QQH110" s="769"/>
      <c r="QQI110" s="769"/>
      <c r="QQJ110" s="769"/>
      <c r="QQK110" s="769"/>
      <c r="QQL110" s="769"/>
      <c r="QQM110" s="769"/>
      <c r="QQN110" s="769"/>
      <c r="QQO110" s="769"/>
      <c r="QQP110" s="769"/>
      <c r="QQQ110" s="769"/>
      <c r="QQR110" s="769"/>
      <c r="QQS110" s="769"/>
      <c r="QQT110" s="769"/>
      <c r="QQU110" s="769"/>
      <c r="QQV110" s="769"/>
      <c r="QQW110" s="769"/>
      <c r="QQX110" s="769"/>
      <c r="QQY110" s="769"/>
      <c r="QQZ110" s="769"/>
      <c r="QRA110" s="769"/>
      <c r="QRB110" s="769"/>
      <c r="QRC110" s="769"/>
      <c r="QRD110" s="769"/>
      <c r="QRE110" s="769"/>
      <c r="QRF110" s="769"/>
      <c r="QRG110" s="769"/>
      <c r="QRH110" s="769"/>
      <c r="QRI110" s="769"/>
      <c r="QRJ110" s="769"/>
      <c r="QRK110" s="769"/>
      <c r="QRL110" s="769"/>
      <c r="QRM110" s="769"/>
      <c r="QRN110" s="769"/>
      <c r="QRO110" s="769"/>
      <c r="QRP110" s="769"/>
      <c r="QRQ110" s="769"/>
      <c r="QRR110" s="769"/>
      <c r="QRS110" s="769"/>
      <c r="QRT110" s="769"/>
      <c r="QRU110" s="769"/>
      <c r="QRV110" s="769"/>
      <c r="QRW110" s="769"/>
      <c r="QRX110" s="769"/>
      <c r="QRY110" s="769"/>
      <c r="QRZ110" s="769"/>
      <c r="QSA110" s="769"/>
      <c r="QSB110" s="769"/>
      <c r="QSC110" s="769"/>
      <c r="QSD110" s="769"/>
      <c r="QSE110" s="769"/>
      <c r="QSF110" s="769"/>
      <c r="QSG110" s="769"/>
      <c r="QSH110" s="769"/>
      <c r="QSI110" s="769"/>
      <c r="QSJ110" s="769"/>
      <c r="QSK110" s="769"/>
      <c r="QSL110" s="769"/>
      <c r="QSM110" s="769"/>
      <c r="QSN110" s="769"/>
      <c r="QSO110" s="769"/>
      <c r="QSP110" s="769"/>
      <c r="QSQ110" s="769"/>
      <c r="QSR110" s="769"/>
      <c r="QSS110" s="769"/>
      <c r="QST110" s="769"/>
      <c r="QSU110" s="769"/>
      <c r="QSV110" s="769"/>
      <c r="QSW110" s="769"/>
      <c r="QSX110" s="769"/>
      <c r="QSY110" s="769"/>
      <c r="QSZ110" s="769"/>
      <c r="QTA110" s="769"/>
      <c r="QTB110" s="769"/>
      <c r="QTC110" s="769"/>
      <c r="QTD110" s="769"/>
      <c r="QTE110" s="769"/>
      <c r="QTF110" s="769"/>
      <c r="QTG110" s="769"/>
      <c r="QTH110" s="769"/>
      <c r="QTI110" s="769"/>
      <c r="QTJ110" s="769"/>
      <c r="QTK110" s="769"/>
      <c r="QTL110" s="769"/>
      <c r="QTM110" s="769"/>
      <c r="QTN110" s="769"/>
      <c r="QTO110" s="769"/>
      <c r="QTP110" s="769"/>
      <c r="QTQ110" s="769"/>
      <c r="QTR110" s="769"/>
      <c r="QTS110" s="769"/>
      <c r="QTT110" s="769"/>
      <c r="QTU110" s="769"/>
      <c r="QTV110" s="769"/>
      <c r="QTW110" s="769"/>
      <c r="QTX110" s="769"/>
      <c r="QTY110" s="769"/>
      <c r="QTZ110" s="769"/>
      <c r="QUA110" s="769"/>
      <c r="QUB110" s="769"/>
      <c r="QUC110" s="769"/>
      <c r="QUD110" s="769"/>
      <c r="QUE110" s="769"/>
      <c r="QUF110" s="769"/>
      <c r="QUG110" s="769"/>
      <c r="QUH110" s="769"/>
      <c r="QUI110" s="769"/>
      <c r="QUJ110" s="769"/>
      <c r="QUK110" s="769"/>
      <c r="QUL110" s="769"/>
      <c r="QUM110" s="769"/>
      <c r="QUN110" s="769"/>
      <c r="QUO110" s="769"/>
      <c r="QUP110" s="769"/>
      <c r="QUQ110" s="769"/>
      <c r="QUR110" s="769"/>
      <c r="QUS110" s="769"/>
      <c r="QUT110" s="769"/>
      <c r="QUU110" s="769"/>
      <c r="QUV110" s="769"/>
      <c r="QUW110" s="769"/>
      <c r="QUX110" s="769"/>
      <c r="QUY110" s="769"/>
      <c r="QUZ110" s="769"/>
      <c r="QVA110" s="769"/>
      <c r="QVB110" s="769"/>
      <c r="QVC110" s="769"/>
      <c r="QVD110" s="769"/>
      <c r="QVE110" s="769"/>
      <c r="QVF110" s="769"/>
      <c r="QVG110" s="769"/>
      <c r="QVH110" s="769"/>
      <c r="QVI110" s="769"/>
      <c r="QVJ110" s="769"/>
      <c r="QVK110" s="769"/>
      <c r="QVL110" s="769"/>
      <c r="QVM110" s="769"/>
      <c r="QVN110" s="769"/>
      <c r="QVO110" s="769"/>
      <c r="QVP110" s="769"/>
      <c r="QVQ110" s="769"/>
      <c r="QVR110" s="769"/>
      <c r="QVS110" s="769"/>
      <c r="QVT110" s="769"/>
      <c r="QVU110" s="769"/>
      <c r="QVV110" s="769"/>
      <c r="QVW110" s="769"/>
      <c r="QVX110" s="769"/>
      <c r="QVY110" s="769"/>
      <c r="QVZ110" s="769"/>
      <c r="QWA110" s="769"/>
      <c r="QWB110" s="769"/>
      <c r="QWC110" s="769"/>
      <c r="QWD110" s="769"/>
      <c r="QWE110" s="769"/>
      <c r="QWF110" s="769"/>
      <c r="QWG110" s="769"/>
      <c r="QWH110" s="769"/>
      <c r="QWI110" s="769"/>
      <c r="QWJ110" s="769"/>
      <c r="QWK110" s="769"/>
      <c r="QWL110" s="769"/>
      <c r="QWM110" s="769"/>
      <c r="QWN110" s="769"/>
      <c r="QWO110" s="769"/>
      <c r="QWP110" s="769"/>
      <c r="QWQ110" s="769"/>
      <c r="QWR110" s="769"/>
      <c r="QWS110" s="769"/>
      <c r="QWT110" s="769"/>
      <c r="QWU110" s="769"/>
      <c r="QWV110" s="769"/>
      <c r="QWW110" s="769"/>
      <c r="QWX110" s="769"/>
      <c r="QWY110" s="769"/>
      <c r="QWZ110" s="769"/>
      <c r="QXA110" s="769"/>
      <c r="QXB110" s="769"/>
      <c r="QXC110" s="769"/>
      <c r="QXD110" s="769"/>
      <c r="QXE110" s="769"/>
      <c r="QXF110" s="769"/>
      <c r="QXG110" s="769"/>
      <c r="QXH110" s="769"/>
      <c r="QXI110" s="769"/>
      <c r="QXJ110" s="769"/>
      <c r="QXK110" s="769"/>
      <c r="QXL110" s="769"/>
      <c r="QXM110" s="769"/>
      <c r="QXN110" s="769"/>
      <c r="QXO110" s="769"/>
      <c r="QXP110" s="769"/>
      <c r="QXQ110" s="769"/>
      <c r="QXR110" s="769"/>
      <c r="QXS110" s="769"/>
      <c r="QXT110" s="769"/>
      <c r="QXU110" s="769"/>
      <c r="QXV110" s="769"/>
      <c r="QXW110" s="769"/>
      <c r="QXX110" s="769"/>
      <c r="QXY110" s="769"/>
      <c r="QXZ110" s="769"/>
      <c r="QYA110" s="769"/>
      <c r="QYB110" s="769"/>
      <c r="QYC110" s="769"/>
      <c r="QYD110" s="769"/>
      <c r="QYE110" s="769"/>
      <c r="QYF110" s="769"/>
      <c r="QYG110" s="769"/>
      <c r="QYH110" s="769"/>
      <c r="QYI110" s="769"/>
      <c r="QYJ110" s="769"/>
      <c r="QYK110" s="769"/>
      <c r="QYL110" s="769"/>
      <c r="QYM110" s="769"/>
      <c r="QYN110" s="769"/>
      <c r="QYO110" s="769"/>
      <c r="QYP110" s="769"/>
      <c r="QYQ110" s="769"/>
      <c r="QYR110" s="769"/>
      <c r="QYS110" s="769"/>
      <c r="QYT110" s="769"/>
      <c r="QYU110" s="769"/>
      <c r="QYV110" s="769"/>
      <c r="QYW110" s="769"/>
      <c r="QYX110" s="769"/>
      <c r="QYY110" s="769"/>
      <c r="QYZ110" s="769"/>
      <c r="QZA110" s="769"/>
      <c r="QZB110" s="769"/>
      <c r="QZC110" s="769"/>
      <c r="QZD110" s="769"/>
      <c r="QZE110" s="769"/>
      <c r="QZF110" s="769"/>
      <c r="QZG110" s="769"/>
      <c r="QZH110" s="769"/>
      <c r="QZI110" s="769"/>
      <c r="QZJ110" s="769"/>
      <c r="QZK110" s="769"/>
      <c r="QZL110" s="769"/>
      <c r="QZM110" s="769"/>
      <c r="QZN110" s="769"/>
      <c r="QZO110" s="769"/>
      <c r="QZP110" s="769"/>
      <c r="QZQ110" s="769"/>
      <c r="QZR110" s="769"/>
      <c r="QZS110" s="769"/>
      <c r="QZT110" s="769"/>
      <c r="QZU110" s="769"/>
      <c r="QZV110" s="769"/>
      <c r="QZW110" s="769"/>
      <c r="QZX110" s="769"/>
      <c r="QZY110" s="769"/>
      <c r="QZZ110" s="769"/>
      <c r="RAA110" s="769"/>
      <c r="RAB110" s="769"/>
      <c r="RAC110" s="769"/>
      <c r="RAD110" s="769"/>
      <c r="RAE110" s="769"/>
      <c r="RAF110" s="769"/>
      <c r="RAG110" s="769"/>
      <c r="RAH110" s="769"/>
      <c r="RAI110" s="769"/>
      <c r="RAJ110" s="769"/>
      <c r="RAK110" s="769"/>
      <c r="RAL110" s="769"/>
      <c r="RAM110" s="769"/>
      <c r="RAN110" s="769"/>
      <c r="RAO110" s="769"/>
      <c r="RAP110" s="769"/>
      <c r="RAQ110" s="769"/>
      <c r="RAR110" s="769"/>
      <c r="RAS110" s="769"/>
      <c r="RAT110" s="769"/>
      <c r="RAU110" s="769"/>
      <c r="RAV110" s="769"/>
      <c r="RAW110" s="769"/>
      <c r="RAX110" s="769"/>
      <c r="RAY110" s="769"/>
      <c r="RAZ110" s="769"/>
      <c r="RBA110" s="769"/>
      <c r="RBB110" s="769"/>
      <c r="RBC110" s="769"/>
      <c r="RBD110" s="769"/>
      <c r="RBE110" s="769"/>
      <c r="RBF110" s="769"/>
      <c r="RBG110" s="769"/>
      <c r="RBH110" s="769"/>
      <c r="RBI110" s="769"/>
      <c r="RBJ110" s="769"/>
      <c r="RBK110" s="769"/>
      <c r="RBL110" s="769"/>
      <c r="RBM110" s="769"/>
      <c r="RBN110" s="769"/>
      <c r="RBO110" s="769"/>
      <c r="RBP110" s="769"/>
      <c r="RBQ110" s="769"/>
      <c r="RBR110" s="769"/>
      <c r="RBS110" s="769"/>
      <c r="RBT110" s="769"/>
      <c r="RBU110" s="769"/>
      <c r="RBV110" s="769"/>
      <c r="RBW110" s="769"/>
      <c r="RBX110" s="769"/>
      <c r="RBY110" s="769"/>
      <c r="RBZ110" s="769"/>
      <c r="RCA110" s="769"/>
      <c r="RCB110" s="769"/>
      <c r="RCC110" s="769"/>
      <c r="RCD110" s="769"/>
      <c r="RCE110" s="769"/>
      <c r="RCF110" s="769"/>
      <c r="RCG110" s="769"/>
      <c r="RCH110" s="769"/>
      <c r="RCI110" s="769"/>
      <c r="RCJ110" s="769"/>
      <c r="RCK110" s="769"/>
      <c r="RCL110" s="769"/>
      <c r="RCM110" s="769"/>
      <c r="RCN110" s="769"/>
      <c r="RCO110" s="769"/>
      <c r="RCP110" s="769"/>
      <c r="RCQ110" s="769"/>
      <c r="RCR110" s="769"/>
      <c r="RCS110" s="769"/>
      <c r="RCT110" s="769"/>
      <c r="RCU110" s="769"/>
      <c r="RCV110" s="769"/>
      <c r="RCW110" s="769"/>
      <c r="RCX110" s="769"/>
      <c r="RCY110" s="769"/>
      <c r="RCZ110" s="769"/>
      <c r="RDA110" s="769"/>
      <c r="RDB110" s="769"/>
      <c r="RDC110" s="769"/>
      <c r="RDD110" s="769"/>
      <c r="RDE110" s="769"/>
      <c r="RDF110" s="769"/>
      <c r="RDG110" s="769"/>
      <c r="RDH110" s="769"/>
      <c r="RDI110" s="769"/>
      <c r="RDJ110" s="769"/>
      <c r="RDK110" s="769"/>
      <c r="RDL110" s="769"/>
      <c r="RDM110" s="769"/>
      <c r="RDN110" s="769"/>
      <c r="RDO110" s="769"/>
      <c r="RDP110" s="769"/>
      <c r="RDQ110" s="769"/>
      <c r="RDR110" s="769"/>
      <c r="RDS110" s="769"/>
      <c r="RDT110" s="769"/>
      <c r="RDU110" s="769"/>
      <c r="RDV110" s="769"/>
      <c r="RDW110" s="769"/>
      <c r="RDX110" s="769"/>
      <c r="RDY110" s="769"/>
      <c r="RDZ110" s="769"/>
      <c r="REA110" s="769"/>
      <c r="REB110" s="769"/>
      <c r="REC110" s="769"/>
      <c r="RED110" s="769"/>
      <c r="REE110" s="769"/>
      <c r="REF110" s="769"/>
      <c r="REG110" s="769"/>
      <c r="REH110" s="769"/>
      <c r="REI110" s="769"/>
      <c r="REJ110" s="769"/>
      <c r="REK110" s="769"/>
      <c r="REL110" s="769"/>
      <c r="REM110" s="769"/>
      <c r="REN110" s="769"/>
      <c r="REO110" s="769"/>
      <c r="REP110" s="769"/>
      <c r="REQ110" s="769"/>
      <c r="RER110" s="769"/>
      <c r="RES110" s="769"/>
      <c r="RET110" s="769"/>
      <c r="REU110" s="769"/>
      <c r="REV110" s="769"/>
      <c r="REW110" s="769"/>
      <c r="REX110" s="769"/>
      <c r="REY110" s="769"/>
      <c r="REZ110" s="769"/>
      <c r="RFA110" s="769"/>
      <c r="RFB110" s="769"/>
      <c r="RFC110" s="769"/>
      <c r="RFD110" s="769"/>
      <c r="RFE110" s="769"/>
      <c r="RFF110" s="769"/>
      <c r="RFG110" s="769"/>
      <c r="RFH110" s="769"/>
      <c r="RFI110" s="769"/>
      <c r="RFJ110" s="769"/>
      <c r="RFK110" s="769"/>
      <c r="RFL110" s="769"/>
      <c r="RFM110" s="769"/>
      <c r="RFN110" s="769"/>
      <c r="RFO110" s="769"/>
      <c r="RFP110" s="769"/>
      <c r="RFQ110" s="769"/>
      <c r="RFR110" s="769"/>
      <c r="RFS110" s="769"/>
      <c r="RFT110" s="769"/>
      <c r="RFU110" s="769"/>
      <c r="RFV110" s="769"/>
      <c r="RFW110" s="769"/>
      <c r="RFX110" s="769"/>
      <c r="RFY110" s="769"/>
      <c r="RFZ110" s="769"/>
      <c r="RGA110" s="769"/>
      <c r="RGB110" s="769"/>
      <c r="RGC110" s="769"/>
      <c r="RGD110" s="769"/>
      <c r="RGE110" s="769"/>
      <c r="RGF110" s="769"/>
      <c r="RGG110" s="769"/>
      <c r="RGH110" s="769"/>
      <c r="RGI110" s="769"/>
      <c r="RGJ110" s="769"/>
      <c r="RGK110" s="769"/>
      <c r="RGL110" s="769"/>
      <c r="RGM110" s="769"/>
      <c r="RGN110" s="769"/>
      <c r="RGO110" s="769"/>
      <c r="RGP110" s="769"/>
      <c r="RGQ110" s="769"/>
      <c r="RGR110" s="769"/>
      <c r="RGS110" s="769"/>
      <c r="RGT110" s="769"/>
      <c r="RGU110" s="769"/>
      <c r="RGV110" s="769"/>
      <c r="RGW110" s="769"/>
      <c r="RGX110" s="769"/>
      <c r="RGY110" s="769"/>
      <c r="RGZ110" s="769"/>
      <c r="RHA110" s="769"/>
      <c r="RHB110" s="769"/>
      <c r="RHC110" s="769"/>
      <c r="RHD110" s="769"/>
      <c r="RHE110" s="769"/>
      <c r="RHF110" s="769"/>
      <c r="RHG110" s="769"/>
      <c r="RHH110" s="769"/>
      <c r="RHI110" s="769"/>
      <c r="RHJ110" s="769"/>
      <c r="RHK110" s="769"/>
      <c r="RHL110" s="769"/>
      <c r="RHM110" s="769"/>
      <c r="RHN110" s="769"/>
      <c r="RHO110" s="769"/>
      <c r="RHP110" s="769"/>
      <c r="RHQ110" s="769"/>
      <c r="RHR110" s="769"/>
      <c r="RHS110" s="769"/>
      <c r="RHT110" s="769"/>
      <c r="RHU110" s="769"/>
      <c r="RHV110" s="769"/>
      <c r="RHW110" s="769"/>
      <c r="RHX110" s="769"/>
      <c r="RHY110" s="769"/>
      <c r="RHZ110" s="769"/>
      <c r="RIA110" s="769"/>
      <c r="RIB110" s="769"/>
      <c r="RIC110" s="769"/>
      <c r="RID110" s="769"/>
      <c r="RIE110" s="769"/>
      <c r="RIF110" s="769"/>
      <c r="RIG110" s="769"/>
      <c r="RIH110" s="769"/>
      <c r="RII110" s="769"/>
      <c r="RIJ110" s="769"/>
      <c r="RIK110" s="769"/>
      <c r="RIL110" s="769"/>
      <c r="RIM110" s="769"/>
      <c r="RIN110" s="769"/>
      <c r="RIO110" s="769"/>
      <c r="RIP110" s="769"/>
      <c r="RIQ110" s="769"/>
      <c r="RIR110" s="769"/>
      <c r="RIS110" s="769"/>
      <c r="RIT110" s="769"/>
      <c r="RIU110" s="769"/>
      <c r="RIV110" s="769"/>
      <c r="RIW110" s="769"/>
      <c r="RIX110" s="769"/>
      <c r="RIY110" s="769"/>
      <c r="RIZ110" s="769"/>
      <c r="RJA110" s="769"/>
      <c r="RJB110" s="769"/>
      <c r="RJC110" s="769"/>
      <c r="RJD110" s="769"/>
      <c r="RJE110" s="769"/>
      <c r="RJF110" s="769"/>
      <c r="RJG110" s="769"/>
      <c r="RJH110" s="769"/>
      <c r="RJI110" s="769"/>
      <c r="RJJ110" s="769"/>
      <c r="RJK110" s="769"/>
      <c r="RJL110" s="769"/>
      <c r="RJM110" s="769"/>
      <c r="RJN110" s="769"/>
      <c r="RJO110" s="769"/>
      <c r="RJP110" s="769"/>
      <c r="RJQ110" s="769"/>
      <c r="RJR110" s="769"/>
      <c r="RJS110" s="769"/>
      <c r="RJT110" s="769"/>
      <c r="RJU110" s="769"/>
      <c r="RJV110" s="769"/>
      <c r="RJW110" s="769"/>
      <c r="RJX110" s="769"/>
      <c r="RJY110" s="769"/>
      <c r="RJZ110" s="769"/>
      <c r="RKA110" s="769"/>
      <c r="RKB110" s="769"/>
      <c r="RKC110" s="769"/>
      <c r="RKD110" s="769"/>
      <c r="RKE110" s="769"/>
      <c r="RKF110" s="769"/>
      <c r="RKG110" s="769"/>
      <c r="RKH110" s="769"/>
      <c r="RKI110" s="769"/>
      <c r="RKJ110" s="769"/>
      <c r="RKK110" s="769"/>
      <c r="RKL110" s="769"/>
      <c r="RKM110" s="769"/>
      <c r="RKN110" s="769"/>
      <c r="RKO110" s="769"/>
      <c r="RKP110" s="769"/>
      <c r="RKQ110" s="769"/>
      <c r="RKR110" s="769"/>
      <c r="RKS110" s="769"/>
      <c r="RKT110" s="769"/>
      <c r="RKU110" s="769"/>
      <c r="RKV110" s="769"/>
      <c r="RKW110" s="769"/>
      <c r="RKX110" s="769"/>
      <c r="RKY110" s="769"/>
      <c r="RKZ110" s="769"/>
      <c r="RLA110" s="769"/>
      <c r="RLB110" s="769"/>
      <c r="RLC110" s="769"/>
      <c r="RLD110" s="769"/>
      <c r="RLE110" s="769"/>
      <c r="RLF110" s="769"/>
      <c r="RLG110" s="769"/>
      <c r="RLH110" s="769"/>
      <c r="RLI110" s="769"/>
      <c r="RLJ110" s="769"/>
      <c r="RLK110" s="769"/>
      <c r="RLL110" s="769"/>
      <c r="RLM110" s="769"/>
      <c r="RLN110" s="769"/>
      <c r="RLO110" s="769"/>
      <c r="RLP110" s="769"/>
      <c r="RLQ110" s="769"/>
      <c r="RLR110" s="769"/>
      <c r="RLS110" s="769"/>
      <c r="RLT110" s="769"/>
      <c r="RLU110" s="769"/>
      <c r="RLV110" s="769"/>
      <c r="RLW110" s="769"/>
      <c r="RLX110" s="769"/>
      <c r="RLY110" s="769"/>
      <c r="RLZ110" s="769"/>
      <c r="RMA110" s="769"/>
      <c r="RMB110" s="769"/>
      <c r="RMC110" s="769"/>
      <c r="RMD110" s="769"/>
      <c r="RME110" s="769"/>
      <c r="RMF110" s="769"/>
      <c r="RMG110" s="769"/>
      <c r="RMH110" s="769"/>
      <c r="RMI110" s="769"/>
      <c r="RMJ110" s="769"/>
      <c r="RMK110" s="769"/>
      <c r="RML110" s="769"/>
      <c r="RMM110" s="769"/>
      <c r="RMN110" s="769"/>
      <c r="RMO110" s="769"/>
      <c r="RMP110" s="769"/>
      <c r="RMQ110" s="769"/>
      <c r="RMR110" s="769"/>
      <c r="RMS110" s="769"/>
      <c r="RMT110" s="769"/>
      <c r="RMU110" s="769"/>
      <c r="RMV110" s="769"/>
      <c r="RMW110" s="769"/>
      <c r="RMX110" s="769"/>
      <c r="RMY110" s="769"/>
      <c r="RMZ110" s="769"/>
      <c r="RNA110" s="769"/>
      <c r="RNB110" s="769"/>
      <c r="RNC110" s="769"/>
      <c r="RND110" s="769"/>
      <c r="RNE110" s="769"/>
      <c r="RNF110" s="769"/>
      <c r="RNG110" s="769"/>
      <c r="RNH110" s="769"/>
      <c r="RNI110" s="769"/>
      <c r="RNJ110" s="769"/>
      <c r="RNK110" s="769"/>
      <c r="RNL110" s="769"/>
      <c r="RNM110" s="769"/>
      <c r="RNN110" s="769"/>
      <c r="RNO110" s="769"/>
      <c r="RNP110" s="769"/>
      <c r="RNQ110" s="769"/>
      <c r="RNR110" s="769"/>
      <c r="RNS110" s="769"/>
      <c r="RNT110" s="769"/>
      <c r="RNU110" s="769"/>
      <c r="RNV110" s="769"/>
      <c r="RNW110" s="769"/>
      <c r="RNX110" s="769"/>
      <c r="RNY110" s="769"/>
      <c r="RNZ110" s="769"/>
      <c r="ROA110" s="769"/>
      <c r="ROB110" s="769"/>
      <c r="ROC110" s="769"/>
      <c r="ROD110" s="769"/>
      <c r="ROE110" s="769"/>
      <c r="ROF110" s="769"/>
      <c r="ROG110" s="769"/>
      <c r="ROH110" s="769"/>
      <c r="ROI110" s="769"/>
      <c r="ROJ110" s="769"/>
      <c r="ROK110" s="769"/>
      <c r="ROL110" s="769"/>
      <c r="ROM110" s="769"/>
      <c r="RON110" s="769"/>
      <c r="ROO110" s="769"/>
      <c r="ROP110" s="769"/>
      <c r="ROQ110" s="769"/>
      <c r="ROR110" s="769"/>
      <c r="ROS110" s="769"/>
      <c r="ROT110" s="769"/>
      <c r="ROU110" s="769"/>
      <c r="ROV110" s="769"/>
      <c r="ROW110" s="769"/>
      <c r="ROX110" s="769"/>
      <c r="ROY110" s="769"/>
      <c r="ROZ110" s="769"/>
      <c r="RPA110" s="769"/>
      <c r="RPB110" s="769"/>
      <c r="RPC110" s="769"/>
      <c r="RPD110" s="769"/>
      <c r="RPE110" s="769"/>
      <c r="RPF110" s="769"/>
      <c r="RPG110" s="769"/>
      <c r="RPH110" s="769"/>
      <c r="RPI110" s="769"/>
      <c r="RPJ110" s="769"/>
      <c r="RPK110" s="769"/>
      <c r="RPL110" s="769"/>
      <c r="RPM110" s="769"/>
      <c r="RPN110" s="769"/>
      <c r="RPO110" s="769"/>
      <c r="RPP110" s="769"/>
      <c r="RPQ110" s="769"/>
      <c r="RPR110" s="769"/>
      <c r="RPS110" s="769"/>
      <c r="RPT110" s="769"/>
      <c r="RPU110" s="769"/>
      <c r="RPV110" s="769"/>
      <c r="RPW110" s="769"/>
      <c r="RPX110" s="769"/>
      <c r="RPY110" s="769"/>
      <c r="RPZ110" s="769"/>
      <c r="RQA110" s="769"/>
      <c r="RQB110" s="769"/>
      <c r="RQC110" s="769"/>
      <c r="RQD110" s="769"/>
      <c r="RQE110" s="769"/>
      <c r="RQF110" s="769"/>
      <c r="RQG110" s="769"/>
      <c r="RQH110" s="769"/>
      <c r="RQI110" s="769"/>
      <c r="RQJ110" s="769"/>
      <c r="RQK110" s="769"/>
      <c r="RQL110" s="769"/>
      <c r="RQM110" s="769"/>
      <c r="RQN110" s="769"/>
      <c r="RQO110" s="769"/>
      <c r="RQP110" s="769"/>
      <c r="RQQ110" s="769"/>
      <c r="RQR110" s="769"/>
      <c r="RQS110" s="769"/>
      <c r="RQT110" s="769"/>
      <c r="RQU110" s="769"/>
      <c r="RQV110" s="769"/>
      <c r="RQW110" s="769"/>
      <c r="RQX110" s="769"/>
      <c r="RQY110" s="769"/>
      <c r="RQZ110" s="769"/>
      <c r="RRA110" s="769"/>
      <c r="RRB110" s="769"/>
      <c r="RRC110" s="769"/>
      <c r="RRD110" s="769"/>
      <c r="RRE110" s="769"/>
      <c r="RRF110" s="769"/>
      <c r="RRG110" s="769"/>
      <c r="RRH110" s="769"/>
      <c r="RRI110" s="769"/>
      <c r="RRJ110" s="769"/>
      <c r="RRK110" s="769"/>
      <c r="RRL110" s="769"/>
      <c r="RRM110" s="769"/>
      <c r="RRN110" s="769"/>
      <c r="RRO110" s="769"/>
      <c r="RRP110" s="769"/>
      <c r="RRQ110" s="769"/>
      <c r="RRR110" s="769"/>
      <c r="RRS110" s="769"/>
      <c r="RRT110" s="769"/>
      <c r="RRU110" s="769"/>
      <c r="RRV110" s="769"/>
      <c r="RRW110" s="769"/>
      <c r="RRX110" s="769"/>
      <c r="RRY110" s="769"/>
      <c r="RRZ110" s="769"/>
      <c r="RSA110" s="769"/>
      <c r="RSB110" s="769"/>
      <c r="RSC110" s="769"/>
      <c r="RSD110" s="769"/>
      <c r="RSE110" s="769"/>
      <c r="RSF110" s="769"/>
      <c r="RSG110" s="769"/>
      <c r="RSH110" s="769"/>
      <c r="RSI110" s="769"/>
      <c r="RSJ110" s="769"/>
      <c r="RSK110" s="769"/>
      <c r="RSL110" s="769"/>
      <c r="RSM110" s="769"/>
      <c r="RSN110" s="769"/>
      <c r="RSO110" s="769"/>
      <c r="RSP110" s="769"/>
      <c r="RSQ110" s="769"/>
      <c r="RSR110" s="769"/>
      <c r="RSS110" s="769"/>
      <c r="RST110" s="769"/>
      <c r="RSU110" s="769"/>
      <c r="RSV110" s="769"/>
      <c r="RSW110" s="769"/>
      <c r="RSX110" s="769"/>
      <c r="RSY110" s="769"/>
      <c r="RSZ110" s="769"/>
      <c r="RTA110" s="769"/>
      <c r="RTB110" s="769"/>
      <c r="RTC110" s="769"/>
      <c r="RTD110" s="769"/>
      <c r="RTE110" s="769"/>
      <c r="RTF110" s="769"/>
      <c r="RTG110" s="769"/>
      <c r="RTH110" s="769"/>
      <c r="RTI110" s="769"/>
      <c r="RTJ110" s="769"/>
      <c r="RTK110" s="769"/>
      <c r="RTL110" s="769"/>
      <c r="RTM110" s="769"/>
      <c r="RTN110" s="769"/>
      <c r="RTO110" s="769"/>
      <c r="RTP110" s="769"/>
      <c r="RTQ110" s="769"/>
      <c r="RTR110" s="769"/>
      <c r="RTS110" s="769"/>
      <c r="RTT110" s="769"/>
      <c r="RTU110" s="769"/>
      <c r="RTV110" s="769"/>
      <c r="RTW110" s="769"/>
      <c r="RTX110" s="769"/>
      <c r="RTY110" s="769"/>
      <c r="RTZ110" s="769"/>
      <c r="RUA110" s="769"/>
      <c r="RUB110" s="769"/>
      <c r="RUC110" s="769"/>
      <c r="RUD110" s="769"/>
      <c r="RUE110" s="769"/>
      <c r="RUF110" s="769"/>
      <c r="RUG110" s="769"/>
      <c r="RUH110" s="769"/>
      <c r="RUI110" s="769"/>
      <c r="RUJ110" s="769"/>
      <c r="RUK110" s="769"/>
      <c r="RUL110" s="769"/>
      <c r="RUM110" s="769"/>
      <c r="RUN110" s="769"/>
      <c r="RUO110" s="769"/>
      <c r="RUP110" s="769"/>
      <c r="RUQ110" s="769"/>
      <c r="RUR110" s="769"/>
      <c r="RUS110" s="769"/>
      <c r="RUT110" s="769"/>
      <c r="RUU110" s="769"/>
      <c r="RUV110" s="769"/>
      <c r="RUW110" s="769"/>
      <c r="RUX110" s="769"/>
      <c r="RUY110" s="769"/>
      <c r="RUZ110" s="769"/>
      <c r="RVA110" s="769"/>
      <c r="RVB110" s="769"/>
      <c r="RVC110" s="769"/>
      <c r="RVD110" s="769"/>
      <c r="RVE110" s="769"/>
      <c r="RVF110" s="769"/>
      <c r="RVG110" s="769"/>
      <c r="RVH110" s="769"/>
      <c r="RVI110" s="769"/>
      <c r="RVJ110" s="769"/>
      <c r="RVK110" s="769"/>
      <c r="RVL110" s="769"/>
      <c r="RVM110" s="769"/>
      <c r="RVN110" s="769"/>
      <c r="RVO110" s="769"/>
      <c r="RVP110" s="769"/>
      <c r="RVQ110" s="769"/>
      <c r="RVR110" s="769"/>
      <c r="RVS110" s="769"/>
      <c r="RVT110" s="769"/>
      <c r="RVU110" s="769"/>
      <c r="RVV110" s="769"/>
      <c r="RVW110" s="769"/>
      <c r="RVX110" s="769"/>
      <c r="RVY110" s="769"/>
      <c r="RVZ110" s="769"/>
      <c r="RWA110" s="769"/>
      <c r="RWB110" s="769"/>
      <c r="RWC110" s="769"/>
      <c r="RWD110" s="769"/>
      <c r="RWE110" s="769"/>
      <c r="RWF110" s="769"/>
      <c r="RWG110" s="769"/>
      <c r="RWH110" s="769"/>
      <c r="RWI110" s="769"/>
      <c r="RWJ110" s="769"/>
      <c r="RWK110" s="769"/>
      <c r="RWL110" s="769"/>
      <c r="RWM110" s="769"/>
      <c r="RWN110" s="769"/>
      <c r="RWO110" s="769"/>
      <c r="RWP110" s="769"/>
      <c r="RWQ110" s="769"/>
      <c r="RWR110" s="769"/>
      <c r="RWS110" s="769"/>
      <c r="RWT110" s="769"/>
      <c r="RWU110" s="769"/>
      <c r="RWV110" s="769"/>
      <c r="RWW110" s="769"/>
      <c r="RWX110" s="769"/>
      <c r="RWY110" s="769"/>
      <c r="RWZ110" s="769"/>
      <c r="RXA110" s="769"/>
      <c r="RXB110" s="769"/>
      <c r="RXC110" s="769"/>
      <c r="RXD110" s="769"/>
      <c r="RXE110" s="769"/>
      <c r="RXF110" s="769"/>
      <c r="RXG110" s="769"/>
      <c r="RXH110" s="769"/>
      <c r="RXI110" s="769"/>
      <c r="RXJ110" s="769"/>
      <c r="RXK110" s="769"/>
      <c r="RXL110" s="769"/>
      <c r="RXM110" s="769"/>
      <c r="RXN110" s="769"/>
      <c r="RXO110" s="769"/>
      <c r="RXP110" s="769"/>
      <c r="RXQ110" s="769"/>
      <c r="RXR110" s="769"/>
      <c r="RXS110" s="769"/>
      <c r="RXT110" s="769"/>
      <c r="RXU110" s="769"/>
      <c r="RXV110" s="769"/>
      <c r="RXW110" s="769"/>
      <c r="RXX110" s="769"/>
      <c r="RXY110" s="769"/>
      <c r="RXZ110" s="769"/>
      <c r="RYA110" s="769"/>
      <c r="RYB110" s="769"/>
      <c r="RYC110" s="769"/>
      <c r="RYD110" s="769"/>
      <c r="RYE110" s="769"/>
      <c r="RYF110" s="769"/>
      <c r="RYG110" s="769"/>
      <c r="RYH110" s="769"/>
      <c r="RYI110" s="769"/>
      <c r="RYJ110" s="769"/>
      <c r="RYK110" s="769"/>
      <c r="RYL110" s="769"/>
      <c r="RYM110" s="769"/>
      <c r="RYN110" s="769"/>
      <c r="RYO110" s="769"/>
      <c r="RYP110" s="769"/>
      <c r="RYQ110" s="769"/>
      <c r="RYR110" s="769"/>
      <c r="RYS110" s="769"/>
      <c r="RYT110" s="769"/>
      <c r="RYU110" s="769"/>
      <c r="RYV110" s="769"/>
      <c r="RYW110" s="769"/>
      <c r="RYX110" s="769"/>
      <c r="RYY110" s="769"/>
      <c r="RYZ110" s="769"/>
      <c r="RZA110" s="769"/>
      <c r="RZB110" s="769"/>
      <c r="RZC110" s="769"/>
      <c r="RZD110" s="769"/>
      <c r="RZE110" s="769"/>
      <c r="RZF110" s="769"/>
      <c r="RZG110" s="769"/>
      <c r="RZH110" s="769"/>
      <c r="RZI110" s="769"/>
      <c r="RZJ110" s="769"/>
      <c r="RZK110" s="769"/>
      <c r="RZL110" s="769"/>
      <c r="RZM110" s="769"/>
      <c r="RZN110" s="769"/>
      <c r="RZO110" s="769"/>
      <c r="RZP110" s="769"/>
      <c r="RZQ110" s="769"/>
      <c r="RZR110" s="769"/>
      <c r="RZS110" s="769"/>
      <c r="RZT110" s="769"/>
      <c r="RZU110" s="769"/>
      <c r="RZV110" s="769"/>
      <c r="RZW110" s="769"/>
      <c r="RZX110" s="769"/>
      <c r="RZY110" s="769"/>
      <c r="RZZ110" s="769"/>
      <c r="SAA110" s="769"/>
      <c r="SAB110" s="769"/>
      <c r="SAC110" s="769"/>
      <c r="SAD110" s="769"/>
      <c r="SAE110" s="769"/>
      <c r="SAF110" s="769"/>
      <c r="SAG110" s="769"/>
      <c r="SAH110" s="769"/>
      <c r="SAI110" s="769"/>
      <c r="SAJ110" s="769"/>
      <c r="SAK110" s="769"/>
      <c r="SAL110" s="769"/>
      <c r="SAM110" s="769"/>
      <c r="SAN110" s="769"/>
      <c r="SAO110" s="769"/>
      <c r="SAP110" s="769"/>
      <c r="SAQ110" s="769"/>
      <c r="SAR110" s="769"/>
      <c r="SAS110" s="769"/>
      <c r="SAT110" s="769"/>
      <c r="SAU110" s="769"/>
      <c r="SAV110" s="769"/>
      <c r="SAW110" s="769"/>
      <c r="SAX110" s="769"/>
      <c r="SAY110" s="769"/>
      <c r="SAZ110" s="769"/>
      <c r="SBA110" s="769"/>
      <c r="SBB110" s="769"/>
      <c r="SBC110" s="769"/>
      <c r="SBD110" s="769"/>
      <c r="SBE110" s="769"/>
      <c r="SBF110" s="769"/>
      <c r="SBG110" s="769"/>
      <c r="SBH110" s="769"/>
      <c r="SBI110" s="769"/>
      <c r="SBJ110" s="769"/>
      <c r="SBK110" s="769"/>
      <c r="SBL110" s="769"/>
      <c r="SBM110" s="769"/>
      <c r="SBN110" s="769"/>
      <c r="SBO110" s="769"/>
      <c r="SBP110" s="769"/>
      <c r="SBQ110" s="769"/>
      <c r="SBR110" s="769"/>
      <c r="SBS110" s="769"/>
      <c r="SBT110" s="769"/>
      <c r="SBU110" s="769"/>
      <c r="SBV110" s="769"/>
      <c r="SBW110" s="769"/>
      <c r="SBX110" s="769"/>
      <c r="SBY110" s="769"/>
      <c r="SBZ110" s="769"/>
      <c r="SCA110" s="769"/>
      <c r="SCB110" s="769"/>
      <c r="SCC110" s="769"/>
      <c r="SCD110" s="769"/>
      <c r="SCE110" s="769"/>
      <c r="SCF110" s="769"/>
      <c r="SCG110" s="769"/>
      <c r="SCH110" s="769"/>
      <c r="SCI110" s="769"/>
      <c r="SCJ110" s="769"/>
      <c r="SCK110" s="769"/>
      <c r="SCL110" s="769"/>
      <c r="SCM110" s="769"/>
      <c r="SCN110" s="769"/>
      <c r="SCO110" s="769"/>
      <c r="SCP110" s="769"/>
      <c r="SCQ110" s="769"/>
      <c r="SCR110" s="769"/>
      <c r="SCS110" s="769"/>
      <c r="SCT110" s="769"/>
      <c r="SCU110" s="769"/>
      <c r="SCV110" s="769"/>
      <c r="SCW110" s="769"/>
      <c r="SCX110" s="769"/>
      <c r="SCY110" s="769"/>
      <c r="SCZ110" s="769"/>
      <c r="SDA110" s="769"/>
      <c r="SDB110" s="769"/>
      <c r="SDC110" s="769"/>
      <c r="SDD110" s="769"/>
      <c r="SDE110" s="769"/>
      <c r="SDF110" s="769"/>
      <c r="SDG110" s="769"/>
      <c r="SDH110" s="769"/>
      <c r="SDI110" s="769"/>
      <c r="SDJ110" s="769"/>
      <c r="SDK110" s="769"/>
      <c r="SDL110" s="769"/>
      <c r="SDM110" s="769"/>
      <c r="SDN110" s="769"/>
      <c r="SDO110" s="769"/>
      <c r="SDP110" s="769"/>
      <c r="SDQ110" s="769"/>
      <c r="SDR110" s="769"/>
      <c r="SDS110" s="769"/>
      <c r="SDT110" s="769"/>
      <c r="SDU110" s="769"/>
      <c r="SDV110" s="769"/>
      <c r="SDW110" s="769"/>
      <c r="SDX110" s="769"/>
      <c r="SDY110" s="769"/>
      <c r="SDZ110" s="769"/>
      <c r="SEA110" s="769"/>
      <c r="SEB110" s="769"/>
      <c r="SEC110" s="769"/>
      <c r="SED110" s="769"/>
      <c r="SEE110" s="769"/>
      <c r="SEF110" s="769"/>
      <c r="SEG110" s="769"/>
      <c r="SEH110" s="769"/>
      <c r="SEI110" s="769"/>
      <c r="SEJ110" s="769"/>
      <c r="SEK110" s="769"/>
      <c r="SEL110" s="769"/>
      <c r="SEM110" s="769"/>
      <c r="SEN110" s="769"/>
      <c r="SEO110" s="769"/>
      <c r="SEP110" s="769"/>
      <c r="SEQ110" s="769"/>
      <c r="SER110" s="769"/>
      <c r="SES110" s="769"/>
      <c r="SET110" s="769"/>
      <c r="SEU110" s="769"/>
      <c r="SEV110" s="769"/>
      <c r="SEW110" s="769"/>
      <c r="SEX110" s="769"/>
      <c r="SEY110" s="769"/>
      <c r="SEZ110" s="769"/>
      <c r="SFA110" s="769"/>
      <c r="SFB110" s="769"/>
      <c r="SFC110" s="769"/>
      <c r="SFD110" s="769"/>
      <c r="SFE110" s="769"/>
      <c r="SFF110" s="769"/>
      <c r="SFG110" s="769"/>
      <c r="SFH110" s="769"/>
      <c r="SFI110" s="769"/>
      <c r="SFJ110" s="769"/>
      <c r="SFK110" s="769"/>
      <c r="SFL110" s="769"/>
      <c r="SFM110" s="769"/>
      <c r="SFN110" s="769"/>
      <c r="SFO110" s="769"/>
      <c r="SFP110" s="769"/>
      <c r="SFQ110" s="769"/>
      <c r="SFR110" s="769"/>
      <c r="SFS110" s="769"/>
      <c r="SFT110" s="769"/>
      <c r="SFU110" s="769"/>
      <c r="SFV110" s="769"/>
      <c r="SFW110" s="769"/>
      <c r="SFX110" s="769"/>
      <c r="SFY110" s="769"/>
      <c r="SFZ110" s="769"/>
      <c r="SGA110" s="769"/>
      <c r="SGB110" s="769"/>
      <c r="SGC110" s="769"/>
      <c r="SGD110" s="769"/>
      <c r="SGE110" s="769"/>
      <c r="SGF110" s="769"/>
      <c r="SGG110" s="769"/>
      <c r="SGH110" s="769"/>
      <c r="SGI110" s="769"/>
      <c r="SGJ110" s="769"/>
      <c r="SGK110" s="769"/>
      <c r="SGL110" s="769"/>
      <c r="SGM110" s="769"/>
      <c r="SGN110" s="769"/>
      <c r="SGO110" s="769"/>
      <c r="SGP110" s="769"/>
      <c r="SGQ110" s="769"/>
      <c r="SGR110" s="769"/>
      <c r="SGS110" s="769"/>
      <c r="SGT110" s="769"/>
      <c r="SGU110" s="769"/>
      <c r="SGV110" s="769"/>
      <c r="SGW110" s="769"/>
      <c r="SGX110" s="769"/>
      <c r="SGY110" s="769"/>
      <c r="SGZ110" s="769"/>
      <c r="SHA110" s="769"/>
      <c r="SHB110" s="769"/>
      <c r="SHC110" s="769"/>
      <c r="SHD110" s="769"/>
      <c r="SHE110" s="769"/>
      <c r="SHF110" s="769"/>
      <c r="SHG110" s="769"/>
      <c r="SHH110" s="769"/>
      <c r="SHI110" s="769"/>
      <c r="SHJ110" s="769"/>
      <c r="SHK110" s="769"/>
      <c r="SHL110" s="769"/>
      <c r="SHM110" s="769"/>
      <c r="SHN110" s="769"/>
      <c r="SHO110" s="769"/>
      <c r="SHP110" s="769"/>
      <c r="SHQ110" s="769"/>
      <c r="SHR110" s="769"/>
      <c r="SHS110" s="769"/>
      <c r="SHT110" s="769"/>
      <c r="SHU110" s="769"/>
      <c r="SHV110" s="769"/>
      <c r="SHW110" s="769"/>
      <c r="SHX110" s="769"/>
      <c r="SHY110" s="769"/>
      <c r="SHZ110" s="769"/>
      <c r="SIA110" s="769"/>
      <c r="SIB110" s="769"/>
      <c r="SIC110" s="769"/>
      <c r="SID110" s="769"/>
      <c r="SIE110" s="769"/>
      <c r="SIF110" s="769"/>
      <c r="SIG110" s="769"/>
      <c r="SIH110" s="769"/>
      <c r="SII110" s="769"/>
      <c r="SIJ110" s="769"/>
      <c r="SIK110" s="769"/>
      <c r="SIL110" s="769"/>
      <c r="SIM110" s="769"/>
      <c r="SIN110" s="769"/>
      <c r="SIO110" s="769"/>
      <c r="SIP110" s="769"/>
      <c r="SIQ110" s="769"/>
      <c r="SIR110" s="769"/>
      <c r="SIS110" s="769"/>
      <c r="SIT110" s="769"/>
      <c r="SIU110" s="769"/>
      <c r="SIV110" s="769"/>
      <c r="SIW110" s="769"/>
      <c r="SIX110" s="769"/>
      <c r="SIY110" s="769"/>
      <c r="SIZ110" s="769"/>
      <c r="SJA110" s="769"/>
      <c r="SJB110" s="769"/>
      <c r="SJC110" s="769"/>
      <c r="SJD110" s="769"/>
      <c r="SJE110" s="769"/>
      <c r="SJF110" s="769"/>
      <c r="SJG110" s="769"/>
      <c r="SJH110" s="769"/>
      <c r="SJI110" s="769"/>
      <c r="SJJ110" s="769"/>
      <c r="SJK110" s="769"/>
      <c r="SJL110" s="769"/>
      <c r="SJM110" s="769"/>
      <c r="SJN110" s="769"/>
      <c r="SJO110" s="769"/>
      <c r="SJP110" s="769"/>
      <c r="SJQ110" s="769"/>
      <c r="SJR110" s="769"/>
      <c r="SJS110" s="769"/>
      <c r="SJT110" s="769"/>
      <c r="SJU110" s="769"/>
      <c r="SJV110" s="769"/>
      <c r="SJW110" s="769"/>
      <c r="SJX110" s="769"/>
      <c r="SJY110" s="769"/>
      <c r="SJZ110" s="769"/>
      <c r="SKA110" s="769"/>
      <c r="SKB110" s="769"/>
      <c r="SKC110" s="769"/>
      <c r="SKD110" s="769"/>
      <c r="SKE110" s="769"/>
      <c r="SKF110" s="769"/>
      <c r="SKG110" s="769"/>
      <c r="SKH110" s="769"/>
      <c r="SKI110" s="769"/>
      <c r="SKJ110" s="769"/>
      <c r="SKK110" s="769"/>
      <c r="SKL110" s="769"/>
      <c r="SKM110" s="769"/>
      <c r="SKN110" s="769"/>
      <c r="SKO110" s="769"/>
      <c r="SKP110" s="769"/>
      <c r="SKQ110" s="769"/>
      <c r="SKR110" s="769"/>
      <c r="SKS110" s="769"/>
      <c r="SKT110" s="769"/>
      <c r="SKU110" s="769"/>
      <c r="SKV110" s="769"/>
      <c r="SKW110" s="769"/>
      <c r="SKX110" s="769"/>
      <c r="SKY110" s="769"/>
      <c r="SKZ110" s="769"/>
      <c r="SLA110" s="769"/>
      <c r="SLB110" s="769"/>
      <c r="SLC110" s="769"/>
      <c r="SLD110" s="769"/>
      <c r="SLE110" s="769"/>
      <c r="SLF110" s="769"/>
      <c r="SLG110" s="769"/>
      <c r="SLH110" s="769"/>
      <c r="SLI110" s="769"/>
      <c r="SLJ110" s="769"/>
      <c r="SLK110" s="769"/>
      <c r="SLL110" s="769"/>
      <c r="SLM110" s="769"/>
      <c r="SLN110" s="769"/>
      <c r="SLO110" s="769"/>
      <c r="SLP110" s="769"/>
      <c r="SLQ110" s="769"/>
      <c r="SLR110" s="769"/>
      <c r="SLS110" s="769"/>
      <c r="SLT110" s="769"/>
      <c r="SLU110" s="769"/>
      <c r="SLV110" s="769"/>
      <c r="SLW110" s="769"/>
      <c r="SLX110" s="769"/>
      <c r="SLY110" s="769"/>
      <c r="SLZ110" s="769"/>
      <c r="SMA110" s="769"/>
      <c r="SMB110" s="769"/>
      <c r="SMC110" s="769"/>
      <c r="SMD110" s="769"/>
      <c r="SME110" s="769"/>
      <c r="SMF110" s="769"/>
      <c r="SMG110" s="769"/>
      <c r="SMH110" s="769"/>
      <c r="SMI110" s="769"/>
      <c r="SMJ110" s="769"/>
      <c r="SMK110" s="769"/>
      <c r="SML110" s="769"/>
      <c r="SMM110" s="769"/>
      <c r="SMN110" s="769"/>
      <c r="SMO110" s="769"/>
      <c r="SMP110" s="769"/>
      <c r="SMQ110" s="769"/>
      <c r="SMR110" s="769"/>
      <c r="SMS110" s="769"/>
      <c r="SMT110" s="769"/>
      <c r="SMU110" s="769"/>
      <c r="SMV110" s="769"/>
      <c r="SMW110" s="769"/>
      <c r="SMX110" s="769"/>
      <c r="SMY110" s="769"/>
      <c r="SMZ110" s="769"/>
      <c r="SNA110" s="769"/>
      <c r="SNB110" s="769"/>
      <c r="SNC110" s="769"/>
      <c r="SND110" s="769"/>
      <c r="SNE110" s="769"/>
      <c r="SNF110" s="769"/>
      <c r="SNG110" s="769"/>
      <c r="SNH110" s="769"/>
      <c r="SNI110" s="769"/>
      <c r="SNJ110" s="769"/>
      <c r="SNK110" s="769"/>
      <c r="SNL110" s="769"/>
      <c r="SNM110" s="769"/>
      <c r="SNN110" s="769"/>
      <c r="SNO110" s="769"/>
      <c r="SNP110" s="769"/>
      <c r="SNQ110" s="769"/>
      <c r="SNR110" s="769"/>
      <c r="SNS110" s="769"/>
      <c r="SNT110" s="769"/>
      <c r="SNU110" s="769"/>
      <c r="SNV110" s="769"/>
      <c r="SNW110" s="769"/>
      <c r="SNX110" s="769"/>
      <c r="SNY110" s="769"/>
      <c r="SNZ110" s="769"/>
      <c r="SOA110" s="769"/>
      <c r="SOB110" s="769"/>
      <c r="SOC110" s="769"/>
      <c r="SOD110" s="769"/>
      <c r="SOE110" s="769"/>
      <c r="SOF110" s="769"/>
      <c r="SOG110" s="769"/>
      <c r="SOH110" s="769"/>
      <c r="SOI110" s="769"/>
      <c r="SOJ110" s="769"/>
      <c r="SOK110" s="769"/>
      <c r="SOL110" s="769"/>
      <c r="SOM110" s="769"/>
      <c r="SON110" s="769"/>
      <c r="SOO110" s="769"/>
      <c r="SOP110" s="769"/>
      <c r="SOQ110" s="769"/>
      <c r="SOR110" s="769"/>
      <c r="SOS110" s="769"/>
      <c r="SOT110" s="769"/>
      <c r="SOU110" s="769"/>
      <c r="SOV110" s="769"/>
      <c r="SOW110" s="769"/>
      <c r="SOX110" s="769"/>
      <c r="SOY110" s="769"/>
      <c r="SOZ110" s="769"/>
      <c r="SPA110" s="769"/>
      <c r="SPB110" s="769"/>
      <c r="SPC110" s="769"/>
      <c r="SPD110" s="769"/>
      <c r="SPE110" s="769"/>
      <c r="SPF110" s="769"/>
      <c r="SPG110" s="769"/>
      <c r="SPH110" s="769"/>
      <c r="SPI110" s="769"/>
      <c r="SPJ110" s="769"/>
      <c r="SPK110" s="769"/>
      <c r="SPL110" s="769"/>
      <c r="SPM110" s="769"/>
      <c r="SPN110" s="769"/>
      <c r="SPO110" s="769"/>
      <c r="SPP110" s="769"/>
      <c r="SPQ110" s="769"/>
      <c r="SPR110" s="769"/>
      <c r="SPS110" s="769"/>
      <c r="SPT110" s="769"/>
      <c r="SPU110" s="769"/>
      <c r="SPV110" s="769"/>
      <c r="SPW110" s="769"/>
      <c r="SPX110" s="769"/>
      <c r="SPY110" s="769"/>
      <c r="SPZ110" s="769"/>
      <c r="SQA110" s="769"/>
      <c r="SQB110" s="769"/>
      <c r="SQC110" s="769"/>
      <c r="SQD110" s="769"/>
      <c r="SQE110" s="769"/>
      <c r="SQF110" s="769"/>
      <c r="SQG110" s="769"/>
      <c r="SQH110" s="769"/>
      <c r="SQI110" s="769"/>
      <c r="SQJ110" s="769"/>
      <c r="SQK110" s="769"/>
      <c r="SQL110" s="769"/>
      <c r="SQM110" s="769"/>
      <c r="SQN110" s="769"/>
      <c r="SQO110" s="769"/>
      <c r="SQP110" s="769"/>
      <c r="SQQ110" s="769"/>
      <c r="SQR110" s="769"/>
      <c r="SQS110" s="769"/>
      <c r="SQT110" s="769"/>
      <c r="SQU110" s="769"/>
      <c r="SQV110" s="769"/>
      <c r="SQW110" s="769"/>
      <c r="SQX110" s="769"/>
      <c r="SQY110" s="769"/>
      <c r="SQZ110" s="769"/>
      <c r="SRA110" s="769"/>
      <c r="SRB110" s="769"/>
      <c r="SRC110" s="769"/>
      <c r="SRD110" s="769"/>
      <c r="SRE110" s="769"/>
      <c r="SRF110" s="769"/>
      <c r="SRG110" s="769"/>
      <c r="SRH110" s="769"/>
      <c r="SRI110" s="769"/>
      <c r="SRJ110" s="769"/>
      <c r="SRK110" s="769"/>
      <c r="SRL110" s="769"/>
      <c r="SRM110" s="769"/>
      <c r="SRN110" s="769"/>
      <c r="SRO110" s="769"/>
      <c r="SRP110" s="769"/>
      <c r="SRQ110" s="769"/>
      <c r="SRR110" s="769"/>
      <c r="SRS110" s="769"/>
      <c r="SRT110" s="769"/>
      <c r="SRU110" s="769"/>
      <c r="SRV110" s="769"/>
      <c r="SRW110" s="769"/>
      <c r="SRX110" s="769"/>
      <c r="SRY110" s="769"/>
      <c r="SRZ110" s="769"/>
      <c r="SSA110" s="769"/>
      <c r="SSB110" s="769"/>
      <c r="SSC110" s="769"/>
      <c r="SSD110" s="769"/>
      <c r="SSE110" s="769"/>
      <c r="SSF110" s="769"/>
      <c r="SSG110" s="769"/>
      <c r="SSH110" s="769"/>
      <c r="SSI110" s="769"/>
      <c r="SSJ110" s="769"/>
      <c r="SSK110" s="769"/>
      <c r="SSL110" s="769"/>
      <c r="SSM110" s="769"/>
      <c r="SSN110" s="769"/>
      <c r="SSO110" s="769"/>
      <c r="SSP110" s="769"/>
      <c r="SSQ110" s="769"/>
      <c r="SSR110" s="769"/>
      <c r="SSS110" s="769"/>
      <c r="SST110" s="769"/>
      <c r="SSU110" s="769"/>
      <c r="SSV110" s="769"/>
      <c r="SSW110" s="769"/>
      <c r="SSX110" s="769"/>
      <c r="SSY110" s="769"/>
      <c r="SSZ110" s="769"/>
      <c r="STA110" s="769"/>
      <c r="STB110" s="769"/>
      <c r="STC110" s="769"/>
      <c r="STD110" s="769"/>
      <c r="STE110" s="769"/>
      <c r="STF110" s="769"/>
      <c r="STG110" s="769"/>
      <c r="STH110" s="769"/>
      <c r="STI110" s="769"/>
      <c r="STJ110" s="769"/>
      <c r="STK110" s="769"/>
      <c r="STL110" s="769"/>
      <c r="STM110" s="769"/>
      <c r="STN110" s="769"/>
      <c r="STO110" s="769"/>
      <c r="STP110" s="769"/>
      <c r="STQ110" s="769"/>
      <c r="STR110" s="769"/>
      <c r="STS110" s="769"/>
      <c r="STT110" s="769"/>
      <c r="STU110" s="769"/>
      <c r="STV110" s="769"/>
      <c r="STW110" s="769"/>
      <c r="STX110" s="769"/>
      <c r="STY110" s="769"/>
      <c r="STZ110" s="769"/>
      <c r="SUA110" s="769"/>
      <c r="SUB110" s="769"/>
      <c r="SUC110" s="769"/>
      <c r="SUD110" s="769"/>
      <c r="SUE110" s="769"/>
      <c r="SUF110" s="769"/>
      <c r="SUG110" s="769"/>
      <c r="SUH110" s="769"/>
      <c r="SUI110" s="769"/>
      <c r="SUJ110" s="769"/>
      <c r="SUK110" s="769"/>
      <c r="SUL110" s="769"/>
      <c r="SUM110" s="769"/>
      <c r="SUN110" s="769"/>
      <c r="SUO110" s="769"/>
      <c r="SUP110" s="769"/>
      <c r="SUQ110" s="769"/>
      <c r="SUR110" s="769"/>
      <c r="SUS110" s="769"/>
      <c r="SUT110" s="769"/>
      <c r="SUU110" s="769"/>
      <c r="SUV110" s="769"/>
      <c r="SUW110" s="769"/>
      <c r="SUX110" s="769"/>
      <c r="SUY110" s="769"/>
      <c r="SUZ110" s="769"/>
      <c r="SVA110" s="769"/>
      <c r="SVB110" s="769"/>
      <c r="SVC110" s="769"/>
      <c r="SVD110" s="769"/>
      <c r="SVE110" s="769"/>
      <c r="SVF110" s="769"/>
      <c r="SVG110" s="769"/>
      <c r="SVH110" s="769"/>
      <c r="SVI110" s="769"/>
      <c r="SVJ110" s="769"/>
      <c r="SVK110" s="769"/>
      <c r="SVL110" s="769"/>
      <c r="SVM110" s="769"/>
      <c r="SVN110" s="769"/>
      <c r="SVO110" s="769"/>
      <c r="SVP110" s="769"/>
      <c r="SVQ110" s="769"/>
      <c r="SVR110" s="769"/>
      <c r="SVS110" s="769"/>
      <c r="SVT110" s="769"/>
      <c r="SVU110" s="769"/>
      <c r="SVV110" s="769"/>
      <c r="SVW110" s="769"/>
      <c r="SVX110" s="769"/>
      <c r="SVY110" s="769"/>
      <c r="SVZ110" s="769"/>
      <c r="SWA110" s="769"/>
      <c r="SWB110" s="769"/>
      <c r="SWC110" s="769"/>
      <c r="SWD110" s="769"/>
      <c r="SWE110" s="769"/>
      <c r="SWF110" s="769"/>
      <c r="SWG110" s="769"/>
      <c r="SWH110" s="769"/>
      <c r="SWI110" s="769"/>
      <c r="SWJ110" s="769"/>
      <c r="SWK110" s="769"/>
      <c r="SWL110" s="769"/>
      <c r="SWM110" s="769"/>
      <c r="SWN110" s="769"/>
      <c r="SWO110" s="769"/>
      <c r="SWP110" s="769"/>
      <c r="SWQ110" s="769"/>
      <c r="SWR110" s="769"/>
      <c r="SWS110" s="769"/>
      <c r="SWT110" s="769"/>
      <c r="SWU110" s="769"/>
      <c r="SWV110" s="769"/>
      <c r="SWW110" s="769"/>
      <c r="SWX110" s="769"/>
      <c r="SWY110" s="769"/>
      <c r="SWZ110" s="769"/>
      <c r="SXA110" s="769"/>
      <c r="SXB110" s="769"/>
      <c r="SXC110" s="769"/>
      <c r="SXD110" s="769"/>
      <c r="SXE110" s="769"/>
      <c r="SXF110" s="769"/>
      <c r="SXG110" s="769"/>
      <c r="SXH110" s="769"/>
      <c r="SXI110" s="769"/>
      <c r="SXJ110" s="769"/>
      <c r="SXK110" s="769"/>
      <c r="SXL110" s="769"/>
      <c r="SXM110" s="769"/>
      <c r="SXN110" s="769"/>
      <c r="SXO110" s="769"/>
      <c r="SXP110" s="769"/>
      <c r="SXQ110" s="769"/>
      <c r="SXR110" s="769"/>
      <c r="SXS110" s="769"/>
      <c r="SXT110" s="769"/>
      <c r="SXU110" s="769"/>
      <c r="SXV110" s="769"/>
      <c r="SXW110" s="769"/>
      <c r="SXX110" s="769"/>
      <c r="SXY110" s="769"/>
      <c r="SXZ110" s="769"/>
      <c r="SYA110" s="769"/>
      <c r="SYB110" s="769"/>
      <c r="SYC110" s="769"/>
      <c r="SYD110" s="769"/>
      <c r="SYE110" s="769"/>
      <c r="SYF110" s="769"/>
      <c r="SYG110" s="769"/>
      <c r="SYH110" s="769"/>
      <c r="SYI110" s="769"/>
      <c r="SYJ110" s="769"/>
      <c r="SYK110" s="769"/>
      <c r="SYL110" s="769"/>
      <c r="SYM110" s="769"/>
      <c r="SYN110" s="769"/>
      <c r="SYO110" s="769"/>
      <c r="SYP110" s="769"/>
      <c r="SYQ110" s="769"/>
      <c r="SYR110" s="769"/>
      <c r="SYS110" s="769"/>
      <c r="SYT110" s="769"/>
      <c r="SYU110" s="769"/>
      <c r="SYV110" s="769"/>
      <c r="SYW110" s="769"/>
      <c r="SYX110" s="769"/>
      <c r="SYY110" s="769"/>
      <c r="SYZ110" s="769"/>
      <c r="SZA110" s="769"/>
      <c r="SZB110" s="769"/>
      <c r="SZC110" s="769"/>
      <c r="SZD110" s="769"/>
      <c r="SZE110" s="769"/>
      <c r="SZF110" s="769"/>
      <c r="SZG110" s="769"/>
      <c r="SZH110" s="769"/>
      <c r="SZI110" s="769"/>
      <c r="SZJ110" s="769"/>
      <c r="SZK110" s="769"/>
      <c r="SZL110" s="769"/>
      <c r="SZM110" s="769"/>
      <c r="SZN110" s="769"/>
      <c r="SZO110" s="769"/>
      <c r="SZP110" s="769"/>
      <c r="SZQ110" s="769"/>
      <c r="SZR110" s="769"/>
      <c r="SZS110" s="769"/>
      <c r="SZT110" s="769"/>
      <c r="SZU110" s="769"/>
      <c r="SZV110" s="769"/>
      <c r="SZW110" s="769"/>
      <c r="SZX110" s="769"/>
      <c r="SZY110" s="769"/>
      <c r="SZZ110" s="769"/>
      <c r="TAA110" s="769"/>
      <c r="TAB110" s="769"/>
      <c r="TAC110" s="769"/>
      <c r="TAD110" s="769"/>
      <c r="TAE110" s="769"/>
      <c r="TAF110" s="769"/>
      <c r="TAG110" s="769"/>
      <c r="TAH110" s="769"/>
      <c r="TAI110" s="769"/>
      <c r="TAJ110" s="769"/>
      <c r="TAK110" s="769"/>
      <c r="TAL110" s="769"/>
      <c r="TAM110" s="769"/>
      <c r="TAN110" s="769"/>
      <c r="TAO110" s="769"/>
      <c r="TAP110" s="769"/>
      <c r="TAQ110" s="769"/>
      <c r="TAR110" s="769"/>
      <c r="TAS110" s="769"/>
      <c r="TAT110" s="769"/>
      <c r="TAU110" s="769"/>
      <c r="TAV110" s="769"/>
      <c r="TAW110" s="769"/>
      <c r="TAX110" s="769"/>
      <c r="TAY110" s="769"/>
      <c r="TAZ110" s="769"/>
      <c r="TBA110" s="769"/>
      <c r="TBB110" s="769"/>
      <c r="TBC110" s="769"/>
      <c r="TBD110" s="769"/>
      <c r="TBE110" s="769"/>
      <c r="TBF110" s="769"/>
      <c r="TBG110" s="769"/>
      <c r="TBH110" s="769"/>
      <c r="TBI110" s="769"/>
      <c r="TBJ110" s="769"/>
      <c r="TBK110" s="769"/>
      <c r="TBL110" s="769"/>
      <c r="TBM110" s="769"/>
      <c r="TBN110" s="769"/>
      <c r="TBO110" s="769"/>
      <c r="TBP110" s="769"/>
      <c r="TBQ110" s="769"/>
      <c r="TBR110" s="769"/>
      <c r="TBS110" s="769"/>
      <c r="TBT110" s="769"/>
      <c r="TBU110" s="769"/>
      <c r="TBV110" s="769"/>
      <c r="TBW110" s="769"/>
      <c r="TBX110" s="769"/>
      <c r="TBY110" s="769"/>
      <c r="TBZ110" s="769"/>
      <c r="TCA110" s="769"/>
      <c r="TCB110" s="769"/>
      <c r="TCC110" s="769"/>
      <c r="TCD110" s="769"/>
      <c r="TCE110" s="769"/>
      <c r="TCF110" s="769"/>
      <c r="TCG110" s="769"/>
      <c r="TCH110" s="769"/>
      <c r="TCI110" s="769"/>
      <c r="TCJ110" s="769"/>
      <c r="TCK110" s="769"/>
      <c r="TCL110" s="769"/>
      <c r="TCM110" s="769"/>
      <c r="TCN110" s="769"/>
      <c r="TCO110" s="769"/>
      <c r="TCP110" s="769"/>
      <c r="TCQ110" s="769"/>
      <c r="TCR110" s="769"/>
      <c r="TCS110" s="769"/>
      <c r="TCT110" s="769"/>
      <c r="TCU110" s="769"/>
      <c r="TCV110" s="769"/>
      <c r="TCW110" s="769"/>
      <c r="TCX110" s="769"/>
      <c r="TCY110" s="769"/>
      <c r="TCZ110" s="769"/>
      <c r="TDA110" s="769"/>
      <c r="TDB110" s="769"/>
      <c r="TDC110" s="769"/>
      <c r="TDD110" s="769"/>
      <c r="TDE110" s="769"/>
      <c r="TDF110" s="769"/>
      <c r="TDG110" s="769"/>
      <c r="TDH110" s="769"/>
      <c r="TDI110" s="769"/>
      <c r="TDJ110" s="769"/>
      <c r="TDK110" s="769"/>
      <c r="TDL110" s="769"/>
      <c r="TDM110" s="769"/>
      <c r="TDN110" s="769"/>
      <c r="TDO110" s="769"/>
      <c r="TDP110" s="769"/>
      <c r="TDQ110" s="769"/>
      <c r="TDR110" s="769"/>
      <c r="TDS110" s="769"/>
      <c r="TDT110" s="769"/>
      <c r="TDU110" s="769"/>
      <c r="TDV110" s="769"/>
      <c r="TDW110" s="769"/>
      <c r="TDX110" s="769"/>
      <c r="TDY110" s="769"/>
      <c r="TDZ110" s="769"/>
      <c r="TEA110" s="769"/>
      <c r="TEB110" s="769"/>
      <c r="TEC110" s="769"/>
      <c r="TED110" s="769"/>
      <c r="TEE110" s="769"/>
      <c r="TEF110" s="769"/>
      <c r="TEG110" s="769"/>
      <c r="TEH110" s="769"/>
      <c r="TEI110" s="769"/>
      <c r="TEJ110" s="769"/>
      <c r="TEK110" s="769"/>
      <c r="TEL110" s="769"/>
      <c r="TEM110" s="769"/>
      <c r="TEN110" s="769"/>
      <c r="TEO110" s="769"/>
      <c r="TEP110" s="769"/>
      <c r="TEQ110" s="769"/>
      <c r="TER110" s="769"/>
      <c r="TES110" s="769"/>
      <c r="TET110" s="769"/>
      <c r="TEU110" s="769"/>
      <c r="TEV110" s="769"/>
      <c r="TEW110" s="769"/>
      <c r="TEX110" s="769"/>
      <c r="TEY110" s="769"/>
      <c r="TEZ110" s="769"/>
      <c r="TFA110" s="769"/>
      <c r="TFB110" s="769"/>
      <c r="TFC110" s="769"/>
      <c r="TFD110" s="769"/>
      <c r="TFE110" s="769"/>
      <c r="TFF110" s="769"/>
      <c r="TFG110" s="769"/>
      <c r="TFH110" s="769"/>
      <c r="TFI110" s="769"/>
      <c r="TFJ110" s="769"/>
      <c r="TFK110" s="769"/>
      <c r="TFL110" s="769"/>
      <c r="TFM110" s="769"/>
      <c r="TFN110" s="769"/>
      <c r="TFO110" s="769"/>
      <c r="TFP110" s="769"/>
      <c r="TFQ110" s="769"/>
      <c r="TFR110" s="769"/>
      <c r="TFS110" s="769"/>
      <c r="TFT110" s="769"/>
      <c r="TFU110" s="769"/>
      <c r="TFV110" s="769"/>
      <c r="TFW110" s="769"/>
      <c r="TFX110" s="769"/>
      <c r="TFY110" s="769"/>
      <c r="TFZ110" s="769"/>
      <c r="TGA110" s="769"/>
      <c r="TGB110" s="769"/>
      <c r="TGC110" s="769"/>
      <c r="TGD110" s="769"/>
      <c r="TGE110" s="769"/>
      <c r="TGF110" s="769"/>
      <c r="TGG110" s="769"/>
      <c r="TGH110" s="769"/>
      <c r="TGI110" s="769"/>
      <c r="TGJ110" s="769"/>
      <c r="TGK110" s="769"/>
      <c r="TGL110" s="769"/>
      <c r="TGM110" s="769"/>
      <c r="TGN110" s="769"/>
      <c r="TGO110" s="769"/>
      <c r="TGP110" s="769"/>
      <c r="TGQ110" s="769"/>
      <c r="TGR110" s="769"/>
      <c r="TGS110" s="769"/>
      <c r="TGT110" s="769"/>
      <c r="TGU110" s="769"/>
      <c r="TGV110" s="769"/>
      <c r="TGW110" s="769"/>
      <c r="TGX110" s="769"/>
      <c r="TGY110" s="769"/>
      <c r="TGZ110" s="769"/>
      <c r="THA110" s="769"/>
      <c r="THB110" s="769"/>
      <c r="THC110" s="769"/>
      <c r="THD110" s="769"/>
      <c r="THE110" s="769"/>
      <c r="THF110" s="769"/>
      <c r="THG110" s="769"/>
      <c r="THH110" s="769"/>
      <c r="THI110" s="769"/>
      <c r="THJ110" s="769"/>
      <c r="THK110" s="769"/>
      <c r="THL110" s="769"/>
      <c r="THM110" s="769"/>
      <c r="THN110" s="769"/>
      <c r="THO110" s="769"/>
      <c r="THP110" s="769"/>
      <c r="THQ110" s="769"/>
      <c r="THR110" s="769"/>
      <c r="THS110" s="769"/>
      <c r="THT110" s="769"/>
      <c r="THU110" s="769"/>
      <c r="THV110" s="769"/>
      <c r="THW110" s="769"/>
      <c r="THX110" s="769"/>
      <c r="THY110" s="769"/>
      <c r="THZ110" s="769"/>
      <c r="TIA110" s="769"/>
      <c r="TIB110" s="769"/>
      <c r="TIC110" s="769"/>
      <c r="TID110" s="769"/>
      <c r="TIE110" s="769"/>
      <c r="TIF110" s="769"/>
      <c r="TIG110" s="769"/>
      <c r="TIH110" s="769"/>
      <c r="TII110" s="769"/>
      <c r="TIJ110" s="769"/>
      <c r="TIK110" s="769"/>
      <c r="TIL110" s="769"/>
      <c r="TIM110" s="769"/>
      <c r="TIN110" s="769"/>
      <c r="TIO110" s="769"/>
      <c r="TIP110" s="769"/>
      <c r="TIQ110" s="769"/>
      <c r="TIR110" s="769"/>
      <c r="TIS110" s="769"/>
      <c r="TIT110" s="769"/>
      <c r="TIU110" s="769"/>
      <c r="TIV110" s="769"/>
      <c r="TIW110" s="769"/>
      <c r="TIX110" s="769"/>
      <c r="TIY110" s="769"/>
      <c r="TIZ110" s="769"/>
      <c r="TJA110" s="769"/>
      <c r="TJB110" s="769"/>
      <c r="TJC110" s="769"/>
      <c r="TJD110" s="769"/>
      <c r="TJE110" s="769"/>
      <c r="TJF110" s="769"/>
      <c r="TJG110" s="769"/>
      <c r="TJH110" s="769"/>
      <c r="TJI110" s="769"/>
      <c r="TJJ110" s="769"/>
      <c r="TJK110" s="769"/>
      <c r="TJL110" s="769"/>
      <c r="TJM110" s="769"/>
      <c r="TJN110" s="769"/>
      <c r="TJO110" s="769"/>
      <c r="TJP110" s="769"/>
      <c r="TJQ110" s="769"/>
      <c r="TJR110" s="769"/>
      <c r="TJS110" s="769"/>
      <c r="TJT110" s="769"/>
      <c r="TJU110" s="769"/>
      <c r="TJV110" s="769"/>
      <c r="TJW110" s="769"/>
      <c r="TJX110" s="769"/>
      <c r="TJY110" s="769"/>
      <c r="TJZ110" s="769"/>
      <c r="TKA110" s="769"/>
      <c r="TKB110" s="769"/>
      <c r="TKC110" s="769"/>
      <c r="TKD110" s="769"/>
      <c r="TKE110" s="769"/>
      <c r="TKF110" s="769"/>
      <c r="TKG110" s="769"/>
      <c r="TKH110" s="769"/>
      <c r="TKI110" s="769"/>
      <c r="TKJ110" s="769"/>
      <c r="TKK110" s="769"/>
      <c r="TKL110" s="769"/>
      <c r="TKM110" s="769"/>
      <c r="TKN110" s="769"/>
      <c r="TKO110" s="769"/>
      <c r="TKP110" s="769"/>
      <c r="TKQ110" s="769"/>
      <c r="TKR110" s="769"/>
      <c r="TKS110" s="769"/>
      <c r="TKT110" s="769"/>
      <c r="TKU110" s="769"/>
      <c r="TKV110" s="769"/>
      <c r="TKW110" s="769"/>
      <c r="TKX110" s="769"/>
      <c r="TKY110" s="769"/>
      <c r="TKZ110" s="769"/>
      <c r="TLA110" s="769"/>
      <c r="TLB110" s="769"/>
      <c r="TLC110" s="769"/>
      <c r="TLD110" s="769"/>
      <c r="TLE110" s="769"/>
      <c r="TLF110" s="769"/>
      <c r="TLG110" s="769"/>
      <c r="TLH110" s="769"/>
      <c r="TLI110" s="769"/>
      <c r="TLJ110" s="769"/>
      <c r="TLK110" s="769"/>
      <c r="TLL110" s="769"/>
      <c r="TLM110" s="769"/>
      <c r="TLN110" s="769"/>
      <c r="TLO110" s="769"/>
      <c r="TLP110" s="769"/>
      <c r="TLQ110" s="769"/>
      <c r="TLR110" s="769"/>
      <c r="TLS110" s="769"/>
      <c r="TLT110" s="769"/>
      <c r="TLU110" s="769"/>
      <c r="TLV110" s="769"/>
      <c r="TLW110" s="769"/>
      <c r="TLX110" s="769"/>
      <c r="TLY110" s="769"/>
      <c r="TLZ110" s="769"/>
      <c r="TMA110" s="769"/>
      <c r="TMB110" s="769"/>
      <c r="TMC110" s="769"/>
      <c r="TMD110" s="769"/>
      <c r="TME110" s="769"/>
      <c r="TMF110" s="769"/>
      <c r="TMG110" s="769"/>
      <c r="TMH110" s="769"/>
      <c r="TMI110" s="769"/>
      <c r="TMJ110" s="769"/>
      <c r="TMK110" s="769"/>
      <c r="TML110" s="769"/>
      <c r="TMM110" s="769"/>
      <c r="TMN110" s="769"/>
      <c r="TMO110" s="769"/>
      <c r="TMP110" s="769"/>
      <c r="TMQ110" s="769"/>
      <c r="TMR110" s="769"/>
      <c r="TMS110" s="769"/>
      <c r="TMT110" s="769"/>
      <c r="TMU110" s="769"/>
      <c r="TMV110" s="769"/>
      <c r="TMW110" s="769"/>
      <c r="TMX110" s="769"/>
      <c r="TMY110" s="769"/>
      <c r="TMZ110" s="769"/>
      <c r="TNA110" s="769"/>
      <c r="TNB110" s="769"/>
      <c r="TNC110" s="769"/>
      <c r="TND110" s="769"/>
      <c r="TNE110" s="769"/>
      <c r="TNF110" s="769"/>
      <c r="TNG110" s="769"/>
      <c r="TNH110" s="769"/>
      <c r="TNI110" s="769"/>
      <c r="TNJ110" s="769"/>
      <c r="TNK110" s="769"/>
      <c r="TNL110" s="769"/>
      <c r="TNM110" s="769"/>
      <c r="TNN110" s="769"/>
      <c r="TNO110" s="769"/>
      <c r="TNP110" s="769"/>
      <c r="TNQ110" s="769"/>
      <c r="TNR110" s="769"/>
      <c r="TNS110" s="769"/>
      <c r="TNT110" s="769"/>
      <c r="TNU110" s="769"/>
      <c r="TNV110" s="769"/>
      <c r="TNW110" s="769"/>
      <c r="TNX110" s="769"/>
      <c r="TNY110" s="769"/>
      <c r="TNZ110" s="769"/>
      <c r="TOA110" s="769"/>
      <c r="TOB110" s="769"/>
      <c r="TOC110" s="769"/>
      <c r="TOD110" s="769"/>
      <c r="TOE110" s="769"/>
      <c r="TOF110" s="769"/>
      <c r="TOG110" s="769"/>
      <c r="TOH110" s="769"/>
      <c r="TOI110" s="769"/>
      <c r="TOJ110" s="769"/>
      <c r="TOK110" s="769"/>
      <c r="TOL110" s="769"/>
      <c r="TOM110" s="769"/>
      <c r="TON110" s="769"/>
      <c r="TOO110" s="769"/>
      <c r="TOP110" s="769"/>
      <c r="TOQ110" s="769"/>
      <c r="TOR110" s="769"/>
      <c r="TOS110" s="769"/>
      <c r="TOT110" s="769"/>
      <c r="TOU110" s="769"/>
      <c r="TOV110" s="769"/>
      <c r="TOW110" s="769"/>
      <c r="TOX110" s="769"/>
      <c r="TOY110" s="769"/>
      <c r="TOZ110" s="769"/>
      <c r="TPA110" s="769"/>
      <c r="TPB110" s="769"/>
      <c r="TPC110" s="769"/>
      <c r="TPD110" s="769"/>
      <c r="TPE110" s="769"/>
      <c r="TPF110" s="769"/>
      <c r="TPG110" s="769"/>
      <c r="TPH110" s="769"/>
      <c r="TPI110" s="769"/>
      <c r="TPJ110" s="769"/>
      <c r="TPK110" s="769"/>
      <c r="TPL110" s="769"/>
      <c r="TPM110" s="769"/>
      <c r="TPN110" s="769"/>
      <c r="TPO110" s="769"/>
      <c r="TPP110" s="769"/>
      <c r="TPQ110" s="769"/>
      <c r="TPR110" s="769"/>
      <c r="TPS110" s="769"/>
      <c r="TPT110" s="769"/>
      <c r="TPU110" s="769"/>
      <c r="TPV110" s="769"/>
      <c r="TPW110" s="769"/>
      <c r="TPX110" s="769"/>
      <c r="TPY110" s="769"/>
      <c r="TPZ110" s="769"/>
      <c r="TQA110" s="769"/>
      <c r="TQB110" s="769"/>
      <c r="TQC110" s="769"/>
      <c r="TQD110" s="769"/>
      <c r="TQE110" s="769"/>
      <c r="TQF110" s="769"/>
      <c r="TQG110" s="769"/>
      <c r="TQH110" s="769"/>
      <c r="TQI110" s="769"/>
      <c r="TQJ110" s="769"/>
      <c r="TQK110" s="769"/>
      <c r="TQL110" s="769"/>
      <c r="TQM110" s="769"/>
      <c r="TQN110" s="769"/>
      <c r="TQO110" s="769"/>
      <c r="TQP110" s="769"/>
      <c r="TQQ110" s="769"/>
      <c r="TQR110" s="769"/>
      <c r="TQS110" s="769"/>
      <c r="TQT110" s="769"/>
      <c r="TQU110" s="769"/>
      <c r="TQV110" s="769"/>
      <c r="TQW110" s="769"/>
      <c r="TQX110" s="769"/>
      <c r="TQY110" s="769"/>
      <c r="TQZ110" s="769"/>
      <c r="TRA110" s="769"/>
      <c r="TRB110" s="769"/>
      <c r="TRC110" s="769"/>
      <c r="TRD110" s="769"/>
      <c r="TRE110" s="769"/>
      <c r="TRF110" s="769"/>
      <c r="TRG110" s="769"/>
      <c r="TRH110" s="769"/>
      <c r="TRI110" s="769"/>
      <c r="TRJ110" s="769"/>
      <c r="TRK110" s="769"/>
      <c r="TRL110" s="769"/>
      <c r="TRM110" s="769"/>
      <c r="TRN110" s="769"/>
      <c r="TRO110" s="769"/>
      <c r="TRP110" s="769"/>
      <c r="TRQ110" s="769"/>
      <c r="TRR110" s="769"/>
      <c r="TRS110" s="769"/>
      <c r="TRT110" s="769"/>
      <c r="TRU110" s="769"/>
      <c r="TRV110" s="769"/>
      <c r="TRW110" s="769"/>
      <c r="TRX110" s="769"/>
      <c r="TRY110" s="769"/>
      <c r="TRZ110" s="769"/>
      <c r="TSA110" s="769"/>
      <c r="TSB110" s="769"/>
      <c r="TSC110" s="769"/>
      <c r="TSD110" s="769"/>
      <c r="TSE110" s="769"/>
      <c r="TSF110" s="769"/>
      <c r="TSG110" s="769"/>
      <c r="TSH110" s="769"/>
      <c r="TSI110" s="769"/>
      <c r="TSJ110" s="769"/>
      <c r="TSK110" s="769"/>
      <c r="TSL110" s="769"/>
      <c r="TSM110" s="769"/>
      <c r="TSN110" s="769"/>
      <c r="TSO110" s="769"/>
      <c r="TSP110" s="769"/>
      <c r="TSQ110" s="769"/>
      <c r="TSR110" s="769"/>
      <c r="TSS110" s="769"/>
      <c r="TST110" s="769"/>
      <c r="TSU110" s="769"/>
      <c r="TSV110" s="769"/>
      <c r="TSW110" s="769"/>
      <c r="TSX110" s="769"/>
      <c r="TSY110" s="769"/>
      <c r="TSZ110" s="769"/>
      <c r="TTA110" s="769"/>
      <c r="TTB110" s="769"/>
      <c r="TTC110" s="769"/>
      <c r="TTD110" s="769"/>
      <c r="TTE110" s="769"/>
      <c r="TTF110" s="769"/>
      <c r="TTG110" s="769"/>
      <c r="TTH110" s="769"/>
      <c r="TTI110" s="769"/>
      <c r="TTJ110" s="769"/>
      <c r="TTK110" s="769"/>
      <c r="TTL110" s="769"/>
      <c r="TTM110" s="769"/>
      <c r="TTN110" s="769"/>
      <c r="TTO110" s="769"/>
      <c r="TTP110" s="769"/>
      <c r="TTQ110" s="769"/>
      <c r="TTR110" s="769"/>
      <c r="TTS110" s="769"/>
      <c r="TTT110" s="769"/>
      <c r="TTU110" s="769"/>
      <c r="TTV110" s="769"/>
      <c r="TTW110" s="769"/>
      <c r="TTX110" s="769"/>
      <c r="TTY110" s="769"/>
      <c r="TTZ110" s="769"/>
      <c r="TUA110" s="769"/>
      <c r="TUB110" s="769"/>
      <c r="TUC110" s="769"/>
      <c r="TUD110" s="769"/>
      <c r="TUE110" s="769"/>
      <c r="TUF110" s="769"/>
      <c r="TUG110" s="769"/>
      <c r="TUH110" s="769"/>
      <c r="TUI110" s="769"/>
      <c r="TUJ110" s="769"/>
      <c r="TUK110" s="769"/>
      <c r="TUL110" s="769"/>
      <c r="TUM110" s="769"/>
      <c r="TUN110" s="769"/>
      <c r="TUO110" s="769"/>
      <c r="TUP110" s="769"/>
      <c r="TUQ110" s="769"/>
      <c r="TUR110" s="769"/>
      <c r="TUS110" s="769"/>
      <c r="TUT110" s="769"/>
      <c r="TUU110" s="769"/>
      <c r="TUV110" s="769"/>
      <c r="TUW110" s="769"/>
      <c r="TUX110" s="769"/>
      <c r="TUY110" s="769"/>
      <c r="TUZ110" s="769"/>
      <c r="TVA110" s="769"/>
      <c r="TVB110" s="769"/>
      <c r="TVC110" s="769"/>
      <c r="TVD110" s="769"/>
      <c r="TVE110" s="769"/>
      <c r="TVF110" s="769"/>
      <c r="TVG110" s="769"/>
      <c r="TVH110" s="769"/>
      <c r="TVI110" s="769"/>
      <c r="TVJ110" s="769"/>
      <c r="TVK110" s="769"/>
      <c r="TVL110" s="769"/>
      <c r="TVM110" s="769"/>
      <c r="TVN110" s="769"/>
      <c r="TVO110" s="769"/>
      <c r="TVP110" s="769"/>
      <c r="TVQ110" s="769"/>
      <c r="TVR110" s="769"/>
      <c r="TVS110" s="769"/>
      <c r="TVT110" s="769"/>
      <c r="TVU110" s="769"/>
      <c r="TVV110" s="769"/>
      <c r="TVW110" s="769"/>
      <c r="TVX110" s="769"/>
      <c r="TVY110" s="769"/>
      <c r="TVZ110" s="769"/>
      <c r="TWA110" s="769"/>
      <c r="TWB110" s="769"/>
      <c r="TWC110" s="769"/>
      <c r="TWD110" s="769"/>
      <c r="TWE110" s="769"/>
      <c r="TWF110" s="769"/>
      <c r="TWG110" s="769"/>
      <c r="TWH110" s="769"/>
      <c r="TWI110" s="769"/>
      <c r="TWJ110" s="769"/>
      <c r="TWK110" s="769"/>
      <c r="TWL110" s="769"/>
      <c r="TWM110" s="769"/>
      <c r="TWN110" s="769"/>
      <c r="TWO110" s="769"/>
      <c r="TWP110" s="769"/>
      <c r="TWQ110" s="769"/>
      <c r="TWR110" s="769"/>
      <c r="TWS110" s="769"/>
      <c r="TWT110" s="769"/>
      <c r="TWU110" s="769"/>
      <c r="TWV110" s="769"/>
      <c r="TWW110" s="769"/>
      <c r="TWX110" s="769"/>
      <c r="TWY110" s="769"/>
      <c r="TWZ110" s="769"/>
      <c r="TXA110" s="769"/>
      <c r="TXB110" s="769"/>
      <c r="TXC110" s="769"/>
      <c r="TXD110" s="769"/>
      <c r="TXE110" s="769"/>
      <c r="TXF110" s="769"/>
      <c r="TXG110" s="769"/>
      <c r="TXH110" s="769"/>
      <c r="TXI110" s="769"/>
      <c r="TXJ110" s="769"/>
      <c r="TXK110" s="769"/>
      <c r="TXL110" s="769"/>
      <c r="TXM110" s="769"/>
      <c r="TXN110" s="769"/>
      <c r="TXO110" s="769"/>
      <c r="TXP110" s="769"/>
      <c r="TXQ110" s="769"/>
      <c r="TXR110" s="769"/>
      <c r="TXS110" s="769"/>
      <c r="TXT110" s="769"/>
      <c r="TXU110" s="769"/>
      <c r="TXV110" s="769"/>
      <c r="TXW110" s="769"/>
      <c r="TXX110" s="769"/>
      <c r="TXY110" s="769"/>
      <c r="TXZ110" s="769"/>
      <c r="TYA110" s="769"/>
      <c r="TYB110" s="769"/>
      <c r="TYC110" s="769"/>
      <c r="TYD110" s="769"/>
      <c r="TYE110" s="769"/>
      <c r="TYF110" s="769"/>
      <c r="TYG110" s="769"/>
      <c r="TYH110" s="769"/>
      <c r="TYI110" s="769"/>
      <c r="TYJ110" s="769"/>
      <c r="TYK110" s="769"/>
      <c r="TYL110" s="769"/>
      <c r="TYM110" s="769"/>
      <c r="TYN110" s="769"/>
      <c r="TYO110" s="769"/>
      <c r="TYP110" s="769"/>
      <c r="TYQ110" s="769"/>
      <c r="TYR110" s="769"/>
      <c r="TYS110" s="769"/>
      <c r="TYT110" s="769"/>
      <c r="TYU110" s="769"/>
      <c r="TYV110" s="769"/>
      <c r="TYW110" s="769"/>
      <c r="TYX110" s="769"/>
      <c r="TYY110" s="769"/>
      <c r="TYZ110" s="769"/>
      <c r="TZA110" s="769"/>
      <c r="TZB110" s="769"/>
      <c r="TZC110" s="769"/>
      <c r="TZD110" s="769"/>
      <c r="TZE110" s="769"/>
      <c r="TZF110" s="769"/>
      <c r="TZG110" s="769"/>
      <c r="TZH110" s="769"/>
      <c r="TZI110" s="769"/>
      <c r="TZJ110" s="769"/>
      <c r="TZK110" s="769"/>
      <c r="TZL110" s="769"/>
      <c r="TZM110" s="769"/>
      <c r="TZN110" s="769"/>
      <c r="TZO110" s="769"/>
      <c r="TZP110" s="769"/>
      <c r="TZQ110" s="769"/>
      <c r="TZR110" s="769"/>
      <c r="TZS110" s="769"/>
      <c r="TZT110" s="769"/>
      <c r="TZU110" s="769"/>
      <c r="TZV110" s="769"/>
      <c r="TZW110" s="769"/>
      <c r="TZX110" s="769"/>
      <c r="TZY110" s="769"/>
      <c r="TZZ110" s="769"/>
      <c r="UAA110" s="769"/>
      <c r="UAB110" s="769"/>
      <c r="UAC110" s="769"/>
      <c r="UAD110" s="769"/>
      <c r="UAE110" s="769"/>
      <c r="UAF110" s="769"/>
      <c r="UAG110" s="769"/>
      <c r="UAH110" s="769"/>
      <c r="UAI110" s="769"/>
      <c r="UAJ110" s="769"/>
      <c r="UAK110" s="769"/>
      <c r="UAL110" s="769"/>
      <c r="UAM110" s="769"/>
      <c r="UAN110" s="769"/>
      <c r="UAO110" s="769"/>
      <c r="UAP110" s="769"/>
      <c r="UAQ110" s="769"/>
      <c r="UAR110" s="769"/>
      <c r="UAS110" s="769"/>
      <c r="UAT110" s="769"/>
      <c r="UAU110" s="769"/>
      <c r="UAV110" s="769"/>
      <c r="UAW110" s="769"/>
      <c r="UAX110" s="769"/>
      <c r="UAY110" s="769"/>
      <c r="UAZ110" s="769"/>
      <c r="UBA110" s="769"/>
      <c r="UBB110" s="769"/>
      <c r="UBC110" s="769"/>
      <c r="UBD110" s="769"/>
      <c r="UBE110" s="769"/>
      <c r="UBF110" s="769"/>
      <c r="UBG110" s="769"/>
      <c r="UBH110" s="769"/>
      <c r="UBI110" s="769"/>
      <c r="UBJ110" s="769"/>
      <c r="UBK110" s="769"/>
      <c r="UBL110" s="769"/>
      <c r="UBM110" s="769"/>
      <c r="UBN110" s="769"/>
      <c r="UBO110" s="769"/>
      <c r="UBP110" s="769"/>
      <c r="UBQ110" s="769"/>
      <c r="UBR110" s="769"/>
      <c r="UBS110" s="769"/>
      <c r="UBT110" s="769"/>
      <c r="UBU110" s="769"/>
      <c r="UBV110" s="769"/>
      <c r="UBW110" s="769"/>
      <c r="UBX110" s="769"/>
      <c r="UBY110" s="769"/>
      <c r="UBZ110" s="769"/>
      <c r="UCA110" s="769"/>
      <c r="UCB110" s="769"/>
      <c r="UCC110" s="769"/>
      <c r="UCD110" s="769"/>
      <c r="UCE110" s="769"/>
      <c r="UCF110" s="769"/>
      <c r="UCG110" s="769"/>
      <c r="UCH110" s="769"/>
      <c r="UCI110" s="769"/>
      <c r="UCJ110" s="769"/>
      <c r="UCK110" s="769"/>
      <c r="UCL110" s="769"/>
      <c r="UCM110" s="769"/>
      <c r="UCN110" s="769"/>
      <c r="UCO110" s="769"/>
      <c r="UCP110" s="769"/>
      <c r="UCQ110" s="769"/>
      <c r="UCR110" s="769"/>
      <c r="UCS110" s="769"/>
      <c r="UCT110" s="769"/>
      <c r="UCU110" s="769"/>
      <c r="UCV110" s="769"/>
      <c r="UCW110" s="769"/>
      <c r="UCX110" s="769"/>
      <c r="UCY110" s="769"/>
      <c r="UCZ110" s="769"/>
      <c r="UDA110" s="769"/>
      <c r="UDB110" s="769"/>
      <c r="UDC110" s="769"/>
      <c r="UDD110" s="769"/>
      <c r="UDE110" s="769"/>
      <c r="UDF110" s="769"/>
      <c r="UDG110" s="769"/>
      <c r="UDH110" s="769"/>
      <c r="UDI110" s="769"/>
      <c r="UDJ110" s="769"/>
      <c r="UDK110" s="769"/>
      <c r="UDL110" s="769"/>
      <c r="UDM110" s="769"/>
      <c r="UDN110" s="769"/>
      <c r="UDO110" s="769"/>
      <c r="UDP110" s="769"/>
      <c r="UDQ110" s="769"/>
      <c r="UDR110" s="769"/>
      <c r="UDS110" s="769"/>
      <c r="UDT110" s="769"/>
      <c r="UDU110" s="769"/>
      <c r="UDV110" s="769"/>
      <c r="UDW110" s="769"/>
      <c r="UDX110" s="769"/>
      <c r="UDY110" s="769"/>
      <c r="UDZ110" s="769"/>
      <c r="UEA110" s="769"/>
      <c r="UEB110" s="769"/>
      <c r="UEC110" s="769"/>
      <c r="UED110" s="769"/>
      <c r="UEE110" s="769"/>
      <c r="UEF110" s="769"/>
      <c r="UEG110" s="769"/>
      <c r="UEH110" s="769"/>
      <c r="UEI110" s="769"/>
      <c r="UEJ110" s="769"/>
      <c r="UEK110" s="769"/>
      <c r="UEL110" s="769"/>
      <c r="UEM110" s="769"/>
      <c r="UEN110" s="769"/>
      <c r="UEO110" s="769"/>
      <c r="UEP110" s="769"/>
      <c r="UEQ110" s="769"/>
      <c r="UER110" s="769"/>
      <c r="UES110" s="769"/>
      <c r="UET110" s="769"/>
      <c r="UEU110" s="769"/>
      <c r="UEV110" s="769"/>
      <c r="UEW110" s="769"/>
      <c r="UEX110" s="769"/>
      <c r="UEY110" s="769"/>
      <c r="UEZ110" s="769"/>
      <c r="UFA110" s="769"/>
      <c r="UFB110" s="769"/>
      <c r="UFC110" s="769"/>
      <c r="UFD110" s="769"/>
      <c r="UFE110" s="769"/>
      <c r="UFF110" s="769"/>
      <c r="UFG110" s="769"/>
      <c r="UFH110" s="769"/>
      <c r="UFI110" s="769"/>
      <c r="UFJ110" s="769"/>
      <c r="UFK110" s="769"/>
      <c r="UFL110" s="769"/>
      <c r="UFM110" s="769"/>
      <c r="UFN110" s="769"/>
      <c r="UFO110" s="769"/>
      <c r="UFP110" s="769"/>
      <c r="UFQ110" s="769"/>
      <c r="UFR110" s="769"/>
      <c r="UFS110" s="769"/>
      <c r="UFT110" s="769"/>
      <c r="UFU110" s="769"/>
      <c r="UFV110" s="769"/>
      <c r="UFW110" s="769"/>
      <c r="UFX110" s="769"/>
      <c r="UFY110" s="769"/>
      <c r="UFZ110" s="769"/>
      <c r="UGA110" s="769"/>
      <c r="UGB110" s="769"/>
      <c r="UGC110" s="769"/>
      <c r="UGD110" s="769"/>
      <c r="UGE110" s="769"/>
      <c r="UGF110" s="769"/>
      <c r="UGG110" s="769"/>
      <c r="UGH110" s="769"/>
      <c r="UGI110" s="769"/>
      <c r="UGJ110" s="769"/>
      <c r="UGK110" s="769"/>
      <c r="UGL110" s="769"/>
      <c r="UGM110" s="769"/>
      <c r="UGN110" s="769"/>
      <c r="UGO110" s="769"/>
      <c r="UGP110" s="769"/>
      <c r="UGQ110" s="769"/>
      <c r="UGR110" s="769"/>
      <c r="UGS110" s="769"/>
      <c r="UGT110" s="769"/>
      <c r="UGU110" s="769"/>
      <c r="UGV110" s="769"/>
      <c r="UGW110" s="769"/>
      <c r="UGX110" s="769"/>
      <c r="UGY110" s="769"/>
      <c r="UGZ110" s="769"/>
      <c r="UHA110" s="769"/>
      <c r="UHB110" s="769"/>
      <c r="UHC110" s="769"/>
      <c r="UHD110" s="769"/>
      <c r="UHE110" s="769"/>
      <c r="UHF110" s="769"/>
      <c r="UHG110" s="769"/>
      <c r="UHH110" s="769"/>
      <c r="UHI110" s="769"/>
      <c r="UHJ110" s="769"/>
      <c r="UHK110" s="769"/>
      <c r="UHL110" s="769"/>
      <c r="UHM110" s="769"/>
      <c r="UHN110" s="769"/>
      <c r="UHO110" s="769"/>
      <c r="UHP110" s="769"/>
      <c r="UHQ110" s="769"/>
      <c r="UHR110" s="769"/>
      <c r="UHS110" s="769"/>
      <c r="UHT110" s="769"/>
      <c r="UHU110" s="769"/>
      <c r="UHV110" s="769"/>
      <c r="UHW110" s="769"/>
      <c r="UHX110" s="769"/>
      <c r="UHY110" s="769"/>
      <c r="UHZ110" s="769"/>
      <c r="UIA110" s="769"/>
      <c r="UIB110" s="769"/>
      <c r="UIC110" s="769"/>
      <c r="UID110" s="769"/>
      <c r="UIE110" s="769"/>
      <c r="UIF110" s="769"/>
      <c r="UIG110" s="769"/>
      <c r="UIH110" s="769"/>
      <c r="UII110" s="769"/>
      <c r="UIJ110" s="769"/>
      <c r="UIK110" s="769"/>
      <c r="UIL110" s="769"/>
      <c r="UIM110" s="769"/>
      <c r="UIN110" s="769"/>
      <c r="UIO110" s="769"/>
      <c r="UIP110" s="769"/>
      <c r="UIQ110" s="769"/>
      <c r="UIR110" s="769"/>
      <c r="UIS110" s="769"/>
      <c r="UIT110" s="769"/>
      <c r="UIU110" s="769"/>
      <c r="UIV110" s="769"/>
      <c r="UIW110" s="769"/>
      <c r="UIX110" s="769"/>
      <c r="UIY110" s="769"/>
      <c r="UIZ110" s="769"/>
      <c r="UJA110" s="769"/>
      <c r="UJB110" s="769"/>
      <c r="UJC110" s="769"/>
      <c r="UJD110" s="769"/>
      <c r="UJE110" s="769"/>
      <c r="UJF110" s="769"/>
      <c r="UJG110" s="769"/>
      <c r="UJH110" s="769"/>
      <c r="UJI110" s="769"/>
      <c r="UJJ110" s="769"/>
      <c r="UJK110" s="769"/>
      <c r="UJL110" s="769"/>
      <c r="UJM110" s="769"/>
      <c r="UJN110" s="769"/>
      <c r="UJO110" s="769"/>
      <c r="UJP110" s="769"/>
      <c r="UJQ110" s="769"/>
      <c r="UJR110" s="769"/>
      <c r="UJS110" s="769"/>
      <c r="UJT110" s="769"/>
      <c r="UJU110" s="769"/>
      <c r="UJV110" s="769"/>
      <c r="UJW110" s="769"/>
      <c r="UJX110" s="769"/>
      <c r="UJY110" s="769"/>
      <c r="UJZ110" s="769"/>
      <c r="UKA110" s="769"/>
      <c r="UKB110" s="769"/>
      <c r="UKC110" s="769"/>
      <c r="UKD110" s="769"/>
      <c r="UKE110" s="769"/>
      <c r="UKF110" s="769"/>
      <c r="UKG110" s="769"/>
      <c r="UKH110" s="769"/>
      <c r="UKI110" s="769"/>
      <c r="UKJ110" s="769"/>
      <c r="UKK110" s="769"/>
      <c r="UKL110" s="769"/>
      <c r="UKM110" s="769"/>
      <c r="UKN110" s="769"/>
      <c r="UKO110" s="769"/>
      <c r="UKP110" s="769"/>
      <c r="UKQ110" s="769"/>
      <c r="UKR110" s="769"/>
      <c r="UKS110" s="769"/>
      <c r="UKT110" s="769"/>
      <c r="UKU110" s="769"/>
      <c r="UKV110" s="769"/>
      <c r="UKW110" s="769"/>
      <c r="UKX110" s="769"/>
      <c r="UKY110" s="769"/>
      <c r="UKZ110" s="769"/>
      <c r="ULA110" s="769"/>
      <c r="ULB110" s="769"/>
      <c r="ULC110" s="769"/>
      <c r="ULD110" s="769"/>
      <c r="ULE110" s="769"/>
      <c r="ULF110" s="769"/>
      <c r="ULG110" s="769"/>
      <c r="ULH110" s="769"/>
      <c r="ULI110" s="769"/>
      <c r="ULJ110" s="769"/>
      <c r="ULK110" s="769"/>
      <c r="ULL110" s="769"/>
      <c r="ULM110" s="769"/>
      <c r="ULN110" s="769"/>
      <c r="ULO110" s="769"/>
      <c r="ULP110" s="769"/>
      <c r="ULQ110" s="769"/>
      <c r="ULR110" s="769"/>
      <c r="ULS110" s="769"/>
      <c r="ULT110" s="769"/>
      <c r="ULU110" s="769"/>
      <c r="ULV110" s="769"/>
      <c r="ULW110" s="769"/>
      <c r="ULX110" s="769"/>
      <c r="ULY110" s="769"/>
      <c r="ULZ110" s="769"/>
      <c r="UMA110" s="769"/>
      <c r="UMB110" s="769"/>
      <c r="UMC110" s="769"/>
      <c r="UMD110" s="769"/>
      <c r="UME110" s="769"/>
      <c r="UMF110" s="769"/>
      <c r="UMG110" s="769"/>
      <c r="UMH110" s="769"/>
      <c r="UMI110" s="769"/>
      <c r="UMJ110" s="769"/>
      <c r="UMK110" s="769"/>
      <c r="UML110" s="769"/>
      <c r="UMM110" s="769"/>
      <c r="UMN110" s="769"/>
      <c r="UMO110" s="769"/>
      <c r="UMP110" s="769"/>
      <c r="UMQ110" s="769"/>
      <c r="UMR110" s="769"/>
      <c r="UMS110" s="769"/>
      <c r="UMT110" s="769"/>
      <c r="UMU110" s="769"/>
      <c r="UMV110" s="769"/>
      <c r="UMW110" s="769"/>
      <c r="UMX110" s="769"/>
      <c r="UMY110" s="769"/>
      <c r="UMZ110" s="769"/>
      <c r="UNA110" s="769"/>
      <c r="UNB110" s="769"/>
      <c r="UNC110" s="769"/>
      <c r="UND110" s="769"/>
      <c r="UNE110" s="769"/>
      <c r="UNF110" s="769"/>
      <c r="UNG110" s="769"/>
      <c r="UNH110" s="769"/>
      <c r="UNI110" s="769"/>
      <c r="UNJ110" s="769"/>
      <c r="UNK110" s="769"/>
      <c r="UNL110" s="769"/>
      <c r="UNM110" s="769"/>
      <c r="UNN110" s="769"/>
      <c r="UNO110" s="769"/>
      <c r="UNP110" s="769"/>
      <c r="UNQ110" s="769"/>
      <c r="UNR110" s="769"/>
      <c r="UNS110" s="769"/>
      <c r="UNT110" s="769"/>
      <c r="UNU110" s="769"/>
      <c r="UNV110" s="769"/>
      <c r="UNW110" s="769"/>
      <c r="UNX110" s="769"/>
      <c r="UNY110" s="769"/>
      <c r="UNZ110" s="769"/>
      <c r="UOA110" s="769"/>
      <c r="UOB110" s="769"/>
      <c r="UOC110" s="769"/>
      <c r="UOD110" s="769"/>
      <c r="UOE110" s="769"/>
      <c r="UOF110" s="769"/>
      <c r="UOG110" s="769"/>
      <c r="UOH110" s="769"/>
      <c r="UOI110" s="769"/>
      <c r="UOJ110" s="769"/>
      <c r="UOK110" s="769"/>
      <c r="UOL110" s="769"/>
      <c r="UOM110" s="769"/>
      <c r="UON110" s="769"/>
      <c r="UOO110" s="769"/>
      <c r="UOP110" s="769"/>
      <c r="UOQ110" s="769"/>
      <c r="UOR110" s="769"/>
      <c r="UOS110" s="769"/>
      <c r="UOT110" s="769"/>
      <c r="UOU110" s="769"/>
      <c r="UOV110" s="769"/>
      <c r="UOW110" s="769"/>
      <c r="UOX110" s="769"/>
      <c r="UOY110" s="769"/>
      <c r="UOZ110" s="769"/>
      <c r="UPA110" s="769"/>
      <c r="UPB110" s="769"/>
      <c r="UPC110" s="769"/>
      <c r="UPD110" s="769"/>
      <c r="UPE110" s="769"/>
      <c r="UPF110" s="769"/>
      <c r="UPG110" s="769"/>
      <c r="UPH110" s="769"/>
      <c r="UPI110" s="769"/>
      <c r="UPJ110" s="769"/>
      <c r="UPK110" s="769"/>
      <c r="UPL110" s="769"/>
      <c r="UPM110" s="769"/>
      <c r="UPN110" s="769"/>
      <c r="UPO110" s="769"/>
      <c r="UPP110" s="769"/>
      <c r="UPQ110" s="769"/>
      <c r="UPR110" s="769"/>
      <c r="UPS110" s="769"/>
      <c r="UPT110" s="769"/>
      <c r="UPU110" s="769"/>
      <c r="UPV110" s="769"/>
      <c r="UPW110" s="769"/>
      <c r="UPX110" s="769"/>
      <c r="UPY110" s="769"/>
      <c r="UPZ110" s="769"/>
      <c r="UQA110" s="769"/>
      <c r="UQB110" s="769"/>
      <c r="UQC110" s="769"/>
      <c r="UQD110" s="769"/>
      <c r="UQE110" s="769"/>
      <c r="UQF110" s="769"/>
      <c r="UQG110" s="769"/>
      <c r="UQH110" s="769"/>
      <c r="UQI110" s="769"/>
      <c r="UQJ110" s="769"/>
      <c r="UQK110" s="769"/>
      <c r="UQL110" s="769"/>
      <c r="UQM110" s="769"/>
      <c r="UQN110" s="769"/>
      <c r="UQO110" s="769"/>
      <c r="UQP110" s="769"/>
      <c r="UQQ110" s="769"/>
      <c r="UQR110" s="769"/>
      <c r="UQS110" s="769"/>
      <c r="UQT110" s="769"/>
      <c r="UQU110" s="769"/>
      <c r="UQV110" s="769"/>
      <c r="UQW110" s="769"/>
      <c r="UQX110" s="769"/>
      <c r="UQY110" s="769"/>
      <c r="UQZ110" s="769"/>
      <c r="URA110" s="769"/>
      <c r="URB110" s="769"/>
      <c r="URC110" s="769"/>
      <c r="URD110" s="769"/>
      <c r="URE110" s="769"/>
      <c r="URF110" s="769"/>
      <c r="URG110" s="769"/>
      <c r="URH110" s="769"/>
      <c r="URI110" s="769"/>
      <c r="URJ110" s="769"/>
      <c r="URK110" s="769"/>
      <c r="URL110" s="769"/>
      <c r="URM110" s="769"/>
      <c r="URN110" s="769"/>
      <c r="URO110" s="769"/>
      <c r="URP110" s="769"/>
      <c r="URQ110" s="769"/>
      <c r="URR110" s="769"/>
      <c r="URS110" s="769"/>
      <c r="URT110" s="769"/>
      <c r="URU110" s="769"/>
      <c r="URV110" s="769"/>
      <c r="URW110" s="769"/>
      <c r="URX110" s="769"/>
      <c r="URY110" s="769"/>
      <c r="URZ110" s="769"/>
      <c r="USA110" s="769"/>
      <c r="USB110" s="769"/>
      <c r="USC110" s="769"/>
      <c r="USD110" s="769"/>
      <c r="USE110" s="769"/>
      <c r="USF110" s="769"/>
      <c r="USG110" s="769"/>
      <c r="USH110" s="769"/>
      <c r="USI110" s="769"/>
      <c r="USJ110" s="769"/>
      <c r="USK110" s="769"/>
      <c r="USL110" s="769"/>
      <c r="USM110" s="769"/>
      <c r="USN110" s="769"/>
      <c r="USO110" s="769"/>
      <c r="USP110" s="769"/>
      <c r="USQ110" s="769"/>
      <c r="USR110" s="769"/>
      <c r="USS110" s="769"/>
      <c r="UST110" s="769"/>
      <c r="USU110" s="769"/>
      <c r="USV110" s="769"/>
      <c r="USW110" s="769"/>
      <c r="USX110" s="769"/>
      <c r="USY110" s="769"/>
      <c r="USZ110" s="769"/>
      <c r="UTA110" s="769"/>
      <c r="UTB110" s="769"/>
      <c r="UTC110" s="769"/>
      <c r="UTD110" s="769"/>
      <c r="UTE110" s="769"/>
      <c r="UTF110" s="769"/>
      <c r="UTG110" s="769"/>
      <c r="UTH110" s="769"/>
      <c r="UTI110" s="769"/>
      <c r="UTJ110" s="769"/>
      <c r="UTK110" s="769"/>
      <c r="UTL110" s="769"/>
      <c r="UTM110" s="769"/>
      <c r="UTN110" s="769"/>
      <c r="UTO110" s="769"/>
      <c r="UTP110" s="769"/>
      <c r="UTQ110" s="769"/>
      <c r="UTR110" s="769"/>
      <c r="UTS110" s="769"/>
      <c r="UTT110" s="769"/>
      <c r="UTU110" s="769"/>
      <c r="UTV110" s="769"/>
      <c r="UTW110" s="769"/>
      <c r="UTX110" s="769"/>
      <c r="UTY110" s="769"/>
      <c r="UTZ110" s="769"/>
      <c r="UUA110" s="769"/>
      <c r="UUB110" s="769"/>
      <c r="UUC110" s="769"/>
      <c r="UUD110" s="769"/>
      <c r="UUE110" s="769"/>
      <c r="UUF110" s="769"/>
      <c r="UUG110" s="769"/>
      <c r="UUH110" s="769"/>
      <c r="UUI110" s="769"/>
      <c r="UUJ110" s="769"/>
      <c r="UUK110" s="769"/>
      <c r="UUL110" s="769"/>
      <c r="UUM110" s="769"/>
      <c r="UUN110" s="769"/>
      <c r="UUO110" s="769"/>
      <c r="UUP110" s="769"/>
      <c r="UUQ110" s="769"/>
      <c r="UUR110" s="769"/>
      <c r="UUS110" s="769"/>
      <c r="UUT110" s="769"/>
      <c r="UUU110" s="769"/>
      <c r="UUV110" s="769"/>
      <c r="UUW110" s="769"/>
      <c r="UUX110" s="769"/>
      <c r="UUY110" s="769"/>
      <c r="UUZ110" s="769"/>
      <c r="UVA110" s="769"/>
      <c r="UVB110" s="769"/>
      <c r="UVC110" s="769"/>
      <c r="UVD110" s="769"/>
      <c r="UVE110" s="769"/>
      <c r="UVF110" s="769"/>
      <c r="UVG110" s="769"/>
      <c r="UVH110" s="769"/>
      <c r="UVI110" s="769"/>
      <c r="UVJ110" s="769"/>
      <c r="UVK110" s="769"/>
      <c r="UVL110" s="769"/>
      <c r="UVM110" s="769"/>
      <c r="UVN110" s="769"/>
      <c r="UVO110" s="769"/>
      <c r="UVP110" s="769"/>
      <c r="UVQ110" s="769"/>
      <c r="UVR110" s="769"/>
      <c r="UVS110" s="769"/>
      <c r="UVT110" s="769"/>
      <c r="UVU110" s="769"/>
      <c r="UVV110" s="769"/>
      <c r="UVW110" s="769"/>
      <c r="UVX110" s="769"/>
      <c r="UVY110" s="769"/>
      <c r="UVZ110" s="769"/>
      <c r="UWA110" s="769"/>
      <c r="UWB110" s="769"/>
      <c r="UWC110" s="769"/>
      <c r="UWD110" s="769"/>
      <c r="UWE110" s="769"/>
      <c r="UWF110" s="769"/>
      <c r="UWG110" s="769"/>
      <c r="UWH110" s="769"/>
      <c r="UWI110" s="769"/>
      <c r="UWJ110" s="769"/>
      <c r="UWK110" s="769"/>
      <c r="UWL110" s="769"/>
      <c r="UWM110" s="769"/>
      <c r="UWN110" s="769"/>
      <c r="UWO110" s="769"/>
      <c r="UWP110" s="769"/>
      <c r="UWQ110" s="769"/>
      <c r="UWR110" s="769"/>
      <c r="UWS110" s="769"/>
      <c r="UWT110" s="769"/>
      <c r="UWU110" s="769"/>
      <c r="UWV110" s="769"/>
      <c r="UWW110" s="769"/>
      <c r="UWX110" s="769"/>
      <c r="UWY110" s="769"/>
      <c r="UWZ110" s="769"/>
      <c r="UXA110" s="769"/>
      <c r="UXB110" s="769"/>
      <c r="UXC110" s="769"/>
      <c r="UXD110" s="769"/>
      <c r="UXE110" s="769"/>
      <c r="UXF110" s="769"/>
      <c r="UXG110" s="769"/>
      <c r="UXH110" s="769"/>
      <c r="UXI110" s="769"/>
      <c r="UXJ110" s="769"/>
      <c r="UXK110" s="769"/>
      <c r="UXL110" s="769"/>
      <c r="UXM110" s="769"/>
      <c r="UXN110" s="769"/>
      <c r="UXO110" s="769"/>
      <c r="UXP110" s="769"/>
      <c r="UXQ110" s="769"/>
      <c r="UXR110" s="769"/>
      <c r="UXS110" s="769"/>
      <c r="UXT110" s="769"/>
      <c r="UXU110" s="769"/>
      <c r="UXV110" s="769"/>
      <c r="UXW110" s="769"/>
      <c r="UXX110" s="769"/>
      <c r="UXY110" s="769"/>
      <c r="UXZ110" s="769"/>
      <c r="UYA110" s="769"/>
      <c r="UYB110" s="769"/>
      <c r="UYC110" s="769"/>
      <c r="UYD110" s="769"/>
      <c r="UYE110" s="769"/>
      <c r="UYF110" s="769"/>
      <c r="UYG110" s="769"/>
      <c r="UYH110" s="769"/>
      <c r="UYI110" s="769"/>
      <c r="UYJ110" s="769"/>
      <c r="UYK110" s="769"/>
      <c r="UYL110" s="769"/>
      <c r="UYM110" s="769"/>
      <c r="UYN110" s="769"/>
      <c r="UYO110" s="769"/>
      <c r="UYP110" s="769"/>
      <c r="UYQ110" s="769"/>
      <c r="UYR110" s="769"/>
      <c r="UYS110" s="769"/>
      <c r="UYT110" s="769"/>
      <c r="UYU110" s="769"/>
      <c r="UYV110" s="769"/>
      <c r="UYW110" s="769"/>
      <c r="UYX110" s="769"/>
      <c r="UYY110" s="769"/>
      <c r="UYZ110" s="769"/>
      <c r="UZA110" s="769"/>
      <c r="UZB110" s="769"/>
      <c r="UZC110" s="769"/>
      <c r="UZD110" s="769"/>
      <c r="UZE110" s="769"/>
      <c r="UZF110" s="769"/>
      <c r="UZG110" s="769"/>
      <c r="UZH110" s="769"/>
      <c r="UZI110" s="769"/>
      <c r="UZJ110" s="769"/>
      <c r="UZK110" s="769"/>
      <c r="UZL110" s="769"/>
      <c r="UZM110" s="769"/>
      <c r="UZN110" s="769"/>
      <c r="UZO110" s="769"/>
      <c r="UZP110" s="769"/>
      <c r="UZQ110" s="769"/>
      <c r="UZR110" s="769"/>
      <c r="UZS110" s="769"/>
      <c r="UZT110" s="769"/>
      <c r="UZU110" s="769"/>
      <c r="UZV110" s="769"/>
      <c r="UZW110" s="769"/>
      <c r="UZX110" s="769"/>
      <c r="UZY110" s="769"/>
      <c r="UZZ110" s="769"/>
      <c r="VAA110" s="769"/>
      <c r="VAB110" s="769"/>
      <c r="VAC110" s="769"/>
      <c r="VAD110" s="769"/>
      <c r="VAE110" s="769"/>
      <c r="VAF110" s="769"/>
      <c r="VAG110" s="769"/>
      <c r="VAH110" s="769"/>
      <c r="VAI110" s="769"/>
      <c r="VAJ110" s="769"/>
      <c r="VAK110" s="769"/>
      <c r="VAL110" s="769"/>
      <c r="VAM110" s="769"/>
      <c r="VAN110" s="769"/>
      <c r="VAO110" s="769"/>
      <c r="VAP110" s="769"/>
      <c r="VAQ110" s="769"/>
      <c r="VAR110" s="769"/>
      <c r="VAS110" s="769"/>
      <c r="VAT110" s="769"/>
      <c r="VAU110" s="769"/>
      <c r="VAV110" s="769"/>
      <c r="VAW110" s="769"/>
      <c r="VAX110" s="769"/>
      <c r="VAY110" s="769"/>
      <c r="VAZ110" s="769"/>
      <c r="VBA110" s="769"/>
      <c r="VBB110" s="769"/>
      <c r="VBC110" s="769"/>
      <c r="VBD110" s="769"/>
      <c r="VBE110" s="769"/>
      <c r="VBF110" s="769"/>
      <c r="VBG110" s="769"/>
      <c r="VBH110" s="769"/>
      <c r="VBI110" s="769"/>
      <c r="VBJ110" s="769"/>
      <c r="VBK110" s="769"/>
      <c r="VBL110" s="769"/>
      <c r="VBM110" s="769"/>
      <c r="VBN110" s="769"/>
      <c r="VBO110" s="769"/>
      <c r="VBP110" s="769"/>
      <c r="VBQ110" s="769"/>
      <c r="VBR110" s="769"/>
      <c r="VBS110" s="769"/>
      <c r="VBT110" s="769"/>
      <c r="VBU110" s="769"/>
      <c r="VBV110" s="769"/>
      <c r="VBW110" s="769"/>
      <c r="VBX110" s="769"/>
      <c r="VBY110" s="769"/>
      <c r="VBZ110" s="769"/>
      <c r="VCA110" s="769"/>
      <c r="VCB110" s="769"/>
      <c r="VCC110" s="769"/>
      <c r="VCD110" s="769"/>
      <c r="VCE110" s="769"/>
      <c r="VCF110" s="769"/>
      <c r="VCG110" s="769"/>
      <c r="VCH110" s="769"/>
      <c r="VCI110" s="769"/>
      <c r="VCJ110" s="769"/>
      <c r="VCK110" s="769"/>
      <c r="VCL110" s="769"/>
      <c r="VCM110" s="769"/>
      <c r="VCN110" s="769"/>
      <c r="VCO110" s="769"/>
      <c r="VCP110" s="769"/>
      <c r="VCQ110" s="769"/>
      <c r="VCR110" s="769"/>
      <c r="VCS110" s="769"/>
      <c r="VCT110" s="769"/>
      <c r="VCU110" s="769"/>
      <c r="VCV110" s="769"/>
      <c r="VCW110" s="769"/>
      <c r="VCX110" s="769"/>
      <c r="VCY110" s="769"/>
      <c r="VCZ110" s="769"/>
      <c r="VDA110" s="769"/>
      <c r="VDB110" s="769"/>
      <c r="VDC110" s="769"/>
      <c r="VDD110" s="769"/>
      <c r="VDE110" s="769"/>
      <c r="VDF110" s="769"/>
      <c r="VDG110" s="769"/>
      <c r="VDH110" s="769"/>
      <c r="VDI110" s="769"/>
      <c r="VDJ110" s="769"/>
      <c r="VDK110" s="769"/>
      <c r="VDL110" s="769"/>
      <c r="VDM110" s="769"/>
      <c r="VDN110" s="769"/>
      <c r="VDO110" s="769"/>
      <c r="VDP110" s="769"/>
      <c r="VDQ110" s="769"/>
      <c r="VDR110" s="769"/>
      <c r="VDS110" s="769"/>
      <c r="VDT110" s="769"/>
      <c r="VDU110" s="769"/>
      <c r="VDV110" s="769"/>
      <c r="VDW110" s="769"/>
      <c r="VDX110" s="769"/>
      <c r="VDY110" s="769"/>
      <c r="VDZ110" s="769"/>
      <c r="VEA110" s="769"/>
      <c r="VEB110" s="769"/>
      <c r="VEC110" s="769"/>
      <c r="VED110" s="769"/>
      <c r="VEE110" s="769"/>
      <c r="VEF110" s="769"/>
      <c r="VEG110" s="769"/>
      <c r="VEH110" s="769"/>
      <c r="VEI110" s="769"/>
      <c r="VEJ110" s="769"/>
      <c r="VEK110" s="769"/>
      <c r="VEL110" s="769"/>
      <c r="VEM110" s="769"/>
      <c r="VEN110" s="769"/>
      <c r="VEO110" s="769"/>
      <c r="VEP110" s="769"/>
      <c r="VEQ110" s="769"/>
      <c r="VER110" s="769"/>
      <c r="VES110" s="769"/>
      <c r="VET110" s="769"/>
      <c r="VEU110" s="769"/>
      <c r="VEV110" s="769"/>
      <c r="VEW110" s="769"/>
      <c r="VEX110" s="769"/>
      <c r="VEY110" s="769"/>
      <c r="VEZ110" s="769"/>
      <c r="VFA110" s="769"/>
      <c r="VFB110" s="769"/>
      <c r="VFC110" s="769"/>
      <c r="VFD110" s="769"/>
      <c r="VFE110" s="769"/>
      <c r="VFF110" s="769"/>
      <c r="VFG110" s="769"/>
      <c r="VFH110" s="769"/>
      <c r="VFI110" s="769"/>
      <c r="VFJ110" s="769"/>
      <c r="VFK110" s="769"/>
      <c r="VFL110" s="769"/>
      <c r="VFM110" s="769"/>
      <c r="VFN110" s="769"/>
      <c r="VFO110" s="769"/>
      <c r="VFP110" s="769"/>
      <c r="VFQ110" s="769"/>
      <c r="VFR110" s="769"/>
      <c r="VFS110" s="769"/>
      <c r="VFT110" s="769"/>
      <c r="VFU110" s="769"/>
      <c r="VFV110" s="769"/>
      <c r="VFW110" s="769"/>
      <c r="VFX110" s="769"/>
      <c r="VFY110" s="769"/>
      <c r="VFZ110" s="769"/>
      <c r="VGA110" s="769"/>
      <c r="VGB110" s="769"/>
      <c r="VGC110" s="769"/>
      <c r="VGD110" s="769"/>
      <c r="VGE110" s="769"/>
      <c r="VGF110" s="769"/>
      <c r="VGG110" s="769"/>
      <c r="VGH110" s="769"/>
      <c r="VGI110" s="769"/>
      <c r="VGJ110" s="769"/>
      <c r="VGK110" s="769"/>
      <c r="VGL110" s="769"/>
      <c r="VGM110" s="769"/>
      <c r="VGN110" s="769"/>
      <c r="VGO110" s="769"/>
      <c r="VGP110" s="769"/>
      <c r="VGQ110" s="769"/>
      <c r="VGR110" s="769"/>
      <c r="VGS110" s="769"/>
      <c r="VGT110" s="769"/>
      <c r="VGU110" s="769"/>
      <c r="VGV110" s="769"/>
      <c r="VGW110" s="769"/>
      <c r="VGX110" s="769"/>
      <c r="VGY110" s="769"/>
      <c r="VGZ110" s="769"/>
      <c r="VHA110" s="769"/>
      <c r="VHB110" s="769"/>
      <c r="VHC110" s="769"/>
      <c r="VHD110" s="769"/>
      <c r="VHE110" s="769"/>
      <c r="VHF110" s="769"/>
      <c r="VHG110" s="769"/>
      <c r="VHH110" s="769"/>
      <c r="VHI110" s="769"/>
      <c r="VHJ110" s="769"/>
      <c r="VHK110" s="769"/>
      <c r="VHL110" s="769"/>
      <c r="VHM110" s="769"/>
      <c r="VHN110" s="769"/>
      <c r="VHO110" s="769"/>
      <c r="VHP110" s="769"/>
      <c r="VHQ110" s="769"/>
      <c r="VHR110" s="769"/>
      <c r="VHS110" s="769"/>
      <c r="VHT110" s="769"/>
      <c r="VHU110" s="769"/>
      <c r="VHV110" s="769"/>
      <c r="VHW110" s="769"/>
      <c r="VHX110" s="769"/>
      <c r="VHY110" s="769"/>
      <c r="VHZ110" s="769"/>
      <c r="VIA110" s="769"/>
      <c r="VIB110" s="769"/>
      <c r="VIC110" s="769"/>
      <c r="VID110" s="769"/>
      <c r="VIE110" s="769"/>
      <c r="VIF110" s="769"/>
      <c r="VIG110" s="769"/>
      <c r="VIH110" s="769"/>
      <c r="VII110" s="769"/>
      <c r="VIJ110" s="769"/>
      <c r="VIK110" s="769"/>
      <c r="VIL110" s="769"/>
      <c r="VIM110" s="769"/>
      <c r="VIN110" s="769"/>
      <c r="VIO110" s="769"/>
      <c r="VIP110" s="769"/>
      <c r="VIQ110" s="769"/>
      <c r="VIR110" s="769"/>
      <c r="VIS110" s="769"/>
      <c r="VIT110" s="769"/>
      <c r="VIU110" s="769"/>
      <c r="VIV110" s="769"/>
      <c r="VIW110" s="769"/>
      <c r="VIX110" s="769"/>
      <c r="VIY110" s="769"/>
      <c r="VIZ110" s="769"/>
      <c r="VJA110" s="769"/>
      <c r="VJB110" s="769"/>
      <c r="VJC110" s="769"/>
      <c r="VJD110" s="769"/>
      <c r="VJE110" s="769"/>
      <c r="VJF110" s="769"/>
      <c r="VJG110" s="769"/>
      <c r="VJH110" s="769"/>
      <c r="VJI110" s="769"/>
      <c r="VJJ110" s="769"/>
      <c r="VJK110" s="769"/>
      <c r="VJL110" s="769"/>
      <c r="VJM110" s="769"/>
      <c r="VJN110" s="769"/>
      <c r="VJO110" s="769"/>
      <c r="VJP110" s="769"/>
      <c r="VJQ110" s="769"/>
      <c r="VJR110" s="769"/>
      <c r="VJS110" s="769"/>
      <c r="VJT110" s="769"/>
      <c r="VJU110" s="769"/>
      <c r="VJV110" s="769"/>
      <c r="VJW110" s="769"/>
      <c r="VJX110" s="769"/>
      <c r="VJY110" s="769"/>
      <c r="VJZ110" s="769"/>
      <c r="VKA110" s="769"/>
      <c r="VKB110" s="769"/>
      <c r="VKC110" s="769"/>
      <c r="VKD110" s="769"/>
      <c r="VKE110" s="769"/>
      <c r="VKF110" s="769"/>
      <c r="VKG110" s="769"/>
      <c r="VKH110" s="769"/>
      <c r="VKI110" s="769"/>
      <c r="VKJ110" s="769"/>
      <c r="VKK110" s="769"/>
      <c r="VKL110" s="769"/>
      <c r="VKM110" s="769"/>
      <c r="VKN110" s="769"/>
      <c r="VKO110" s="769"/>
      <c r="VKP110" s="769"/>
      <c r="VKQ110" s="769"/>
      <c r="VKR110" s="769"/>
      <c r="VKS110" s="769"/>
      <c r="VKT110" s="769"/>
      <c r="VKU110" s="769"/>
      <c r="VKV110" s="769"/>
      <c r="VKW110" s="769"/>
      <c r="VKX110" s="769"/>
      <c r="VKY110" s="769"/>
      <c r="VKZ110" s="769"/>
      <c r="VLA110" s="769"/>
      <c r="VLB110" s="769"/>
      <c r="VLC110" s="769"/>
      <c r="VLD110" s="769"/>
      <c r="VLE110" s="769"/>
      <c r="VLF110" s="769"/>
      <c r="VLG110" s="769"/>
      <c r="VLH110" s="769"/>
      <c r="VLI110" s="769"/>
      <c r="VLJ110" s="769"/>
      <c r="VLK110" s="769"/>
      <c r="VLL110" s="769"/>
      <c r="VLM110" s="769"/>
      <c r="VLN110" s="769"/>
      <c r="VLO110" s="769"/>
      <c r="VLP110" s="769"/>
      <c r="VLQ110" s="769"/>
      <c r="VLR110" s="769"/>
      <c r="VLS110" s="769"/>
      <c r="VLT110" s="769"/>
      <c r="VLU110" s="769"/>
      <c r="VLV110" s="769"/>
      <c r="VLW110" s="769"/>
      <c r="VLX110" s="769"/>
      <c r="VLY110" s="769"/>
      <c r="VLZ110" s="769"/>
      <c r="VMA110" s="769"/>
      <c r="VMB110" s="769"/>
      <c r="VMC110" s="769"/>
      <c r="VMD110" s="769"/>
      <c r="VME110" s="769"/>
      <c r="VMF110" s="769"/>
      <c r="VMG110" s="769"/>
      <c r="VMH110" s="769"/>
      <c r="VMI110" s="769"/>
      <c r="VMJ110" s="769"/>
      <c r="VMK110" s="769"/>
      <c r="VML110" s="769"/>
      <c r="VMM110" s="769"/>
      <c r="VMN110" s="769"/>
      <c r="VMO110" s="769"/>
      <c r="VMP110" s="769"/>
      <c r="VMQ110" s="769"/>
      <c r="VMR110" s="769"/>
      <c r="VMS110" s="769"/>
      <c r="VMT110" s="769"/>
      <c r="VMU110" s="769"/>
      <c r="VMV110" s="769"/>
      <c r="VMW110" s="769"/>
      <c r="VMX110" s="769"/>
      <c r="VMY110" s="769"/>
      <c r="VMZ110" s="769"/>
      <c r="VNA110" s="769"/>
      <c r="VNB110" s="769"/>
      <c r="VNC110" s="769"/>
      <c r="VND110" s="769"/>
      <c r="VNE110" s="769"/>
      <c r="VNF110" s="769"/>
      <c r="VNG110" s="769"/>
      <c r="VNH110" s="769"/>
      <c r="VNI110" s="769"/>
      <c r="VNJ110" s="769"/>
      <c r="VNK110" s="769"/>
      <c r="VNL110" s="769"/>
      <c r="VNM110" s="769"/>
      <c r="VNN110" s="769"/>
      <c r="VNO110" s="769"/>
      <c r="VNP110" s="769"/>
      <c r="VNQ110" s="769"/>
      <c r="VNR110" s="769"/>
      <c r="VNS110" s="769"/>
      <c r="VNT110" s="769"/>
      <c r="VNU110" s="769"/>
      <c r="VNV110" s="769"/>
      <c r="VNW110" s="769"/>
      <c r="VNX110" s="769"/>
      <c r="VNY110" s="769"/>
      <c r="VNZ110" s="769"/>
      <c r="VOA110" s="769"/>
      <c r="VOB110" s="769"/>
      <c r="VOC110" s="769"/>
      <c r="VOD110" s="769"/>
      <c r="VOE110" s="769"/>
      <c r="VOF110" s="769"/>
      <c r="VOG110" s="769"/>
      <c r="VOH110" s="769"/>
      <c r="VOI110" s="769"/>
      <c r="VOJ110" s="769"/>
      <c r="VOK110" s="769"/>
      <c r="VOL110" s="769"/>
      <c r="VOM110" s="769"/>
      <c r="VON110" s="769"/>
      <c r="VOO110" s="769"/>
      <c r="VOP110" s="769"/>
      <c r="VOQ110" s="769"/>
      <c r="VOR110" s="769"/>
      <c r="VOS110" s="769"/>
      <c r="VOT110" s="769"/>
      <c r="VOU110" s="769"/>
      <c r="VOV110" s="769"/>
      <c r="VOW110" s="769"/>
      <c r="VOX110" s="769"/>
      <c r="VOY110" s="769"/>
      <c r="VOZ110" s="769"/>
      <c r="VPA110" s="769"/>
      <c r="VPB110" s="769"/>
      <c r="VPC110" s="769"/>
      <c r="VPD110" s="769"/>
      <c r="VPE110" s="769"/>
      <c r="VPF110" s="769"/>
      <c r="VPG110" s="769"/>
      <c r="VPH110" s="769"/>
      <c r="VPI110" s="769"/>
      <c r="VPJ110" s="769"/>
      <c r="VPK110" s="769"/>
      <c r="VPL110" s="769"/>
      <c r="VPM110" s="769"/>
      <c r="VPN110" s="769"/>
      <c r="VPO110" s="769"/>
      <c r="VPP110" s="769"/>
      <c r="VPQ110" s="769"/>
      <c r="VPR110" s="769"/>
      <c r="VPS110" s="769"/>
      <c r="VPT110" s="769"/>
      <c r="VPU110" s="769"/>
      <c r="VPV110" s="769"/>
      <c r="VPW110" s="769"/>
      <c r="VPX110" s="769"/>
      <c r="VPY110" s="769"/>
      <c r="VPZ110" s="769"/>
      <c r="VQA110" s="769"/>
      <c r="VQB110" s="769"/>
      <c r="VQC110" s="769"/>
      <c r="VQD110" s="769"/>
      <c r="VQE110" s="769"/>
      <c r="VQF110" s="769"/>
      <c r="VQG110" s="769"/>
      <c r="VQH110" s="769"/>
      <c r="VQI110" s="769"/>
      <c r="VQJ110" s="769"/>
      <c r="VQK110" s="769"/>
      <c r="VQL110" s="769"/>
      <c r="VQM110" s="769"/>
      <c r="VQN110" s="769"/>
      <c r="VQO110" s="769"/>
      <c r="VQP110" s="769"/>
      <c r="VQQ110" s="769"/>
      <c r="VQR110" s="769"/>
      <c r="VQS110" s="769"/>
      <c r="VQT110" s="769"/>
      <c r="VQU110" s="769"/>
      <c r="VQV110" s="769"/>
      <c r="VQW110" s="769"/>
      <c r="VQX110" s="769"/>
      <c r="VQY110" s="769"/>
      <c r="VQZ110" s="769"/>
      <c r="VRA110" s="769"/>
      <c r="VRB110" s="769"/>
      <c r="VRC110" s="769"/>
      <c r="VRD110" s="769"/>
      <c r="VRE110" s="769"/>
      <c r="VRF110" s="769"/>
      <c r="VRG110" s="769"/>
      <c r="VRH110" s="769"/>
      <c r="VRI110" s="769"/>
      <c r="VRJ110" s="769"/>
      <c r="VRK110" s="769"/>
      <c r="VRL110" s="769"/>
      <c r="VRM110" s="769"/>
      <c r="VRN110" s="769"/>
      <c r="VRO110" s="769"/>
      <c r="VRP110" s="769"/>
      <c r="VRQ110" s="769"/>
      <c r="VRR110" s="769"/>
      <c r="VRS110" s="769"/>
      <c r="VRT110" s="769"/>
      <c r="VRU110" s="769"/>
      <c r="VRV110" s="769"/>
      <c r="VRW110" s="769"/>
      <c r="VRX110" s="769"/>
      <c r="VRY110" s="769"/>
      <c r="VRZ110" s="769"/>
      <c r="VSA110" s="769"/>
      <c r="VSB110" s="769"/>
      <c r="VSC110" s="769"/>
      <c r="VSD110" s="769"/>
      <c r="VSE110" s="769"/>
      <c r="VSF110" s="769"/>
      <c r="VSG110" s="769"/>
      <c r="VSH110" s="769"/>
      <c r="VSI110" s="769"/>
      <c r="VSJ110" s="769"/>
      <c r="VSK110" s="769"/>
      <c r="VSL110" s="769"/>
      <c r="VSM110" s="769"/>
      <c r="VSN110" s="769"/>
      <c r="VSO110" s="769"/>
      <c r="VSP110" s="769"/>
      <c r="VSQ110" s="769"/>
      <c r="VSR110" s="769"/>
      <c r="VSS110" s="769"/>
      <c r="VST110" s="769"/>
      <c r="VSU110" s="769"/>
      <c r="VSV110" s="769"/>
      <c r="VSW110" s="769"/>
      <c r="VSX110" s="769"/>
      <c r="VSY110" s="769"/>
      <c r="VSZ110" s="769"/>
      <c r="VTA110" s="769"/>
      <c r="VTB110" s="769"/>
      <c r="VTC110" s="769"/>
      <c r="VTD110" s="769"/>
      <c r="VTE110" s="769"/>
      <c r="VTF110" s="769"/>
      <c r="VTG110" s="769"/>
      <c r="VTH110" s="769"/>
      <c r="VTI110" s="769"/>
      <c r="VTJ110" s="769"/>
      <c r="VTK110" s="769"/>
      <c r="VTL110" s="769"/>
      <c r="VTM110" s="769"/>
      <c r="VTN110" s="769"/>
      <c r="VTO110" s="769"/>
      <c r="VTP110" s="769"/>
      <c r="VTQ110" s="769"/>
      <c r="VTR110" s="769"/>
      <c r="VTS110" s="769"/>
      <c r="VTT110" s="769"/>
      <c r="VTU110" s="769"/>
      <c r="VTV110" s="769"/>
      <c r="VTW110" s="769"/>
      <c r="VTX110" s="769"/>
      <c r="VTY110" s="769"/>
      <c r="VTZ110" s="769"/>
      <c r="VUA110" s="769"/>
      <c r="VUB110" s="769"/>
      <c r="VUC110" s="769"/>
      <c r="VUD110" s="769"/>
      <c r="VUE110" s="769"/>
      <c r="VUF110" s="769"/>
      <c r="VUG110" s="769"/>
      <c r="VUH110" s="769"/>
      <c r="VUI110" s="769"/>
      <c r="VUJ110" s="769"/>
      <c r="VUK110" s="769"/>
      <c r="VUL110" s="769"/>
      <c r="VUM110" s="769"/>
      <c r="VUN110" s="769"/>
      <c r="VUO110" s="769"/>
      <c r="VUP110" s="769"/>
      <c r="VUQ110" s="769"/>
      <c r="VUR110" s="769"/>
      <c r="VUS110" s="769"/>
      <c r="VUT110" s="769"/>
      <c r="VUU110" s="769"/>
      <c r="VUV110" s="769"/>
      <c r="VUW110" s="769"/>
      <c r="VUX110" s="769"/>
      <c r="VUY110" s="769"/>
      <c r="VUZ110" s="769"/>
      <c r="VVA110" s="769"/>
      <c r="VVB110" s="769"/>
      <c r="VVC110" s="769"/>
      <c r="VVD110" s="769"/>
      <c r="VVE110" s="769"/>
      <c r="VVF110" s="769"/>
      <c r="VVG110" s="769"/>
      <c r="VVH110" s="769"/>
      <c r="VVI110" s="769"/>
      <c r="VVJ110" s="769"/>
      <c r="VVK110" s="769"/>
      <c r="VVL110" s="769"/>
      <c r="VVM110" s="769"/>
      <c r="VVN110" s="769"/>
      <c r="VVO110" s="769"/>
      <c r="VVP110" s="769"/>
      <c r="VVQ110" s="769"/>
      <c r="VVR110" s="769"/>
      <c r="VVS110" s="769"/>
      <c r="VVT110" s="769"/>
      <c r="VVU110" s="769"/>
      <c r="VVV110" s="769"/>
      <c r="VVW110" s="769"/>
      <c r="VVX110" s="769"/>
      <c r="VVY110" s="769"/>
      <c r="VVZ110" s="769"/>
      <c r="VWA110" s="769"/>
      <c r="VWB110" s="769"/>
      <c r="VWC110" s="769"/>
      <c r="VWD110" s="769"/>
      <c r="VWE110" s="769"/>
      <c r="VWF110" s="769"/>
      <c r="VWG110" s="769"/>
      <c r="VWH110" s="769"/>
      <c r="VWI110" s="769"/>
      <c r="VWJ110" s="769"/>
      <c r="VWK110" s="769"/>
      <c r="VWL110" s="769"/>
      <c r="VWM110" s="769"/>
      <c r="VWN110" s="769"/>
      <c r="VWO110" s="769"/>
      <c r="VWP110" s="769"/>
      <c r="VWQ110" s="769"/>
      <c r="VWR110" s="769"/>
      <c r="VWS110" s="769"/>
      <c r="VWT110" s="769"/>
      <c r="VWU110" s="769"/>
      <c r="VWV110" s="769"/>
      <c r="VWW110" s="769"/>
      <c r="VWX110" s="769"/>
      <c r="VWY110" s="769"/>
      <c r="VWZ110" s="769"/>
      <c r="VXA110" s="769"/>
      <c r="VXB110" s="769"/>
      <c r="VXC110" s="769"/>
      <c r="VXD110" s="769"/>
      <c r="VXE110" s="769"/>
      <c r="VXF110" s="769"/>
      <c r="VXG110" s="769"/>
      <c r="VXH110" s="769"/>
      <c r="VXI110" s="769"/>
      <c r="VXJ110" s="769"/>
      <c r="VXK110" s="769"/>
      <c r="VXL110" s="769"/>
      <c r="VXM110" s="769"/>
      <c r="VXN110" s="769"/>
      <c r="VXO110" s="769"/>
      <c r="VXP110" s="769"/>
      <c r="VXQ110" s="769"/>
      <c r="VXR110" s="769"/>
      <c r="VXS110" s="769"/>
      <c r="VXT110" s="769"/>
      <c r="VXU110" s="769"/>
      <c r="VXV110" s="769"/>
      <c r="VXW110" s="769"/>
      <c r="VXX110" s="769"/>
      <c r="VXY110" s="769"/>
      <c r="VXZ110" s="769"/>
      <c r="VYA110" s="769"/>
      <c r="VYB110" s="769"/>
      <c r="VYC110" s="769"/>
      <c r="VYD110" s="769"/>
      <c r="VYE110" s="769"/>
      <c r="VYF110" s="769"/>
      <c r="VYG110" s="769"/>
      <c r="VYH110" s="769"/>
      <c r="VYI110" s="769"/>
      <c r="VYJ110" s="769"/>
      <c r="VYK110" s="769"/>
      <c r="VYL110" s="769"/>
      <c r="VYM110" s="769"/>
      <c r="VYN110" s="769"/>
      <c r="VYO110" s="769"/>
      <c r="VYP110" s="769"/>
      <c r="VYQ110" s="769"/>
      <c r="VYR110" s="769"/>
      <c r="VYS110" s="769"/>
      <c r="VYT110" s="769"/>
      <c r="VYU110" s="769"/>
      <c r="VYV110" s="769"/>
      <c r="VYW110" s="769"/>
      <c r="VYX110" s="769"/>
      <c r="VYY110" s="769"/>
      <c r="VYZ110" s="769"/>
      <c r="VZA110" s="769"/>
      <c r="VZB110" s="769"/>
      <c r="VZC110" s="769"/>
      <c r="VZD110" s="769"/>
      <c r="VZE110" s="769"/>
      <c r="VZF110" s="769"/>
      <c r="VZG110" s="769"/>
      <c r="VZH110" s="769"/>
      <c r="VZI110" s="769"/>
      <c r="VZJ110" s="769"/>
      <c r="VZK110" s="769"/>
      <c r="VZL110" s="769"/>
      <c r="VZM110" s="769"/>
      <c r="VZN110" s="769"/>
      <c r="VZO110" s="769"/>
      <c r="VZP110" s="769"/>
      <c r="VZQ110" s="769"/>
      <c r="VZR110" s="769"/>
      <c r="VZS110" s="769"/>
      <c r="VZT110" s="769"/>
      <c r="VZU110" s="769"/>
      <c r="VZV110" s="769"/>
      <c r="VZW110" s="769"/>
      <c r="VZX110" s="769"/>
      <c r="VZY110" s="769"/>
      <c r="VZZ110" s="769"/>
      <c r="WAA110" s="769"/>
      <c r="WAB110" s="769"/>
      <c r="WAC110" s="769"/>
      <c r="WAD110" s="769"/>
      <c r="WAE110" s="769"/>
      <c r="WAF110" s="769"/>
      <c r="WAG110" s="769"/>
      <c r="WAH110" s="769"/>
      <c r="WAI110" s="769"/>
      <c r="WAJ110" s="769"/>
      <c r="WAK110" s="769"/>
      <c r="WAL110" s="769"/>
      <c r="WAM110" s="769"/>
      <c r="WAN110" s="769"/>
      <c r="WAO110" s="769"/>
      <c r="WAP110" s="769"/>
      <c r="WAQ110" s="769"/>
      <c r="WAR110" s="769"/>
      <c r="WAS110" s="769"/>
      <c r="WAT110" s="769"/>
      <c r="WAU110" s="769"/>
      <c r="WAV110" s="769"/>
      <c r="WAW110" s="769"/>
      <c r="WAX110" s="769"/>
      <c r="WAY110" s="769"/>
      <c r="WAZ110" s="769"/>
      <c r="WBA110" s="769"/>
      <c r="WBB110" s="769"/>
      <c r="WBC110" s="769"/>
      <c r="WBD110" s="769"/>
      <c r="WBE110" s="769"/>
      <c r="WBF110" s="769"/>
      <c r="WBG110" s="769"/>
      <c r="WBH110" s="769"/>
      <c r="WBI110" s="769"/>
      <c r="WBJ110" s="769"/>
      <c r="WBK110" s="769"/>
      <c r="WBL110" s="769"/>
      <c r="WBM110" s="769"/>
      <c r="WBN110" s="769"/>
      <c r="WBO110" s="769"/>
      <c r="WBP110" s="769"/>
      <c r="WBQ110" s="769"/>
      <c r="WBR110" s="769"/>
      <c r="WBS110" s="769"/>
      <c r="WBT110" s="769"/>
      <c r="WBU110" s="769"/>
      <c r="WBV110" s="769"/>
      <c r="WBW110" s="769"/>
      <c r="WBX110" s="769"/>
      <c r="WBY110" s="769"/>
      <c r="WBZ110" s="769"/>
      <c r="WCA110" s="769"/>
      <c r="WCB110" s="769"/>
      <c r="WCC110" s="769"/>
      <c r="WCD110" s="769"/>
      <c r="WCE110" s="769"/>
      <c r="WCF110" s="769"/>
      <c r="WCG110" s="769"/>
      <c r="WCH110" s="769"/>
      <c r="WCI110" s="769"/>
      <c r="WCJ110" s="769"/>
      <c r="WCK110" s="769"/>
      <c r="WCL110" s="769"/>
      <c r="WCM110" s="769"/>
      <c r="WCN110" s="769"/>
      <c r="WCO110" s="769"/>
      <c r="WCP110" s="769"/>
      <c r="WCQ110" s="769"/>
      <c r="WCR110" s="769"/>
      <c r="WCS110" s="769"/>
      <c r="WCT110" s="769"/>
      <c r="WCU110" s="769"/>
      <c r="WCV110" s="769"/>
      <c r="WCW110" s="769"/>
      <c r="WCX110" s="769"/>
      <c r="WCY110" s="769"/>
      <c r="WCZ110" s="769"/>
      <c r="WDA110" s="769"/>
      <c r="WDB110" s="769"/>
      <c r="WDC110" s="769"/>
      <c r="WDD110" s="769"/>
      <c r="WDE110" s="769"/>
      <c r="WDF110" s="769"/>
      <c r="WDG110" s="769"/>
      <c r="WDH110" s="769"/>
      <c r="WDI110" s="769"/>
      <c r="WDJ110" s="769"/>
      <c r="WDK110" s="769"/>
      <c r="WDL110" s="769"/>
      <c r="WDM110" s="769"/>
      <c r="WDN110" s="769"/>
      <c r="WDO110" s="769"/>
      <c r="WDP110" s="769"/>
      <c r="WDQ110" s="769"/>
      <c r="WDR110" s="769"/>
      <c r="WDS110" s="769"/>
      <c r="WDT110" s="769"/>
      <c r="WDU110" s="769"/>
      <c r="WDV110" s="769"/>
      <c r="WDW110" s="769"/>
      <c r="WDX110" s="769"/>
      <c r="WDY110" s="769"/>
      <c r="WDZ110" s="769"/>
      <c r="WEA110" s="769"/>
      <c r="WEB110" s="769"/>
      <c r="WEC110" s="769"/>
      <c r="WED110" s="769"/>
      <c r="WEE110" s="769"/>
      <c r="WEF110" s="769"/>
      <c r="WEG110" s="769"/>
      <c r="WEH110" s="769"/>
      <c r="WEI110" s="769"/>
      <c r="WEJ110" s="769"/>
      <c r="WEK110" s="769"/>
      <c r="WEL110" s="769"/>
      <c r="WEM110" s="769"/>
      <c r="WEN110" s="769"/>
      <c r="WEO110" s="769"/>
      <c r="WEP110" s="769"/>
      <c r="WEQ110" s="769"/>
      <c r="WER110" s="769"/>
      <c r="WES110" s="769"/>
      <c r="WET110" s="769"/>
      <c r="WEU110" s="769"/>
      <c r="WEV110" s="769"/>
      <c r="WEW110" s="769"/>
      <c r="WEX110" s="769"/>
      <c r="WEY110" s="769"/>
      <c r="WEZ110" s="769"/>
      <c r="WFA110" s="769"/>
      <c r="WFB110" s="769"/>
      <c r="WFC110" s="769"/>
      <c r="WFD110" s="769"/>
      <c r="WFE110" s="769"/>
      <c r="WFF110" s="769"/>
      <c r="WFG110" s="769"/>
      <c r="WFH110" s="769"/>
      <c r="WFI110" s="769"/>
      <c r="WFJ110" s="769"/>
      <c r="WFK110" s="769"/>
      <c r="WFL110" s="769"/>
      <c r="WFM110" s="769"/>
      <c r="WFN110" s="769"/>
      <c r="WFO110" s="769"/>
      <c r="WFP110" s="769"/>
      <c r="WFQ110" s="769"/>
      <c r="WFR110" s="769"/>
      <c r="WFS110" s="769"/>
      <c r="WFT110" s="769"/>
      <c r="WFU110" s="769"/>
      <c r="WFV110" s="769"/>
      <c r="WFW110" s="769"/>
      <c r="WFX110" s="769"/>
      <c r="WFY110" s="769"/>
      <c r="WFZ110" s="769"/>
      <c r="WGA110" s="769"/>
      <c r="WGB110" s="769"/>
      <c r="WGC110" s="769"/>
      <c r="WGD110" s="769"/>
      <c r="WGE110" s="769"/>
      <c r="WGF110" s="769"/>
      <c r="WGG110" s="769"/>
      <c r="WGH110" s="769"/>
      <c r="WGI110" s="769"/>
      <c r="WGJ110" s="769"/>
      <c r="WGK110" s="769"/>
      <c r="WGL110" s="769"/>
      <c r="WGM110" s="769"/>
      <c r="WGN110" s="769"/>
      <c r="WGO110" s="769"/>
      <c r="WGP110" s="769"/>
      <c r="WGQ110" s="769"/>
      <c r="WGR110" s="769"/>
      <c r="WGS110" s="769"/>
      <c r="WGT110" s="769"/>
      <c r="WGU110" s="769"/>
      <c r="WGV110" s="769"/>
      <c r="WGW110" s="769"/>
      <c r="WGX110" s="769"/>
      <c r="WGY110" s="769"/>
      <c r="WGZ110" s="769"/>
      <c r="WHA110" s="769"/>
      <c r="WHB110" s="769"/>
      <c r="WHC110" s="769"/>
      <c r="WHD110" s="769"/>
      <c r="WHE110" s="769"/>
      <c r="WHF110" s="769"/>
      <c r="WHG110" s="769"/>
      <c r="WHH110" s="769"/>
      <c r="WHI110" s="769"/>
      <c r="WHJ110" s="769"/>
      <c r="WHK110" s="769"/>
      <c r="WHL110" s="769"/>
      <c r="WHM110" s="769"/>
      <c r="WHN110" s="769"/>
      <c r="WHO110" s="769"/>
      <c r="WHP110" s="769"/>
      <c r="WHQ110" s="769"/>
      <c r="WHR110" s="769"/>
      <c r="WHS110" s="769"/>
      <c r="WHT110" s="769"/>
      <c r="WHU110" s="769"/>
      <c r="WHV110" s="769"/>
      <c r="WHW110" s="769"/>
      <c r="WHX110" s="769"/>
      <c r="WHY110" s="769"/>
      <c r="WHZ110" s="769"/>
      <c r="WIA110" s="769"/>
      <c r="WIB110" s="769"/>
      <c r="WIC110" s="769"/>
      <c r="WID110" s="769"/>
      <c r="WIE110" s="769"/>
      <c r="WIF110" s="769"/>
      <c r="WIG110" s="769"/>
      <c r="WIH110" s="769"/>
      <c r="WII110" s="769"/>
      <c r="WIJ110" s="769"/>
      <c r="WIK110" s="769"/>
      <c r="WIL110" s="769"/>
      <c r="WIM110" s="769"/>
      <c r="WIN110" s="769"/>
      <c r="WIO110" s="769"/>
      <c r="WIP110" s="769"/>
      <c r="WIQ110" s="769"/>
      <c r="WIR110" s="769"/>
      <c r="WIS110" s="769"/>
      <c r="WIT110" s="769"/>
      <c r="WIU110" s="769"/>
      <c r="WIV110" s="769"/>
      <c r="WIW110" s="769"/>
      <c r="WIX110" s="769"/>
      <c r="WIY110" s="769"/>
      <c r="WIZ110" s="769"/>
      <c r="WJA110" s="769"/>
      <c r="WJB110" s="769"/>
      <c r="WJC110" s="769"/>
      <c r="WJD110" s="769"/>
      <c r="WJE110" s="769"/>
      <c r="WJF110" s="769"/>
      <c r="WJG110" s="769"/>
      <c r="WJH110" s="769"/>
      <c r="WJI110" s="769"/>
      <c r="WJJ110" s="769"/>
      <c r="WJK110" s="769"/>
      <c r="WJL110" s="769"/>
      <c r="WJM110" s="769"/>
      <c r="WJN110" s="769"/>
      <c r="WJO110" s="769"/>
      <c r="WJP110" s="769"/>
      <c r="WJQ110" s="769"/>
      <c r="WJR110" s="769"/>
      <c r="WJS110" s="769"/>
      <c r="WJT110" s="769"/>
      <c r="WJU110" s="769"/>
      <c r="WJV110" s="769"/>
      <c r="WJW110" s="769"/>
      <c r="WJX110" s="769"/>
      <c r="WJY110" s="769"/>
      <c r="WJZ110" s="769"/>
      <c r="WKA110" s="769"/>
      <c r="WKB110" s="769"/>
      <c r="WKC110" s="769"/>
      <c r="WKD110" s="769"/>
      <c r="WKE110" s="769"/>
      <c r="WKF110" s="769"/>
      <c r="WKG110" s="769"/>
      <c r="WKH110" s="769"/>
      <c r="WKI110" s="769"/>
      <c r="WKJ110" s="769"/>
      <c r="WKK110" s="769"/>
      <c r="WKL110" s="769"/>
      <c r="WKM110" s="769"/>
      <c r="WKN110" s="769"/>
      <c r="WKO110" s="769"/>
      <c r="WKP110" s="769"/>
      <c r="WKQ110" s="769"/>
      <c r="WKR110" s="769"/>
      <c r="WKS110" s="769"/>
      <c r="WKT110" s="769"/>
      <c r="WKU110" s="769"/>
      <c r="WKV110" s="769"/>
      <c r="WKW110" s="769"/>
      <c r="WKX110" s="769"/>
      <c r="WKY110" s="769"/>
      <c r="WKZ110" s="769"/>
      <c r="WLA110" s="769"/>
      <c r="WLB110" s="769"/>
      <c r="WLC110" s="769"/>
      <c r="WLD110" s="769"/>
      <c r="WLE110" s="769"/>
      <c r="WLF110" s="769"/>
      <c r="WLG110" s="769"/>
      <c r="WLH110" s="769"/>
      <c r="WLI110" s="769"/>
      <c r="WLJ110" s="769"/>
      <c r="WLK110" s="769"/>
      <c r="WLL110" s="769"/>
      <c r="WLM110" s="769"/>
      <c r="WLN110" s="769"/>
      <c r="WLO110" s="769"/>
      <c r="WLP110" s="769"/>
      <c r="WLQ110" s="769"/>
      <c r="WLR110" s="769"/>
      <c r="WLS110" s="769"/>
      <c r="WLT110" s="769"/>
      <c r="WLU110" s="769"/>
      <c r="WLV110" s="769"/>
      <c r="WLW110" s="769"/>
      <c r="WLX110" s="769"/>
      <c r="WLY110" s="769"/>
      <c r="WLZ110" s="769"/>
      <c r="WMA110" s="769"/>
      <c r="WMB110" s="769"/>
      <c r="WMC110" s="769"/>
      <c r="WMD110" s="769"/>
      <c r="WME110" s="769"/>
      <c r="WMF110" s="769"/>
      <c r="WMG110" s="769"/>
      <c r="WMH110" s="769"/>
      <c r="WMI110" s="769"/>
      <c r="WMJ110" s="769"/>
      <c r="WMK110" s="769"/>
      <c r="WML110" s="769"/>
      <c r="WMM110" s="769"/>
      <c r="WMN110" s="769"/>
      <c r="WMO110" s="769"/>
      <c r="WMP110" s="769"/>
      <c r="WMQ110" s="769"/>
      <c r="WMR110" s="769"/>
      <c r="WMS110" s="769"/>
      <c r="WMT110" s="769"/>
      <c r="WMU110" s="769"/>
      <c r="WMV110" s="769"/>
      <c r="WMW110" s="769"/>
      <c r="WMX110" s="769"/>
      <c r="WMY110" s="769"/>
      <c r="WMZ110" s="769"/>
      <c r="WNA110" s="769"/>
      <c r="WNB110" s="769"/>
      <c r="WNC110" s="769"/>
      <c r="WND110" s="769"/>
      <c r="WNE110" s="769"/>
      <c r="WNF110" s="769"/>
      <c r="WNG110" s="769"/>
      <c r="WNH110" s="769"/>
      <c r="WNI110" s="769"/>
      <c r="WNJ110" s="769"/>
      <c r="WNK110" s="769"/>
      <c r="WNL110" s="769"/>
      <c r="WNM110" s="769"/>
      <c r="WNN110" s="769"/>
      <c r="WNO110" s="769"/>
      <c r="WNP110" s="769"/>
      <c r="WNQ110" s="769"/>
      <c r="WNR110" s="769"/>
      <c r="WNS110" s="769"/>
      <c r="WNT110" s="769"/>
      <c r="WNU110" s="769"/>
      <c r="WNV110" s="769"/>
      <c r="WNW110" s="769"/>
      <c r="WNX110" s="769"/>
      <c r="WNY110" s="769"/>
      <c r="WNZ110" s="769"/>
      <c r="WOA110" s="769"/>
      <c r="WOB110" s="769"/>
      <c r="WOC110" s="769"/>
      <c r="WOD110" s="769"/>
      <c r="WOE110" s="769"/>
      <c r="WOF110" s="769"/>
      <c r="WOG110" s="769"/>
      <c r="WOH110" s="769"/>
      <c r="WOI110" s="769"/>
      <c r="WOJ110" s="769"/>
      <c r="WOK110" s="769"/>
      <c r="WOL110" s="769"/>
      <c r="WOM110" s="769"/>
      <c r="WON110" s="769"/>
      <c r="WOO110" s="769"/>
      <c r="WOP110" s="769"/>
      <c r="WOQ110" s="769"/>
      <c r="WOR110" s="769"/>
      <c r="WOS110" s="769"/>
      <c r="WOT110" s="769"/>
      <c r="WOU110" s="769"/>
      <c r="WOV110" s="769"/>
      <c r="WOW110" s="769"/>
      <c r="WOX110" s="769"/>
      <c r="WOY110" s="769"/>
      <c r="WOZ110" s="769"/>
      <c r="WPA110" s="769"/>
      <c r="WPB110" s="769"/>
      <c r="WPC110" s="769"/>
      <c r="WPD110" s="769"/>
      <c r="WPE110" s="769"/>
      <c r="WPF110" s="769"/>
      <c r="WPG110" s="769"/>
      <c r="WPH110" s="769"/>
      <c r="WPI110" s="769"/>
      <c r="WPJ110" s="769"/>
      <c r="WPK110" s="769"/>
      <c r="WPL110" s="769"/>
      <c r="WPM110" s="769"/>
      <c r="WPN110" s="769"/>
      <c r="WPO110" s="769"/>
      <c r="WPP110" s="769"/>
      <c r="WPQ110" s="769"/>
      <c r="WPR110" s="769"/>
      <c r="WPS110" s="769"/>
      <c r="WPT110" s="769"/>
      <c r="WPU110" s="769"/>
      <c r="WPV110" s="769"/>
      <c r="WPW110" s="769"/>
      <c r="WPX110" s="769"/>
      <c r="WPY110" s="769"/>
      <c r="WPZ110" s="769"/>
      <c r="WQA110" s="769"/>
      <c r="WQB110" s="769"/>
      <c r="WQC110" s="769"/>
      <c r="WQD110" s="769"/>
      <c r="WQE110" s="769"/>
      <c r="WQF110" s="769"/>
      <c r="WQG110" s="769"/>
      <c r="WQH110" s="769"/>
      <c r="WQI110" s="769"/>
      <c r="WQJ110" s="769"/>
      <c r="WQK110" s="769"/>
      <c r="WQL110" s="769"/>
      <c r="WQM110" s="769"/>
      <c r="WQN110" s="769"/>
      <c r="WQO110" s="769"/>
      <c r="WQP110" s="769"/>
      <c r="WQQ110" s="769"/>
      <c r="WQR110" s="769"/>
      <c r="WQS110" s="769"/>
      <c r="WQT110" s="769"/>
      <c r="WQU110" s="769"/>
      <c r="WQV110" s="769"/>
      <c r="WQW110" s="769"/>
      <c r="WQX110" s="769"/>
      <c r="WQY110" s="769"/>
      <c r="WQZ110" s="769"/>
      <c r="WRA110" s="769"/>
      <c r="WRB110" s="769"/>
      <c r="WRC110" s="769"/>
      <c r="WRD110" s="769"/>
      <c r="WRE110" s="769"/>
      <c r="WRF110" s="769"/>
      <c r="WRG110" s="769"/>
      <c r="WRH110" s="769"/>
      <c r="WRI110" s="769"/>
      <c r="WRJ110" s="769"/>
      <c r="WRK110" s="769"/>
      <c r="WRL110" s="769"/>
      <c r="WRM110" s="769"/>
      <c r="WRN110" s="769"/>
      <c r="WRO110" s="769"/>
      <c r="WRP110" s="769"/>
      <c r="WRQ110" s="769"/>
      <c r="WRR110" s="769"/>
      <c r="WRS110" s="769"/>
      <c r="WRT110" s="769"/>
      <c r="WRU110" s="769"/>
      <c r="WRV110" s="769"/>
      <c r="WRW110" s="769"/>
      <c r="WRX110" s="769"/>
      <c r="WRY110" s="769"/>
      <c r="WRZ110" s="769"/>
      <c r="WSA110" s="769"/>
      <c r="WSB110" s="769"/>
      <c r="WSC110" s="769"/>
      <c r="WSD110" s="769"/>
      <c r="WSE110" s="769"/>
      <c r="WSF110" s="769"/>
      <c r="WSG110" s="769"/>
      <c r="WSH110" s="769"/>
      <c r="WSI110" s="769"/>
      <c r="WSJ110" s="769"/>
      <c r="WSK110" s="769"/>
      <c r="WSL110" s="769"/>
      <c r="WSM110" s="769"/>
      <c r="WSN110" s="769"/>
      <c r="WSO110" s="769"/>
      <c r="WSP110" s="769"/>
      <c r="WSQ110" s="769"/>
      <c r="WSR110" s="769"/>
      <c r="WSS110" s="769"/>
      <c r="WST110" s="769"/>
      <c r="WSU110" s="769"/>
      <c r="WSV110" s="769"/>
      <c r="WSW110" s="769"/>
      <c r="WSX110" s="769"/>
      <c r="WSY110" s="769"/>
      <c r="WSZ110" s="769"/>
      <c r="WTA110" s="769"/>
      <c r="WTB110" s="769"/>
      <c r="WTC110" s="769"/>
      <c r="WTD110" s="769"/>
      <c r="WTE110" s="769"/>
      <c r="WTF110" s="769"/>
      <c r="WTG110" s="769"/>
      <c r="WTH110" s="769"/>
      <c r="WTI110" s="769"/>
      <c r="WTJ110" s="769"/>
      <c r="WTK110" s="769"/>
      <c r="WTL110" s="769"/>
      <c r="WTM110" s="769"/>
      <c r="WTN110" s="769"/>
      <c r="WTO110" s="769"/>
      <c r="WTP110" s="769"/>
      <c r="WTQ110" s="769"/>
      <c r="WTR110" s="769"/>
      <c r="WTS110" s="769"/>
      <c r="WTT110" s="769"/>
      <c r="WTU110" s="769"/>
      <c r="WTV110" s="769"/>
      <c r="WTW110" s="769"/>
      <c r="WTX110" s="769"/>
      <c r="WTY110" s="769"/>
      <c r="WTZ110" s="769"/>
      <c r="WUA110" s="769"/>
      <c r="WUB110" s="769"/>
      <c r="WUC110" s="769"/>
      <c r="WUD110" s="769"/>
      <c r="WUE110" s="769"/>
      <c r="WUF110" s="769"/>
      <c r="WUG110" s="769"/>
      <c r="WUH110" s="769"/>
      <c r="WUI110" s="769"/>
      <c r="WUJ110" s="769"/>
      <c r="WUK110" s="769"/>
      <c r="WUL110" s="769"/>
      <c r="WUM110" s="769"/>
      <c r="WUN110" s="769"/>
      <c r="WUO110" s="769"/>
      <c r="WUP110" s="769"/>
      <c r="WUQ110" s="769"/>
      <c r="WUR110" s="769"/>
      <c r="WUS110" s="769"/>
      <c r="WUT110" s="769"/>
      <c r="WUU110" s="769"/>
      <c r="WUV110" s="769"/>
      <c r="WUW110" s="769"/>
      <c r="WUX110" s="769"/>
      <c r="WUY110" s="769"/>
      <c r="WUZ110" s="769"/>
      <c r="WVA110" s="769"/>
      <c r="WVB110" s="769"/>
      <c r="WVC110" s="769"/>
      <c r="WVD110" s="769"/>
      <c r="WVE110" s="769"/>
      <c r="WVF110" s="769"/>
      <c r="WVG110" s="769"/>
      <c r="WVH110" s="769"/>
      <c r="WVI110" s="769"/>
      <c r="WVJ110" s="769"/>
      <c r="WVK110" s="769"/>
      <c r="WVL110" s="769"/>
      <c r="WVM110" s="769"/>
      <c r="WVN110" s="769"/>
      <c r="WVO110" s="769"/>
      <c r="WVP110" s="769"/>
      <c r="WVQ110" s="769"/>
      <c r="WVR110" s="769"/>
      <c r="WVS110" s="769"/>
      <c r="WVT110" s="769"/>
      <c r="WVU110" s="769"/>
      <c r="WVV110" s="769"/>
      <c r="WVW110" s="769"/>
      <c r="WVX110" s="769"/>
      <c r="WVY110" s="769"/>
      <c r="WVZ110" s="769"/>
      <c r="WWA110" s="769"/>
      <c r="WWB110" s="769"/>
      <c r="WWC110" s="769"/>
      <c r="WWD110" s="769"/>
      <c r="WWE110" s="769"/>
      <c r="WWF110" s="769"/>
      <c r="WWG110" s="769"/>
      <c r="WWH110" s="769"/>
      <c r="WWI110" s="769"/>
      <c r="WWJ110" s="769"/>
      <c r="WWK110" s="769"/>
      <c r="WWL110" s="769"/>
      <c r="WWM110" s="769"/>
      <c r="WWN110" s="769"/>
      <c r="WWO110" s="769"/>
      <c r="WWP110" s="769"/>
      <c r="WWQ110" s="769"/>
      <c r="WWR110" s="769"/>
      <c r="WWS110" s="769"/>
      <c r="WWT110" s="769"/>
      <c r="WWU110" s="769"/>
      <c r="WWV110" s="769"/>
      <c r="WWW110" s="769"/>
      <c r="WWX110" s="769"/>
      <c r="WWY110" s="769"/>
      <c r="WWZ110" s="769"/>
      <c r="WXA110" s="769"/>
      <c r="WXB110" s="769"/>
      <c r="WXC110" s="769"/>
      <c r="WXD110" s="769"/>
      <c r="WXE110" s="769"/>
      <c r="WXF110" s="769"/>
      <c r="WXG110" s="769"/>
      <c r="WXH110" s="769"/>
      <c r="WXI110" s="769"/>
      <c r="WXJ110" s="769"/>
      <c r="WXK110" s="769"/>
      <c r="WXL110" s="769"/>
      <c r="WXM110" s="769"/>
      <c r="WXN110" s="769"/>
      <c r="WXO110" s="769"/>
      <c r="WXP110" s="769"/>
      <c r="WXQ110" s="769"/>
      <c r="WXR110" s="769"/>
      <c r="WXS110" s="769"/>
      <c r="WXT110" s="769"/>
      <c r="WXU110" s="769"/>
      <c r="WXV110" s="769"/>
      <c r="WXW110" s="769"/>
      <c r="WXX110" s="769"/>
      <c r="WXY110" s="769"/>
      <c r="WXZ110" s="769"/>
      <c r="WYA110" s="769"/>
      <c r="WYB110" s="769"/>
      <c r="WYC110" s="769"/>
      <c r="WYD110" s="769"/>
      <c r="WYE110" s="769"/>
      <c r="WYF110" s="769"/>
      <c r="WYG110" s="769"/>
      <c r="WYH110" s="769"/>
      <c r="WYI110" s="769"/>
      <c r="WYJ110" s="769"/>
      <c r="WYK110" s="769"/>
      <c r="WYL110" s="769"/>
      <c r="WYM110" s="769"/>
      <c r="WYN110" s="769"/>
      <c r="WYO110" s="769"/>
      <c r="WYP110" s="769"/>
      <c r="WYQ110" s="769"/>
      <c r="WYR110" s="769"/>
      <c r="WYS110" s="769"/>
      <c r="WYT110" s="769"/>
      <c r="WYU110" s="769"/>
      <c r="WYV110" s="769"/>
      <c r="WYW110" s="769"/>
      <c r="WYX110" s="769"/>
      <c r="WYY110" s="769"/>
      <c r="WYZ110" s="769"/>
      <c r="WZA110" s="769"/>
      <c r="WZB110" s="769"/>
      <c r="WZC110" s="769"/>
      <c r="WZD110" s="769"/>
      <c r="WZE110" s="769"/>
      <c r="WZF110" s="769"/>
      <c r="WZG110" s="769"/>
      <c r="WZH110" s="769"/>
      <c r="WZI110" s="769"/>
      <c r="WZJ110" s="769"/>
      <c r="WZK110" s="769"/>
      <c r="WZL110" s="769"/>
      <c r="WZM110" s="769"/>
      <c r="WZN110" s="769"/>
      <c r="WZO110" s="769"/>
      <c r="WZP110" s="769"/>
      <c r="WZQ110" s="769"/>
      <c r="WZR110" s="769"/>
      <c r="WZS110" s="769"/>
      <c r="WZT110" s="769"/>
      <c r="WZU110" s="769"/>
      <c r="WZV110" s="769"/>
      <c r="WZW110" s="769"/>
      <c r="WZX110" s="769"/>
      <c r="WZY110" s="769"/>
      <c r="WZZ110" s="769"/>
      <c r="XAA110" s="769"/>
      <c r="XAB110" s="769"/>
      <c r="XAC110" s="769"/>
      <c r="XAD110" s="769"/>
      <c r="XAE110" s="769"/>
      <c r="XAF110" s="769"/>
      <c r="XAG110" s="769"/>
      <c r="XAH110" s="769"/>
      <c r="XAI110" s="769"/>
      <c r="XAJ110" s="769"/>
      <c r="XAK110" s="769"/>
      <c r="XAL110" s="769"/>
      <c r="XAM110" s="769"/>
      <c r="XAN110" s="769"/>
      <c r="XAO110" s="769"/>
      <c r="XAP110" s="769"/>
      <c r="XAQ110" s="769"/>
      <c r="XAR110" s="769"/>
      <c r="XAS110" s="769"/>
      <c r="XAT110" s="769"/>
      <c r="XAU110" s="769"/>
      <c r="XAV110" s="769"/>
      <c r="XAW110" s="769"/>
      <c r="XAX110" s="769"/>
      <c r="XAY110" s="769"/>
      <c r="XAZ110" s="769"/>
      <c r="XBA110" s="769"/>
      <c r="XBB110" s="769"/>
      <c r="XBC110" s="769"/>
      <c r="XBD110" s="769"/>
      <c r="XBE110" s="769"/>
      <c r="XBF110" s="769"/>
      <c r="XBG110" s="769"/>
      <c r="XBH110" s="769"/>
      <c r="XBI110" s="769"/>
      <c r="XBJ110" s="769"/>
      <c r="XBK110" s="769"/>
      <c r="XBL110" s="769"/>
      <c r="XBM110" s="769"/>
      <c r="XBN110" s="769"/>
      <c r="XBO110" s="769"/>
      <c r="XBP110" s="769"/>
      <c r="XBQ110" s="769"/>
      <c r="XBR110" s="769"/>
      <c r="XBS110" s="769"/>
      <c r="XBT110" s="769"/>
      <c r="XBU110" s="769"/>
      <c r="XBV110" s="769"/>
      <c r="XBW110" s="769"/>
      <c r="XBX110" s="769"/>
      <c r="XBY110" s="769"/>
      <c r="XBZ110" s="769"/>
      <c r="XCA110" s="769"/>
      <c r="XCB110" s="769"/>
      <c r="XCC110" s="769"/>
      <c r="XCD110" s="769"/>
      <c r="XCE110" s="769"/>
      <c r="XCF110" s="769"/>
      <c r="XCG110" s="769"/>
      <c r="XCH110" s="769"/>
      <c r="XCI110" s="769"/>
      <c r="XCJ110" s="769"/>
      <c r="XCK110" s="769"/>
      <c r="XCL110" s="769"/>
      <c r="XCM110" s="769"/>
      <c r="XCN110" s="769"/>
      <c r="XCO110" s="769"/>
      <c r="XCP110" s="769"/>
      <c r="XCQ110" s="769"/>
      <c r="XCR110" s="769"/>
      <c r="XCS110" s="769"/>
      <c r="XCT110" s="769"/>
      <c r="XCU110" s="769"/>
      <c r="XCV110" s="769"/>
      <c r="XCW110" s="769"/>
      <c r="XCX110" s="769"/>
      <c r="XCY110" s="769"/>
      <c r="XCZ110" s="769"/>
      <c r="XDA110" s="769"/>
      <c r="XDB110" s="769"/>
      <c r="XDC110" s="769"/>
      <c r="XDD110" s="769"/>
      <c r="XDE110" s="769"/>
      <c r="XDF110" s="769"/>
      <c r="XDG110" s="769"/>
      <c r="XDH110" s="769"/>
      <c r="XDI110" s="769"/>
      <c r="XDJ110" s="769"/>
      <c r="XDK110" s="769"/>
      <c r="XDL110" s="769"/>
      <c r="XDM110" s="769"/>
      <c r="XDN110" s="769"/>
      <c r="XDO110" s="769"/>
      <c r="XDP110" s="769"/>
      <c r="XDQ110" s="769"/>
      <c r="XDR110" s="769"/>
      <c r="XDS110" s="769"/>
      <c r="XDT110" s="769"/>
      <c r="XDU110" s="769"/>
      <c r="XDV110" s="769"/>
      <c r="XDW110" s="769"/>
      <c r="XDX110" s="769"/>
      <c r="XDY110" s="769"/>
      <c r="XDZ110" s="769"/>
      <c r="XEA110" s="769"/>
      <c r="XEB110" s="769"/>
      <c r="XEC110" s="769"/>
      <c r="XED110" s="769"/>
      <c r="XEE110" s="769"/>
      <c r="XEF110" s="769"/>
      <c r="XEG110" s="769"/>
      <c r="XEH110" s="769"/>
      <c r="XEI110" s="769"/>
      <c r="XEJ110" s="769"/>
      <c r="XEK110" s="769"/>
      <c r="XEL110" s="769"/>
      <c r="XEM110" s="769"/>
      <c r="XEN110" s="769"/>
      <c r="XEO110" s="769"/>
      <c r="XEP110" s="769"/>
      <c r="XEQ110" s="769"/>
      <c r="XER110" s="769"/>
      <c r="XES110" s="769"/>
      <c r="XET110" s="769"/>
      <c r="XEU110" s="769"/>
      <c r="XEV110" s="769"/>
      <c r="XEW110" s="769"/>
      <c r="XEX110" s="769"/>
      <c r="XEY110" s="769"/>
      <c r="XEZ110" s="769"/>
      <c r="XFA110" s="769"/>
      <c r="XFB110" s="769"/>
    </row>
    <row r="111" spans="1:16382" hidden="1" x14ac:dyDescent="0.25"/>
    <row r="112" spans="1:16382" hidden="1" x14ac:dyDescent="0.25">
      <c r="A112" s="769"/>
      <c r="B112" s="766" t="s">
        <v>5514</v>
      </c>
      <c r="R112" s="769"/>
      <c r="S112" s="769"/>
      <c r="T112" s="769"/>
      <c r="U112" s="769"/>
      <c r="V112" s="769"/>
      <c r="W112" s="769"/>
      <c r="X112" s="769"/>
      <c r="Y112" s="769"/>
      <c r="Z112" s="769"/>
      <c r="AA112" s="769"/>
      <c r="AB112" s="769"/>
      <c r="AC112" s="769"/>
      <c r="AD112" s="769"/>
      <c r="AE112" s="769"/>
      <c r="AF112" s="769"/>
      <c r="AG112" s="769"/>
      <c r="AH112" s="769"/>
      <c r="AI112" s="769"/>
      <c r="AJ112" s="769"/>
      <c r="AK112" s="769"/>
      <c r="AL112" s="769"/>
      <c r="AM112" s="769"/>
      <c r="AN112" s="769"/>
      <c r="AO112" s="769"/>
      <c r="AP112" s="769"/>
      <c r="AQ112" s="769"/>
      <c r="AR112" s="769"/>
      <c r="AS112" s="769"/>
      <c r="AT112" s="769"/>
      <c r="AU112" s="769"/>
      <c r="AV112" s="769"/>
      <c r="AW112" s="769"/>
      <c r="AX112" s="769"/>
      <c r="AY112" s="769"/>
      <c r="AZ112" s="769"/>
      <c r="BA112" s="769"/>
      <c r="BB112" s="769"/>
      <c r="BC112" s="769"/>
      <c r="BD112" s="769"/>
      <c r="BE112" s="769"/>
      <c r="BF112" s="769"/>
      <c r="BG112" s="769"/>
      <c r="BH112" s="769"/>
      <c r="BI112" s="769"/>
      <c r="BJ112" s="769"/>
      <c r="BK112" s="769"/>
      <c r="BL112" s="769"/>
      <c r="BM112" s="769"/>
      <c r="BN112" s="769"/>
      <c r="BO112" s="769"/>
      <c r="BP112" s="769"/>
      <c r="BQ112" s="769"/>
      <c r="BR112" s="769"/>
      <c r="BS112" s="769"/>
      <c r="BT112" s="769"/>
      <c r="BU112" s="769"/>
      <c r="BV112" s="769"/>
      <c r="BW112" s="769"/>
      <c r="BX112" s="769"/>
      <c r="BY112" s="769"/>
      <c r="BZ112" s="769"/>
      <c r="CA112" s="769"/>
      <c r="CB112" s="769"/>
      <c r="CC112" s="769"/>
      <c r="CD112" s="769"/>
      <c r="CE112" s="769"/>
      <c r="CF112" s="769"/>
      <c r="CG112" s="769"/>
      <c r="CH112" s="769"/>
      <c r="CI112" s="769"/>
      <c r="CJ112" s="769"/>
      <c r="CK112" s="769"/>
      <c r="CL112" s="769"/>
      <c r="CM112" s="769"/>
      <c r="CN112" s="769"/>
      <c r="CO112" s="769"/>
      <c r="CP112" s="769"/>
      <c r="CQ112" s="769"/>
      <c r="CR112" s="769"/>
      <c r="CS112" s="769"/>
      <c r="CT112" s="769"/>
      <c r="CU112" s="769"/>
      <c r="CV112" s="769"/>
      <c r="CW112" s="769"/>
      <c r="CX112" s="769"/>
      <c r="CY112" s="769"/>
      <c r="CZ112" s="769"/>
      <c r="DA112" s="769"/>
      <c r="DB112" s="769"/>
      <c r="DC112" s="769"/>
      <c r="DD112" s="769"/>
      <c r="DE112" s="769"/>
      <c r="DF112" s="769"/>
      <c r="DG112" s="769"/>
      <c r="DH112" s="769"/>
      <c r="DI112" s="769"/>
      <c r="DJ112" s="769"/>
      <c r="DK112" s="769"/>
      <c r="DL112" s="769"/>
      <c r="DM112" s="769"/>
      <c r="DN112" s="769"/>
      <c r="DO112" s="769"/>
      <c r="DP112" s="769"/>
      <c r="DQ112" s="769"/>
      <c r="DR112" s="769"/>
      <c r="DS112" s="769"/>
      <c r="DT112" s="769"/>
      <c r="DU112" s="769"/>
      <c r="DV112" s="769"/>
      <c r="DW112" s="769"/>
      <c r="DX112" s="769"/>
      <c r="DY112" s="769"/>
      <c r="DZ112" s="769"/>
      <c r="EA112" s="769"/>
      <c r="EB112" s="769"/>
      <c r="EC112" s="769"/>
      <c r="ED112" s="769"/>
      <c r="EE112" s="769"/>
      <c r="EF112" s="769"/>
      <c r="EG112" s="769"/>
      <c r="EH112" s="769"/>
      <c r="EI112" s="769"/>
      <c r="EJ112" s="769"/>
      <c r="EK112" s="769"/>
      <c r="EL112" s="769"/>
      <c r="EM112" s="769"/>
      <c r="EN112" s="769"/>
      <c r="EO112" s="769"/>
      <c r="EP112" s="769"/>
      <c r="EQ112" s="769"/>
      <c r="ER112" s="769"/>
      <c r="ES112" s="769"/>
      <c r="ET112" s="769"/>
      <c r="EU112" s="769"/>
      <c r="EV112" s="769"/>
      <c r="EW112" s="769"/>
      <c r="EX112" s="769"/>
      <c r="EY112" s="769"/>
      <c r="EZ112" s="769"/>
      <c r="FA112" s="769"/>
      <c r="FB112" s="769"/>
      <c r="FC112" s="769"/>
      <c r="FD112" s="769"/>
      <c r="FE112" s="769"/>
      <c r="FF112" s="769"/>
      <c r="FG112" s="769"/>
      <c r="FH112" s="769"/>
      <c r="FI112" s="769"/>
      <c r="FJ112" s="769"/>
      <c r="FK112" s="769"/>
      <c r="FL112" s="769"/>
      <c r="FM112" s="769"/>
      <c r="FN112" s="769"/>
      <c r="FO112" s="769"/>
      <c r="FP112" s="769"/>
      <c r="FQ112" s="769"/>
      <c r="FR112" s="769"/>
      <c r="FS112" s="769"/>
      <c r="FT112" s="769"/>
      <c r="FU112" s="769"/>
      <c r="FV112" s="769"/>
      <c r="FW112" s="769"/>
      <c r="FX112" s="769"/>
      <c r="FY112" s="769"/>
      <c r="FZ112" s="769"/>
      <c r="GA112" s="769"/>
      <c r="GB112" s="769"/>
      <c r="GC112" s="769"/>
      <c r="GD112" s="769"/>
      <c r="GE112" s="769"/>
      <c r="GF112" s="769"/>
      <c r="GG112" s="769"/>
      <c r="GH112" s="769"/>
      <c r="GI112" s="769"/>
      <c r="GJ112" s="769"/>
      <c r="GK112" s="769"/>
      <c r="GL112" s="769"/>
      <c r="GM112" s="769"/>
      <c r="GN112" s="769"/>
      <c r="GO112" s="769"/>
      <c r="GP112" s="769"/>
      <c r="GQ112" s="769"/>
      <c r="GR112" s="769"/>
      <c r="GS112" s="769"/>
      <c r="GT112" s="769"/>
      <c r="GU112" s="769"/>
      <c r="GV112" s="769"/>
      <c r="GW112" s="769"/>
      <c r="GX112" s="769"/>
      <c r="GY112" s="769"/>
      <c r="GZ112" s="769"/>
      <c r="HA112" s="769"/>
      <c r="HB112" s="769"/>
      <c r="HC112" s="769"/>
      <c r="HD112" s="769"/>
      <c r="HE112" s="769"/>
      <c r="HF112" s="769"/>
      <c r="HG112" s="769"/>
      <c r="HH112" s="769"/>
      <c r="HI112" s="769"/>
      <c r="HJ112" s="769"/>
      <c r="HK112" s="769"/>
      <c r="HL112" s="769"/>
      <c r="HM112" s="769"/>
      <c r="HN112" s="769"/>
      <c r="HO112" s="769"/>
      <c r="HP112" s="769"/>
      <c r="HQ112" s="769"/>
      <c r="HR112" s="769"/>
      <c r="HS112" s="769"/>
      <c r="HT112" s="769"/>
      <c r="HU112" s="769"/>
      <c r="HV112" s="769"/>
      <c r="HW112" s="769"/>
      <c r="HX112" s="769"/>
      <c r="HY112" s="769"/>
      <c r="HZ112" s="769"/>
      <c r="IA112" s="769"/>
      <c r="IB112" s="769"/>
      <c r="IC112" s="769"/>
      <c r="ID112" s="769"/>
      <c r="IE112" s="769"/>
      <c r="IF112" s="769"/>
      <c r="IG112" s="769"/>
      <c r="IH112" s="769"/>
      <c r="II112" s="769"/>
      <c r="IJ112" s="769"/>
      <c r="IK112" s="769"/>
      <c r="IL112" s="769"/>
      <c r="IM112" s="769"/>
      <c r="IN112" s="769"/>
      <c r="IO112" s="769"/>
      <c r="IP112" s="769"/>
      <c r="IQ112" s="769"/>
      <c r="IR112" s="769"/>
      <c r="IS112" s="769"/>
      <c r="IT112" s="769"/>
      <c r="IU112" s="769"/>
      <c r="IV112" s="769"/>
      <c r="IW112" s="769"/>
      <c r="IX112" s="769"/>
      <c r="IY112" s="769"/>
      <c r="IZ112" s="769"/>
      <c r="JA112" s="769"/>
      <c r="JB112" s="769"/>
      <c r="JC112" s="769"/>
      <c r="JD112" s="769"/>
      <c r="JE112" s="769"/>
      <c r="JF112" s="769"/>
      <c r="JG112" s="769"/>
      <c r="JH112" s="769"/>
      <c r="JI112" s="769"/>
      <c r="JJ112" s="769"/>
      <c r="JK112" s="769"/>
      <c r="JL112" s="769"/>
      <c r="JM112" s="769"/>
      <c r="JN112" s="769"/>
      <c r="JO112" s="769"/>
      <c r="JP112" s="769"/>
      <c r="JQ112" s="769"/>
      <c r="JR112" s="769"/>
      <c r="JS112" s="769"/>
      <c r="JT112" s="769"/>
      <c r="JU112" s="769"/>
      <c r="JV112" s="769"/>
      <c r="JW112" s="769"/>
      <c r="JX112" s="769"/>
      <c r="JY112" s="769"/>
      <c r="JZ112" s="769"/>
      <c r="KA112" s="769"/>
      <c r="KB112" s="769"/>
      <c r="KC112" s="769"/>
      <c r="KD112" s="769"/>
      <c r="KE112" s="769"/>
      <c r="KF112" s="769"/>
      <c r="KG112" s="769"/>
      <c r="KH112" s="769"/>
      <c r="KI112" s="769"/>
      <c r="KJ112" s="769"/>
      <c r="KK112" s="769"/>
      <c r="KL112" s="769"/>
      <c r="KM112" s="769"/>
      <c r="KN112" s="769"/>
      <c r="KO112" s="769"/>
      <c r="KP112" s="769"/>
      <c r="KQ112" s="769"/>
      <c r="KR112" s="769"/>
      <c r="KS112" s="769"/>
      <c r="KT112" s="769"/>
      <c r="KU112" s="769"/>
      <c r="KV112" s="769"/>
      <c r="KW112" s="769"/>
      <c r="KX112" s="769"/>
      <c r="KY112" s="769"/>
      <c r="KZ112" s="769"/>
      <c r="LA112" s="769"/>
      <c r="LB112" s="769"/>
      <c r="LC112" s="769"/>
      <c r="LD112" s="769"/>
      <c r="LE112" s="769"/>
      <c r="LF112" s="769"/>
      <c r="LG112" s="769"/>
      <c r="LH112" s="769"/>
      <c r="LI112" s="769"/>
      <c r="LJ112" s="769"/>
      <c r="LK112" s="769"/>
      <c r="LL112" s="769"/>
      <c r="LM112" s="769"/>
      <c r="LN112" s="769"/>
      <c r="LO112" s="769"/>
      <c r="LP112" s="769"/>
      <c r="LQ112" s="769"/>
      <c r="LR112" s="769"/>
      <c r="LS112" s="769"/>
      <c r="LT112" s="769"/>
      <c r="LU112" s="769"/>
      <c r="LV112" s="769"/>
      <c r="LW112" s="769"/>
      <c r="LX112" s="769"/>
      <c r="LY112" s="769"/>
      <c r="LZ112" s="769"/>
      <c r="MA112" s="769"/>
      <c r="MB112" s="769"/>
      <c r="MC112" s="769"/>
      <c r="MD112" s="769"/>
      <c r="ME112" s="769"/>
      <c r="MF112" s="769"/>
      <c r="MG112" s="769"/>
      <c r="MH112" s="769"/>
      <c r="MI112" s="769"/>
      <c r="MJ112" s="769"/>
      <c r="MK112" s="769"/>
      <c r="ML112" s="769"/>
      <c r="MM112" s="769"/>
      <c r="MN112" s="769"/>
      <c r="MO112" s="769"/>
      <c r="MP112" s="769"/>
      <c r="MQ112" s="769"/>
      <c r="MR112" s="769"/>
      <c r="MS112" s="769"/>
      <c r="MT112" s="769"/>
      <c r="MU112" s="769"/>
      <c r="MV112" s="769"/>
      <c r="MW112" s="769"/>
      <c r="MX112" s="769"/>
      <c r="MY112" s="769"/>
      <c r="MZ112" s="769"/>
      <c r="NA112" s="769"/>
      <c r="NB112" s="769"/>
      <c r="NC112" s="769"/>
      <c r="ND112" s="769"/>
      <c r="NE112" s="769"/>
      <c r="NF112" s="769"/>
      <c r="NG112" s="769"/>
      <c r="NH112" s="769"/>
      <c r="NI112" s="769"/>
      <c r="NJ112" s="769"/>
      <c r="NK112" s="769"/>
      <c r="NL112" s="769"/>
      <c r="NM112" s="769"/>
      <c r="NN112" s="769"/>
      <c r="NO112" s="769"/>
      <c r="NP112" s="769"/>
      <c r="NQ112" s="769"/>
      <c r="NR112" s="769"/>
      <c r="NS112" s="769"/>
      <c r="NT112" s="769"/>
      <c r="NU112" s="769"/>
      <c r="NV112" s="769"/>
      <c r="NW112" s="769"/>
      <c r="NX112" s="769"/>
      <c r="NY112" s="769"/>
      <c r="NZ112" s="769"/>
      <c r="OA112" s="769"/>
      <c r="OB112" s="769"/>
      <c r="OC112" s="769"/>
      <c r="OD112" s="769"/>
      <c r="OE112" s="769"/>
      <c r="OF112" s="769"/>
      <c r="OG112" s="769"/>
      <c r="OH112" s="769"/>
      <c r="OI112" s="769"/>
      <c r="OJ112" s="769"/>
      <c r="OK112" s="769"/>
      <c r="OL112" s="769"/>
      <c r="OM112" s="769"/>
      <c r="ON112" s="769"/>
      <c r="OO112" s="769"/>
      <c r="OP112" s="769"/>
      <c r="OQ112" s="769"/>
      <c r="OR112" s="769"/>
      <c r="OS112" s="769"/>
      <c r="OT112" s="769"/>
      <c r="OU112" s="769"/>
      <c r="OV112" s="769"/>
      <c r="OW112" s="769"/>
      <c r="OX112" s="769"/>
      <c r="OY112" s="769"/>
      <c r="OZ112" s="769"/>
      <c r="PA112" s="769"/>
      <c r="PB112" s="769"/>
      <c r="PC112" s="769"/>
      <c r="PD112" s="769"/>
      <c r="PE112" s="769"/>
      <c r="PF112" s="769"/>
      <c r="PG112" s="769"/>
      <c r="PH112" s="769"/>
      <c r="PI112" s="769"/>
      <c r="PJ112" s="769"/>
      <c r="PK112" s="769"/>
      <c r="PL112" s="769"/>
      <c r="PM112" s="769"/>
      <c r="PN112" s="769"/>
      <c r="PO112" s="769"/>
      <c r="PP112" s="769"/>
      <c r="PQ112" s="769"/>
      <c r="PR112" s="769"/>
      <c r="PS112" s="769"/>
      <c r="PT112" s="769"/>
      <c r="PU112" s="769"/>
      <c r="PV112" s="769"/>
      <c r="PW112" s="769"/>
      <c r="PX112" s="769"/>
      <c r="PY112" s="769"/>
      <c r="PZ112" s="769"/>
      <c r="QA112" s="769"/>
      <c r="QB112" s="769"/>
      <c r="QC112" s="769"/>
      <c r="QD112" s="769"/>
      <c r="QE112" s="769"/>
      <c r="QF112" s="769"/>
      <c r="QG112" s="769"/>
      <c r="QH112" s="769"/>
      <c r="QI112" s="769"/>
      <c r="QJ112" s="769"/>
      <c r="QK112" s="769"/>
      <c r="QL112" s="769"/>
      <c r="QM112" s="769"/>
      <c r="QN112" s="769"/>
      <c r="QO112" s="769"/>
      <c r="QP112" s="769"/>
      <c r="QQ112" s="769"/>
      <c r="QR112" s="769"/>
      <c r="QS112" s="769"/>
      <c r="QT112" s="769"/>
      <c r="QU112" s="769"/>
      <c r="QV112" s="769"/>
      <c r="QW112" s="769"/>
      <c r="QX112" s="769"/>
      <c r="QY112" s="769"/>
      <c r="QZ112" s="769"/>
      <c r="RA112" s="769"/>
      <c r="RB112" s="769"/>
      <c r="RC112" s="769"/>
      <c r="RD112" s="769"/>
      <c r="RE112" s="769"/>
      <c r="RF112" s="769"/>
      <c r="RG112" s="769"/>
      <c r="RH112" s="769"/>
      <c r="RI112" s="769"/>
      <c r="RJ112" s="769"/>
      <c r="RK112" s="769"/>
      <c r="RL112" s="769"/>
      <c r="RM112" s="769"/>
      <c r="RN112" s="769"/>
      <c r="RO112" s="769"/>
      <c r="RP112" s="769"/>
      <c r="RQ112" s="769"/>
      <c r="RR112" s="769"/>
      <c r="RS112" s="769"/>
      <c r="RT112" s="769"/>
      <c r="RU112" s="769"/>
      <c r="RV112" s="769"/>
      <c r="RW112" s="769"/>
      <c r="RX112" s="769"/>
      <c r="RY112" s="769"/>
      <c r="RZ112" s="769"/>
      <c r="SA112" s="769"/>
      <c r="SB112" s="769"/>
      <c r="SC112" s="769"/>
      <c r="SD112" s="769"/>
      <c r="SE112" s="769"/>
      <c r="SF112" s="769"/>
      <c r="SG112" s="769"/>
      <c r="SH112" s="769"/>
      <c r="SI112" s="769"/>
      <c r="SJ112" s="769"/>
      <c r="SK112" s="769"/>
      <c r="SL112" s="769"/>
      <c r="SM112" s="769"/>
      <c r="SN112" s="769"/>
      <c r="SO112" s="769"/>
      <c r="SP112" s="769"/>
      <c r="SQ112" s="769"/>
      <c r="SR112" s="769"/>
      <c r="SS112" s="769"/>
      <c r="ST112" s="769"/>
      <c r="SU112" s="769"/>
      <c r="SV112" s="769"/>
      <c r="SW112" s="769"/>
      <c r="SX112" s="769"/>
      <c r="SY112" s="769"/>
      <c r="SZ112" s="769"/>
      <c r="TA112" s="769"/>
      <c r="TB112" s="769"/>
      <c r="TC112" s="769"/>
      <c r="TD112" s="769"/>
      <c r="TE112" s="769"/>
      <c r="TF112" s="769"/>
      <c r="TG112" s="769"/>
      <c r="TH112" s="769"/>
      <c r="TI112" s="769"/>
      <c r="TJ112" s="769"/>
      <c r="TK112" s="769"/>
      <c r="TL112" s="769"/>
      <c r="TM112" s="769"/>
      <c r="TN112" s="769"/>
      <c r="TO112" s="769"/>
      <c r="TP112" s="769"/>
      <c r="TQ112" s="769"/>
      <c r="TR112" s="769"/>
      <c r="TS112" s="769"/>
      <c r="TT112" s="769"/>
      <c r="TU112" s="769"/>
      <c r="TV112" s="769"/>
      <c r="TW112" s="769"/>
      <c r="TX112" s="769"/>
      <c r="TY112" s="769"/>
      <c r="TZ112" s="769"/>
      <c r="UA112" s="769"/>
      <c r="UB112" s="769"/>
      <c r="UC112" s="769"/>
      <c r="UD112" s="769"/>
      <c r="UE112" s="769"/>
      <c r="UF112" s="769"/>
      <c r="UG112" s="769"/>
      <c r="UH112" s="769"/>
      <c r="UI112" s="769"/>
      <c r="UJ112" s="769"/>
      <c r="UK112" s="769"/>
      <c r="UL112" s="769"/>
      <c r="UM112" s="769"/>
      <c r="UN112" s="769"/>
      <c r="UO112" s="769"/>
      <c r="UP112" s="769"/>
      <c r="UQ112" s="769"/>
      <c r="UR112" s="769"/>
      <c r="US112" s="769"/>
      <c r="UT112" s="769"/>
      <c r="UU112" s="769"/>
      <c r="UV112" s="769"/>
      <c r="UW112" s="769"/>
      <c r="UX112" s="769"/>
      <c r="UY112" s="769"/>
      <c r="UZ112" s="769"/>
      <c r="VA112" s="769"/>
      <c r="VB112" s="769"/>
      <c r="VC112" s="769"/>
      <c r="VD112" s="769"/>
      <c r="VE112" s="769"/>
      <c r="VF112" s="769"/>
      <c r="VG112" s="769"/>
      <c r="VH112" s="769"/>
      <c r="VI112" s="769"/>
      <c r="VJ112" s="769"/>
      <c r="VK112" s="769"/>
      <c r="VL112" s="769"/>
      <c r="VM112" s="769"/>
      <c r="VN112" s="769"/>
      <c r="VO112" s="769"/>
      <c r="VP112" s="769"/>
      <c r="VQ112" s="769"/>
      <c r="VR112" s="769"/>
      <c r="VS112" s="769"/>
      <c r="VT112" s="769"/>
      <c r="VU112" s="769"/>
      <c r="VV112" s="769"/>
      <c r="VW112" s="769"/>
      <c r="VX112" s="769"/>
      <c r="VY112" s="769"/>
      <c r="VZ112" s="769"/>
      <c r="WA112" s="769"/>
      <c r="WB112" s="769"/>
      <c r="WC112" s="769"/>
      <c r="WD112" s="769"/>
      <c r="WE112" s="769"/>
      <c r="WF112" s="769"/>
      <c r="WG112" s="769"/>
      <c r="WH112" s="769"/>
      <c r="WI112" s="769"/>
      <c r="WJ112" s="769"/>
      <c r="WK112" s="769"/>
      <c r="WL112" s="769"/>
      <c r="WM112" s="769"/>
      <c r="WN112" s="769"/>
      <c r="WO112" s="769"/>
      <c r="WP112" s="769"/>
      <c r="WQ112" s="769"/>
      <c r="WR112" s="769"/>
      <c r="WS112" s="769"/>
      <c r="WT112" s="769"/>
      <c r="WU112" s="769"/>
      <c r="WV112" s="769"/>
      <c r="WW112" s="769"/>
      <c r="WX112" s="769"/>
      <c r="WY112" s="769"/>
      <c r="WZ112" s="769"/>
      <c r="XA112" s="769"/>
      <c r="XB112" s="769"/>
      <c r="XC112" s="769"/>
      <c r="XD112" s="769"/>
      <c r="XE112" s="769"/>
      <c r="XF112" s="769"/>
      <c r="XG112" s="769"/>
      <c r="XH112" s="769"/>
      <c r="XI112" s="769"/>
      <c r="XJ112" s="769"/>
      <c r="XK112" s="769"/>
      <c r="XL112" s="769"/>
      <c r="XM112" s="769"/>
      <c r="XN112" s="769"/>
      <c r="XO112" s="769"/>
      <c r="XP112" s="769"/>
      <c r="XQ112" s="769"/>
      <c r="XR112" s="769"/>
      <c r="XS112" s="769"/>
      <c r="XT112" s="769"/>
      <c r="XU112" s="769"/>
      <c r="XV112" s="769"/>
      <c r="XW112" s="769"/>
      <c r="XX112" s="769"/>
      <c r="XY112" s="769"/>
      <c r="XZ112" s="769"/>
      <c r="YA112" s="769"/>
      <c r="YB112" s="769"/>
      <c r="YC112" s="769"/>
      <c r="YD112" s="769"/>
      <c r="YE112" s="769"/>
      <c r="YF112" s="769"/>
      <c r="YG112" s="769"/>
      <c r="YH112" s="769"/>
      <c r="YI112" s="769"/>
      <c r="YJ112" s="769"/>
      <c r="YK112" s="769"/>
      <c r="YL112" s="769"/>
      <c r="YM112" s="769"/>
      <c r="YN112" s="769"/>
      <c r="YO112" s="769"/>
      <c r="YP112" s="769"/>
      <c r="YQ112" s="769"/>
      <c r="YR112" s="769"/>
      <c r="YS112" s="769"/>
      <c r="YT112" s="769"/>
      <c r="YU112" s="769"/>
      <c r="YV112" s="769"/>
      <c r="YW112" s="769"/>
      <c r="YX112" s="769"/>
      <c r="YY112" s="769"/>
      <c r="YZ112" s="769"/>
      <c r="ZA112" s="769"/>
      <c r="ZB112" s="769"/>
      <c r="ZC112" s="769"/>
      <c r="ZD112" s="769"/>
      <c r="ZE112" s="769"/>
      <c r="ZF112" s="769"/>
      <c r="ZG112" s="769"/>
      <c r="ZH112" s="769"/>
      <c r="ZI112" s="769"/>
      <c r="ZJ112" s="769"/>
      <c r="ZK112" s="769"/>
      <c r="ZL112" s="769"/>
      <c r="ZM112" s="769"/>
      <c r="ZN112" s="769"/>
      <c r="ZO112" s="769"/>
      <c r="ZP112" s="769"/>
      <c r="ZQ112" s="769"/>
      <c r="ZR112" s="769"/>
      <c r="ZS112" s="769"/>
      <c r="ZT112" s="769"/>
      <c r="ZU112" s="769"/>
      <c r="ZV112" s="769"/>
      <c r="ZW112" s="769"/>
      <c r="ZX112" s="769"/>
      <c r="ZY112" s="769"/>
      <c r="ZZ112" s="769"/>
      <c r="AAA112" s="769"/>
      <c r="AAB112" s="769"/>
      <c r="AAC112" s="769"/>
      <c r="AAD112" s="769"/>
      <c r="AAE112" s="769"/>
      <c r="AAF112" s="769"/>
      <c r="AAG112" s="769"/>
      <c r="AAH112" s="769"/>
      <c r="AAI112" s="769"/>
      <c r="AAJ112" s="769"/>
      <c r="AAK112" s="769"/>
      <c r="AAL112" s="769"/>
      <c r="AAM112" s="769"/>
      <c r="AAN112" s="769"/>
      <c r="AAO112" s="769"/>
      <c r="AAP112" s="769"/>
      <c r="AAQ112" s="769"/>
      <c r="AAR112" s="769"/>
      <c r="AAS112" s="769"/>
      <c r="AAT112" s="769"/>
      <c r="AAU112" s="769"/>
      <c r="AAV112" s="769"/>
      <c r="AAW112" s="769"/>
      <c r="AAX112" s="769"/>
      <c r="AAY112" s="769"/>
      <c r="AAZ112" s="769"/>
      <c r="ABA112" s="769"/>
      <c r="ABB112" s="769"/>
      <c r="ABC112" s="769"/>
      <c r="ABD112" s="769"/>
      <c r="ABE112" s="769"/>
      <c r="ABF112" s="769"/>
      <c r="ABG112" s="769"/>
      <c r="ABH112" s="769"/>
      <c r="ABI112" s="769"/>
      <c r="ABJ112" s="769"/>
      <c r="ABK112" s="769"/>
      <c r="ABL112" s="769"/>
      <c r="ABM112" s="769"/>
      <c r="ABN112" s="769"/>
      <c r="ABO112" s="769"/>
      <c r="ABP112" s="769"/>
      <c r="ABQ112" s="769"/>
      <c r="ABR112" s="769"/>
      <c r="ABS112" s="769"/>
      <c r="ABT112" s="769"/>
      <c r="ABU112" s="769"/>
      <c r="ABV112" s="769"/>
      <c r="ABW112" s="769"/>
      <c r="ABX112" s="769"/>
      <c r="ABY112" s="769"/>
      <c r="ABZ112" s="769"/>
      <c r="ACA112" s="769"/>
      <c r="ACB112" s="769"/>
      <c r="ACC112" s="769"/>
      <c r="ACD112" s="769"/>
      <c r="ACE112" s="769"/>
      <c r="ACF112" s="769"/>
      <c r="ACG112" s="769"/>
      <c r="ACH112" s="769"/>
      <c r="ACI112" s="769"/>
      <c r="ACJ112" s="769"/>
      <c r="ACK112" s="769"/>
      <c r="ACL112" s="769"/>
      <c r="ACM112" s="769"/>
      <c r="ACN112" s="769"/>
      <c r="ACO112" s="769"/>
      <c r="ACP112" s="769"/>
      <c r="ACQ112" s="769"/>
      <c r="ACR112" s="769"/>
      <c r="ACS112" s="769"/>
      <c r="ACT112" s="769"/>
      <c r="ACU112" s="769"/>
      <c r="ACV112" s="769"/>
      <c r="ACW112" s="769"/>
      <c r="ACX112" s="769"/>
      <c r="ACY112" s="769"/>
      <c r="ACZ112" s="769"/>
      <c r="ADA112" s="769"/>
      <c r="ADB112" s="769"/>
      <c r="ADC112" s="769"/>
      <c r="ADD112" s="769"/>
      <c r="ADE112" s="769"/>
      <c r="ADF112" s="769"/>
      <c r="ADG112" s="769"/>
      <c r="ADH112" s="769"/>
      <c r="ADI112" s="769"/>
      <c r="ADJ112" s="769"/>
      <c r="ADK112" s="769"/>
      <c r="ADL112" s="769"/>
      <c r="ADM112" s="769"/>
      <c r="ADN112" s="769"/>
      <c r="ADO112" s="769"/>
      <c r="ADP112" s="769"/>
      <c r="ADQ112" s="769"/>
      <c r="ADR112" s="769"/>
      <c r="ADS112" s="769"/>
      <c r="ADT112" s="769"/>
      <c r="ADU112" s="769"/>
      <c r="ADV112" s="769"/>
      <c r="ADW112" s="769"/>
      <c r="ADX112" s="769"/>
      <c r="ADY112" s="769"/>
      <c r="ADZ112" s="769"/>
      <c r="AEA112" s="769"/>
      <c r="AEB112" s="769"/>
      <c r="AEC112" s="769"/>
      <c r="AED112" s="769"/>
      <c r="AEE112" s="769"/>
      <c r="AEF112" s="769"/>
      <c r="AEG112" s="769"/>
      <c r="AEH112" s="769"/>
      <c r="AEI112" s="769"/>
      <c r="AEJ112" s="769"/>
      <c r="AEK112" s="769"/>
      <c r="AEL112" s="769"/>
      <c r="AEM112" s="769"/>
      <c r="AEN112" s="769"/>
      <c r="AEO112" s="769"/>
      <c r="AEP112" s="769"/>
      <c r="AEQ112" s="769"/>
      <c r="AER112" s="769"/>
      <c r="AES112" s="769"/>
      <c r="AET112" s="769"/>
      <c r="AEU112" s="769"/>
      <c r="AEV112" s="769"/>
      <c r="AEW112" s="769"/>
      <c r="AEX112" s="769"/>
      <c r="AEY112" s="769"/>
      <c r="AEZ112" s="769"/>
      <c r="AFA112" s="769"/>
      <c r="AFB112" s="769"/>
      <c r="AFC112" s="769"/>
      <c r="AFD112" s="769"/>
      <c r="AFE112" s="769"/>
      <c r="AFF112" s="769"/>
      <c r="AFG112" s="769"/>
      <c r="AFH112" s="769"/>
      <c r="AFI112" s="769"/>
      <c r="AFJ112" s="769"/>
      <c r="AFK112" s="769"/>
      <c r="AFL112" s="769"/>
      <c r="AFM112" s="769"/>
      <c r="AFN112" s="769"/>
      <c r="AFO112" s="769"/>
      <c r="AFP112" s="769"/>
      <c r="AFQ112" s="769"/>
      <c r="AFR112" s="769"/>
      <c r="AFS112" s="769"/>
      <c r="AFT112" s="769"/>
      <c r="AFU112" s="769"/>
      <c r="AFV112" s="769"/>
      <c r="AFW112" s="769"/>
      <c r="AFX112" s="769"/>
      <c r="AFY112" s="769"/>
      <c r="AFZ112" s="769"/>
      <c r="AGA112" s="769"/>
      <c r="AGB112" s="769"/>
      <c r="AGC112" s="769"/>
      <c r="AGD112" s="769"/>
      <c r="AGE112" s="769"/>
      <c r="AGF112" s="769"/>
      <c r="AGG112" s="769"/>
      <c r="AGH112" s="769"/>
      <c r="AGI112" s="769"/>
      <c r="AGJ112" s="769"/>
      <c r="AGK112" s="769"/>
      <c r="AGL112" s="769"/>
      <c r="AGM112" s="769"/>
      <c r="AGN112" s="769"/>
      <c r="AGO112" s="769"/>
      <c r="AGP112" s="769"/>
      <c r="AGQ112" s="769"/>
      <c r="AGR112" s="769"/>
      <c r="AGS112" s="769"/>
      <c r="AGT112" s="769"/>
      <c r="AGU112" s="769"/>
      <c r="AGV112" s="769"/>
      <c r="AGW112" s="769"/>
      <c r="AGX112" s="769"/>
      <c r="AGY112" s="769"/>
      <c r="AGZ112" s="769"/>
      <c r="AHA112" s="769"/>
      <c r="AHB112" s="769"/>
      <c r="AHC112" s="769"/>
      <c r="AHD112" s="769"/>
      <c r="AHE112" s="769"/>
      <c r="AHF112" s="769"/>
      <c r="AHG112" s="769"/>
      <c r="AHH112" s="769"/>
      <c r="AHI112" s="769"/>
      <c r="AHJ112" s="769"/>
      <c r="AHK112" s="769"/>
      <c r="AHL112" s="769"/>
      <c r="AHM112" s="769"/>
      <c r="AHN112" s="769"/>
      <c r="AHO112" s="769"/>
      <c r="AHP112" s="769"/>
      <c r="AHQ112" s="769"/>
      <c r="AHR112" s="769"/>
      <c r="AHS112" s="769"/>
      <c r="AHT112" s="769"/>
      <c r="AHU112" s="769"/>
      <c r="AHV112" s="769"/>
      <c r="AHW112" s="769"/>
      <c r="AHX112" s="769"/>
      <c r="AHY112" s="769"/>
      <c r="AHZ112" s="769"/>
      <c r="AIA112" s="769"/>
      <c r="AIB112" s="769"/>
      <c r="AIC112" s="769"/>
      <c r="AID112" s="769"/>
      <c r="AIE112" s="769"/>
      <c r="AIF112" s="769"/>
      <c r="AIG112" s="769"/>
      <c r="AIH112" s="769"/>
      <c r="AII112" s="769"/>
      <c r="AIJ112" s="769"/>
      <c r="AIK112" s="769"/>
      <c r="AIL112" s="769"/>
      <c r="AIM112" s="769"/>
      <c r="AIN112" s="769"/>
      <c r="AIO112" s="769"/>
      <c r="AIP112" s="769"/>
      <c r="AIQ112" s="769"/>
      <c r="AIR112" s="769"/>
      <c r="AIS112" s="769"/>
      <c r="AIT112" s="769"/>
      <c r="AIU112" s="769"/>
      <c r="AIV112" s="769"/>
      <c r="AIW112" s="769"/>
      <c r="AIX112" s="769"/>
      <c r="AIY112" s="769"/>
      <c r="AIZ112" s="769"/>
      <c r="AJA112" s="769"/>
      <c r="AJB112" s="769"/>
      <c r="AJC112" s="769"/>
      <c r="AJD112" s="769"/>
      <c r="AJE112" s="769"/>
      <c r="AJF112" s="769"/>
      <c r="AJG112" s="769"/>
      <c r="AJH112" s="769"/>
      <c r="AJI112" s="769"/>
      <c r="AJJ112" s="769"/>
      <c r="AJK112" s="769"/>
      <c r="AJL112" s="769"/>
      <c r="AJM112" s="769"/>
      <c r="AJN112" s="769"/>
      <c r="AJO112" s="769"/>
      <c r="AJP112" s="769"/>
      <c r="AJQ112" s="769"/>
      <c r="AJR112" s="769"/>
      <c r="AJS112" s="769"/>
      <c r="AJT112" s="769"/>
      <c r="AJU112" s="769"/>
      <c r="AJV112" s="769"/>
      <c r="AJW112" s="769"/>
      <c r="AJX112" s="769"/>
      <c r="AJY112" s="769"/>
      <c r="AJZ112" s="769"/>
      <c r="AKA112" s="769"/>
      <c r="AKB112" s="769"/>
      <c r="AKC112" s="769"/>
      <c r="AKD112" s="769"/>
      <c r="AKE112" s="769"/>
      <c r="AKF112" s="769"/>
      <c r="AKG112" s="769"/>
      <c r="AKH112" s="769"/>
      <c r="AKI112" s="769"/>
      <c r="AKJ112" s="769"/>
      <c r="AKK112" s="769"/>
      <c r="AKL112" s="769"/>
      <c r="AKM112" s="769"/>
      <c r="AKN112" s="769"/>
      <c r="AKO112" s="769"/>
      <c r="AKP112" s="769"/>
      <c r="AKQ112" s="769"/>
      <c r="AKR112" s="769"/>
      <c r="AKS112" s="769"/>
      <c r="AKT112" s="769"/>
      <c r="AKU112" s="769"/>
      <c r="AKV112" s="769"/>
      <c r="AKW112" s="769"/>
      <c r="AKX112" s="769"/>
      <c r="AKY112" s="769"/>
      <c r="AKZ112" s="769"/>
      <c r="ALA112" s="769"/>
      <c r="ALB112" s="769"/>
      <c r="ALC112" s="769"/>
      <c r="ALD112" s="769"/>
      <c r="ALE112" s="769"/>
      <c r="ALF112" s="769"/>
      <c r="ALG112" s="769"/>
      <c r="ALH112" s="769"/>
      <c r="ALI112" s="769"/>
      <c r="ALJ112" s="769"/>
      <c r="ALK112" s="769"/>
      <c r="ALL112" s="769"/>
      <c r="ALM112" s="769"/>
      <c r="ALN112" s="769"/>
      <c r="ALO112" s="769"/>
      <c r="ALP112" s="769"/>
      <c r="ALQ112" s="769"/>
      <c r="ALR112" s="769"/>
      <c r="ALS112" s="769"/>
      <c r="ALT112" s="769"/>
      <c r="ALU112" s="769"/>
      <c r="ALV112" s="769"/>
      <c r="ALW112" s="769"/>
      <c r="ALX112" s="769"/>
      <c r="ALY112" s="769"/>
      <c r="ALZ112" s="769"/>
      <c r="AMA112" s="769"/>
      <c r="AMB112" s="769"/>
      <c r="AMC112" s="769"/>
      <c r="AMD112" s="769"/>
      <c r="AME112" s="769"/>
      <c r="AMF112" s="769"/>
      <c r="AMG112" s="769"/>
      <c r="AMH112" s="769"/>
      <c r="AMI112" s="769"/>
      <c r="AMJ112" s="769"/>
      <c r="AMK112" s="769"/>
      <c r="AML112" s="769"/>
      <c r="AMM112" s="769"/>
      <c r="AMN112" s="769"/>
      <c r="AMO112" s="769"/>
      <c r="AMP112" s="769"/>
      <c r="AMQ112" s="769"/>
      <c r="AMR112" s="769"/>
      <c r="AMS112" s="769"/>
      <c r="AMT112" s="769"/>
      <c r="AMU112" s="769"/>
      <c r="AMV112" s="769"/>
      <c r="AMW112" s="769"/>
      <c r="AMX112" s="769"/>
      <c r="AMY112" s="769"/>
      <c r="AMZ112" s="769"/>
      <c r="ANA112" s="769"/>
      <c r="ANB112" s="769"/>
      <c r="ANC112" s="769"/>
      <c r="AND112" s="769"/>
      <c r="ANE112" s="769"/>
      <c r="ANF112" s="769"/>
      <c r="ANG112" s="769"/>
      <c r="ANH112" s="769"/>
      <c r="ANI112" s="769"/>
      <c r="ANJ112" s="769"/>
      <c r="ANK112" s="769"/>
      <c r="ANL112" s="769"/>
      <c r="ANM112" s="769"/>
      <c r="ANN112" s="769"/>
      <c r="ANO112" s="769"/>
      <c r="ANP112" s="769"/>
      <c r="ANQ112" s="769"/>
      <c r="ANR112" s="769"/>
      <c r="ANS112" s="769"/>
      <c r="ANT112" s="769"/>
      <c r="ANU112" s="769"/>
      <c r="ANV112" s="769"/>
      <c r="ANW112" s="769"/>
      <c r="ANX112" s="769"/>
      <c r="ANY112" s="769"/>
      <c r="ANZ112" s="769"/>
      <c r="AOA112" s="769"/>
      <c r="AOB112" s="769"/>
      <c r="AOC112" s="769"/>
      <c r="AOD112" s="769"/>
      <c r="AOE112" s="769"/>
      <c r="AOF112" s="769"/>
      <c r="AOG112" s="769"/>
      <c r="AOH112" s="769"/>
      <c r="AOI112" s="769"/>
      <c r="AOJ112" s="769"/>
      <c r="AOK112" s="769"/>
      <c r="AOL112" s="769"/>
      <c r="AOM112" s="769"/>
      <c r="AON112" s="769"/>
      <c r="AOO112" s="769"/>
      <c r="AOP112" s="769"/>
      <c r="AOQ112" s="769"/>
      <c r="AOR112" s="769"/>
      <c r="AOS112" s="769"/>
      <c r="AOT112" s="769"/>
      <c r="AOU112" s="769"/>
      <c r="AOV112" s="769"/>
      <c r="AOW112" s="769"/>
      <c r="AOX112" s="769"/>
      <c r="AOY112" s="769"/>
      <c r="AOZ112" s="769"/>
      <c r="APA112" s="769"/>
      <c r="APB112" s="769"/>
      <c r="APC112" s="769"/>
      <c r="APD112" s="769"/>
      <c r="APE112" s="769"/>
      <c r="APF112" s="769"/>
      <c r="APG112" s="769"/>
      <c r="APH112" s="769"/>
      <c r="API112" s="769"/>
      <c r="APJ112" s="769"/>
      <c r="APK112" s="769"/>
      <c r="APL112" s="769"/>
      <c r="APM112" s="769"/>
      <c r="APN112" s="769"/>
      <c r="APO112" s="769"/>
      <c r="APP112" s="769"/>
      <c r="APQ112" s="769"/>
      <c r="APR112" s="769"/>
      <c r="APS112" s="769"/>
      <c r="APT112" s="769"/>
      <c r="APU112" s="769"/>
      <c r="APV112" s="769"/>
      <c r="APW112" s="769"/>
      <c r="APX112" s="769"/>
      <c r="APY112" s="769"/>
      <c r="APZ112" s="769"/>
      <c r="AQA112" s="769"/>
      <c r="AQB112" s="769"/>
      <c r="AQC112" s="769"/>
      <c r="AQD112" s="769"/>
      <c r="AQE112" s="769"/>
      <c r="AQF112" s="769"/>
      <c r="AQG112" s="769"/>
      <c r="AQH112" s="769"/>
      <c r="AQI112" s="769"/>
      <c r="AQJ112" s="769"/>
      <c r="AQK112" s="769"/>
      <c r="AQL112" s="769"/>
      <c r="AQM112" s="769"/>
      <c r="AQN112" s="769"/>
      <c r="AQO112" s="769"/>
      <c r="AQP112" s="769"/>
      <c r="AQQ112" s="769"/>
      <c r="AQR112" s="769"/>
      <c r="AQS112" s="769"/>
      <c r="AQT112" s="769"/>
      <c r="AQU112" s="769"/>
      <c r="AQV112" s="769"/>
      <c r="AQW112" s="769"/>
      <c r="AQX112" s="769"/>
      <c r="AQY112" s="769"/>
      <c r="AQZ112" s="769"/>
      <c r="ARA112" s="769"/>
      <c r="ARB112" s="769"/>
      <c r="ARC112" s="769"/>
      <c r="ARD112" s="769"/>
      <c r="ARE112" s="769"/>
      <c r="ARF112" s="769"/>
      <c r="ARG112" s="769"/>
      <c r="ARH112" s="769"/>
      <c r="ARI112" s="769"/>
      <c r="ARJ112" s="769"/>
      <c r="ARK112" s="769"/>
      <c r="ARL112" s="769"/>
      <c r="ARM112" s="769"/>
      <c r="ARN112" s="769"/>
      <c r="ARO112" s="769"/>
      <c r="ARP112" s="769"/>
      <c r="ARQ112" s="769"/>
      <c r="ARR112" s="769"/>
      <c r="ARS112" s="769"/>
      <c r="ART112" s="769"/>
      <c r="ARU112" s="769"/>
      <c r="ARV112" s="769"/>
      <c r="ARW112" s="769"/>
      <c r="ARX112" s="769"/>
      <c r="ARY112" s="769"/>
      <c r="ARZ112" s="769"/>
      <c r="ASA112" s="769"/>
      <c r="ASB112" s="769"/>
      <c r="ASC112" s="769"/>
      <c r="ASD112" s="769"/>
      <c r="ASE112" s="769"/>
      <c r="ASF112" s="769"/>
      <c r="ASG112" s="769"/>
      <c r="ASH112" s="769"/>
      <c r="ASI112" s="769"/>
      <c r="ASJ112" s="769"/>
      <c r="ASK112" s="769"/>
      <c r="ASL112" s="769"/>
      <c r="ASM112" s="769"/>
      <c r="ASN112" s="769"/>
      <c r="ASO112" s="769"/>
      <c r="ASP112" s="769"/>
      <c r="ASQ112" s="769"/>
      <c r="ASR112" s="769"/>
      <c r="ASS112" s="769"/>
      <c r="AST112" s="769"/>
      <c r="ASU112" s="769"/>
      <c r="ASV112" s="769"/>
      <c r="ASW112" s="769"/>
      <c r="ASX112" s="769"/>
      <c r="ASY112" s="769"/>
      <c r="ASZ112" s="769"/>
      <c r="ATA112" s="769"/>
      <c r="ATB112" s="769"/>
      <c r="ATC112" s="769"/>
      <c r="ATD112" s="769"/>
      <c r="ATE112" s="769"/>
      <c r="ATF112" s="769"/>
      <c r="ATG112" s="769"/>
      <c r="ATH112" s="769"/>
      <c r="ATI112" s="769"/>
      <c r="ATJ112" s="769"/>
      <c r="ATK112" s="769"/>
      <c r="ATL112" s="769"/>
      <c r="ATM112" s="769"/>
      <c r="ATN112" s="769"/>
      <c r="ATO112" s="769"/>
      <c r="ATP112" s="769"/>
      <c r="ATQ112" s="769"/>
      <c r="ATR112" s="769"/>
      <c r="ATS112" s="769"/>
      <c r="ATT112" s="769"/>
      <c r="ATU112" s="769"/>
      <c r="ATV112" s="769"/>
      <c r="ATW112" s="769"/>
      <c r="ATX112" s="769"/>
      <c r="ATY112" s="769"/>
      <c r="ATZ112" s="769"/>
      <c r="AUA112" s="769"/>
      <c r="AUB112" s="769"/>
      <c r="AUC112" s="769"/>
      <c r="AUD112" s="769"/>
      <c r="AUE112" s="769"/>
      <c r="AUF112" s="769"/>
      <c r="AUG112" s="769"/>
      <c r="AUH112" s="769"/>
      <c r="AUI112" s="769"/>
      <c r="AUJ112" s="769"/>
      <c r="AUK112" s="769"/>
      <c r="AUL112" s="769"/>
      <c r="AUM112" s="769"/>
      <c r="AUN112" s="769"/>
      <c r="AUO112" s="769"/>
      <c r="AUP112" s="769"/>
      <c r="AUQ112" s="769"/>
      <c r="AUR112" s="769"/>
      <c r="AUS112" s="769"/>
      <c r="AUT112" s="769"/>
      <c r="AUU112" s="769"/>
      <c r="AUV112" s="769"/>
      <c r="AUW112" s="769"/>
      <c r="AUX112" s="769"/>
      <c r="AUY112" s="769"/>
      <c r="AUZ112" s="769"/>
      <c r="AVA112" s="769"/>
      <c r="AVB112" s="769"/>
      <c r="AVC112" s="769"/>
      <c r="AVD112" s="769"/>
      <c r="AVE112" s="769"/>
      <c r="AVF112" s="769"/>
      <c r="AVG112" s="769"/>
      <c r="AVH112" s="769"/>
      <c r="AVI112" s="769"/>
      <c r="AVJ112" s="769"/>
      <c r="AVK112" s="769"/>
      <c r="AVL112" s="769"/>
      <c r="AVM112" s="769"/>
      <c r="AVN112" s="769"/>
      <c r="AVO112" s="769"/>
      <c r="AVP112" s="769"/>
      <c r="AVQ112" s="769"/>
      <c r="AVR112" s="769"/>
      <c r="AVS112" s="769"/>
      <c r="AVT112" s="769"/>
      <c r="AVU112" s="769"/>
      <c r="AVV112" s="769"/>
      <c r="AVW112" s="769"/>
      <c r="AVX112" s="769"/>
      <c r="AVY112" s="769"/>
      <c r="AVZ112" s="769"/>
      <c r="AWA112" s="769"/>
      <c r="AWB112" s="769"/>
      <c r="AWC112" s="769"/>
      <c r="AWD112" s="769"/>
      <c r="AWE112" s="769"/>
      <c r="AWF112" s="769"/>
      <c r="AWG112" s="769"/>
      <c r="AWH112" s="769"/>
      <c r="AWI112" s="769"/>
      <c r="AWJ112" s="769"/>
      <c r="AWK112" s="769"/>
      <c r="AWL112" s="769"/>
      <c r="AWM112" s="769"/>
      <c r="AWN112" s="769"/>
      <c r="AWO112" s="769"/>
      <c r="AWP112" s="769"/>
      <c r="AWQ112" s="769"/>
      <c r="AWR112" s="769"/>
      <c r="AWS112" s="769"/>
      <c r="AWT112" s="769"/>
      <c r="AWU112" s="769"/>
      <c r="AWV112" s="769"/>
      <c r="AWW112" s="769"/>
      <c r="AWX112" s="769"/>
      <c r="AWY112" s="769"/>
      <c r="AWZ112" s="769"/>
      <c r="AXA112" s="769"/>
      <c r="AXB112" s="769"/>
      <c r="AXC112" s="769"/>
      <c r="AXD112" s="769"/>
      <c r="AXE112" s="769"/>
      <c r="AXF112" s="769"/>
      <c r="AXG112" s="769"/>
      <c r="AXH112" s="769"/>
      <c r="AXI112" s="769"/>
      <c r="AXJ112" s="769"/>
      <c r="AXK112" s="769"/>
      <c r="AXL112" s="769"/>
      <c r="AXM112" s="769"/>
      <c r="AXN112" s="769"/>
      <c r="AXO112" s="769"/>
      <c r="AXP112" s="769"/>
      <c r="AXQ112" s="769"/>
      <c r="AXR112" s="769"/>
      <c r="AXS112" s="769"/>
      <c r="AXT112" s="769"/>
      <c r="AXU112" s="769"/>
      <c r="AXV112" s="769"/>
      <c r="AXW112" s="769"/>
      <c r="AXX112" s="769"/>
      <c r="AXY112" s="769"/>
      <c r="AXZ112" s="769"/>
      <c r="AYA112" s="769"/>
      <c r="AYB112" s="769"/>
      <c r="AYC112" s="769"/>
      <c r="AYD112" s="769"/>
      <c r="AYE112" s="769"/>
      <c r="AYF112" s="769"/>
      <c r="AYG112" s="769"/>
      <c r="AYH112" s="769"/>
      <c r="AYI112" s="769"/>
      <c r="AYJ112" s="769"/>
      <c r="AYK112" s="769"/>
      <c r="AYL112" s="769"/>
      <c r="AYM112" s="769"/>
      <c r="AYN112" s="769"/>
      <c r="AYO112" s="769"/>
      <c r="AYP112" s="769"/>
      <c r="AYQ112" s="769"/>
      <c r="AYR112" s="769"/>
      <c r="AYS112" s="769"/>
      <c r="AYT112" s="769"/>
      <c r="AYU112" s="769"/>
      <c r="AYV112" s="769"/>
      <c r="AYW112" s="769"/>
      <c r="AYX112" s="769"/>
      <c r="AYY112" s="769"/>
      <c r="AYZ112" s="769"/>
      <c r="AZA112" s="769"/>
      <c r="AZB112" s="769"/>
      <c r="AZC112" s="769"/>
      <c r="AZD112" s="769"/>
      <c r="AZE112" s="769"/>
      <c r="AZF112" s="769"/>
      <c r="AZG112" s="769"/>
      <c r="AZH112" s="769"/>
      <c r="AZI112" s="769"/>
      <c r="AZJ112" s="769"/>
      <c r="AZK112" s="769"/>
      <c r="AZL112" s="769"/>
      <c r="AZM112" s="769"/>
      <c r="AZN112" s="769"/>
      <c r="AZO112" s="769"/>
      <c r="AZP112" s="769"/>
      <c r="AZQ112" s="769"/>
      <c r="AZR112" s="769"/>
      <c r="AZS112" s="769"/>
      <c r="AZT112" s="769"/>
      <c r="AZU112" s="769"/>
      <c r="AZV112" s="769"/>
      <c r="AZW112" s="769"/>
      <c r="AZX112" s="769"/>
      <c r="AZY112" s="769"/>
      <c r="AZZ112" s="769"/>
      <c r="BAA112" s="769"/>
      <c r="BAB112" s="769"/>
      <c r="BAC112" s="769"/>
      <c r="BAD112" s="769"/>
      <c r="BAE112" s="769"/>
      <c r="BAF112" s="769"/>
      <c r="BAG112" s="769"/>
      <c r="BAH112" s="769"/>
      <c r="BAI112" s="769"/>
      <c r="BAJ112" s="769"/>
      <c r="BAK112" s="769"/>
      <c r="BAL112" s="769"/>
      <c r="BAM112" s="769"/>
      <c r="BAN112" s="769"/>
      <c r="BAO112" s="769"/>
      <c r="BAP112" s="769"/>
      <c r="BAQ112" s="769"/>
      <c r="BAR112" s="769"/>
      <c r="BAS112" s="769"/>
      <c r="BAT112" s="769"/>
      <c r="BAU112" s="769"/>
      <c r="BAV112" s="769"/>
      <c r="BAW112" s="769"/>
      <c r="BAX112" s="769"/>
      <c r="BAY112" s="769"/>
      <c r="BAZ112" s="769"/>
      <c r="BBA112" s="769"/>
      <c r="BBB112" s="769"/>
      <c r="BBC112" s="769"/>
      <c r="BBD112" s="769"/>
      <c r="BBE112" s="769"/>
      <c r="BBF112" s="769"/>
      <c r="BBG112" s="769"/>
      <c r="BBH112" s="769"/>
      <c r="BBI112" s="769"/>
      <c r="BBJ112" s="769"/>
      <c r="BBK112" s="769"/>
      <c r="BBL112" s="769"/>
      <c r="BBM112" s="769"/>
      <c r="BBN112" s="769"/>
      <c r="BBO112" s="769"/>
      <c r="BBP112" s="769"/>
      <c r="BBQ112" s="769"/>
      <c r="BBR112" s="769"/>
      <c r="BBS112" s="769"/>
      <c r="BBT112" s="769"/>
      <c r="BBU112" s="769"/>
      <c r="BBV112" s="769"/>
      <c r="BBW112" s="769"/>
      <c r="BBX112" s="769"/>
      <c r="BBY112" s="769"/>
      <c r="BBZ112" s="769"/>
      <c r="BCA112" s="769"/>
      <c r="BCB112" s="769"/>
      <c r="BCC112" s="769"/>
      <c r="BCD112" s="769"/>
      <c r="BCE112" s="769"/>
      <c r="BCF112" s="769"/>
      <c r="BCG112" s="769"/>
      <c r="BCH112" s="769"/>
      <c r="BCI112" s="769"/>
      <c r="BCJ112" s="769"/>
      <c r="BCK112" s="769"/>
      <c r="BCL112" s="769"/>
      <c r="BCM112" s="769"/>
      <c r="BCN112" s="769"/>
      <c r="BCO112" s="769"/>
      <c r="BCP112" s="769"/>
      <c r="BCQ112" s="769"/>
      <c r="BCR112" s="769"/>
      <c r="BCS112" s="769"/>
      <c r="BCT112" s="769"/>
      <c r="BCU112" s="769"/>
      <c r="BCV112" s="769"/>
      <c r="BCW112" s="769"/>
      <c r="BCX112" s="769"/>
      <c r="BCY112" s="769"/>
      <c r="BCZ112" s="769"/>
      <c r="BDA112" s="769"/>
      <c r="BDB112" s="769"/>
      <c r="BDC112" s="769"/>
      <c r="BDD112" s="769"/>
      <c r="BDE112" s="769"/>
      <c r="BDF112" s="769"/>
      <c r="BDG112" s="769"/>
      <c r="BDH112" s="769"/>
      <c r="BDI112" s="769"/>
      <c r="BDJ112" s="769"/>
      <c r="BDK112" s="769"/>
      <c r="BDL112" s="769"/>
      <c r="BDM112" s="769"/>
      <c r="BDN112" s="769"/>
      <c r="BDO112" s="769"/>
      <c r="BDP112" s="769"/>
      <c r="BDQ112" s="769"/>
      <c r="BDR112" s="769"/>
      <c r="BDS112" s="769"/>
      <c r="BDT112" s="769"/>
      <c r="BDU112" s="769"/>
      <c r="BDV112" s="769"/>
      <c r="BDW112" s="769"/>
      <c r="BDX112" s="769"/>
      <c r="BDY112" s="769"/>
      <c r="BDZ112" s="769"/>
      <c r="BEA112" s="769"/>
      <c r="BEB112" s="769"/>
      <c r="BEC112" s="769"/>
      <c r="BED112" s="769"/>
      <c r="BEE112" s="769"/>
      <c r="BEF112" s="769"/>
      <c r="BEG112" s="769"/>
      <c r="BEH112" s="769"/>
      <c r="BEI112" s="769"/>
      <c r="BEJ112" s="769"/>
      <c r="BEK112" s="769"/>
      <c r="BEL112" s="769"/>
      <c r="BEM112" s="769"/>
      <c r="BEN112" s="769"/>
      <c r="BEO112" s="769"/>
      <c r="BEP112" s="769"/>
      <c r="BEQ112" s="769"/>
      <c r="BER112" s="769"/>
      <c r="BES112" s="769"/>
      <c r="BET112" s="769"/>
      <c r="BEU112" s="769"/>
      <c r="BEV112" s="769"/>
      <c r="BEW112" s="769"/>
      <c r="BEX112" s="769"/>
      <c r="BEY112" s="769"/>
      <c r="BEZ112" s="769"/>
      <c r="BFA112" s="769"/>
      <c r="BFB112" s="769"/>
      <c r="BFC112" s="769"/>
      <c r="BFD112" s="769"/>
      <c r="BFE112" s="769"/>
      <c r="BFF112" s="769"/>
      <c r="BFG112" s="769"/>
      <c r="BFH112" s="769"/>
      <c r="BFI112" s="769"/>
      <c r="BFJ112" s="769"/>
      <c r="BFK112" s="769"/>
      <c r="BFL112" s="769"/>
      <c r="BFM112" s="769"/>
      <c r="BFN112" s="769"/>
      <c r="BFO112" s="769"/>
      <c r="BFP112" s="769"/>
      <c r="BFQ112" s="769"/>
      <c r="BFR112" s="769"/>
      <c r="BFS112" s="769"/>
      <c r="BFT112" s="769"/>
      <c r="BFU112" s="769"/>
      <c r="BFV112" s="769"/>
      <c r="BFW112" s="769"/>
      <c r="BFX112" s="769"/>
      <c r="BFY112" s="769"/>
      <c r="BFZ112" s="769"/>
      <c r="BGA112" s="769"/>
      <c r="BGB112" s="769"/>
      <c r="BGC112" s="769"/>
      <c r="BGD112" s="769"/>
      <c r="BGE112" s="769"/>
      <c r="BGF112" s="769"/>
      <c r="BGG112" s="769"/>
      <c r="BGH112" s="769"/>
      <c r="BGI112" s="769"/>
      <c r="BGJ112" s="769"/>
      <c r="BGK112" s="769"/>
      <c r="BGL112" s="769"/>
      <c r="BGM112" s="769"/>
      <c r="BGN112" s="769"/>
      <c r="BGO112" s="769"/>
      <c r="BGP112" s="769"/>
      <c r="BGQ112" s="769"/>
      <c r="BGR112" s="769"/>
      <c r="BGS112" s="769"/>
      <c r="BGT112" s="769"/>
      <c r="BGU112" s="769"/>
      <c r="BGV112" s="769"/>
      <c r="BGW112" s="769"/>
      <c r="BGX112" s="769"/>
      <c r="BGY112" s="769"/>
      <c r="BGZ112" s="769"/>
      <c r="BHA112" s="769"/>
      <c r="BHB112" s="769"/>
      <c r="BHC112" s="769"/>
      <c r="BHD112" s="769"/>
      <c r="BHE112" s="769"/>
      <c r="BHF112" s="769"/>
      <c r="BHG112" s="769"/>
      <c r="BHH112" s="769"/>
      <c r="BHI112" s="769"/>
      <c r="BHJ112" s="769"/>
      <c r="BHK112" s="769"/>
      <c r="BHL112" s="769"/>
      <c r="BHM112" s="769"/>
      <c r="BHN112" s="769"/>
      <c r="BHO112" s="769"/>
      <c r="BHP112" s="769"/>
      <c r="BHQ112" s="769"/>
      <c r="BHR112" s="769"/>
      <c r="BHS112" s="769"/>
      <c r="BHT112" s="769"/>
      <c r="BHU112" s="769"/>
      <c r="BHV112" s="769"/>
      <c r="BHW112" s="769"/>
      <c r="BHX112" s="769"/>
      <c r="BHY112" s="769"/>
      <c r="BHZ112" s="769"/>
      <c r="BIA112" s="769"/>
      <c r="BIB112" s="769"/>
      <c r="BIC112" s="769"/>
      <c r="BID112" s="769"/>
      <c r="BIE112" s="769"/>
      <c r="BIF112" s="769"/>
      <c r="BIG112" s="769"/>
      <c r="BIH112" s="769"/>
      <c r="BII112" s="769"/>
      <c r="BIJ112" s="769"/>
      <c r="BIK112" s="769"/>
      <c r="BIL112" s="769"/>
      <c r="BIM112" s="769"/>
      <c r="BIN112" s="769"/>
      <c r="BIO112" s="769"/>
      <c r="BIP112" s="769"/>
      <c r="BIQ112" s="769"/>
      <c r="BIR112" s="769"/>
      <c r="BIS112" s="769"/>
      <c r="BIT112" s="769"/>
      <c r="BIU112" s="769"/>
      <c r="BIV112" s="769"/>
      <c r="BIW112" s="769"/>
      <c r="BIX112" s="769"/>
      <c r="BIY112" s="769"/>
      <c r="BIZ112" s="769"/>
      <c r="BJA112" s="769"/>
      <c r="BJB112" s="769"/>
      <c r="BJC112" s="769"/>
      <c r="BJD112" s="769"/>
      <c r="BJE112" s="769"/>
      <c r="BJF112" s="769"/>
      <c r="BJG112" s="769"/>
      <c r="BJH112" s="769"/>
      <c r="BJI112" s="769"/>
      <c r="BJJ112" s="769"/>
      <c r="BJK112" s="769"/>
      <c r="BJL112" s="769"/>
      <c r="BJM112" s="769"/>
      <c r="BJN112" s="769"/>
      <c r="BJO112" s="769"/>
      <c r="BJP112" s="769"/>
      <c r="BJQ112" s="769"/>
      <c r="BJR112" s="769"/>
      <c r="BJS112" s="769"/>
      <c r="BJT112" s="769"/>
      <c r="BJU112" s="769"/>
      <c r="BJV112" s="769"/>
      <c r="BJW112" s="769"/>
      <c r="BJX112" s="769"/>
      <c r="BJY112" s="769"/>
      <c r="BJZ112" s="769"/>
      <c r="BKA112" s="769"/>
      <c r="BKB112" s="769"/>
      <c r="BKC112" s="769"/>
      <c r="BKD112" s="769"/>
      <c r="BKE112" s="769"/>
      <c r="BKF112" s="769"/>
      <c r="BKG112" s="769"/>
      <c r="BKH112" s="769"/>
      <c r="BKI112" s="769"/>
      <c r="BKJ112" s="769"/>
      <c r="BKK112" s="769"/>
      <c r="BKL112" s="769"/>
      <c r="BKM112" s="769"/>
      <c r="BKN112" s="769"/>
      <c r="BKO112" s="769"/>
      <c r="BKP112" s="769"/>
      <c r="BKQ112" s="769"/>
      <c r="BKR112" s="769"/>
      <c r="BKS112" s="769"/>
      <c r="BKT112" s="769"/>
      <c r="BKU112" s="769"/>
      <c r="BKV112" s="769"/>
      <c r="BKW112" s="769"/>
      <c r="BKX112" s="769"/>
      <c r="BKY112" s="769"/>
      <c r="BKZ112" s="769"/>
      <c r="BLA112" s="769"/>
      <c r="BLB112" s="769"/>
      <c r="BLC112" s="769"/>
      <c r="BLD112" s="769"/>
      <c r="BLE112" s="769"/>
      <c r="BLF112" s="769"/>
      <c r="BLG112" s="769"/>
      <c r="BLH112" s="769"/>
      <c r="BLI112" s="769"/>
      <c r="BLJ112" s="769"/>
      <c r="BLK112" s="769"/>
      <c r="BLL112" s="769"/>
      <c r="BLM112" s="769"/>
      <c r="BLN112" s="769"/>
      <c r="BLO112" s="769"/>
      <c r="BLP112" s="769"/>
      <c r="BLQ112" s="769"/>
      <c r="BLR112" s="769"/>
      <c r="BLS112" s="769"/>
      <c r="BLT112" s="769"/>
      <c r="BLU112" s="769"/>
      <c r="BLV112" s="769"/>
      <c r="BLW112" s="769"/>
      <c r="BLX112" s="769"/>
      <c r="BLY112" s="769"/>
      <c r="BLZ112" s="769"/>
      <c r="BMA112" s="769"/>
      <c r="BMB112" s="769"/>
      <c r="BMC112" s="769"/>
      <c r="BMD112" s="769"/>
      <c r="BME112" s="769"/>
      <c r="BMF112" s="769"/>
      <c r="BMG112" s="769"/>
      <c r="BMH112" s="769"/>
      <c r="BMI112" s="769"/>
      <c r="BMJ112" s="769"/>
      <c r="BMK112" s="769"/>
      <c r="BML112" s="769"/>
      <c r="BMM112" s="769"/>
      <c r="BMN112" s="769"/>
      <c r="BMO112" s="769"/>
      <c r="BMP112" s="769"/>
      <c r="BMQ112" s="769"/>
      <c r="BMR112" s="769"/>
      <c r="BMS112" s="769"/>
      <c r="BMT112" s="769"/>
      <c r="BMU112" s="769"/>
      <c r="BMV112" s="769"/>
      <c r="BMW112" s="769"/>
      <c r="BMX112" s="769"/>
      <c r="BMY112" s="769"/>
      <c r="BMZ112" s="769"/>
      <c r="BNA112" s="769"/>
      <c r="BNB112" s="769"/>
      <c r="BNC112" s="769"/>
      <c r="BND112" s="769"/>
      <c r="BNE112" s="769"/>
      <c r="BNF112" s="769"/>
      <c r="BNG112" s="769"/>
      <c r="BNH112" s="769"/>
      <c r="BNI112" s="769"/>
      <c r="BNJ112" s="769"/>
      <c r="BNK112" s="769"/>
      <c r="BNL112" s="769"/>
      <c r="BNM112" s="769"/>
      <c r="BNN112" s="769"/>
      <c r="BNO112" s="769"/>
      <c r="BNP112" s="769"/>
      <c r="BNQ112" s="769"/>
      <c r="BNR112" s="769"/>
      <c r="BNS112" s="769"/>
      <c r="BNT112" s="769"/>
      <c r="BNU112" s="769"/>
      <c r="BNV112" s="769"/>
      <c r="BNW112" s="769"/>
      <c r="BNX112" s="769"/>
      <c r="BNY112" s="769"/>
      <c r="BNZ112" s="769"/>
      <c r="BOA112" s="769"/>
      <c r="BOB112" s="769"/>
      <c r="BOC112" s="769"/>
      <c r="BOD112" s="769"/>
      <c r="BOE112" s="769"/>
      <c r="BOF112" s="769"/>
      <c r="BOG112" s="769"/>
      <c r="BOH112" s="769"/>
      <c r="BOI112" s="769"/>
      <c r="BOJ112" s="769"/>
      <c r="BOK112" s="769"/>
      <c r="BOL112" s="769"/>
      <c r="BOM112" s="769"/>
      <c r="BON112" s="769"/>
      <c r="BOO112" s="769"/>
      <c r="BOP112" s="769"/>
      <c r="BOQ112" s="769"/>
      <c r="BOR112" s="769"/>
      <c r="BOS112" s="769"/>
      <c r="BOT112" s="769"/>
      <c r="BOU112" s="769"/>
      <c r="BOV112" s="769"/>
      <c r="BOW112" s="769"/>
      <c r="BOX112" s="769"/>
      <c r="BOY112" s="769"/>
      <c r="BOZ112" s="769"/>
      <c r="BPA112" s="769"/>
      <c r="BPB112" s="769"/>
      <c r="BPC112" s="769"/>
      <c r="BPD112" s="769"/>
      <c r="BPE112" s="769"/>
      <c r="BPF112" s="769"/>
      <c r="BPG112" s="769"/>
      <c r="BPH112" s="769"/>
      <c r="BPI112" s="769"/>
      <c r="BPJ112" s="769"/>
      <c r="BPK112" s="769"/>
      <c r="BPL112" s="769"/>
      <c r="BPM112" s="769"/>
      <c r="BPN112" s="769"/>
      <c r="BPO112" s="769"/>
      <c r="BPP112" s="769"/>
      <c r="BPQ112" s="769"/>
      <c r="BPR112" s="769"/>
      <c r="BPS112" s="769"/>
      <c r="BPT112" s="769"/>
      <c r="BPU112" s="769"/>
      <c r="BPV112" s="769"/>
      <c r="BPW112" s="769"/>
      <c r="BPX112" s="769"/>
      <c r="BPY112" s="769"/>
      <c r="BPZ112" s="769"/>
      <c r="BQA112" s="769"/>
      <c r="BQB112" s="769"/>
      <c r="BQC112" s="769"/>
      <c r="BQD112" s="769"/>
      <c r="BQE112" s="769"/>
      <c r="BQF112" s="769"/>
      <c r="BQG112" s="769"/>
      <c r="BQH112" s="769"/>
      <c r="BQI112" s="769"/>
      <c r="BQJ112" s="769"/>
      <c r="BQK112" s="769"/>
      <c r="BQL112" s="769"/>
      <c r="BQM112" s="769"/>
      <c r="BQN112" s="769"/>
      <c r="BQO112" s="769"/>
      <c r="BQP112" s="769"/>
      <c r="BQQ112" s="769"/>
      <c r="BQR112" s="769"/>
      <c r="BQS112" s="769"/>
      <c r="BQT112" s="769"/>
      <c r="BQU112" s="769"/>
      <c r="BQV112" s="769"/>
      <c r="BQW112" s="769"/>
      <c r="BQX112" s="769"/>
      <c r="BQY112" s="769"/>
      <c r="BQZ112" s="769"/>
      <c r="BRA112" s="769"/>
      <c r="BRB112" s="769"/>
      <c r="BRC112" s="769"/>
      <c r="BRD112" s="769"/>
      <c r="BRE112" s="769"/>
      <c r="BRF112" s="769"/>
      <c r="BRG112" s="769"/>
      <c r="BRH112" s="769"/>
      <c r="BRI112" s="769"/>
      <c r="BRJ112" s="769"/>
      <c r="BRK112" s="769"/>
      <c r="BRL112" s="769"/>
      <c r="BRM112" s="769"/>
      <c r="BRN112" s="769"/>
      <c r="BRO112" s="769"/>
      <c r="BRP112" s="769"/>
      <c r="BRQ112" s="769"/>
      <c r="BRR112" s="769"/>
      <c r="BRS112" s="769"/>
      <c r="BRT112" s="769"/>
      <c r="BRU112" s="769"/>
      <c r="BRV112" s="769"/>
      <c r="BRW112" s="769"/>
      <c r="BRX112" s="769"/>
      <c r="BRY112" s="769"/>
      <c r="BRZ112" s="769"/>
      <c r="BSA112" s="769"/>
      <c r="BSB112" s="769"/>
      <c r="BSC112" s="769"/>
      <c r="BSD112" s="769"/>
      <c r="BSE112" s="769"/>
      <c r="BSF112" s="769"/>
      <c r="BSG112" s="769"/>
      <c r="BSH112" s="769"/>
      <c r="BSI112" s="769"/>
      <c r="BSJ112" s="769"/>
      <c r="BSK112" s="769"/>
      <c r="BSL112" s="769"/>
      <c r="BSM112" s="769"/>
      <c r="BSN112" s="769"/>
      <c r="BSO112" s="769"/>
      <c r="BSP112" s="769"/>
      <c r="BSQ112" s="769"/>
      <c r="BSR112" s="769"/>
      <c r="BSS112" s="769"/>
      <c r="BST112" s="769"/>
      <c r="BSU112" s="769"/>
      <c r="BSV112" s="769"/>
      <c r="BSW112" s="769"/>
      <c r="BSX112" s="769"/>
      <c r="BSY112" s="769"/>
      <c r="BSZ112" s="769"/>
      <c r="BTA112" s="769"/>
      <c r="BTB112" s="769"/>
      <c r="BTC112" s="769"/>
      <c r="BTD112" s="769"/>
      <c r="BTE112" s="769"/>
      <c r="BTF112" s="769"/>
      <c r="BTG112" s="769"/>
      <c r="BTH112" s="769"/>
      <c r="BTI112" s="769"/>
      <c r="BTJ112" s="769"/>
      <c r="BTK112" s="769"/>
      <c r="BTL112" s="769"/>
      <c r="BTM112" s="769"/>
      <c r="BTN112" s="769"/>
      <c r="BTO112" s="769"/>
      <c r="BTP112" s="769"/>
      <c r="BTQ112" s="769"/>
      <c r="BTR112" s="769"/>
      <c r="BTS112" s="769"/>
      <c r="BTT112" s="769"/>
      <c r="BTU112" s="769"/>
      <c r="BTV112" s="769"/>
      <c r="BTW112" s="769"/>
      <c r="BTX112" s="769"/>
      <c r="BTY112" s="769"/>
      <c r="BTZ112" s="769"/>
      <c r="BUA112" s="769"/>
      <c r="BUB112" s="769"/>
      <c r="BUC112" s="769"/>
      <c r="BUD112" s="769"/>
      <c r="BUE112" s="769"/>
      <c r="BUF112" s="769"/>
      <c r="BUG112" s="769"/>
      <c r="BUH112" s="769"/>
      <c r="BUI112" s="769"/>
      <c r="BUJ112" s="769"/>
      <c r="BUK112" s="769"/>
      <c r="BUL112" s="769"/>
      <c r="BUM112" s="769"/>
      <c r="BUN112" s="769"/>
      <c r="BUO112" s="769"/>
      <c r="BUP112" s="769"/>
      <c r="BUQ112" s="769"/>
      <c r="BUR112" s="769"/>
      <c r="BUS112" s="769"/>
      <c r="BUT112" s="769"/>
      <c r="BUU112" s="769"/>
      <c r="BUV112" s="769"/>
      <c r="BUW112" s="769"/>
      <c r="BUX112" s="769"/>
      <c r="BUY112" s="769"/>
      <c r="BUZ112" s="769"/>
      <c r="BVA112" s="769"/>
      <c r="BVB112" s="769"/>
      <c r="BVC112" s="769"/>
      <c r="BVD112" s="769"/>
      <c r="BVE112" s="769"/>
      <c r="BVF112" s="769"/>
      <c r="BVG112" s="769"/>
      <c r="BVH112" s="769"/>
      <c r="BVI112" s="769"/>
      <c r="BVJ112" s="769"/>
      <c r="BVK112" s="769"/>
      <c r="BVL112" s="769"/>
      <c r="BVM112" s="769"/>
      <c r="BVN112" s="769"/>
      <c r="BVO112" s="769"/>
      <c r="BVP112" s="769"/>
      <c r="BVQ112" s="769"/>
      <c r="BVR112" s="769"/>
      <c r="BVS112" s="769"/>
      <c r="BVT112" s="769"/>
      <c r="BVU112" s="769"/>
      <c r="BVV112" s="769"/>
      <c r="BVW112" s="769"/>
      <c r="BVX112" s="769"/>
      <c r="BVY112" s="769"/>
      <c r="BVZ112" s="769"/>
      <c r="BWA112" s="769"/>
      <c r="BWB112" s="769"/>
      <c r="BWC112" s="769"/>
      <c r="BWD112" s="769"/>
      <c r="BWE112" s="769"/>
      <c r="BWF112" s="769"/>
      <c r="BWG112" s="769"/>
      <c r="BWH112" s="769"/>
      <c r="BWI112" s="769"/>
      <c r="BWJ112" s="769"/>
      <c r="BWK112" s="769"/>
      <c r="BWL112" s="769"/>
      <c r="BWM112" s="769"/>
      <c r="BWN112" s="769"/>
      <c r="BWO112" s="769"/>
      <c r="BWP112" s="769"/>
      <c r="BWQ112" s="769"/>
      <c r="BWR112" s="769"/>
      <c r="BWS112" s="769"/>
      <c r="BWT112" s="769"/>
      <c r="BWU112" s="769"/>
      <c r="BWV112" s="769"/>
      <c r="BWW112" s="769"/>
      <c r="BWX112" s="769"/>
      <c r="BWY112" s="769"/>
      <c r="BWZ112" s="769"/>
      <c r="BXA112" s="769"/>
      <c r="BXB112" s="769"/>
      <c r="BXC112" s="769"/>
      <c r="BXD112" s="769"/>
      <c r="BXE112" s="769"/>
      <c r="BXF112" s="769"/>
      <c r="BXG112" s="769"/>
      <c r="BXH112" s="769"/>
      <c r="BXI112" s="769"/>
      <c r="BXJ112" s="769"/>
      <c r="BXK112" s="769"/>
      <c r="BXL112" s="769"/>
      <c r="BXM112" s="769"/>
      <c r="BXN112" s="769"/>
      <c r="BXO112" s="769"/>
      <c r="BXP112" s="769"/>
      <c r="BXQ112" s="769"/>
      <c r="BXR112" s="769"/>
      <c r="BXS112" s="769"/>
      <c r="BXT112" s="769"/>
      <c r="BXU112" s="769"/>
      <c r="BXV112" s="769"/>
      <c r="BXW112" s="769"/>
      <c r="BXX112" s="769"/>
      <c r="BXY112" s="769"/>
      <c r="BXZ112" s="769"/>
      <c r="BYA112" s="769"/>
      <c r="BYB112" s="769"/>
      <c r="BYC112" s="769"/>
      <c r="BYD112" s="769"/>
      <c r="BYE112" s="769"/>
      <c r="BYF112" s="769"/>
      <c r="BYG112" s="769"/>
      <c r="BYH112" s="769"/>
      <c r="BYI112" s="769"/>
      <c r="BYJ112" s="769"/>
      <c r="BYK112" s="769"/>
      <c r="BYL112" s="769"/>
      <c r="BYM112" s="769"/>
      <c r="BYN112" s="769"/>
      <c r="BYO112" s="769"/>
      <c r="BYP112" s="769"/>
      <c r="BYQ112" s="769"/>
      <c r="BYR112" s="769"/>
      <c r="BYS112" s="769"/>
      <c r="BYT112" s="769"/>
      <c r="BYU112" s="769"/>
      <c r="BYV112" s="769"/>
      <c r="BYW112" s="769"/>
      <c r="BYX112" s="769"/>
      <c r="BYY112" s="769"/>
      <c r="BYZ112" s="769"/>
      <c r="BZA112" s="769"/>
      <c r="BZB112" s="769"/>
      <c r="BZC112" s="769"/>
      <c r="BZD112" s="769"/>
      <c r="BZE112" s="769"/>
      <c r="BZF112" s="769"/>
      <c r="BZG112" s="769"/>
      <c r="BZH112" s="769"/>
      <c r="BZI112" s="769"/>
      <c r="BZJ112" s="769"/>
      <c r="BZK112" s="769"/>
      <c r="BZL112" s="769"/>
      <c r="BZM112" s="769"/>
      <c r="BZN112" s="769"/>
      <c r="BZO112" s="769"/>
      <c r="BZP112" s="769"/>
      <c r="BZQ112" s="769"/>
      <c r="BZR112" s="769"/>
      <c r="BZS112" s="769"/>
      <c r="BZT112" s="769"/>
      <c r="BZU112" s="769"/>
      <c r="BZV112" s="769"/>
      <c r="BZW112" s="769"/>
      <c r="BZX112" s="769"/>
      <c r="BZY112" s="769"/>
      <c r="BZZ112" s="769"/>
      <c r="CAA112" s="769"/>
      <c r="CAB112" s="769"/>
      <c r="CAC112" s="769"/>
      <c r="CAD112" s="769"/>
      <c r="CAE112" s="769"/>
      <c r="CAF112" s="769"/>
      <c r="CAG112" s="769"/>
      <c r="CAH112" s="769"/>
      <c r="CAI112" s="769"/>
      <c r="CAJ112" s="769"/>
      <c r="CAK112" s="769"/>
      <c r="CAL112" s="769"/>
      <c r="CAM112" s="769"/>
      <c r="CAN112" s="769"/>
      <c r="CAO112" s="769"/>
      <c r="CAP112" s="769"/>
      <c r="CAQ112" s="769"/>
      <c r="CAR112" s="769"/>
      <c r="CAS112" s="769"/>
      <c r="CAT112" s="769"/>
      <c r="CAU112" s="769"/>
      <c r="CAV112" s="769"/>
      <c r="CAW112" s="769"/>
      <c r="CAX112" s="769"/>
      <c r="CAY112" s="769"/>
      <c r="CAZ112" s="769"/>
      <c r="CBA112" s="769"/>
      <c r="CBB112" s="769"/>
      <c r="CBC112" s="769"/>
      <c r="CBD112" s="769"/>
      <c r="CBE112" s="769"/>
      <c r="CBF112" s="769"/>
      <c r="CBG112" s="769"/>
      <c r="CBH112" s="769"/>
      <c r="CBI112" s="769"/>
      <c r="CBJ112" s="769"/>
      <c r="CBK112" s="769"/>
      <c r="CBL112" s="769"/>
      <c r="CBM112" s="769"/>
      <c r="CBN112" s="769"/>
      <c r="CBO112" s="769"/>
      <c r="CBP112" s="769"/>
      <c r="CBQ112" s="769"/>
      <c r="CBR112" s="769"/>
      <c r="CBS112" s="769"/>
      <c r="CBT112" s="769"/>
      <c r="CBU112" s="769"/>
      <c r="CBV112" s="769"/>
      <c r="CBW112" s="769"/>
      <c r="CBX112" s="769"/>
      <c r="CBY112" s="769"/>
      <c r="CBZ112" s="769"/>
      <c r="CCA112" s="769"/>
      <c r="CCB112" s="769"/>
      <c r="CCC112" s="769"/>
      <c r="CCD112" s="769"/>
      <c r="CCE112" s="769"/>
      <c r="CCF112" s="769"/>
      <c r="CCG112" s="769"/>
      <c r="CCH112" s="769"/>
      <c r="CCI112" s="769"/>
      <c r="CCJ112" s="769"/>
      <c r="CCK112" s="769"/>
      <c r="CCL112" s="769"/>
      <c r="CCM112" s="769"/>
      <c r="CCN112" s="769"/>
      <c r="CCO112" s="769"/>
      <c r="CCP112" s="769"/>
      <c r="CCQ112" s="769"/>
      <c r="CCR112" s="769"/>
      <c r="CCS112" s="769"/>
      <c r="CCT112" s="769"/>
      <c r="CCU112" s="769"/>
      <c r="CCV112" s="769"/>
      <c r="CCW112" s="769"/>
      <c r="CCX112" s="769"/>
      <c r="CCY112" s="769"/>
      <c r="CCZ112" s="769"/>
      <c r="CDA112" s="769"/>
      <c r="CDB112" s="769"/>
      <c r="CDC112" s="769"/>
      <c r="CDD112" s="769"/>
      <c r="CDE112" s="769"/>
      <c r="CDF112" s="769"/>
      <c r="CDG112" s="769"/>
      <c r="CDH112" s="769"/>
      <c r="CDI112" s="769"/>
      <c r="CDJ112" s="769"/>
      <c r="CDK112" s="769"/>
      <c r="CDL112" s="769"/>
      <c r="CDM112" s="769"/>
      <c r="CDN112" s="769"/>
      <c r="CDO112" s="769"/>
      <c r="CDP112" s="769"/>
      <c r="CDQ112" s="769"/>
      <c r="CDR112" s="769"/>
      <c r="CDS112" s="769"/>
      <c r="CDT112" s="769"/>
      <c r="CDU112" s="769"/>
      <c r="CDV112" s="769"/>
      <c r="CDW112" s="769"/>
      <c r="CDX112" s="769"/>
      <c r="CDY112" s="769"/>
      <c r="CDZ112" s="769"/>
      <c r="CEA112" s="769"/>
      <c r="CEB112" s="769"/>
      <c r="CEC112" s="769"/>
      <c r="CED112" s="769"/>
      <c r="CEE112" s="769"/>
      <c r="CEF112" s="769"/>
      <c r="CEG112" s="769"/>
      <c r="CEH112" s="769"/>
      <c r="CEI112" s="769"/>
      <c r="CEJ112" s="769"/>
      <c r="CEK112" s="769"/>
      <c r="CEL112" s="769"/>
      <c r="CEM112" s="769"/>
      <c r="CEN112" s="769"/>
      <c r="CEO112" s="769"/>
      <c r="CEP112" s="769"/>
      <c r="CEQ112" s="769"/>
      <c r="CER112" s="769"/>
      <c r="CES112" s="769"/>
      <c r="CET112" s="769"/>
      <c r="CEU112" s="769"/>
      <c r="CEV112" s="769"/>
      <c r="CEW112" s="769"/>
      <c r="CEX112" s="769"/>
      <c r="CEY112" s="769"/>
      <c r="CEZ112" s="769"/>
      <c r="CFA112" s="769"/>
      <c r="CFB112" s="769"/>
      <c r="CFC112" s="769"/>
      <c r="CFD112" s="769"/>
      <c r="CFE112" s="769"/>
      <c r="CFF112" s="769"/>
      <c r="CFG112" s="769"/>
      <c r="CFH112" s="769"/>
      <c r="CFI112" s="769"/>
      <c r="CFJ112" s="769"/>
      <c r="CFK112" s="769"/>
      <c r="CFL112" s="769"/>
      <c r="CFM112" s="769"/>
      <c r="CFN112" s="769"/>
      <c r="CFO112" s="769"/>
      <c r="CFP112" s="769"/>
      <c r="CFQ112" s="769"/>
      <c r="CFR112" s="769"/>
      <c r="CFS112" s="769"/>
      <c r="CFT112" s="769"/>
      <c r="CFU112" s="769"/>
      <c r="CFV112" s="769"/>
      <c r="CFW112" s="769"/>
      <c r="CFX112" s="769"/>
      <c r="CFY112" s="769"/>
      <c r="CFZ112" s="769"/>
      <c r="CGA112" s="769"/>
      <c r="CGB112" s="769"/>
      <c r="CGC112" s="769"/>
      <c r="CGD112" s="769"/>
      <c r="CGE112" s="769"/>
      <c r="CGF112" s="769"/>
      <c r="CGG112" s="769"/>
      <c r="CGH112" s="769"/>
      <c r="CGI112" s="769"/>
      <c r="CGJ112" s="769"/>
      <c r="CGK112" s="769"/>
      <c r="CGL112" s="769"/>
      <c r="CGM112" s="769"/>
      <c r="CGN112" s="769"/>
      <c r="CGO112" s="769"/>
      <c r="CGP112" s="769"/>
      <c r="CGQ112" s="769"/>
      <c r="CGR112" s="769"/>
      <c r="CGS112" s="769"/>
      <c r="CGT112" s="769"/>
      <c r="CGU112" s="769"/>
      <c r="CGV112" s="769"/>
      <c r="CGW112" s="769"/>
      <c r="CGX112" s="769"/>
      <c r="CGY112" s="769"/>
      <c r="CGZ112" s="769"/>
      <c r="CHA112" s="769"/>
      <c r="CHB112" s="769"/>
      <c r="CHC112" s="769"/>
      <c r="CHD112" s="769"/>
      <c r="CHE112" s="769"/>
      <c r="CHF112" s="769"/>
      <c r="CHG112" s="769"/>
      <c r="CHH112" s="769"/>
      <c r="CHI112" s="769"/>
      <c r="CHJ112" s="769"/>
      <c r="CHK112" s="769"/>
      <c r="CHL112" s="769"/>
      <c r="CHM112" s="769"/>
      <c r="CHN112" s="769"/>
      <c r="CHO112" s="769"/>
      <c r="CHP112" s="769"/>
      <c r="CHQ112" s="769"/>
      <c r="CHR112" s="769"/>
      <c r="CHS112" s="769"/>
      <c r="CHT112" s="769"/>
      <c r="CHU112" s="769"/>
      <c r="CHV112" s="769"/>
      <c r="CHW112" s="769"/>
      <c r="CHX112" s="769"/>
      <c r="CHY112" s="769"/>
      <c r="CHZ112" s="769"/>
      <c r="CIA112" s="769"/>
      <c r="CIB112" s="769"/>
      <c r="CIC112" s="769"/>
      <c r="CID112" s="769"/>
      <c r="CIE112" s="769"/>
      <c r="CIF112" s="769"/>
      <c r="CIG112" s="769"/>
      <c r="CIH112" s="769"/>
      <c r="CII112" s="769"/>
      <c r="CIJ112" s="769"/>
      <c r="CIK112" s="769"/>
      <c r="CIL112" s="769"/>
      <c r="CIM112" s="769"/>
      <c r="CIN112" s="769"/>
      <c r="CIO112" s="769"/>
      <c r="CIP112" s="769"/>
      <c r="CIQ112" s="769"/>
      <c r="CIR112" s="769"/>
      <c r="CIS112" s="769"/>
      <c r="CIT112" s="769"/>
      <c r="CIU112" s="769"/>
      <c r="CIV112" s="769"/>
      <c r="CIW112" s="769"/>
      <c r="CIX112" s="769"/>
      <c r="CIY112" s="769"/>
      <c r="CIZ112" s="769"/>
      <c r="CJA112" s="769"/>
      <c r="CJB112" s="769"/>
      <c r="CJC112" s="769"/>
      <c r="CJD112" s="769"/>
      <c r="CJE112" s="769"/>
      <c r="CJF112" s="769"/>
      <c r="CJG112" s="769"/>
      <c r="CJH112" s="769"/>
      <c r="CJI112" s="769"/>
      <c r="CJJ112" s="769"/>
      <c r="CJK112" s="769"/>
      <c r="CJL112" s="769"/>
      <c r="CJM112" s="769"/>
      <c r="CJN112" s="769"/>
      <c r="CJO112" s="769"/>
      <c r="CJP112" s="769"/>
      <c r="CJQ112" s="769"/>
      <c r="CJR112" s="769"/>
      <c r="CJS112" s="769"/>
      <c r="CJT112" s="769"/>
      <c r="CJU112" s="769"/>
      <c r="CJV112" s="769"/>
      <c r="CJW112" s="769"/>
      <c r="CJX112" s="769"/>
      <c r="CJY112" s="769"/>
      <c r="CJZ112" s="769"/>
      <c r="CKA112" s="769"/>
      <c r="CKB112" s="769"/>
      <c r="CKC112" s="769"/>
      <c r="CKD112" s="769"/>
      <c r="CKE112" s="769"/>
      <c r="CKF112" s="769"/>
      <c r="CKG112" s="769"/>
      <c r="CKH112" s="769"/>
      <c r="CKI112" s="769"/>
      <c r="CKJ112" s="769"/>
      <c r="CKK112" s="769"/>
      <c r="CKL112" s="769"/>
      <c r="CKM112" s="769"/>
      <c r="CKN112" s="769"/>
      <c r="CKO112" s="769"/>
      <c r="CKP112" s="769"/>
      <c r="CKQ112" s="769"/>
      <c r="CKR112" s="769"/>
      <c r="CKS112" s="769"/>
      <c r="CKT112" s="769"/>
      <c r="CKU112" s="769"/>
      <c r="CKV112" s="769"/>
      <c r="CKW112" s="769"/>
      <c r="CKX112" s="769"/>
      <c r="CKY112" s="769"/>
      <c r="CKZ112" s="769"/>
      <c r="CLA112" s="769"/>
      <c r="CLB112" s="769"/>
      <c r="CLC112" s="769"/>
      <c r="CLD112" s="769"/>
      <c r="CLE112" s="769"/>
      <c r="CLF112" s="769"/>
      <c r="CLG112" s="769"/>
      <c r="CLH112" s="769"/>
      <c r="CLI112" s="769"/>
      <c r="CLJ112" s="769"/>
      <c r="CLK112" s="769"/>
      <c r="CLL112" s="769"/>
      <c r="CLM112" s="769"/>
      <c r="CLN112" s="769"/>
      <c r="CLO112" s="769"/>
      <c r="CLP112" s="769"/>
      <c r="CLQ112" s="769"/>
      <c r="CLR112" s="769"/>
      <c r="CLS112" s="769"/>
      <c r="CLT112" s="769"/>
      <c r="CLU112" s="769"/>
      <c r="CLV112" s="769"/>
      <c r="CLW112" s="769"/>
      <c r="CLX112" s="769"/>
      <c r="CLY112" s="769"/>
      <c r="CLZ112" s="769"/>
      <c r="CMA112" s="769"/>
      <c r="CMB112" s="769"/>
      <c r="CMC112" s="769"/>
      <c r="CMD112" s="769"/>
      <c r="CME112" s="769"/>
      <c r="CMF112" s="769"/>
      <c r="CMG112" s="769"/>
      <c r="CMH112" s="769"/>
      <c r="CMI112" s="769"/>
      <c r="CMJ112" s="769"/>
      <c r="CMK112" s="769"/>
      <c r="CML112" s="769"/>
      <c r="CMM112" s="769"/>
      <c r="CMN112" s="769"/>
      <c r="CMO112" s="769"/>
      <c r="CMP112" s="769"/>
      <c r="CMQ112" s="769"/>
      <c r="CMR112" s="769"/>
      <c r="CMS112" s="769"/>
      <c r="CMT112" s="769"/>
      <c r="CMU112" s="769"/>
      <c r="CMV112" s="769"/>
      <c r="CMW112" s="769"/>
      <c r="CMX112" s="769"/>
      <c r="CMY112" s="769"/>
      <c r="CMZ112" s="769"/>
      <c r="CNA112" s="769"/>
      <c r="CNB112" s="769"/>
      <c r="CNC112" s="769"/>
      <c r="CND112" s="769"/>
      <c r="CNE112" s="769"/>
      <c r="CNF112" s="769"/>
      <c r="CNG112" s="769"/>
      <c r="CNH112" s="769"/>
      <c r="CNI112" s="769"/>
      <c r="CNJ112" s="769"/>
      <c r="CNK112" s="769"/>
      <c r="CNL112" s="769"/>
      <c r="CNM112" s="769"/>
      <c r="CNN112" s="769"/>
      <c r="CNO112" s="769"/>
      <c r="CNP112" s="769"/>
      <c r="CNQ112" s="769"/>
      <c r="CNR112" s="769"/>
      <c r="CNS112" s="769"/>
      <c r="CNT112" s="769"/>
      <c r="CNU112" s="769"/>
      <c r="CNV112" s="769"/>
      <c r="CNW112" s="769"/>
      <c r="CNX112" s="769"/>
      <c r="CNY112" s="769"/>
      <c r="CNZ112" s="769"/>
      <c r="COA112" s="769"/>
      <c r="COB112" s="769"/>
      <c r="COC112" s="769"/>
      <c r="COD112" s="769"/>
      <c r="COE112" s="769"/>
      <c r="COF112" s="769"/>
      <c r="COG112" s="769"/>
      <c r="COH112" s="769"/>
      <c r="COI112" s="769"/>
      <c r="COJ112" s="769"/>
      <c r="COK112" s="769"/>
      <c r="COL112" s="769"/>
      <c r="COM112" s="769"/>
      <c r="CON112" s="769"/>
      <c r="COO112" s="769"/>
      <c r="COP112" s="769"/>
      <c r="COQ112" s="769"/>
      <c r="COR112" s="769"/>
      <c r="COS112" s="769"/>
      <c r="COT112" s="769"/>
      <c r="COU112" s="769"/>
      <c r="COV112" s="769"/>
      <c r="COW112" s="769"/>
      <c r="COX112" s="769"/>
      <c r="COY112" s="769"/>
      <c r="COZ112" s="769"/>
      <c r="CPA112" s="769"/>
      <c r="CPB112" s="769"/>
      <c r="CPC112" s="769"/>
      <c r="CPD112" s="769"/>
      <c r="CPE112" s="769"/>
      <c r="CPF112" s="769"/>
      <c r="CPG112" s="769"/>
      <c r="CPH112" s="769"/>
      <c r="CPI112" s="769"/>
      <c r="CPJ112" s="769"/>
      <c r="CPK112" s="769"/>
      <c r="CPL112" s="769"/>
      <c r="CPM112" s="769"/>
      <c r="CPN112" s="769"/>
      <c r="CPO112" s="769"/>
      <c r="CPP112" s="769"/>
      <c r="CPQ112" s="769"/>
      <c r="CPR112" s="769"/>
      <c r="CPS112" s="769"/>
      <c r="CPT112" s="769"/>
      <c r="CPU112" s="769"/>
      <c r="CPV112" s="769"/>
      <c r="CPW112" s="769"/>
      <c r="CPX112" s="769"/>
      <c r="CPY112" s="769"/>
      <c r="CPZ112" s="769"/>
      <c r="CQA112" s="769"/>
      <c r="CQB112" s="769"/>
      <c r="CQC112" s="769"/>
      <c r="CQD112" s="769"/>
      <c r="CQE112" s="769"/>
      <c r="CQF112" s="769"/>
      <c r="CQG112" s="769"/>
      <c r="CQH112" s="769"/>
      <c r="CQI112" s="769"/>
      <c r="CQJ112" s="769"/>
      <c r="CQK112" s="769"/>
      <c r="CQL112" s="769"/>
      <c r="CQM112" s="769"/>
      <c r="CQN112" s="769"/>
      <c r="CQO112" s="769"/>
      <c r="CQP112" s="769"/>
      <c r="CQQ112" s="769"/>
      <c r="CQR112" s="769"/>
      <c r="CQS112" s="769"/>
      <c r="CQT112" s="769"/>
      <c r="CQU112" s="769"/>
      <c r="CQV112" s="769"/>
      <c r="CQW112" s="769"/>
      <c r="CQX112" s="769"/>
      <c r="CQY112" s="769"/>
      <c r="CQZ112" s="769"/>
      <c r="CRA112" s="769"/>
      <c r="CRB112" s="769"/>
      <c r="CRC112" s="769"/>
      <c r="CRD112" s="769"/>
      <c r="CRE112" s="769"/>
      <c r="CRF112" s="769"/>
      <c r="CRG112" s="769"/>
      <c r="CRH112" s="769"/>
      <c r="CRI112" s="769"/>
      <c r="CRJ112" s="769"/>
      <c r="CRK112" s="769"/>
      <c r="CRL112" s="769"/>
      <c r="CRM112" s="769"/>
      <c r="CRN112" s="769"/>
      <c r="CRO112" s="769"/>
      <c r="CRP112" s="769"/>
      <c r="CRQ112" s="769"/>
      <c r="CRR112" s="769"/>
      <c r="CRS112" s="769"/>
      <c r="CRT112" s="769"/>
      <c r="CRU112" s="769"/>
      <c r="CRV112" s="769"/>
      <c r="CRW112" s="769"/>
      <c r="CRX112" s="769"/>
      <c r="CRY112" s="769"/>
      <c r="CRZ112" s="769"/>
      <c r="CSA112" s="769"/>
      <c r="CSB112" s="769"/>
      <c r="CSC112" s="769"/>
      <c r="CSD112" s="769"/>
      <c r="CSE112" s="769"/>
      <c r="CSF112" s="769"/>
      <c r="CSG112" s="769"/>
      <c r="CSH112" s="769"/>
      <c r="CSI112" s="769"/>
      <c r="CSJ112" s="769"/>
      <c r="CSK112" s="769"/>
      <c r="CSL112" s="769"/>
      <c r="CSM112" s="769"/>
      <c r="CSN112" s="769"/>
      <c r="CSO112" s="769"/>
      <c r="CSP112" s="769"/>
      <c r="CSQ112" s="769"/>
      <c r="CSR112" s="769"/>
      <c r="CSS112" s="769"/>
      <c r="CST112" s="769"/>
      <c r="CSU112" s="769"/>
      <c r="CSV112" s="769"/>
      <c r="CSW112" s="769"/>
      <c r="CSX112" s="769"/>
      <c r="CSY112" s="769"/>
      <c r="CSZ112" s="769"/>
      <c r="CTA112" s="769"/>
      <c r="CTB112" s="769"/>
      <c r="CTC112" s="769"/>
      <c r="CTD112" s="769"/>
      <c r="CTE112" s="769"/>
      <c r="CTF112" s="769"/>
      <c r="CTG112" s="769"/>
      <c r="CTH112" s="769"/>
      <c r="CTI112" s="769"/>
      <c r="CTJ112" s="769"/>
      <c r="CTK112" s="769"/>
      <c r="CTL112" s="769"/>
      <c r="CTM112" s="769"/>
      <c r="CTN112" s="769"/>
      <c r="CTO112" s="769"/>
      <c r="CTP112" s="769"/>
      <c r="CTQ112" s="769"/>
      <c r="CTR112" s="769"/>
      <c r="CTS112" s="769"/>
      <c r="CTT112" s="769"/>
      <c r="CTU112" s="769"/>
      <c r="CTV112" s="769"/>
      <c r="CTW112" s="769"/>
      <c r="CTX112" s="769"/>
      <c r="CTY112" s="769"/>
      <c r="CTZ112" s="769"/>
      <c r="CUA112" s="769"/>
      <c r="CUB112" s="769"/>
      <c r="CUC112" s="769"/>
      <c r="CUD112" s="769"/>
      <c r="CUE112" s="769"/>
      <c r="CUF112" s="769"/>
      <c r="CUG112" s="769"/>
      <c r="CUH112" s="769"/>
      <c r="CUI112" s="769"/>
      <c r="CUJ112" s="769"/>
      <c r="CUK112" s="769"/>
      <c r="CUL112" s="769"/>
      <c r="CUM112" s="769"/>
      <c r="CUN112" s="769"/>
      <c r="CUO112" s="769"/>
      <c r="CUP112" s="769"/>
      <c r="CUQ112" s="769"/>
      <c r="CUR112" s="769"/>
      <c r="CUS112" s="769"/>
      <c r="CUT112" s="769"/>
      <c r="CUU112" s="769"/>
      <c r="CUV112" s="769"/>
      <c r="CUW112" s="769"/>
      <c r="CUX112" s="769"/>
      <c r="CUY112" s="769"/>
      <c r="CUZ112" s="769"/>
      <c r="CVA112" s="769"/>
      <c r="CVB112" s="769"/>
      <c r="CVC112" s="769"/>
      <c r="CVD112" s="769"/>
      <c r="CVE112" s="769"/>
      <c r="CVF112" s="769"/>
      <c r="CVG112" s="769"/>
      <c r="CVH112" s="769"/>
      <c r="CVI112" s="769"/>
      <c r="CVJ112" s="769"/>
      <c r="CVK112" s="769"/>
      <c r="CVL112" s="769"/>
      <c r="CVM112" s="769"/>
      <c r="CVN112" s="769"/>
      <c r="CVO112" s="769"/>
      <c r="CVP112" s="769"/>
      <c r="CVQ112" s="769"/>
      <c r="CVR112" s="769"/>
      <c r="CVS112" s="769"/>
      <c r="CVT112" s="769"/>
      <c r="CVU112" s="769"/>
      <c r="CVV112" s="769"/>
      <c r="CVW112" s="769"/>
      <c r="CVX112" s="769"/>
      <c r="CVY112" s="769"/>
      <c r="CVZ112" s="769"/>
      <c r="CWA112" s="769"/>
      <c r="CWB112" s="769"/>
      <c r="CWC112" s="769"/>
      <c r="CWD112" s="769"/>
      <c r="CWE112" s="769"/>
      <c r="CWF112" s="769"/>
      <c r="CWG112" s="769"/>
      <c r="CWH112" s="769"/>
      <c r="CWI112" s="769"/>
      <c r="CWJ112" s="769"/>
      <c r="CWK112" s="769"/>
      <c r="CWL112" s="769"/>
      <c r="CWM112" s="769"/>
      <c r="CWN112" s="769"/>
      <c r="CWO112" s="769"/>
      <c r="CWP112" s="769"/>
      <c r="CWQ112" s="769"/>
      <c r="CWR112" s="769"/>
      <c r="CWS112" s="769"/>
      <c r="CWT112" s="769"/>
      <c r="CWU112" s="769"/>
      <c r="CWV112" s="769"/>
      <c r="CWW112" s="769"/>
      <c r="CWX112" s="769"/>
      <c r="CWY112" s="769"/>
      <c r="CWZ112" s="769"/>
      <c r="CXA112" s="769"/>
      <c r="CXB112" s="769"/>
      <c r="CXC112" s="769"/>
      <c r="CXD112" s="769"/>
      <c r="CXE112" s="769"/>
      <c r="CXF112" s="769"/>
      <c r="CXG112" s="769"/>
      <c r="CXH112" s="769"/>
      <c r="CXI112" s="769"/>
      <c r="CXJ112" s="769"/>
      <c r="CXK112" s="769"/>
      <c r="CXL112" s="769"/>
      <c r="CXM112" s="769"/>
      <c r="CXN112" s="769"/>
      <c r="CXO112" s="769"/>
      <c r="CXP112" s="769"/>
      <c r="CXQ112" s="769"/>
      <c r="CXR112" s="769"/>
      <c r="CXS112" s="769"/>
      <c r="CXT112" s="769"/>
      <c r="CXU112" s="769"/>
      <c r="CXV112" s="769"/>
      <c r="CXW112" s="769"/>
      <c r="CXX112" s="769"/>
      <c r="CXY112" s="769"/>
      <c r="CXZ112" s="769"/>
      <c r="CYA112" s="769"/>
      <c r="CYB112" s="769"/>
      <c r="CYC112" s="769"/>
      <c r="CYD112" s="769"/>
      <c r="CYE112" s="769"/>
      <c r="CYF112" s="769"/>
      <c r="CYG112" s="769"/>
      <c r="CYH112" s="769"/>
      <c r="CYI112" s="769"/>
      <c r="CYJ112" s="769"/>
      <c r="CYK112" s="769"/>
      <c r="CYL112" s="769"/>
      <c r="CYM112" s="769"/>
      <c r="CYN112" s="769"/>
      <c r="CYO112" s="769"/>
      <c r="CYP112" s="769"/>
      <c r="CYQ112" s="769"/>
      <c r="CYR112" s="769"/>
      <c r="CYS112" s="769"/>
      <c r="CYT112" s="769"/>
      <c r="CYU112" s="769"/>
      <c r="CYV112" s="769"/>
      <c r="CYW112" s="769"/>
      <c r="CYX112" s="769"/>
      <c r="CYY112" s="769"/>
      <c r="CYZ112" s="769"/>
      <c r="CZA112" s="769"/>
      <c r="CZB112" s="769"/>
      <c r="CZC112" s="769"/>
      <c r="CZD112" s="769"/>
      <c r="CZE112" s="769"/>
      <c r="CZF112" s="769"/>
      <c r="CZG112" s="769"/>
      <c r="CZH112" s="769"/>
      <c r="CZI112" s="769"/>
      <c r="CZJ112" s="769"/>
      <c r="CZK112" s="769"/>
      <c r="CZL112" s="769"/>
      <c r="CZM112" s="769"/>
      <c r="CZN112" s="769"/>
      <c r="CZO112" s="769"/>
      <c r="CZP112" s="769"/>
      <c r="CZQ112" s="769"/>
      <c r="CZR112" s="769"/>
      <c r="CZS112" s="769"/>
      <c r="CZT112" s="769"/>
      <c r="CZU112" s="769"/>
      <c r="CZV112" s="769"/>
      <c r="CZW112" s="769"/>
      <c r="CZX112" s="769"/>
      <c r="CZY112" s="769"/>
      <c r="CZZ112" s="769"/>
      <c r="DAA112" s="769"/>
      <c r="DAB112" s="769"/>
      <c r="DAC112" s="769"/>
      <c r="DAD112" s="769"/>
      <c r="DAE112" s="769"/>
      <c r="DAF112" s="769"/>
      <c r="DAG112" s="769"/>
      <c r="DAH112" s="769"/>
      <c r="DAI112" s="769"/>
      <c r="DAJ112" s="769"/>
      <c r="DAK112" s="769"/>
      <c r="DAL112" s="769"/>
      <c r="DAM112" s="769"/>
      <c r="DAN112" s="769"/>
      <c r="DAO112" s="769"/>
      <c r="DAP112" s="769"/>
      <c r="DAQ112" s="769"/>
      <c r="DAR112" s="769"/>
      <c r="DAS112" s="769"/>
      <c r="DAT112" s="769"/>
      <c r="DAU112" s="769"/>
      <c r="DAV112" s="769"/>
      <c r="DAW112" s="769"/>
      <c r="DAX112" s="769"/>
      <c r="DAY112" s="769"/>
      <c r="DAZ112" s="769"/>
      <c r="DBA112" s="769"/>
      <c r="DBB112" s="769"/>
      <c r="DBC112" s="769"/>
      <c r="DBD112" s="769"/>
      <c r="DBE112" s="769"/>
      <c r="DBF112" s="769"/>
      <c r="DBG112" s="769"/>
      <c r="DBH112" s="769"/>
      <c r="DBI112" s="769"/>
      <c r="DBJ112" s="769"/>
      <c r="DBK112" s="769"/>
      <c r="DBL112" s="769"/>
      <c r="DBM112" s="769"/>
      <c r="DBN112" s="769"/>
      <c r="DBO112" s="769"/>
      <c r="DBP112" s="769"/>
      <c r="DBQ112" s="769"/>
      <c r="DBR112" s="769"/>
      <c r="DBS112" s="769"/>
      <c r="DBT112" s="769"/>
      <c r="DBU112" s="769"/>
      <c r="DBV112" s="769"/>
      <c r="DBW112" s="769"/>
      <c r="DBX112" s="769"/>
      <c r="DBY112" s="769"/>
      <c r="DBZ112" s="769"/>
      <c r="DCA112" s="769"/>
      <c r="DCB112" s="769"/>
      <c r="DCC112" s="769"/>
      <c r="DCD112" s="769"/>
      <c r="DCE112" s="769"/>
      <c r="DCF112" s="769"/>
      <c r="DCG112" s="769"/>
      <c r="DCH112" s="769"/>
      <c r="DCI112" s="769"/>
      <c r="DCJ112" s="769"/>
      <c r="DCK112" s="769"/>
      <c r="DCL112" s="769"/>
      <c r="DCM112" s="769"/>
      <c r="DCN112" s="769"/>
      <c r="DCO112" s="769"/>
      <c r="DCP112" s="769"/>
      <c r="DCQ112" s="769"/>
      <c r="DCR112" s="769"/>
      <c r="DCS112" s="769"/>
      <c r="DCT112" s="769"/>
      <c r="DCU112" s="769"/>
      <c r="DCV112" s="769"/>
      <c r="DCW112" s="769"/>
      <c r="DCX112" s="769"/>
      <c r="DCY112" s="769"/>
      <c r="DCZ112" s="769"/>
      <c r="DDA112" s="769"/>
      <c r="DDB112" s="769"/>
      <c r="DDC112" s="769"/>
      <c r="DDD112" s="769"/>
      <c r="DDE112" s="769"/>
      <c r="DDF112" s="769"/>
      <c r="DDG112" s="769"/>
      <c r="DDH112" s="769"/>
      <c r="DDI112" s="769"/>
      <c r="DDJ112" s="769"/>
      <c r="DDK112" s="769"/>
      <c r="DDL112" s="769"/>
      <c r="DDM112" s="769"/>
      <c r="DDN112" s="769"/>
      <c r="DDO112" s="769"/>
      <c r="DDP112" s="769"/>
      <c r="DDQ112" s="769"/>
      <c r="DDR112" s="769"/>
      <c r="DDS112" s="769"/>
      <c r="DDT112" s="769"/>
      <c r="DDU112" s="769"/>
      <c r="DDV112" s="769"/>
      <c r="DDW112" s="769"/>
      <c r="DDX112" s="769"/>
      <c r="DDY112" s="769"/>
      <c r="DDZ112" s="769"/>
      <c r="DEA112" s="769"/>
      <c r="DEB112" s="769"/>
      <c r="DEC112" s="769"/>
      <c r="DED112" s="769"/>
      <c r="DEE112" s="769"/>
      <c r="DEF112" s="769"/>
      <c r="DEG112" s="769"/>
      <c r="DEH112" s="769"/>
      <c r="DEI112" s="769"/>
      <c r="DEJ112" s="769"/>
      <c r="DEK112" s="769"/>
      <c r="DEL112" s="769"/>
      <c r="DEM112" s="769"/>
      <c r="DEN112" s="769"/>
      <c r="DEO112" s="769"/>
      <c r="DEP112" s="769"/>
      <c r="DEQ112" s="769"/>
      <c r="DER112" s="769"/>
      <c r="DES112" s="769"/>
      <c r="DET112" s="769"/>
      <c r="DEU112" s="769"/>
      <c r="DEV112" s="769"/>
      <c r="DEW112" s="769"/>
      <c r="DEX112" s="769"/>
      <c r="DEY112" s="769"/>
      <c r="DEZ112" s="769"/>
      <c r="DFA112" s="769"/>
      <c r="DFB112" s="769"/>
      <c r="DFC112" s="769"/>
      <c r="DFD112" s="769"/>
      <c r="DFE112" s="769"/>
      <c r="DFF112" s="769"/>
      <c r="DFG112" s="769"/>
      <c r="DFH112" s="769"/>
      <c r="DFI112" s="769"/>
      <c r="DFJ112" s="769"/>
      <c r="DFK112" s="769"/>
      <c r="DFL112" s="769"/>
      <c r="DFM112" s="769"/>
      <c r="DFN112" s="769"/>
      <c r="DFO112" s="769"/>
      <c r="DFP112" s="769"/>
      <c r="DFQ112" s="769"/>
      <c r="DFR112" s="769"/>
      <c r="DFS112" s="769"/>
      <c r="DFT112" s="769"/>
      <c r="DFU112" s="769"/>
      <c r="DFV112" s="769"/>
      <c r="DFW112" s="769"/>
      <c r="DFX112" s="769"/>
      <c r="DFY112" s="769"/>
      <c r="DFZ112" s="769"/>
      <c r="DGA112" s="769"/>
      <c r="DGB112" s="769"/>
      <c r="DGC112" s="769"/>
      <c r="DGD112" s="769"/>
      <c r="DGE112" s="769"/>
      <c r="DGF112" s="769"/>
      <c r="DGG112" s="769"/>
      <c r="DGH112" s="769"/>
      <c r="DGI112" s="769"/>
      <c r="DGJ112" s="769"/>
      <c r="DGK112" s="769"/>
      <c r="DGL112" s="769"/>
      <c r="DGM112" s="769"/>
      <c r="DGN112" s="769"/>
      <c r="DGO112" s="769"/>
      <c r="DGP112" s="769"/>
      <c r="DGQ112" s="769"/>
      <c r="DGR112" s="769"/>
      <c r="DGS112" s="769"/>
      <c r="DGT112" s="769"/>
      <c r="DGU112" s="769"/>
      <c r="DGV112" s="769"/>
      <c r="DGW112" s="769"/>
      <c r="DGX112" s="769"/>
      <c r="DGY112" s="769"/>
      <c r="DGZ112" s="769"/>
      <c r="DHA112" s="769"/>
      <c r="DHB112" s="769"/>
      <c r="DHC112" s="769"/>
      <c r="DHD112" s="769"/>
      <c r="DHE112" s="769"/>
      <c r="DHF112" s="769"/>
      <c r="DHG112" s="769"/>
      <c r="DHH112" s="769"/>
      <c r="DHI112" s="769"/>
      <c r="DHJ112" s="769"/>
      <c r="DHK112" s="769"/>
      <c r="DHL112" s="769"/>
      <c r="DHM112" s="769"/>
      <c r="DHN112" s="769"/>
      <c r="DHO112" s="769"/>
      <c r="DHP112" s="769"/>
      <c r="DHQ112" s="769"/>
      <c r="DHR112" s="769"/>
      <c r="DHS112" s="769"/>
      <c r="DHT112" s="769"/>
      <c r="DHU112" s="769"/>
      <c r="DHV112" s="769"/>
      <c r="DHW112" s="769"/>
      <c r="DHX112" s="769"/>
      <c r="DHY112" s="769"/>
      <c r="DHZ112" s="769"/>
      <c r="DIA112" s="769"/>
      <c r="DIB112" s="769"/>
      <c r="DIC112" s="769"/>
      <c r="DID112" s="769"/>
      <c r="DIE112" s="769"/>
      <c r="DIF112" s="769"/>
      <c r="DIG112" s="769"/>
      <c r="DIH112" s="769"/>
      <c r="DII112" s="769"/>
      <c r="DIJ112" s="769"/>
      <c r="DIK112" s="769"/>
      <c r="DIL112" s="769"/>
      <c r="DIM112" s="769"/>
      <c r="DIN112" s="769"/>
      <c r="DIO112" s="769"/>
      <c r="DIP112" s="769"/>
      <c r="DIQ112" s="769"/>
      <c r="DIR112" s="769"/>
      <c r="DIS112" s="769"/>
      <c r="DIT112" s="769"/>
      <c r="DIU112" s="769"/>
      <c r="DIV112" s="769"/>
      <c r="DIW112" s="769"/>
      <c r="DIX112" s="769"/>
      <c r="DIY112" s="769"/>
      <c r="DIZ112" s="769"/>
      <c r="DJA112" s="769"/>
      <c r="DJB112" s="769"/>
      <c r="DJC112" s="769"/>
      <c r="DJD112" s="769"/>
      <c r="DJE112" s="769"/>
      <c r="DJF112" s="769"/>
      <c r="DJG112" s="769"/>
      <c r="DJH112" s="769"/>
      <c r="DJI112" s="769"/>
      <c r="DJJ112" s="769"/>
      <c r="DJK112" s="769"/>
      <c r="DJL112" s="769"/>
      <c r="DJM112" s="769"/>
      <c r="DJN112" s="769"/>
      <c r="DJO112" s="769"/>
      <c r="DJP112" s="769"/>
      <c r="DJQ112" s="769"/>
      <c r="DJR112" s="769"/>
      <c r="DJS112" s="769"/>
      <c r="DJT112" s="769"/>
      <c r="DJU112" s="769"/>
      <c r="DJV112" s="769"/>
      <c r="DJW112" s="769"/>
      <c r="DJX112" s="769"/>
      <c r="DJY112" s="769"/>
      <c r="DJZ112" s="769"/>
      <c r="DKA112" s="769"/>
      <c r="DKB112" s="769"/>
      <c r="DKC112" s="769"/>
      <c r="DKD112" s="769"/>
      <c r="DKE112" s="769"/>
      <c r="DKF112" s="769"/>
      <c r="DKG112" s="769"/>
      <c r="DKH112" s="769"/>
      <c r="DKI112" s="769"/>
      <c r="DKJ112" s="769"/>
      <c r="DKK112" s="769"/>
      <c r="DKL112" s="769"/>
      <c r="DKM112" s="769"/>
      <c r="DKN112" s="769"/>
      <c r="DKO112" s="769"/>
      <c r="DKP112" s="769"/>
      <c r="DKQ112" s="769"/>
      <c r="DKR112" s="769"/>
      <c r="DKS112" s="769"/>
      <c r="DKT112" s="769"/>
      <c r="DKU112" s="769"/>
      <c r="DKV112" s="769"/>
      <c r="DKW112" s="769"/>
      <c r="DKX112" s="769"/>
      <c r="DKY112" s="769"/>
      <c r="DKZ112" s="769"/>
      <c r="DLA112" s="769"/>
      <c r="DLB112" s="769"/>
      <c r="DLC112" s="769"/>
      <c r="DLD112" s="769"/>
      <c r="DLE112" s="769"/>
      <c r="DLF112" s="769"/>
      <c r="DLG112" s="769"/>
      <c r="DLH112" s="769"/>
      <c r="DLI112" s="769"/>
      <c r="DLJ112" s="769"/>
      <c r="DLK112" s="769"/>
      <c r="DLL112" s="769"/>
      <c r="DLM112" s="769"/>
      <c r="DLN112" s="769"/>
      <c r="DLO112" s="769"/>
      <c r="DLP112" s="769"/>
      <c r="DLQ112" s="769"/>
      <c r="DLR112" s="769"/>
      <c r="DLS112" s="769"/>
      <c r="DLT112" s="769"/>
      <c r="DLU112" s="769"/>
      <c r="DLV112" s="769"/>
      <c r="DLW112" s="769"/>
      <c r="DLX112" s="769"/>
      <c r="DLY112" s="769"/>
      <c r="DLZ112" s="769"/>
      <c r="DMA112" s="769"/>
      <c r="DMB112" s="769"/>
      <c r="DMC112" s="769"/>
      <c r="DMD112" s="769"/>
      <c r="DME112" s="769"/>
      <c r="DMF112" s="769"/>
      <c r="DMG112" s="769"/>
      <c r="DMH112" s="769"/>
      <c r="DMI112" s="769"/>
      <c r="DMJ112" s="769"/>
      <c r="DMK112" s="769"/>
      <c r="DML112" s="769"/>
      <c r="DMM112" s="769"/>
      <c r="DMN112" s="769"/>
      <c r="DMO112" s="769"/>
      <c r="DMP112" s="769"/>
      <c r="DMQ112" s="769"/>
      <c r="DMR112" s="769"/>
      <c r="DMS112" s="769"/>
      <c r="DMT112" s="769"/>
      <c r="DMU112" s="769"/>
      <c r="DMV112" s="769"/>
      <c r="DMW112" s="769"/>
      <c r="DMX112" s="769"/>
      <c r="DMY112" s="769"/>
      <c r="DMZ112" s="769"/>
      <c r="DNA112" s="769"/>
      <c r="DNB112" s="769"/>
      <c r="DNC112" s="769"/>
      <c r="DND112" s="769"/>
      <c r="DNE112" s="769"/>
      <c r="DNF112" s="769"/>
      <c r="DNG112" s="769"/>
      <c r="DNH112" s="769"/>
      <c r="DNI112" s="769"/>
      <c r="DNJ112" s="769"/>
      <c r="DNK112" s="769"/>
      <c r="DNL112" s="769"/>
      <c r="DNM112" s="769"/>
      <c r="DNN112" s="769"/>
      <c r="DNO112" s="769"/>
      <c r="DNP112" s="769"/>
      <c r="DNQ112" s="769"/>
      <c r="DNR112" s="769"/>
      <c r="DNS112" s="769"/>
      <c r="DNT112" s="769"/>
      <c r="DNU112" s="769"/>
      <c r="DNV112" s="769"/>
      <c r="DNW112" s="769"/>
      <c r="DNX112" s="769"/>
      <c r="DNY112" s="769"/>
      <c r="DNZ112" s="769"/>
      <c r="DOA112" s="769"/>
      <c r="DOB112" s="769"/>
      <c r="DOC112" s="769"/>
      <c r="DOD112" s="769"/>
      <c r="DOE112" s="769"/>
      <c r="DOF112" s="769"/>
      <c r="DOG112" s="769"/>
      <c r="DOH112" s="769"/>
      <c r="DOI112" s="769"/>
      <c r="DOJ112" s="769"/>
      <c r="DOK112" s="769"/>
      <c r="DOL112" s="769"/>
      <c r="DOM112" s="769"/>
      <c r="DON112" s="769"/>
      <c r="DOO112" s="769"/>
      <c r="DOP112" s="769"/>
      <c r="DOQ112" s="769"/>
      <c r="DOR112" s="769"/>
      <c r="DOS112" s="769"/>
      <c r="DOT112" s="769"/>
      <c r="DOU112" s="769"/>
      <c r="DOV112" s="769"/>
      <c r="DOW112" s="769"/>
      <c r="DOX112" s="769"/>
      <c r="DOY112" s="769"/>
      <c r="DOZ112" s="769"/>
      <c r="DPA112" s="769"/>
      <c r="DPB112" s="769"/>
      <c r="DPC112" s="769"/>
      <c r="DPD112" s="769"/>
      <c r="DPE112" s="769"/>
      <c r="DPF112" s="769"/>
      <c r="DPG112" s="769"/>
      <c r="DPH112" s="769"/>
      <c r="DPI112" s="769"/>
      <c r="DPJ112" s="769"/>
      <c r="DPK112" s="769"/>
      <c r="DPL112" s="769"/>
      <c r="DPM112" s="769"/>
      <c r="DPN112" s="769"/>
      <c r="DPO112" s="769"/>
      <c r="DPP112" s="769"/>
      <c r="DPQ112" s="769"/>
      <c r="DPR112" s="769"/>
      <c r="DPS112" s="769"/>
      <c r="DPT112" s="769"/>
      <c r="DPU112" s="769"/>
      <c r="DPV112" s="769"/>
      <c r="DPW112" s="769"/>
      <c r="DPX112" s="769"/>
      <c r="DPY112" s="769"/>
      <c r="DPZ112" s="769"/>
      <c r="DQA112" s="769"/>
      <c r="DQB112" s="769"/>
      <c r="DQC112" s="769"/>
      <c r="DQD112" s="769"/>
      <c r="DQE112" s="769"/>
      <c r="DQF112" s="769"/>
      <c r="DQG112" s="769"/>
      <c r="DQH112" s="769"/>
      <c r="DQI112" s="769"/>
      <c r="DQJ112" s="769"/>
      <c r="DQK112" s="769"/>
      <c r="DQL112" s="769"/>
      <c r="DQM112" s="769"/>
      <c r="DQN112" s="769"/>
      <c r="DQO112" s="769"/>
      <c r="DQP112" s="769"/>
      <c r="DQQ112" s="769"/>
      <c r="DQR112" s="769"/>
      <c r="DQS112" s="769"/>
      <c r="DQT112" s="769"/>
      <c r="DQU112" s="769"/>
      <c r="DQV112" s="769"/>
      <c r="DQW112" s="769"/>
      <c r="DQX112" s="769"/>
      <c r="DQY112" s="769"/>
      <c r="DQZ112" s="769"/>
      <c r="DRA112" s="769"/>
      <c r="DRB112" s="769"/>
      <c r="DRC112" s="769"/>
      <c r="DRD112" s="769"/>
      <c r="DRE112" s="769"/>
      <c r="DRF112" s="769"/>
      <c r="DRG112" s="769"/>
      <c r="DRH112" s="769"/>
      <c r="DRI112" s="769"/>
      <c r="DRJ112" s="769"/>
      <c r="DRK112" s="769"/>
      <c r="DRL112" s="769"/>
      <c r="DRM112" s="769"/>
      <c r="DRN112" s="769"/>
      <c r="DRO112" s="769"/>
      <c r="DRP112" s="769"/>
      <c r="DRQ112" s="769"/>
      <c r="DRR112" s="769"/>
      <c r="DRS112" s="769"/>
      <c r="DRT112" s="769"/>
      <c r="DRU112" s="769"/>
      <c r="DRV112" s="769"/>
      <c r="DRW112" s="769"/>
      <c r="DRX112" s="769"/>
      <c r="DRY112" s="769"/>
      <c r="DRZ112" s="769"/>
      <c r="DSA112" s="769"/>
      <c r="DSB112" s="769"/>
      <c r="DSC112" s="769"/>
      <c r="DSD112" s="769"/>
      <c r="DSE112" s="769"/>
      <c r="DSF112" s="769"/>
      <c r="DSG112" s="769"/>
      <c r="DSH112" s="769"/>
      <c r="DSI112" s="769"/>
      <c r="DSJ112" s="769"/>
      <c r="DSK112" s="769"/>
      <c r="DSL112" s="769"/>
      <c r="DSM112" s="769"/>
      <c r="DSN112" s="769"/>
      <c r="DSO112" s="769"/>
      <c r="DSP112" s="769"/>
      <c r="DSQ112" s="769"/>
      <c r="DSR112" s="769"/>
      <c r="DSS112" s="769"/>
      <c r="DST112" s="769"/>
      <c r="DSU112" s="769"/>
      <c r="DSV112" s="769"/>
      <c r="DSW112" s="769"/>
      <c r="DSX112" s="769"/>
      <c r="DSY112" s="769"/>
      <c r="DSZ112" s="769"/>
      <c r="DTA112" s="769"/>
      <c r="DTB112" s="769"/>
      <c r="DTC112" s="769"/>
      <c r="DTD112" s="769"/>
      <c r="DTE112" s="769"/>
      <c r="DTF112" s="769"/>
      <c r="DTG112" s="769"/>
      <c r="DTH112" s="769"/>
      <c r="DTI112" s="769"/>
      <c r="DTJ112" s="769"/>
      <c r="DTK112" s="769"/>
      <c r="DTL112" s="769"/>
      <c r="DTM112" s="769"/>
      <c r="DTN112" s="769"/>
      <c r="DTO112" s="769"/>
      <c r="DTP112" s="769"/>
      <c r="DTQ112" s="769"/>
      <c r="DTR112" s="769"/>
      <c r="DTS112" s="769"/>
      <c r="DTT112" s="769"/>
      <c r="DTU112" s="769"/>
      <c r="DTV112" s="769"/>
      <c r="DTW112" s="769"/>
      <c r="DTX112" s="769"/>
      <c r="DTY112" s="769"/>
      <c r="DTZ112" s="769"/>
      <c r="DUA112" s="769"/>
      <c r="DUB112" s="769"/>
      <c r="DUC112" s="769"/>
      <c r="DUD112" s="769"/>
      <c r="DUE112" s="769"/>
      <c r="DUF112" s="769"/>
      <c r="DUG112" s="769"/>
      <c r="DUH112" s="769"/>
      <c r="DUI112" s="769"/>
      <c r="DUJ112" s="769"/>
      <c r="DUK112" s="769"/>
      <c r="DUL112" s="769"/>
      <c r="DUM112" s="769"/>
      <c r="DUN112" s="769"/>
      <c r="DUO112" s="769"/>
      <c r="DUP112" s="769"/>
      <c r="DUQ112" s="769"/>
      <c r="DUR112" s="769"/>
      <c r="DUS112" s="769"/>
      <c r="DUT112" s="769"/>
      <c r="DUU112" s="769"/>
      <c r="DUV112" s="769"/>
      <c r="DUW112" s="769"/>
      <c r="DUX112" s="769"/>
      <c r="DUY112" s="769"/>
      <c r="DUZ112" s="769"/>
      <c r="DVA112" s="769"/>
      <c r="DVB112" s="769"/>
      <c r="DVC112" s="769"/>
      <c r="DVD112" s="769"/>
      <c r="DVE112" s="769"/>
      <c r="DVF112" s="769"/>
      <c r="DVG112" s="769"/>
      <c r="DVH112" s="769"/>
      <c r="DVI112" s="769"/>
      <c r="DVJ112" s="769"/>
      <c r="DVK112" s="769"/>
      <c r="DVL112" s="769"/>
      <c r="DVM112" s="769"/>
      <c r="DVN112" s="769"/>
      <c r="DVO112" s="769"/>
      <c r="DVP112" s="769"/>
      <c r="DVQ112" s="769"/>
      <c r="DVR112" s="769"/>
      <c r="DVS112" s="769"/>
      <c r="DVT112" s="769"/>
      <c r="DVU112" s="769"/>
      <c r="DVV112" s="769"/>
      <c r="DVW112" s="769"/>
      <c r="DVX112" s="769"/>
      <c r="DVY112" s="769"/>
      <c r="DVZ112" s="769"/>
      <c r="DWA112" s="769"/>
      <c r="DWB112" s="769"/>
      <c r="DWC112" s="769"/>
      <c r="DWD112" s="769"/>
      <c r="DWE112" s="769"/>
      <c r="DWF112" s="769"/>
      <c r="DWG112" s="769"/>
      <c r="DWH112" s="769"/>
      <c r="DWI112" s="769"/>
      <c r="DWJ112" s="769"/>
      <c r="DWK112" s="769"/>
      <c r="DWL112" s="769"/>
      <c r="DWM112" s="769"/>
      <c r="DWN112" s="769"/>
      <c r="DWO112" s="769"/>
      <c r="DWP112" s="769"/>
      <c r="DWQ112" s="769"/>
      <c r="DWR112" s="769"/>
      <c r="DWS112" s="769"/>
      <c r="DWT112" s="769"/>
      <c r="DWU112" s="769"/>
      <c r="DWV112" s="769"/>
      <c r="DWW112" s="769"/>
      <c r="DWX112" s="769"/>
      <c r="DWY112" s="769"/>
      <c r="DWZ112" s="769"/>
      <c r="DXA112" s="769"/>
      <c r="DXB112" s="769"/>
      <c r="DXC112" s="769"/>
      <c r="DXD112" s="769"/>
      <c r="DXE112" s="769"/>
      <c r="DXF112" s="769"/>
      <c r="DXG112" s="769"/>
      <c r="DXH112" s="769"/>
      <c r="DXI112" s="769"/>
      <c r="DXJ112" s="769"/>
      <c r="DXK112" s="769"/>
      <c r="DXL112" s="769"/>
      <c r="DXM112" s="769"/>
      <c r="DXN112" s="769"/>
      <c r="DXO112" s="769"/>
      <c r="DXP112" s="769"/>
      <c r="DXQ112" s="769"/>
      <c r="DXR112" s="769"/>
      <c r="DXS112" s="769"/>
      <c r="DXT112" s="769"/>
      <c r="DXU112" s="769"/>
      <c r="DXV112" s="769"/>
      <c r="DXW112" s="769"/>
      <c r="DXX112" s="769"/>
      <c r="DXY112" s="769"/>
      <c r="DXZ112" s="769"/>
      <c r="DYA112" s="769"/>
      <c r="DYB112" s="769"/>
      <c r="DYC112" s="769"/>
      <c r="DYD112" s="769"/>
      <c r="DYE112" s="769"/>
      <c r="DYF112" s="769"/>
      <c r="DYG112" s="769"/>
      <c r="DYH112" s="769"/>
      <c r="DYI112" s="769"/>
      <c r="DYJ112" s="769"/>
      <c r="DYK112" s="769"/>
      <c r="DYL112" s="769"/>
      <c r="DYM112" s="769"/>
      <c r="DYN112" s="769"/>
      <c r="DYO112" s="769"/>
      <c r="DYP112" s="769"/>
      <c r="DYQ112" s="769"/>
      <c r="DYR112" s="769"/>
      <c r="DYS112" s="769"/>
      <c r="DYT112" s="769"/>
      <c r="DYU112" s="769"/>
      <c r="DYV112" s="769"/>
      <c r="DYW112" s="769"/>
      <c r="DYX112" s="769"/>
      <c r="DYY112" s="769"/>
      <c r="DYZ112" s="769"/>
      <c r="DZA112" s="769"/>
      <c r="DZB112" s="769"/>
      <c r="DZC112" s="769"/>
      <c r="DZD112" s="769"/>
      <c r="DZE112" s="769"/>
      <c r="DZF112" s="769"/>
      <c r="DZG112" s="769"/>
      <c r="DZH112" s="769"/>
      <c r="DZI112" s="769"/>
      <c r="DZJ112" s="769"/>
      <c r="DZK112" s="769"/>
      <c r="DZL112" s="769"/>
      <c r="DZM112" s="769"/>
      <c r="DZN112" s="769"/>
      <c r="DZO112" s="769"/>
      <c r="DZP112" s="769"/>
      <c r="DZQ112" s="769"/>
      <c r="DZR112" s="769"/>
      <c r="DZS112" s="769"/>
      <c r="DZT112" s="769"/>
      <c r="DZU112" s="769"/>
      <c r="DZV112" s="769"/>
      <c r="DZW112" s="769"/>
      <c r="DZX112" s="769"/>
      <c r="DZY112" s="769"/>
      <c r="DZZ112" s="769"/>
      <c r="EAA112" s="769"/>
      <c r="EAB112" s="769"/>
      <c r="EAC112" s="769"/>
      <c r="EAD112" s="769"/>
      <c r="EAE112" s="769"/>
      <c r="EAF112" s="769"/>
      <c r="EAG112" s="769"/>
      <c r="EAH112" s="769"/>
      <c r="EAI112" s="769"/>
      <c r="EAJ112" s="769"/>
      <c r="EAK112" s="769"/>
      <c r="EAL112" s="769"/>
      <c r="EAM112" s="769"/>
      <c r="EAN112" s="769"/>
      <c r="EAO112" s="769"/>
      <c r="EAP112" s="769"/>
      <c r="EAQ112" s="769"/>
      <c r="EAR112" s="769"/>
      <c r="EAS112" s="769"/>
      <c r="EAT112" s="769"/>
      <c r="EAU112" s="769"/>
      <c r="EAV112" s="769"/>
      <c r="EAW112" s="769"/>
      <c r="EAX112" s="769"/>
      <c r="EAY112" s="769"/>
      <c r="EAZ112" s="769"/>
      <c r="EBA112" s="769"/>
      <c r="EBB112" s="769"/>
      <c r="EBC112" s="769"/>
      <c r="EBD112" s="769"/>
      <c r="EBE112" s="769"/>
      <c r="EBF112" s="769"/>
      <c r="EBG112" s="769"/>
      <c r="EBH112" s="769"/>
      <c r="EBI112" s="769"/>
      <c r="EBJ112" s="769"/>
      <c r="EBK112" s="769"/>
      <c r="EBL112" s="769"/>
      <c r="EBM112" s="769"/>
      <c r="EBN112" s="769"/>
      <c r="EBO112" s="769"/>
      <c r="EBP112" s="769"/>
      <c r="EBQ112" s="769"/>
      <c r="EBR112" s="769"/>
      <c r="EBS112" s="769"/>
      <c r="EBT112" s="769"/>
      <c r="EBU112" s="769"/>
      <c r="EBV112" s="769"/>
      <c r="EBW112" s="769"/>
      <c r="EBX112" s="769"/>
      <c r="EBY112" s="769"/>
      <c r="EBZ112" s="769"/>
      <c r="ECA112" s="769"/>
      <c r="ECB112" s="769"/>
      <c r="ECC112" s="769"/>
      <c r="ECD112" s="769"/>
      <c r="ECE112" s="769"/>
      <c r="ECF112" s="769"/>
      <c r="ECG112" s="769"/>
      <c r="ECH112" s="769"/>
      <c r="ECI112" s="769"/>
      <c r="ECJ112" s="769"/>
      <c r="ECK112" s="769"/>
      <c r="ECL112" s="769"/>
      <c r="ECM112" s="769"/>
      <c r="ECN112" s="769"/>
      <c r="ECO112" s="769"/>
      <c r="ECP112" s="769"/>
      <c r="ECQ112" s="769"/>
      <c r="ECR112" s="769"/>
      <c r="ECS112" s="769"/>
      <c r="ECT112" s="769"/>
      <c r="ECU112" s="769"/>
      <c r="ECV112" s="769"/>
      <c r="ECW112" s="769"/>
      <c r="ECX112" s="769"/>
      <c r="ECY112" s="769"/>
      <c r="ECZ112" s="769"/>
      <c r="EDA112" s="769"/>
      <c r="EDB112" s="769"/>
      <c r="EDC112" s="769"/>
      <c r="EDD112" s="769"/>
      <c r="EDE112" s="769"/>
      <c r="EDF112" s="769"/>
      <c r="EDG112" s="769"/>
      <c r="EDH112" s="769"/>
      <c r="EDI112" s="769"/>
      <c r="EDJ112" s="769"/>
      <c r="EDK112" s="769"/>
      <c r="EDL112" s="769"/>
      <c r="EDM112" s="769"/>
      <c r="EDN112" s="769"/>
      <c r="EDO112" s="769"/>
      <c r="EDP112" s="769"/>
      <c r="EDQ112" s="769"/>
      <c r="EDR112" s="769"/>
      <c r="EDS112" s="769"/>
      <c r="EDT112" s="769"/>
      <c r="EDU112" s="769"/>
      <c r="EDV112" s="769"/>
      <c r="EDW112" s="769"/>
      <c r="EDX112" s="769"/>
      <c r="EDY112" s="769"/>
      <c r="EDZ112" s="769"/>
      <c r="EEA112" s="769"/>
      <c r="EEB112" s="769"/>
      <c r="EEC112" s="769"/>
      <c r="EED112" s="769"/>
      <c r="EEE112" s="769"/>
      <c r="EEF112" s="769"/>
      <c r="EEG112" s="769"/>
      <c r="EEH112" s="769"/>
      <c r="EEI112" s="769"/>
      <c r="EEJ112" s="769"/>
      <c r="EEK112" s="769"/>
      <c r="EEL112" s="769"/>
      <c r="EEM112" s="769"/>
      <c r="EEN112" s="769"/>
      <c r="EEO112" s="769"/>
      <c r="EEP112" s="769"/>
      <c r="EEQ112" s="769"/>
      <c r="EER112" s="769"/>
      <c r="EES112" s="769"/>
      <c r="EET112" s="769"/>
      <c r="EEU112" s="769"/>
      <c r="EEV112" s="769"/>
      <c r="EEW112" s="769"/>
      <c r="EEX112" s="769"/>
      <c r="EEY112" s="769"/>
      <c r="EEZ112" s="769"/>
      <c r="EFA112" s="769"/>
      <c r="EFB112" s="769"/>
      <c r="EFC112" s="769"/>
      <c r="EFD112" s="769"/>
      <c r="EFE112" s="769"/>
      <c r="EFF112" s="769"/>
      <c r="EFG112" s="769"/>
      <c r="EFH112" s="769"/>
      <c r="EFI112" s="769"/>
      <c r="EFJ112" s="769"/>
      <c r="EFK112" s="769"/>
      <c r="EFL112" s="769"/>
      <c r="EFM112" s="769"/>
      <c r="EFN112" s="769"/>
      <c r="EFO112" s="769"/>
      <c r="EFP112" s="769"/>
      <c r="EFQ112" s="769"/>
      <c r="EFR112" s="769"/>
      <c r="EFS112" s="769"/>
      <c r="EFT112" s="769"/>
      <c r="EFU112" s="769"/>
      <c r="EFV112" s="769"/>
      <c r="EFW112" s="769"/>
      <c r="EFX112" s="769"/>
      <c r="EFY112" s="769"/>
      <c r="EFZ112" s="769"/>
      <c r="EGA112" s="769"/>
      <c r="EGB112" s="769"/>
      <c r="EGC112" s="769"/>
      <c r="EGD112" s="769"/>
      <c r="EGE112" s="769"/>
      <c r="EGF112" s="769"/>
      <c r="EGG112" s="769"/>
      <c r="EGH112" s="769"/>
      <c r="EGI112" s="769"/>
      <c r="EGJ112" s="769"/>
      <c r="EGK112" s="769"/>
      <c r="EGL112" s="769"/>
      <c r="EGM112" s="769"/>
      <c r="EGN112" s="769"/>
      <c r="EGO112" s="769"/>
      <c r="EGP112" s="769"/>
      <c r="EGQ112" s="769"/>
      <c r="EGR112" s="769"/>
      <c r="EGS112" s="769"/>
      <c r="EGT112" s="769"/>
      <c r="EGU112" s="769"/>
      <c r="EGV112" s="769"/>
      <c r="EGW112" s="769"/>
      <c r="EGX112" s="769"/>
      <c r="EGY112" s="769"/>
      <c r="EGZ112" s="769"/>
      <c r="EHA112" s="769"/>
      <c r="EHB112" s="769"/>
      <c r="EHC112" s="769"/>
      <c r="EHD112" s="769"/>
      <c r="EHE112" s="769"/>
      <c r="EHF112" s="769"/>
      <c r="EHG112" s="769"/>
      <c r="EHH112" s="769"/>
      <c r="EHI112" s="769"/>
      <c r="EHJ112" s="769"/>
      <c r="EHK112" s="769"/>
      <c r="EHL112" s="769"/>
      <c r="EHM112" s="769"/>
      <c r="EHN112" s="769"/>
      <c r="EHO112" s="769"/>
      <c r="EHP112" s="769"/>
      <c r="EHQ112" s="769"/>
      <c r="EHR112" s="769"/>
      <c r="EHS112" s="769"/>
      <c r="EHT112" s="769"/>
      <c r="EHU112" s="769"/>
      <c r="EHV112" s="769"/>
      <c r="EHW112" s="769"/>
      <c r="EHX112" s="769"/>
      <c r="EHY112" s="769"/>
      <c r="EHZ112" s="769"/>
      <c r="EIA112" s="769"/>
      <c r="EIB112" s="769"/>
      <c r="EIC112" s="769"/>
      <c r="EID112" s="769"/>
      <c r="EIE112" s="769"/>
      <c r="EIF112" s="769"/>
      <c r="EIG112" s="769"/>
      <c r="EIH112" s="769"/>
      <c r="EII112" s="769"/>
      <c r="EIJ112" s="769"/>
      <c r="EIK112" s="769"/>
      <c r="EIL112" s="769"/>
      <c r="EIM112" s="769"/>
      <c r="EIN112" s="769"/>
      <c r="EIO112" s="769"/>
      <c r="EIP112" s="769"/>
      <c r="EIQ112" s="769"/>
      <c r="EIR112" s="769"/>
      <c r="EIS112" s="769"/>
      <c r="EIT112" s="769"/>
      <c r="EIU112" s="769"/>
      <c r="EIV112" s="769"/>
      <c r="EIW112" s="769"/>
      <c r="EIX112" s="769"/>
      <c r="EIY112" s="769"/>
      <c r="EIZ112" s="769"/>
      <c r="EJA112" s="769"/>
      <c r="EJB112" s="769"/>
      <c r="EJC112" s="769"/>
      <c r="EJD112" s="769"/>
      <c r="EJE112" s="769"/>
      <c r="EJF112" s="769"/>
      <c r="EJG112" s="769"/>
      <c r="EJH112" s="769"/>
      <c r="EJI112" s="769"/>
      <c r="EJJ112" s="769"/>
      <c r="EJK112" s="769"/>
      <c r="EJL112" s="769"/>
      <c r="EJM112" s="769"/>
      <c r="EJN112" s="769"/>
      <c r="EJO112" s="769"/>
      <c r="EJP112" s="769"/>
      <c r="EJQ112" s="769"/>
      <c r="EJR112" s="769"/>
      <c r="EJS112" s="769"/>
      <c r="EJT112" s="769"/>
      <c r="EJU112" s="769"/>
      <c r="EJV112" s="769"/>
      <c r="EJW112" s="769"/>
      <c r="EJX112" s="769"/>
      <c r="EJY112" s="769"/>
      <c r="EJZ112" s="769"/>
      <c r="EKA112" s="769"/>
      <c r="EKB112" s="769"/>
      <c r="EKC112" s="769"/>
      <c r="EKD112" s="769"/>
      <c r="EKE112" s="769"/>
      <c r="EKF112" s="769"/>
      <c r="EKG112" s="769"/>
      <c r="EKH112" s="769"/>
      <c r="EKI112" s="769"/>
      <c r="EKJ112" s="769"/>
      <c r="EKK112" s="769"/>
      <c r="EKL112" s="769"/>
      <c r="EKM112" s="769"/>
      <c r="EKN112" s="769"/>
      <c r="EKO112" s="769"/>
      <c r="EKP112" s="769"/>
      <c r="EKQ112" s="769"/>
      <c r="EKR112" s="769"/>
      <c r="EKS112" s="769"/>
      <c r="EKT112" s="769"/>
      <c r="EKU112" s="769"/>
      <c r="EKV112" s="769"/>
      <c r="EKW112" s="769"/>
      <c r="EKX112" s="769"/>
      <c r="EKY112" s="769"/>
      <c r="EKZ112" s="769"/>
      <c r="ELA112" s="769"/>
      <c r="ELB112" s="769"/>
      <c r="ELC112" s="769"/>
      <c r="ELD112" s="769"/>
      <c r="ELE112" s="769"/>
      <c r="ELF112" s="769"/>
      <c r="ELG112" s="769"/>
      <c r="ELH112" s="769"/>
      <c r="ELI112" s="769"/>
      <c r="ELJ112" s="769"/>
      <c r="ELK112" s="769"/>
      <c r="ELL112" s="769"/>
      <c r="ELM112" s="769"/>
      <c r="ELN112" s="769"/>
      <c r="ELO112" s="769"/>
      <c r="ELP112" s="769"/>
      <c r="ELQ112" s="769"/>
      <c r="ELR112" s="769"/>
      <c r="ELS112" s="769"/>
      <c r="ELT112" s="769"/>
      <c r="ELU112" s="769"/>
      <c r="ELV112" s="769"/>
      <c r="ELW112" s="769"/>
      <c r="ELX112" s="769"/>
      <c r="ELY112" s="769"/>
      <c r="ELZ112" s="769"/>
      <c r="EMA112" s="769"/>
      <c r="EMB112" s="769"/>
      <c r="EMC112" s="769"/>
      <c r="EMD112" s="769"/>
      <c r="EME112" s="769"/>
      <c r="EMF112" s="769"/>
      <c r="EMG112" s="769"/>
      <c r="EMH112" s="769"/>
      <c r="EMI112" s="769"/>
      <c r="EMJ112" s="769"/>
      <c r="EMK112" s="769"/>
      <c r="EML112" s="769"/>
      <c r="EMM112" s="769"/>
      <c r="EMN112" s="769"/>
      <c r="EMO112" s="769"/>
      <c r="EMP112" s="769"/>
      <c r="EMQ112" s="769"/>
      <c r="EMR112" s="769"/>
      <c r="EMS112" s="769"/>
      <c r="EMT112" s="769"/>
      <c r="EMU112" s="769"/>
      <c r="EMV112" s="769"/>
      <c r="EMW112" s="769"/>
      <c r="EMX112" s="769"/>
      <c r="EMY112" s="769"/>
      <c r="EMZ112" s="769"/>
      <c r="ENA112" s="769"/>
      <c r="ENB112" s="769"/>
      <c r="ENC112" s="769"/>
      <c r="END112" s="769"/>
      <c r="ENE112" s="769"/>
      <c r="ENF112" s="769"/>
      <c r="ENG112" s="769"/>
      <c r="ENH112" s="769"/>
      <c r="ENI112" s="769"/>
      <c r="ENJ112" s="769"/>
      <c r="ENK112" s="769"/>
      <c r="ENL112" s="769"/>
      <c r="ENM112" s="769"/>
      <c r="ENN112" s="769"/>
      <c r="ENO112" s="769"/>
      <c r="ENP112" s="769"/>
      <c r="ENQ112" s="769"/>
      <c r="ENR112" s="769"/>
      <c r="ENS112" s="769"/>
      <c r="ENT112" s="769"/>
      <c r="ENU112" s="769"/>
      <c r="ENV112" s="769"/>
      <c r="ENW112" s="769"/>
      <c r="ENX112" s="769"/>
      <c r="ENY112" s="769"/>
      <c r="ENZ112" s="769"/>
      <c r="EOA112" s="769"/>
      <c r="EOB112" s="769"/>
      <c r="EOC112" s="769"/>
      <c r="EOD112" s="769"/>
      <c r="EOE112" s="769"/>
      <c r="EOF112" s="769"/>
      <c r="EOG112" s="769"/>
      <c r="EOH112" s="769"/>
      <c r="EOI112" s="769"/>
      <c r="EOJ112" s="769"/>
      <c r="EOK112" s="769"/>
      <c r="EOL112" s="769"/>
      <c r="EOM112" s="769"/>
      <c r="EON112" s="769"/>
      <c r="EOO112" s="769"/>
      <c r="EOP112" s="769"/>
      <c r="EOQ112" s="769"/>
      <c r="EOR112" s="769"/>
      <c r="EOS112" s="769"/>
      <c r="EOT112" s="769"/>
      <c r="EOU112" s="769"/>
      <c r="EOV112" s="769"/>
      <c r="EOW112" s="769"/>
      <c r="EOX112" s="769"/>
      <c r="EOY112" s="769"/>
      <c r="EOZ112" s="769"/>
      <c r="EPA112" s="769"/>
      <c r="EPB112" s="769"/>
      <c r="EPC112" s="769"/>
      <c r="EPD112" s="769"/>
      <c r="EPE112" s="769"/>
      <c r="EPF112" s="769"/>
      <c r="EPG112" s="769"/>
      <c r="EPH112" s="769"/>
      <c r="EPI112" s="769"/>
      <c r="EPJ112" s="769"/>
      <c r="EPK112" s="769"/>
      <c r="EPL112" s="769"/>
      <c r="EPM112" s="769"/>
      <c r="EPN112" s="769"/>
      <c r="EPO112" s="769"/>
      <c r="EPP112" s="769"/>
      <c r="EPQ112" s="769"/>
      <c r="EPR112" s="769"/>
      <c r="EPS112" s="769"/>
      <c r="EPT112" s="769"/>
      <c r="EPU112" s="769"/>
      <c r="EPV112" s="769"/>
      <c r="EPW112" s="769"/>
      <c r="EPX112" s="769"/>
      <c r="EPY112" s="769"/>
      <c r="EPZ112" s="769"/>
      <c r="EQA112" s="769"/>
      <c r="EQB112" s="769"/>
      <c r="EQC112" s="769"/>
      <c r="EQD112" s="769"/>
      <c r="EQE112" s="769"/>
      <c r="EQF112" s="769"/>
      <c r="EQG112" s="769"/>
      <c r="EQH112" s="769"/>
      <c r="EQI112" s="769"/>
      <c r="EQJ112" s="769"/>
      <c r="EQK112" s="769"/>
      <c r="EQL112" s="769"/>
      <c r="EQM112" s="769"/>
      <c r="EQN112" s="769"/>
      <c r="EQO112" s="769"/>
      <c r="EQP112" s="769"/>
      <c r="EQQ112" s="769"/>
      <c r="EQR112" s="769"/>
      <c r="EQS112" s="769"/>
      <c r="EQT112" s="769"/>
      <c r="EQU112" s="769"/>
      <c r="EQV112" s="769"/>
      <c r="EQW112" s="769"/>
      <c r="EQX112" s="769"/>
      <c r="EQY112" s="769"/>
      <c r="EQZ112" s="769"/>
      <c r="ERA112" s="769"/>
      <c r="ERB112" s="769"/>
      <c r="ERC112" s="769"/>
      <c r="ERD112" s="769"/>
      <c r="ERE112" s="769"/>
      <c r="ERF112" s="769"/>
      <c r="ERG112" s="769"/>
      <c r="ERH112" s="769"/>
      <c r="ERI112" s="769"/>
      <c r="ERJ112" s="769"/>
      <c r="ERK112" s="769"/>
      <c r="ERL112" s="769"/>
      <c r="ERM112" s="769"/>
      <c r="ERN112" s="769"/>
      <c r="ERO112" s="769"/>
      <c r="ERP112" s="769"/>
      <c r="ERQ112" s="769"/>
      <c r="ERR112" s="769"/>
      <c r="ERS112" s="769"/>
      <c r="ERT112" s="769"/>
      <c r="ERU112" s="769"/>
      <c r="ERV112" s="769"/>
      <c r="ERW112" s="769"/>
      <c r="ERX112" s="769"/>
      <c r="ERY112" s="769"/>
      <c r="ERZ112" s="769"/>
      <c r="ESA112" s="769"/>
      <c r="ESB112" s="769"/>
      <c r="ESC112" s="769"/>
      <c r="ESD112" s="769"/>
      <c r="ESE112" s="769"/>
      <c r="ESF112" s="769"/>
      <c r="ESG112" s="769"/>
      <c r="ESH112" s="769"/>
      <c r="ESI112" s="769"/>
      <c r="ESJ112" s="769"/>
      <c r="ESK112" s="769"/>
      <c r="ESL112" s="769"/>
      <c r="ESM112" s="769"/>
      <c r="ESN112" s="769"/>
      <c r="ESO112" s="769"/>
      <c r="ESP112" s="769"/>
      <c r="ESQ112" s="769"/>
      <c r="ESR112" s="769"/>
      <c r="ESS112" s="769"/>
      <c r="EST112" s="769"/>
      <c r="ESU112" s="769"/>
      <c r="ESV112" s="769"/>
      <c r="ESW112" s="769"/>
      <c r="ESX112" s="769"/>
      <c r="ESY112" s="769"/>
      <c r="ESZ112" s="769"/>
      <c r="ETA112" s="769"/>
      <c r="ETB112" s="769"/>
      <c r="ETC112" s="769"/>
      <c r="ETD112" s="769"/>
      <c r="ETE112" s="769"/>
      <c r="ETF112" s="769"/>
      <c r="ETG112" s="769"/>
      <c r="ETH112" s="769"/>
      <c r="ETI112" s="769"/>
      <c r="ETJ112" s="769"/>
      <c r="ETK112" s="769"/>
      <c r="ETL112" s="769"/>
      <c r="ETM112" s="769"/>
      <c r="ETN112" s="769"/>
      <c r="ETO112" s="769"/>
      <c r="ETP112" s="769"/>
      <c r="ETQ112" s="769"/>
      <c r="ETR112" s="769"/>
      <c r="ETS112" s="769"/>
      <c r="ETT112" s="769"/>
      <c r="ETU112" s="769"/>
      <c r="ETV112" s="769"/>
      <c r="ETW112" s="769"/>
      <c r="ETX112" s="769"/>
      <c r="ETY112" s="769"/>
      <c r="ETZ112" s="769"/>
      <c r="EUA112" s="769"/>
      <c r="EUB112" s="769"/>
      <c r="EUC112" s="769"/>
      <c r="EUD112" s="769"/>
      <c r="EUE112" s="769"/>
      <c r="EUF112" s="769"/>
      <c r="EUG112" s="769"/>
      <c r="EUH112" s="769"/>
      <c r="EUI112" s="769"/>
      <c r="EUJ112" s="769"/>
      <c r="EUK112" s="769"/>
      <c r="EUL112" s="769"/>
      <c r="EUM112" s="769"/>
      <c r="EUN112" s="769"/>
      <c r="EUO112" s="769"/>
      <c r="EUP112" s="769"/>
      <c r="EUQ112" s="769"/>
      <c r="EUR112" s="769"/>
      <c r="EUS112" s="769"/>
      <c r="EUT112" s="769"/>
      <c r="EUU112" s="769"/>
      <c r="EUV112" s="769"/>
      <c r="EUW112" s="769"/>
      <c r="EUX112" s="769"/>
      <c r="EUY112" s="769"/>
      <c r="EUZ112" s="769"/>
      <c r="EVA112" s="769"/>
      <c r="EVB112" s="769"/>
      <c r="EVC112" s="769"/>
      <c r="EVD112" s="769"/>
      <c r="EVE112" s="769"/>
      <c r="EVF112" s="769"/>
      <c r="EVG112" s="769"/>
      <c r="EVH112" s="769"/>
      <c r="EVI112" s="769"/>
      <c r="EVJ112" s="769"/>
      <c r="EVK112" s="769"/>
      <c r="EVL112" s="769"/>
      <c r="EVM112" s="769"/>
      <c r="EVN112" s="769"/>
      <c r="EVO112" s="769"/>
      <c r="EVP112" s="769"/>
      <c r="EVQ112" s="769"/>
      <c r="EVR112" s="769"/>
      <c r="EVS112" s="769"/>
      <c r="EVT112" s="769"/>
      <c r="EVU112" s="769"/>
      <c r="EVV112" s="769"/>
      <c r="EVW112" s="769"/>
      <c r="EVX112" s="769"/>
      <c r="EVY112" s="769"/>
      <c r="EVZ112" s="769"/>
      <c r="EWA112" s="769"/>
      <c r="EWB112" s="769"/>
      <c r="EWC112" s="769"/>
      <c r="EWD112" s="769"/>
      <c r="EWE112" s="769"/>
      <c r="EWF112" s="769"/>
      <c r="EWG112" s="769"/>
      <c r="EWH112" s="769"/>
      <c r="EWI112" s="769"/>
      <c r="EWJ112" s="769"/>
      <c r="EWK112" s="769"/>
      <c r="EWL112" s="769"/>
      <c r="EWM112" s="769"/>
      <c r="EWN112" s="769"/>
      <c r="EWO112" s="769"/>
      <c r="EWP112" s="769"/>
      <c r="EWQ112" s="769"/>
      <c r="EWR112" s="769"/>
      <c r="EWS112" s="769"/>
      <c r="EWT112" s="769"/>
      <c r="EWU112" s="769"/>
      <c r="EWV112" s="769"/>
      <c r="EWW112" s="769"/>
      <c r="EWX112" s="769"/>
      <c r="EWY112" s="769"/>
      <c r="EWZ112" s="769"/>
      <c r="EXA112" s="769"/>
      <c r="EXB112" s="769"/>
      <c r="EXC112" s="769"/>
      <c r="EXD112" s="769"/>
      <c r="EXE112" s="769"/>
      <c r="EXF112" s="769"/>
      <c r="EXG112" s="769"/>
      <c r="EXH112" s="769"/>
      <c r="EXI112" s="769"/>
      <c r="EXJ112" s="769"/>
      <c r="EXK112" s="769"/>
      <c r="EXL112" s="769"/>
      <c r="EXM112" s="769"/>
      <c r="EXN112" s="769"/>
      <c r="EXO112" s="769"/>
      <c r="EXP112" s="769"/>
      <c r="EXQ112" s="769"/>
      <c r="EXR112" s="769"/>
      <c r="EXS112" s="769"/>
      <c r="EXT112" s="769"/>
      <c r="EXU112" s="769"/>
      <c r="EXV112" s="769"/>
      <c r="EXW112" s="769"/>
      <c r="EXX112" s="769"/>
      <c r="EXY112" s="769"/>
      <c r="EXZ112" s="769"/>
      <c r="EYA112" s="769"/>
      <c r="EYB112" s="769"/>
      <c r="EYC112" s="769"/>
      <c r="EYD112" s="769"/>
      <c r="EYE112" s="769"/>
      <c r="EYF112" s="769"/>
      <c r="EYG112" s="769"/>
      <c r="EYH112" s="769"/>
      <c r="EYI112" s="769"/>
      <c r="EYJ112" s="769"/>
      <c r="EYK112" s="769"/>
      <c r="EYL112" s="769"/>
      <c r="EYM112" s="769"/>
      <c r="EYN112" s="769"/>
      <c r="EYO112" s="769"/>
      <c r="EYP112" s="769"/>
      <c r="EYQ112" s="769"/>
      <c r="EYR112" s="769"/>
      <c r="EYS112" s="769"/>
      <c r="EYT112" s="769"/>
      <c r="EYU112" s="769"/>
      <c r="EYV112" s="769"/>
      <c r="EYW112" s="769"/>
      <c r="EYX112" s="769"/>
      <c r="EYY112" s="769"/>
      <c r="EYZ112" s="769"/>
      <c r="EZA112" s="769"/>
      <c r="EZB112" s="769"/>
      <c r="EZC112" s="769"/>
      <c r="EZD112" s="769"/>
      <c r="EZE112" s="769"/>
      <c r="EZF112" s="769"/>
      <c r="EZG112" s="769"/>
      <c r="EZH112" s="769"/>
      <c r="EZI112" s="769"/>
      <c r="EZJ112" s="769"/>
      <c r="EZK112" s="769"/>
      <c r="EZL112" s="769"/>
      <c r="EZM112" s="769"/>
      <c r="EZN112" s="769"/>
      <c r="EZO112" s="769"/>
      <c r="EZP112" s="769"/>
      <c r="EZQ112" s="769"/>
      <c r="EZR112" s="769"/>
      <c r="EZS112" s="769"/>
      <c r="EZT112" s="769"/>
      <c r="EZU112" s="769"/>
      <c r="EZV112" s="769"/>
      <c r="EZW112" s="769"/>
      <c r="EZX112" s="769"/>
      <c r="EZY112" s="769"/>
      <c r="EZZ112" s="769"/>
      <c r="FAA112" s="769"/>
      <c r="FAB112" s="769"/>
      <c r="FAC112" s="769"/>
      <c r="FAD112" s="769"/>
      <c r="FAE112" s="769"/>
      <c r="FAF112" s="769"/>
      <c r="FAG112" s="769"/>
      <c r="FAH112" s="769"/>
      <c r="FAI112" s="769"/>
      <c r="FAJ112" s="769"/>
      <c r="FAK112" s="769"/>
      <c r="FAL112" s="769"/>
      <c r="FAM112" s="769"/>
      <c r="FAN112" s="769"/>
      <c r="FAO112" s="769"/>
      <c r="FAP112" s="769"/>
      <c r="FAQ112" s="769"/>
      <c r="FAR112" s="769"/>
      <c r="FAS112" s="769"/>
      <c r="FAT112" s="769"/>
      <c r="FAU112" s="769"/>
      <c r="FAV112" s="769"/>
      <c r="FAW112" s="769"/>
      <c r="FAX112" s="769"/>
      <c r="FAY112" s="769"/>
      <c r="FAZ112" s="769"/>
      <c r="FBA112" s="769"/>
      <c r="FBB112" s="769"/>
      <c r="FBC112" s="769"/>
      <c r="FBD112" s="769"/>
      <c r="FBE112" s="769"/>
      <c r="FBF112" s="769"/>
      <c r="FBG112" s="769"/>
      <c r="FBH112" s="769"/>
      <c r="FBI112" s="769"/>
      <c r="FBJ112" s="769"/>
      <c r="FBK112" s="769"/>
      <c r="FBL112" s="769"/>
      <c r="FBM112" s="769"/>
      <c r="FBN112" s="769"/>
      <c r="FBO112" s="769"/>
      <c r="FBP112" s="769"/>
      <c r="FBQ112" s="769"/>
      <c r="FBR112" s="769"/>
      <c r="FBS112" s="769"/>
      <c r="FBT112" s="769"/>
      <c r="FBU112" s="769"/>
      <c r="FBV112" s="769"/>
      <c r="FBW112" s="769"/>
      <c r="FBX112" s="769"/>
      <c r="FBY112" s="769"/>
      <c r="FBZ112" s="769"/>
      <c r="FCA112" s="769"/>
      <c r="FCB112" s="769"/>
      <c r="FCC112" s="769"/>
      <c r="FCD112" s="769"/>
      <c r="FCE112" s="769"/>
      <c r="FCF112" s="769"/>
      <c r="FCG112" s="769"/>
      <c r="FCH112" s="769"/>
      <c r="FCI112" s="769"/>
      <c r="FCJ112" s="769"/>
      <c r="FCK112" s="769"/>
      <c r="FCL112" s="769"/>
      <c r="FCM112" s="769"/>
      <c r="FCN112" s="769"/>
      <c r="FCO112" s="769"/>
      <c r="FCP112" s="769"/>
      <c r="FCQ112" s="769"/>
      <c r="FCR112" s="769"/>
      <c r="FCS112" s="769"/>
      <c r="FCT112" s="769"/>
      <c r="FCU112" s="769"/>
      <c r="FCV112" s="769"/>
      <c r="FCW112" s="769"/>
      <c r="FCX112" s="769"/>
      <c r="FCY112" s="769"/>
      <c r="FCZ112" s="769"/>
      <c r="FDA112" s="769"/>
      <c r="FDB112" s="769"/>
      <c r="FDC112" s="769"/>
      <c r="FDD112" s="769"/>
      <c r="FDE112" s="769"/>
      <c r="FDF112" s="769"/>
      <c r="FDG112" s="769"/>
      <c r="FDH112" s="769"/>
      <c r="FDI112" s="769"/>
      <c r="FDJ112" s="769"/>
      <c r="FDK112" s="769"/>
      <c r="FDL112" s="769"/>
      <c r="FDM112" s="769"/>
      <c r="FDN112" s="769"/>
      <c r="FDO112" s="769"/>
      <c r="FDP112" s="769"/>
      <c r="FDQ112" s="769"/>
      <c r="FDR112" s="769"/>
      <c r="FDS112" s="769"/>
      <c r="FDT112" s="769"/>
      <c r="FDU112" s="769"/>
      <c r="FDV112" s="769"/>
      <c r="FDW112" s="769"/>
      <c r="FDX112" s="769"/>
      <c r="FDY112" s="769"/>
      <c r="FDZ112" s="769"/>
      <c r="FEA112" s="769"/>
      <c r="FEB112" s="769"/>
      <c r="FEC112" s="769"/>
      <c r="FED112" s="769"/>
      <c r="FEE112" s="769"/>
      <c r="FEF112" s="769"/>
      <c r="FEG112" s="769"/>
      <c r="FEH112" s="769"/>
      <c r="FEI112" s="769"/>
      <c r="FEJ112" s="769"/>
      <c r="FEK112" s="769"/>
      <c r="FEL112" s="769"/>
      <c r="FEM112" s="769"/>
      <c r="FEN112" s="769"/>
      <c r="FEO112" s="769"/>
      <c r="FEP112" s="769"/>
      <c r="FEQ112" s="769"/>
      <c r="FER112" s="769"/>
      <c r="FES112" s="769"/>
      <c r="FET112" s="769"/>
      <c r="FEU112" s="769"/>
      <c r="FEV112" s="769"/>
      <c r="FEW112" s="769"/>
      <c r="FEX112" s="769"/>
      <c r="FEY112" s="769"/>
      <c r="FEZ112" s="769"/>
      <c r="FFA112" s="769"/>
      <c r="FFB112" s="769"/>
      <c r="FFC112" s="769"/>
      <c r="FFD112" s="769"/>
      <c r="FFE112" s="769"/>
      <c r="FFF112" s="769"/>
      <c r="FFG112" s="769"/>
      <c r="FFH112" s="769"/>
      <c r="FFI112" s="769"/>
      <c r="FFJ112" s="769"/>
      <c r="FFK112" s="769"/>
      <c r="FFL112" s="769"/>
      <c r="FFM112" s="769"/>
      <c r="FFN112" s="769"/>
      <c r="FFO112" s="769"/>
      <c r="FFP112" s="769"/>
      <c r="FFQ112" s="769"/>
      <c r="FFR112" s="769"/>
      <c r="FFS112" s="769"/>
      <c r="FFT112" s="769"/>
      <c r="FFU112" s="769"/>
      <c r="FFV112" s="769"/>
      <c r="FFW112" s="769"/>
      <c r="FFX112" s="769"/>
      <c r="FFY112" s="769"/>
      <c r="FFZ112" s="769"/>
      <c r="FGA112" s="769"/>
      <c r="FGB112" s="769"/>
      <c r="FGC112" s="769"/>
      <c r="FGD112" s="769"/>
      <c r="FGE112" s="769"/>
      <c r="FGF112" s="769"/>
      <c r="FGG112" s="769"/>
      <c r="FGH112" s="769"/>
      <c r="FGI112" s="769"/>
      <c r="FGJ112" s="769"/>
      <c r="FGK112" s="769"/>
      <c r="FGL112" s="769"/>
      <c r="FGM112" s="769"/>
      <c r="FGN112" s="769"/>
      <c r="FGO112" s="769"/>
      <c r="FGP112" s="769"/>
      <c r="FGQ112" s="769"/>
      <c r="FGR112" s="769"/>
      <c r="FGS112" s="769"/>
      <c r="FGT112" s="769"/>
      <c r="FGU112" s="769"/>
      <c r="FGV112" s="769"/>
      <c r="FGW112" s="769"/>
      <c r="FGX112" s="769"/>
      <c r="FGY112" s="769"/>
      <c r="FGZ112" s="769"/>
      <c r="FHA112" s="769"/>
      <c r="FHB112" s="769"/>
      <c r="FHC112" s="769"/>
      <c r="FHD112" s="769"/>
      <c r="FHE112" s="769"/>
      <c r="FHF112" s="769"/>
      <c r="FHG112" s="769"/>
      <c r="FHH112" s="769"/>
      <c r="FHI112" s="769"/>
      <c r="FHJ112" s="769"/>
      <c r="FHK112" s="769"/>
      <c r="FHL112" s="769"/>
      <c r="FHM112" s="769"/>
      <c r="FHN112" s="769"/>
      <c r="FHO112" s="769"/>
      <c r="FHP112" s="769"/>
      <c r="FHQ112" s="769"/>
      <c r="FHR112" s="769"/>
      <c r="FHS112" s="769"/>
      <c r="FHT112" s="769"/>
      <c r="FHU112" s="769"/>
      <c r="FHV112" s="769"/>
      <c r="FHW112" s="769"/>
      <c r="FHX112" s="769"/>
      <c r="FHY112" s="769"/>
      <c r="FHZ112" s="769"/>
      <c r="FIA112" s="769"/>
      <c r="FIB112" s="769"/>
      <c r="FIC112" s="769"/>
      <c r="FID112" s="769"/>
      <c r="FIE112" s="769"/>
      <c r="FIF112" s="769"/>
      <c r="FIG112" s="769"/>
      <c r="FIH112" s="769"/>
      <c r="FII112" s="769"/>
      <c r="FIJ112" s="769"/>
      <c r="FIK112" s="769"/>
      <c r="FIL112" s="769"/>
      <c r="FIM112" s="769"/>
      <c r="FIN112" s="769"/>
      <c r="FIO112" s="769"/>
      <c r="FIP112" s="769"/>
      <c r="FIQ112" s="769"/>
      <c r="FIR112" s="769"/>
      <c r="FIS112" s="769"/>
      <c r="FIT112" s="769"/>
      <c r="FIU112" s="769"/>
      <c r="FIV112" s="769"/>
      <c r="FIW112" s="769"/>
      <c r="FIX112" s="769"/>
      <c r="FIY112" s="769"/>
      <c r="FIZ112" s="769"/>
      <c r="FJA112" s="769"/>
      <c r="FJB112" s="769"/>
      <c r="FJC112" s="769"/>
      <c r="FJD112" s="769"/>
      <c r="FJE112" s="769"/>
      <c r="FJF112" s="769"/>
      <c r="FJG112" s="769"/>
      <c r="FJH112" s="769"/>
      <c r="FJI112" s="769"/>
      <c r="FJJ112" s="769"/>
      <c r="FJK112" s="769"/>
      <c r="FJL112" s="769"/>
      <c r="FJM112" s="769"/>
      <c r="FJN112" s="769"/>
      <c r="FJO112" s="769"/>
      <c r="FJP112" s="769"/>
      <c r="FJQ112" s="769"/>
      <c r="FJR112" s="769"/>
      <c r="FJS112" s="769"/>
      <c r="FJT112" s="769"/>
      <c r="FJU112" s="769"/>
      <c r="FJV112" s="769"/>
      <c r="FJW112" s="769"/>
      <c r="FJX112" s="769"/>
      <c r="FJY112" s="769"/>
      <c r="FJZ112" s="769"/>
      <c r="FKA112" s="769"/>
      <c r="FKB112" s="769"/>
      <c r="FKC112" s="769"/>
      <c r="FKD112" s="769"/>
      <c r="FKE112" s="769"/>
      <c r="FKF112" s="769"/>
      <c r="FKG112" s="769"/>
      <c r="FKH112" s="769"/>
      <c r="FKI112" s="769"/>
      <c r="FKJ112" s="769"/>
      <c r="FKK112" s="769"/>
      <c r="FKL112" s="769"/>
      <c r="FKM112" s="769"/>
      <c r="FKN112" s="769"/>
      <c r="FKO112" s="769"/>
      <c r="FKP112" s="769"/>
      <c r="FKQ112" s="769"/>
      <c r="FKR112" s="769"/>
      <c r="FKS112" s="769"/>
      <c r="FKT112" s="769"/>
      <c r="FKU112" s="769"/>
      <c r="FKV112" s="769"/>
      <c r="FKW112" s="769"/>
      <c r="FKX112" s="769"/>
      <c r="FKY112" s="769"/>
      <c r="FKZ112" s="769"/>
      <c r="FLA112" s="769"/>
      <c r="FLB112" s="769"/>
      <c r="FLC112" s="769"/>
      <c r="FLD112" s="769"/>
      <c r="FLE112" s="769"/>
      <c r="FLF112" s="769"/>
      <c r="FLG112" s="769"/>
      <c r="FLH112" s="769"/>
      <c r="FLI112" s="769"/>
      <c r="FLJ112" s="769"/>
      <c r="FLK112" s="769"/>
      <c r="FLL112" s="769"/>
      <c r="FLM112" s="769"/>
      <c r="FLN112" s="769"/>
      <c r="FLO112" s="769"/>
      <c r="FLP112" s="769"/>
      <c r="FLQ112" s="769"/>
      <c r="FLR112" s="769"/>
      <c r="FLS112" s="769"/>
      <c r="FLT112" s="769"/>
      <c r="FLU112" s="769"/>
      <c r="FLV112" s="769"/>
      <c r="FLW112" s="769"/>
      <c r="FLX112" s="769"/>
      <c r="FLY112" s="769"/>
      <c r="FLZ112" s="769"/>
      <c r="FMA112" s="769"/>
      <c r="FMB112" s="769"/>
      <c r="FMC112" s="769"/>
      <c r="FMD112" s="769"/>
      <c r="FME112" s="769"/>
      <c r="FMF112" s="769"/>
      <c r="FMG112" s="769"/>
      <c r="FMH112" s="769"/>
      <c r="FMI112" s="769"/>
      <c r="FMJ112" s="769"/>
      <c r="FMK112" s="769"/>
      <c r="FML112" s="769"/>
      <c r="FMM112" s="769"/>
      <c r="FMN112" s="769"/>
      <c r="FMO112" s="769"/>
      <c r="FMP112" s="769"/>
      <c r="FMQ112" s="769"/>
      <c r="FMR112" s="769"/>
      <c r="FMS112" s="769"/>
      <c r="FMT112" s="769"/>
      <c r="FMU112" s="769"/>
      <c r="FMV112" s="769"/>
      <c r="FMW112" s="769"/>
      <c r="FMX112" s="769"/>
      <c r="FMY112" s="769"/>
      <c r="FMZ112" s="769"/>
      <c r="FNA112" s="769"/>
      <c r="FNB112" s="769"/>
      <c r="FNC112" s="769"/>
      <c r="FND112" s="769"/>
      <c r="FNE112" s="769"/>
      <c r="FNF112" s="769"/>
      <c r="FNG112" s="769"/>
      <c r="FNH112" s="769"/>
      <c r="FNI112" s="769"/>
      <c r="FNJ112" s="769"/>
      <c r="FNK112" s="769"/>
      <c r="FNL112" s="769"/>
      <c r="FNM112" s="769"/>
      <c r="FNN112" s="769"/>
      <c r="FNO112" s="769"/>
      <c r="FNP112" s="769"/>
      <c r="FNQ112" s="769"/>
      <c r="FNR112" s="769"/>
      <c r="FNS112" s="769"/>
      <c r="FNT112" s="769"/>
      <c r="FNU112" s="769"/>
      <c r="FNV112" s="769"/>
      <c r="FNW112" s="769"/>
      <c r="FNX112" s="769"/>
      <c r="FNY112" s="769"/>
      <c r="FNZ112" s="769"/>
      <c r="FOA112" s="769"/>
      <c r="FOB112" s="769"/>
      <c r="FOC112" s="769"/>
      <c r="FOD112" s="769"/>
      <c r="FOE112" s="769"/>
      <c r="FOF112" s="769"/>
      <c r="FOG112" s="769"/>
      <c r="FOH112" s="769"/>
      <c r="FOI112" s="769"/>
      <c r="FOJ112" s="769"/>
      <c r="FOK112" s="769"/>
      <c r="FOL112" s="769"/>
      <c r="FOM112" s="769"/>
      <c r="FON112" s="769"/>
      <c r="FOO112" s="769"/>
      <c r="FOP112" s="769"/>
      <c r="FOQ112" s="769"/>
      <c r="FOR112" s="769"/>
      <c r="FOS112" s="769"/>
      <c r="FOT112" s="769"/>
      <c r="FOU112" s="769"/>
      <c r="FOV112" s="769"/>
      <c r="FOW112" s="769"/>
      <c r="FOX112" s="769"/>
      <c r="FOY112" s="769"/>
      <c r="FOZ112" s="769"/>
      <c r="FPA112" s="769"/>
      <c r="FPB112" s="769"/>
      <c r="FPC112" s="769"/>
      <c r="FPD112" s="769"/>
      <c r="FPE112" s="769"/>
      <c r="FPF112" s="769"/>
      <c r="FPG112" s="769"/>
      <c r="FPH112" s="769"/>
      <c r="FPI112" s="769"/>
      <c r="FPJ112" s="769"/>
      <c r="FPK112" s="769"/>
      <c r="FPL112" s="769"/>
      <c r="FPM112" s="769"/>
      <c r="FPN112" s="769"/>
      <c r="FPO112" s="769"/>
      <c r="FPP112" s="769"/>
      <c r="FPQ112" s="769"/>
      <c r="FPR112" s="769"/>
      <c r="FPS112" s="769"/>
      <c r="FPT112" s="769"/>
      <c r="FPU112" s="769"/>
      <c r="FPV112" s="769"/>
      <c r="FPW112" s="769"/>
      <c r="FPX112" s="769"/>
      <c r="FPY112" s="769"/>
      <c r="FPZ112" s="769"/>
      <c r="FQA112" s="769"/>
      <c r="FQB112" s="769"/>
      <c r="FQC112" s="769"/>
      <c r="FQD112" s="769"/>
      <c r="FQE112" s="769"/>
      <c r="FQF112" s="769"/>
      <c r="FQG112" s="769"/>
      <c r="FQH112" s="769"/>
      <c r="FQI112" s="769"/>
      <c r="FQJ112" s="769"/>
      <c r="FQK112" s="769"/>
      <c r="FQL112" s="769"/>
      <c r="FQM112" s="769"/>
      <c r="FQN112" s="769"/>
      <c r="FQO112" s="769"/>
      <c r="FQP112" s="769"/>
      <c r="FQQ112" s="769"/>
      <c r="FQR112" s="769"/>
      <c r="FQS112" s="769"/>
      <c r="FQT112" s="769"/>
      <c r="FQU112" s="769"/>
      <c r="FQV112" s="769"/>
      <c r="FQW112" s="769"/>
      <c r="FQX112" s="769"/>
      <c r="FQY112" s="769"/>
      <c r="FQZ112" s="769"/>
      <c r="FRA112" s="769"/>
      <c r="FRB112" s="769"/>
      <c r="FRC112" s="769"/>
      <c r="FRD112" s="769"/>
      <c r="FRE112" s="769"/>
      <c r="FRF112" s="769"/>
      <c r="FRG112" s="769"/>
      <c r="FRH112" s="769"/>
      <c r="FRI112" s="769"/>
      <c r="FRJ112" s="769"/>
      <c r="FRK112" s="769"/>
      <c r="FRL112" s="769"/>
      <c r="FRM112" s="769"/>
      <c r="FRN112" s="769"/>
      <c r="FRO112" s="769"/>
      <c r="FRP112" s="769"/>
      <c r="FRQ112" s="769"/>
      <c r="FRR112" s="769"/>
      <c r="FRS112" s="769"/>
      <c r="FRT112" s="769"/>
      <c r="FRU112" s="769"/>
      <c r="FRV112" s="769"/>
      <c r="FRW112" s="769"/>
      <c r="FRX112" s="769"/>
      <c r="FRY112" s="769"/>
      <c r="FRZ112" s="769"/>
      <c r="FSA112" s="769"/>
      <c r="FSB112" s="769"/>
      <c r="FSC112" s="769"/>
      <c r="FSD112" s="769"/>
      <c r="FSE112" s="769"/>
      <c r="FSF112" s="769"/>
      <c r="FSG112" s="769"/>
      <c r="FSH112" s="769"/>
      <c r="FSI112" s="769"/>
      <c r="FSJ112" s="769"/>
      <c r="FSK112" s="769"/>
      <c r="FSL112" s="769"/>
      <c r="FSM112" s="769"/>
      <c r="FSN112" s="769"/>
      <c r="FSO112" s="769"/>
      <c r="FSP112" s="769"/>
      <c r="FSQ112" s="769"/>
      <c r="FSR112" s="769"/>
      <c r="FSS112" s="769"/>
      <c r="FST112" s="769"/>
      <c r="FSU112" s="769"/>
      <c r="FSV112" s="769"/>
      <c r="FSW112" s="769"/>
      <c r="FSX112" s="769"/>
      <c r="FSY112" s="769"/>
      <c r="FSZ112" s="769"/>
      <c r="FTA112" s="769"/>
      <c r="FTB112" s="769"/>
      <c r="FTC112" s="769"/>
      <c r="FTD112" s="769"/>
      <c r="FTE112" s="769"/>
      <c r="FTF112" s="769"/>
      <c r="FTG112" s="769"/>
      <c r="FTH112" s="769"/>
      <c r="FTI112" s="769"/>
      <c r="FTJ112" s="769"/>
      <c r="FTK112" s="769"/>
      <c r="FTL112" s="769"/>
      <c r="FTM112" s="769"/>
      <c r="FTN112" s="769"/>
      <c r="FTO112" s="769"/>
      <c r="FTP112" s="769"/>
      <c r="FTQ112" s="769"/>
      <c r="FTR112" s="769"/>
      <c r="FTS112" s="769"/>
      <c r="FTT112" s="769"/>
      <c r="FTU112" s="769"/>
      <c r="FTV112" s="769"/>
      <c r="FTW112" s="769"/>
      <c r="FTX112" s="769"/>
      <c r="FTY112" s="769"/>
      <c r="FTZ112" s="769"/>
      <c r="FUA112" s="769"/>
      <c r="FUB112" s="769"/>
      <c r="FUC112" s="769"/>
      <c r="FUD112" s="769"/>
      <c r="FUE112" s="769"/>
      <c r="FUF112" s="769"/>
      <c r="FUG112" s="769"/>
      <c r="FUH112" s="769"/>
      <c r="FUI112" s="769"/>
      <c r="FUJ112" s="769"/>
      <c r="FUK112" s="769"/>
      <c r="FUL112" s="769"/>
      <c r="FUM112" s="769"/>
      <c r="FUN112" s="769"/>
      <c r="FUO112" s="769"/>
      <c r="FUP112" s="769"/>
      <c r="FUQ112" s="769"/>
      <c r="FUR112" s="769"/>
      <c r="FUS112" s="769"/>
      <c r="FUT112" s="769"/>
      <c r="FUU112" s="769"/>
      <c r="FUV112" s="769"/>
      <c r="FUW112" s="769"/>
      <c r="FUX112" s="769"/>
      <c r="FUY112" s="769"/>
      <c r="FUZ112" s="769"/>
      <c r="FVA112" s="769"/>
      <c r="FVB112" s="769"/>
      <c r="FVC112" s="769"/>
      <c r="FVD112" s="769"/>
      <c r="FVE112" s="769"/>
      <c r="FVF112" s="769"/>
      <c r="FVG112" s="769"/>
      <c r="FVH112" s="769"/>
      <c r="FVI112" s="769"/>
      <c r="FVJ112" s="769"/>
      <c r="FVK112" s="769"/>
      <c r="FVL112" s="769"/>
      <c r="FVM112" s="769"/>
      <c r="FVN112" s="769"/>
      <c r="FVO112" s="769"/>
      <c r="FVP112" s="769"/>
      <c r="FVQ112" s="769"/>
      <c r="FVR112" s="769"/>
      <c r="FVS112" s="769"/>
      <c r="FVT112" s="769"/>
      <c r="FVU112" s="769"/>
      <c r="FVV112" s="769"/>
      <c r="FVW112" s="769"/>
      <c r="FVX112" s="769"/>
      <c r="FVY112" s="769"/>
      <c r="FVZ112" s="769"/>
      <c r="FWA112" s="769"/>
      <c r="FWB112" s="769"/>
      <c r="FWC112" s="769"/>
      <c r="FWD112" s="769"/>
      <c r="FWE112" s="769"/>
      <c r="FWF112" s="769"/>
      <c r="FWG112" s="769"/>
      <c r="FWH112" s="769"/>
      <c r="FWI112" s="769"/>
      <c r="FWJ112" s="769"/>
      <c r="FWK112" s="769"/>
      <c r="FWL112" s="769"/>
      <c r="FWM112" s="769"/>
      <c r="FWN112" s="769"/>
      <c r="FWO112" s="769"/>
      <c r="FWP112" s="769"/>
      <c r="FWQ112" s="769"/>
      <c r="FWR112" s="769"/>
      <c r="FWS112" s="769"/>
      <c r="FWT112" s="769"/>
      <c r="FWU112" s="769"/>
      <c r="FWV112" s="769"/>
      <c r="FWW112" s="769"/>
      <c r="FWX112" s="769"/>
      <c r="FWY112" s="769"/>
      <c r="FWZ112" s="769"/>
      <c r="FXA112" s="769"/>
      <c r="FXB112" s="769"/>
      <c r="FXC112" s="769"/>
      <c r="FXD112" s="769"/>
      <c r="FXE112" s="769"/>
      <c r="FXF112" s="769"/>
      <c r="FXG112" s="769"/>
      <c r="FXH112" s="769"/>
      <c r="FXI112" s="769"/>
      <c r="FXJ112" s="769"/>
      <c r="FXK112" s="769"/>
      <c r="FXL112" s="769"/>
      <c r="FXM112" s="769"/>
      <c r="FXN112" s="769"/>
      <c r="FXO112" s="769"/>
      <c r="FXP112" s="769"/>
      <c r="FXQ112" s="769"/>
      <c r="FXR112" s="769"/>
      <c r="FXS112" s="769"/>
      <c r="FXT112" s="769"/>
      <c r="FXU112" s="769"/>
      <c r="FXV112" s="769"/>
      <c r="FXW112" s="769"/>
      <c r="FXX112" s="769"/>
      <c r="FXY112" s="769"/>
      <c r="FXZ112" s="769"/>
      <c r="FYA112" s="769"/>
      <c r="FYB112" s="769"/>
      <c r="FYC112" s="769"/>
      <c r="FYD112" s="769"/>
      <c r="FYE112" s="769"/>
      <c r="FYF112" s="769"/>
      <c r="FYG112" s="769"/>
      <c r="FYH112" s="769"/>
      <c r="FYI112" s="769"/>
      <c r="FYJ112" s="769"/>
      <c r="FYK112" s="769"/>
      <c r="FYL112" s="769"/>
      <c r="FYM112" s="769"/>
      <c r="FYN112" s="769"/>
      <c r="FYO112" s="769"/>
      <c r="FYP112" s="769"/>
      <c r="FYQ112" s="769"/>
      <c r="FYR112" s="769"/>
      <c r="FYS112" s="769"/>
      <c r="FYT112" s="769"/>
      <c r="FYU112" s="769"/>
      <c r="FYV112" s="769"/>
      <c r="FYW112" s="769"/>
      <c r="FYX112" s="769"/>
      <c r="FYY112" s="769"/>
      <c r="FYZ112" s="769"/>
      <c r="FZA112" s="769"/>
      <c r="FZB112" s="769"/>
      <c r="FZC112" s="769"/>
      <c r="FZD112" s="769"/>
      <c r="FZE112" s="769"/>
      <c r="FZF112" s="769"/>
      <c r="FZG112" s="769"/>
      <c r="FZH112" s="769"/>
      <c r="FZI112" s="769"/>
      <c r="FZJ112" s="769"/>
      <c r="FZK112" s="769"/>
      <c r="FZL112" s="769"/>
      <c r="FZM112" s="769"/>
      <c r="FZN112" s="769"/>
      <c r="FZO112" s="769"/>
      <c r="FZP112" s="769"/>
      <c r="FZQ112" s="769"/>
      <c r="FZR112" s="769"/>
      <c r="FZS112" s="769"/>
      <c r="FZT112" s="769"/>
      <c r="FZU112" s="769"/>
      <c r="FZV112" s="769"/>
      <c r="FZW112" s="769"/>
      <c r="FZX112" s="769"/>
      <c r="FZY112" s="769"/>
      <c r="FZZ112" s="769"/>
      <c r="GAA112" s="769"/>
      <c r="GAB112" s="769"/>
      <c r="GAC112" s="769"/>
      <c r="GAD112" s="769"/>
      <c r="GAE112" s="769"/>
      <c r="GAF112" s="769"/>
      <c r="GAG112" s="769"/>
      <c r="GAH112" s="769"/>
      <c r="GAI112" s="769"/>
      <c r="GAJ112" s="769"/>
      <c r="GAK112" s="769"/>
      <c r="GAL112" s="769"/>
      <c r="GAM112" s="769"/>
      <c r="GAN112" s="769"/>
      <c r="GAO112" s="769"/>
      <c r="GAP112" s="769"/>
      <c r="GAQ112" s="769"/>
      <c r="GAR112" s="769"/>
      <c r="GAS112" s="769"/>
      <c r="GAT112" s="769"/>
      <c r="GAU112" s="769"/>
      <c r="GAV112" s="769"/>
      <c r="GAW112" s="769"/>
      <c r="GAX112" s="769"/>
      <c r="GAY112" s="769"/>
      <c r="GAZ112" s="769"/>
      <c r="GBA112" s="769"/>
      <c r="GBB112" s="769"/>
      <c r="GBC112" s="769"/>
      <c r="GBD112" s="769"/>
      <c r="GBE112" s="769"/>
      <c r="GBF112" s="769"/>
      <c r="GBG112" s="769"/>
      <c r="GBH112" s="769"/>
      <c r="GBI112" s="769"/>
      <c r="GBJ112" s="769"/>
      <c r="GBK112" s="769"/>
      <c r="GBL112" s="769"/>
      <c r="GBM112" s="769"/>
      <c r="GBN112" s="769"/>
      <c r="GBO112" s="769"/>
      <c r="GBP112" s="769"/>
      <c r="GBQ112" s="769"/>
      <c r="GBR112" s="769"/>
      <c r="GBS112" s="769"/>
      <c r="GBT112" s="769"/>
      <c r="GBU112" s="769"/>
      <c r="GBV112" s="769"/>
      <c r="GBW112" s="769"/>
      <c r="GBX112" s="769"/>
      <c r="GBY112" s="769"/>
      <c r="GBZ112" s="769"/>
      <c r="GCA112" s="769"/>
      <c r="GCB112" s="769"/>
      <c r="GCC112" s="769"/>
      <c r="GCD112" s="769"/>
      <c r="GCE112" s="769"/>
      <c r="GCF112" s="769"/>
      <c r="GCG112" s="769"/>
      <c r="GCH112" s="769"/>
      <c r="GCI112" s="769"/>
      <c r="GCJ112" s="769"/>
      <c r="GCK112" s="769"/>
      <c r="GCL112" s="769"/>
      <c r="GCM112" s="769"/>
      <c r="GCN112" s="769"/>
      <c r="GCO112" s="769"/>
      <c r="GCP112" s="769"/>
      <c r="GCQ112" s="769"/>
      <c r="GCR112" s="769"/>
      <c r="GCS112" s="769"/>
      <c r="GCT112" s="769"/>
      <c r="GCU112" s="769"/>
      <c r="GCV112" s="769"/>
      <c r="GCW112" s="769"/>
      <c r="GCX112" s="769"/>
      <c r="GCY112" s="769"/>
      <c r="GCZ112" s="769"/>
      <c r="GDA112" s="769"/>
      <c r="GDB112" s="769"/>
      <c r="GDC112" s="769"/>
      <c r="GDD112" s="769"/>
      <c r="GDE112" s="769"/>
      <c r="GDF112" s="769"/>
      <c r="GDG112" s="769"/>
      <c r="GDH112" s="769"/>
      <c r="GDI112" s="769"/>
      <c r="GDJ112" s="769"/>
      <c r="GDK112" s="769"/>
      <c r="GDL112" s="769"/>
      <c r="GDM112" s="769"/>
      <c r="GDN112" s="769"/>
      <c r="GDO112" s="769"/>
      <c r="GDP112" s="769"/>
      <c r="GDQ112" s="769"/>
      <c r="GDR112" s="769"/>
      <c r="GDS112" s="769"/>
      <c r="GDT112" s="769"/>
      <c r="GDU112" s="769"/>
      <c r="GDV112" s="769"/>
      <c r="GDW112" s="769"/>
      <c r="GDX112" s="769"/>
      <c r="GDY112" s="769"/>
      <c r="GDZ112" s="769"/>
      <c r="GEA112" s="769"/>
      <c r="GEB112" s="769"/>
      <c r="GEC112" s="769"/>
      <c r="GED112" s="769"/>
      <c r="GEE112" s="769"/>
      <c r="GEF112" s="769"/>
      <c r="GEG112" s="769"/>
      <c r="GEH112" s="769"/>
      <c r="GEI112" s="769"/>
      <c r="GEJ112" s="769"/>
      <c r="GEK112" s="769"/>
      <c r="GEL112" s="769"/>
      <c r="GEM112" s="769"/>
      <c r="GEN112" s="769"/>
      <c r="GEO112" s="769"/>
      <c r="GEP112" s="769"/>
      <c r="GEQ112" s="769"/>
      <c r="GER112" s="769"/>
      <c r="GES112" s="769"/>
      <c r="GET112" s="769"/>
      <c r="GEU112" s="769"/>
      <c r="GEV112" s="769"/>
      <c r="GEW112" s="769"/>
      <c r="GEX112" s="769"/>
      <c r="GEY112" s="769"/>
      <c r="GEZ112" s="769"/>
      <c r="GFA112" s="769"/>
      <c r="GFB112" s="769"/>
      <c r="GFC112" s="769"/>
      <c r="GFD112" s="769"/>
      <c r="GFE112" s="769"/>
      <c r="GFF112" s="769"/>
      <c r="GFG112" s="769"/>
      <c r="GFH112" s="769"/>
      <c r="GFI112" s="769"/>
      <c r="GFJ112" s="769"/>
      <c r="GFK112" s="769"/>
      <c r="GFL112" s="769"/>
      <c r="GFM112" s="769"/>
      <c r="GFN112" s="769"/>
      <c r="GFO112" s="769"/>
      <c r="GFP112" s="769"/>
      <c r="GFQ112" s="769"/>
      <c r="GFR112" s="769"/>
      <c r="GFS112" s="769"/>
      <c r="GFT112" s="769"/>
      <c r="GFU112" s="769"/>
      <c r="GFV112" s="769"/>
      <c r="GFW112" s="769"/>
      <c r="GFX112" s="769"/>
      <c r="GFY112" s="769"/>
      <c r="GFZ112" s="769"/>
      <c r="GGA112" s="769"/>
      <c r="GGB112" s="769"/>
      <c r="GGC112" s="769"/>
      <c r="GGD112" s="769"/>
      <c r="GGE112" s="769"/>
      <c r="GGF112" s="769"/>
      <c r="GGG112" s="769"/>
      <c r="GGH112" s="769"/>
      <c r="GGI112" s="769"/>
      <c r="GGJ112" s="769"/>
      <c r="GGK112" s="769"/>
      <c r="GGL112" s="769"/>
      <c r="GGM112" s="769"/>
      <c r="GGN112" s="769"/>
      <c r="GGO112" s="769"/>
      <c r="GGP112" s="769"/>
      <c r="GGQ112" s="769"/>
      <c r="GGR112" s="769"/>
      <c r="GGS112" s="769"/>
      <c r="GGT112" s="769"/>
      <c r="GGU112" s="769"/>
      <c r="GGV112" s="769"/>
      <c r="GGW112" s="769"/>
      <c r="GGX112" s="769"/>
      <c r="GGY112" s="769"/>
      <c r="GGZ112" s="769"/>
      <c r="GHA112" s="769"/>
      <c r="GHB112" s="769"/>
      <c r="GHC112" s="769"/>
      <c r="GHD112" s="769"/>
      <c r="GHE112" s="769"/>
      <c r="GHF112" s="769"/>
      <c r="GHG112" s="769"/>
      <c r="GHH112" s="769"/>
      <c r="GHI112" s="769"/>
      <c r="GHJ112" s="769"/>
      <c r="GHK112" s="769"/>
      <c r="GHL112" s="769"/>
      <c r="GHM112" s="769"/>
      <c r="GHN112" s="769"/>
      <c r="GHO112" s="769"/>
      <c r="GHP112" s="769"/>
      <c r="GHQ112" s="769"/>
      <c r="GHR112" s="769"/>
      <c r="GHS112" s="769"/>
      <c r="GHT112" s="769"/>
      <c r="GHU112" s="769"/>
      <c r="GHV112" s="769"/>
      <c r="GHW112" s="769"/>
      <c r="GHX112" s="769"/>
      <c r="GHY112" s="769"/>
      <c r="GHZ112" s="769"/>
      <c r="GIA112" s="769"/>
      <c r="GIB112" s="769"/>
      <c r="GIC112" s="769"/>
      <c r="GID112" s="769"/>
      <c r="GIE112" s="769"/>
      <c r="GIF112" s="769"/>
      <c r="GIG112" s="769"/>
      <c r="GIH112" s="769"/>
      <c r="GII112" s="769"/>
      <c r="GIJ112" s="769"/>
      <c r="GIK112" s="769"/>
      <c r="GIL112" s="769"/>
      <c r="GIM112" s="769"/>
      <c r="GIN112" s="769"/>
      <c r="GIO112" s="769"/>
      <c r="GIP112" s="769"/>
      <c r="GIQ112" s="769"/>
      <c r="GIR112" s="769"/>
      <c r="GIS112" s="769"/>
      <c r="GIT112" s="769"/>
      <c r="GIU112" s="769"/>
      <c r="GIV112" s="769"/>
      <c r="GIW112" s="769"/>
      <c r="GIX112" s="769"/>
      <c r="GIY112" s="769"/>
      <c r="GIZ112" s="769"/>
      <c r="GJA112" s="769"/>
      <c r="GJB112" s="769"/>
      <c r="GJC112" s="769"/>
      <c r="GJD112" s="769"/>
      <c r="GJE112" s="769"/>
      <c r="GJF112" s="769"/>
      <c r="GJG112" s="769"/>
      <c r="GJH112" s="769"/>
      <c r="GJI112" s="769"/>
      <c r="GJJ112" s="769"/>
      <c r="GJK112" s="769"/>
      <c r="GJL112" s="769"/>
      <c r="GJM112" s="769"/>
      <c r="GJN112" s="769"/>
      <c r="GJO112" s="769"/>
      <c r="GJP112" s="769"/>
      <c r="GJQ112" s="769"/>
      <c r="GJR112" s="769"/>
      <c r="GJS112" s="769"/>
      <c r="GJT112" s="769"/>
      <c r="GJU112" s="769"/>
      <c r="GJV112" s="769"/>
      <c r="GJW112" s="769"/>
      <c r="GJX112" s="769"/>
      <c r="GJY112" s="769"/>
      <c r="GJZ112" s="769"/>
      <c r="GKA112" s="769"/>
      <c r="GKB112" s="769"/>
      <c r="GKC112" s="769"/>
      <c r="GKD112" s="769"/>
      <c r="GKE112" s="769"/>
      <c r="GKF112" s="769"/>
      <c r="GKG112" s="769"/>
      <c r="GKH112" s="769"/>
      <c r="GKI112" s="769"/>
      <c r="GKJ112" s="769"/>
      <c r="GKK112" s="769"/>
      <c r="GKL112" s="769"/>
      <c r="GKM112" s="769"/>
      <c r="GKN112" s="769"/>
      <c r="GKO112" s="769"/>
      <c r="GKP112" s="769"/>
      <c r="GKQ112" s="769"/>
      <c r="GKR112" s="769"/>
      <c r="GKS112" s="769"/>
      <c r="GKT112" s="769"/>
      <c r="GKU112" s="769"/>
      <c r="GKV112" s="769"/>
      <c r="GKW112" s="769"/>
      <c r="GKX112" s="769"/>
      <c r="GKY112" s="769"/>
      <c r="GKZ112" s="769"/>
      <c r="GLA112" s="769"/>
      <c r="GLB112" s="769"/>
      <c r="GLC112" s="769"/>
      <c r="GLD112" s="769"/>
      <c r="GLE112" s="769"/>
      <c r="GLF112" s="769"/>
      <c r="GLG112" s="769"/>
      <c r="GLH112" s="769"/>
      <c r="GLI112" s="769"/>
      <c r="GLJ112" s="769"/>
      <c r="GLK112" s="769"/>
      <c r="GLL112" s="769"/>
      <c r="GLM112" s="769"/>
      <c r="GLN112" s="769"/>
      <c r="GLO112" s="769"/>
      <c r="GLP112" s="769"/>
      <c r="GLQ112" s="769"/>
      <c r="GLR112" s="769"/>
      <c r="GLS112" s="769"/>
      <c r="GLT112" s="769"/>
      <c r="GLU112" s="769"/>
      <c r="GLV112" s="769"/>
      <c r="GLW112" s="769"/>
      <c r="GLX112" s="769"/>
      <c r="GLY112" s="769"/>
      <c r="GLZ112" s="769"/>
      <c r="GMA112" s="769"/>
      <c r="GMB112" s="769"/>
      <c r="GMC112" s="769"/>
      <c r="GMD112" s="769"/>
      <c r="GME112" s="769"/>
      <c r="GMF112" s="769"/>
      <c r="GMG112" s="769"/>
      <c r="GMH112" s="769"/>
      <c r="GMI112" s="769"/>
      <c r="GMJ112" s="769"/>
      <c r="GMK112" s="769"/>
      <c r="GML112" s="769"/>
      <c r="GMM112" s="769"/>
      <c r="GMN112" s="769"/>
      <c r="GMO112" s="769"/>
      <c r="GMP112" s="769"/>
      <c r="GMQ112" s="769"/>
      <c r="GMR112" s="769"/>
      <c r="GMS112" s="769"/>
      <c r="GMT112" s="769"/>
      <c r="GMU112" s="769"/>
      <c r="GMV112" s="769"/>
      <c r="GMW112" s="769"/>
      <c r="GMX112" s="769"/>
      <c r="GMY112" s="769"/>
      <c r="GMZ112" s="769"/>
      <c r="GNA112" s="769"/>
      <c r="GNB112" s="769"/>
      <c r="GNC112" s="769"/>
      <c r="GND112" s="769"/>
      <c r="GNE112" s="769"/>
      <c r="GNF112" s="769"/>
      <c r="GNG112" s="769"/>
      <c r="GNH112" s="769"/>
      <c r="GNI112" s="769"/>
      <c r="GNJ112" s="769"/>
      <c r="GNK112" s="769"/>
      <c r="GNL112" s="769"/>
      <c r="GNM112" s="769"/>
      <c r="GNN112" s="769"/>
      <c r="GNO112" s="769"/>
      <c r="GNP112" s="769"/>
      <c r="GNQ112" s="769"/>
      <c r="GNR112" s="769"/>
      <c r="GNS112" s="769"/>
      <c r="GNT112" s="769"/>
      <c r="GNU112" s="769"/>
      <c r="GNV112" s="769"/>
      <c r="GNW112" s="769"/>
      <c r="GNX112" s="769"/>
      <c r="GNY112" s="769"/>
      <c r="GNZ112" s="769"/>
      <c r="GOA112" s="769"/>
      <c r="GOB112" s="769"/>
      <c r="GOC112" s="769"/>
      <c r="GOD112" s="769"/>
      <c r="GOE112" s="769"/>
      <c r="GOF112" s="769"/>
      <c r="GOG112" s="769"/>
      <c r="GOH112" s="769"/>
      <c r="GOI112" s="769"/>
      <c r="GOJ112" s="769"/>
      <c r="GOK112" s="769"/>
      <c r="GOL112" s="769"/>
      <c r="GOM112" s="769"/>
      <c r="GON112" s="769"/>
      <c r="GOO112" s="769"/>
      <c r="GOP112" s="769"/>
      <c r="GOQ112" s="769"/>
      <c r="GOR112" s="769"/>
      <c r="GOS112" s="769"/>
      <c r="GOT112" s="769"/>
      <c r="GOU112" s="769"/>
      <c r="GOV112" s="769"/>
      <c r="GOW112" s="769"/>
      <c r="GOX112" s="769"/>
      <c r="GOY112" s="769"/>
      <c r="GOZ112" s="769"/>
      <c r="GPA112" s="769"/>
      <c r="GPB112" s="769"/>
      <c r="GPC112" s="769"/>
      <c r="GPD112" s="769"/>
      <c r="GPE112" s="769"/>
      <c r="GPF112" s="769"/>
      <c r="GPG112" s="769"/>
      <c r="GPH112" s="769"/>
      <c r="GPI112" s="769"/>
      <c r="GPJ112" s="769"/>
      <c r="GPK112" s="769"/>
      <c r="GPL112" s="769"/>
      <c r="GPM112" s="769"/>
      <c r="GPN112" s="769"/>
      <c r="GPO112" s="769"/>
      <c r="GPP112" s="769"/>
      <c r="GPQ112" s="769"/>
      <c r="GPR112" s="769"/>
      <c r="GPS112" s="769"/>
      <c r="GPT112" s="769"/>
      <c r="GPU112" s="769"/>
      <c r="GPV112" s="769"/>
      <c r="GPW112" s="769"/>
      <c r="GPX112" s="769"/>
      <c r="GPY112" s="769"/>
      <c r="GPZ112" s="769"/>
      <c r="GQA112" s="769"/>
      <c r="GQB112" s="769"/>
      <c r="GQC112" s="769"/>
      <c r="GQD112" s="769"/>
      <c r="GQE112" s="769"/>
      <c r="GQF112" s="769"/>
      <c r="GQG112" s="769"/>
      <c r="GQH112" s="769"/>
      <c r="GQI112" s="769"/>
      <c r="GQJ112" s="769"/>
      <c r="GQK112" s="769"/>
      <c r="GQL112" s="769"/>
      <c r="GQM112" s="769"/>
      <c r="GQN112" s="769"/>
      <c r="GQO112" s="769"/>
      <c r="GQP112" s="769"/>
      <c r="GQQ112" s="769"/>
      <c r="GQR112" s="769"/>
      <c r="GQS112" s="769"/>
      <c r="GQT112" s="769"/>
      <c r="GQU112" s="769"/>
      <c r="GQV112" s="769"/>
      <c r="GQW112" s="769"/>
      <c r="GQX112" s="769"/>
      <c r="GQY112" s="769"/>
      <c r="GQZ112" s="769"/>
      <c r="GRA112" s="769"/>
      <c r="GRB112" s="769"/>
      <c r="GRC112" s="769"/>
      <c r="GRD112" s="769"/>
      <c r="GRE112" s="769"/>
      <c r="GRF112" s="769"/>
      <c r="GRG112" s="769"/>
      <c r="GRH112" s="769"/>
      <c r="GRI112" s="769"/>
      <c r="GRJ112" s="769"/>
      <c r="GRK112" s="769"/>
      <c r="GRL112" s="769"/>
      <c r="GRM112" s="769"/>
      <c r="GRN112" s="769"/>
      <c r="GRO112" s="769"/>
      <c r="GRP112" s="769"/>
      <c r="GRQ112" s="769"/>
      <c r="GRR112" s="769"/>
      <c r="GRS112" s="769"/>
      <c r="GRT112" s="769"/>
      <c r="GRU112" s="769"/>
      <c r="GRV112" s="769"/>
      <c r="GRW112" s="769"/>
      <c r="GRX112" s="769"/>
      <c r="GRY112" s="769"/>
      <c r="GRZ112" s="769"/>
      <c r="GSA112" s="769"/>
      <c r="GSB112" s="769"/>
      <c r="GSC112" s="769"/>
      <c r="GSD112" s="769"/>
      <c r="GSE112" s="769"/>
      <c r="GSF112" s="769"/>
      <c r="GSG112" s="769"/>
      <c r="GSH112" s="769"/>
      <c r="GSI112" s="769"/>
      <c r="GSJ112" s="769"/>
      <c r="GSK112" s="769"/>
      <c r="GSL112" s="769"/>
      <c r="GSM112" s="769"/>
      <c r="GSN112" s="769"/>
      <c r="GSO112" s="769"/>
      <c r="GSP112" s="769"/>
      <c r="GSQ112" s="769"/>
      <c r="GSR112" s="769"/>
      <c r="GSS112" s="769"/>
      <c r="GST112" s="769"/>
      <c r="GSU112" s="769"/>
      <c r="GSV112" s="769"/>
      <c r="GSW112" s="769"/>
      <c r="GSX112" s="769"/>
      <c r="GSY112" s="769"/>
      <c r="GSZ112" s="769"/>
      <c r="GTA112" s="769"/>
      <c r="GTB112" s="769"/>
      <c r="GTC112" s="769"/>
      <c r="GTD112" s="769"/>
      <c r="GTE112" s="769"/>
      <c r="GTF112" s="769"/>
      <c r="GTG112" s="769"/>
      <c r="GTH112" s="769"/>
      <c r="GTI112" s="769"/>
      <c r="GTJ112" s="769"/>
      <c r="GTK112" s="769"/>
      <c r="GTL112" s="769"/>
      <c r="GTM112" s="769"/>
      <c r="GTN112" s="769"/>
      <c r="GTO112" s="769"/>
      <c r="GTP112" s="769"/>
      <c r="GTQ112" s="769"/>
      <c r="GTR112" s="769"/>
      <c r="GTS112" s="769"/>
      <c r="GTT112" s="769"/>
      <c r="GTU112" s="769"/>
      <c r="GTV112" s="769"/>
      <c r="GTW112" s="769"/>
      <c r="GTX112" s="769"/>
      <c r="GTY112" s="769"/>
      <c r="GTZ112" s="769"/>
      <c r="GUA112" s="769"/>
      <c r="GUB112" s="769"/>
      <c r="GUC112" s="769"/>
      <c r="GUD112" s="769"/>
      <c r="GUE112" s="769"/>
      <c r="GUF112" s="769"/>
      <c r="GUG112" s="769"/>
      <c r="GUH112" s="769"/>
      <c r="GUI112" s="769"/>
      <c r="GUJ112" s="769"/>
      <c r="GUK112" s="769"/>
      <c r="GUL112" s="769"/>
      <c r="GUM112" s="769"/>
      <c r="GUN112" s="769"/>
      <c r="GUO112" s="769"/>
      <c r="GUP112" s="769"/>
      <c r="GUQ112" s="769"/>
      <c r="GUR112" s="769"/>
      <c r="GUS112" s="769"/>
      <c r="GUT112" s="769"/>
      <c r="GUU112" s="769"/>
      <c r="GUV112" s="769"/>
      <c r="GUW112" s="769"/>
      <c r="GUX112" s="769"/>
      <c r="GUY112" s="769"/>
      <c r="GUZ112" s="769"/>
      <c r="GVA112" s="769"/>
      <c r="GVB112" s="769"/>
      <c r="GVC112" s="769"/>
      <c r="GVD112" s="769"/>
      <c r="GVE112" s="769"/>
      <c r="GVF112" s="769"/>
      <c r="GVG112" s="769"/>
      <c r="GVH112" s="769"/>
      <c r="GVI112" s="769"/>
      <c r="GVJ112" s="769"/>
      <c r="GVK112" s="769"/>
      <c r="GVL112" s="769"/>
      <c r="GVM112" s="769"/>
      <c r="GVN112" s="769"/>
      <c r="GVO112" s="769"/>
      <c r="GVP112" s="769"/>
      <c r="GVQ112" s="769"/>
      <c r="GVR112" s="769"/>
      <c r="GVS112" s="769"/>
      <c r="GVT112" s="769"/>
      <c r="GVU112" s="769"/>
      <c r="GVV112" s="769"/>
      <c r="GVW112" s="769"/>
      <c r="GVX112" s="769"/>
      <c r="GVY112" s="769"/>
      <c r="GVZ112" s="769"/>
      <c r="GWA112" s="769"/>
      <c r="GWB112" s="769"/>
      <c r="GWC112" s="769"/>
      <c r="GWD112" s="769"/>
      <c r="GWE112" s="769"/>
      <c r="GWF112" s="769"/>
      <c r="GWG112" s="769"/>
      <c r="GWH112" s="769"/>
      <c r="GWI112" s="769"/>
      <c r="GWJ112" s="769"/>
      <c r="GWK112" s="769"/>
      <c r="GWL112" s="769"/>
      <c r="GWM112" s="769"/>
      <c r="GWN112" s="769"/>
      <c r="GWO112" s="769"/>
      <c r="GWP112" s="769"/>
      <c r="GWQ112" s="769"/>
      <c r="GWR112" s="769"/>
      <c r="GWS112" s="769"/>
      <c r="GWT112" s="769"/>
      <c r="GWU112" s="769"/>
      <c r="GWV112" s="769"/>
      <c r="GWW112" s="769"/>
      <c r="GWX112" s="769"/>
      <c r="GWY112" s="769"/>
      <c r="GWZ112" s="769"/>
      <c r="GXA112" s="769"/>
      <c r="GXB112" s="769"/>
      <c r="GXC112" s="769"/>
      <c r="GXD112" s="769"/>
      <c r="GXE112" s="769"/>
      <c r="GXF112" s="769"/>
      <c r="GXG112" s="769"/>
      <c r="GXH112" s="769"/>
      <c r="GXI112" s="769"/>
      <c r="GXJ112" s="769"/>
      <c r="GXK112" s="769"/>
      <c r="GXL112" s="769"/>
      <c r="GXM112" s="769"/>
      <c r="GXN112" s="769"/>
      <c r="GXO112" s="769"/>
      <c r="GXP112" s="769"/>
      <c r="GXQ112" s="769"/>
      <c r="GXR112" s="769"/>
      <c r="GXS112" s="769"/>
      <c r="GXT112" s="769"/>
      <c r="GXU112" s="769"/>
      <c r="GXV112" s="769"/>
      <c r="GXW112" s="769"/>
      <c r="GXX112" s="769"/>
      <c r="GXY112" s="769"/>
      <c r="GXZ112" s="769"/>
      <c r="GYA112" s="769"/>
      <c r="GYB112" s="769"/>
      <c r="GYC112" s="769"/>
      <c r="GYD112" s="769"/>
      <c r="GYE112" s="769"/>
      <c r="GYF112" s="769"/>
      <c r="GYG112" s="769"/>
      <c r="GYH112" s="769"/>
      <c r="GYI112" s="769"/>
      <c r="GYJ112" s="769"/>
      <c r="GYK112" s="769"/>
      <c r="GYL112" s="769"/>
      <c r="GYM112" s="769"/>
      <c r="GYN112" s="769"/>
      <c r="GYO112" s="769"/>
      <c r="GYP112" s="769"/>
      <c r="GYQ112" s="769"/>
      <c r="GYR112" s="769"/>
      <c r="GYS112" s="769"/>
      <c r="GYT112" s="769"/>
      <c r="GYU112" s="769"/>
      <c r="GYV112" s="769"/>
      <c r="GYW112" s="769"/>
      <c r="GYX112" s="769"/>
      <c r="GYY112" s="769"/>
      <c r="GYZ112" s="769"/>
      <c r="GZA112" s="769"/>
      <c r="GZB112" s="769"/>
      <c r="GZC112" s="769"/>
      <c r="GZD112" s="769"/>
      <c r="GZE112" s="769"/>
      <c r="GZF112" s="769"/>
      <c r="GZG112" s="769"/>
      <c r="GZH112" s="769"/>
      <c r="GZI112" s="769"/>
      <c r="GZJ112" s="769"/>
      <c r="GZK112" s="769"/>
      <c r="GZL112" s="769"/>
      <c r="GZM112" s="769"/>
      <c r="GZN112" s="769"/>
      <c r="GZO112" s="769"/>
      <c r="GZP112" s="769"/>
      <c r="GZQ112" s="769"/>
      <c r="GZR112" s="769"/>
      <c r="GZS112" s="769"/>
      <c r="GZT112" s="769"/>
      <c r="GZU112" s="769"/>
      <c r="GZV112" s="769"/>
      <c r="GZW112" s="769"/>
      <c r="GZX112" s="769"/>
      <c r="GZY112" s="769"/>
      <c r="GZZ112" s="769"/>
      <c r="HAA112" s="769"/>
      <c r="HAB112" s="769"/>
      <c r="HAC112" s="769"/>
      <c r="HAD112" s="769"/>
      <c r="HAE112" s="769"/>
      <c r="HAF112" s="769"/>
      <c r="HAG112" s="769"/>
      <c r="HAH112" s="769"/>
      <c r="HAI112" s="769"/>
      <c r="HAJ112" s="769"/>
      <c r="HAK112" s="769"/>
      <c r="HAL112" s="769"/>
      <c r="HAM112" s="769"/>
      <c r="HAN112" s="769"/>
      <c r="HAO112" s="769"/>
      <c r="HAP112" s="769"/>
      <c r="HAQ112" s="769"/>
      <c r="HAR112" s="769"/>
      <c r="HAS112" s="769"/>
      <c r="HAT112" s="769"/>
      <c r="HAU112" s="769"/>
      <c r="HAV112" s="769"/>
      <c r="HAW112" s="769"/>
      <c r="HAX112" s="769"/>
      <c r="HAY112" s="769"/>
      <c r="HAZ112" s="769"/>
      <c r="HBA112" s="769"/>
      <c r="HBB112" s="769"/>
      <c r="HBC112" s="769"/>
      <c r="HBD112" s="769"/>
      <c r="HBE112" s="769"/>
      <c r="HBF112" s="769"/>
      <c r="HBG112" s="769"/>
      <c r="HBH112" s="769"/>
      <c r="HBI112" s="769"/>
      <c r="HBJ112" s="769"/>
      <c r="HBK112" s="769"/>
      <c r="HBL112" s="769"/>
      <c r="HBM112" s="769"/>
      <c r="HBN112" s="769"/>
      <c r="HBO112" s="769"/>
      <c r="HBP112" s="769"/>
      <c r="HBQ112" s="769"/>
      <c r="HBR112" s="769"/>
      <c r="HBS112" s="769"/>
      <c r="HBT112" s="769"/>
      <c r="HBU112" s="769"/>
      <c r="HBV112" s="769"/>
      <c r="HBW112" s="769"/>
      <c r="HBX112" s="769"/>
      <c r="HBY112" s="769"/>
      <c r="HBZ112" s="769"/>
      <c r="HCA112" s="769"/>
      <c r="HCB112" s="769"/>
      <c r="HCC112" s="769"/>
      <c r="HCD112" s="769"/>
      <c r="HCE112" s="769"/>
      <c r="HCF112" s="769"/>
      <c r="HCG112" s="769"/>
      <c r="HCH112" s="769"/>
      <c r="HCI112" s="769"/>
      <c r="HCJ112" s="769"/>
      <c r="HCK112" s="769"/>
      <c r="HCL112" s="769"/>
      <c r="HCM112" s="769"/>
      <c r="HCN112" s="769"/>
      <c r="HCO112" s="769"/>
      <c r="HCP112" s="769"/>
      <c r="HCQ112" s="769"/>
      <c r="HCR112" s="769"/>
      <c r="HCS112" s="769"/>
      <c r="HCT112" s="769"/>
      <c r="HCU112" s="769"/>
      <c r="HCV112" s="769"/>
      <c r="HCW112" s="769"/>
      <c r="HCX112" s="769"/>
      <c r="HCY112" s="769"/>
      <c r="HCZ112" s="769"/>
      <c r="HDA112" s="769"/>
      <c r="HDB112" s="769"/>
      <c r="HDC112" s="769"/>
      <c r="HDD112" s="769"/>
      <c r="HDE112" s="769"/>
      <c r="HDF112" s="769"/>
      <c r="HDG112" s="769"/>
      <c r="HDH112" s="769"/>
      <c r="HDI112" s="769"/>
      <c r="HDJ112" s="769"/>
      <c r="HDK112" s="769"/>
      <c r="HDL112" s="769"/>
      <c r="HDM112" s="769"/>
      <c r="HDN112" s="769"/>
      <c r="HDO112" s="769"/>
      <c r="HDP112" s="769"/>
      <c r="HDQ112" s="769"/>
      <c r="HDR112" s="769"/>
      <c r="HDS112" s="769"/>
      <c r="HDT112" s="769"/>
      <c r="HDU112" s="769"/>
      <c r="HDV112" s="769"/>
      <c r="HDW112" s="769"/>
      <c r="HDX112" s="769"/>
      <c r="HDY112" s="769"/>
      <c r="HDZ112" s="769"/>
      <c r="HEA112" s="769"/>
      <c r="HEB112" s="769"/>
      <c r="HEC112" s="769"/>
      <c r="HED112" s="769"/>
      <c r="HEE112" s="769"/>
      <c r="HEF112" s="769"/>
      <c r="HEG112" s="769"/>
      <c r="HEH112" s="769"/>
      <c r="HEI112" s="769"/>
      <c r="HEJ112" s="769"/>
      <c r="HEK112" s="769"/>
      <c r="HEL112" s="769"/>
      <c r="HEM112" s="769"/>
      <c r="HEN112" s="769"/>
      <c r="HEO112" s="769"/>
      <c r="HEP112" s="769"/>
      <c r="HEQ112" s="769"/>
      <c r="HER112" s="769"/>
      <c r="HES112" s="769"/>
      <c r="HET112" s="769"/>
      <c r="HEU112" s="769"/>
      <c r="HEV112" s="769"/>
      <c r="HEW112" s="769"/>
      <c r="HEX112" s="769"/>
      <c r="HEY112" s="769"/>
      <c r="HEZ112" s="769"/>
      <c r="HFA112" s="769"/>
      <c r="HFB112" s="769"/>
      <c r="HFC112" s="769"/>
      <c r="HFD112" s="769"/>
      <c r="HFE112" s="769"/>
      <c r="HFF112" s="769"/>
      <c r="HFG112" s="769"/>
      <c r="HFH112" s="769"/>
      <c r="HFI112" s="769"/>
      <c r="HFJ112" s="769"/>
      <c r="HFK112" s="769"/>
      <c r="HFL112" s="769"/>
      <c r="HFM112" s="769"/>
      <c r="HFN112" s="769"/>
      <c r="HFO112" s="769"/>
      <c r="HFP112" s="769"/>
      <c r="HFQ112" s="769"/>
      <c r="HFR112" s="769"/>
      <c r="HFS112" s="769"/>
      <c r="HFT112" s="769"/>
      <c r="HFU112" s="769"/>
      <c r="HFV112" s="769"/>
      <c r="HFW112" s="769"/>
      <c r="HFX112" s="769"/>
      <c r="HFY112" s="769"/>
      <c r="HFZ112" s="769"/>
      <c r="HGA112" s="769"/>
      <c r="HGB112" s="769"/>
      <c r="HGC112" s="769"/>
      <c r="HGD112" s="769"/>
      <c r="HGE112" s="769"/>
      <c r="HGF112" s="769"/>
      <c r="HGG112" s="769"/>
      <c r="HGH112" s="769"/>
      <c r="HGI112" s="769"/>
      <c r="HGJ112" s="769"/>
      <c r="HGK112" s="769"/>
      <c r="HGL112" s="769"/>
      <c r="HGM112" s="769"/>
      <c r="HGN112" s="769"/>
      <c r="HGO112" s="769"/>
      <c r="HGP112" s="769"/>
      <c r="HGQ112" s="769"/>
      <c r="HGR112" s="769"/>
      <c r="HGS112" s="769"/>
      <c r="HGT112" s="769"/>
      <c r="HGU112" s="769"/>
      <c r="HGV112" s="769"/>
      <c r="HGW112" s="769"/>
      <c r="HGX112" s="769"/>
      <c r="HGY112" s="769"/>
      <c r="HGZ112" s="769"/>
      <c r="HHA112" s="769"/>
      <c r="HHB112" s="769"/>
      <c r="HHC112" s="769"/>
      <c r="HHD112" s="769"/>
      <c r="HHE112" s="769"/>
      <c r="HHF112" s="769"/>
      <c r="HHG112" s="769"/>
      <c r="HHH112" s="769"/>
      <c r="HHI112" s="769"/>
      <c r="HHJ112" s="769"/>
      <c r="HHK112" s="769"/>
      <c r="HHL112" s="769"/>
      <c r="HHM112" s="769"/>
      <c r="HHN112" s="769"/>
      <c r="HHO112" s="769"/>
      <c r="HHP112" s="769"/>
      <c r="HHQ112" s="769"/>
      <c r="HHR112" s="769"/>
      <c r="HHS112" s="769"/>
      <c r="HHT112" s="769"/>
      <c r="HHU112" s="769"/>
      <c r="HHV112" s="769"/>
      <c r="HHW112" s="769"/>
      <c r="HHX112" s="769"/>
      <c r="HHY112" s="769"/>
      <c r="HHZ112" s="769"/>
      <c r="HIA112" s="769"/>
      <c r="HIB112" s="769"/>
      <c r="HIC112" s="769"/>
      <c r="HID112" s="769"/>
      <c r="HIE112" s="769"/>
      <c r="HIF112" s="769"/>
      <c r="HIG112" s="769"/>
      <c r="HIH112" s="769"/>
      <c r="HII112" s="769"/>
      <c r="HIJ112" s="769"/>
      <c r="HIK112" s="769"/>
      <c r="HIL112" s="769"/>
      <c r="HIM112" s="769"/>
      <c r="HIN112" s="769"/>
      <c r="HIO112" s="769"/>
      <c r="HIP112" s="769"/>
      <c r="HIQ112" s="769"/>
      <c r="HIR112" s="769"/>
      <c r="HIS112" s="769"/>
      <c r="HIT112" s="769"/>
      <c r="HIU112" s="769"/>
      <c r="HIV112" s="769"/>
      <c r="HIW112" s="769"/>
      <c r="HIX112" s="769"/>
      <c r="HIY112" s="769"/>
      <c r="HIZ112" s="769"/>
      <c r="HJA112" s="769"/>
      <c r="HJB112" s="769"/>
      <c r="HJC112" s="769"/>
      <c r="HJD112" s="769"/>
      <c r="HJE112" s="769"/>
      <c r="HJF112" s="769"/>
      <c r="HJG112" s="769"/>
      <c r="HJH112" s="769"/>
      <c r="HJI112" s="769"/>
      <c r="HJJ112" s="769"/>
      <c r="HJK112" s="769"/>
      <c r="HJL112" s="769"/>
      <c r="HJM112" s="769"/>
      <c r="HJN112" s="769"/>
      <c r="HJO112" s="769"/>
      <c r="HJP112" s="769"/>
      <c r="HJQ112" s="769"/>
      <c r="HJR112" s="769"/>
      <c r="HJS112" s="769"/>
      <c r="HJT112" s="769"/>
      <c r="HJU112" s="769"/>
      <c r="HJV112" s="769"/>
      <c r="HJW112" s="769"/>
      <c r="HJX112" s="769"/>
      <c r="HJY112" s="769"/>
      <c r="HJZ112" s="769"/>
      <c r="HKA112" s="769"/>
      <c r="HKB112" s="769"/>
      <c r="HKC112" s="769"/>
      <c r="HKD112" s="769"/>
      <c r="HKE112" s="769"/>
      <c r="HKF112" s="769"/>
      <c r="HKG112" s="769"/>
      <c r="HKH112" s="769"/>
      <c r="HKI112" s="769"/>
      <c r="HKJ112" s="769"/>
      <c r="HKK112" s="769"/>
      <c r="HKL112" s="769"/>
      <c r="HKM112" s="769"/>
      <c r="HKN112" s="769"/>
      <c r="HKO112" s="769"/>
      <c r="HKP112" s="769"/>
      <c r="HKQ112" s="769"/>
      <c r="HKR112" s="769"/>
      <c r="HKS112" s="769"/>
      <c r="HKT112" s="769"/>
      <c r="HKU112" s="769"/>
      <c r="HKV112" s="769"/>
      <c r="HKW112" s="769"/>
      <c r="HKX112" s="769"/>
      <c r="HKY112" s="769"/>
      <c r="HKZ112" s="769"/>
      <c r="HLA112" s="769"/>
      <c r="HLB112" s="769"/>
      <c r="HLC112" s="769"/>
      <c r="HLD112" s="769"/>
      <c r="HLE112" s="769"/>
      <c r="HLF112" s="769"/>
      <c r="HLG112" s="769"/>
      <c r="HLH112" s="769"/>
      <c r="HLI112" s="769"/>
      <c r="HLJ112" s="769"/>
      <c r="HLK112" s="769"/>
      <c r="HLL112" s="769"/>
      <c r="HLM112" s="769"/>
      <c r="HLN112" s="769"/>
      <c r="HLO112" s="769"/>
      <c r="HLP112" s="769"/>
      <c r="HLQ112" s="769"/>
      <c r="HLR112" s="769"/>
      <c r="HLS112" s="769"/>
      <c r="HLT112" s="769"/>
      <c r="HLU112" s="769"/>
      <c r="HLV112" s="769"/>
      <c r="HLW112" s="769"/>
      <c r="HLX112" s="769"/>
      <c r="HLY112" s="769"/>
      <c r="HLZ112" s="769"/>
      <c r="HMA112" s="769"/>
      <c r="HMB112" s="769"/>
      <c r="HMC112" s="769"/>
      <c r="HMD112" s="769"/>
      <c r="HME112" s="769"/>
      <c r="HMF112" s="769"/>
      <c r="HMG112" s="769"/>
      <c r="HMH112" s="769"/>
      <c r="HMI112" s="769"/>
      <c r="HMJ112" s="769"/>
      <c r="HMK112" s="769"/>
      <c r="HML112" s="769"/>
      <c r="HMM112" s="769"/>
      <c r="HMN112" s="769"/>
      <c r="HMO112" s="769"/>
      <c r="HMP112" s="769"/>
      <c r="HMQ112" s="769"/>
      <c r="HMR112" s="769"/>
      <c r="HMS112" s="769"/>
      <c r="HMT112" s="769"/>
      <c r="HMU112" s="769"/>
      <c r="HMV112" s="769"/>
      <c r="HMW112" s="769"/>
      <c r="HMX112" s="769"/>
      <c r="HMY112" s="769"/>
      <c r="HMZ112" s="769"/>
      <c r="HNA112" s="769"/>
      <c r="HNB112" s="769"/>
      <c r="HNC112" s="769"/>
      <c r="HND112" s="769"/>
      <c r="HNE112" s="769"/>
      <c r="HNF112" s="769"/>
      <c r="HNG112" s="769"/>
      <c r="HNH112" s="769"/>
      <c r="HNI112" s="769"/>
      <c r="HNJ112" s="769"/>
      <c r="HNK112" s="769"/>
      <c r="HNL112" s="769"/>
      <c r="HNM112" s="769"/>
      <c r="HNN112" s="769"/>
      <c r="HNO112" s="769"/>
      <c r="HNP112" s="769"/>
      <c r="HNQ112" s="769"/>
      <c r="HNR112" s="769"/>
      <c r="HNS112" s="769"/>
      <c r="HNT112" s="769"/>
      <c r="HNU112" s="769"/>
      <c r="HNV112" s="769"/>
      <c r="HNW112" s="769"/>
      <c r="HNX112" s="769"/>
      <c r="HNY112" s="769"/>
      <c r="HNZ112" s="769"/>
      <c r="HOA112" s="769"/>
      <c r="HOB112" s="769"/>
      <c r="HOC112" s="769"/>
      <c r="HOD112" s="769"/>
      <c r="HOE112" s="769"/>
      <c r="HOF112" s="769"/>
      <c r="HOG112" s="769"/>
      <c r="HOH112" s="769"/>
      <c r="HOI112" s="769"/>
      <c r="HOJ112" s="769"/>
      <c r="HOK112" s="769"/>
      <c r="HOL112" s="769"/>
      <c r="HOM112" s="769"/>
      <c r="HON112" s="769"/>
      <c r="HOO112" s="769"/>
      <c r="HOP112" s="769"/>
      <c r="HOQ112" s="769"/>
      <c r="HOR112" s="769"/>
      <c r="HOS112" s="769"/>
      <c r="HOT112" s="769"/>
      <c r="HOU112" s="769"/>
      <c r="HOV112" s="769"/>
      <c r="HOW112" s="769"/>
      <c r="HOX112" s="769"/>
      <c r="HOY112" s="769"/>
      <c r="HOZ112" s="769"/>
      <c r="HPA112" s="769"/>
      <c r="HPB112" s="769"/>
      <c r="HPC112" s="769"/>
      <c r="HPD112" s="769"/>
      <c r="HPE112" s="769"/>
      <c r="HPF112" s="769"/>
      <c r="HPG112" s="769"/>
      <c r="HPH112" s="769"/>
      <c r="HPI112" s="769"/>
      <c r="HPJ112" s="769"/>
      <c r="HPK112" s="769"/>
      <c r="HPL112" s="769"/>
      <c r="HPM112" s="769"/>
      <c r="HPN112" s="769"/>
      <c r="HPO112" s="769"/>
      <c r="HPP112" s="769"/>
      <c r="HPQ112" s="769"/>
      <c r="HPR112" s="769"/>
      <c r="HPS112" s="769"/>
      <c r="HPT112" s="769"/>
      <c r="HPU112" s="769"/>
      <c r="HPV112" s="769"/>
      <c r="HPW112" s="769"/>
      <c r="HPX112" s="769"/>
      <c r="HPY112" s="769"/>
      <c r="HPZ112" s="769"/>
      <c r="HQA112" s="769"/>
      <c r="HQB112" s="769"/>
      <c r="HQC112" s="769"/>
      <c r="HQD112" s="769"/>
      <c r="HQE112" s="769"/>
      <c r="HQF112" s="769"/>
      <c r="HQG112" s="769"/>
      <c r="HQH112" s="769"/>
      <c r="HQI112" s="769"/>
      <c r="HQJ112" s="769"/>
      <c r="HQK112" s="769"/>
      <c r="HQL112" s="769"/>
      <c r="HQM112" s="769"/>
      <c r="HQN112" s="769"/>
      <c r="HQO112" s="769"/>
      <c r="HQP112" s="769"/>
      <c r="HQQ112" s="769"/>
      <c r="HQR112" s="769"/>
      <c r="HQS112" s="769"/>
      <c r="HQT112" s="769"/>
      <c r="HQU112" s="769"/>
      <c r="HQV112" s="769"/>
      <c r="HQW112" s="769"/>
      <c r="HQX112" s="769"/>
      <c r="HQY112" s="769"/>
      <c r="HQZ112" s="769"/>
      <c r="HRA112" s="769"/>
      <c r="HRB112" s="769"/>
      <c r="HRC112" s="769"/>
      <c r="HRD112" s="769"/>
      <c r="HRE112" s="769"/>
      <c r="HRF112" s="769"/>
      <c r="HRG112" s="769"/>
      <c r="HRH112" s="769"/>
      <c r="HRI112" s="769"/>
      <c r="HRJ112" s="769"/>
      <c r="HRK112" s="769"/>
      <c r="HRL112" s="769"/>
      <c r="HRM112" s="769"/>
      <c r="HRN112" s="769"/>
      <c r="HRO112" s="769"/>
      <c r="HRP112" s="769"/>
      <c r="HRQ112" s="769"/>
      <c r="HRR112" s="769"/>
      <c r="HRS112" s="769"/>
      <c r="HRT112" s="769"/>
      <c r="HRU112" s="769"/>
      <c r="HRV112" s="769"/>
      <c r="HRW112" s="769"/>
      <c r="HRX112" s="769"/>
      <c r="HRY112" s="769"/>
      <c r="HRZ112" s="769"/>
      <c r="HSA112" s="769"/>
      <c r="HSB112" s="769"/>
      <c r="HSC112" s="769"/>
      <c r="HSD112" s="769"/>
      <c r="HSE112" s="769"/>
      <c r="HSF112" s="769"/>
      <c r="HSG112" s="769"/>
      <c r="HSH112" s="769"/>
      <c r="HSI112" s="769"/>
      <c r="HSJ112" s="769"/>
      <c r="HSK112" s="769"/>
      <c r="HSL112" s="769"/>
      <c r="HSM112" s="769"/>
      <c r="HSN112" s="769"/>
      <c r="HSO112" s="769"/>
      <c r="HSP112" s="769"/>
      <c r="HSQ112" s="769"/>
      <c r="HSR112" s="769"/>
      <c r="HSS112" s="769"/>
      <c r="HST112" s="769"/>
      <c r="HSU112" s="769"/>
      <c r="HSV112" s="769"/>
      <c r="HSW112" s="769"/>
      <c r="HSX112" s="769"/>
      <c r="HSY112" s="769"/>
      <c r="HSZ112" s="769"/>
      <c r="HTA112" s="769"/>
      <c r="HTB112" s="769"/>
      <c r="HTC112" s="769"/>
      <c r="HTD112" s="769"/>
      <c r="HTE112" s="769"/>
      <c r="HTF112" s="769"/>
      <c r="HTG112" s="769"/>
      <c r="HTH112" s="769"/>
      <c r="HTI112" s="769"/>
      <c r="HTJ112" s="769"/>
      <c r="HTK112" s="769"/>
      <c r="HTL112" s="769"/>
      <c r="HTM112" s="769"/>
      <c r="HTN112" s="769"/>
      <c r="HTO112" s="769"/>
      <c r="HTP112" s="769"/>
      <c r="HTQ112" s="769"/>
      <c r="HTR112" s="769"/>
      <c r="HTS112" s="769"/>
      <c r="HTT112" s="769"/>
      <c r="HTU112" s="769"/>
      <c r="HTV112" s="769"/>
      <c r="HTW112" s="769"/>
      <c r="HTX112" s="769"/>
      <c r="HTY112" s="769"/>
      <c r="HTZ112" s="769"/>
      <c r="HUA112" s="769"/>
      <c r="HUB112" s="769"/>
      <c r="HUC112" s="769"/>
      <c r="HUD112" s="769"/>
      <c r="HUE112" s="769"/>
      <c r="HUF112" s="769"/>
      <c r="HUG112" s="769"/>
      <c r="HUH112" s="769"/>
      <c r="HUI112" s="769"/>
      <c r="HUJ112" s="769"/>
      <c r="HUK112" s="769"/>
      <c r="HUL112" s="769"/>
      <c r="HUM112" s="769"/>
      <c r="HUN112" s="769"/>
      <c r="HUO112" s="769"/>
      <c r="HUP112" s="769"/>
      <c r="HUQ112" s="769"/>
      <c r="HUR112" s="769"/>
      <c r="HUS112" s="769"/>
      <c r="HUT112" s="769"/>
      <c r="HUU112" s="769"/>
      <c r="HUV112" s="769"/>
      <c r="HUW112" s="769"/>
      <c r="HUX112" s="769"/>
      <c r="HUY112" s="769"/>
      <c r="HUZ112" s="769"/>
      <c r="HVA112" s="769"/>
      <c r="HVB112" s="769"/>
      <c r="HVC112" s="769"/>
      <c r="HVD112" s="769"/>
      <c r="HVE112" s="769"/>
      <c r="HVF112" s="769"/>
      <c r="HVG112" s="769"/>
      <c r="HVH112" s="769"/>
      <c r="HVI112" s="769"/>
      <c r="HVJ112" s="769"/>
      <c r="HVK112" s="769"/>
      <c r="HVL112" s="769"/>
      <c r="HVM112" s="769"/>
      <c r="HVN112" s="769"/>
      <c r="HVO112" s="769"/>
      <c r="HVP112" s="769"/>
      <c r="HVQ112" s="769"/>
      <c r="HVR112" s="769"/>
      <c r="HVS112" s="769"/>
      <c r="HVT112" s="769"/>
      <c r="HVU112" s="769"/>
      <c r="HVV112" s="769"/>
      <c r="HVW112" s="769"/>
      <c r="HVX112" s="769"/>
      <c r="HVY112" s="769"/>
      <c r="HVZ112" s="769"/>
      <c r="HWA112" s="769"/>
      <c r="HWB112" s="769"/>
      <c r="HWC112" s="769"/>
      <c r="HWD112" s="769"/>
      <c r="HWE112" s="769"/>
      <c r="HWF112" s="769"/>
      <c r="HWG112" s="769"/>
      <c r="HWH112" s="769"/>
      <c r="HWI112" s="769"/>
      <c r="HWJ112" s="769"/>
      <c r="HWK112" s="769"/>
      <c r="HWL112" s="769"/>
      <c r="HWM112" s="769"/>
      <c r="HWN112" s="769"/>
      <c r="HWO112" s="769"/>
      <c r="HWP112" s="769"/>
      <c r="HWQ112" s="769"/>
      <c r="HWR112" s="769"/>
      <c r="HWS112" s="769"/>
      <c r="HWT112" s="769"/>
      <c r="HWU112" s="769"/>
      <c r="HWV112" s="769"/>
      <c r="HWW112" s="769"/>
      <c r="HWX112" s="769"/>
      <c r="HWY112" s="769"/>
      <c r="HWZ112" s="769"/>
      <c r="HXA112" s="769"/>
      <c r="HXB112" s="769"/>
      <c r="HXC112" s="769"/>
      <c r="HXD112" s="769"/>
      <c r="HXE112" s="769"/>
      <c r="HXF112" s="769"/>
      <c r="HXG112" s="769"/>
      <c r="HXH112" s="769"/>
      <c r="HXI112" s="769"/>
      <c r="HXJ112" s="769"/>
      <c r="HXK112" s="769"/>
      <c r="HXL112" s="769"/>
      <c r="HXM112" s="769"/>
      <c r="HXN112" s="769"/>
      <c r="HXO112" s="769"/>
      <c r="HXP112" s="769"/>
      <c r="HXQ112" s="769"/>
      <c r="HXR112" s="769"/>
      <c r="HXS112" s="769"/>
      <c r="HXT112" s="769"/>
      <c r="HXU112" s="769"/>
      <c r="HXV112" s="769"/>
      <c r="HXW112" s="769"/>
      <c r="HXX112" s="769"/>
      <c r="HXY112" s="769"/>
      <c r="HXZ112" s="769"/>
      <c r="HYA112" s="769"/>
      <c r="HYB112" s="769"/>
      <c r="HYC112" s="769"/>
      <c r="HYD112" s="769"/>
      <c r="HYE112" s="769"/>
      <c r="HYF112" s="769"/>
      <c r="HYG112" s="769"/>
      <c r="HYH112" s="769"/>
      <c r="HYI112" s="769"/>
      <c r="HYJ112" s="769"/>
      <c r="HYK112" s="769"/>
      <c r="HYL112" s="769"/>
      <c r="HYM112" s="769"/>
      <c r="HYN112" s="769"/>
      <c r="HYO112" s="769"/>
      <c r="HYP112" s="769"/>
      <c r="HYQ112" s="769"/>
      <c r="HYR112" s="769"/>
      <c r="HYS112" s="769"/>
      <c r="HYT112" s="769"/>
      <c r="HYU112" s="769"/>
      <c r="HYV112" s="769"/>
      <c r="HYW112" s="769"/>
      <c r="HYX112" s="769"/>
      <c r="HYY112" s="769"/>
      <c r="HYZ112" s="769"/>
      <c r="HZA112" s="769"/>
      <c r="HZB112" s="769"/>
      <c r="HZC112" s="769"/>
      <c r="HZD112" s="769"/>
      <c r="HZE112" s="769"/>
      <c r="HZF112" s="769"/>
      <c r="HZG112" s="769"/>
      <c r="HZH112" s="769"/>
      <c r="HZI112" s="769"/>
      <c r="HZJ112" s="769"/>
      <c r="HZK112" s="769"/>
      <c r="HZL112" s="769"/>
      <c r="HZM112" s="769"/>
      <c r="HZN112" s="769"/>
      <c r="HZO112" s="769"/>
      <c r="HZP112" s="769"/>
      <c r="HZQ112" s="769"/>
      <c r="HZR112" s="769"/>
      <c r="HZS112" s="769"/>
      <c r="HZT112" s="769"/>
      <c r="HZU112" s="769"/>
      <c r="HZV112" s="769"/>
      <c r="HZW112" s="769"/>
      <c r="HZX112" s="769"/>
      <c r="HZY112" s="769"/>
      <c r="HZZ112" s="769"/>
      <c r="IAA112" s="769"/>
      <c r="IAB112" s="769"/>
      <c r="IAC112" s="769"/>
      <c r="IAD112" s="769"/>
      <c r="IAE112" s="769"/>
      <c r="IAF112" s="769"/>
      <c r="IAG112" s="769"/>
      <c r="IAH112" s="769"/>
      <c r="IAI112" s="769"/>
      <c r="IAJ112" s="769"/>
      <c r="IAK112" s="769"/>
      <c r="IAL112" s="769"/>
      <c r="IAM112" s="769"/>
      <c r="IAN112" s="769"/>
      <c r="IAO112" s="769"/>
      <c r="IAP112" s="769"/>
      <c r="IAQ112" s="769"/>
      <c r="IAR112" s="769"/>
      <c r="IAS112" s="769"/>
      <c r="IAT112" s="769"/>
      <c r="IAU112" s="769"/>
      <c r="IAV112" s="769"/>
      <c r="IAW112" s="769"/>
      <c r="IAX112" s="769"/>
      <c r="IAY112" s="769"/>
      <c r="IAZ112" s="769"/>
      <c r="IBA112" s="769"/>
      <c r="IBB112" s="769"/>
      <c r="IBC112" s="769"/>
      <c r="IBD112" s="769"/>
      <c r="IBE112" s="769"/>
      <c r="IBF112" s="769"/>
      <c r="IBG112" s="769"/>
      <c r="IBH112" s="769"/>
      <c r="IBI112" s="769"/>
      <c r="IBJ112" s="769"/>
      <c r="IBK112" s="769"/>
      <c r="IBL112" s="769"/>
      <c r="IBM112" s="769"/>
      <c r="IBN112" s="769"/>
      <c r="IBO112" s="769"/>
      <c r="IBP112" s="769"/>
      <c r="IBQ112" s="769"/>
      <c r="IBR112" s="769"/>
      <c r="IBS112" s="769"/>
      <c r="IBT112" s="769"/>
      <c r="IBU112" s="769"/>
      <c r="IBV112" s="769"/>
      <c r="IBW112" s="769"/>
      <c r="IBX112" s="769"/>
      <c r="IBY112" s="769"/>
      <c r="IBZ112" s="769"/>
      <c r="ICA112" s="769"/>
      <c r="ICB112" s="769"/>
      <c r="ICC112" s="769"/>
      <c r="ICD112" s="769"/>
      <c r="ICE112" s="769"/>
      <c r="ICF112" s="769"/>
      <c r="ICG112" s="769"/>
      <c r="ICH112" s="769"/>
      <c r="ICI112" s="769"/>
      <c r="ICJ112" s="769"/>
      <c r="ICK112" s="769"/>
      <c r="ICL112" s="769"/>
      <c r="ICM112" s="769"/>
      <c r="ICN112" s="769"/>
      <c r="ICO112" s="769"/>
      <c r="ICP112" s="769"/>
      <c r="ICQ112" s="769"/>
      <c r="ICR112" s="769"/>
      <c r="ICS112" s="769"/>
      <c r="ICT112" s="769"/>
      <c r="ICU112" s="769"/>
      <c r="ICV112" s="769"/>
      <c r="ICW112" s="769"/>
      <c r="ICX112" s="769"/>
      <c r="ICY112" s="769"/>
      <c r="ICZ112" s="769"/>
      <c r="IDA112" s="769"/>
      <c r="IDB112" s="769"/>
      <c r="IDC112" s="769"/>
      <c r="IDD112" s="769"/>
      <c r="IDE112" s="769"/>
      <c r="IDF112" s="769"/>
      <c r="IDG112" s="769"/>
      <c r="IDH112" s="769"/>
      <c r="IDI112" s="769"/>
      <c r="IDJ112" s="769"/>
      <c r="IDK112" s="769"/>
      <c r="IDL112" s="769"/>
      <c r="IDM112" s="769"/>
      <c r="IDN112" s="769"/>
      <c r="IDO112" s="769"/>
      <c r="IDP112" s="769"/>
      <c r="IDQ112" s="769"/>
      <c r="IDR112" s="769"/>
      <c r="IDS112" s="769"/>
      <c r="IDT112" s="769"/>
      <c r="IDU112" s="769"/>
      <c r="IDV112" s="769"/>
      <c r="IDW112" s="769"/>
      <c r="IDX112" s="769"/>
      <c r="IDY112" s="769"/>
      <c r="IDZ112" s="769"/>
      <c r="IEA112" s="769"/>
      <c r="IEB112" s="769"/>
      <c r="IEC112" s="769"/>
      <c r="IED112" s="769"/>
      <c r="IEE112" s="769"/>
      <c r="IEF112" s="769"/>
      <c r="IEG112" s="769"/>
      <c r="IEH112" s="769"/>
      <c r="IEI112" s="769"/>
      <c r="IEJ112" s="769"/>
      <c r="IEK112" s="769"/>
      <c r="IEL112" s="769"/>
      <c r="IEM112" s="769"/>
      <c r="IEN112" s="769"/>
      <c r="IEO112" s="769"/>
      <c r="IEP112" s="769"/>
      <c r="IEQ112" s="769"/>
      <c r="IER112" s="769"/>
      <c r="IES112" s="769"/>
      <c r="IET112" s="769"/>
      <c r="IEU112" s="769"/>
      <c r="IEV112" s="769"/>
      <c r="IEW112" s="769"/>
      <c r="IEX112" s="769"/>
      <c r="IEY112" s="769"/>
      <c r="IEZ112" s="769"/>
      <c r="IFA112" s="769"/>
      <c r="IFB112" s="769"/>
      <c r="IFC112" s="769"/>
      <c r="IFD112" s="769"/>
      <c r="IFE112" s="769"/>
      <c r="IFF112" s="769"/>
      <c r="IFG112" s="769"/>
      <c r="IFH112" s="769"/>
      <c r="IFI112" s="769"/>
      <c r="IFJ112" s="769"/>
      <c r="IFK112" s="769"/>
      <c r="IFL112" s="769"/>
      <c r="IFM112" s="769"/>
      <c r="IFN112" s="769"/>
      <c r="IFO112" s="769"/>
      <c r="IFP112" s="769"/>
      <c r="IFQ112" s="769"/>
      <c r="IFR112" s="769"/>
      <c r="IFS112" s="769"/>
      <c r="IFT112" s="769"/>
      <c r="IFU112" s="769"/>
      <c r="IFV112" s="769"/>
      <c r="IFW112" s="769"/>
      <c r="IFX112" s="769"/>
      <c r="IFY112" s="769"/>
      <c r="IFZ112" s="769"/>
      <c r="IGA112" s="769"/>
      <c r="IGB112" s="769"/>
      <c r="IGC112" s="769"/>
      <c r="IGD112" s="769"/>
      <c r="IGE112" s="769"/>
      <c r="IGF112" s="769"/>
      <c r="IGG112" s="769"/>
      <c r="IGH112" s="769"/>
      <c r="IGI112" s="769"/>
      <c r="IGJ112" s="769"/>
      <c r="IGK112" s="769"/>
      <c r="IGL112" s="769"/>
      <c r="IGM112" s="769"/>
      <c r="IGN112" s="769"/>
      <c r="IGO112" s="769"/>
      <c r="IGP112" s="769"/>
      <c r="IGQ112" s="769"/>
      <c r="IGR112" s="769"/>
      <c r="IGS112" s="769"/>
      <c r="IGT112" s="769"/>
      <c r="IGU112" s="769"/>
      <c r="IGV112" s="769"/>
      <c r="IGW112" s="769"/>
      <c r="IGX112" s="769"/>
      <c r="IGY112" s="769"/>
      <c r="IGZ112" s="769"/>
      <c r="IHA112" s="769"/>
      <c r="IHB112" s="769"/>
      <c r="IHC112" s="769"/>
      <c r="IHD112" s="769"/>
      <c r="IHE112" s="769"/>
      <c r="IHF112" s="769"/>
      <c r="IHG112" s="769"/>
      <c r="IHH112" s="769"/>
      <c r="IHI112" s="769"/>
      <c r="IHJ112" s="769"/>
      <c r="IHK112" s="769"/>
      <c r="IHL112" s="769"/>
      <c r="IHM112" s="769"/>
      <c r="IHN112" s="769"/>
      <c r="IHO112" s="769"/>
      <c r="IHP112" s="769"/>
      <c r="IHQ112" s="769"/>
      <c r="IHR112" s="769"/>
      <c r="IHS112" s="769"/>
      <c r="IHT112" s="769"/>
      <c r="IHU112" s="769"/>
      <c r="IHV112" s="769"/>
      <c r="IHW112" s="769"/>
      <c r="IHX112" s="769"/>
      <c r="IHY112" s="769"/>
      <c r="IHZ112" s="769"/>
      <c r="IIA112" s="769"/>
      <c r="IIB112" s="769"/>
      <c r="IIC112" s="769"/>
      <c r="IID112" s="769"/>
      <c r="IIE112" s="769"/>
      <c r="IIF112" s="769"/>
      <c r="IIG112" s="769"/>
      <c r="IIH112" s="769"/>
      <c r="III112" s="769"/>
      <c r="IIJ112" s="769"/>
      <c r="IIK112" s="769"/>
      <c r="IIL112" s="769"/>
      <c r="IIM112" s="769"/>
      <c r="IIN112" s="769"/>
      <c r="IIO112" s="769"/>
      <c r="IIP112" s="769"/>
      <c r="IIQ112" s="769"/>
      <c r="IIR112" s="769"/>
      <c r="IIS112" s="769"/>
      <c r="IIT112" s="769"/>
      <c r="IIU112" s="769"/>
      <c r="IIV112" s="769"/>
      <c r="IIW112" s="769"/>
      <c r="IIX112" s="769"/>
      <c r="IIY112" s="769"/>
      <c r="IIZ112" s="769"/>
      <c r="IJA112" s="769"/>
      <c r="IJB112" s="769"/>
      <c r="IJC112" s="769"/>
      <c r="IJD112" s="769"/>
      <c r="IJE112" s="769"/>
      <c r="IJF112" s="769"/>
      <c r="IJG112" s="769"/>
      <c r="IJH112" s="769"/>
      <c r="IJI112" s="769"/>
      <c r="IJJ112" s="769"/>
      <c r="IJK112" s="769"/>
      <c r="IJL112" s="769"/>
      <c r="IJM112" s="769"/>
      <c r="IJN112" s="769"/>
      <c r="IJO112" s="769"/>
      <c r="IJP112" s="769"/>
      <c r="IJQ112" s="769"/>
      <c r="IJR112" s="769"/>
      <c r="IJS112" s="769"/>
      <c r="IJT112" s="769"/>
      <c r="IJU112" s="769"/>
      <c r="IJV112" s="769"/>
      <c r="IJW112" s="769"/>
      <c r="IJX112" s="769"/>
      <c r="IJY112" s="769"/>
      <c r="IJZ112" s="769"/>
      <c r="IKA112" s="769"/>
      <c r="IKB112" s="769"/>
      <c r="IKC112" s="769"/>
      <c r="IKD112" s="769"/>
      <c r="IKE112" s="769"/>
      <c r="IKF112" s="769"/>
      <c r="IKG112" s="769"/>
      <c r="IKH112" s="769"/>
      <c r="IKI112" s="769"/>
      <c r="IKJ112" s="769"/>
      <c r="IKK112" s="769"/>
      <c r="IKL112" s="769"/>
      <c r="IKM112" s="769"/>
      <c r="IKN112" s="769"/>
      <c r="IKO112" s="769"/>
      <c r="IKP112" s="769"/>
      <c r="IKQ112" s="769"/>
      <c r="IKR112" s="769"/>
      <c r="IKS112" s="769"/>
      <c r="IKT112" s="769"/>
      <c r="IKU112" s="769"/>
      <c r="IKV112" s="769"/>
      <c r="IKW112" s="769"/>
      <c r="IKX112" s="769"/>
      <c r="IKY112" s="769"/>
      <c r="IKZ112" s="769"/>
      <c r="ILA112" s="769"/>
      <c r="ILB112" s="769"/>
      <c r="ILC112" s="769"/>
      <c r="ILD112" s="769"/>
      <c r="ILE112" s="769"/>
      <c r="ILF112" s="769"/>
      <c r="ILG112" s="769"/>
      <c r="ILH112" s="769"/>
      <c r="ILI112" s="769"/>
      <c r="ILJ112" s="769"/>
      <c r="ILK112" s="769"/>
      <c r="ILL112" s="769"/>
      <c r="ILM112" s="769"/>
      <c r="ILN112" s="769"/>
      <c r="ILO112" s="769"/>
      <c r="ILP112" s="769"/>
      <c r="ILQ112" s="769"/>
      <c r="ILR112" s="769"/>
      <c r="ILS112" s="769"/>
      <c r="ILT112" s="769"/>
      <c r="ILU112" s="769"/>
      <c r="ILV112" s="769"/>
      <c r="ILW112" s="769"/>
      <c r="ILX112" s="769"/>
      <c r="ILY112" s="769"/>
      <c r="ILZ112" s="769"/>
      <c r="IMA112" s="769"/>
      <c r="IMB112" s="769"/>
      <c r="IMC112" s="769"/>
      <c r="IMD112" s="769"/>
      <c r="IME112" s="769"/>
      <c r="IMF112" s="769"/>
      <c r="IMG112" s="769"/>
      <c r="IMH112" s="769"/>
      <c r="IMI112" s="769"/>
      <c r="IMJ112" s="769"/>
      <c r="IMK112" s="769"/>
      <c r="IML112" s="769"/>
      <c r="IMM112" s="769"/>
      <c r="IMN112" s="769"/>
      <c r="IMO112" s="769"/>
      <c r="IMP112" s="769"/>
      <c r="IMQ112" s="769"/>
      <c r="IMR112" s="769"/>
      <c r="IMS112" s="769"/>
      <c r="IMT112" s="769"/>
      <c r="IMU112" s="769"/>
      <c r="IMV112" s="769"/>
      <c r="IMW112" s="769"/>
      <c r="IMX112" s="769"/>
      <c r="IMY112" s="769"/>
      <c r="IMZ112" s="769"/>
      <c r="INA112" s="769"/>
      <c r="INB112" s="769"/>
      <c r="INC112" s="769"/>
      <c r="IND112" s="769"/>
      <c r="INE112" s="769"/>
      <c r="INF112" s="769"/>
      <c r="ING112" s="769"/>
      <c r="INH112" s="769"/>
      <c r="INI112" s="769"/>
      <c r="INJ112" s="769"/>
      <c r="INK112" s="769"/>
      <c r="INL112" s="769"/>
      <c r="INM112" s="769"/>
      <c r="INN112" s="769"/>
      <c r="INO112" s="769"/>
      <c r="INP112" s="769"/>
      <c r="INQ112" s="769"/>
      <c r="INR112" s="769"/>
      <c r="INS112" s="769"/>
      <c r="INT112" s="769"/>
      <c r="INU112" s="769"/>
      <c r="INV112" s="769"/>
      <c r="INW112" s="769"/>
      <c r="INX112" s="769"/>
      <c r="INY112" s="769"/>
      <c r="INZ112" s="769"/>
      <c r="IOA112" s="769"/>
      <c r="IOB112" s="769"/>
      <c r="IOC112" s="769"/>
      <c r="IOD112" s="769"/>
      <c r="IOE112" s="769"/>
      <c r="IOF112" s="769"/>
      <c r="IOG112" s="769"/>
      <c r="IOH112" s="769"/>
      <c r="IOI112" s="769"/>
      <c r="IOJ112" s="769"/>
      <c r="IOK112" s="769"/>
      <c r="IOL112" s="769"/>
      <c r="IOM112" s="769"/>
      <c r="ION112" s="769"/>
      <c r="IOO112" s="769"/>
      <c r="IOP112" s="769"/>
      <c r="IOQ112" s="769"/>
      <c r="IOR112" s="769"/>
      <c r="IOS112" s="769"/>
      <c r="IOT112" s="769"/>
      <c r="IOU112" s="769"/>
      <c r="IOV112" s="769"/>
      <c r="IOW112" s="769"/>
      <c r="IOX112" s="769"/>
      <c r="IOY112" s="769"/>
      <c r="IOZ112" s="769"/>
      <c r="IPA112" s="769"/>
      <c r="IPB112" s="769"/>
      <c r="IPC112" s="769"/>
      <c r="IPD112" s="769"/>
      <c r="IPE112" s="769"/>
      <c r="IPF112" s="769"/>
      <c r="IPG112" s="769"/>
      <c r="IPH112" s="769"/>
      <c r="IPI112" s="769"/>
      <c r="IPJ112" s="769"/>
      <c r="IPK112" s="769"/>
      <c r="IPL112" s="769"/>
      <c r="IPM112" s="769"/>
      <c r="IPN112" s="769"/>
      <c r="IPO112" s="769"/>
      <c r="IPP112" s="769"/>
      <c r="IPQ112" s="769"/>
      <c r="IPR112" s="769"/>
      <c r="IPS112" s="769"/>
      <c r="IPT112" s="769"/>
      <c r="IPU112" s="769"/>
      <c r="IPV112" s="769"/>
      <c r="IPW112" s="769"/>
      <c r="IPX112" s="769"/>
      <c r="IPY112" s="769"/>
      <c r="IPZ112" s="769"/>
      <c r="IQA112" s="769"/>
      <c r="IQB112" s="769"/>
      <c r="IQC112" s="769"/>
      <c r="IQD112" s="769"/>
      <c r="IQE112" s="769"/>
      <c r="IQF112" s="769"/>
      <c r="IQG112" s="769"/>
      <c r="IQH112" s="769"/>
      <c r="IQI112" s="769"/>
      <c r="IQJ112" s="769"/>
      <c r="IQK112" s="769"/>
      <c r="IQL112" s="769"/>
      <c r="IQM112" s="769"/>
      <c r="IQN112" s="769"/>
      <c r="IQO112" s="769"/>
      <c r="IQP112" s="769"/>
      <c r="IQQ112" s="769"/>
      <c r="IQR112" s="769"/>
      <c r="IQS112" s="769"/>
      <c r="IQT112" s="769"/>
      <c r="IQU112" s="769"/>
      <c r="IQV112" s="769"/>
      <c r="IQW112" s="769"/>
      <c r="IQX112" s="769"/>
      <c r="IQY112" s="769"/>
      <c r="IQZ112" s="769"/>
      <c r="IRA112" s="769"/>
      <c r="IRB112" s="769"/>
      <c r="IRC112" s="769"/>
      <c r="IRD112" s="769"/>
      <c r="IRE112" s="769"/>
      <c r="IRF112" s="769"/>
      <c r="IRG112" s="769"/>
      <c r="IRH112" s="769"/>
      <c r="IRI112" s="769"/>
      <c r="IRJ112" s="769"/>
      <c r="IRK112" s="769"/>
      <c r="IRL112" s="769"/>
      <c r="IRM112" s="769"/>
      <c r="IRN112" s="769"/>
      <c r="IRO112" s="769"/>
      <c r="IRP112" s="769"/>
      <c r="IRQ112" s="769"/>
      <c r="IRR112" s="769"/>
      <c r="IRS112" s="769"/>
      <c r="IRT112" s="769"/>
      <c r="IRU112" s="769"/>
      <c r="IRV112" s="769"/>
      <c r="IRW112" s="769"/>
      <c r="IRX112" s="769"/>
      <c r="IRY112" s="769"/>
      <c r="IRZ112" s="769"/>
      <c r="ISA112" s="769"/>
      <c r="ISB112" s="769"/>
      <c r="ISC112" s="769"/>
      <c r="ISD112" s="769"/>
      <c r="ISE112" s="769"/>
      <c r="ISF112" s="769"/>
      <c r="ISG112" s="769"/>
      <c r="ISH112" s="769"/>
      <c r="ISI112" s="769"/>
      <c r="ISJ112" s="769"/>
      <c r="ISK112" s="769"/>
      <c r="ISL112" s="769"/>
      <c r="ISM112" s="769"/>
      <c r="ISN112" s="769"/>
      <c r="ISO112" s="769"/>
      <c r="ISP112" s="769"/>
      <c r="ISQ112" s="769"/>
      <c r="ISR112" s="769"/>
      <c r="ISS112" s="769"/>
      <c r="IST112" s="769"/>
      <c r="ISU112" s="769"/>
      <c r="ISV112" s="769"/>
      <c r="ISW112" s="769"/>
      <c r="ISX112" s="769"/>
      <c r="ISY112" s="769"/>
      <c r="ISZ112" s="769"/>
      <c r="ITA112" s="769"/>
      <c r="ITB112" s="769"/>
      <c r="ITC112" s="769"/>
      <c r="ITD112" s="769"/>
      <c r="ITE112" s="769"/>
      <c r="ITF112" s="769"/>
      <c r="ITG112" s="769"/>
      <c r="ITH112" s="769"/>
      <c r="ITI112" s="769"/>
      <c r="ITJ112" s="769"/>
      <c r="ITK112" s="769"/>
      <c r="ITL112" s="769"/>
      <c r="ITM112" s="769"/>
      <c r="ITN112" s="769"/>
      <c r="ITO112" s="769"/>
      <c r="ITP112" s="769"/>
      <c r="ITQ112" s="769"/>
      <c r="ITR112" s="769"/>
      <c r="ITS112" s="769"/>
      <c r="ITT112" s="769"/>
      <c r="ITU112" s="769"/>
      <c r="ITV112" s="769"/>
      <c r="ITW112" s="769"/>
      <c r="ITX112" s="769"/>
      <c r="ITY112" s="769"/>
      <c r="ITZ112" s="769"/>
      <c r="IUA112" s="769"/>
      <c r="IUB112" s="769"/>
      <c r="IUC112" s="769"/>
      <c r="IUD112" s="769"/>
      <c r="IUE112" s="769"/>
      <c r="IUF112" s="769"/>
      <c r="IUG112" s="769"/>
      <c r="IUH112" s="769"/>
      <c r="IUI112" s="769"/>
      <c r="IUJ112" s="769"/>
      <c r="IUK112" s="769"/>
      <c r="IUL112" s="769"/>
      <c r="IUM112" s="769"/>
      <c r="IUN112" s="769"/>
      <c r="IUO112" s="769"/>
      <c r="IUP112" s="769"/>
      <c r="IUQ112" s="769"/>
      <c r="IUR112" s="769"/>
      <c r="IUS112" s="769"/>
      <c r="IUT112" s="769"/>
      <c r="IUU112" s="769"/>
      <c r="IUV112" s="769"/>
      <c r="IUW112" s="769"/>
      <c r="IUX112" s="769"/>
      <c r="IUY112" s="769"/>
      <c r="IUZ112" s="769"/>
      <c r="IVA112" s="769"/>
      <c r="IVB112" s="769"/>
      <c r="IVC112" s="769"/>
      <c r="IVD112" s="769"/>
      <c r="IVE112" s="769"/>
      <c r="IVF112" s="769"/>
      <c r="IVG112" s="769"/>
      <c r="IVH112" s="769"/>
      <c r="IVI112" s="769"/>
      <c r="IVJ112" s="769"/>
      <c r="IVK112" s="769"/>
      <c r="IVL112" s="769"/>
      <c r="IVM112" s="769"/>
      <c r="IVN112" s="769"/>
      <c r="IVO112" s="769"/>
      <c r="IVP112" s="769"/>
      <c r="IVQ112" s="769"/>
      <c r="IVR112" s="769"/>
      <c r="IVS112" s="769"/>
      <c r="IVT112" s="769"/>
      <c r="IVU112" s="769"/>
      <c r="IVV112" s="769"/>
      <c r="IVW112" s="769"/>
      <c r="IVX112" s="769"/>
      <c r="IVY112" s="769"/>
      <c r="IVZ112" s="769"/>
      <c r="IWA112" s="769"/>
      <c r="IWB112" s="769"/>
      <c r="IWC112" s="769"/>
      <c r="IWD112" s="769"/>
      <c r="IWE112" s="769"/>
      <c r="IWF112" s="769"/>
      <c r="IWG112" s="769"/>
      <c r="IWH112" s="769"/>
      <c r="IWI112" s="769"/>
      <c r="IWJ112" s="769"/>
      <c r="IWK112" s="769"/>
      <c r="IWL112" s="769"/>
      <c r="IWM112" s="769"/>
      <c r="IWN112" s="769"/>
      <c r="IWO112" s="769"/>
      <c r="IWP112" s="769"/>
      <c r="IWQ112" s="769"/>
      <c r="IWR112" s="769"/>
      <c r="IWS112" s="769"/>
      <c r="IWT112" s="769"/>
      <c r="IWU112" s="769"/>
      <c r="IWV112" s="769"/>
      <c r="IWW112" s="769"/>
      <c r="IWX112" s="769"/>
      <c r="IWY112" s="769"/>
      <c r="IWZ112" s="769"/>
      <c r="IXA112" s="769"/>
      <c r="IXB112" s="769"/>
      <c r="IXC112" s="769"/>
      <c r="IXD112" s="769"/>
      <c r="IXE112" s="769"/>
      <c r="IXF112" s="769"/>
      <c r="IXG112" s="769"/>
      <c r="IXH112" s="769"/>
      <c r="IXI112" s="769"/>
      <c r="IXJ112" s="769"/>
      <c r="IXK112" s="769"/>
      <c r="IXL112" s="769"/>
      <c r="IXM112" s="769"/>
      <c r="IXN112" s="769"/>
      <c r="IXO112" s="769"/>
      <c r="IXP112" s="769"/>
      <c r="IXQ112" s="769"/>
      <c r="IXR112" s="769"/>
      <c r="IXS112" s="769"/>
      <c r="IXT112" s="769"/>
      <c r="IXU112" s="769"/>
      <c r="IXV112" s="769"/>
      <c r="IXW112" s="769"/>
      <c r="IXX112" s="769"/>
      <c r="IXY112" s="769"/>
      <c r="IXZ112" s="769"/>
      <c r="IYA112" s="769"/>
      <c r="IYB112" s="769"/>
      <c r="IYC112" s="769"/>
      <c r="IYD112" s="769"/>
      <c r="IYE112" s="769"/>
      <c r="IYF112" s="769"/>
      <c r="IYG112" s="769"/>
      <c r="IYH112" s="769"/>
      <c r="IYI112" s="769"/>
      <c r="IYJ112" s="769"/>
      <c r="IYK112" s="769"/>
      <c r="IYL112" s="769"/>
      <c r="IYM112" s="769"/>
      <c r="IYN112" s="769"/>
      <c r="IYO112" s="769"/>
      <c r="IYP112" s="769"/>
      <c r="IYQ112" s="769"/>
      <c r="IYR112" s="769"/>
      <c r="IYS112" s="769"/>
      <c r="IYT112" s="769"/>
      <c r="IYU112" s="769"/>
      <c r="IYV112" s="769"/>
      <c r="IYW112" s="769"/>
      <c r="IYX112" s="769"/>
      <c r="IYY112" s="769"/>
      <c r="IYZ112" s="769"/>
      <c r="IZA112" s="769"/>
      <c r="IZB112" s="769"/>
      <c r="IZC112" s="769"/>
      <c r="IZD112" s="769"/>
      <c r="IZE112" s="769"/>
      <c r="IZF112" s="769"/>
      <c r="IZG112" s="769"/>
      <c r="IZH112" s="769"/>
      <c r="IZI112" s="769"/>
      <c r="IZJ112" s="769"/>
      <c r="IZK112" s="769"/>
      <c r="IZL112" s="769"/>
      <c r="IZM112" s="769"/>
      <c r="IZN112" s="769"/>
      <c r="IZO112" s="769"/>
      <c r="IZP112" s="769"/>
      <c r="IZQ112" s="769"/>
      <c r="IZR112" s="769"/>
      <c r="IZS112" s="769"/>
      <c r="IZT112" s="769"/>
      <c r="IZU112" s="769"/>
      <c r="IZV112" s="769"/>
      <c r="IZW112" s="769"/>
      <c r="IZX112" s="769"/>
      <c r="IZY112" s="769"/>
      <c r="IZZ112" s="769"/>
      <c r="JAA112" s="769"/>
      <c r="JAB112" s="769"/>
      <c r="JAC112" s="769"/>
      <c r="JAD112" s="769"/>
      <c r="JAE112" s="769"/>
      <c r="JAF112" s="769"/>
      <c r="JAG112" s="769"/>
      <c r="JAH112" s="769"/>
      <c r="JAI112" s="769"/>
      <c r="JAJ112" s="769"/>
      <c r="JAK112" s="769"/>
      <c r="JAL112" s="769"/>
      <c r="JAM112" s="769"/>
      <c r="JAN112" s="769"/>
      <c r="JAO112" s="769"/>
      <c r="JAP112" s="769"/>
      <c r="JAQ112" s="769"/>
      <c r="JAR112" s="769"/>
      <c r="JAS112" s="769"/>
      <c r="JAT112" s="769"/>
      <c r="JAU112" s="769"/>
      <c r="JAV112" s="769"/>
      <c r="JAW112" s="769"/>
      <c r="JAX112" s="769"/>
      <c r="JAY112" s="769"/>
      <c r="JAZ112" s="769"/>
      <c r="JBA112" s="769"/>
      <c r="JBB112" s="769"/>
      <c r="JBC112" s="769"/>
      <c r="JBD112" s="769"/>
      <c r="JBE112" s="769"/>
      <c r="JBF112" s="769"/>
      <c r="JBG112" s="769"/>
      <c r="JBH112" s="769"/>
      <c r="JBI112" s="769"/>
      <c r="JBJ112" s="769"/>
      <c r="JBK112" s="769"/>
      <c r="JBL112" s="769"/>
      <c r="JBM112" s="769"/>
      <c r="JBN112" s="769"/>
      <c r="JBO112" s="769"/>
      <c r="JBP112" s="769"/>
      <c r="JBQ112" s="769"/>
      <c r="JBR112" s="769"/>
      <c r="JBS112" s="769"/>
      <c r="JBT112" s="769"/>
      <c r="JBU112" s="769"/>
      <c r="JBV112" s="769"/>
      <c r="JBW112" s="769"/>
      <c r="JBX112" s="769"/>
      <c r="JBY112" s="769"/>
      <c r="JBZ112" s="769"/>
      <c r="JCA112" s="769"/>
      <c r="JCB112" s="769"/>
      <c r="JCC112" s="769"/>
      <c r="JCD112" s="769"/>
      <c r="JCE112" s="769"/>
      <c r="JCF112" s="769"/>
      <c r="JCG112" s="769"/>
      <c r="JCH112" s="769"/>
      <c r="JCI112" s="769"/>
      <c r="JCJ112" s="769"/>
      <c r="JCK112" s="769"/>
      <c r="JCL112" s="769"/>
      <c r="JCM112" s="769"/>
      <c r="JCN112" s="769"/>
      <c r="JCO112" s="769"/>
      <c r="JCP112" s="769"/>
      <c r="JCQ112" s="769"/>
      <c r="JCR112" s="769"/>
      <c r="JCS112" s="769"/>
      <c r="JCT112" s="769"/>
      <c r="JCU112" s="769"/>
      <c r="JCV112" s="769"/>
      <c r="JCW112" s="769"/>
      <c r="JCX112" s="769"/>
      <c r="JCY112" s="769"/>
      <c r="JCZ112" s="769"/>
      <c r="JDA112" s="769"/>
      <c r="JDB112" s="769"/>
      <c r="JDC112" s="769"/>
      <c r="JDD112" s="769"/>
      <c r="JDE112" s="769"/>
      <c r="JDF112" s="769"/>
      <c r="JDG112" s="769"/>
      <c r="JDH112" s="769"/>
      <c r="JDI112" s="769"/>
      <c r="JDJ112" s="769"/>
      <c r="JDK112" s="769"/>
      <c r="JDL112" s="769"/>
      <c r="JDM112" s="769"/>
      <c r="JDN112" s="769"/>
      <c r="JDO112" s="769"/>
      <c r="JDP112" s="769"/>
      <c r="JDQ112" s="769"/>
      <c r="JDR112" s="769"/>
      <c r="JDS112" s="769"/>
      <c r="JDT112" s="769"/>
      <c r="JDU112" s="769"/>
      <c r="JDV112" s="769"/>
      <c r="JDW112" s="769"/>
      <c r="JDX112" s="769"/>
      <c r="JDY112" s="769"/>
      <c r="JDZ112" s="769"/>
      <c r="JEA112" s="769"/>
      <c r="JEB112" s="769"/>
      <c r="JEC112" s="769"/>
      <c r="JED112" s="769"/>
      <c r="JEE112" s="769"/>
      <c r="JEF112" s="769"/>
      <c r="JEG112" s="769"/>
      <c r="JEH112" s="769"/>
      <c r="JEI112" s="769"/>
      <c r="JEJ112" s="769"/>
      <c r="JEK112" s="769"/>
      <c r="JEL112" s="769"/>
      <c r="JEM112" s="769"/>
      <c r="JEN112" s="769"/>
      <c r="JEO112" s="769"/>
      <c r="JEP112" s="769"/>
      <c r="JEQ112" s="769"/>
      <c r="JER112" s="769"/>
      <c r="JES112" s="769"/>
      <c r="JET112" s="769"/>
      <c r="JEU112" s="769"/>
      <c r="JEV112" s="769"/>
      <c r="JEW112" s="769"/>
      <c r="JEX112" s="769"/>
      <c r="JEY112" s="769"/>
      <c r="JEZ112" s="769"/>
      <c r="JFA112" s="769"/>
      <c r="JFB112" s="769"/>
      <c r="JFC112" s="769"/>
      <c r="JFD112" s="769"/>
      <c r="JFE112" s="769"/>
      <c r="JFF112" s="769"/>
      <c r="JFG112" s="769"/>
      <c r="JFH112" s="769"/>
      <c r="JFI112" s="769"/>
      <c r="JFJ112" s="769"/>
      <c r="JFK112" s="769"/>
      <c r="JFL112" s="769"/>
      <c r="JFM112" s="769"/>
      <c r="JFN112" s="769"/>
      <c r="JFO112" s="769"/>
      <c r="JFP112" s="769"/>
      <c r="JFQ112" s="769"/>
      <c r="JFR112" s="769"/>
      <c r="JFS112" s="769"/>
      <c r="JFT112" s="769"/>
      <c r="JFU112" s="769"/>
      <c r="JFV112" s="769"/>
      <c r="JFW112" s="769"/>
      <c r="JFX112" s="769"/>
      <c r="JFY112" s="769"/>
      <c r="JFZ112" s="769"/>
      <c r="JGA112" s="769"/>
      <c r="JGB112" s="769"/>
      <c r="JGC112" s="769"/>
      <c r="JGD112" s="769"/>
      <c r="JGE112" s="769"/>
      <c r="JGF112" s="769"/>
      <c r="JGG112" s="769"/>
      <c r="JGH112" s="769"/>
      <c r="JGI112" s="769"/>
      <c r="JGJ112" s="769"/>
      <c r="JGK112" s="769"/>
      <c r="JGL112" s="769"/>
      <c r="JGM112" s="769"/>
      <c r="JGN112" s="769"/>
      <c r="JGO112" s="769"/>
      <c r="JGP112" s="769"/>
      <c r="JGQ112" s="769"/>
      <c r="JGR112" s="769"/>
      <c r="JGS112" s="769"/>
      <c r="JGT112" s="769"/>
      <c r="JGU112" s="769"/>
      <c r="JGV112" s="769"/>
      <c r="JGW112" s="769"/>
      <c r="JGX112" s="769"/>
      <c r="JGY112" s="769"/>
      <c r="JGZ112" s="769"/>
      <c r="JHA112" s="769"/>
      <c r="JHB112" s="769"/>
      <c r="JHC112" s="769"/>
      <c r="JHD112" s="769"/>
      <c r="JHE112" s="769"/>
      <c r="JHF112" s="769"/>
      <c r="JHG112" s="769"/>
      <c r="JHH112" s="769"/>
      <c r="JHI112" s="769"/>
      <c r="JHJ112" s="769"/>
      <c r="JHK112" s="769"/>
      <c r="JHL112" s="769"/>
      <c r="JHM112" s="769"/>
      <c r="JHN112" s="769"/>
      <c r="JHO112" s="769"/>
      <c r="JHP112" s="769"/>
      <c r="JHQ112" s="769"/>
      <c r="JHR112" s="769"/>
      <c r="JHS112" s="769"/>
      <c r="JHT112" s="769"/>
      <c r="JHU112" s="769"/>
      <c r="JHV112" s="769"/>
      <c r="JHW112" s="769"/>
      <c r="JHX112" s="769"/>
      <c r="JHY112" s="769"/>
      <c r="JHZ112" s="769"/>
      <c r="JIA112" s="769"/>
      <c r="JIB112" s="769"/>
      <c r="JIC112" s="769"/>
      <c r="JID112" s="769"/>
      <c r="JIE112" s="769"/>
      <c r="JIF112" s="769"/>
      <c r="JIG112" s="769"/>
      <c r="JIH112" s="769"/>
      <c r="JII112" s="769"/>
      <c r="JIJ112" s="769"/>
      <c r="JIK112" s="769"/>
      <c r="JIL112" s="769"/>
      <c r="JIM112" s="769"/>
      <c r="JIN112" s="769"/>
      <c r="JIO112" s="769"/>
      <c r="JIP112" s="769"/>
      <c r="JIQ112" s="769"/>
      <c r="JIR112" s="769"/>
      <c r="JIS112" s="769"/>
      <c r="JIT112" s="769"/>
      <c r="JIU112" s="769"/>
      <c r="JIV112" s="769"/>
      <c r="JIW112" s="769"/>
      <c r="JIX112" s="769"/>
      <c r="JIY112" s="769"/>
      <c r="JIZ112" s="769"/>
      <c r="JJA112" s="769"/>
      <c r="JJB112" s="769"/>
      <c r="JJC112" s="769"/>
      <c r="JJD112" s="769"/>
      <c r="JJE112" s="769"/>
      <c r="JJF112" s="769"/>
      <c r="JJG112" s="769"/>
      <c r="JJH112" s="769"/>
      <c r="JJI112" s="769"/>
      <c r="JJJ112" s="769"/>
      <c r="JJK112" s="769"/>
      <c r="JJL112" s="769"/>
      <c r="JJM112" s="769"/>
      <c r="JJN112" s="769"/>
      <c r="JJO112" s="769"/>
      <c r="JJP112" s="769"/>
      <c r="JJQ112" s="769"/>
      <c r="JJR112" s="769"/>
      <c r="JJS112" s="769"/>
      <c r="JJT112" s="769"/>
      <c r="JJU112" s="769"/>
      <c r="JJV112" s="769"/>
      <c r="JJW112" s="769"/>
      <c r="JJX112" s="769"/>
      <c r="JJY112" s="769"/>
      <c r="JJZ112" s="769"/>
      <c r="JKA112" s="769"/>
      <c r="JKB112" s="769"/>
      <c r="JKC112" s="769"/>
      <c r="JKD112" s="769"/>
      <c r="JKE112" s="769"/>
      <c r="JKF112" s="769"/>
      <c r="JKG112" s="769"/>
      <c r="JKH112" s="769"/>
      <c r="JKI112" s="769"/>
      <c r="JKJ112" s="769"/>
      <c r="JKK112" s="769"/>
      <c r="JKL112" s="769"/>
      <c r="JKM112" s="769"/>
      <c r="JKN112" s="769"/>
      <c r="JKO112" s="769"/>
      <c r="JKP112" s="769"/>
      <c r="JKQ112" s="769"/>
      <c r="JKR112" s="769"/>
      <c r="JKS112" s="769"/>
      <c r="JKT112" s="769"/>
      <c r="JKU112" s="769"/>
      <c r="JKV112" s="769"/>
      <c r="JKW112" s="769"/>
      <c r="JKX112" s="769"/>
      <c r="JKY112" s="769"/>
      <c r="JKZ112" s="769"/>
      <c r="JLA112" s="769"/>
      <c r="JLB112" s="769"/>
      <c r="JLC112" s="769"/>
      <c r="JLD112" s="769"/>
      <c r="JLE112" s="769"/>
      <c r="JLF112" s="769"/>
      <c r="JLG112" s="769"/>
      <c r="JLH112" s="769"/>
      <c r="JLI112" s="769"/>
      <c r="JLJ112" s="769"/>
      <c r="JLK112" s="769"/>
      <c r="JLL112" s="769"/>
      <c r="JLM112" s="769"/>
      <c r="JLN112" s="769"/>
      <c r="JLO112" s="769"/>
      <c r="JLP112" s="769"/>
      <c r="JLQ112" s="769"/>
      <c r="JLR112" s="769"/>
      <c r="JLS112" s="769"/>
      <c r="JLT112" s="769"/>
      <c r="JLU112" s="769"/>
      <c r="JLV112" s="769"/>
      <c r="JLW112" s="769"/>
      <c r="JLX112" s="769"/>
      <c r="JLY112" s="769"/>
      <c r="JLZ112" s="769"/>
      <c r="JMA112" s="769"/>
      <c r="JMB112" s="769"/>
      <c r="JMC112" s="769"/>
      <c r="JMD112" s="769"/>
      <c r="JME112" s="769"/>
      <c r="JMF112" s="769"/>
      <c r="JMG112" s="769"/>
      <c r="JMH112" s="769"/>
      <c r="JMI112" s="769"/>
      <c r="JMJ112" s="769"/>
      <c r="JMK112" s="769"/>
      <c r="JML112" s="769"/>
      <c r="JMM112" s="769"/>
      <c r="JMN112" s="769"/>
      <c r="JMO112" s="769"/>
      <c r="JMP112" s="769"/>
      <c r="JMQ112" s="769"/>
      <c r="JMR112" s="769"/>
      <c r="JMS112" s="769"/>
      <c r="JMT112" s="769"/>
      <c r="JMU112" s="769"/>
      <c r="JMV112" s="769"/>
      <c r="JMW112" s="769"/>
      <c r="JMX112" s="769"/>
      <c r="JMY112" s="769"/>
      <c r="JMZ112" s="769"/>
      <c r="JNA112" s="769"/>
      <c r="JNB112" s="769"/>
      <c r="JNC112" s="769"/>
      <c r="JND112" s="769"/>
      <c r="JNE112" s="769"/>
      <c r="JNF112" s="769"/>
      <c r="JNG112" s="769"/>
      <c r="JNH112" s="769"/>
      <c r="JNI112" s="769"/>
      <c r="JNJ112" s="769"/>
      <c r="JNK112" s="769"/>
      <c r="JNL112" s="769"/>
      <c r="JNM112" s="769"/>
      <c r="JNN112" s="769"/>
      <c r="JNO112" s="769"/>
      <c r="JNP112" s="769"/>
      <c r="JNQ112" s="769"/>
      <c r="JNR112" s="769"/>
      <c r="JNS112" s="769"/>
      <c r="JNT112" s="769"/>
      <c r="JNU112" s="769"/>
      <c r="JNV112" s="769"/>
      <c r="JNW112" s="769"/>
      <c r="JNX112" s="769"/>
      <c r="JNY112" s="769"/>
      <c r="JNZ112" s="769"/>
      <c r="JOA112" s="769"/>
      <c r="JOB112" s="769"/>
      <c r="JOC112" s="769"/>
      <c r="JOD112" s="769"/>
      <c r="JOE112" s="769"/>
      <c r="JOF112" s="769"/>
      <c r="JOG112" s="769"/>
      <c r="JOH112" s="769"/>
      <c r="JOI112" s="769"/>
      <c r="JOJ112" s="769"/>
      <c r="JOK112" s="769"/>
      <c r="JOL112" s="769"/>
      <c r="JOM112" s="769"/>
      <c r="JON112" s="769"/>
      <c r="JOO112" s="769"/>
      <c r="JOP112" s="769"/>
      <c r="JOQ112" s="769"/>
      <c r="JOR112" s="769"/>
      <c r="JOS112" s="769"/>
      <c r="JOT112" s="769"/>
      <c r="JOU112" s="769"/>
      <c r="JOV112" s="769"/>
      <c r="JOW112" s="769"/>
      <c r="JOX112" s="769"/>
      <c r="JOY112" s="769"/>
      <c r="JOZ112" s="769"/>
      <c r="JPA112" s="769"/>
      <c r="JPB112" s="769"/>
      <c r="JPC112" s="769"/>
      <c r="JPD112" s="769"/>
      <c r="JPE112" s="769"/>
      <c r="JPF112" s="769"/>
      <c r="JPG112" s="769"/>
      <c r="JPH112" s="769"/>
      <c r="JPI112" s="769"/>
      <c r="JPJ112" s="769"/>
      <c r="JPK112" s="769"/>
      <c r="JPL112" s="769"/>
      <c r="JPM112" s="769"/>
      <c r="JPN112" s="769"/>
      <c r="JPO112" s="769"/>
      <c r="JPP112" s="769"/>
      <c r="JPQ112" s="769"/>
      <c r="JPR112" s="769"/>
      <c r="JPS112" s="769"/>
      <c r="JPT112" s="769"/>
      <c r="JPU112" s="769"/>
      <c r="JPV112" s="769"/>
      <c r="JPW112" s="769"/>
      <c r="JPX112" s="769"/>
      <c r="JPY112" s="769"/>
      <c r="JPZ112" s="769"/>
      <c r="JQA112" s="769"/>
      <c r="JQB112" s="769"/>
      <c r="JQC112" s="769"/>
      <c r="JQD112" s="769"/>
      <c r="JQE112" s="769"/>
      <c r="JQF112" s="769"/>
      <c r="JQG112" s="769"/>
      <c r="JQH112" s="769"/>
      <c r="JQI112" s="769"/>
      <c r="JQJ112" s="769"/>
      <c r="JQK112" s="769"/>
      <c r="JQL112" s="769"/>
      <c r="JQM112" s="769"/>
      <c r="JQN112" s="769"/>
      <c r="JQO112" s="769"/>
      <c r="JQP112" s="769"/>
      <c r="JQQ112" s="769"/>
      <c r="JQR112" s="769"/>
      <c r="JQS112" s="769"/>
      <c r="JQT112" s="769"/>
      <c r="JQU112" s="769"/>
      <c r="JQV112" s="769"/>
      <c r="JQW112" s="769"/>
      <c r="JQX112" s="769"/>
      <c r="JQY112" s="769"/>
      <c r="JQZ112" s="769"/>
      <c r="JRA112" s="769"/>
      <c r="JRB112" s="769"/>
      <c r="JRC112" s="769"/>
      <c r="JRD112" s="769"/>
      <c r="JRE112" s="769"/>
      <c r="JRF112" s="769"/>
      <c r="JRG112" s="769"/>
      <c r="JRH112" s="769"/>
      <c r="JRI112" s="769"/>
      <c r="JRJ112" s="769"/>
      <c r="JRK112" s="769"/>
      <c r="JRL112" s="769"/>
      <c r="JRM112" s="769"/>
      <c r="JRN112" s="769"/>
      <c r="JRO112" s="769"/>
      <c r="JRP112" s="769"/>
      <c r="JRQ112" s="769"/>
      <c r="JRR112" s="769"/>
      <c r="JRS112" s="769"/>
      <c r="JRT112" s="769"/>
      <c r="JRU112" s="769"/>
      <c r="JRV112" s="769"/>
      <c r="JRW112" s="769"/>
      <c r="JRX112" s="769"/>
      <c r="JRY112" s="769"/>
      <c r="JRZ112" s="769"/>
      <c r="JSA112" s="769"/>
      <c r="JSB112" s="769"/>
      <c r="JSC112" s="769"/>
      <c r="JSD112" s="769"/>
      <c r="JSE112" s="769"/>
      <c r="JSF112" s="769"/>
      <c r="JSG112" s="769"/>
      <c r="JSH112" s="769"/>
      <c r="JSI112" s="769"/>
      <c r="JSJ112" s="769"/>
      <c r="JSK112" s="769"/>
      <c r="JSL112" s="769"/>
      <c r="JSM112" s="769"/>
      <c r="JSN112" s="769"/>
      <c r="JSO112" s="769"/>
      <c r="JSP112" s="769"/>
      <c r="JSQ112" s="769"/>
      <c r="JSR112" s="769"/>
      <c r="JSS112" s="769"/>
      <c r="JST112" s="769"/>
      <c r="JSU112" s="769"/>
      <c r="JSV112" s="769"/>
      <c r="JSW112" s="769"/>
      <c r="JSX112" s="769"/>
      <c r="JSY112" s="769"/>
      <c r="JSZ112" s="769"/>
      <c r="JTA112" s="769"/>
      <c r="JTB112" s="769"/>
      <c r="JTC112" s="769"/>
      <c r="JTD112" s="769"/>
      <c r="JTE112" s="769"/>
      <c r="JTF112" s="769"/>
      <c r="JTG112" s="769"/>
      <c r="JTH112" s="769"/>
      <c r="JTI112" s="769"/>
      <c r="JTJ112" s="769"/>
      <c r="JTK112" s="769"/>
      <c r="JTL112" s="769"/>
      <c r="JTM112" s="769"/>
      <c r="JTN112" s="769"/>
      <c r="JTO112" s="769"/>
      <c r="JTP112" s="769"/>
      <c r="JTQ112" s="769"/>
      <c r="JTR112" s="769"/>
      <c r="JTS112" s="769"/>
      <c r="JTT112" s="769"/>
      <c r="JTU112" s="769"/>
      <c r="JTV112" s="769"/>
      <c r="JTW112" s="769"/>
      <c r="JTX112" s="769"/>
      <c r="JTY112" s="769"/>
      <c r="JTZ112" s="769"/>
      <c r="JUA112" s="769"/>
      <c r="JUB112" s="769"/>
      <c r="JUC112" s="769"/>
      <c r="JUD112" s="769"/>
      <c r="JUE112" s="769"/>
      <c r="JUF112" s="769"/>
      <c r="JUG112" s="769"/>
      <c r="JUH112" s="769"/>
      <c r="JUI112" s="769"/>
      <c r="JUJ112" s="769"/>
      <c r="JUK112" s="769"/>
      <c r="JUL112" s="769"/>
      <c r="JUM112" s="769"/>
      <c r="JUN112" s="769"/>
      <c r="JUO112" s="769"/>
      <c r="JUP112" s="769"/>
      <c r="JUQ112" s="769"/>
      <c r="JUR112" s="769"/>
      <c r="JUS112" s="769"/>
      <c r="JUT112" s="769"/>
      <c r="JUU112" s="769"/>
      <c r="JUV112" s="769"/>
      <c r="JUW112" s="769"/>
      <c r="JUX112" s="769"/>
      <c r="JUY112" s="769"/>
      <c r="JUZ112" s="769"/>
      <c r="JVA112" s="769"/>
      <c r="JVB112" s="769"/>
      <c r="JVC112" s="769"/>
      <c r="JVD112" s="769"/>
      <c r="JVE112" s="769"/>
      <c r="JVF112" s="769"/>
      <c r="JVG112" s="769"/>
      <c r="JVH112" s="769"/>
      <c r="JVI112" s="769"/>
      <c r="JVJ112" s="769"/>
      <c r="JVK112" s="769"/>
      <c r="JVL112" s="769"/>
      <c r="JVM112" s="769"/>
      <c r="JVN112" s="769"/>
      <c r="JVO112" s="769"/>
      <c r="JVP112" s="769"/>
      <c r="JVQ112" s="769"/>
      <c r="JVR112" s="769"/>
      <c r="JVS112" s="769"/>
      <c r="JVT112" s="769"/>
      <c r="JVU112" s="769"/>
      <c r="JVV112" s="769"/>
      <c r="JVW112" s="769"/>
      <c r="JVX112" s="769"/>
      <c r="JVY112" s="769"/>
      <c r="JVZ112" s="769"/>
      <c r="JWA112" s="769"/>
      <c r="JWB112" s="769"/>
      <c r="JWC112" s="769"/>
      <c r="JWD112" s="769"/>
      <c r="JWE112" s="769"/>
      <c r="JWF112" s="769"/>
      <c r="JWG112" s="769"/>
      <c r="JWH112" s="769"/>
      <c r="JWI112" s="769"/>
      <c r="JWJ112" s="769"/>
      <c r="JWK112" s="769"/>
      <c r="JWL112" s="769"/>
      <c r="JWM112" s="769"/>
      <c r="JWN112" s="769"/>
      <c r="JWO112" s="769"/>
      <c r="JWP112" s="769"/>
      <c r="JWQ112" s="769"/>
      <c r="JWR112" s="769"/>
      <c r="JWS112" s="769"/>
      <c r="JWT112" s="769"/>
      <c r="JWU112" s="769"/>
      <c r="JWV112" s="769"/>
      <c r="JWW112" s="769"/>
      <c r="JWX112" s="769"/>
      <c r="JWY112" s="769"/>
      <c r="JWZ112" s="769"/>
      <c r="JXA112" s="769"/>
      <c r="JXB112" s="769"/>
      <c r="JXC112" s="769"/>
      <c r="JXD112" s="769"/>
      <c r="JXE112" s="769"/>
      <c r="JXF112" s="769"/>
      <c r="JXG112" s="769"/>
      <c r="JXH112" s="769"/>
      <c r="JXI112" s="769"/>
      <c r="JXJ112" s="769"/>
      <c r="JXK112" s="769"/>
      <c r="JXL112" s="769"/>
      <c r="JXM112" s="769"/>
      <c r="JXN112" s="769"/>
      <c r="JXO112" s="769"/>
      <c r="JXP112" s="769"/>
      <c r="JXQ112" s="769"/>
      <c r="JXR112" s="769"/>
      <c r="JXS112" s="769"/>
      <c r="JXT112" s="769"/>
      <c r="JXU112" s="769"/>
      <c r="JXV112" s="769"/>
      <c r="JXW112" s="769"/>
      <c r="JXX112" s="769"/>
      <c r="JXY112" s="769"/>
      <c r="JXZ112" s="769"/>
      <c r="JYA112" s="769"/>
      <c r="JYB112" s="769"/>
      <c r="JYC112" s="769"/>
      <c r="JYD112" s="769"/>
      <c r="JYE112" s="769"/>
      <c r="JYF112" s="769"/>
      <c r="JYG112" s="769"/>
      <c r="JYH112" s="769"/>
      <c r="JYI112" s="769"/>
      <c r="JYJ112" s="769"/>
      <c r="JYK112" s="769"/>
      <c r="JYL112" s="769"/>
      <c r="JYM112" s="769"/>
      <c r="JYN112" s="769"/>
      <c r="JYO112" s="769"/>
      <c r="JYP112" s="769"/>
      <c r="JYQ112" s="769"/>
      <c r="JYR112" s="769"/>
      <c r="JYS112" s="769"/>
      <c r="JYT112" s="769"/>
      <c r="JYU112" s="769"/>
      <c r="JYV112" s="769"/>
      <c r="JYW112" s="769"/>
      <c r="JYX112" s="769"/>
      <c r="JYY112" s="769"/>
      <c r="JYZ112" s="769"/>
      <c r="JZA112" s="769"/>
      <c r="JZB112" s="769"/>
      <c r="JZC112" s="769"/>
      <c r="JZD112" s="769"/>
      <c r="JZE112" s="769"/>
      <c r="JZF112" s="769"/>
      <c r="JZG112" s="769"/>
      <c r="JZH112" s="769"/>
      <c r="JZI112" s="769"/>
      <c r="JZJ112" s="769"/>
      <c r="JZK112" s="769"/>
      <c r="JZL112" s="769"/>
      <c r="JZM112" s="769"/>
      <c r="JZN112" s="769"/>
      <c r="JZO112" s="769"/>
      <c r="JZP112" s="769"/>
      <c r="JZQ112" s="769"/>
      <c r="JZR112" s="769"/>
      <c r="JZS112" s="769"/>
      <c r="JZT112" s="769"/>
      <c r="JZU112" s="769"/>
      <c r="JZV112" s="769"/>
      <c r="JZW112" s="769"/>
      <c r="JZX112" s="769"/>
      <c r="JZY112" s="769"/>
      <c r="JZZ112" s="769"/>
      <c r="KAA112" s="769"/>
      <c r="KAB112" s="769"/>
      <c r="KAC112" s="769"/>
      <c r="KAD112" s="769"/>
      <c r="KAE112" s="769"/>
      <c r="KAF112" s="769"/>
      <c r="KAG112" s="769"/>
      <c r="KAH112" s="769"/>
      <c r="KAI112" s="769"/>
      <c r="KAJ112" s="769"/>
      <c r="KAK112" s="769"/>
      <c r="KAL112" s="769"/>
      <c r="KAM112" s="769"/>
      <c r="KAN112" s="769"/>
      <c r="KAO112" s="769"/>
      <c r="KAP112" s="769"/>
      <c r="KAQ112" s="769"/>
      <c r="KAR112" s="769"/>
      <c r="KAS112" s="769"/>
      <c r="KAT112" s="769"/>
      <c r="KAU112" s="769"/>
      <c r="KAV112" s="769"/>
      <c r="KAW112" s="769"/>
      <c r="KAX112" s="769"/>
      <c r="KAY112" s="769"/>
      <c r="KAZ112" s="769"/>
      <c r="KBA112" s="769"/>
      <c r="KBB112" s="769"/>
      <c r="KBC112" s="769"/>
      <c r="KBD112" s="769"/>
      <c r="KBE112" s="769"/>
      <c r="KBF112" s="769"/>
      <c r="KBG112" s="769"/>
      <c r="KBH112" s="769"/>
      <c r="KBI112" s="769"/>
      <c r="KBJ112" s="769"/>
      <c r="KBK112" s="769"/>
      <c r="KBL112" s="769"/>
      <c r="KBM112" s="769"/>
      <c r="KBN112" s="769"/>
      <c r="KBO112" s="769"/>
      <c r="KBP112" s="769"/>
      <c r="KBQ112" s="769"/>
      <c r="KBR112" s="769"/>
      <c r="KBS112" s="769"/>
      <c r="KBT112" s="769"/>
      <c r="KBU112" s="769"/>
      <c r="KBV112" s="769"/>
      <c r="KBW112" s="769"/>
      <c r="KBX112" s="769"/>
      <c r="KBY112" s="769"/>
      <c r="KBZ112" s="769"/>
      <c r="KCA112" s="769"/>
      <c r="KCB112" s="769"/>
      <c r="KCC112" s="769"/>
      <c r="KCD112" s="769"/>
      <c r="KCE112" s="769"/>
      <c r="KCF112" s="769"/>
      <c r="KCG112" s="769"/>
      <c r="KCH112" s="769"/>
      <c r="KCI112" s="769"/>
      <c r="KCJ112" s="769"/>
      <c r="KCK112" s="769"/>
      <c r="KCL112" s="769"/>
      <c r="KCM112" s="769"/>
      <c r="KCN112" s="769"/>
      <c r="KCO112" s="769"/>
      <c r="KCP112" s="769"/>
      <c r="KCQ112" s="769"/>
      <c r="KCR112" s="769"/>
      <c r="KCS112" s="769"/>
      <c r="KCT112" s="769"/>
      <c r="KCU112" s="769"/>
      <c r="KCV112" s="769"/>
      <c r="KCW112" s="769"/>
      <c r="KCX112" s="769"/>
      <c r="KCY112" s="769"/>
      <c r="KCZ112" s="769"/>
      <c r="KDA112" s="769"/>
      <c r="KDB112" s="769"/>
      <c r="KDC112" s="769"/>
      <c r="KDD112" s="769"/>
      <c r="KDE112" s="769"/>
      <c r="KDF112" s="769"/>
      <c r="KDG112" s="769"/>
      <c r="KDH112" s="769"/>
      <c r="KDI112" s="769"/>
      <c r="KDJ112" s="769"/>
      <c r="KDK112" s="769"/>
      <c r="KDL112" s="769"/>
      <c r="KDM112" s="769"/>
      <c r="KDN112" s="769"/>
      <c r="KDO112" s="769"/>
      <c r="KDP112" s="769"/>
      <c r="KDQ112" s="769"/>
      <c r="KDR112" s="769"/>
      <c r="KDS112" s="769"/>
      <c r="KDT112" s="769"/>
      <c r="KDU112" s="769"/>
      <c r="KDV112" s="769"/>
      <c r="KDW112" s="769"/>
      <c r="KDX112" s="769"/>
      <c r="KDY112" s="769"/>
      <c r="KDZ112" s="769"/>
      <c r="KEA112" s="769"/>
      <c r="KEB112" s="769"/>
      <c r="KEC112" s="769"/>
      <c r="KED112" s="769"/>
      <c r="KEE112" s="769"/>
      <c r="KEF112" s="769"/>
      <c r="KEG112" s="769"/>
      <c r="KEH112" s="769"/>
      <c r="KEI112" s="769"/>
      <c r="KEJ112" s="769"/>
      <c r="KEK112" s="769"/>
      <c r="KEL112" s="769"/>
      <c r="KEM112" s="769"/>
      <c r="KEN112" s="769"/>
      <c r="KEO112" s="769"/>
      <c r="KEP112" s="769"/>
      <c r="KEQ112" s="769"/>
      <c r="KER112" s="769"/>
      <c r="KES112" s="769"/>
      <c r="KET112" s="769"/>
      <c r="KEU112" s="769"/>
      <c r="KEV112" s="769"/>
      <c r="KEW112" s="769"/>
      <c r="KEX112" s="769"/>
      <c r="KEY112" s="769"/>
      <c r="KEZ112" s="769"/>
      <c r="KFA112" s="769"/>
      <c r="KFB112" s="769"/>
      <c r="KFC112" s="769"/>
      <c r="KFD112" s="769"/>
      <c r="KFE112" s="769"/>
      <c r="KFF112" s="769"/>
      <c r="KFG112" s="769"/>
      <c r="KFH112" s="769"/>
      <c r="KFI112" s="769"/>
      <c r="KFJ112" s="769"/>
      <c r="KFK112" s="769"/>
      <c r="KFL112" s="769"/>
      <c r="KFM112" s="769"/>
      <c r="KFN112" s="769"/>
      <c r="KFO112" s="769"/>
      <c r="KFP112" s="769"/>
      <c r="KFQ112" s="769"/>
      <c r="KFR112" s="769"/>
      <c r="KFS112" s="769"/>
      <c r="KFT112" s="769"/>
      <c r="KFU112" s="769"/>
      <c r="KFV112" s="769"/>
      <c r="KFW112" s="769"/>
      <c r="KFX112" s="769"/>
      <c r="KFY112" s="769"/>
      <c r="KFZ112" s="769"/>
      <c r="KGA112" s="769"/>
      <c r="KGB112" s="769"/>
      <c r="KGC112" s="769"/>
      <c r="KGD112" s="769"/>
      <c r="KGE112" s="769"/>
      <c r="KGF112" s="769"/>
      <c r="KGG112" s="769"/>
      <c r="KGH112" s="769"/>
      <c r="KGI112" s="769"/>
      <c r="KGJ112" s="769"/>
      <c r="KGK112" s="769"/>
      <c r="KGL112" s="769"/>
      <c r="KGM112" s="769"/>
      <c r="KGN112" s="769"/>
      <c r="KGO112" s="769"/>
      <c r="KGP112" s="769"/>
      <c r="KGQ112" s="769"/>
      <c r="KGR112" s="769"/>
      <c r="KGS112" s="769"/>
      <c r="KGT112" s="769"/>
      <c r="KGU112" s="769"/>
      <c r="KGV112" s="769"/>
      <c r="KGW112" s="769"/>
      <c r="KGX112" s="769"/>
      <c r="KGY112" s="769"/>
      <c r="KGZ112" s="769"/>
      <c r="KHA112" s="769"/>
      <c r="KHB112" s="769"/>
      <c r="KHC112" s="769"/>
      <c r="KHD112" s="769"/>
      <c r="KHE112" s="769"/>
      <c r="KHF112" s="769"/>
      <c r="KHG112" s="769"/>
      <c r="KHH112" s="769"/>
      <c r="KHI112" s="769"/>
      <c r="KHJ112" s="769"/>
      <c r="KHK112" s="769"/>
      <c r="KHL112" s="769"/>
      <c r="KHM112" s="769"/>
      <c r="KHN112" s="769"/>
      <c r="KHO112" s="769"/>
      <c r="KHP112" s="769"/>
      <c r="KHQ112" s="769"/>
      <c r="KHR112" s="769"/>
      <c r="KHS112" s="769"/>
      <c r="KHT112" s="769"/>
      <c r="KHU112" s="769"/>
      <c r="KHV112" s="769"/>
      <c r="KHW112" s="769"/>
      <c r="KHX112" s="769"/>
      <c r="KHY112" s="769"/>
      <c r="KHZ112" s="769"/>
      <c r="KIA112" s="769"/>
      <c r="KIB112" s="769"/>
      <c r="KIC112" s="769"/>
      <c r="KID112" s="769"/>
      <c r="KIE112" s="769"/>
      <c r="KIF112" s="769"/>
      <c r="KIG112" s="769"/>
      <c r="KIH112" s="769"/>
      <c r="KII112" s="769"/>
      <c r="KIJ112" s="769"/>
      <c r="KIK112" s="769"/>
      <c r="KIL112" s="769"/>
      <c r="KIM112" s="769"/>
      <c r="KIN112" s="769"/>
      <c r="KIO112" s="769"/>
      <c r="KIP112" s="769"/>
      <c r="KIQ112" s="769"/>
      <c r="KIR112" s="769"/>
      <c r="KIS112" s="769"/>
      <c r="KIT112" s="769"/>
      <c r="KIU112" s="769"/>
      <c r="KIV112" s="769"/>
      <c r="KIW112" s="769"/>
      <c r="KIX112" s="769"/>
      <c r="KIY112" s="769"/>
      <c r="KIZ112" s="769"/>
      <c r="KJA112" s="769"/>
      <c r="KJB112" s="769"/>
      <c r="KJC112" s="769"/>
      <c r="KJD112" s="769"/>
      <c r="KJE112" s="769"/>
      <c r="KJF112" s="769"/>
      <c r="KJG112" s="769"/>
      <c r="KJH112" s="769"/>
      <c r="KJI112" s="769"/>
      <c r="KJJ112" s="769"/>
      <c r="KJK112" s="769"/>
      <c r="KJL112" s="769"/>
      <c r="KJM112" s="769"/>
      <c r="KJN112" s="769"/>
      <c r="KJO112" s="769"/>
      <c r="KJP112" s="769"/>
      <c r="KJQ112" s="769"/>
      <c r="KJR112" s="769"/>
      <c r="KJS112" s="769"/>
      <c r="KJT112" s="769"/>
      <c r="KJU112" s="769"/>
      <c r="KJV112" s="769"/>
      <c r="KJW112" s="769"/>
      <c r="KJX112" s="769"/>
      <c r="KJY112" s="769"/>
      <c r="KJZ112" s="769"/>
      <c r="KKA112" s="769"/>
      <c r="KKB112" s="769"/>
      <c r="KKC112" s="769"/>
      <c r="KKD112" s="769"/>
      <c r="KKE112" s="769"/>
      <c r="KKF112" s="769"/>
      <c r="KKG112" s="769"/>
      <c r="KKH112" s="769"/>
      <c r="KKI112" s="769"/>
      <c r="KKJ112" s="769"/>
      <c r="KKK112" s="769"/>
      <c r="KKL112" s="769"/>
      <c r="KKM112" s="769"/>
      <c r="KKN112" s="769"/>
      <c r="KKO112" s="769"/>
      <c r="KKP112" s="769"/>
      <c r="KKQ112" s="769"/>
      <c r="KKR112" s="769"/>
      <c r="KKS112" s="769"/>
      <c r="KKT112" s="769"/>
      <c r="KKU112" s="769"/>
      <c r="KKV112" s="769"/>
      <c r="KKW112" s="769"/>
      <c r="KKX112" s="769"/>
      <c r="KKY112" s="769"/>
      <c r="KKZ112" s="769"/>
      <c r="KLA112" s="769"/>
      <c r="KLB112" s="769"/>
      <c r="KLC112" s="769"/>
      <c r="KLD112" s="769"/>
      <c r="KLE112" s="769"/>
      <c r="KLF112" s="769"/>
      <c r="KLG112" s="769"/>
      <c r="KLH112" s="769"/>
      <c r="KLI112" s="769"/>
      <c r="KLJ112" s="769"/>
      <c r="KLK112" s="769"/>
      <c r="KLL112" s="769"/>
      <c r="KLM112" s="769"/>
      <c r="KLN112" s="769"/>
      <c r="KLO112" s="769"/>
      <c r="KLP112" s="769"/>
      <c r="KLQ112" s="769"/>
      <c r="KLR112" s="769"/>
      <c r="KLS112" s="769"/>
      <c r="KLT112" s="769"/>
      <c r="KLU112" s="769"/>
      <c r="KLV112" s="769"/>
      <c r="KLW112" s="769"/>
      <c r="KLX112" s="769"/>
      <c r="KLY112" s="769"/>
      <c r="KLZ112" s="769"/>
      <c r="KMA112" s="769"/>
      <c r="KMB112" s="769"/>
      <c r="KMC112" s="769"/>
      <c r="KMD112" s="769"/>
      <c r="KME112" s="769"/>
      <c r="KMF112" s="769"/>
      <c r="KMG112" s="769"/>
      <c r="KMH112" s="769"/>
      <c r="KMI112" s="769"/>
      <c r="KMJ112" s="769"/>
      <c r="KMK112" s="769"/>
      <c r="KML112" s="769"/>
      <c r="KMM112" s="769"/>
      <c r="KMN112" s="769"/>
      <c r="KMO112" s="769"/>
      <c r="KMP112" s="769"/>
      <c r="KMQ112" s="769"/>
      <c r="KMR112" s="769"/>
      <c r="KMS112" s="769"/>
      <c r="KMT112" s="769"/>
      <c r="KMU112" s="769"/>
      <c r="KMV112" s="769"/>
      <c r="KMW112" s="769"/>
      <c r="KMX112" s="769"/>
      <c r="KMY112" s="769"/>
      <c r="KMZ112" s="769"/>
      <c r="KNA112" s="769"/>
      <c r="KNB112" s="769"/>
      <c r="KNC112" s="769"/>
      <c r="KND112" s="769"/>
      <c r="KNE112" s="769"/>
      <c r="KNF112" s="769"/>
      <c r="KNG112" s="769"/>
      <c r="KNH112" s="769"/>
      <c r="KNI112" s="769"/>
      <c r="KNJ112" s="769"/>
      <c r="KNK112" s="769"/>
      <c r="KNL112" s="769"/>
      <c r="KNM112" s="769"/>
      <c r="KNN112" s="769"/>
      <c r="KNO112" s="769"/>
      <c r="KNP112" s="769"/>
      <c r="KNQ112" s="769"/>
      <c r="KNR112" s="769"/>
      <c r="KNS112" s="769"/>
      <c r="KNT112" s="769"/>
      <c r="KNU112" s="769"/>
      <c r="KNV112" s="769"/>
      <c r="KNW112" s="769"/>
      <c r="KNX112" s="769"/>
      <c r="KNY112" s="769"/>
      <c r="KNZ112" s="769"/>
      <c r="KOA112" s="769"/>
      <c r="KOB112" s="769"/>
      <c r="KOC112" s="769"/>
      <c r="KOD112" s="769"/>
      <c r="KOE112" s="769"/>
      <c r="KOF112" s="769"/>
      <c r="KOG112" s="769"/>
      <c r="KOH112" s="769"/>
      <c r="KOI112" s="769"/>
      <c r="KOJ112" s="769"/>
      <c r="KOK112" s="769"/>
      <c r="KOL112" s="769"/>
      <c r="KOM112" s="769"/>
      <c r="KON112" s="769"/>
      <c r="KOO112" s="769"/>
      <c r="KOP112" s="769"/>
      <c r="KOQ112" s="769"/>
      <c r="KOR112" s="769"/>
      <c r="KOS112" s="769"/>
      <c r="KOT112" s="769"/>
      <c r="KOU112" s="769"/>
      <c r="KOV112" s="769"/>
      <c r="KOW112" s="769"/>
      <c r="KOX112" s="769"/>
      <c r="KOY112" s="769"/>
      <c r="KOZ112" s="769"/>
      <c r="KPA112" s="769"/>
      <c r="KPB112" s="769"/>
      <c r="KPC112" s="769"/>
      <c r="KPD112" s="769"/>
      <c r="KPE112" s="769"/>
      <c r="KPF112" s="769"/>
      <c r="KPG112" s="769"/>
      <c r="KPH112" s="769"/>
      <c r="KPI112" s="769"/>
      <c r="KPJ112" s="769"/>
      <c r="KPK112" s="769"/>
      <c r="KPL112" s="769"/>
      <c r="KPM112" s="769"/>
      <c r="KPN112" s="769"/>
      <c r="KPO112" s="769"/>
      <c r="KPP112" s="769"/>
      <c r="KPQ112" s="769"/>
      <c r="KPR112" s="769"/>
      <c r="KPS112" s="769"/>
      <c r="KPT112" s="769"/>
      <c r="KPU112" s="769"/>
      <c r="KPV112" s="769"/>
      <c r="KPW112" s="769"/>
      <c r="KPX112" s="769"/>
      <c r="KPY112" s="769"/>
      <c r="KPZ112" s="769"/>
      <c r="KQA112" s="769"/>
      <c r="KQB112" s="769"/>
      <c r="KQC112" s="769"/>
      <c r="KQD112" s="769"/>
      <c r="KQE112" s="769"/>
      <c r="KQF112" s="769"/>
      <c r="KQG112" s="769"/>
      <c r="KQH112" s="769"/>
      <c r="KQI112" s="769"/>
      <c r="KQJ112" s="769"/>
      <c r="KQK112" s="769"/>
      <c r="KQL112" s="769"/>
      <c r="KQM112" s="769"/>
      <c r="KQN112" s="769"/>
      <c r="KQO112" s="769"/>
      <c r="KQP112" s="769"/>
      <c r="KQQ112" s="769"/>
      <c r="KQR112" s="769"/>
      <c r="KQS112" s="769"/>
      <c r="KQT112" s="769"/>
      <c r="KQU112" s="769"/>
      <c r="KQV112" s="769"/>
      <c r="KQW112" s="769"/>
      <c r="KQX112" s="769"/>
      <c r="KQY112" s="769"/>
      <c r="KQZ112" s="769"/>
      <c r="KRA112" s="769"/>
      <c r="KRB112" s="769"/>
      <c r="KRC112" s="769"/>
      <c r="KRD112" s="769"/>
      <c r="KRE112" s="769"/>
      <c r="KRF112" s="769"/>
      <c r="KRG112" s="769"/>
      <c r="KRH112" s="769"/>
      <c r="KRI112" s="769"/>
      <c r="KRJ112" s="769"/>
      <c r="KRK112" s="769"/>
      <c r="KRL112" s="769"/>
      <c r="KRM112" s="769"/>
      <c r="KRN112" s="769"/>
      <c r="KRO112" s="769"/>
      <c r="KRP112" s="769"/>
      <c r="KRQ112" s="769"/>
      <c r="KRR112" s="769"/>
      <c r="KRS112" s="769"/>
      <c r="KRT112" s="769"/>
      <c r="KRU112" s="769"/>
      <c r="KRV112" s="769"/>
      <c r="KRW112" s="769"/>
      <c r="KRX112" s="769"/>
      <c r="KRY112" s="769"/>
      <c r="KRZ112" s="769"/>
      <c r="KSA112" s="769"/>
      <c r="KSB112" s="769"/>
      <c r="KSC112" s="769"/>
      <c r="KSD112" s="769"/>
      <c r="KSE112" s="769"/>
      <c r="KSF112" s="769"/>
      <c r="KSG112" s="769"/>
      <c r="KSH112" s="769"/>
      <c r="KSI112" s="769"/>
      <c r="KSJ112" s="769"/>
      <c r="KSK112" s="769"/>
      <c r="KSL112" s="769"/>
      <c r="KSM112" s="769"/>
      <c r="KSN112" s="769"/>
      <c r="KSO112" s="769"/>
      <c r="KSP112" s="769"/>
      <c r="KSQ112" s="769"/>
      <c r="KSR112" s="769"/>
      <c r="KSS112" s="769"/>
      <c r="KST112" s="769"/>
      <c r="KSU112" s="769"/>
      <c r="KSV112" s="769"/>
      <c r="KSW112" s="769"/>
      <c r="KSX112" s="769"/>
      <c r="KSY112" s="769"/>
      <c r="KSZ112" s="769"/>
      <c r="KTA112" s="769"/>
      <c r="KTB112" s="769"/>
      <c r="KTC112" s="769"/>
      <c r="KTD112" s="769"/>
      <c r="KTE112" s="769"/>
      <c r="KTF112" s="769"/>
      <c r="KTG112" s="769"/>
      <c r="KTH112" s="769"/>
      <c r="KTI112" s="769"/>
      <c r="KTJ112" s="769"/>
      <c r="KTK112" s="769"/>
      <c r="KTL112" s="769"/>
      <c r="KTM112" s="769"/>
      <c r="KTN112" s="769"/>
      <c r="KTO112" s="769"/>
      <c r="KTP112" s="769"/>
      <c r="KTQ112" s="769"/>
      <c r="KTR112" s="769"/>
      <c r="KTS112" s="769"/>
      <c r="KTT112" s="769"/>
      <c r="KTU112" s="769"/>
      <c r="KTV112" s="769"/>
      <c r="KTW112" s="769"/>
      <c r="KTX112" s="769"/>
      <c r="KTY112" s="769"/>
      <c r="KTZ112" s="769"/>
      <c r="KUA112" s="769"/>
      <c r="KUB112" s="769"/>
      <c r="KUC112" s="769"/>
      <c r="KUD112" s="769"/>
      <c r="KUE112" s="769"/>
      <c r="KUF112" s="769"/>
      <c r="KUG112" s="769"/>
      <c r="KUH112" s="769"/>
      <c r="KUI112" s="769"/>
      <c r="KUJ112" s="769"/>
      <c r="KUK112" s="769"/>
      <c r="KUL112" s="769"/>
      <c r="KUM112" s="769"/>
      <c r="KUN112" s="769"/>
      <c r="KUO112" s="769"/>
      <c r="KUP112" s="769"/>
      <c r="KUQ112" s="769"/>
      <c r="KUR112" s="769"/>
      <c r="KUS112" s="769"/>
      <c r="KUT112" s="769"/>
      <c r="KUU112" s="769"/>
      <c r="KUV112" s="769"/>
      <c r="KUW112" s="769"/>
      <c r="KUX112" s="769"/>
      <c r="KUY112" s="769"/>
      <c r="KUZ112" s="769"/>
      <c r="KVA112" s="769"/>
      <c r="KVB112" s="769"/>
      <c r="KVC112" s="769"/>
      <c r="KVD112" s="769"/>
      <c r="KVE112" s="769"/>
      <c r="KVF112" s="769"/>
      <c r="KVG112" s="769"/>
      <c r="KVH112" s="769"/>
      <c r="KVI112" s="769"/>
      <c r="KVJ112" s="769"/>
      <c r="KVK112" s="769"/>
      <c r="KVL112" s="769"/>
      <c r="KVM112" s="769"/>
      <c r="KVN112" s="769"/>
      <c r="KVO112" s="769"/>
      <c r="KVP112" s="769"/>
      <c r="KVQ112" s="769"/>
      <c r="KVR112" s="769"/>
      <c r="KVS112" s="769"/>
      <c r="KVT112" s="769"/>
      <c r="KVU112" s="769"/>
      <c r="KVV112" s="769"/>
      <c r="KVW112" s="769"/>
      <c r="KVX112" s="769"/>
      <c r="KVY112" s="769"/>
      <c r="KVZ112" s="769"/>
      <c r="KWA112" s="769"/>
      <c r="KWB112" s="769"/>
      <c r="KWC112" s="769"/>
      <c r="KWD112" s="769"/>
      <c r="KWE112" s="769"/>
      <c r="KWF112" s="769"/>
      <c r="KWG112" s="769"/>
      <c r="KWH112" s="769"/>
      <c r="KWI112" s="769"/>
      <c r="KWJ112" s="769"/>
      <c r="KWK112" s="769"/>
      <c r="KWL112" s="769"/>
      <c r="KWM112" s="769"/>
      <c r="KWN112" s="769"/>
      <c r="KWO112" s="769"/>
      <c r="KWP112" s="769"/>
      <c r="KWQ112" s="769"/>
      <c r="KWR112" s="769"/>
      <c r="KWS112" s="769"/>
      <c r="KWT112" s="769"/>
      <c r="KWU112" s="769"/>
      <c r="KWV112" s="769"/>
      <c r="KWW112" s="769"/>
      <c r="KWX112" s="769"/>
      <c r="KWY112" s="769"/>
      <c r="KWZ112" s="769"/>
      <c r="KXA112" s="769"/>
      <c r="KXB112" s="769"/>
      <c r="KXC112" s="769"/>
      <c r="KXD112" s="769"/>
      <c r="KXE112" s="769"/>
      <c r="KXF112" s="769"/>
      <c r="KXG112" s="769"/>
      <c r="KXH112" s="769"/>
      <c r="KXI112" s="769"/>
      <c r="KXJ112" s="769"/>
      <c r="KXK112" s="769"/>
      <c r="KXL112" s="769"/>
      <c r="KXM112" s="769"/>
      <c r="KXN112" s="769"/>
      <c r="KXO112" s="769"/>
      <c r="KXP112" s="769"/>
      <c r="KXQ112" s="769"/>
      <c r="KXR112" s="769"/>
      <c r="KXS112" s="769"/>
      <c r="KXT112" s="769"/>
      <c r="KXU112" s="769"/>
      <c r="KXV112" s="769"/>
      <c r="KXW112" s="769"/>
      <c r="KXX112" s="769"/>
      <c r="KXY112" s="769"/>
      <c r="KXZ112" s="769"/>
      <c r="KYA112" s="769"/>
      <c r="KYB112" s="769"/>
      <c r="KYC112" s="769"/>
      <c r="KYD112" s="769"/>
      <c r="KYE112" s="769"/>
      <c r="KYF112" s="769"/>
      <c r="KYG112" s="769"/>
      <c r="KYH112" s="769"/>
      <c r="KYI112" s="769"/>
      <c r="KYJ112" s="769"/>
      <c r="KYK112" s="769"/>
      <c r="KYL112" s="769"/>
      <c r="KYM112" s="769"/>
      <c r="KYN112" s="769"/>
      <c r="KYO112" s="769"/>
      <c r="KYP112" s="769"/>
      <c r="KYQ112" s="769"/>
      <c r="KYR112" s="769"/>
      <c r="KYS112" s="769"/>
      <c r="KYT112" s="769"/>
      <c r="KYU112" s="769"/>
      <c r="KYV112" s="769"/>
      <c r="KYW112" s="769"/>
      <c r="KYX112" s="769"/>
      <c r="KYY112" s="769"/>
      <c r="KYZ112" s="769"/>
      <c r="KZA112" s="769"/>
      <c r="KZB112" s="769"/>
      <c r="KZC112" s="769"/>
      <c r="KZD112" s="769"/>
      <c r="KZE112" s="769"/>
      <c r="KZF112" s="769"/>
      <c r="KZG112" s="769"/>
      <c r="KZH112" s="769"/>
      <c r="KZI112" s="769"/>
      <c r="KZJ112" s="769"/>
      <c r="KZK112" s="769"/>
      <c r="KZL112" s="769"/>
      <c r="KZM112" s="769"/>
      <c r="KZN112" s="769"/>
      <c r="KZO112" s="769"/>
      <c r="KZP112" s="769"/>
      <c r="KZQ112" s="769"/>
      <c r="KZR112" s="769"/>
      <c r="KZS112" s="769"/>
      <c r="KZT112" s="769"/>
      <c r="KZU112" s="769"/>
      <c r="KZV112" s="769"/>
      <c r="KZW112" s="769"/>
      <c r="KZX112" s="769"/>
      <c r="KZY112" s="769"/>
      <c r="KZZ112" s="769"/>
      <c r="LAA112" s="769"/>
      <c r="LAB112" s="769"/>
      <c r="LAC112" s="769"/>
      <c r="LAD112" s="769"/>
      <c r="LAE112" s="769"/>
      <c r="LAF112" s="769"/>
      <c r="LAG112" s="769"/>
      <c r="LAH112" s="769"/>
      <c r="LAI112" s="769"/>
      <c r="LAJ112" s="769"/>
      <c r="LAK112" s="769"/>
      <c r="LAL112" s="769"/>
      <c r="LAM112" s="769"/>
      <c r="LAN112" s="769"/>
      <c r="LAO112" s="769"/>
      <c r="LAP112" s="769"/>
      <c r="LAQ112" s="769"/>
      <c r="LAR112" s="769"/>
      <c r="LAS112" s="769"/>
      <c r="LAT112" s="769"/>
      <c r="LAU112" s="769"/>
      <c r="LAV112" s="769"/>
      <c r="LAW112" s="769"/>
      <c r="LAX112" s="769"/>
      <c r="LAY112" s="769"/>
      <c r="LAZ112" s="769"/>
      <c r="LBA112" s="769"/>
      <c r="LBB112" s="769"/>
      <c r="LBC112" s="769"/>
      <c r="LBD112" s="769"/>
      <c r="LBE112" s="769"/>
      <c r="LBF112" s="769"/>
      <c r="LBG112" s="769"/>
      <c r="LBH112" s="769"/>
      <c r="LBI112" s="769"/>
      <c r="LBJ112" s="769"/>
      <c r="LBK112" s="769"/>
      <c r="LBL112" s="769"/>
      <c r="LBM112" s="769"/>
      <c r="LBN112" s="769"/>
      <c r="LBO112" s="769"/>
      <c r="LBP112" s="769"/>
      <c r="LBQ112" s="769"/>
      <c r="LBR112" s="769"/>
      <c r="LBS112" s="769"/>
      <c r="LBT112" s="769"/>
      <c r="LBU112" s="769"/>
      <c r="LBV112" s="769"/>
      <c r="LBW112" s="769"/>
      <c r="LBX112" s="769"/>
      <c r="LBY112" s="769"/>
      <c r="LBZ112" s="769"/>
      <c r="LCA112" s="769"/>
      <c r="LCB112" s="769"/>
      <c r="LCC112" s="769"/>
      <c r="LCD112" s="769"/>
      <c r="LCE112" s="769"/>
      <c r="LCF112" s="769"/>
      <c r="LCG112" s="769"/>
      <c r="LCH112" s="769"/>
      <c r="LCI112" s="769"/>
      <c r="LCJ112" s="769"/>
      <c r="LCK112" s="769"/>
      <c r="LCL112" s="769"/>
      <c r="LCM112" s="769"/>
      <c r="LCN112" s="769"/>
      <c r="LCO112" s="769"/>
      <c r="LCP112" s="769"/>
      <c r="LCQ112" s="769"/>
      <c r="LCR112" s="769"/>
      <c r="LCS112" s="769"/>
      <c r="LCT112" s="769"/>
      <c r="LCU112" s="769"/>
      <c r="LCV112" s="769"/>
      <c r="LCW112" s="769"/>
      <c r="LCX112" s="769"/>
      <c r="LCY112" s="769"/>
      <c r="LCZ112" s="769"/>
      <c r="LDA112" s="769"/>
      <c r="LDB112" s="769"/>
      <c r="LDC112" s="769"/>
      <c r="LDD112" s="769"/>
      <c r="LDE112" s="769"/>
      <c r="LDF112" s="769"/>
      <c r="LDG112" s="769"/>
      <c r="LDH112" s="769"/>
      <c r="LDI112" s="769"/>
      <c r="LDJ112" s="769"/>
      <c r="LDK112" s="769"/>
      <c r="LDL112" s="769"/>
      <c r="LDM112" s="769"/>
      <c r="LDN112" s="769"/>
      <c r="LDO112" s="769"/>
      <c r="LDP112" s="769"/>
      <c r="LDQ112" s="769"/>
      <c r="LDR112" s="769"/>
      <c r="LDS112" s="769"/>
      <c r="LDT112" s="769"/>
      <c r="LDU112" s="769"/>
      <c r="LDV112" s="769"/>
      <c r="LDW112" s="769"/>
      <c r="LDX112" s="769"/>
      <c r="LDY112" s="769"/>
      <c r="LDZ112" s="769"/>
      <c r="LEA112" s="769"/>
      <c r="LEB112" s="769"/>
      <c r="LEC112" s="769"/>
      <c r="LED112" s="769"/>
      <c r="LEE112" s="769"/>
      <c r="LEF112" s="769"/>
      <c r="LEG112" s="769"/>
      <c r="LEH112" s="769"/>
      <c r="LEI112" s="769"/>
      <c r="LEJ112" s="769"/>
      <c r="LEK112" s="769"/>
      <c r="LEL112" s="769"/>
      <c r="LEM112" s="769"/>
      <c r="LEN112" s="769"/>
      <c r="LEO112" s="769"/>
      <c r="LEP112" s="769"/>
      <c r="LEQ112" s="769"/>
      <c r="LER112" s="769"/>
      <c r="LES112" s="769"/>
      <c r="LET112" s="769"/>
      <c r="LEU112" s="769"/>
      <c r="LEV112" s="769"/>
      <c r="LEW112" s="769"/>
      <c r="LEX112" s="769"/>
      <c r="LEY112" s="769"/>
      <c r="LEZ112" s="769"/>
      <c r="LFA112" s="769"/>
      <c r="LFB112" s="769"/>
      <c r="LFC112" s="769"/>
      <c r="LFD112" s="769"/>
      <c r="LFE112" s="769"/>
      <c r="LFF112" s="769"/>
      <c r="LFG112" s="769"/>
      <c r="LFH112" s="769"/>
      <c r="LFI112" s="769"/>
      <c r="LFJ112" s="769"/>
      <c r="LFK112" s="769"/>
      <c r="LFL112" s="769"/>
      <c r="LFM112" s="769"/>
      <c r="LFN112" s="769"/>
      <c r="LFO112" s="769"/>
      <c r="LFP112" s="769"/>
      <c r="LFQ112" s="769"/>
      <c r="LFR112" s="769"/>
      <c r="LFS112" s="769"/>
      <c r="LFT112" s="769"/>
      <c r="LFU112" s="769"/>
      <c r="LFV112" s="769"/>
      <c r="LFW112" s="769"/>
      <c r="LFX112" s="769"/>
      <c r="LFY112" s="769"/>
      <c r="LFZ112" s="769"/>
      <c r="LGA112" s="769"/>
      <c r="LGB112" s="769"/>
      <c r="LGC112" s="769"/>
      <c r="LGD112" s="769"/>
      <c r="LGE112" s="769"/>
      <c r="LGF112" s="769"/>
      <c r="LGG112" s="769"/>
      <c r="LGH112" s="769"/>
      <c r="LGI112" s="769"/>
      <c r="LGJ112" s="769"/>
      <c r="LGK112" s="769"/>
      <c r="LGL112" s="769"/>
      <c r="LGM112" s="769"/>
      <c r="LGN112" s="769"/>
      <c r="LGO112" s="769"/>
      <c r="LGP112" s="769"/>
      <c r="LGQ112" s="769"/>
      <c r="LGR112" s="769"/>
      <c r="LGS112" s="769"/>
      <c r="LGT112" s="769"/>
      <c r="LGU112" s="769"/>
      <c r="LGV112" s="769"/>
      <c r="LGW112" s="769"/>
      <c r="LGX112" s="769"/>
      <c r="LGY112" s="769"/>
      <c r="LGZ112" s="769"/>
      <c r="LHA112" s="769"/>
      <c r="LHB112" s="769"/>
      <c r="LHC112" s="769"/>
      <c r="LHD112" s="769"/>
      <c r="LHE112" s="769"/>
      <c r="LHF112" s="769"/>
      <c r="LHG112" s="769"/>
      <c r="LHH112" s="769"/>
      <c r="LHI112" s="769"/>
      <c r="LHJ112" s="769"/>
      <c r="LHK112" s="769"/>
      <c r="LHL112" s="769"/>
      <c r="LHM112" s="769"/>
      <c r="LHN112" s="769"/>
      <c r="LHO112" s="769"/>
      <c r="LHP112" s="769"/>
      <c r="LHQ112" s="769"/>
      <c r="LHR112" s="769"/>
      <c r="LHS112" s="769"/>
      <c r="LHT112" s="769"/>
      <c r="LHU112" s="769"/>
      <c r="LHV112" s="769"/>
      <c r="LHW112" s="769"/>
      <c r="LHX112" s="769"/>
      <c r="LHY112" s="769"/>
      <c r="LHZ112" s="769"/>
      <c r="LIA112" s="769"/>
      <c r="LIB112" s="769"/>
      <c r="LIC112" s="769"/>
      <c r="LID112" s="769"/>
      <c r="LIE112" s="769"/>
      <c r="LIF112" s="769"/>
      <c r="LIG112" s="769"/>
      <c r="LIH112" s="769"/>
      <c r="LII112" s="769"/>
      <c r="LIJ112" s="769"/>
      <c r="LIK112" s="769"/>
      <c r="LIL112" s="769"/>
      <c r="LIM112" s="769"/>
      <c r="LIN112" s="769"/>
      <c r="LIO112" s="769"/>
      <c r="LIP112" s="769"/>
      <c r="LIQ112" s="769"/>
      <c r="LIR112" s="769"/>
      <c r="LIS112" s="769"/>
      <c r="LIT112" s="769"/>
      <c r="LIU112" s="769"/>
      <c r="LIV112" s="769"/>
      <c r="LIW112" s="769"/>
      <c r="LIX112" s="769"/>
      <c r="LIY112" s="769"/>
      <c r="LIZ112" s="769"/>
      <c r="LJA112" s="769"/>
      <c r="LJB112" s="769"/>
      <c r="LJC112" s="769"/>
      <c r="LJD112" s="769"/>
      <c r="LJE112" s="769"/>
      <c r="LJF112" s="769"/>
      <c r="LJG112" s="769"/>
      <c r="LJH112" s="769"/>
      <c r="LJI112" s="769"/>
      <c r="LJJ112" s="769"/>
      <c r="LJK112" s="769"/>
      <c r="LJL112" s="769"/>
      <c r="LJM112" s="769"/>
      <c r="LJN112" s="769"/>
      <c r="LJO112" s="769"/>
      <c r="LJP112" s="769"/>
      <c r="LJQ112" s="769"/>
      <c r="LJR112" s="769"/>
      <c r="LJS112" s="769"/>
      <c r="LJT112" s="769"/>
      <c r="LJU112" s="769"/>
      <c r="LJV112" s="769"/>
      <c r="LJW112" s="769"/>
      <c r="LJX112" s="769"/>
      <c r="LJY112" s="769"/>
      <c r="LJZ112" s="769"/>
      <c r="LKA112" s="769"/>
      <c r="LKB112" s="769"/>
      <c r="LKC112" s="769"/>
      <c r="LKD112" s="769"/>
      <c r="LKE112" s="769"/>
      <c r="LKF112" s="769"/>
      <c r="LKG112" s="769"/>
      <c r="LKH112" s="769"/>
      <c r="LKI112" s="769"/>
      <c r="LKJ112" s="769"/>
      <c r="LKK112" s="769"/>
      <c r="LKL112" s="769"/>
      <c r="LKM112" s="769"/>
      <c r="LKN112" s="769"/>
      <c r="LKO112" s="769"/>
      <c r="LKP112" s="769"/>
      <c r="LKQ112" s="769"/>
      <c r="LKR112" s="769"/>
      <c r="LKS112" s="769"/>
      <c r="LKT112" s="769"/>
      <c r="LKU112" s="769"/>
      <c r="LKV112" s="769"/>
      <c r="LKW112" s="769"/>
      <c r="LKX112" s="769"/>
      <c r="LKY112" s="769"/>
      <c r="LKZ112" s="769"/>
      <c r="LLA112" s="769"/>
      <c r="LLB112" s="769"/>
      <c r="LLC112" s="769"/>
      <c r="LLD112" s="769"/>
      <c r="LLE112" s="769"/>
      <c r="LLF112" s="769"/>
      <c r="LLG112" s="769"/>
      <c r="LLH112" s="769"/>
      <c r="LLI112" s="769"/>
      <c r="LLJ112" s="769"/>
      <c r="LLK112" s="769"/>
      <c r="LLL112" s="769"/>
      <c r="LLM112" s="769"/>
      <c r="LLN112" s="769"/>
      <c r="LLO112" s="769"/>
      <c r="LLP112" s="769"/>
      <c r="LLQ112" s="769"/>
      <c r="LLR112" s="769"/>
      <c r="LLS112" s="769"/>
      <c r="LLT112" s="769"/>
      <c r="LLU112" s="769"/>
      <c r="LLV112" s="769"/>
      <c r="LLW112" s="769"/>
      <c r="LLX112" s="769"/>
      <c r="LLY112" s="769"/>
      <c r="LLZ112" s="769"/>
      <c r="LMA112" s="769"/>
      <c r="LMB112" s="769"/>
      <c r="LMC112" s="769"/>
      <c r="LMD112" s="769"/>
      <c r="LME112" s="769"/>
      <c r="LMF112" s="769"/>
      <c r="LMG112" s="769"/>
      <c r="LMH112" s="769"/>
      <c r="LMI112" s="769"/>
      <c r="LMJ112" s="769"/>
      <c r="LMK112" s="769"/>
      <c r="LML112" s="769"/>
      <c r="LMM112" s="769"/>
      <c r="LMN112" s="769"/>
      <c r="LMO112" s="769"/>
      <c r="LMP112" s="769"/>
      <c r="LMQ112" s="769"/>
      <c r="LMR112" s="769"/>
      <c r="LMS112" s="769"/>
      <c r="LMT112" s="769"/>
      <c r="LMU112" s="769"/>
      <c r="LMV112" s="769"/>
      <c r="LMW112" s="769"/>
      <c r="LMX112" s="769"/>
      <c r="LMY112" s="769"/>
      <c r="LMZ112" s="769"/>
      <c r="LNA112" s="769"/>
      <c r="LNB112" s="769"/>
      <c r="LNC112" s="769"/>
      <c r="LND112" s="769"/>
      <c r="LNE112" s="769"/>
      <c r="LNF112" s="769"/>
      <c r="LNG112" s="769"/>
      <c r="LNH112" s="769"/>
      <c r="LNI112" s="769"/>
      <c r="LNJ112" s="769"/>
      <c r="LNK112" s="769"/>
      <c r="LNL112" s="769"/>
      <c r="LNM112" s="769"/>
      <c r="LNN112" s="769"/>
      <c r="LNO112" s="769"/>
      <c r="LNP112" s="769"/>
      <c r="LNQ112" s="769"/>
      <c r="LNR112" s="769"/>
      <c r="LNS112" s="769"/>
      <c r="LNT112" s="769"/>
      <c r="LNU112" s="769"/>
      <c r="LNV112" s="769"/>
      <c r="LNW112" s="769"/>
      <c r="LNX112" s="769"/>
      <c r="LNY112" s="769"/>
      <c r="LNZ112" s="769"/>
      <c r="LOA112" s="769"/>
      <c r="LOB112" s="769"/>
      <c r="LOC112" s="769"/>
      <c r="LOD112" s="769"/>
      <c r="LOE112" s="769"/>
      <c r="LOF112" s="769"/>
      <c r="LOG112" s="769"/>
      <c r="LOH112" s="769"/>
      <c r="LOI112" s="769"/>
      <c r="LOJ112" s="769"/>
      <c r="LOK112" s="769"/>
      <c r="LOL112" s="769"/>
      <c r="LOM112" s="769"/>
      <c r="LON112" s="769"/>
      <c r="LOO112" s="769"/>
      <c r="LOP112" s="769"/>
      <c r="LOQ112" s="769"/>
      <c r="LOR112" s="769"/>
      <c r="LOS112" s="769"/>
      <c r="LOT112" s="769"/>
      <c r="LOU112" s="769"/>
      <c r="LOV112" s="769"/>
      <c r="LOW112" s="769"/>
      <c r="LOX112" s="769"/>
      <c r="LOY112" s="769"/>
      <c r="LOZ112" s="769"/>
      <c r="LPA112" s="769"/>
      <c r="LPB112" s="769"/>
      <c r="LPC112" s="769"/>
      <c r="LPD112" s="769"/>
      <c r="LPE112" s="769"/>
      <c r="LPF112" s="769"/>
      <c r="LPG112" s="769"/>
      <c r="LPH112" s="769"/>
      <c r="LPI112" s="769"/>
      <c r="LPJ112" s="769"/>
      <c r="LPK112" s="769"/>
      <c r="LPL112" s="769"/>
      <c r="LPM112" s="769"/>
      <c r="LPN112" s="769"/>
      <c r="LPO112" s="769"/>
      <c r="LPP112" s="769"/>
      <c r="LPQ112" s="769"/>
      <c r="LPR112" s="769"/>
      <c r="LPS112" s="769"/>
      <c r="LPT112" s="769"/>
      <c r="LPU112" s="769"/>
      <c r="LPV112" s="769"/>
      <c r="LPW112" s="769"/>
      <c r="LPX112" s="769"/>
      <c r="LPY112" s="769"/>
      <c r="LPZ112" s="769"/>
      <c r="LQA112" s="769"/>
      <c r="LQB112" s="769"/>
      <c r="LQC112" s="769"/>
      <c r="LQD112" s="769"/>
      <c r="LQE112" s="769"/>
      <c r="LQF112" s="769"/>
      <c r="LQG112" s="769"/>
      <c r="LQH112" s="769"/>
      <c r="LQI112" s="769"/>
      <c r="LQJ112" s="769"/>
      <c r="LQK112" s="769"/>
      <c r="LQL112" s="769"/>
      <c r="LQM112" s="769"/>
      <c r="LQN112" s="769"/>
      <c r="LQO112" s="769"/>
      <c r="LQP112" s="769"/>
      <c r="LQQ112" s="769"/>
      <c r="LQR112" s="769"/>
      <c r="LQS112" s="769"/>
      <c r="LQT112" s="769"/>
      <c r="LQU112" s="769"/>
      <c r="LQV112" s="769"/>
      <c r="LQW112" s="769"/>
      <c r="LQX112" s="769"/>
      <c r="LQY112" s="769"/>
      <c r="LQZ112" s="769"/>
      <c r="LRA112" s="769"/>
      <c r="LRB112" s="769"/>
      <c r="LRC112" s="769"/>
      <c r="LRD112" s="769"/>
      <c r="LRE112" s="769"/>
      <c r="LRF112" s="769"/>
      <c r="LRG112" s="769"/>
      <c r="LRH112" s="769"/>
      <c r="LRI112" s="769"/>
      <c r="LRJ112" s="769"/>
      <c r="LRK112" s="769"/>
      <c r="LRL112" s="769"/>
      <c r="LRM112" s="769"/>
      <c r="LRN112" s="769"/>
      <c r="LRO112" s="769"/>
      <c r="LRP112" s="769"/>
      <c r="LRQ112" s="769"/>
      <c r="LRR112" s="769"/>
      <c r="LRS112" s="769"/>
      <c r="LRT112" s="769"/>
      <c r="LRU112" s="769"/>
      <c r="LRV112" s="769"/>
      <c r="LRW112" s="769"/>
      <c r="LRX112" s="769"/>
      <c r="LRY112" s="769"/>
      <c r="LRZ112" s="769"/>
      <c r="LSA112" s="769"/>
      <c r="LSB112" s="769"/>
      <c r="LSC112" s="769"/>
      <c r="LSD112" s="769"/>
      <c r="LSE112" s="769"/>
      <c r="LSF112" s="769"/>
      <c r="LSG112" s="769"/>
      <c r="LSH112" s="769"/>
      <c r="LSI112" s="769"/>
      <c r="LSJ112" s="769"/>
      <c r="LSK112" s="769"/>
      <c r="LSL112" s="769"/>
      <c r="LSM112" s="769"/>
      <c r="LSN112" s="769"/>
      <c r="LSO112" s="769"/>
      <c r="LSP112" s="769"/>
      <c r="LSQ112" s="769"/>
      <c r="LSR112" s="769"/>
      <c r="LSS112" s="769"/>
      <c r="LST112" s="769"/>
      <c r="LSU112" s="769"/>
      <c r="LSV112" s="769"/>
      <c r="LSW112" s="769"/>
      <c r="LSX112" s="769"/>
      <c r="LSY112" s="769"/>
      <c r="LSZ112" s="769"/>
      <c r="LTA112" s="769"/>
      <c r="LTB112" s="769"/>
      <c r="LTC112" s="769"/>
      <c r="LTD112" s="769"/>
      <c r="LTE112" s="769"/>
      <c r="LTF112" s="769"/>
      <c r="LTG112" s="769"/>
      <c r="LTH112" s="769"/>
      <c r="LTI112" s="769"/>
      <c r="LTJ112" s="769"/>
      <c r="LTK112" s="769"/>
      <c r="LTL112" s="769"/>
      <c r="LTM112" s="769"/>
      <c r="LTN112" s="769"/>
      <c r="LTO112" s="769"/>
      <c r="LTP112" s="769"/>
      <c r="LTQ112" s="769"/>
      <c r="LTR112" s="769"/>
      <c r="LTS112" s="769"/>
      <c r="LTT112" s="769"/>
      <c r="LTU112" s="769"/>
      <c r="LTV112" s="769"/>
      <c r="LTW112" s="769"/>
      <c r="LTX112" s="769"/>
      <c r="LTY112" s="769"/>
      <c r="LTZ112" s="769"/>
      <c r="LUA112" s="769"/>
      <c r="LUB112" s="769"/>
      <c r="LUC112" s="769"/>
      <c r="LUD112" s="769"/>
      <c r="LUE112" s="769"/>
      <c r="LUF112" s="769"/>
      <c r="LUG112" s="769"/>
      <c r="LUH112" s="769"/>
      <c r="LUI112" s="769"/>
      <c r="LUJ112" s="769"/>
      <c r="LUK112" s="769"/>
      <c r="LUL112" s="769"/>
      <c r="LUM112" s="769"/>
      <c r="LUN112" s="769"/>
      <c r="LUO112" s="769"/>
      <c r="LUP112" s="769"/>
      <c r="LUQ112" s="769"/>
      <c r="LUR112" s="769"/>
      <c r="LUS112" s="769"/>
      <c r="LUT112" s="769"/>
      <c r="LUU112" s="769"/>
      <c r="LUV112" s="769"/>
      <c r="LUW112" s="769"/>
      <c r="LUX112" s="769"/>
      <c r="LUY112" s="769"/>
      <c r="LUZ112" s="769"/>
      <c r="LVA112" s="769"/>
      <c r="LVB112" s="769"/>
      <c r="LVC112" s="769"/>
      <c r="LVD112" s="769"/>
      <c r="LVE112" s="769"/>
      <c r="LVF112" s="769"/>
      <c r="LVG112" s="769"/>
      <c r="LVH112" s="769"/>
      <c r="LVI112" s="769"/>
      <c r="LVJ112" s="769"/>
      <c r="LVK112" s="769"/>
      <c r="LVL112" s="769"/>
      <c r="LVM112" s="769"/>
      <c r="LVN112" s="769"/>
      <c r="LVO112" s="769"/>
      <c r="LVP112" s="769"/>
      <c r="LVQ112" s="769"/>
      <c r="LVR112" s="769"/>
      <c r="LVS112" s="769"/>
      <c r="LVT112" s="769"/>
      <c r="LVU112" s="769"/>
      <c r="LVV112" s="769"/>
      <c r="LVW112" s="769"/>
      <c r="LVX112" s="769"/>
      <c r="LVY112" s="769"/>
      <c r="LVZ112" s="769"/>
      <c r="LWA112" s="769"/>
      <c r="LWB112" s="769"/>
      <c r="LWC112" s="769"/>
      <c r="LWD112" s="769"/>
      <c r="LWE112" s="769"/>
      <c r="LWF112" s="769"/>
      <c r="LWG112" s="769"/>
      <c r="LWH112" s="769"/>
      <c r="LWI112" s="769"/>
      <c r="LWJ112" s="769"/>
      <c r="LWK112" s="769"/>
      <c r="LWL112" s="769"/>
      <c r="LWM112" s="769"/>
      <c r="LWN112" s="769"/>
      <c r="LWO112" s="769"/>
      <c r="LWP112" s="769"/>
      <c r="LWQ112" s="769"/>
      <c r="LWR112" s="769"/>
      <c r="LWS112" s="769"/>
      <c r="LWT112" s="769"/>
      <c r="LWU112" s="769"/>
      <c r="LWV112" s="769"/>
      <c r="LWW112" s="769"/>
      <c r="LWX112" s="769"/>
      <c r="LWY112" s="769"/>
      <c r="LWZ112" s="769"/>
      <c r="LXA112" s="769"/>
      <c r="LXB112" s="769"/>
      <c r="LXC112" s="769"/>
      <c r="LXD112" s="769"/>
      <c r="LXE112" s="769"/>
      <c r="LXF112" s="769"/>
      <c r="LXG112" s="769"/>
      <c r="LXH112" s="769"/>
      <c r="LXI112" s="769"/>
      <c r="LXJ112" s="769"/>
      <c r="LXK112" s="769"/>
      <c r="LXL112" s="769"/>
      <c r="LXM112" s="769"/>
      <c r="LXN112" s="769"/>
      <c r="LXO112" s="769"/>
      <c r="LXP112" s="769"/>
      <c r="LXQ112" s="769"/>
      <c r="LXR112" s="769"/>
      <c r="LXS112" s="769"/>
      <c r="LXT112" s="769"/>
      <c r="LXU112" s="769"/>
      <c r="LXV112" s="769"/>
      <c r="LXW112" s="769"/>
      <c r="LXX112" s="769"/>
      <c r="LXY112" s="769"/>
      <c r="LXZ112" s="769"/>
      <c r="LYA112" s="769"/>
      <c r="LYB112" s="769"/>
      <c r="LYC112" s="769"/>
      <c r="LYD112" s="769"/>
      <c r="LYE112" s="769"/>
      <c r="LYF112" s="769"/>
      <c r="LYG112" s="769"/>
      <c r="LYH112" s="769"/>
      <c r="LYI112" s="769"/>
      <c r="LYJ112" s="769"/>
      <c r="LYK112" s="769"/>
      <c r="LYL112" s="769"/>
      <c r="LYM112" s="769"/>
      <c r="LYN112" s="769"/>
      <c r="LYO112" s="769"/>
      <c r="LYP112" s="769"/>
      <c r="LYQ112" s="769"/>
      <c r="LYR112" s="769"/>
      <c r="LYS112" s="769"/>
      <c r="LYT112" s="769"/>
      <c r="LYU112" s="769"/>
      <c r="LYV112" s="769"/>
      <c r="LYW112" s="769"/>
      <c r="LYX112" s="769"/>
      <c r="LYY112" s="769"/>
      <c r="LYZ112" s="769"/>
      <c r="LZA112" s="769"/>
      <c r="LZB112" s="769"/>
      <c r="LZC112" s="769"/>
      <c r="LZD112" s="769"/>
      <c r="LZE112" s="769"/>
      <c r="LZF112" s="769"/>
      <c r="LZG112" s="769"/>
      <c r="LZH112" s="769"/>
      <c r="LZI112" s="769"/>
      <c r="LZJ112" s="769"/>
      <c r="LZK112" s="769"/>
      <c r="LZL112" s="769"/>
      <c r="LZM112" s="769"/>
      <c r="LZN112" s="769"/>
      <c r="LZO112" s="769"/>
      <c r="LZP112" s="769"/>
      <c r="LZQ112" s="769"/>
      <c r="LZR112" s="769"/>
      <c r="LZS112" s="769"/>
      <c r="LZT112" s="769"/>
      <c r="LZU112" s="769"/>
      <c r="LZV112" s="769"/>
      <c r="LZW112" s="769"/>
      <c r="LZX112" s="769"/>
      <c r="LZY112" s="769"/>
      <c r="LZZ112" s="769"/>
      <c r="MAA112" s="769"/>
      <c r="MAB112" s="769"/>
      <c r="MAC112" s="769"/>
      <c r="MAD112" s="769"/>
      <c r="MAE112" s="769"/>
      <c r="MAF112" s="769"/>
      <c r="MAG112" s="769"/>
      <c r="MAH112" s="769"/>
      <c r="MAI112" s="769"/>
      <c r="MAJ112" s="769"/>
      <c r="MAK112" s="769"/>
      <c r="MAL112" s="769"/>
      <c r="MAM112" s="769"/>
      <c r="MAN112" s="769"/>
      <c r="MAO112" s="769"/>
      <c r="MAP112" s="769"/>
      <c r="MAQ112" s="769"/>
      <c r="MAR112" s="769"/>
      <c r="MAS112" s="769"/>
      <c r="MAT112" s="769"/>
      <c r="MAU112" s="769"/>
      <c r="MAV112" s="769"/>
      <c r="MAW112" s="769"/>
      <c r="MAX112" s="769"/>
      <c r="MAY112" s="769"/>
      <c r="MAZ112" s="769"/>
      <c r="MBA112" s="769"/>
      <c r="MBB112" s="769"/>
      <c r="MBC112" s="769"/>
      <c r="MBD112" s="769"/>
      <c r="MBE112" s="769"/>
      <c r="MBF112" s="769"/>
      <c r="MBG112" s="769"/>
      <c r="MBH112" s="769"/>
      <c r="MBI112" s="769"/>
      <c r="MBJ112" s="769"/>
      <c r="MBK112" s="769"/>
      <c r="MBL112" s="769"/>
      <c r="MBM112" s="769"/>
      <c r="MBN112" s="769"/>
      <c r="MBO112" s="769"/>
      <c r="MBP112" s="769"/>
      <c r="MBQ112" s="769"/>
      <c r="MBR112" s="769"/>
      <c r="MBS112" s="769"/>
      <c r="MBT112" s="769"/>
      <c r="MBU112" s="769"/>
      <c r="MBV112" s="769"/>
      <c r="MBW112" s="769"/>
      <c r="MBX112" s="769"/>
      <c r="MBY112" s="769"/>
      <c r="MBZ112" s="769"/>
      <c r="MCA112" s="769"/>
      <c r="MCB112" s="769"/>
      <c r="MCC112" s="769"/>
      <c r="MCD112" s="769"/>
      <c r="MCE112" s="769"/>
      <c r="MCF112" s="769"/>
      <c r="MCG112" s="769"/>
      <c r="MCH112" s="769"/>
      <c r="MCI112" s="769"/>
      <c r="MCJ112" s="769"/>
      <c r="MCK112" s="769"/>
      <c r="MCL112" s="769"/>
      <c r="MCM112" s="769"/>
      <c r="MCN112" s="769"/>
      <c r="MCO112" s="769"/>
      <c r="MCP112" s="769"/>
      <c r="MCQ112" s="769"/>
      <c r="MCR112" s="769"/>
      <c r="MCS112" s="769"/>
      <c r="MCT112" s="769"/>
      <c r="MCU112" s="769"/>
      <c r="MCV112" s="769"/>
      <c r="MCW112" s="769"/>
      <c r="MCX112" s="769"/>
      <c r="MCY112" s="769"/>
      <c r="MCZ112" s="769"/>
      <c r="MDA112" s="769"/>
      <c r="MDB112" s="769"/>
      <c r="MDC112" s="769"/>
      <c r="MDD112" s="769"/>
      <c r="MDE112" s="769"/>
      <c r="MDF112" s="769"/>
      <c r="MDG112" s="769"/>
      <c r="MDH112" s="769"/>
      <c r="MDI112" s="769"/>
      <c r="MDJ112" s="769"/>
      <c r="MDK112" s="769"/>
      <c r="MDL112" s="769"/>
      <c r="MDM112" s="769"/>
      <c r="MDN112" s="769"/>
      <c r="MDO112" s="769"/>
      <c r="MDP112" s="769"/>
      <c r="MDQ112" s="769"/>
      <c r="MDR112" s="769"/>
      <c r="MDS112" s="769"/>
      <c r="MDT112" s="769"/>
      <c r="MDU112" s="769"/>
      <c r="MDV112" s="769"/>
      <c r="MDW112" s="769"/>
      <c r="MDX112" s="769"/>
      <c r="MDY112" s="769"/>
      <c r="MDZ112" s="769"/>
      <c r="MEA112" s="769"/>
      <c r="MEB112" s="769"/>
      <c r="MEC112" s="769"/>
      <c r="MED112" s="769"/>
      <c r="MEE112" s="769"/>
      <c r="MEF112" s="769"/>
      <c r="MEG112" s="769"/>
      <c r="MEH112" s="769"/>
      <c r="MEI112" s="769"/>
      <c r="MEJ112" s="769"/>
      <c r="MEK112" s="769"/>
      <c r="MEL112" s="769"/>
      <c r="MEM112" s="769"/>
      <c r="MEN112" s="769"/>
      <c r="MEO112" s="769"/>
      <c r="MEP112" s="769"/>
      <c r="MEQ112" s="769"/>
      <c r="MER112" s="769"/>
      <c r="MES112" s="769"/>
      <c r="MET112" s="769"/>
      <c r="MEU112" s="769"/>
      <c r="MEV112" s="769"/>
      <c r="MEW112" s="769"/>
      <c r="MEX112" s="769"/>
      <c r="MEY112" s="769"/>
      <c r="MEZ112" s="769"/>
      <c r="MFA112" s="769"/>
      <c r="MFB112" s="769"/>
      <c r="MFC112" s="769"/>
      <c r="MFD112" s="769"/>
      <c r="MFE112" s="769"/>
      <c r="MFF112" s="769"/>
      <c r="MFG112" s="769"/>
      <c r="MFH112" s="769"/>
      <c r="MFI112" s="769"/>
      <c r="MFJ112" s="769"/>
      <c r="MFK112" s="769"/>
      <c r="MFL112" s="769"/>
      <c r="MFM112" s="769"/>
      <c r="MFN112" s="769"/>
      <c r="MFO112" s="769"/>
      <c r="MFP112" s="769"/>
      <c r="MFQ112" s="769"/>
      <c r="MFR112" s="769"/>
      <c r="MFS112" s="769"/>
      <c r="MFT112" s="769"/>
      <c r="MFU112" s="769"/>
      <c r="MFV112" s="769"/>
      <c r="MFW112" s="769"/>
      <c r="MFX112" s="769"/>
      <c r="MFY112" s="769"/>
      <c r="MFZ112" s="769"/>
      <c r="MGA112" s="769"/>
      <c r="MGB112" s="769"/>
      <c r="MGC112" s="769"/>
      <c r="MGD112" s="769"/>
      <c r="MGE112" s="769"/>
      <c r="MGF112" s="769"/>
      <c r="MGG112" s="769"/>
      <c r="MGH112" s="769"/>
      <c r="MGI112" s="769"/>
      <c r="MGJ112" s="769"/>
      <c r="MGK112" s="769"/>
      <c r="MGL112" s="769"/>
      <c r="MGM112" s="769"/>
      <c r="MGN112" s="769"/>
      <c r="MGO112" s="769"/>
      <c r="MGP112" s="769"/>
      <c r="MGQ112" s="769"/>
      <c r="MGR112" s="769"/>
      <c r="MGS112" s="769"/>
      <c r="MGT112" s="769"/>
      <c r="MGU112" s="769"/>
      <c r="MGV112" s="769"/>
      <c r="MGW112" s="769"/>
      <c r="MGX112" s="769"/>
      <c r="MGY112" s="769"/>
      <c r="MGZ112" s="769"/>
      <c r="MHA112" s="769"/>
      <c r="MHB112" s="769"/>
      <c r="MHC112" s="769"/>
      <c r="MHD112" s="769"/>
      <c r="MHE112" s="769"/>
      <c r="MHF112" s="769"/>
      <c r="MHG112" s="769"/>
      <c r="MHH112" s="769"/>
      <c r="MHI112" s="769"/>
      <c r="MHJ112" s="769"/>
      <c r="MHK112" s="769"/>
      <c r="MHL112" s="769"/>
      <c r="MHM112" s="769"/>
      <c r="MHN112" s="769"/>
      <c r="MHO112" s="769"/>
      <c r="MHP112" s="769"/>
      <c r="MHQ112" s="769"/>
      <c r="MHR112" s="769"/>
      <c r="MHS112" s="769"/>
      <c r="MHT112" s="769"/>
      <c r="MHU112" s="769"/>
      <c r="MHV112" s="769"/>
      <c r="MHW112" s="769"/>
      <c r="MHX112" s="769"/>
      <c r="MHY112" s="769"/>
      <c r="MHZ112" s="769"/>
      <c r="MIA112" s="769"/>
      <c r="MIB112" s="769"/>
      <c r="MIC112" s="769"/>
      <c r="MID112" s="769"/>
      <c r="MIE112" s="769"/>
      <c r="MIF112" s="769"/>
      <c r="MIG112" s="769"/>
      <c r="MIH112" s="769"/>
      <c r="MII112" s="769"/>
      <c r="MIJ112" s="769"/>
      <c r="MIK112" s="769"/>
      <c r="MIL112" s="769"/>
      <c r="MIM112" s="769"/>
      <c r="MIN112" s="769"/>
      <c r="MIO112" s="769"/>
      <c r="MIP112" s="769"/>
      <c r="MIQ112" s="769"/>
      <c r="MIR112" s="769"/>
      <c r="MIS112" s="769"/>
      <c r="MIT112" s="769"/>
      <c r="MIU112" s="769"/>
      <c r="MIV112" s="769"/>
      <c r="MIW112" s="769"/>
      <c r="MIX112" s="769"/>
      <c r="MIY112" s="769"/>
      <c r="MIZ112" s="769"/>
      <c r="MJA112" s="769"/>
      <c r="MJB112" s="769"/>
      <c r="MJC112" s="769"/>
      <c r="MJD112" s="769"/>
      <c r="MJE112" s="769"/>
      <c r="MJF112" s="769"/>
      <c r="MJG112" s="769"/>
      <c r="MJH112" s="769"/>
      <c r="MJI112" s="769"/>
      <c r="MJJ112" s="769"/>
      <c r="MJK112" s="769"/>
      <c r="MJL112" s="769"/>
      <c r="MJM112" s="769"/>
      <c r="MJN112" s="769"/>
      <c r="MJO112" s="769"/>
      <c r="MJP112" s="769"/>
      <c r="MJQ112" s="769"/>
      <c r="MJR112" s="769"/>
      <c r="MJS112" s="769"/>
      <c r="MJT112" s="769"/>
      <c r="MJU112" s="769"/>
      <c r="MJV112" s="769"/>
      <c r="MJW112" s="769"/>
      <c r="MJX112" s="769"/>
      <c r="MJY112" s="769"/>
      <c r="MJZ112" s="769"/>
      <c r="MKA112" s="769"/>
      <c r="MKB112" s="769"/>
      <c r="MKC112" s="769"/>
      <c r="MKD112" s="769"/>
      <c r="MKE112" s="769"/>
      <c r="MKF112" s="769"/>
      <c r="MKG112" s="769"/>
      <c r="MKH112" s="769"/>
      <c r="MKI112" s="769"/>
      <c r="MKJ112" s="769"/>
      <c r="MKK112" s="769"/>
      <c r="MKL112" s="769"/>
      <c r="MKM112" s="769"/>
      <c r="MKN112" s="769"/>
      <c r="MKO112" s="769"/>
      <c r="MKP112" s="769"/>
      <c r="MKQ112" s="769"/>
      <c r="MKR112" s="769"/>
      <c r="MKS112" s="769"/>
      <c r="MKT112" s="769"/>
      <c r="MKU112" s="769"/>
      <c r="MKV112" s="769"/>
      <c r="MKW112" s="769"/>
      <c r="MKX112" s="769"/>
      <c r="MKY112" s="769"/>
      <c r="MKZ112" s="769"/>
      <c r="MLA112" s="769"/>
      <c r="MLB112" s="769"/>
      <c r="MLC112" s="769"/>
      <c r="MLD112" s="769"/>
      <c r="MLE112" s="769"/>
      <c r="MLF112" s="769"/>
      <c r="MLG112" s="769"/>
      <c r="MLH112" s="769"/>
      <c r="MLI112" s="769"/>
      <c r="MLJ112" s="769"/>
      <c r="MLK112" s="769"/>
      <c r="MLL112" s="769"/>
      <c r="MLM112" s="769"/>
      <c r="MLN112" s="769"/>
      <c r="MLO112" s="769"/>
      <c r="MLP112" s="769"/>
      <c r="MLQ112" s="769"/>
      <c r="MLR112" s="769"/>
      <c r="MLS112" s="769"/>
      <c r="MLT112" s="769"/>
      <c r="MLU112" s="769"/>
      <c r="MLV112" s="769"/>
      <c r="MLW112" s="769"/>
      <c r="MLX112" s="769"/>
      <c r="MLY112" s="769"/>
      <c r="MLZ112" s="769"/>
      <c r="MMA112" s="769"/>
      <c r="MMB112" s="769"/>
      <c r="MMC112" s="769"/>
      <c r="MMD112" s="769"/>
      <c r="MME112" s="769"/>
      <c r="MMF112" s="769"/>
      <c r="MMG112" s="769"/>
      <c r="MMH112" s="769"/>
      <c r="MMI112" s="769"/>
      <c r="MMJ112" s="769"/>
      <c r="MMK112" s="769"/>
      <c r="MML112" s="769"/>
      <c r="MMM112" s="769"/>
      <c r="MMN112" s="769"/>
      <c r="MMO112" s="769"/>
      <c r="MMP112" s="769"/>
      <c r="MMQ112" s="769"/>
      <c r="MMR112" s="769"/>
      <c r="MMS112" s="769"/>
      <c r="MMT112" s="769"/>
      <c r="MMU112" s="769"/>
      <c r="MMV112" s="769"/>
      <c r="MMW112" s="769"/>
      <c r="MMX112" s="769"/>
      <c r="MMY112" s="769"/>
      <c r="MMZ112" s="769"/>
      <c r="MNA112" s="769"/>
      <c r="MNB112" s="769"/>
      <c r="MNC112" s="769"/>
      <c r="MND112" s="769"/>
      <c r="MNE112" s="769"/>
      <c r="MNF112" s="769"/>
      <c r="MNG112" s="769"/>
      <c r="MNH112" s="769"/>
      <c r="MNI112" s="769"/>
      <c r="MNJ112" s="769"/>
      <c r="MNK112" s="769"/>
      <c r="MNL112" s="769"/>
      <c r="MNM112" s="769"/>
      <c r="MNN112" s="769"/>
      <c r="MNO112" s="769"/>
      <c r="MNP112" s="769"/>
      <c r="MNQ112" s="769"/>
      <c r="MNR112" s="769"/>
      <c r="MNS112" s="769"/>
      <c r="MNT112" s="769"/>
      <c r="MNU112" s="769"/>
      <c r="MNV112" s="769"/>
      <c r="MNW112" s="769"/>
      <c r="MNX112" s="769"/>
      <c r="MNY112" s="769"/>
      <c r="MNZ112" s="769"/>
      <c r="MOA112" s="769"/>
      <c r="MOB112" s="769"/>
      <c r="MOC112" s="769"/>
      <c r="MOD112" s="769"/>
      <c r="MOE112" s="769"/>
      <c r="MOF112" s="769"/>
      <c r="MOG112" s="769"/>
      <c r="MOH112" s="769"/>
      <c r="MOI112" s="769"/>
      <c r="MOJ112" s="769"/>
      <c r="MOK112" s="769"/>
      <c r="MOL112" s="769"/>
      <c r="MOM112" s="769"/>
      <c r="MON112" s="769"/>
      <c r="MOO112" s="769"/>
      <c r="MOP112" s="769"/>
      <c r="MOQ112" s="769"/>
      <c r="MOR112" s="769"/>
      <c r="MOS112" s="769"/>
      <c r="MOT112" s="769"/>
      <c r="MOU112" s="769"/>
      <c r="MOV112" s="769"/>
      <c r="MOW112" s="769"/>
      <c r="MOX112" s="769"/>
      <c r="MOY112" s="769"/>
      <c r="MOZ112" s="769"/>
      <c r="MPA112" s="769"/>
      <c r="MPB112" s="769"/>
      <c r="MPC112" s="769"/>
      <c r="MPD112" s="769"/>
      <c r="MPE112" s="769"/>
      <c r="MPF112" s="769"/>
      <c r="MPG112" s="769"/>
      <c r="MPH112" s="769"/>
      <c r="MPI112" s="769"/>
      <c r="MPJ112" s="769"/>
      <c r="MPK112" s="769"/>
      <c r="MPL112" s="769"/>
      <c r="MPM112" s="769"/>
      <c r="MPN112" s="769"/>
      <c r="MPO112" s="769"/>
      <c r="MPP112" s="769"/>
      <c r="MPQ112" s="769"/>
      <c r="MPR112" s="769"/>
      <c r="MPS112" s="769"/>
      <c r="MPT112" s="769"/>
      <c r="MPU112" s="769"/>
      <c r="MPV112" s="769"/>
      <c r="MPW112" s="769"/>
      <c r="MPX112" s="769"/>
      <c r="MPY112" s="769"/>
      <c r="MPZ112" s="769"/>
      <c r="MQA112" s="769"/>
      <c r="MQB112" s="769"/>
      <c r="MQC112" s="769"/>
      <c r="MQD112" s="769"/>
      <c r="MQE112" s="769"/>
      <c r="MQF112" s="769"/>
      <c r="MQG112" s="769"/>
      <c r="MQH112" s="769"/>
      <c r="MQI112" s="769"/>
      <c r="MQJ112" s="769"/>
      <c r="MQK112" s="769"/>
      <c r="MQL112" s="769"/>
      <c r="MQM112" s="769"/>
      <c r="MQN112" s="769"/>
      <c r="MQO112" s="769"/>
      <c r="MQP112" s="769"/>
      <c r="MQQ112" s="769"/>
      <c r="MQR112" s="769"/>
      <c r="MQS112" s="769"/>
      <c r="MQT112" s="769"/>
      <c r="MQU112" s="769"/>
      <c r="MQV112" s="769"/>
      <c r="MQW112" s="769"/>
      <c r="MQX112" s="769"/>
      <c r="MQY112" s="769"/>
      <c r="MQZ112" s="769"/>
      <c r="MRA112" s="769"/>
      <c r="MRB112" s="769"/>
      <c r="MRC112" s="769"/>
      <c r="MRD112" s="769"/>
      <c r="MRE112" s="769"/>
      <c r="MRF112" s="769"/>
      <c r="MRG112" s="769"/>
      <c r="MRH112" s="769"/>
      <c r="MRI112" s="769"/>
      <c r="MRJ112" s="769"/>
      <c r="MRK112" s="769"/>
      <c r="MRL112" s="769"/>
      <c r="MRM112" s="769"/>
      <c r="MRN112" s="769"/>
      <c r="MRO112" s="769"/>
      <c r="MRP112" s="769"/>
      <c r="MRQ112" s="769"/>
      <c r="MRR112" s="769"/>
      <c r="MRS112" s="769"/>
      <c r="MRT112" s="769"/>
      <c r="MRU112" s="769"/>
      <c r="MRV112" s="769"/>
      <c r="MRW112" s="769"/>
      <c r="MRX112" s="769"/>
      <c r="MRY112" s="769"/>
      <c r="MRZ112" s="769"/>
      <c r="MSA112" s="769"/>
      <c r="MSB112" s="769"/>
      <c r="MSC112" s="769"/>
      <c r="MSD112" s="769"/>
      <c r="MSE112" s="769"/>
      <c r="MSF112" s="769"/>
      <c r="MSG112" s="769"/>
      <c r="MSH112" s="769"/>
      <c r="MSI112" s="769"/>
      <c r="MSJ112" s="769"/>
      <c r="MSK112" s="769"/>
      <c r="MSL112" s="769"/>
      <c r="MSM112" s="769"/>
      <c r="MSN112" s="769"/>
      <c r="MSO112" s="769"/>
      <c r="MSP112" s="769"/>
      <c r="MSQ112" s="769"/>
      <c r="MSR112" s="769"/>
      <c r="MSS112" s="769"/>
      <c r="MST112" s="769"/>
      <c r="MSU112" s="769"/>
      <c r="MSV112" s="769"/>
      <c r="MSW112" s="769"/>
      <c r="MSX112" s="769"/>
      <c r="MSY112" s="769"/>
      <c r="MSZ112" s="769"/>
      <c r="MTA112" s="769"/>
      <c r="MTB112" s="769"/>
      <c r="MTC112" s="769"/>
      <c r="MTD112" s="769"/>
      <c r="MTE112" s="769"/>
      <c r="MTF112" s="769"/>
      <c r="MTG112" s="769"/>
      <c r="MTH112" s="769"/>
      <c r="MTI112" s="769"/>
      <c r="MTJ112" s="769"/>
      <c r="MTK112" s="769"/>
      <c r="MTL112" s="769"/>
      <c r="MTM112" s="769"/>
      <c r="MTN112" s="769"/>
      <c r="MTO112" s="769"/>
      <c r="MTP112" s="769"/>
      <c r="MTQ112" s="769"/>
      <c r="MTR112" s="769"/>
      <c r="MTS112" s="769"/>
      <c r="MTT112" s="769"/>
      <c r="MTU112" s="769"/>
      <c r="MTV112" s="769"/>
      <c r="MTW112" s="769"/>
      <c r="MTX112" s="769"/>
      <c r="MTY112" s="769"/>
      <c r="MTZ112" s="769"/>
      <c r="MUA112" s="769"/>
      <c r="MUB112" s="769"/>
      <c r="MUC112" s="769"/>
      <c r="MUD112" s="769"/>
      <c r="MUE112" s="769"/>
      <c r="MUF112" s="769"/>
      <c r="MUG112" s="769"/>
      <c r="MUH112" s="769"/>
      <c r="MUI112" s="769"/>
      <c r="MUJ112" s="769"/>
      <c r="MUK112" s="769"/>
      <c r="MUL112" s="769"/>
      <c r="MUM112" s="769"/>
      <c r="MUN112" s="769"/>
      <c r="MUO112" s="769"/>
      <c r="MUP112" s="769"/>
      <c r="MUQ112" s="769"/>
      <c r="MUR112" s="769"/>
      <c r="MUS112" s="769"/>
      <c r="MUT112" s="769"/>
      <c r="MUU112" s="769"/>
      <c r="MUV112" s="769"/>
      <c r="MUW112" s="769"/>
      <c r="MUX112" s="769"/>
      <c r="MUY112" s="769"/>
      <c r="MUZ112" s="769"/>
      <c r="MVA112" s="769"/>
      <c r="MVB112" s="769"/>
      <c r="MVC112" s="769"/>
      <c r="MVD112" s="769"/>
      <c r="MVE112" s="769"/>
      <c r="MVF112" s="769"/>
      <c r="MVG112" s="769"/>
      <c r="MVH112" s="769"/>
      <c r="MVI112" s="769"/>
      <c r="MVJ112" s="769"/>
      <c r="MVK112" s="769"/>
      <c r="MVL112" s="769"/>
      <c r="MVM112" s="769"/>
      <c r="MVN112" s="769"/>
      <c r="MVO112" s="769"/>
      <c r="MVP112" s="769"/>
      <c r="MVQ112" s="769"/>
      <c r="MVR112" s="769"/>
      <c r="MVS112" s="769"/>
      <c r="MVT112" s="769"/>
      <c r="MVU112" s="769"/>
      <c r="MVV112" s="769"/>
      <c r="MVW112" s="769"/>
      <c r="MVX112" s="769"/>
      <c r="MVY112" s="769"/>
      <c r="MVZ112" s="769"/>
      <c r="MWA112" s="769"/>
      <c r="MWB112" s="769"/>
      <c r="MWC112" s="769"/>
      <c r="MWD112" s="769"/>
      <c r="MWE112" s="769"/>
      <c r="MWF112" s="769"/>
      <c r="MWG112" s="769"/>
      <c r="MWH112" s="769"/>
      <c r="MWI112" s="769"/>
      <c r="MWJ112" s="769"/>
      <c r="MWK112" s="769"/>
      <c r="MWL112" s="769"/>
      <c r="MWM112" s="769"/>
      <c r="MWN112" s="769"/>
      <c r="MWO112" s="769"/>
      <c r="MWP112" s="769"/>
      <c r="MWQ112" s="769"/>
      <c r="MWR112" s="769"/>
      <c r="MWS112" s="769"/>
      <c r="MWT112" s="769"/>
      <c r="MWU112" s="769"/>
      <c r="MWV112" s="769"/>
      <c r="MWW112" s="769"/>
      <c r="MWX112" s="769"/>
      <c r="MWY112" s="769"/>
      <c r="MWZ112" s="769"/>
      <c r="MXA112" s="769"/>
      <c r="MXB112" s="769"/>
      <c r="MXC112" s="769"/>
      <c r="MXD112" s="769"/>
      <c r="MXE112" s="769"/>
      <c r="MXF112" s="769"/>
      <c r="MXG112" s="769"/>
      <c r="MXH112" s="769"/>
      <c r="MXI112" s="769"/>
      <c r="MXJ112" s="769"/>
      <c r="MXK112" s="769"/>
      <c r="MXL112" s="769"/>
      <c r="MXM112" s="769"/>
      <c r="MXN112" s="769"/>
      <c r="MXO112" s="769"/>
      <c r="MXP112" s="769"/>
      <c r="MXQ112" s="769"/>
      <c r="MXR112" s="769"/>
      <c r="MXS112" s="769"/>
      <c r="MXT112" s="769"/>
      <c r="MXU112" s="769"/>
      <c r="MXV112" s="769"/>
      <c r="MXW112" s="769"/>
      <c r="MXX112" s="769"/>
      <c r="MXY112" s="769"/>
      <c r="MXZ112" s="769"/>
      <c r="MYA112" s="769"/>
      <c r="MYB112" s="769"/>
      <c r="MYC112" s="769"/>
      <c r="MYD112" s="769"/>
      <c r="MYE112" s="769"/>
      <c r="MYF112" s="769"/>
      <c r="MYG112" s="769"/>
      <c r="MYH112" s="769"/>
      <c r="MYI112" s="769"/>
      <c r="MYJ112" s="769"/>
      <c r="MYK112" s="769"/>
      <c r="MYL112" s="769"/>
      <c r="MYM112" s="769"/>
      <c r="MYN112" s="769"/>
      <c r="MYO112" s="769"/>
      <c r="MYP112" s="769"/>
      <c r="MYQ112" s="769"/>
      <c r="MYR112" s="769"/>
      <c r="MYS112" s="769"/>
      <c r="MYT112" s="769"/>
      <c r="MYU112" s="769"/>
      <c r="MYV112" s="769"/>
      <c r="MYW112" s="769"/>
      <c r="MYX112" s="769"/>
      <c r="MYY112" s="769"/>
      <c r="MYZ112" s="769"/>
      <c r="MZA112" s="769"/>
      <c r="MZB112" s="769"/>
      <c r="MZC112" s="769"/>
      <c r="MZD112" s="769"/>
      <c r="MZE112" s="769"/>
      <c r="MZF112" s="769"/>
      <c r="MZG112" s="769"/>
      <c r="MZH112" s="769"/>
      <c r="MZI112" s="769"/>
      <c r="MZJ112" s="769"/>
      <c r="MZK112" s="769"/>
      <c r="MZL112" s="769"/>
      <c r="MZM112" s="769"/>
      <c r="MZN112" s="769"/>
      <c r="MZO112" s="769"/>
      <c r="MZP112" s="769"/>
      <c r="MZQ112" s="769"/>
      <c r="MZR112" s="769"/>
      <c r="MZS112" s="769"/>
      <c r="MZT112" s="769"/>
      <c r="MZU112" s="769"/>
      <c r="MZV112" s="769"/>
      <c r="MZW112" s="769"/>
      <c r="MZX112" s="769"/>
      <c r="MZY112" s="769"/>
      <c r="MZZ112" s="769"/>
      <c r="NAA112" s="769"/>
      <c r="NAB112" s="769"/>
      <c r="NAC112" s="769"/>
      <c r="NAD112" s="769"/>
      <c r="NAE112" s="769"/>
      <c r="NAF112" s="769"/>
      <c r="NAG112" s="769"/>
      <c r="NAH112" s="769"/>
      <c r="NAI112" s="769"/>
      <c r="NAJ112" s="769"/>
      <c r="NAK112" s="769"/>
      <c r="NAL112" s="769"/>
      <c r="NAM112" s="769"/>
      <c r="NAN112" s="769"/>
      <c r="NAO112" s="769"/>
      <c r="NAP112" s="769"/>
      <c r="NAQ112" s="769"/>
      <c r="NAR112" s="769"/>
      <c r="NAS112" s="769"/>
      <c r="NAT112" s="769"/>
      <c r="NAU112" s="769"/>
      <c r="NAV112" s="769"/>
      <c r="NAW112" s="769"/>
      <c r="NAX112" s="769"/>
      <c r="NAY112" s="769"/>
      <c r="NAZ112" s="769"/>
      <c r="NBA112" s="769"/>
      <c r="NBB112" s="769"/>
      <c r="NBC112" s="769"/>
      <c r="NBD112" s="769"/>
      <c r="NBE112" s="769"/>
      <c r="NBF112" s="769"/>
      <c r="NBG112" s="769"/>
      <c r="NBH112" s="769"/>
      <c r="NBI112" s="769"/>
      <c r="NBJ112" s="769"/>
      <c r="NBK112" s="769"/>
      <c r="NBL112" s="769"/>
      <c r="NBM112" s="769"/>
      <c r="NBN112" s="769"/>
      <c r="NBO112" s="769"/>
      <c r="NBP112" s="769"/>
      <c r="NBQ112" s="769"/>
      <c r="NBR112" s="769"/>
      <c r="NBS112" s="769"/>
      <c r="NBT112" s="769"/>
      <c r="NBU112" s="769"/>
      <c r="NBV112" s="769"/>
      <c r="NBW112" s="769"/>
      <c r="NBX112" s="769"/>
      <c r="NBY112" s="769"/>
      <c r="NBZ112" s="769"/>
      <c r="NCA112" s="769"/>
      <c r="NCB112" s="769"/>
      <c r="NCC112" s="769"/>
      <c r="NCD112" s="769"/>
      <c r="NCE112" s="769"/>
      <c r="NCF112" s="769"/>
      <c r="NCG112" s="769"/>
      <c r="NCH112" s="769"/>
      <c r="NCI112" s="769"/>
      <c r="NCJ112" s="769"/>
      <c r="NCK112" s="769"/>
      <c r="NCL112" s="769"/>
      <c r="NCM112" s="769"/>
      <c r="NCN112" s="769"/>
      <c r="NCO112" s="769"/>
      <c r="NCP112" s="769"/>
      <c r="NCQ112" s="769"/>
      <c r="NCR112" s="769"/>
      <c r="NCS112" s="769"/>
      <c r="NCT112" s="769"/>
      <c r="NCU112" s="769"/>
      <c r="NCV112" s="769"/>
      <c r="NCW112" s="769"/>
      <c r="NCX112" s="769"/>
      <c r="NCY112" s="769"/>
      <c r="NCZ112" s="769"/>
      <c r="NDA112" s="769"/>
      <c r="NDB112" s="769"/>
      <c r="NDC112" s="769"/>
      <c r="NDD112" s="769"/>
      <c r="NDE112" s="769"/>
      <c r="NDF112" s="769"/>
      <c r="NDG112" s="769"/>
      <c r="NDH112" s="769"/>
      <c r="NDI112" s="769"/>
      <c r="NDJ112" s="769"/>
      <c r="NDK112" s="769"/>
      <c r="NDL112" s="769"/>
      <c r="NDM112" s="769"/>
      <c r="NDN112" s="769"/>
      <c r="NDO112" s="769"/>
      <c r="NDP112" s="769"/>
      <c r="NDQ112" s="769"/>
      <c r="NDR112" s="769"/>
      <c r="NDS112" s="769"/>
      <c r="NDT112" s="769"/>
      <c r="NDU112" s="769"/>
      <c r="NDV112" s="769"/>
      <c r="NDW112" s="769"/>
      <c r="NDX112" s="769"/>
      <c r="NDY112" s="769"/>
      <c r="NDZ112" s="769"/>
      <c r="NEA112" s="769"/>
      <c r="NEB112" s="769"/>
      <c r="NEC112" s="769"/>
      <c r="NED112" s="769"/>
      <c r="NEE112" s="769"/>
      <c r="NEF112" s="769"/>
      <c r="NEG112" s="769"/>
      <c r="NEH112" s="769"/>
      <c r="NEI112" s="769"/>
      <c r="NEJ112" s="769"/>
      <c r="NEK112" s="769"/>
      <c r="NEL112" s="769"/>
      <c r="NEM112" s="769"/>
      <c r="NEN112" s="769"/>
      <c r="NEO112" s="769"/>
      <c r="NEP112" s="769"/>
      <c r="NEQ112" s="769"/>
      <c r="NER112" s="769"/>
      <c r="NES112" s="769"/>
      <c r="NET112" s="769"/>
      <c r="NEU112" s="769"/>
      <c r="NEV112" s="769"/>
      <c r="NEW112" s="769"/>
      <c r="NEX112" s="769"/>
      <c r="NEY112" s="769"/>
      <c r="NEZ112" s="769"/>
      <c r="NFA112" s="769"/>
      <c r="NFB112" s="769"/>
      <c r="NFC112" s="769"/>
      <c r="NFD112" s="769"/>
      <c r="NFE112" s="769"/>
      <c r="NFF112" s="769"/>
      <c r="NFG112" s="769"/>
      <c r="NFH112" s="769"/>
      <c r="NFI112" s="769"/>
      <c r="NFJ112" s="769"/>
      <c r="NFK112" s="769"/>
      <c r="NFL112" s="769"/>
      <c r="NFM112" s="769"/>
      <c r="NFN112" s="769"/>
      <c r="NFO112" s="769"/>
      <c r="NFP112" s="769"/>
      <c r="NFQ112" s="769"/>
      <c r="NFR112" s="769"/>
      <c r="NFS112" s="769"/>
      <c r="NFT112" s="769"/>
      <c r="NFU112" s="769"/>
      <c r="NFV112" s="769"/>
      <c r="NFW112" s="769"/>
      <c r="NFX112" s="769"/>
      <c r="NFY112" s="769"/>
      <c r="NFZ112" s="769"/>
      <c r="NGA112" s="769"/>
      <c r="NGB112" s="769"/>
      <c r="NGC112" s="769"/>
      <c r="NGD112" s="769"/>
      <c r="NGE112" s="769"/>
      <c r="NGF112" s="769"/>
      <c r="NGG112" s="769"/>
      <c r="NGH112" s="769"/>
      <c r="NGI112" s="769"/>
      <c r="NGJ112" s="769"/>
      <c r="NGK112" s="769"/>
      <c r="NGL112" s="769"/>
      <c r="NGM112" s="769"/>
      <c r="NGN112" s="769"/>
      <c r="NGO112" s="769"/>
      <c r="NGP112" s="769"/>
      <c r="NGQ112" s="769"/>
      <c r="NGR112" s="769"/>
      <c r="NGS112" s="769"/>
      <c r="NGT112" s="769"/>
      <c r="NGU112" s="769"/>
      <c r="NGV112" s="769"/>
      <c r="NGW112" s="769"/>
      <c r="NGX112" s="769"/>
      <c r="NGY112" s="769"/>
      <c r="NGZ112" s="769"/>
      <c r="NHA112" s="769"/>
      <c r="NHB112" s="769"/>
      <c r="NHC112" s="769"/>
      <c r="NHD112" s="769"/>
      <c r="NHE112" s="769"/>
      <c r="NHF112" s="769"/>
      <c r="NHG112" s="769"/>
      <c r="NHH112" s="769"/>
      <c r="NHI112" s="769"/>
      <c r="NHJ112" s="769"/>
      <c r="NHK112" s="769"/>
      <c r="NHL112" s="769"/>
      <c r="NHM112" s="769"/>
      <c r="NHN112" s="769"/>
      <c r="NHO112" s="769"/>
      <c r="NHP112" s="769"/>
      <c r="NHQ112" s="769"/>
      <c r="NHR112" s="769"/>
      <c r="NHS112" s="769"/>
      <c r="NHT112" s="769"/>
      <c r="NHU112" s="769"/>
      <c r="NHV112" s="769"/>
      <c r="NHW112" s="769"/>
      <c r="NHX112" s="769"/>
      <c r="NHY112" s="769"/>
      <c r="NHZ112" s="769"/>
      <c r="NIA112" s="769"/>
      <c r="NIB112" s="769"/>
      <c r="NIC112" s="769"/>
      <c r="NID112" s="769"/>
      <c r="NIE112" s="769"/>
      <c r="NIF112" s="769"/>
      <c r="NIG112" s="769"/>
      <c r="NIH112" s="769"/>
      <c r="NII112" s="769"/>
      <c r="NIJ112" s="769"/>
      <c r="NIK112" s="769"/>
      <c r="NIL112" s="769"/>
      <c r="NIM112" s="769"/>
      <c r="NIN112" s="769"/>
      <c r="NIO112" s="769"/>
      <c r="NIP112" s="769"/>
      <c r="NIQ112" s="769"/>
      <c r="NIR112" s="769"/>
      <c r="NIS112" s="769"/>
      <c r="NIT112" s="769"/>
      <c r="NIU112" s="769"/>
      <c r="NIV112" s="769"/>
      <c r="NIW112" s="769"/>
      <c r="NIX112" s="769"/>
      <c r="NIY112" s="769"/>
      <c r="NIZ112" s="769"/>
      <c r="NJA112" s="769"/>
      <c r="NJB112" s="769"/>
      <c r="NJC112" s="769"/>
      <c r="NJD112" s="769"/>
      <c r="NJE112" s="769"/>
      <c r="NJF112" s="769"/>
      <c r="NJG112" s="769"/>
      <c r="NJH112" s="769"/>
      <c r="NJI112" s="769"/>
      <c r="NJJ112" s="769"/>
      <c r="NJK112" s="769"/>
      <c r="NJL112" s="769"/>
      <c r="NJM112" s="769"/>
      <c r="NJN112" s="769"/>
      <c r="NJO112" s="769"/>
      <c r="NJP112" s="769"/>
      <c r="NJQ112" s="769"/>
      <c r="NJR112" s="769"/>
      <c r="NJS112" s="769"/>
      <c r="NJT112" s="769"/>
      <c r="NJU112" s="769"/>
      <c r="NJV112" s="769"/>
      <c r="NJW112" s="769"/>
      <c r="NJX112" s="769"/>
      <c r="NJY112" s="769"/>
      <c r="NJZ112" s="769"/>
      <c r="NKA112" s="769"/>
      <c r="NKB112" s="769"/>
      <c r="NKC112" s="769"/>
      <c r="NKD112" s="769"/>
      <c r="NKE112" s="769"/>
      <c r="NKF112" s="769"/>
      <c r="NKG112" s="769"/>
      <c r="NKH112" s="769"/>
      <c r="NKI112" s="769"/>
      <c r="NKJ112" s="769"/>
      <c r="NKK112" s="769"/>
      <c r="NKL112" s="769"/>
      <c r="NKM112" s="769"/>
      <c r="NKN112" s="769"/>
      <c r="NKO112" s="769"/>
      <c r="NKP112" s="769"/>
      <c r="NKQ112" s="769"/>
      <c r="NKR112" s="769"/>
      <c r="NKS112" s="769"/>
      <c r="NKT112" s="769"/>
      <c r="NKU112" s="769"/>
      <c r="NKV112" s="769"/>
      <c r="NKW112" s="769"/>
      <c r="NKX112" s="769"/>
      <c r="NKY112" s="769"/>
      <c r="NKZ112" s="769"/>
      <c r="NLA112" s="769"/>
      <c r="NLB112" s="769"/>
      <c r="NLC112" s="769"/>
      <c r="NLD112" s="769"/>
      <c r="NLE112" s="769"/>
      <c r="NLF112" s="769"/>
      <c r="NLG112" s="769"/>
      <c r="NLH112" s="769"/>
      <c r="NLI112" s="769"/>
      <c r="NLJ112" s="769"/>
      <c r="NLK112" s="769"/>
      <c r="NLL112" s="769"/>
      <c r="NLM112" s="769"/>
      <c r="NLN112" s="769"/>
      <c r="NLO112" s="769"/>
      <c r="NLP112" s="769"/>
      <c r="NLQ112" s="769"/>
      <c r="NLR112" s="769"/>
      <c r="NLS112" s="769"/>
      <c r="NLT112" s="769"/>
      <c r="NLU112" s="769"/>
      <c r="NLV112" s="769"/>
      <c r="NLW112" s="769"/>
      <c r="NLX112" s="769"/>
      <c r="NLY112" s="769"/>
      <c r="NLZ112" s="769"/>
      <c r="NMA112" s="769"/>
      <c r="NMB112" s="769"/>
      <c r="NMC112" s="769"/>
      <c r="NMD112" s="769"/>
      <c r="NME112" s="769"/>
      <c r="NMF112" s="769"/>
      <c r="NMG112" s="769"/>
      <c r="NMH112" s="769"/>
      <c r="NMI112" s="769"/>
      <c r="NMJ112" s="769"/>
      <c r="NMK112" s="769"/>
      <c r="NML112" s="769"/>
      <c r="NMM112" s="769"/>
      <c r="NMN112" s="769"/>
      <c r="NMO112" s="769"/>
      <c r="NMP112" s="769"/>
      <c r="NMQ112" s="769"/>
      <c r="NMR112" s="769"/>
      <c r="NMS112" s="769"/>
      <c r="NMT112" s="769"/>
      <c r="NMU112" s="769"/>
      <c r="NMV112" s="769"/>
      <c r="NMW112" s="769"/>
      <c r="NMX112" s="769"/>
      <c r="NMY112" s="769"/>
      <c r="NMZ112" s="769"/>
      <c r="NNA112" s="769"/>
      <c r="NNB112" s="769"/>
      <c r="NNC112" s="769"/>
      <c r="NND112" s="769"/>
      <c r="NNE112" s="769"/>
      <c r="NNF112" s="769"/>
      <c r="NNG112" s="769"/>
      <c r="NNH112" s="769"/>
      <c r="NNI112" s="769"/>
      <c r="NNJ112" s="769"/>
      <c r="NNK112" s="769"/>
      <c r="NNL112" s="769"/>
      <c r="NNM112" s="769"/>
      <c r="NNN112" s="769"/>
      <c r="NNO112" s="769"/>
      <c r="NNP112" s="769"/>
      <c r="NNQ112" s="769"/>
      <c r="NNR112" s="769"/>
      <c r="NNS112" s="769"/>
      <c r="NNT112" s="769"/>
      <c r="NNU112" s="769"/>
      <c r="NNV112" s="769"/>
      <c r="NNW112" s="769"/>
      <c r="NNX112" s="769"/>
      <c r="NNY112" s="769"/>
      <c r="NNZ112" s="769"/>
      <c r="NOA112" s="769"/>
      <c r="NOB112" s="769"/>
      <c r="NOC112" s="769"/>
      <c r="NOD112" s="769"/>
      <c r="NOE112" s="769"/>
      <c r="NOF112" s="769"/>
      <c r="NOG112" s="769"/>
      <c r="NOH112" s="769"/>
      <c r="NOI112" s="769"/>
      <c r="NOJ112" s="769"/>
      <c r="NOK112" s="769"/>
      <c r="NOL112" s="769"/>
      <c r="NOM112" s="769"/>
      <c r="NON112" s="769"/>
      <c r="NOO112" s="769"/>
      <c r="NOP112" s="769"/>
      <c r="NOQ112" s="769"/>
      <c r="NOR112" s="769"/>
      <c r="NOS112" s="769"/>
      <c r="NOT112" s="769"/>
      <c r="NOU112" s="769"/>
      <c r="NOV112" s="769"/>
      <c r="NOW112" s="769"/>
      <c r="NOX112" s="769"/>
      <c r="NOY112" s="769"/>
      <c r="NOZ112" s="769"/>
      <c r="NPA112" s="769"/>
      <c r="NPB112" s="769"/>
      <c r="NPC112" s="769"/>
      <c r="NPD112" s="769"/>
      <c r="NPE112" s="769"/>
      <c r="NPF112" s="769"/>
      <c r="NPG112" s="769"/>
      <c r="NPH112" s="769"/>
      <c r="NPI112" s="769"/>
      <c r="NPJ112" s="769"/>
      <c r="NPK112" s="769"/>
      <c r="NPL112" s="769"/>
      <c r="NPM112" s="769"/>
      <c r="NPN112" s="769"/>
      <c r="NPO112" s="769"/>
      <c r="NPP112" s="769"/>
      <c r="NPQ112" s="769"/>
      <c r="NPR112" s="769"/>
      <c r="NPS112" s="769"/>
      <c r="NPT112" s="769"/>
      <c r="NPU112" s="769"/>
      <c r="NPV112" s="769"/>
      <c r="NPW112" s="769"/>
      <c r="NPX112" s="769"/>
      <c r="NPY112" s="769"/>
      <c r="NPZ112" s="769"/>
      <c r="NQA112" s="769"/>
      <c r="NQB112" s="769"/>
      <c r="NQC112" s="769"/>
      <c r="NQD112" s="769"/>
      <c r="NQE112" s="769"/>
      <c r="NQF112" s="769"/>
      <c r="NQG112" s="769"/>
      <c r="NQH112" s="769"/>
      <c r="NQI112" s="769"/>
      <c r="NQJ112" s="769"/>
      <c r="NQK112" s="769"/>
      <c r="NQL112" s="769"/>
      <c r="NQM112" s="769"/>
      <c r="NQN112" s="769"/>
      <c r="NQO112" s="769"/>
      <c r="NQP112" s="769"/>
      <c r="NQQ112" s="769"/>
      <c r="NQR112" s="769"/>
      <c r="NQS112" s="769"/>
      <c r="NQT112" s="769"/>
      <c r="NQU112" s="769"/>
      <c r="NQV112" s="769"/>
      <c r="NQW112" s="769"/>
      <c r="NQX112" s="769"/>
      <c r="NQY112" s="769"/>
      <c r="NQZ112" s="769"/>
      <c r="NRA112" s="769"/>
      <c r="NRB112" s="769"/>
      <c r="NRC112" s="769"/>
      <c r="NRD112" s="769"/>
      <c r="NRE112" s="769"/>
      <c r="NRF112" s="769"/>
      <c r="NRG112" s="769"/>
      <c r="NRH112" s="769"/>
      <c r="NRI112" s="769"/>
      <c r="NRJ112" s="769"/>
      <c r="NRK112" s="769"/>
      <c r="NRL112" s="769"/>
      <c r="NRM112" s="769"/>
      <c r="NRN112" s="769"/>
      <c r="NRO112" s="769"/>
      <c r="NRP112" s="769"/>
      <c r="NRQ112" s="769"/>
      <c r="NRR112" s="769"/>
      <c r="NRS112" s="769"/>
      <c r="NRT112" s="769"/>
      <c r="NRU112" s="769"/>
      <c r="NRV112" s="769"/>
      <c r="NRW112" s="769"/>
      <c r="NRX112" s="769"/>
      <c r="NRY112" s="769"/>
      <c r="NRZ112" s="769"/>
      <c r="NSA112" s="769"/>
      <c r="NSB112" s="769"/>
      <c r="NSC112" s="769"/>
      <c r="NSD112" s="769"/>
      <c r="NSE112" s="769"/>
      <c r="NSF112" s="769"/>
      <c r="NSG112" s="769"/>
      <c r="NSH112" s="769"/>
      <c r="NSI112" s="769"/>
      <c r="NSJ112" s="769"/>
      <c r="NSK112" s="769"/>
      <c r="NSL112" s="769"/>
      <c r="NSM112" s="769"/>
      <c r="NSN112" s="769"/>
      <c r="NSO112" s="769"/>
      <c r="NSP112" s="769"/>
      <c r="NSQ112" s="769"/>
      <c r="NSR112" s="769"/>
      <c r="NSS112" s="769"/>
      <c r="NST112" s="769"/>
      <c r="NSU112" s="769"/>
      <c r="NSV112" s="769"/>
      <c r="NSW112" s="769"/>
      <c r="NSX112" s="769"/>
      <c r="NSY112" s="769"/>
      <c r="NSZ112" s="769"/>
      <c r="NTA112" s="769"/>
      <c r="NTB112" s="769"/>
      <c r="NTC112" s="769"/>
      <c r="NTD112" s="769"/>
      <c r="NTE112" s="769"/>
      <c r="NTF112" s="769"/>
      <c r="NTG112" s="769"/>
      <c r="NTH112" s="769"/>
      <c r="NTI112" s="769"/>
      <c r="NTJ112" s="769"/>
      <c r="NTK112" s="769"/>
      <c r="NTL112" s="769"/>
      <c r="NTM112" s="769"/>
      <c r="NTN112" s="769"/>
      <c r="NTO112" s="769"/>
      <c r="NTP112" s="769"/>
      <c r="NTQ112" s="769"/>
      <c r="NTR112" s="769"/>
      <c r="NTS112" s="769"/>
      <c r="NTT112" s="769"/>
      <c r="NTU112" s="769"/>
      <c r="NTV112" s="769"/>
      <c r="NTW112" s="769"/>
      <c r="NTX112" s="769"/>
      <c r="NTY112" s="769"/>
      <c r="NTZ112" s="769"/>
      <c r="NUA112" s="769"/>
      <c r="NUB112" s="769"/>
      <c r="NUC112" s="769"/>
      <c r="NUD112" s="769"/>
      <c r="NUE112" s="769"/>
      <c r="NUF112" s="769"/>
      <c r="NUG112" s="769"/>
      <c r="NUH112" s="769"/>
      <c r="NUI112" s="769"/>
      <c r="NUJ112" s="769"/>
      <c r="NUK112" s="769"/>
      <c r="NUL112" s="769"/>
      <c r="NUM112" s="769"/>
      <c r="NUN112" s="769"/>
      <c r="NUO112" s="769"/>
      <c r="NUP112" s="769"/>
      <c r="NUQ112" s="769"/>
      <c r="NUR112" s="769"/>
      <c r="NUS112" s="769"/>
      <c r="NUT112" s="769"/>
      <c r="NUU112" s="769"/>
      <c r="NUV112" s="769"/>
      <c r="NUW112" s="769"/>
      <c r="NUX112" s="769"/>
      <c r="NUY112" s="769"/>
      <c r="NUZ112" s="769"/>
      <c r="NVA112" s="769"/>
      <c r="NVB112" s="769"/>
      <c r="NVC112" s="769"/>
      <c r="NVD112" s="769"/>
      <c r="NVE112" s="769"/>
      <c r="NVF112" s="769"/>
      <c r="NVG112" s="769"/>
      <c r="NVH112" s="769"/>
      <c r="NVI112" s="769"/>
      <c r="NVJ112" s="769"/>
      <c r="NVK112" s="769"/>
      <c r="NVL112" s="769"/>
      <c r="NVM112" s="769"/>
      <c r="NVN112" s="769"/>
      <c r="NVO112" s="769"/>
      <c r="NVP112" s="769"/>
      <c r="NVQ112" s="769"/>
      <c r="NVR112" s="769"/>
      <c r="NVS112" s="769"/>
      <c r="NVT112" s="769"/>
      <c r="NVU112" s="769"/>
      <c r="NVV112" s="769"/>
      <c r="NVW112" s="769"/>
      <c r="NVX112" s="769"/>
      <c r="NVY112" s="769"/>
      <c r="NVZ112" s="769"/>
      <c r="NWA112" s="769"/>
      <c r="NWB112" s="769"/>
      <c r="NWC112" s="769"/>
      <c r="NWD112" s="769"/>
      <c r="NWE112" s="769"/>
      <c r="NWF112" s="769"/>
      <c r="NWG112" s="769"/>
      <c r="NWH112" s="769"/>
      <c r="NWI112" s="769"/>
      <c r="NWJ112" s="769"/>
      <c r="NWK112" s="769"/>
      <c r="NWL112" s="769"/>
      <c r="NWM112" s="769"/>
      <c r="NWN112" s="769"/>
      <c r="NWO112" s="769"/>
      <c r="NWP112" s="769"/>
      <c r="NWQ112" s="769"/>
      <c r="NWR112" s="769"/>
      <c r="NWS112" s="769"/>
      <c r="NWT112" s="769"/>
      <c r="NWU112" s="769"/>
      <c r="NWV112" s="769"/>
      <c r="NWW112" s="769"/>
      <c r="NWX112" s="769"/>
      <c r="NWY112" s="769"/>
      <c r="NWZ112" s="769"/>
      <c r="NXA112" s="769"/>
      <c r="NXB112" s="769"/>
      <c r="NXC112" s="769"/>
      <c r="NXD112" s="769"/>
      <c r="NXE112" s="769"/>
      <c r="NXF112" s="769"/>
      <c r="NXG112" s="769"/>
      <c r="NXH112" s="769"/>
      <c r="NXI112" s="769"/>
      <c r="NXJ112" s="769"/>
      <c r="NXK112" s="769"/>
      <c r="NXL112" s="769"/>
      <c r="NXM112" s="769"/>
      <c r="NXN112" s="769"/>
      <c r="NXO112" s="769"/>
      <c r="NXP112" s="769"/>
      <c r="NXQ112" s="769"/>
      <c r="NXR112" s="769"/>
      <c r="NXS112" s="769"/>
      <c r="NXT112" s="769"/>
      <c r="NXU112" s="769"/>
      <c r="NXV112" s="769"/>
      <c r="NXW112" s="769"/>
      <c r="NXX112" s="769"/>
      <c r="NXY112" s="769"/>
      <c r="NXZ112" s="769"/>
      <c r="NYA112" s="769"/>
      <c r="NYB112" s="769"/>
      <c r="NYC112" s="769"/>
      <c r="NYD112" s="769"/>
      <c r="NYE112" s="769"/>
      <c r="NYF112" s="769"/>
      <c r="NYG112" s="769"/>
      <c r="NYH112" s="769"/>
      <c r="NYI112" s="769"/>
      <c r="NYJ112" s="769"/>
      <c r="NYK112" s="769"/>
      <c r="NYL112" s="769"/>
      <c r="NYM112" s="769"/>
      <c r="NYN112" s="769"/>
      <c r="NYO112" s="769"/>
      <c r="NYP112" s="769"/>
      <c r="NYQ112" s="769"/>
      <c r="NYR112" s="769"/>
      <c r="NYS112" s="769"/>
      <c r="NYT112" s="769"/>
      <c r="NYU112" s="769"/>
      <c r="NYV112" s="769"/>
      <c r="NYW112" s="769"/>
      <c r="NYX112" s="769"/>
      <c r="NYY112" s="769"/>
      <c r="NYZ112" s="769"/>
      <c r="NZA112" s="769"/>
      <c r="NZB112" s="769"/>
      <c r="NZC112" s="769"/>
      <c r="NZD112" s="769"/>
      <c r="NZE112" s="769"/>
      <c r="NZF112" s="769"/>
      <c r="NZG112" s="769"/>
      <c r="NZH112" s="769"/>
      <c r="NZI112" s="769"/>
      <c r="NZJ112" s="769"/>
      <c r="NZK112" s="769"/>
      <c r="NZL112" s="769"/>
      <c r="NZM112" s="769"/>
      <c r="NZN112" s="769"/>
      <c r="NZO112" s="769"/>
      <c r="NZP112" s="769"/>
      <c r="NZQ112" s="769"/>
      <c r="NZR112" s="769"/>
      <c r="NZS112" s="769"/>
      <c r="NZT112" s="769"/>
      <c r="NZU112" s="769"/>
      <c r="NZV112" s="769"/>
      <c r="NZW112" s="769"/>
      <c r="NZX112" s="769"/>
      <c r="NZY112" s="769"/>
      <c r="NZZ112" s="769"/>
      <c r="OAA112" s="769"/>
      <c r="OAB112" s="769"/>
      <c r="OAC112" s="769"/>
      <c r="OAD112" s="769"/>
      <c r="OAE112" s="769"/>
      <c r="OAF112" s="769"/>
      <c r="OAG112" s="769"/>
      <c r="OAH112" s="769"/>
      <c r="OAI112" s="769"/>
      <c r="OAJ112" s="769"/>
      <c r="OAK112" s="769"/>
      <c r="OAL112" s="769"/>
      <c r="OAM112" s="769"/>
      <c r="OAN112" s="769"/>
      <c r="OAO112" s="769"/>
      <c r="OAP112" s="769"/>
      <c r="OAQ112" s="769"/>
      <c r="OAR112" s="769"/>
      <c r="OAS112" s="769"/>
      <c r="OAT112" s="769"/>
      <c r="OAU112" s="769"/>
      <c r="OAV112" s="769"/>
      <c r="OAW112" s="769"/>
      <c r="OAX112" s="769"/>
      <c r="OAY112" s="769"/>
      <c r="OAZ112" s="769"/>
      <c r="OBA112" s="769"/>
      <c r="OBB112" s="769"/>
      <c r="OBC112" s="769"/>
      <c r="OBD112" s="769"/>
      <c r="OBE112" s="769"/>
      <c r="OBF112" s="769"/>
      <c r="OBG112" s="769"/>
      <c r="OBH112" s="769"/>
      <c r="OBI112" s="769"/>
      <c r="OBJ112" s="769"/>
      <c r="OBK112" s="769"/>
      <c r="OBL112" s="769"/>
      <c r="OBM112" s="769"/>
      <c r="OBN112" s="769"/>
      <c r="OBO112" s="769"/>
      <c r="OBP112" s="769"/>
      <c r="OBQ112" s="769"/>
      <c r="OBR112" s="769"/>
      <c r="OBS112" s="769"/>
      <c r="OBT112" s="769"/>
      <c r="OBU112" s="769"/>
      <c r="OBV112" s="769"/>
      <c r="OBW112" s="769"/>
      <c r="OBX112" s="769"/>
      <c r="OBY112" s="769"/>
      <c r="OBZ112" s="769"/>
      <c r="OCA112" s="769"/>
      <c r="OCB112" s="769"/>
      <c r="OCC112" s="769"/>
      <c r="OCD112" s="769"/>
      <c r="OCE112" s="769"/>
      <c r="OCF112" s="769"/>
      <c r="OCG112" s="769"/>
      <c r="OCH112" s="769"/>
      <c r="OCI112" s="769"/>
      <c r="OCJ112" s="769"/>
      <c r="OCK112" s="769"/>
      <c r="OCL112" s="769"/>
      <c r="OCM112" s="769"/>
      <c r="OCN112" s="769"/>
      <c r="OCO112" s="769"/>
      <c r="OCP112" s="769"/>
      <c r="OCQ112" s="769"/>
      <c r="OCR112" s="769"/>
      <c r="OCS112" s="769"/>
      <c r="OCT112" s="769"/>
      <c r="OCU112" s="769"/>
      <c r="OCV112" s="769"/>
      <c r="OCW112" s="769"/>
      <c r="OCX112" s="769"/>
      <c r="OCY112" s="769"/>
      <c r="OCZ112" s="769"/>
      <c r="ODA112" s="769"/>
      <c r="ODB112" s="769"/>
      <c r="ODC112" s="769"/>
      <c r="ODD112" s="769"/>
      <c r="ODE112" s="769"/>
      <c r="ODF112" s="769"/>
      <c r="ODG112" s="769"/>
      <c r="ODH112" s="769"/>
      <c r="ODI112" s="769"/>
      <c r="ODJ112" s="769"/>
      <c r="ODK112" s="769"/>
      <c r="ODL112" s="769"/>
      <c r="ODM112" s="769"/>
      <c r="ODN112" s="769"/>
      <c r="ODO112" s="769"/>
      <c r="ODP112" s="769"/>
      <c r="ODQ112" s="769"/>
      <c r="ODR112" s="769"/>
      <c r="ODS112" s="769"/>
      <c r="ODT112" s="769"/>
      <c r="ODU112" s="769"/>
      <c r="ODV112" s="769"/>
      <c r="ODW112" s="769"/>
      <c r="ODX112" s="769"/>
      <c r="ODY112" s="769"/>
      <c r="ODZ112" s="769"/>
      <c r="OEA112" s="769"/>
      <c r="OEB112" s="769"/>
      <c r="OEC112" s="769"/>
      <c r="OED112" s="769"/>
      <c r="OEE112" s="769"/>
      <c r="OEF112" s="769"/>
      <c r="OEG112" s="769"/>
      <c r="OEH112" s="769"/>
      <c r="OEI112" s="769"/>
      <c r="OEJ112" s="769"/>
      <c r="OEK112" s="769"/>
      <c r="OEL112" s="769"/>
      <c r="OEM112" s="769"/>
      <c r="OEN112" s="769"/>
      <c r="OEO112" s="769"/>
      <c r="OEP112" s="769"/>
      <c r="OEQ112" s="769"/>
      <c r="OER112" s="769"/>
      <c r="OES112" s="769"/>
      <c r="OET112" s="769"/>
      <c r="OEU112" s="769"/>
      <c r="OEV112" s="769"/>
      <c r="OEW112" s="769"/>
      <c r="OEX112" s="769"/>
      <c r="OEY112" s="769"/>
      <c r="OEZ112" s="769"/>
      <c r="OFA112" s="769"/>
      <c r="OFB112" s="769"/>
      <c r="OFC112" s="769"/>
      <c r="OFD112" s="769"/>
      <c r="OFE112" s="769"/>
      <c r="OFF112" s="769"/>
      <c r="OFG112" s="769"/>
      <c r="OFH112" s="769"/>
      <c r="OFI112" s="769"/>
      <c r="OFJ112" s="769"/>
      <c r="OFK112" s="769"/>
      <c r="OFL112" s="769"/>
      <c r="OFM112" s="769"/>
      <c r="OFN112" s="769"/>
      <c r="OFO112" s="769"/>
      <c r="OFP112" s="769"/>
      <c r="OFQ112" s="769"/>
      <c r="OFR112" s="769"/>
      <c r="OFS112" s="769"/>
      <c r="OFT112" s="769"/>
      <c r="OFU112" s="769"/>
      <c r="OFV112" s="769"/>
      <c r="OFW112" s="769"/>
      <c r="OFX112" s="769"/>
      <c r="OFY112" s="769"/>
      <c r="OFZ112" s="769"/>
      <c r="OGA112" s="769"/>
      <c r="OGB112" s="769"/>
      <c r="OGC112" s="769"/>
      <c r="OGD112" s="769"/>
      <c r="OGE112" s="769"/>
      <c r="OGF112" s="769"/>
      <c r="OGG112" s="769"/>
      <c r="OGH112" s="769"/>
      <c r="OGI112" s="769"/>
      <c r="OGJ112" s="769"/>
      <c r="OGK112" s="769"/>
      <c r="OGL112" s="769"/>
      <c r="OGM112" s="769"/>
      <c r="OGN112" s="769"/>
      <c r="OGO112" s="769"/>
      <c r="OGP112" s="769"/>
      <c r="OGQ112" s="769"/>
      <c r="OGR112" s="769"/>
      <c r="OGS112" s="769"/>
      <c r="OGT112" s="769"/>
      <c r="OGU112" s="769"/>
      <c r="OGV112" s="769"/>
      <c r="OGW112" s="769"/>
      <c r="OGX112" s="769"/>
      <c r="OGY112" s="769"/>
      <c r="OGZ112" s="769"/>
      <c r="OHA112" s="769"/>
      <c r="OHB112" s="769"/>
      <c r="OHC112" s="769"/>
      <c r="OHD112" s="769"/>
      <c r="OHE112" s="769"/>
      <c r="OHF112" s="769"/>
      <c r="OHG112" s="769"/>
      <c r="OHH112" s="769"/>
      <c r="OHI112" s="769"/>
      <c r="OHJ112" s="769"/>
      <c r="OHK112" s="769"/>
      <c r="OHL112" s="769"/>
      <c r="OHM112" s="769"/>
      <c r="OHN112" s="769"/>
      <c r="OHO112" s="769"/>
      <c r="OHP112" s="769"/>
      <c r="OHQ112" s="769"/>
      <c r="OHR112" s="769"/>
      <c r="OHS112" s="769"/>
      <c r="OHT112" s="769"/>
      <c r="OHU112" s="769"/>
      <c r="OHV112" s="769"/>
      <c r="OHW112" s="769"/>
      <c r="OHX112" s="769"/>
      <c r="OHY112" s="769"/>
      <c r="OHZ112" s="769"/>
      <c r="OIA112" s="769"/>
      <c r="OIB112" s="769"/>
      <c r="OIC112" s="769"/>
      <c r="OID112" s="769"/>
      <c r="OIE112" s="769"/>
      <c r="OIF112" s="769"/>
      <c r="OIG112" s="769"/>
      <c r="OIH112" s="769"/>
      <c r="OII112" s="769"/>
      <c r="OIJ112" s="769"/>
      <c r="OIK112" s="769"/>
      <c r="OIL112" s="769"/>
      <c r="OIM112" s="769"/>
      <c r="OIN112" s="769"/>
      <c r="OIO112" s="769"/>
      <c r="OIP112" s="769"/>
      <c r="OIQ112" s="769"/>
      <c r="OIR112" s="769"/>
      <c r="OIS112" s="769"/>
      <c r="OIT112" s="769"/>
      <c r="OIU112" s="769"/>
      <c r="OIV112" s="769"/>
      <c r="OIW112" s="769"/>
      <c r="OIX112" s="769"/>
      <c r="OIY112" s="769"/>
      <c r="OIZ112" s="769"/>
      <c r="OJA112" s="769"/>
      <c r="OJB112" s="769"/>
      <c r="OJC112" s="769"/>
      <c r="OJD112" s="769"/>
      <c r="OJE112" s="769"/>
      <c r="OJF112" s="769"/>
      <c r="OJG112" s="769"/>
      <c r="OJH112" s="769"/>
      <c r="OJI112" s="769"/>
      <c r="OJJ112" s="769"/>
      <c r="OJK112" s="769"/>
      <c r="OJL112" s="769"/>
      <c r="OJM112" s="769"/>
      <c r="OJN112" s="769"/>
      <c r="OJO112" s="769"/>
      <c r="OJP112" s="769"/>
      <c r="OJQ112" s="769"/>
      <c r="OJR112" s="769"/>
      <c r="OJS112" s="769"/>
      <c r="OJT112" s="769"/>
      <c r="OJU112" s="769"/>
      <c r="OJV112" s="769"/>
      <c r="OJW112" s="769"/>
      <c r="OJX112" s="769"/>
      <c r="OJY112" s="769"/>
      <c r="OJZ112" s="769"/>
      <c r="OKA112" s="769"/>
      <c r="OKB112" s="769"/>
      <c r="OKC112" s="769"/>
      <c r="OKD112" s="769"/>
      <c r="OKE112" s="769"/>
      <c r="OKF112" s="769"/>
      <c r="OKG112" s="769"/>
      <c r="OKH112" s="769"/>
      <c r="OKI112" s="769"/>
      <c r="OKJ112" s="769"/>
      <c r="OKK112" s="769"/>
      <c r="OKL112" s="769"/>
      <c r="OKM112" s="769"/>
      <c r="OKN112" s="769"/>
      <c r="OKO112" s="769"/>
      <c r="OKP112" s="769"/>
      <c r="OKQ112" s="769"/>
      <c r="OKR112" s="769"/>
      <c r="OKS112" s="769"/>
      <c r="OKT112" s="769"/>
      <c r="OKU112" s="769"/>
      <c r="OKV112" s="769"/>
      <c r="OKW112" s="769"/>
      <c r="OKX112" s="769"/>
      <c r="OKY112" s="769"/>
      <c r="OKZ112" s="769"/>
      <c r="OLA112" s="769"/>
      <c r="OLB112" s="769"/>
      <c r="OLC112" s="769"/>
      <c r="OLD112" s="769"/>
      <c r="OLE112" s="769"/>
      <c r="OLF112" s="769"/>
      <c r="OLG112" s="769"/>
      <c r="OLH112" s="769"/>
      <c r="OLI112" s="769"/>
      <c r="OLJ112" s="769"/>
      <c r="OLK112" s="769"/>
      <c r="OLL112" s="769"/>
      <c r="OLM112" s="769"/>
      <c r="OLN112" s="769"/>
      <c r="OLO112" s="769"/>
      <c r="OLP112" s="769"/>
      <c r="OLQ112" s="769"/>
      <c r="OLR112" s="769"/>
      <c r="OLS112" s="769"/>
      <c r="OLT112" s="769"/>
      <c r="OLU112" s="769"/>
      <c r="OLV112" s="769"/>
      <c r="OLW112" s="769"/>
      <c r="OLX112" s="769"/>
      <c r="OLY112" s="769"/>
      <c r="OLZ112" s="769"/>
      <c r="OMA112" s="769"/>
      <c r="OMB112" s="769"/>
      <c r="OMC112" s="769"/>
      <c r="OMD112" s="769"/>
      <c r="OME112" s="769"/>
      <c r="OMF112" s="769"/>
      <c r="OMG112" s="769"/>
      <c r="OMH112" s="769"/>
      <c r="OMI112" s="769"/>
      <c r="OMJ112" s="769"/>
      <c r="OMK112" s="769"/>
      <c r="OML112" s="769"/>
      <c r="OMM112" s="769"/>
      <c r="OMN112" s="769"/>
      <c r="OMO112" s="769"/>
      <c r="OMP112" s="769"/>
      <c r="OMQ112" s="769"/>
      <c r="OMR112" s="769"/>
      <c r="OMS112" s="769"/>
      <c r="OMT112" s="769"/>
      <c r="OMU112" s="769"/>
      <c r="OMV112" s="769"/>
      <c r="OMW112" s="769"/>
      <c r="OMX112" s="769"/>
      <c r="OMY112" s="769"/>
      <c r="OMZ112" s="769"/>
      <c r="ONA112" s="769"/>
      <c r="ONB112" s="769"/>
      <c r="ONC112" s="769"/>
      <c r="OND112" s="769"/>
      <c r="ONE112" s="769"/>
      <c r="ONF112" s="769"/>
      <c r="ONG112" s="769"/>
      <c r="ONH112" s="769"/>
      <c r="ONI112" s="769"/>
      <c r="ONJ112" s="769"/>
      <c r="ONK112" s="769"/>
      <c r="ONL112" s="769"/>
      <c r="ONM112" s="769"/>
      <c r="ONN112" s="769"/>
      <c r="ONO112" s="769"/>
      <c r="ONP112" s="769"/>
      <c r="ONQ112" s="769"/>
      <c r="ONR112" s="769"/>
      <c r="ONS112" s="769"/>
      <c r="ONT112" s="769"/>
      <c r="ONU112" s="769"/>
      <c r="ONV112" s="769"/>
      <c r="ONW112" s="769"/>
      <c r="ONX112" s="769"/>
      <c r="ONY112" s="769"/>
      <c r="ONZ112" s="769"/>
      <c r="OOA112" s="769"/>
      <c r="OOB112" s="769"/>
      <c r="OOC112" s="769"/>
      <c r="OOD112" s="769"/>
      <c r="OOE112" s="769"/>
      <c r="OOF112" s="769"/>
      <c r="OOG112" s="769"/>
      <c r="OOH112" s="769"/>
      <c r="OOI112" s="769"/>
      <c r="OOJ112" s="769"/>
      <c r="OOK112" s="769"/>
      <c r="OOL112" s="769"/>
      <c r="OOM112" s="769"/>
      <c r="OON112" s="769"/>
      <c r="OOO112" s="769"/>
      <c r="OOP112" s="769"/>
      <c r="OOQ112" s="769"/>
      <c r="OOR112" s="769"/>
      <c r="OOS112" s="769"/>
      <c r="OOT112" s="769"/>
      <c r="OOU112" s="769"/>
      <c r="OOV112" s="769"/>
      <c r="OOW112" s="769"/>
      <c r="OOX112" s="769"/>
      <c r="OOY112" s="769"/>
      <c r="OOZ112" s="769"/>
      <c r="OPA112" s="769"/>
      <c r="OPB112" s="769"/>
      <c r="OPC112" s="769"/>
      <c r="OPD112" s="769"/>
      <c r="OPE112" s="769"/>
      <c r="OPF112" s="769"/>
      <c r="OPG112" s="769"/>
      <c r="OPH112" s="769"/>
      <c r="OPI112" s="769"/>
      <c r="OPJ112" s="769"/>
      <c r="OPK112" s="769"/>
      <c r="OPL112" s="769"/>
      <c r="OPM112" s="769"/>
      <c r="OPN112" s="769"/>
      <c r="OPO112" s="769"/>
      <c r="OPP112" s="769"/>
      <c r="OPQ112" s="769"/>
      <c r="OPR112" s="769"/>
      <c r="OPS112" s="769"/>
      <c r="OPT112" s="769"/>
      <c r="OPU112" s="769"/>
      <c r="OPV112" s="769"/>
      <c r="OPW112" s="769"/>
      <c r="OPX112" s="769"/>
      <c r="OPY112" s="769"/>
      <c r="OPZ112" s="769"/>
      <c r="OQA112" s="769"/>
      <c r="OQB112" s="769"/>
      <c r="OQC112" s="769"/>
      <c r="OQD112" s="769"/>
      <c r="OQE112" s="769"/>
      <c r="OQF112" s="769"/>
      <c r="OQG112" s="769"/>
      <c r="OQH112" s="769"/>
      <c r="OQI112" s="769"/>
      <c r="OQJ112" s="769"/>
      <c r="OQK112" s="769"/>
      <c r="OQL112" s="769"/>
      <c r="OQM112" s="769"/>
      <c r="OQN112" s="769"/>
      <c r="OQO112" s="769"/>
      <c r="OQP112" s="769"/>
      <c r="OQQ112" s="769"/>
      <c r="OQR112" s="769"/>
      <c r="OQS112" s="769"/>
      <c r="OQT112" s="769"/>
      <c r="OQU112" s="769"/>
      <c r="OQV112" s="769"/>
      <c r="OQW112" s="769"/>
      <c r="OQX112" s="769"/>
      <c r="OQY112" s="769"/>
      <c r="OQZ112" s="769"/>
      <c r="ORA112" s="769"/>
      <c r="ORB112" s="769"/>
      <c r="ORC112" s="769"/>
      <c r="ORD112" s="769"/>
      <c r="ORE112" s="769"/>
      <c r="ORF112" s="769"/>
      <c r="ORG112" s="769"/>
      <c r="ORH112" s="769"/>
      <c r="ORI112" s="769"/>
      <c r="ORJ112" s="769"/>
      <c r="ORK112" s="769"/>
      <c r="ORL112" s="769"/>
      <c r="ORM112" s="769"/>
      <c r="ORN112" s="769"/>
      <c r="ORO112" s="769"/>
      <c r="ORP112" s="769"/>
      <c r="ORQ112" s="769"/>
      <c r="ORR112" s="769"/>
      <c r="ORS112" s="769"/>
      <c r="ORT112" s="769"/>
      <c r="ORU112" s="769"/>
      <c r="ORV112" s="769"/>
      <c r="ORW112" s="769"/>
      <c r="ORX112" s="769"/>
      <c r="ORY112" s="769"/>
      <c r="ORZ112" s="769"/>
      <c r="OSA112" s="769"/>
      <c r="OSB112" s="769"/>
      <c r="OSC112" s="769"/>
      <c r="OSD112" s="769"/>
      <c r="OSE112" s="769"/>
      <c r="OSF112" s="769"/>
      <c r="OSG112" s="769"/>
      <c r="OSH112" s="769"/>
      <c r="OSI112" s="769"/>
      <c r="OSJ112" s="769"/>
      <c r="OSK112" s="769"/>
      <c r="OSL112" s="769"/>
      <c r="OSM112" s="769"/>
      <c r="OSN112" s="769"/>
      <c r="OSO112" s="769"/>
      <c r="OSP112" s="769"/>
      <c r="OSQ112" s="769"/>
      <c r="OSR112" s="769"/>
      <c r="OSS112" s="769"/>
      <c r="OST112" s="769"/>
      <c r="OSU112" s="769"/>
      <c r="OSV112" s="769"/>
      <c r="OSW112" s="769"/>
      <c r="OSX112" s="769"/>
      <c r="OSY112" s="769"/>
      <c r="OSZ112" s="769"/>
      <c r="OTA112" s="769"/>
      <c r="OTB112" s="769"/>
      <c r="OTC112" s="769"/>
      <c r="OTD112" s="769"/>
      <c r="OTE112" s="769"/>
      <c r="OTF112" s="769"/>
      <c r="OTG112" s="769"/>
      <c r="OTH112" s="769"/>
      <c r="OTI112" s="769"/>
      <c r="OTJ112" s="769"/>
      <c r="OTK112" s="769"/>
      <c r="OTL112" s="769"/>
      <c r="OTM112" s="769"/>
      <c r="OTN112" s="769"/>
      <c r="OTO112" s="769"/>
      <c r="OTP112" s="769"/>
      <c r="OTQ112" s="769"/>
      <c r="OTR112" s="769"/>
      <c r="OTS112" s="769"/>
      <c r="OTT112" s="769"/>
      <c r="OTU112" s="769"/>
      <c r="OTV112" s="769"/>
      <c r="OTW112" s="769"/>
      <c r="OTX112" s="769"/>
      <c r="OTY112" s="769"/>
      <c r="OTZ112" s="769"/>
      <c r="OUA112" s="769"/>
      <c r="OUB112" s="769"/>
      <c r="OUC112" s="769"/>
      <c r="OUD112" s="769"/>
      <c r="OUE112" s="769"/>
      <c r="OUF112" s="769"/>
      <c r="OUG112" s="769"/>
      <c r="OUH112" s="769"/>
      <c r="OUI112" s="769"/>
      <c r="OUJ112" s="769"/>
      <c r="OUK112" s="769"/>
      <c r="OUL112" s="769"/>
      <c r="OUM112" s="769"/>
      <c r="OUN112" s="769"/>
      <c r="OUO112" s="769"/>
      <c r="OUP112" s="769"/>
      <c r="OUQ112" s="769"/>
      <c r="OUR112" s="769"/>
      <c r="OUS112" s="769"/>
      <c r="OUT112" s="769"/>
      <c r="OUU112" s="769"/>
      <c r="OUV112" s="769"/>
      <c r="OUW112" s="769"/>
      <c r="OUX112" s="769"/>
      <c r="OUY112" s="769"/>
      <c r="OUZ112" s="769"/>
      <c r="OVA112" s="769"/>
      <c r="OVB112" s="769"/>
      <c r="OVC112" s="769"/>
      <c r="OVD112" s="769"/>
      <c r="OVE112" s="769"/>
      <c r="OVF112" s="769"/>
      <c r="OVG112" s="769"/>
      <c r="OVH112" s="769"/>
      <c r="OVI112" s="769"/>
      <c r="OVJ112" s="769"/>
      <c r="OVK112" s="769"/>
      <c r="OVL112" s="769"/>
      <c r="OVM112" s="769"/>
      <c r="OVN112" s="769"/>
      <c r="OVO112" s="769"/>
      <c r="OVP112" s="769"/>
      <c r="OVQ112" s="769"/>
      <c r="OVR112" s="769"/>
      <c r="OVS112" s="769"/>
      <c r="OVT112" s="769"/>
      <c r="OVU112" s="769"/>
      <c r="OVV112" s="769"/>
      <c r="OVW112" s="769"/>
      <c r="OVX112" s="769"/>
      <c r="OVY112" s="769"/>
      <c r="OVZ112" s="769"/>
      <c r="OWA112" s="769"/>
      <c r="OWB112" s="769"/>
      <c r="OWC112" s="769"/>
      <c r="OWD112" s="769"/>
      <c r="OWE112" s="769"/>
      <c r="OWF112" s="769"/>
      <c r="OWG112" s="769"/>
      <c r="OWH112" s="769"/>
      <c r="OWI112" s="769"/>
      <c r="OWJ112" s="769"/>
      <c r="OWK112" s="769"/>
      <c r="OWL112" s="769"/>
      <c r="OWM112" s="769"/>
      <c r="OWN112" s="769"/>
      <c r="OWO112" s="769"/>
      <c r="OWP112" s="769"/>
      <c r="OWQ112" s="769"/>
      <c r="OWR112" s="769"/>
      <c r="OWS112" s="769"/>
      <c r="OWT112" s="769"/>
      <c r="OWU112" s="769"/>
      <c r="OWV112" s="769"/>
      <c r="OWW112" s="769"/>
      <c r="OWX112" s="769"/>
      <c r="OWY112" s="769"/>
      <c r="OWZ112" s="769"/>
      <c r="OXA112" s="769"/>
      <c r="OXB112" s="769"/>
      <c r="OXC112" s="769"/>
      <c r="OXD112" s="769"/>
      <c r="OXE112" s="769"/>
      <c r="OXF112" s="769"/>
      <c r="OXG112" s="769"/>
      <c r="OXH112" s="769"/>
      <c r="OXI112" s="769"/>
      <c r="OXJ112" s="769"/>
      <c r="OXK112" s="769"/>
      <c r="OXL112" s="769"/>
      <c r="OXM112" s="769"/>
      <c r="OXN112" s="769"/>
      <c r="OXO112" s="769"/>
      <c r="OXP112" s="769"/>
      <c r="OXQ112" s="769"/>
      <c r="OXR112" s="769"/>
      <c r="OXS112" s="769"/>
      <c r="OXT112" s="769"/>
      <c r="OXU112" s="769"/>
      <c r="OXV112" s="769"/>
      <c r="OXW112" s="769"/>
      <c r="OXX112" s="769"/>
      <c r="OXY112" s="769"/>
      <c r="OXZ112" s="769"/>
      <c r="OYA112" s="769"/>
      <c r="OYB112" s="769"/>
      <c r="OYC112" s="769"/>
      <c r="OYD112" s="769"/>
      <c r="OYE112" s="769"/>
      <c r="OYF112" s="769"/>
      <c r="OYG112" s="769"/>
      <c r="OYH112" s="769"/>
      <c r="OYI112" s="769"/>
      <c r="OYJ112" s="769"/>
      <c r="OYK112" s="769"/>
      <c r="OYL112" s="769"/>
      <c r="OYM112" s="769"/>
      <c r="OYN112" s="769"/>
      <c r="OYO112" s="769"/>
      <c r="OYP112" s="769"/>
      <c r="OYQ112" s="769"/>
      <c r="OYR112" s="769"/>
      <c r="OYS112" s="769"/>
      <c r="OYT112" s="769"/>
      <c r="OYU112" s="769"/>
      <c r="OYV112" s="769"/>
      <c r="OYW112" s="769"/>
      <c r="OYX112" s="769"/>
      <c r="OYY112" s="769"/>
      <c r="OYZ112" s="769"/>
      <c r="OZA112" s="769"/>
      <c r="OZB112" s="769"/>
      <c r="OZC112" s="769"/>
      <c r="OZD112" s="769"/>
      <c r="OZE112" s="769"/>
      <c r="OZF112" s="769"/>
      <c r="OZG112" s="769"/>
      <c r="OZH112" s="769"/>
      <c r="OZI112" s="769"/>
      <c r="OZJ112" s="769"/>
      <c r="OZK112" s="769"/>
      <c r="OZL112" s="769"/>
      <c r="OZM112" s="769"/>
      <c r="OZN112" s="769"/>
      <c r="OZO112" s="769"/>
      <c r="OZP112" s="769"/>
      <c r="OZQ112" s="769"/>
      <c r="OZR112" s="769"/>
      <c r="OZS112" s="769"/>
      <c r="OZT112" s="769"/>
      <c r="OZU112" s="769"/>
      <c r="OZV112" s="769"/>
      <c r="OZW112" s="769"/>
      <c r="OZX112" s="769"/>
      <c r="OZY112" s="769"/>
      <c r="OZZ112" s="769"/>
      <c r="PAA112" s="769"/>
      <c r="PAB112" s="769"/>
      <c r="PAC112" s="769"/>
      <c r="PAD112" s="769"/>
      <c r="PAE112" s="769"/>
      <c r="PAF112" s="769"/>
      <c r="PAG112" s="769"/>
      <c r="PAH112" s="769"/>
      <c r="PAI112" s="769"/>
      <c r="PAJ112" s="769"/>
      <c r="PAK112" s="769"/>
      <c r="PAL112" s="769"/>
      <c r="PAM112" s="769"/>
      <c r="PAN112" s="769"/>
      <c r="PAO112" s="769"/>
      <c r="PAP112" s="769"/>
      <c r="PAQ112" s="769"/>
      <c r="PAR112" s="769"/>
      <c r="PAS112" s="769"/>
      <c r="PAT112" s="769"/>
      <c r="PAU112" s="769"/>
      <c r="PAV112" s="769"/>
      <c r="PAW112" s="769"/>
      <c r="PAX112" s="769"/>
      <c r="PAY112" s="769"/>
      <c r="PAZ112" s="769"/>
      <c r="PBA112" s="769"/>
      <c r="PBB112" s="769"/>
      <c r="PBC112" s="769"/>
      <c r="PBD112" s="769"/>
      <c r="PBE112" s="769"/>
      <c r="PBF112" s="769"/>
      <c r="PBG112" s="769"/>
      <c r="PBH112" s="769"/>
      <c r="PBI112" s="769"/>
      <c r="PBJ112" s="769"/>
      <c r="PBK112" s="769"/>
      <c r="PBL112" s="769"/>
      <c r="PBM112" s="769"/>
      <c r="PBN112" s="769"/>
      <c r="PBO112" s="769"/>
      <c r="PBP112" s="769"/>
      <c r="PBQ112" s="769"/>
      <c r="PBR112" s="769"/>
      <c r="PBS112" s="769"/>
      <c r="PBT112" s="769"/>
      <c r="PBU112" s="769"/>
      <c r="PBV112" s="769"/>
      <c r="PBW112" s="769"/>
      <c r="PBX112" s="769"/>
      <c r="PBY112" s="769"/>
      <c r="PBZ112" s="769"/>
      <c r="PCA112" s="769"/>
      <c r="PCB112" s="769"/>
      <c r="PCC112" s="769"/>
      <c r="PCD112" s="769"/>
      <c r="PCE112" s="769"/>
      <c r="PCF112" s="769"/>
      <c r="PCG112" s="769"/>
      <c r="PCH112" s="769"/>
      <c r="PCI112" s="769"/>
      <c r="PCJ112" s="769"/>
      <c r="PCK112" s="769"/>
      <c r="PCL112" s="769"/>
      <c r="PCM112" s="769"/>
      <c r="PCN112" s="769"/>
      <c r="PCO112" s="769"/>
      <c r="PCP112" s="769"/>
      <c r="PCQ112" s="769"/>
      <c r="PCR112" s="769"/>
      <c r="PCS112" s="769"/>
      <c r="PCT112" s="769"/>
      <c r="PCU112" s="769"/>
      <c r="PCV112" s="769"/>
      <c r="PCW112" s="769"/>
      <c r="PCX112" s="769"/>
      <c r="PCY112" s="769"/>
      <c r="PCZ112" s="769"/>
      <c r="PDA112" s="769"/>
      <c r="PDB112" s="769"/>
      <c r="PDC112" s="769"/>
      <c r="PDD112" s="769"/>
      <c r="PDE112" s="769"/>
      <c r="PDF112" s="769"/>
      <c r="PDG112" s="769"/>
      <c r="PDH112" s="769"/>
      <c r="PDI112" s="769"/>
      <c r="PDJ112" s="769"/>
      <c r="PDK112" s="769"/>
      <c r="PDL112" s="769"/>
      <c r="PDM112" s="769"/>
      <c r="PDN112" s="769"/>
      <c r="PDO112" s="769"/>
      <c r="PDP112" s="769"/>
      <c r="PDQ112" s="769"/>
      <c r="PDR112" s="769"/>
      <c r="PDS112" s="769"/>
      <c r="PDT112" s="769"/>
      <c r="PDU112" s="769"/>
      <c r="PDV112" s="769"/>
      <c r="PDW112" s="769"/>
      <c r="PDX112" s="769"/>
      <c r="PDY112" s="769"/>
      <c r="PDZ112" s="769"/>
      <c r="PEA112" s="769"/>
      <c r="PEB112" s="769"/>
      <c r="PEC112" s="769"/>
      <c r="PED112" s="769"/>
      <c r="PEE112" s="769"/>
      <c r="PEF112" s="769"/>
      <c r="PEG112" s="769"/>
      <c r="PEH112" s="769"/>
      <c r="PEI112" s="769"/>
      <c r="PEJ112" s="769"/>
      <c r="PEK112" s="769"/>
      <c r="PEL112" s="769"/>
      <c r="PEM112" s="769"/>
      <c r="PEN112" s="769"/>
      <c r="PEO112" s="769"/>
      <c r="PEP112" s="769"/>
      <c r="PEQ112" s="769"/>
      <c r="PER112" s="769"/>
      <c r="PES112" s="769"/>
      <c r="PET112" s="769"/>
      <c r="PEU112" s="769"/>
      <c r="PEV112" s="769"/>
      <c r="PEW112" s="769"/>
      <c r="PEX112" s="769"/>
      <c r="PEY112" s="769"/>
      <c r="PEZ112" s="769"/>
      <c r="PFA112" s="769"/>
      <c r="PFB112" s="769"/>
      <c r="PFC112" s="769"/>
      <c r="PFD112" s="769"/>
      <c r="PFE112" s="769"/>
      <c r="PFF112" s="769"/>
      <c r="PFG112" s="769"/>
      <c r="PFH112" s="769"/>
      <c r="PFI112" s="769"/>
      <c r="PFJ112" s="769"/>
      <c r="PFK112" s="769"/>
      <c r="PFL112" s="769"/>
      <c r="PFM112" s="769"/>
      <c r="PFN112" s="769"/>
      <c r="PFO112" s="769"/>
      <c r="PFP112" s="769"/>
      <c r="PFQ112" s="769"/>
      <c r="PFR112" s="769"/>
      <c r="PFS112" s="769"/>
      <c r="PFT112" s="769"/>
      <c r="PFU112" s="769"/>
      <c r="PFV112" s="769"/>
      <c r="PFW112" s="769"/>
      <c r="PFX112" s="769"/>
      <c r="PFY112" s="769"/>
      <c r="PFZ112" s="769"/>
      <c r="PGA112" s="769"/>
      <c r="PGB112" s="769"/>
      <c r="PGC112" s="769"/>
      <c r="PGD112" s="769"/>
      <c r="PGE112" s="769"/>
      <c r="PGF112" s="769"/>
      <c r="PGG112" s="769"/>
      <c r="PGH112" s="769"/>
      <c r="PGI112" s="769"/>
      <c r="PGJ112" s="769"/>
      <c r="PGK112" s="769"/>
      <c r="PGL112" s="769"/>
      <c r="PGM112" s="769"/>
      <c r="PGN112" s="769"/>
      <c r="PGO112" s="769"/>
      <c r="PGP112" s="769"/>
      <c r="PGQ112" s="769"/>
      <c r="PGR112" s="769"/>
      <c r="PGS112" s="769"/>
      <c r="PGT112" s="769"/>
      <c r="PGU112" s="769"/>
      <c r="PGV112" s="769"/>
      <c r="PGW112" s="769"/>
      <c r="PGX112" s="769"/>
      <c r="PGY112" s="769"/>
      <c r="PGZ112" s="769"/>
      <c r="PHA112" s="769"/>
      <c r="PHB112" s="769"/>
      <c r="PHC112" s="769"/>
      <c r="PHD112" s="769"/>
      <c r="PHE112" s="769"/>
      <c r="PHF112" s="769"/>
      <c r="PHG112" s="769"/>
      <c r="PHH112" s="769"/>
      <c r="PHI112" s="769"/>
      <c r="PHJ112" s="769"/>
      <c r="PHK112" s="769"/>
      <c r="PHL112" s="769"/>
      <c r="PHM112" s="769"/>
      <c r="PHN112" s="769"/>
      <c r="PHO112" s="769"/>
      <c r="PHP112" s="769"/>
      <c r="PHQ112" s="769"/>
      <c r="PHR112" s="769"/>
      <c r="PHS112" s="769"/>
      <c r="PHT112" s="769"/>
      <c r="PHU112" s="769"/>
      <c r="PHV112" s="769"/>
      <c r="PHW112" s="769"/>
      <c r="PHX112" s="769"/>
      <c r="PHY112" s="769"/>
      <c r="PHZ112" s="769"/>
      <c r="PIA112" s="769"/>
      <c r="PIB112" s="769"/>
      <c r="PIC112" s="769"/>
      <c r="PID112" s="769"/>
      <c r="PIE112" s="769"/>
      <c r="PIF112" s="769"/>
      <c r="PIG112" s="769"/>
      <c r="PIH112" s="769"/>
      <c r="PII112" s="769"/>
      <c r="PIJ112" s="769"/>
      <c r="PIK112" s="769"/>
      <c r="PIL112" s="769"/>
      <c r="PIM112" s="769"/>
      <c r="PIN112" s="769"/>
      <c r="PIO112" s="769"/>
      <c r="PIP112" s="769"/>
      <c r="PIQ112" s="769"/>
      <c r="PIR112" s="769"/>
      <c r="PIS112" s="769"/>
      <c r="PIT112" s="769"/>
      <c r="PIU112" s="769"/>
      <c r="PIV112" s="769"/>
      <c r="PIW112" s="769"/>
      <c r="PIX112" s="769"/>
      <c r="PIY112" s="769"/>
      <c r="PIZ112" s="769"/>
      <c r="PJA112" s="769"/>
      <c r="PJB112" s="769"/>
      <c r="PJC112" s="769"/>
      <c r="PJD112" s="769"/>
      <c r="PJE112" s="769"/>
      <c r="PJF112" s="769"/>
      <c r="PJG112" s="769"/>
      <c r="PJH112" s="769"/>
      <c r="PJI112" s="769"/>
      <c r="PJJ112" s="769"/>
      <c r="PJK112" s="769"/>
      <c r="PJL112" s="769"/>
      <c r="PJM112" s="769"/>
      <c r="PJN112" s="769"/>
      <c r="PJO112" s="769"/>
      <c r="PJP112" s="769"/>
      <c r="PJQ112" s="769"/>
      <c r="PJR112" s="769"/>
      <c r="PJS112" s="769"/>
      <c r="PJT112" s="769"/>
      <c r="PJU112" s="769"/>
      <c r="PJV112" s="769"/>
      <c r="PJW112" s="769"/>
      <c r="PJX112" s="769"/>
      <c r="PJY112" s="769"/>
      <c r="PJZ112" s="769"/>
      <c r="PKA112" s="769"/>
      <c r="PKB112" s="769"/>
      <c r="PKC112" s="769"/>
      <c r="PKD112" s="769"/>
      <c r="PKE112" s="769"/>
      <c r="PKF112" s="769"/>
      <c r="PKG112" s="769"/>
      <c r="PKH112" s="769"/>
      <c r="PKI112" s="769"/>
      <c r="PKJ112" s="769"/>
      <c r="PKK112" s="769"/>
      <c r="PKL112" s="769"/>
      <c r="PKM112" s="769"/>
      <c r="PKN112" s="769"/>
      <c r="PKO112" s="769"/>
      <c r="PKP112" s="769"/>
      <c r="PKQ112" s="769"/>
      <c r="PKR112" s="769"/>
      <c r="PKS112" s="769"/>
      <c r="PKT112" s="769"/>
      <c r="PKU112" s="769"/>
      <c r="PKV112" s="769"/>
      <c r="PKW112" s="769"/>
      <c r="PKX112" s="769"/>
      <c r="PKY112" s="769"/>
      <c r="PKZ112" s="769"/>
      <c r="PLA112" s="769"/>
      <c r="PLB112" s="769"/>
      <c r="PLC112" s="769"/>
      <c r="PLD112" s="769"/>
      <c r="PLE112" s="769"/>
      <c r="PLF112" s="769"/>
      <c r="PLG112" s="769"/>
      <c r="PLH112" s="769"/>
      <c r="PLI112" s="769"/>
      <c r="PLJ112" s="769"/>
      <c r="PLK112" s="769"/>
      <c r="PLL112" s="769"/>
      <c r="PLM112" s="769"/>
      <c r="PLN112" s="769"/>
      <c r="PLO112" s="769"/>
      <c r="PLP112" s="769"/>
      <c r="PLQ112" s="769"/>
      <c r="PLR112" s="769"/>
      <c r="PLS112" s="769"/>
      <c r="PLT112" s="769"/>
      <c r="PLU112" s="769"/>
      <c r="PLV112" s="769"/>
      <c r="PLW112" s="769"/>
      <c r="PLX112" s="769"/>
      <c r="PLY112" s="769"/>
      <c r="PLZ112" s="769"/>
      <c r="PMA112" s="769"/>
      <c r="PMB112" s="769"/>
      <c r="PMC112" s="769"/>
      <c r="PMD112" s="769"/>
      <c r="PME112" s="769"/>
      <c r="PMF112" s="769"/>
      <c r="PMG112" s="769"/>
      <c r="PMH112" s="769"/>
      <c r="PMI112" s="769"/>
      <c r="PMJ112" s="769"/>
      <c r="PMK112" s="769"/>
      <c r="PML112" s="769"/>
      <c r="PMM112" s="769"/>
      <c r="PMN112" s="769"/>
      <c r="PMO112" s="769"/>
      <c r="PMP112" s="769"/>
      <c r="PMQ112" s="769"/>
      <c r="PMR112" s="769"/>
      <c r="PMS112" s="769"/>
      <c r="PMT112" s="769"/>
      <c r="PMU112" s="769"/>
      <c r="PMV112" s="769"/>
      <c r="PMW112" s="769"/>
      <c r="PMX112" s="769"/>
      <c r="PMY112" s="769"/>
      <c r="PMZ112" s="769"/>
      <c r="PNA112" s="769"/>
      <c r="PNB112" s="769"/>
      <c r="PNC112" s="769"/>
      <c r="PND112" s="769"/>
      <c r="PNE112" s="769"/>
      <c r="PNF112" s="769"/>
      <c r="PNG112" s="769"/>
      <c r="PNH112" s="769"/>
      <c r="PNI112" s="769"/>
      <c r="PNJ112" s="769"/>
      <c r="PNK112" s="769"/>
      <c r="PNL112" s="769"/>
      <c r="PNM112" s="769"/>
      <c r="PNN112" s="769"/>
      <c r="PNO112" s="769"/>
      <c r="PNP112" s="769"/>
      <c r="PNQ112" s="769"/>
      <c r="PNR112" s="769"/>
      <c r="PNS112" s="769"/>
      <c r="PNT112" s="769"/>
      <c r="PNU112" s="769"/>
      <c r="PNV112" s="769"/>
      <c r="PNW112" s="769"/>
      <c r="PNX112" s="769"/>
      <c r="PNY112" s="769"/>
      <c r="PNZ112" s="769"/>
      <c r="POA112" s="769"/>
      <c r="POB112" s="769"/>
      <c r="POC112" s="769"/>
      <c r="POD112" s="769"/>
      <c r="POE112" s="769"/>
      <c r="POF112" s="769"/>
      <c r="POG112" s="769"/>
      <c r="POH112" s="769"/>
      <c r="POI112" s="769"/>
      <c r="POJ112" s="769"/>
      <c r="POK112" s="769"/>
      <c r="POL112" s="769"/>
      <c r="POM112" s="769"/>
      <c r="PON112" s="769"/>
      <c r="POO112" s="769"/>
      <c r="POP112" s="769"/>
      <c r="POQ112" s="769"/>
      <c r="POR112" s="769"/>
      <c r="POS112" s="769"/>
      <c r="POT112" s="769"/>
      <c r="POU112" s="769"/>
      <c r="POV112" s="769"/>
      <c r="POW112" s="769"/>
      <c r="POX112" s="769"/>
      <c r="POY112" s="769"/>
      <c r="POZ112" s="769"/>
      <c r="PPA112" s="769"/>
      <c r="PPB112" s="769"/>
      <c r="PPC112" s="769"/>
      <c r="PPD112" s="769"/>
      <c r="PPE112" s="769"/>
      <c r="PPF112" s="769"/>
      <c r="PPG112" s="769"/>
      <c r="PPH112" s="769"/>
      <c r="PPI112" s="769"/>
      <c r="PPJ112" s="769"/>
      <c r="PPK112" s="769"/>
      <c r="PPL112" s="769"/>
      <c r="PPM112" s="769"/>
      <c r="PPN112" s="769"/>
      <c r="PPO112" s="769"/>
      <c r="PPP112" s="769"/>
      <c r="PPQ112" s="769"/>
      <c r="PPR112" s="769"/>
      <c r="PPS112" s="769"/>
      <c r="PPT112" s="769"/>
      <c r="PPU112" s="769"/>
      <c r="PPV112" s="769"/>
      <c r="PPW112" s="769"/>
      <c r="PPX112" s="769"/>
      <c r="PPY112" s="769"/>
      <c r="PPZ112" s="769"/>
      <c r="PQA112" s="769"/>
      <c r="PQB112" s="769"/>
      <c r="PQC112" s="769"/>
      <c r="PQD112" s="769"/>
      <c r="PQE112" s="769"/>
      <c r="PQF112" s="769"/>
      <c r="PQG112" s="769"/>
      <c r="PQH112" s="769"/>
      <c r="PQI112" s="769"/>
      <c r="PQJ112" s="769"/>
      <c r="PQK112" s="769"/>
      <c r="PQL112" s="769"/>
      <c r="PQM112" s="769"/>
      <c r="PQN112" s="769"/>
      <c r="PQO112" s="769"/>
      <c r="PQP112" s="769"/>
      <c r="PQQ112" s="769"/>
      <c r="PQR112" s="769"/>
      <c r="PQS112" s="769"/>
      <c r="PQT112" s="769"/>
      <c r="PQU112" s="769"/>
      <c r="PQV112" s="769"/>
      <c r="PQW112" s="769"/>
      <c r="PQX112" s="769"/>
      <c r="PQY112" s="769"/>
      <c r="PQZ112" s="769"/>
      <c r="PRA112" s="769"/>
      <c r="PRB112" s="769"/>
      <c r="PRC112" s="769"/>
      <c r="PRD112" s="769"/>
      <c r="PRE112" s="769"/>
      <c r="PRF112" s="769"/>
      <c r="PRG112" s="769"/>
      <c r="PRH112" s="769"/>
      <c r="PRI112" s="769"/>
      <c r="PRJ112" s="769"/>
      <c r="PRK112" s="769"/>
      <c r="PRL112" s="769"/>
      <c r="PRM112" s="769"/>
      <c r="PRN112" s="769"/>
      <c r="PRO112" s="769"/>
      <c r="PRP112" s="769"/>
      <c r="PRQ112" s="769"/>
      <c r="PRR112" s="769"/>
      <c r="PRS112" s="769"/>
      <c r="PRT112" s="769"/>
      <c r="PRU112" s="769"/>
      <c r="PRV112" s="769"/>
      <c r="PRW112" s="769"/>
      <c r="PRX112" s="769"/>
      <c r="PRY112" s="769"/>
      <c r="PRZ112" s="769"/>
      <c r="PSA112" s="769"/>
      <c r="PSB112" s="769"/>
      <c r="PSC112" s="769"/>
      <c r="PSD112" s="769"/>
      <c r="PSE112" s="769"/>
      <c r="PSF112" s="769"/>
      <c r="PSG112" s="769"/>
      <c r="PSH112" s="769"/>
      <c r="PSI112" s="769"/>
      <c r="PSJ112" s="769"/>
      <c r="PSK112" s="769"/>
      <c r="PSL112" s="769"/>
      <c r="PSM112" s="769"/>
      <c r="PSN112" s="769"/>
      <c r="PSO112" s="769"/>
      <c r="PSP112" s="769"/>
      <c r="PSQ112" s="769"/>
      <c r="PSR112" s="769"/>
      <c r="PSS112" s="769"/>
      <c r="PST112" s="769"/>
      <c r="PSU112" s="769"/>
      <c r="PSV112" s="769"/>
      <c r="PSW112" s="769"/>
      <c r="PSX112" s="769"/>
      <c r="PSY112" s="769"/>
      <c r="PSZ112" s="769"/>
      <c r="PTA112" s="769"/>
      <c r="PTB112" s="769"/>
      <c r="PTC112" s="769"/>
      <c r="PTD112" s="769"/>
      <c r="PTE112" s="769"/>
      <c r="PTF112" s="769"/>
      <c r="PTG112" s="769"/>
      <c r="PTH112" s="769"/>
      <c r="PTI112" s="769"/>
      <c r="PTJ112" s="769"/>
      <c r="PTK112" s="769"/>
      <c r="PTL112" s="769"/>
      <c r="PTM112" s="769"/>
      <c r="PTN112" s="769"/>
      <c r="PTO112" s="769"/>
      <c r="PTP112" s="769"/>
      <c r="PTQ112" s="769"/>
      <c r="PTR112" s="769"/>
      <c r="PTS112" s="769"/>
      <c r="PTT112" s="769"/>
      <c r="PTU112" s="769"/>
      <c r="PTV112" s="769"/>
      <c r="PTW112" s="769"/>
      <c r="PTX112" s="769"/>
      <c r="PTY112" s="769"/>
      <c r="PTZ112" s="769"/>
      <c r="PUA112" s="769"/>
      <c r="PUB112" s="769"/>
      <c r="PUC112" s="769"/>
      <c r="PUD112" s="769"/>
      <c r="PUE112" s="769"/>
      <c r="PUF112" s="769"/>
      <c r="PUG112" s="769"/>
      <c r="PUH112" s="769"/>
      <c r="PUI112" s="769"/>
      <c r="PUJ112" s="769"/>
      <c r="PUK112" s="769"/>
      <c r="PUL112" s="769"/>
      <c r="PUM112" s="769"/>
      <c r="PUN112" s="769"/>
      <c r="PUO112" s="769"/>
      <c r="PUP112" s="769"/>
      <c r="PUQ112" s="769"/>
      <c r="PUR112" s="769"/>
      <c r="PUS112" s="769"/>
      <c r="PUT112" s="769"/>
      <c r="PUU112" s="769"/>
      <c r="PUV112" s="769"/>
      <c r="PUW112" s="769"/>
      <c r="PUX112" s="769"/>
      <c r="PUY112" s="769"/>
      <c r="PUZ112" s="769"/>
      <c r="PVA112" s="769"/>
      <c r="PVB112" s="769"/>
      <c r="PVC112" s="769"/>
      <c r="PVD112" s="769"/>
      <c r="PVE112" s="769"/>
      <c r="PVF112" s="769"/>
      <c r="PVG112" s="769"/>
      <c r="PVH112" s="769"/>
      <c r="PVI112" s="769"/>
      <c r="PVJ112" s="769"/>
      <c r="PVK112" s="769"/>
      <c r="PVL112" s="769"/>
      <c r="PVM112" s="769"/>
      <c r="PVN112" s="769"/>
      <c r="PVO112" s="769"/>
      <c r="PVP112" s="769"/>
      <c r="PVQ112" s="769"/>
      <c r="PVR112" s="769"/>
      <c r="PVS112" s="769"/>
      <c r="PVT112" s="769"/>
      <c r="PVU112" s="769"/>
      <c r="PVV112" s="769"/>
      <c r="PVW112" s="769"/>
      <c r="PVX112" s="769"/>
      <c r="PVY112" s="769"/>
      <c r="PVZ112" s="769"/>
      <c r="PWA112" s="769"/>
      <c r="PWB112" s="769"/>
      <c r="PWC112" s="769"/>
      <c r="PWD112" s="769"/>
      <c r="PWE112" s="769"/>
      <c r="PWF112" s="769"/>
      <c r="PWG112" s="769"/>
      <c r="PWH112" s="769"/>
      <c r="PWI112" s="769"/>
      <c r="PWJ112" s="769"/>
      <c r="PWK112" s="769"/>
      <c r="PWL112" s="769"/>
      <c r="PWM112" s="769"/>
      <c r="PWN112" s="769"/>
      <c r="PWO112" s="769"/>
      <c r="PWP112" s="769"/>
      <c r="PWQ112" s="769"/>
      <c r="PWR112" s="769"/>
      <c r="PWS112" s="769"/>
      <c r="PWT112" s="769"/>
      <c r="PWU112" s="769"/>
      <c r="PWV112" s="769"/>
      <c r="PWW112" s="769"/>
      <c r="PWX112" s="769"/>
      <c r="PWY112" s="769"/>
      <c r="PWZ112" s="769"/>
      <c r="PXA112" s="769"/>
      <c r="PXB112" s="769"/>
      <c r="PXC112" s="769"/>
      <c r="PXD112" s="769"/>
      <c r="PXE112" s="769"/>
      <c r="PXF112" s="769"/>
      <c r="PXG112" s="769"/>
      <c r="PXH112" s="769"/>
      <c r="PXI112" s="769"/>
      <c r="PXJ112" s="769"/>
      <c r="PXK112" s="769"/>
      <c r="PXL112" s="769"/>
      <c r="PXM112" s="769"/>
      <c r="PXN112" s="769"/>
      <c r="PXO112" s="769"/>
      <c r="PXP112" s="769"/>
      <c r="PXQ112" s="769"/>
      <c r="PXR112" s="769"/>
      <c r="PXS112" s="769"/>
      <c r="PXT112" s="769"/>
      <c r="PXU112" s="769"/>
      <c r="PXV112" s="769"/>
      <c r="PXW112" s="769"/>
      <c r="PXX112" s="769"/>
      <c r="PXY112" s="769"/>
      <c r="PXZ112" s="769"/>
      <c r="PYA112" s="769"/>
      <c r="PYB112" s="769"/>
      <c r="PYC112" s="769"/>
      <c r="PYD112" s="769"/>
      <c r="PYE112" s="769"/>
      <c r="PYF112" s="769"/>
      <c r="PYG112" s="769"/>
      <c r="PYH112" s="769"/>
      <c r="PYI112" s="769"/>
      <c r="PYJ112" s="769"/>
      <c r="PYK112" s="769"/>
      <c r="PYL112" s="769"/>
      <c r="PYM112" s="769"/>
      <c r="PYN112" s="769"/>
      <c r="PYO112" s="769"/>
      <c r="PYP112" s="769"/>
      <c r="PYQ112" s="769"/>
      <c r="PYR112" s="769"/>
      <c r="PYS112" s="769"/>
      <c r="PYT112" s="769"/>
      <c r="PYU112" s="769"/>
      <c r="PYV112" s="769"/>
      <c r="PYW112" s="769"/>
      <c r="PYX112" s="769"/>
      <c r="PYY112" s="769"/>
      <c r="PYZ112" s="769"/>
      <c r="PZA112" s="769"/>
      <c r="PZB112" s="769"/>
      <c r="PZC112" s="769"/>
      <c r="PZD112" s="769"/>
      <c r="PZE112" s="769"/>
      <c r="PZF112" s="769"/>
      <c r="PZG112" s="769"/>
      <c r="PZH112" s="769"/>
      <c r="PZI112" s="769"/>
      <c r="PZJ112" s="769"/>
      <c r="PZK112" s="769"/>
      <c r="PZL112" s="769"/>
      <c r="PZM112" s="769"/>
      <c r="PZN112" s="769"/>
      <c r="PZO112" s="769"/>
      <c r="PZP112" s="769"/>
      <c r="PZQ112" s="769"/>
      <c r="PZR112" s="769"/>
      <c r="PZS112" s="769"/>
      <c r="PZT112" s="769"/>
      <c r="PZU112" s="769"/>
      <c r="PZV112" s="769"/>
      <c r="PZW112" s="769"/>
      <c r="PZX112" s="769"/>
      <c r="PZY112" s="769"/>
      <c r="PZZ112" s="769"/>
      <c r="QAA112" s="769"/>
      <c r="QAB112" s="769"/>
      <c r="QAC112" s="769"/>
      <c r="QAD112" s="769"/>
      <c r="QAE112" s="769"/>
      <c r="QAF112" s="769"/>
      <c r="QAG112" s="769"/>
      <c r="QAH112" s="769"/>
      <c r="QAI112" s="769"/>
      <c r="QAJ112" s="769"/>
      <c r="QAK112" s="769"/>
      <c r="QAL112" s="769"/>
      <c r="QAM112" s="769"/>
      <c r="QAN112" s="769"/>
      <c r="QAO112" s="769"/>
      <c r="QAP112" s="769"/>
      <c r="QAQ112" s="769"/>
      <c r="QAR112" s="769"/>
      <c r="QAS112" s="769"/>
      <c r="QAT112" s="769"/>
      <c r="QAU112" s="769"/>
      <c r="QAV112" s="769"/>
      <c r="QAW112" s="769"/>
      <c r="QAX112" s="769"/>
      <c r="QAY112" s="769"/>
      <c r="QAZ112" s="769"/>
      <c r="QBA112" s="769"/>
      <c r="QBB112" s="769"/>
      <c r="QBC112" s="769"/>
      <c r="QBD112" s="769"/>
      <c r="QBE112" s="769"/>
      <c r="QBF112" s="769"/>
      <c r="QBG112" s="769"/>
      <c r="QBH112" s="769"/>
      <c r="QBI112" s="769"/>
      <c r="QBJ112" s="769"/>
      <c r="QBK112" s="769"/>
      <c r="QBL112" s="769"/>
      <c r="QBM112" s="769"/>
      <c r="QBN112" s="769"/>
      <c r="QBO112" s="769"/>
      <c r="QBP112" s="769"/>
      <c r="QBQ112" s="769"/>
      <c r="QBR112" s="769"/>
      <c r="QBS112" s="769"/>
      <c r="QBT112" s="769"/>
      <c r="QBU112" s="769"/>
      <c r="QBV112" s="769"/>
      <c r="QBW112" s="769"/>
      <c r="QBX112" s="769"/>
      <c r="QBY112" s="769"/>
      <c r="QBZ112" s="769"/>
      <c r="QCA112" s="769"/>
      <c r="QCB112" s="769"/>
      <c r="QCC112" s="769"/>
      <c r="QCD112" s="769"/>
      <c r="QCE112" s="769"/>
      <c r="QCF112" s="769"/>
      <c r="QCG112" s="769"/>
      <c r="QCH112" s="769"/>
      <c r="QCI112" s="769"/>
      <c r="QCJ112" s="769"/>
      <c r="QCK112" s="769"/>
      <c r="QCL112" s="769"/>
      <c r="QCM112" s="769"/>
      <c r="QCN112" s="769"/>
      <c r="QCO112" s="769"/>
      <c r="QCP112" s="769"/>
      <c r="QCQ112" s="769"/>
      <c r="QCR112" s="769"/>
      <c r="QCS112" s="769"/>
      <c r="QCT112" s="769"/>
      <c r="QCU112" s="769"/>
      <c r="QCV112" s="769"/>
      <c r="QCW112" s="769"/>
      <c r="QCX112" s="769"/>
      <c r="QCY112" s="769"/>
      <c r="QCZ112" s="769"/>
      <c r="QDA112" s="769"/>
      <c r="QDB112" s="769"/>
      <c r="QDC112" s="769"/>
      <c r="QDD112" s="769"/>
      <c r="QDE112" s="769"/>
      <c r="QDF112" s="769"/>
      <c r="QDG112" s="769"/>
      <c r="QDH112" s="769"/>
      <c r="QDI112" s="769"/>
      <c r="QDJ112" s="769"/>
      <c r="QDK112" s="769"/>
      <c r="QDL112" s="769"/>
      <c r="QDM112" s="769"/>
      <c r="QDN112" s="769"/>
      <c r="QDO112" s="769"/>
      <c r="QDP112" s="769"/>
      <c r="QDQ112" s="769"/>
      <c r="QDR112" s="769"/>
      <c r="QDS112" s="769"/>
      <c r="QDT112" s="769"/>
      <c r="QDU112" s="769"/>
      <c r="QDV112" s="769"/>
      <c r="QDW112" s="769"/>
      <c r="QDX112" s="769"/>
      <c r="QDY112" s="769"/>
      <c r="QDZ112" s="769"/>
      <c r="QEA112" s="769"/>
      <c r="QEB112" s="769"/>
      <c r="QEC112" s="769"/>
      <c r="QED112" s="769"/>
      <c r="QEE112" s="769"/>
      <c r="QEF112" s="769"/>
      <c r="QEG112" s="769"/>
      <c r="QEH112" s="769"/>
      <c r="QEI112" s="769"/>
      <c r="QEJ112" s="769"/>
      <c r="QEK112" s="769"/>
      <c r="QEL112" s="769"/>
      <c r="QEM112" s="769"/>
      <c r="QEN112" s="769"/>
      <c r="QEO112" s="769"/>
      <c r="QEP112" s="769"/>
      <c r="QEQ112" s="769"/>
      <c r="QER112" s="769"/>
      <c r="QES112" s="769"/>
      <c r="QET112" s="769"/>
      <c r="QEU112" s="769"/>
      <c r="QEV112" s="769"/>
      <c r="QEW112" s="769"/>
      <c r="QEX112" s="769"/>
      <c r="QEY112" s="769"/>
      <c r="QEZ112" s="769"/>
      <c r="QFA112" s="769"/>
      <c r="QFB112" s="769"/>
      <c r="QFC112" s="769"/>
      <c r="QFD112" s="769"/>
      <c r="QFE112" s="769"/>
      <c r="QFF112" s="769"/>
      <c r="QFG112" s="769"/>
      <c r="QFH112" s="769"/>
      <c r="QFI112" s="769"/>
      <c r="QFJ112" s="769"/>
      <c r="QFK112" s="769"/>
      <c r="QFL112" s="769"/>
      <c r="QFM112" s="769"/>
      <c r="QFN112" s="769"/>
      <c r="QFO112" s="769"/>
      <c r="QFP112" s="769"/>
      <c r="QFQ112" s="769"/>
      <c r="QFR112" s="769"/>
      <c r="QFS112" s="769"/>
      <c r="QFT112" s="769"/>
      <c r="QFU112" s="769"/>
      <c r="QFV112" s="769"/>
      <c r="QFW112" s="769"/>
      <c r="QFX112" s="769"/>
      <c r="QFY112" s="769"/>
      <c r="QFZ112" s="769"/>
      <c r="QGA112" s="769"/>
      <c r="QGB112" s="769"/>
      <c r="QGC112" s="769"/>
      <c r="QGD112" s="769"/>
      <c r="QGE112" s="769"/>
      <c r="QGF112" s="769"/>
      <c r="QGG112" s="769"/>
      <c r="QGH112" s="769"/>
      <c r="QGI112" s="769"/>
      <c r="QGJ112" s="769"/>
      <c r="QGK112" s="769"/>
      <c r="QGL112" s="769"/>
      <c r="QGM112" s="769"/>
      <c r="QGN112" s="769"/>
      <c r="QGO112" s="769"/>
      <c r="QGP112" s="769"/>
      <c r="QGQ112" s="769"/>
      <c r="QGR112" s="769"/>
      <c r="QGS112" s="769"/>
      <c r="QGT112" s="769"/>
      <c r="QGU112" s="769"/>
      <c r="QGV112" s="769"/>
      <c r="QGW112" s="769"/>
      <c r="QGX112" s="769"/>
      <c r="QGY112" s="769"/>
      <c r="QGZ112" s="769"/>
      <c r="QHA112" s="769"/>
      <c r="QHB112" s="769"/>
      <c r="QHC112" s="769"/>
      <c r="QHD112" s="769"/>
      <c r="QHE112" s="769"/>
      <c r="QHF112" s="769"/>
      <c r="QHG112" s="769"/>
      <c r="QHH112" s="769"/>
      <c r="QHI112" s="769"/>
      <c r="QHJ112" s="769"/>
      <c r="QHK112" s="769"/>
      <c r="QHL112" s="769"/>
      <c r="QHM112" s="769"/>
      <c r="QHN112" s="769"/>
      <c r="QHO112" s="769"/>
      <c r="QHP112" s="769"/>
      <c r="QHQ112" s="769"/>
      <c r="QHR112" s="769"/>
      <c r="QHS112" s="769"/>
      <c r="QHT112" s="769"/>
      <c r="QHU112" s="769"/>
      <c r="QHV112" s="769"/>
      <c r="QHW112" s="769"/>
      <c r="QHX112" s="769"/>
      <c r="QHY112" s="769"/>
      <c r="QHZ112" s="769"/>
      <c r="QIA112" s="769"/>
      <c r="QIB112" s="769"/>
      <c r="QIC112" s="769"/>
      <c r="QID112" s="769"/>
      <c r="QIE112" s="769"/>
      <c r="QIF112" s="769"/>
      <c r="QIG112" s="769"/>
      <c r="QIH112" s="769"/>
      <c r="QII112" s="769"/>
      <c r="QIJ112" s="769"/>
      <c r="QIK112" s="769"/>
      <c r="QIL112" s="769"/>
      <c r="QIM112" s="769"/>
      <c r="QIN112" s="769"/>
      <c r="QIO112" s="769"/>
      <c r="QIP112" s="769"/>
      <c r="QIQ112" s="769"/>
      <c r="QIR112" s="769"/>
      <c r="QIS112" s="769"/>
      <c r="QIT112" s="769"/>
      <c r="QIU112" s="769"/>
      <c r="QIV112" s="769"/>
      <c r="QIW112" s="769"/>
      <c r="QIX112" s="769"/>
      <c r="QIY112" s="769"/>
      <c r="QIZ112" s="769"/>
      <c r="QJA112" s="769"/>
      <c r="QJB112" s="769"/>
      <c r="QJC112" s="769"/>
      <c r="QJD112" s="769"/>
      <c r="QJE112" s="769"/>
      <c r="QJF112" s="769"/>
      <c r="QJG112" s="769"/>
      <c r="QJH112" s="769"/>
      <c r="QJI112" s="769"/>
      <c r="QJJ112" s="769"/>
      <c r="QJK112" s="769"/>
      <c r="QJL112" s="769"/>
      <c r="QJM112" s="769"/>
      <c r="QJN112" s="769"/>
      <c r="QJO112" s="769"/>
      <c r="QJP112" s="769"/>
      <c r="QJQ112" s="769"/>
      <c r="QJR112" s="769"/>
      <c r="QJS112" s="769"/>
      <c r="QJT112" s="769"/>
      <c r="QJU112" s="769"/>
      <c r="QJV112" s="769"/>
      <c r="QJW112" s="769"/>
      <c r="QJX112" s="769"/>
      <c r="QJY112" s="769"/>
      <c r="QJZ112" s="769"/>
      <c r="QKA112" s="769"/>
      <c r="QKB112" s="769"/>
      <c r="QKC112" s="769"/>
      <c r="QKD112" s="769"/>
      <c r="QKE112" s="769"/>
      <c r="QKF112" s="769"/>
      <c r="QKG112" s="769"/>
      <c r="QKH112" s="769"/>
      <c r="QKI112" s="769"/>
      <c r="QKJ112" s="769"/>
      <c r="QKK112" s="769"/>
      <c r="QKL112" s="769"/>
      <c r="QKM112" s="769"/>
      <c r="QKN112" s="769"/>
      <c r="QKO112" s="769"/>
      <c r="QKP112" s="769"/>
      <c r="QKQ112" s="769"/>
      <c r="QKR112" s="769"/>
      <c r="QKS112" s="769"/>
      <c r="QKT112" s="769"/>
      <c r="QKU112" s="769"/>
      <c r="QKV112" s="769"/>
      <c r="QKW112" s="769"/>
      <c r="QKX112" s="769"/>
      <c r="QKY112" s="769"/>
      <c r="QKZ112" s="769"/>
      <c r="QLA112" s="769"/>
      <c r="QLB112" s="769"/>
      <c r="QLC112" s="769"/>
      <c r="QLD112" s="769"/>
      <c r="QLE112" s="769"/>
      <c r="QLF112" s="769"/>
      <c r="QLG112" s="769"/>
      <c r="QLH112" s="769"/>
      <c r="QLI112" s="769"/>
      <c r="QLJ112" s="769"/>
      <c r="QLK112" s="769"/>
      <c r="QLL112" s="769"/>
      <c r="QLM112" s="769"/>
      <c r="QLN112" s="769"/>
      <c r="QLO112" s="769"/>
      <c r="QLP112" s="769"/>
      <c r="QLQ112" s="769"/>
      <c r="QLR112" s="769"/>
      <c r="QLS112" s="769"/>
      <c r="QLT112" s="769"/>
      <c r="QLU112" s="769"/>
      <c r="QLV112" s="769"/>
      <c r="QLW112" s="769"/>
      <c r="QLX112" s="769"/>
      <c r="QLY112" s="769"/>
      <c r="QLZ112" s="769"/>
      <c r="QMA112" s="769"/>
      <c r="QMB112" s="769"/>
      <c r="QMC112" s="769"/>
      <c r="QMD112" s="769"/>
      <c r="QME112" s="769"/>
      <c r="QMF112" s="769"/>
      <c r="QMG112" s="769"/>
      <c r="QMH112" s="769"/>
      <c r="QMI112" s="769"/>
      <c r="QMJ112" s="769"/>
      <c r="QMK112" s="769"/>
      <c r="QML112" s="769"/>
      <c r="QMM112" s="769"/>
      <c r="QMN112" s="769"/>
      <c r="QMO112" s="769"/>
      <c r="QMP112" s="769"/>
      <c r="QMQ112" s="769"/>
      <c r="QMR112" s="769"/>
      <c r="QMS112" s="769"/>
      <c r="QMT112" s="769"/>
      <c r="QMU112" s="769"/>
      <c r="QMV112" s="769"/>
      <c r="QMW112" s="769"/>
      <c r="QMX112" s="769"/>
      <c r="QMY112" s="769"/>
      <c r="QMZ112" s="769"/>
      <c r="QNA112" s="769"/>
      <c r="QNB112" s="769"/>
      <c r="QNC112" s="769"/>
      <c r="QND112" s="769"/>
      <c r="QNE112" s="769"/>
      <c r="QNF112" s="769"/>
      <c r="QNG112" s="769"/>
      <c r="QNH112" s="769"/>
      <c r="QNI112" s="769"/>
      <c r="QNJ112" s="769"/>
      <c r="QNK112" s="769"/>
      <c r="QNL112" s="769"/>
      <c r="QNM112" s="769"/>
      <c r="QNN112" s="769"/>
      <c r="QNO112" s="769"/>
      <c r="QNP112" s="769"/>
      <c r="QNQ112" s="769"/>
      <c r="QNR112" s="769"/>
      <c r="QNS112" s="769"/>
      <c r="QNT112" s="769"/>
      <c r="QNU112" s="769"/>
      <c r="QNV112" s="769"/>
      <c r="QNW112" s="769"/>
      <c r="QNX112" s="769"/>
      <c r="QNY112" s="769"/>
      <c r="QNZ112" s="769"/>
      <c r="QOA112" s="769"/>
      <c r="QOB112" s="769"/>
      <c r="QOC112" s="769"/>
      <c r="QOD112" s="769"/>
      <c r="QOE112" s="769"/>
      <c r="QOF112" s="769"/>
      <c r="QOG112" s="769"/>
      <c r="QOH112" s="769"/>
      <c r="QOI112" s="769"/>
      <c r="QOJ112" s="769"/>
      <c r="QOK112" s="769"/>
      <c r="QOL112" s="769"/>
      <c r="QOM112" s="769"/>
      <c r="QON112" s="769"/>
      <c r="QOO112" s="769"/>
      <c r="QOP112" s="769"/>
      <c r="QOQ112" s="769"/>
      <c r="QOR112" s="769"/>
      <c r="QOS112" s="769"/>
      <c r="QOT112" s="769"/>
      <c r="QOU112" s="769"/>
      <c r="QOV112" s="769"/>
      <c r="QOW112" s="769"/>
      <c r="QOX112" s="769"/>
      <c r="QOY112" s="769"/>
      <c r="QOZ112" s="769"/>
      <c r="QPA112" s="769"/>
      <c r="QPB112" s="769"/>
      <c r="QPC112" s="769"/>
      <c r="QPD112" s="769"/>
      <c r="QPE112" s="769"/>
      <c r="QPF112" s="769"/>
      <c r="QPG112" s="769"/>
      <c r="QPH112" s="769"/>
      <c r="QPI112" s="769"/>
      <c r="QPJ112" s="769"/>
      <c r="QPK112" s="769"/>
      <c r="QPL112" s="769"/>
      <c r="QPM112" s="769"/>
      <c r="QPN112" s="769"/>
      <c r="QPO112" s="769"/>
      <c r="QPP112" s="769"/>
      <c r="QPQ112" s="769"/>
      <c r="QPR112" s="769"/>
      <c r="QPS112" s="769"/>
      <c r="QPT112" s="769"/>
      <c r="QPU112" s="769"/>
      <c r="QPV112" s="769"/>
      <c r="QPW112" s="769"/>
      <c r="QPX112" s="769"/>
      <c r="QPY112" s="769"/>
      <c r="QPZ112" s="769"/>
      <c r="QQA112" s="769"/>
      <c r="QQB112" s="769"/>
      <c r="QQC112" s="769"/>
      <c r="QQD112" s="769"/>
      <c r="QQE112" s="769"/>
      <c r="QQF112" s="769"/>
      <c r="QQG112" s="769"/>
      <c r="QQH112" s="769"/>
      <c r="QQI112" s="769"/>
      <c r="QQJ112" s="769"/>
      <c r="QQK112" s="769"/>
      <c r="QQL112" s="769"/>
      <c r="QQM112" s="769"/>
      <c r="QQN112" s="769"/>
      <c r="QQO112" s="769"/>
      <c r="QQP112" s="769"/>
      <c r="QQQ112" s="769"/>
      <c r="QQR112" s="769"/>
      <c r="QQS112" s="769"/>
      <c r="QQT112" s="769"/>
      <c r="QQU112" s="769"/>
      <c r="QQV112" s="769"/>
      <c r="QQW112" s="769"/>
      <c r="QQX112" s="769"/>
      <c r="QQY112" s="769"/>
      <c r="QQZ112" s="769"/>
      <c r="QRA112" s="769"/>
      <c r="QRB112" s="769"/>
      <c r="QRC112" s="769"/>
      <c r="QRD112" s="769"/>
      <c r="QRE112" s="769"/>
      <c r="QRF112" s="769"/>
      <c r="QRG112" s="769"/>
      <c r="QRH112" s="769"/>
      <c r="QRI112" s="769"/>
      <c r="QRJ112" s="769"/>
      <c r="QRK112" s="769"/>
      <c r="QRL112" s="769"/>
      <c r="QRM112" s="769"/>
      <c r="QRN112" s="769"/>
      <c r="QRO112" s="769"/>
      <c r="QRP112" s="769"/>
      <c r="QRQ112" s="769"/>
      <c r="QRR112" s="769"/>
      <c r="QRS112" s="769"/>
      <c r="QRT112" s="769"/>
      <c r="QRU112" s="769"/>
      <c r="QRV112" s="769"/>
      <c r="QRW112" s="769"/>
      <c r="QRX112" s="769"/>
      <c r="QRY112" s="769"/>
      <c r="QRZ112" s="769"/>
      <c r="QSA112" s="769"/>
      <c r="QSB112" s="769"/>
      <c r="QSC112" s="769"/>
      <c r="QSD112" s="769"/>
      <c r="QSE112" s="769"/>
      <c r="QSF112" s="769"/>
      <c r="QSG112" s="769"/>
      <c r="QSH112" s="769"/>
      <c r="QSI112" s="769"/>
      <c r="QSJ112" s="769"/>
      <c r="QSK112" s="769"/>
      <c r="QSL112" s="769"/>
      <c r="QSM112" s="769"/>
      <c r="QSN112" s="769"/>
      <c r="QSO112" s="769"/>
      <c r="QSP112" s="769"/>
      <c r="QSQ112" s="769"/>
      <c r="QSR112" s="769"/>
      <c r="QSS112" s="769"/>
      <c r="QST112" s="769"/>
      <c r="QSU112" s="769"/>
      <c r="QSV112" s="769"/>
      <c r="QSW112" s="769"/>
      <c r="QSX112" s="769"/>
      <c r="QSY112" s="769"/>
      <c r="QSZ112" s="769"/>
      <c r="QTA112" s="769"/>
      <c r="QTB112" s="769"/>
      <c r="QTC112" s="769"/>
      <c r="QTD112" s="769"/>
      <c r="QTE112" s="769"/>
      <c r="QTF112" s="769"/>
      <c r="QTG112" s="769"/>
      <c r="QTH112" s="769"/>
      <c r="QTI112" s="769"/>
      <c r="QTJ112" s="769"/>
      <c r="QTK112" s="769"/>
      <c r="QTL112" s="769"/>
      <c r="QTM112" s="769"/>
      <c r="QTN112" s="769"/>
      <c r="QTO112" s="769"/>
      <c r="QTP112" s="769"/>
      <c r="QTQ112" s="769"/>
      <c r="QTR112" s="769"/>
      <c r="QTS112" s="769"/>
      <c r="QTT112" s="769"/>
      <c r="QTU112" s="769"/>
      <c r="QTV112" s="769"/>
      <c r="QTW112" s="769"/>
      <c r="QTX112" s="769"/>
      <c r="QTY112" s="769"/>
      <c r="QTZ112" s="769"/>
      <c r="QUA112" s="769"/>
      <c r="QUB112" s="769"/>
      <c r="QUC112" s="769"/>
      <c r="QUD112" s="769"/>
      <c r="QUE112" s="769"/>
      <c r="QUF112" s="769"/>
      <c r="QUG112" s="769"/>
      <c r="QUH112" s="769"/>
      <c r="QUI112" s="769"/>
      <c r="QUJ112" s="769"/>
      <c r="QUK112" s="769"/>
      <c r="QUL112" s="769"/>
      <c r="QUM112" s="769"/>
      <c r="QUN112" s="769"/>
      <c r="QUO112" s="769"/>
      <c r="QUP112" s="769"/>
      <c r="QUQ112" s="769"/>
      <c r="QUR112" s="769"/>
      <c r="QUS112" s="769"/>
      <c r="QUT112" s="769"/>
      <c r="QUU112" s="769"/>
      <c r="QUV112" s="769"/>
      <c r="QUW112" s="769"/>
      <c r="QUX112" s="769"/>
      <c r="QUY112" s="769"/>
      <c r="QUZ112" s="769"/>
      <c r="QVA112" s="769"/>
      <c r="QVB112" s="769"/>
      <c r="QVC112" s="769"/>
      <c r="QVD112" s="769"/>
      <c r="QVE112" s="769"/>
      <c r="QVF112" s="769"/>
      <c r="QVG112" s="769"/>
      <c r="QVH112" s="769"/>
      <c r="QVI112" s="769"/>
      <c r="QVJ112" s="769"/>
      <c r="QVK112" s="769"/>
      <c r="QVL112" s="769"/>
      <c r="QVM112" s="769"/>
      <c r="QVN112" s="769"/>
      <c r="QVO112" s="769"/>
      <c r="QVP112" s="769"/>
      <c r="QVQ112" s="769"/>
      <c r="QVR112" s="769"/>
      <c r="QVS112" s="769"/>
      <c r="QVT112" s="769"/>
      <c r="QVU112" s="769"/>
      <c r="QVV112" s="769"/>
      <c r="QVW112" s="769"/>
      <c r="QVX112" s="769"/>
      <c r="QVY112" s="769"/>
      <c r="QVZ112" s="769"/>
      <c r="QWA112" s="769"/>
      <c r="QWB112" s="769"/>
      <c r="QWC112" s="769"/>
      <c r="QWD112" s="769"/>
      <c r="QWE112" s="769"/>
      <c r="QWF112" s="769"/>
      <c r="QWG112" s="769"/>
      <c r="QWH112" s="769"/>
      <c r="QWI112" s="769"/>
      <c r="QWJ112" s="769"/>
      <c r="QWK112" s="769"/>
      <c r="QWL112" s="769"/>
      <c r="QWM112" s="769"/>
      <c r="QWN112" s="769"/>
      <c r="QWO112" s="769"/>
      <c r="QWP112" s="769"/>
      <c r="QWQ112" s="769"/>
      <c r="QWR112" s="769"/>
      <c r="QWS112" s="769"/>
      <c r="QWT112" s="769"/>
      <c r="QWU112" s="769"/>
      <c r="QWV112" s="769"/>
      <c r="QWW112" s="769"/>
      <c r="QWX112" s="769"/>
      <c r="QWY112" s="769"/>
      <c r="QWZ112" s="769"/>
      <c r="QXA112" s="769"/>
      <c r="QXB112" s="769"/>
      <c r="QXC112" s="769"/>
      <c r="QXD112" s="769"/>
      <c r="QXE112" s="769"/>
      <c r="QXF112" s="769"/>
      <c r="QXG112" s="769"/>
      <c r="QXH112" s="769"/>
      <c r="QXI112" s="769"/>
      <c r="QXJ112" s="769"/>
      <c r="QXK112" s="769"/>
      <c r="QXL112" s="769"/>
      <c r="QXM112" s="769"/>
      <c r="QXN112" s="769"/>
      <c r="QXO112" s="769"/>
      <c r="QXP112" s="769"/>
      <c r="QXQ112" s="769"/>
      <c r="QXR112" s="769"/>
      <c r="QXS112" s="769"/>
      <c r="QXT112" s="769"/>
      <c r="QXU112" s="769"/>
      <c r="QXV112" s="769"/>
      <c r="QXW112" s="769"/>
      <c r="QXX112" s="769"/>
      <c r="QXY112" s="769"/>
      <c r="QXZ112" s="769"/>
      <c r="QYA112" s="769"/>
      <c r="QYB112" s="769"/>
      <c r="QYC112" s="769"/>
      <c r="QYD112" s="769"/>
      <c r="QYE112" s="769"/>
      <c r="QYF112" s="769"/>
      <c r="QYG112" s="769"/>
      <c r="QYH112" s="769"/>
      <c r="QYI112" s="769"/>
      <c r="QYJ112" s="769"/>
      <c r="QYK112" s="769"/>
      <c r="QYL112" s="769"/>
      <c r="QYM112" s="769"/>
      <c r="QYN112" s="769"/>
      <c r="QYO112" s="769"/>
      <c r="QYP112" s="769"/>
      <c r="QYQ112" s="769"/>
      <c r="QYR112" s="769"/>
      <c r="QYS112" s="769"/>
      <c r="QYT112" s="769"/>
      <c r="QYU112" s="769"/>
      <c r="QYV112" s="769"/>
      <c r="QYW112" s="769"/>
      <c r="QYX112" s="769"/>
      <c r="QYY112" s="769"/>
      <c r="QYZ112" s="769"/>
      <c r="QZA112" s="769"/>
      <c r="QZB112" s="769"/>
      <c r="QZC112" s="769"/>
      <c r="QZD112" s="769"/>
      <c r="QZE112" s="769"/>
      <c r="QZF112" s="769"/>
      <c r="QZG112" s="769"/>
      <c r="QZH112" s="769"/>
      <c r="QZI112" s="769"/>
      <c r="QZJ112" s="769"/>
      <c r="QZK112" s="769"/>
      <c r="QZL112" s="769"/>
      <c r="QZM112" s="769"/>
      <c r="QZN112" s="769"/>
      <c r="QZO112" s="769"/>
      <c r="QZP112" s="769"/>
      <c r="QZQ112" s="769"/>
      <c r="QZR112" s="769"/>
      <c r="QZS112" s="769"/>
      <c r="QZT112" s="769"/>
      <c r="QZU112" s="769"/>
      <c r="QZV112" s="769"/>
      <c r="QZW112" s="769"/>
      <c r="QZX112" s="769"/>
      <c r="QZY112" s="769"/>
      <c r="QZZ112" s="769"/>
      <c r="RAA112" s="769"/>
      <c r="RAB112" s="769"/>
      <c r="RAC112" s="769"/>
      <c r="RAD112" s="769"/>
      <c r="RAE112" s="769"/>
      <c r="RAF112" s="769"/>
      <c r="RAG112" s="769"/>
      <c r="RAH112" s="769"/>
      <c r="RAI112" s="769"/>
      <c r="RAJ112" s="769"/>
      <c r="RAK112" s="769"/>
      <c r="RAL112" s="769"/>
      <c r="RAM112" s="769"/>
      <c r="RAN112" s="769"/>
      <c r="RAO112" s="769"/>
      <c r="RAP112" s="769"/>
      <c r="RAQ112" s="769"/>
      <c r="RAR112" s="769"/>
      <c r="RAS112" s="769"/>
      <c r="RAT112" s="769"/>
      <c r="RAU112" s="769"/>
      <c r="RAV112" s="769"/>
      <c r="RAW112" s="769"/>
      <c r="RAX112" s="769"/>
      <c r="RAY112" s="769"/>
      <c r="RAZ112" s="769"/>
      <c r="RBA112" s="769"/>
      <c r="RBB112" s="769"/>
      <c r="RBC112" s="769"/>
      <c r="RBD112" s="769"/>
      <c r="RBE112" s="769"/>
      <c r="RBF112" s="769"/>
      <c r="RBG112" s="769"/>
      <c r="RBH112" s="769"/>
      <c r="RBI112" s="769"/>
      <c r="RBJ112" s="769"/>
      <c r="RBK112" s="769"/>
      <c r="RBL112" s="769"/>
      <c r="RBM112" s="769"/>
      <c r="RBN112" s="769"/>
      <c r="RBO112" s="769"/>
      <c r="RBP112" s="769"/>
      <c r="RBQ112" s="769"/>
      <c r="RBR112" s="769"/>
      <c r="RBS112" s="769"/>
      <c r="RBT112" s="769"/>
      <c r="RBU112" s="769"/>
      <c r="RBV112" s="769"/>
      <c r="RBW112" s="769"/>
      <c r="RBX112" s="769"/>
      <c r="RBY112" s="769"/>
      <c r="RBZ112" s="769"/>
      <c r="RCA112" s="769"/>
      <c r="RCB112" s="769"/>
      <c r="RCC112" s="769"/>
      <c r="RCD112" s="769"/>
      <c r="RCE112" s="769"/>
      <c r="RCF112" s="769"/>
      <c r="RCG112" s="769"/>
      <c r="RCH112" s="769"/>
      <c r="RCI112" s="769"/>
      <c r="RCJ112" s="769"/>
      <c r="RCK112" s="769"/>
      <c r="RCL112" s="769"/>
      <c r="RCM112" s="769"/>
      <c r="RCN112" s="769"/>
      <c r="RCO112" s="769"/>
      <c r="RCP112" s="769"/>
      <c r="RCQ112" s="769"/>
      <c r="RCR112" s="769"/>
      <c r="RCS112" s="769"/>
      <c r="RCT112" s="769"/>
      <c r="RCU112" s="769"/>
      <c r="RCV112" s="769"/>
      <c r="RCW112" s="769"/>
      <c r="RCX112" s="769"/>
      <c r="RCY112" s="769"/>
      <c r="RCZ112" s="769"/>
      <c r="RDA112" s="769"/>
      <c r="RDB112" s="769"/>
      <c r="RDC112" s="769"/>
      <c r="RDD112" s="769"/>
      <c r="RDE112" s="769"/>
      <c r="RDF112" s="769"/>
      <c r="RDG112" s="769"/>
      <c r="RDH112" s="769"/>
      <c r="RDI112" s="769"/>
      <c r="RDJ112" s="769"/>
      <c r="RDK112" s="769"/>
      <c r="RDL112" s="769"/>
      <c r="RDM112" s="769"/>
      <c r="RDN112" s="769"/>
      <c r="RDO112" s="769"/>
      <c r="RDP112" s="769"/>
      <c r="RDQ112" s="769"/>
      <c r="RDR112" s="769"/>
      <c r="RDS112" s="769"/>
      <c r="RDT112" s="769"/>
      <c r="RDU112" s="769"/>
      <c r="RDV112" s="769"/>
      <c r="RDW112" s="769"/>
      <c r="RDX112" s="769"/>
      <c r="RDY112" s="769"/>
      <c r="RDZ112" s="769"/>
      <c r="REA112" s="769"/>
      <c r="REB112" s="769"/>
      <c r="REC112" s="769"/>
      <c r="RED112" s="769"/>
      <c r="REE112" s="769"/>
      <c r="REF112" s="769"/>
      <c r="REG112" s="769"/>
      <c r="REH112" s="769"/>
      <c r="REI112" s="769"/>
      <c r="REJ112" s="769"/>
      <c r="REK112" s="769"/>
      <c r="REL112" s="769"/>
      <c r="REM112" s="769"/>
      <c r="REN112" s="769"/>
      <c r="REO112" s="769"/>
      <c r="REP112" s="769"/>
      <c r="REQ112" s="769"/>
      <c r="RER112" s="769"/>
      <c r="RES112" s="769"/>
      <c r="RET112" s="769"/>
      <c r="REU112" s="769"/>
      <c r="REV112" s="769"/>
      <c r="REW112" s="769"/>
      <c r="REX112" s="769"/>
      <c r="REY112" s="769"/>
      <c r="REZ112" s="769"/>
      <c r="RFA112" s="769"/>
      <c r="RFB112" s="769"/>
      <c r="RFC112" s="769"/>
      <c r="RFD112" s="769"/>
      <c r="RFE112" s="769"/>
      <c r="RFF112" s="769"/>
      <c r="RFG112" s="769"/>
      <c r="RFH112" s="769"/>
      <c r="RFI112" s="769"/>
      <c r="RFJ112" s="769"/>
      <c r="RFK112" s="769"/>
      <c r="RFL112" s="769"/>
      <c r="RFM112" s="769"/>
      <c r="RFN112" s="769"/>
      <c r="RFO112" s="769"/>
      <c r="RFP112" s="769"/>
      <c r="RFQ112" s="769"/>
      <c r="RFR112" s="769"/>
      <c r="RFS112" s="769"/>
      <c r="RFT112" s="769"/>
      <c r="RFU112" s="769"/>
      <c r="RFV112" s="769"/>
      <c r="RFW112" s="769"/>
      <c r="RFX112" s="769"/>
      <c r="RFY112" s="769"/>
      <c r="RFZ112" s="769"/>
      <c r="RGA112" s="769"/>
      <c r="RGB112" s="769"/>
      <c r="RGC112" s="769"/>
      <c r="RGD112" s="769"/>
      <c r="RGE112" s="769"/>
      <c r="RGF112" s="769"/>
      <c r="RGG112" s="769"/>
      <c r="RGH112" s="769"/>
      <c r="RGI112" s="769"/>
      <c r="RGJ112" s="769"/>
      <c r="RGK112" s="769"/>
      <c r="RGL112" s="769"/>
      <c r="RGM112" s="769"/>
      <c r="RGN112" s="769"/>
      <c r="RGO112" s="769"/>
      <c r="RGP112" s="769"/>
      <c r="RGQ112" s="769"/>
      <c r="RGR112" s="769"/>
      <c r="RGS112" s="769"/>
      <c r="RGT112" s="769"/>
      <c r="RGU112" s="769"/>
      <c r="RGV112" s="769"/>
      <c r="RGW112" s="769"/>
      <c r="RGX112" s="769"/>
      <c r="RGY112" s="769"/>
      <c r="RGZ112" s="769"/>
      <c r="RHA112" s="769"/>
      <c r="RHB112" s="769"/>
      <c r="RHC112" s="769"/>
      <c r="RHD112" s="769"/>
      <c r="RHE112" s="769"/>
      <c r="RHF112" s="769"/>
      <c r="RHG112" s="769"/>
      <c r="RHH112" s="769"/>
      <c r="RHI112" s="769"/>
      <c r="RHJ112" s="769"/>
      <c r="RHK112" s="769"/>
      <c r="RHL112" s="769"/>
      <c r="RHM112" s="769"/>
      <c r="RHN112" s="769"/>
      <c r="RHO112" s="769"/>
      <c r="RHP112" s="769"/>
      <c r="RHQ112" s="769"/>
      <c r="RHR112" s="769"/>
      <c r="RHS112" s="769"/>
      <c r="RHT112" s="769"/>
      <c r="RHU112" s="769"/>
      <c r="RHV112" s="769"/>
      <c r="RHW112" s="769"/>
      <c r="RHX112" s="769"/>
      <c r="RHY112" s="769"/>
      <c r="RHZ112" s="769"/>
      <c r="RIA112" s="769"/>
      <c r="RIB112" s="769"/>
      <c r="RIC112" s="769"/>
      <c r="RID112" s="769"/>
      <c r="RIE112" s="769"/>
      <c r="RIF112" s="769"/>
      <c r="RIG112" s="769"/>
      <c r="RIH112" s="769"/>
      <c r="RII112" s="769"/>
      <c r="RIJ112" s="769"/>
      <c r="RIK112" s="769"/>
      <c r="RIL112" s="769"/>
      <c r="RIM112" s="769"/>
      <c r="RIN112" s="769"/>
      <c r="RIO112" s="769"/>
      <c r="RIP112" s="769"/>
      <c r="RIQ112" s="769"/>
      <c r="RIR112" s="769"/>
      <c r="RIS112" s="769"/>
      <c r="RIT112" s="769"/>
      <c r="RIU112" s="769"/>
      <c r="RIV112" s="769"/>
      <c r="RIW112" s="769"/>
      <c r="RIX112" s="769"/>
      <c r="RIY112" s="769"/>
      <c r="RIZ112" s="769"/>
      <c r="RJA112" s="769"/>
      <c r="RJB112" s="769"/>
      <c r="RJC112" s="769"/>
      <c r="RJD112" s="769"/>
      <c r="RJE112" s="769"/>
      <c r="RJF112" s="769"/>
      <c r="RJG112" s="769"/>
      <c r="RJH112" s="769"/>
      <c r="RJI112" s="769"/>
      <c r="RJJ112" s="769"/>
      <c r="RJK112" s="769"/>
      <c r="RJL112" s="769"/>
      <c r="RJM112" s="769"/>
      <c r="RJN112" s="769"/>
      <c r="RJO112" s="769"/>
      <c r="RJP112" s="769"/>
      <c r="RJQ112" s="769"/>
      <c r="RJR112" s="769"/>
      <c r="RJS112" s="769"/>
      <c r="RJT112" s="769"/>
      <c r="RJU112" s="769"/>
      <c r="RJV112" s="769"/>
      <c r="RJW112" s="769"/>
      <c r="RJX112" s="769"/>
      <c r="RJY112" s="769"/>
      <c r="RJZ112" s="769"/>
      <c r="RKA112" s="769"/>
      <c r="RKB112" s="769"/>
      <c r="RKC112" s="769"/>
      <c r="RKD112" s="769"/>
      <c r="RKE112" s="769"/>
      <c r="RKF112" s="769"/>
      <c r="RKG112" s="769"/>
      <c r="RKH112" s="769"/>
      <c r="RKI112" s="769"/>
      <c r="RKJ112" s="769"/>
      <c r="RKK112" s="769"/>
      <c r="RKL112" s="769"/>
      <c r="RKM112" s="769"/>
      <c r="RKN112" s="769"/>
      <c r="RKO112" s="769"/>
      <c r="RKP112" s="769"/>
      <c r="RKQ112" s="769"/>
      <c r="RKR112" s="769"/>
      <c r="RKS112" s="769"/>
      <c r="RKT112" s="769"/>
      <c r="RKU112" s="769"/>
      <c r="RKV112" s="769"/>
      <c r="RKW112" s="769"/>
      <c r="RKX112" s="769"/>
      <c r="RKY112" s="769"/>
      <c r="RKZ112" s="769"/>
      <c r="RLA112" s="769"/>
      <c r="RLB112" s="769"/>
      <c r="RLC112" s="769"/>
      <c r="RLD112" s="769"/>
      <c r="RLE112" s="769"/>
      <c r="RLF112" s="769"/>
      <c r="RLG112" s="769"/>
      <c r="RLH112" s="769"/>
      <c r="RLI112" s="769"/>
      <c r="RLJ112" s="769"/>
      <c r="RLK112" s="769"/>
      <c r="RLL112" s="769"/>
      <c r="RLM112" s="769"/>
      <c r="RLN112" s="769"/>
      <c r="RLO112" s="769"/>
      <c r="RLP112" s="769"/>
      <c r="RLQ112" s="769"/>
      <c r="RLR112" s="769"/>
      <c r="RLS112" s="769"/>
      <c r="RLT112" s="769"/>
      <c r="RLU112" s="769"/>
      <c r="RLV112" s="769"/>
      <c r="RLW112" s="769"/>
      <c r="RLX112" s="769"/>
      <c r="RLY112" s="769"/>
      <c r="RLZ112" s="769"/>
      <c r="RMA112" s="769"/>
      <c r="RMB112" s="769"/>
      <c r="RMC112" s="769"/>
      <c r="RMD112" s="769"/>
      <c r="RME112" s="769"/>
      <c r="RMF112" s="769"/>
      <c r="RMG112" s="769"/>
      <c r="RMH112" s="769"/>
      <c r="RMI112" s="769"/>
      <c r="RMJ112" s="769"/>
      <c r="RMK112" s="769"/>
      <c r="RML112" s="769"/>
      <c r="RMM112" s="769"/>
      <c r="RMN112" s="769"/>
      <c r="RMO112" s="769"/>
      <c r="RMP112" s="769"/>
      <c r="RMQ112" s="769"/>
      <c r="RMR112" s="769"/>
      <c r="RMS112" s="769"/>
      <c r="RMT112" s="769"/>
      <c r="RMU112" s="769"/>
      <c r="RMV112" s="769"/>
      <c r="RMW112" s="769"/>
      <c r="RMX112" s="769"/>
      <c r="RMY112" s="769"/>
      <c r="RMZ112" s="769"/>
      <c r="RNA112" s="769"/>
      <c r="RNB112" s="769"/>
      <c r="RNC112" s="769"/>
      <c r="RND112" s="769"/>
      <c r="RNE112" s="769"/>
      <c r="RNF112" s="769"/>
      <c r="RNG112" s="769"/>
      <c r="RNH112" s="769"/>
      <c r="RNI112" s="769"/>
      <c r="RNJ112" s="769"/>
      <c r="RNK112" s="769"/>
      <c r="RNL112" s="769"/>
      <c r="RNM112" s="769"/>
      <c r="RNN112" s="769"/>
      <c r="RNO112" s="769"/>
      <c r="RNP112" s="769"/>
      <c r="RNQ112" s="769"/>
      <c r="RNR112" s="769"/>
      <c r="RNS112" s="769"/>
      <c r="RNT112" s="769"/>
      <c r="RNU112" s="769"/>
      <c r="RNV112" s="769"/>
      <c r="RNW112" s="769"/>
      <c r="RNX112" s="769"/>
      <c r="RNY112" s="769"/>
      <c r="RNZ112" s="769"/>
      <c r="ROA112" s="769"/>
      <c r="ROB112" s="769"/>
      <c r="ROC112" s="769"/>
      <c r="ROD112" s="769"/>
      <c r="ROE112" s="769"/>
      <c r="ROF112" s="769"/>
      <c r="ROG112" s="769"/>
      <c r="ROH112" s="769"/>
      <c r="ROI112" s="769"/>
      <c r="ROJ112" s="769"/>
      <c r="ROK112" s="769"/>
      <c r="ROL112" s="769"/>
      <c r="ROM112" s="769"/>
      <c r="RON112" s="769"/>
      <c r="ROO112" s="769"/>
      <c r="ROP112" s="769"/>
      <c r="ROQ112" s="769"/>
      <c r="ROR112" s="769"/>
      <c r="ROS112" s="769"/>
      <c r="ROT112" s="769"/>
      <c r="ROU112" s="769"/>
      <c r="ROV112" s="769"/>
      <c r="ROW112" s="769"/>
      <c r="ROX112" s="769"/>
      <c r="ROY112" s="769"/>
      <c r="ROZ112" s="769"/>
      <c r="RPA112" s="769"/>
      <c r="RPB112" s="769"/>
      <c r="RPC112" s="769"/>
      <c r="RPD112" s="769"/>
      <c r="RPE112" s="769"/>
      <c r="RPF112" s="769"/>
      <c r="RPG112" s="769"/>
      <c r="RPH112" s="769"/>
      <c r="RPI112" s="769"/>
      <c r="RPJ112" s="769"/>
      <c r="RPK112" s="769"/>
      <c r="RPL112" s="769"/>
      <c r="RPM112" s="769"/>
      <c r="RPN112" s="769"/>
      <c r="RPO112" s="769"/>
      <c r="RPP112" s="769"/>
      <c r="RPQ112" s="769"/>
      <c r="RPR112" s="769"/>
      <c r="RPS112" s="769"/>
      <c r="RPT112" s="769"/>
      <c r="RPU112" s="769"/>
      <c r="RPV112" s="769"/>
      <c r="RPW112" s="769"/>
      <c r="RPX112" s="769"/>
      <c r="RPY112" s="769"/>
      <c r="RPZ112" s="769"/>
      <c r="RQA112" s="769"/>
      <c r="RQB112" s="769"/>
      <c r="RQC112" s="769"/>
      <c r="RQD112" s="769"/>
      <c r="RQE112" s="769"/>
      <c r="RQF112" s="769"/>
      <c r="RQG112" s="769"/>
      <c r="RQH112" s="769"/>
      <c r="RQI112" s="769"/>
      <c r="RQJ112" s="769"/>
      <c r="RQK112" s="769"/>
      <c r="RQL112" s="769"/>
      <c r="RQM112" s="769"/>
      <c r="RQN112" s="769"/>
      <c r="RQO112" s="769"/>
      <c r="RQP112" s="769"/>
      <c r="RQQ112" s="769"/>
      <c r="RQR112" s="769"/>
      <c r="RQS112" s="769"/>
      <c r="RQT112" s="769"/>
      <c r="RQU112" s="769"/>
      <c r="RQV112" s="769"/>
      <c r="RQW112" s="769"/>
      <c r="RQX112" s="769"/>
      <c r="RQY112" s="769"/>
      <c r="RQZ112" s="769"/>
      <c r="RRA112" s="769"/>
      <c r="RRB112" s="769"/>
      <c r="RRC112" s="769"/>
      <c r="RRD112" s="769"/>
      <c r="RRE112" s="769"/>
      <c r="RRF112" s="769"/>
      <c r="RRG112" s="769"/>
      <c r="RRH112" s="769"/>
      <c r="RRI112" s="769"/>
      <c r="RRJ112" s="769"/>
      <c r="RRK112" s="769"/>
      <c r="RRL112" s="769"/>
      <c r="RRM112" s="769"/>
      <c r="RRN112" s="769"/>
      <c r="RRO112" s="769"/>
      <c r="RRP112" s="769"/>
      <c r="RRQ112" s="769"/>
      <c r="RRR112" s="769"/>
      <c r="RRS112" s="769"/>
      <c r="RRT112" s="769"/>
      <c r="RRU112" s="769"/>
      <c r="RRV112" s="769"/>
      <c r="RRW112" s="769"/>
      <c r="RRX112" s="769"/>
      <c r="RRY112" s="769"/>
      <c r="RRZ112" s="769"/>
      <c r="RSA112" s="769"/>
      <c r="RSB112" s="769"/>
      <c r="RSC112" s="769"/>
      <c r="RSD112" s="769"/>
      <c r="RSE112" s="769"/>
      <c r="RSF112" s="769"/>
      <c r="RSG112" s="769"/>
      <c r="RSH112" s="769"/>
      <c r="RSI112" s="769"/>
      <c r="RSJ112" s="769"/>
      <c r="RSK112" s="769"/>
      <c r="RSL112" s="769"/>
      <c r="RSM112" s="769"/>
      <c r="RSN112" s="769"/>
      <c r="RSO112" s="769"/>
      <c r="RSP112" s="769"/>
      <c r="RSQ112" s="769"/>
      <c r="RSR112" s="769"/>
      <c r="RSS112" s="769"/>
      <c r="RST112" s="769"/>
      <c r="RSU112" s="769"/>
      <c r="RSV112" s="769"/>
      <c r="RSW112" s="769"/>
      <c r="RSX112" s="769"/>
      <c r="RSY112" s="769"/>
      <c r="RSZ112" s="769"/>
      <c r="RTA112" s="769"/>
      <c r="RTB112" s="769"/>
      <c r="RTC112" s="769"/>
      <c r="RTD112" s="769"/>
      <c r="RTE112" s="769"/>
      <c r="RTF112" s="769"/>
      <c r="RTG112" s="769"/>
      <c r="RTH112" s="769"/>
      <c r="RTI112" s="769"/>
      <c r="RTJ112" s="769"/>
      <c r="RTK112" s="769"/>
      <c r="RTL112" s="769"/>
      <c r="RTM112" s="769"/>
      <c r="RTN112" s="769"/>
      <c r="RTO112" s="769"/>
      <c r="RTP112" s="769"/>
      <c r="RTQ112" s="769"/>
      <c r="RTR112" s="769"/>
      <c r="RTS112" s="769"/>
      <c r="RTT112" s="769"/>
      <c r="RTU112" s="769"/>
      <c r="RTV112" s="769"/>
      <c r="RTW112" s="769"/>
      <c r="RTX112" s="769"/>
      <c r="RTY112" s="769"/>
      <c r="RTZ112" s="769"/>
      <c r="RUA112" s="769"/>
      <c r="RUB112" s="769"/>
      <c r="RUC112" s="769"/>
      <c r="RUD112" s="769"/>
      <c r="RUE112" s="769"/>
      <c r="RUF112" s="769"/>
      <c r="RUG112" s="769"/>
      <c r="RUH112" s="769"/>
      <c r="RUI112" s="769"/>
      <c r="RUJ112" s="769"/>
      <c r="RUK112" s="769"/>
      <c r="RUL112" s="769"/>
      <c r="RUM112" s="769"/>
      <c r="RUN112" s="769"/>
      <c r="RUO112" s="769"/>
      <c r="RUP112" s="769"/>
      <c r="RUQ112" s="769"/>
      <c r="RUR112" s="769"/>
      <c r="RUS112" s="769"/>
      <c r="RUT112" s="769"/>
      <c r="RUU112" s="769"/>
      <c r="RUV112" s="769"/>
      <c r="RUW112" s="769"/>
      <c r="RUX112" s="769"/>
      <c r="RUY112" s="769"/>
      <c r="RUZ112" s="769"/>
      <c r="RVA112" s="769"/>
      <c r="RVB112" s="769"/>
      <c r="RVC112" s="769"/>
      <c r="RVD112" s="769"/>
      <c r="RVE112" s="769"/>
      <c r="RVF112" s="769"/>
      <c r="RVG112" s="769"/>
      <c r="RVH112" s="769"/>
      <c r="RVI112" s="769"/>
      <c r="RVJ112" s="769"/>
      <c r="RVK112" s="769"/>
      <c r="RVL112" s="769"/>
      <c r="RVM112" s="769"/>
      <c r="RVN112" s="769"/>
      <c r="RVO112" s="769"/>
      <c r="RVP112" s="769"/>
      <c r="RVQ112" s="769"/>
      <c r="RVR112" s="769"/>
      <c r="RVS112" s="769"/>
      <c r="RVT112" s="769"/>
      <c r="RVU112" s="769"/>
      <c r="RVV112" s="769"/>
      <c r="RVW112" s="769"/>
      <c r="RVX112" s="769"/>
      <c r="RVY112" s="769"/>
      <c r="RVZ112" s="769"/>
      <c r="RWA112" s="769"/>
      <c r="RWB112" s="769"/>
      <c r="RWC112" s="769"/>
      <c r="RWD112" s="769"/>
      <c r="RWE112" s="769"/>
      <c r="RWF112" s="769"/>
      <c r="RWG112" s="769"/>
      <c r="RWH112" s="769"/>
      <c r="RWI112" s="769"/>
      <c r="RWJ112" s="769"/>
      <c r="RWK112" s="769"/>
      <c r="RWL112" s="769"/>
      <c r="RWM112" s="769"/>
      <c r="RWN112" s="769"/>
      <c r="RWO112" s="769"/>
      <c r="RWP112" s="769"/>
      <c r="RWQ112" s="769"/>
      <c r="RWR112" s="769"/>
      <c r="RWS112" s="769"/>
      <c r="RWT112" s="769"/>
      <c r="RWU112" s="769"/>
      <c r="RWV112" s="769"/>
      <c r="RWW112" s="769"/>
      <c r="RWX112" s="769"/>
      <c r="RWY112" s="769"/>
      <c r="RWZ112" s="769"/>
      <c r="RXA112" s="769"/>
      <c r="RXB112" s="769"/>
      <c r="RXC112" s="769"/>
      <c r="RXD112" s="769"/>
      <c r="RXE112" s="769"/>
      <c r="RXF112" s="769"/>
      <c r="RXG112" s="769"/>
      <c r="RXH112" s="769"/>
      <c r="RXI112" s="769"/>
      <c r="RXJ112" s="769"/>
      <c r="RXK112" s="769"/>
      <c r="RXL112" s="769"/>
      <c r="RXM112" s="769"/>
      <c r="RXN112" s="769"/>
      <c r="RXO112" s="769"/>
      <c r="RXP112" s="769"/>
      <c r="RXQ112" s="769"/>
      <c r="RXR112" s="769"/>
      <c r="RXS112" s="769"/>
      <c r="RXT112" s="769"/>
      <c r="RXU112" s="769"/>
      <c r="RXV112" s="769"/>
      <c r="RXW112" s="769"/>
      <c r="RXX112" s="769"/>
      <c r="RXY112" s="769"/>
      <c r="RXZ112" s="769"/>
      <c r="RYA112" s="769"/>
      <c r="RYB112" s="769"/>
      <c r="RYC112" s="769"/>
      <c r="RYD112" s="769"/>
      <c r="RYE112" s="769"/>
      <c r="RYF112" s="769"/>
      <c r="RYG112" s="769"/>
      <c r="RYH112" s="769"/>
      <c r="RYI112" s="769"/>
      <c r="RYJ112" s="769"/>
      <c r="RYK112" s="769"/>
      <c r="RYL112" s="769"/>
      <c r="RYM112" s="769"/>
      <c r="RYN112" s="769"/>
      <c r="RYO112" s="769"/>
      <c r="RYP112" s="769"/>
      <c r="RYQ112" s="769"/>
      <c r="RYR112" s="769"/>
      <c r="RYS112" s="769"/>
      <c r="RYT112" s="769"/>
      <c r="RYU112" s="769"/>
      <c r="RYV112" s="769"/>
      <c r="RYW112" s="769"/>
      <c r="RYX112" s="769"/>
      <c r="RYY112" s="769"/>
      <c r="RYZ112" s="769"/>
      <c r="RZA112" s="769"/>
      <c r="RZB112" s="769"/>
      <c r="RZC112" s="769"/>
      <c r="RZD112" s="769"/>
      <c r="RZE112" s="769"/>
      <c r="RZF112" s="769"/>
      <c r="RZG112" s="769"/>
      <c r="RZH112" s="769"/>
      <c r="RZI112" s="769"/>
      <c r="RZJ112" s="769"/>
      <c r="RZK112" s="769"/>
      <c r="RZL112" s="769"/>
      <c r="RZM112" s="769"/>
      <c r="RZN112" s="769"/>
      <c r="RZO112" s="769"/>
      <c r="RZP112" s="769"/>
      <c r="RZQ112" s="769"/>
      <c r="RZR112" s="769"/>
      <c r="RZS112" s="769"/>
      <c r="RZT112" s="769"/>
      <c r="RZU112" s="769"/>
      <c r="RZV112" s="769"/>
      <c r="RZW112" s="769"/>
      <c r="RZX112" s="769"/>
      <c r="RZY112" s="769"/>
      <c r="RZZ112" s="769"/>
      <c r="SAA112" s="769"/>
      <c r="SAB112" s="769"/>
      <c r="SAC112" s="769"/>
      <c r="SAD112" s="769"/>
      <c r="SAE112" s="769"/>
      <c r="SAF112" s="769"/>
      <c r="SAG112" s="769"/>
      <c r="SAH112" s="769"/>
      <c r="SAI112" s="769"/>
      <c r="SAJ112" s="769"/>
      <c r="SAK112" s="769"/>
      <c r="SAL112" s="769"/>
      <c r="SAM112" s="769"/>
      <c r="SAN112" s="769"/>
      <c r="SAO112" s="769"/>
      <c r="SAP112" s="769"/>
      <c r="SAQ112" s="769"/>
      <c r="SAR112" s="769"/>
      <c r="SAS112" s="769"/>
      <c r="SAT112" s="769"/>
      <c r="SAU112" s="769"/>
      <c r="SAV112" s="769"/>
      <c r="SAW112" s="769"/>
      <c r="SAX112" s="769"/>
      <c r="SAY112" s="769"/>
      <c r="SAZ112" s="769"/>
      <c r="SBA112" s="769"/>
      <c r="SBB112" s="769"/>
      <c r="SBC112" s="769"/>
      <c r="SBD112" s="769"/>
      <c r="SBE112" s="769"/>
      <c r="SBF112" s="769"/>
      <c r="SBG112" s="769"/>
      <c r="SBH112" s="769"/>
      <c r="SBI112" s="769"/>
      <c r="SBJ112" s="769"/>
      <c r="SBK112" s="769"/>
      <c r="SBL112" s="769"/>
      <c r="SBM112" s="769"/>
      <c r="SBN112" s="769"/>
      <c r="SBO112" s="769"/>
      <c r="SBP112" s="769"/>
      <c r="SBQ112" s="769"/>
      <c r="SBR112" s="769"/>
      <c r="SBS112" s="769"/>
      <c r="SBT112" s="769"/>
      <c r="SBU112" s="769"/>
      <c r="SBV112" s="769"/>
      <c r="SBW112" s="769"/>
      <c r="SBX112" s="769"/>
      <c r="SBY112" s="769"/>
      <c r="SBZ112" s="769"/>
      <c r="SCA112" s="769"/>
      <c r="SCB112" s="769"/>
      <c r="SCC112" s="769"/>
      <c r="SCD112" s="769"/>
      <c r="SCE112" s="769"/>
      <c r="SCF112" s="769"/>
      <c r="SCG112" s="769"/>
      <c r="SCH112" s="769"/>
      <c r="SCI112" s="769"/>
      <c r="SCJ112" s="769"/>
      <c r="SCK112" s="769"/>
      <c r="SCL112" s="769"/>
      <c r="SCM112" s="769"/>
      <c r="SCN112" s="769"/>
      <c r="SCO112" s="769"/>
      <c r="SCP112" s="769"/>
      <c r="SCQ112" s="769"/>
      <c r="SCR112" s="769"/>
      <c r="SCS112" s="769"/>
      <c r="SCT112" s="769"/>
      <c r="SCU112" s="769"/>
      <c r="SCV112" s="769"/>
      <c r="SCW112" s="769"/>
      <c r="SCX112" s="769"/>
      <c r="SCY112" s="769"/>
      <c r="SCZ112" s="769"/>
      <c r="SDA112" s="769"/>
      <c r="SDB112" s="769"/>
      <c r="SDC112" s="769"/>
      <c r="SDD112" s="769"/>
      <c r="SDE112" s="769"/>
      <c r="SDF112" s="769"/>
      <c r="SDG112" s="769"/>
      <c r="SDH112" s="769"/>
      <c r="SDI112" s="769"/>
      <c r="SDJ112" s="769"/>
      <c r="SDK112" s="769"/>
      <c r="SDL112" s="769"/>
      <c r="SDM112" s="769"/>
      <c r="SDN112" s="769"/>
      <c r="SDO112" s="769"/>
      <c r="SDP112" s="769"/>
      <c r="SDQ112" s="769"/>
      <c r="SDR112" s="769"/>
      <c r="SDS112" s="769"/>
      <c r="SDT112" s="769"/>
      <c r="SDU112" s="769"/>
      <c r="SDV112" s="769"/>
      <c r="SDW112" s="769"/>
      <c r="SDX112" s="769"/>
      <c r="SDY112" s="769"/>
      <c r="SDZ112" s="769"/>
      <c r="SEA112" s="769"/>
      <c r="SEB112" s="769"/>
      <c r="SEC112" s="769"/>
      <c r="SED112" s="769"/>
      <c r="SEE112" s="769"/>
      <c r="SEF112" s="769"/>
      <c r="SEG112" s="769"/>
      <c r="SEH112" s="769"/>
      <c r="SEI112" s="769"/>
      <c r="SEJ112" s="769"/>
      <c r="SEK112" s="769"/>
      <c r="SEL112" s="769"/>
      <c r="SEM112" s="769"/>
      <c r="SEN112" s="769"/>
      <c r="SEO112" s="769"/>
      <c r="SEP112" s="769"/>
      <c r="SEQ112" s="769"/>
      <c r="SER112" s="769"/>
      <c r="SES112" s="769"/>
      <c r="SET112" s="769"/>
      <c r="SEU112" s="769"/>
      <c r="SEV112" s="769"/>
      <c r="SEW112" s="769"/>
      <c r="SEX112" s="769"/>
      <c r="SEY112" s="769"/>
      <c r="SEZ112" s="769"/>
      <c r="SFA112" s="769"/>
      <c r="SFB112" s="769"/>
      <c r="SFC112" s="769"/>
      <c r="SFD112" s="769"/>
      <c r="SFE112" s="769"/>
      <c r="SFF112" s="769"/>
      <c r="SFG112" s="769"/>
      <c r="SFH112" s="769"/>
      <c r="SFI112" s="769"/>
      <c r="SFJ112" s="769"/>
      <c r="SFK112" s="769"/>
      <c r="SFL112" s="769"/>
      <c r="SFM112" s="769"/>
      <c r="SFN112" s="769"/>
      <c r="SFO112" s="769"/>
      <c r="SFP112" s="769"/>
      <c r="SFQ112" s="769"/>
      <c r="SFR112" s="769"/>
      <c r="SFS112" s="769"/>
      <c r="SFT112" s="769"/>
      <c r="SFU112" s="769"/>
      <c r="SFV112" s="769"/>
      <c r="SFW112" s="769"/>
      <c r="SFX112" s="769"/>
      <c r="SFY112" s="769"/>
      <c r="SFZ112" s="769"/>
      <c r="SGA112" s="769"/>
      <c r="SGB112" s="769"/>
      <c r="SGC112" s="769"/>
      <c r="SGD112" s="769"/>
      <c r="SGE112" s="769"/>
      <c r="SGF112" s="769"/>
      <c r="SGG112" s="769"/>
      <c r="SGH112" s="769"/>
      <c r="SGI112" s="769"/>
      <c r="SGJ112" s="769"/>
      <c r="SGK112" s="769"/>
      <c r="SGL112" s="769"/>
      <c r="SGM112" s="769"/>
      <c r="SGN112" s="769"/>
      <c r="SGO112" s="769"/>
      <c r="SGP112" s="769"/>
      <c r="SGQ112" s="769"/>
      <c r="SGR112" s="769"/>
      <c r="SGS112" s="769"/>
      <c r="SGT112" s="769"/>
      <c r="SGU112" s="769"/>
      <c r="SGV112" s="769"/>
      <c r="SGW112" s="769"/>
      <c r="SGX112" s="769"/>
      <c r="SGY112" s="769"/>
      <c r="SGZ112" s="769"/>
      <c r="SHA112" s="769"/>
      <c r="SHB112" s="769"/>
      <c r="SHC112" s="769"/>
      <c r="SHD112" s="769"/>
      <c r="SHE112" s="769"/>
      <c r="SHF112" s="769"/>
      <c r="SHG112" s="769"/>
      <c r="SHH112" s="769"/>
      <c r="SHI112" s="769"/>
      <c r="SHJ112" s="769"/>
      <c r="SHK112" s="769"/>
      <c r="SHL112" s="769"/>
      <c r="SHM112" s="769"/>
      <c r="SHN112" s="769"/>
      <c r="SHO112" s="769"/>
      <c r="SHP112" s="769"/>
      <c r="SHQ112" s="769"/>
      <c r="SHR112" s="769"/>
      <c r="SHS112" s="769"/>
      <c r="SHT112" s="769"/>
      <c r="SHU112" s="769"/>
      <c r="SHV112" s="769"/>
      <c r="SHW112" s="769"/>
      <c r="SHX112" s="769"/>
      <c r="SHY112" s="769"/>
      <c r="SHZ112" s="769"/>
      <c r="SIA112" s="769"/>
      <c r="SIB112" s="769"/>
      <c r="SIC112" s="769"/>
      <c r="SID112" s="769"/>
      <c r="SIE112" s="769"/>
      <c r="SIF112" s="769"/>
      <c r="SIG112" s="769"/>
      <c r="SIH112" s="769"/>
      <c r="SII112" s="769"/>
      <c r="SIJ112" s="769"/>
      <c r="SIK112" s="769"/>
      <c r="SIL112" s="769"/>
      <c r="SIM112" s="769"/>
      <c r="SIN112" s="769"/>
      <c r="SIO112" s="769"/>
      <c r="SIP112" s="769"/>
      <c r="SIQ112" s="769"/>
      <c r="SIR112" s="769"/>
      <c r="SIS112" s="769"/>
      <c r="SIT112" s="769"/>
      <c r="SIU112" s="769"/>
      <c r="SIV112" s="769"/>
      <c r="SIW112" s="769"/>
      <c r="SIX112" s="769"/>
      <c r="SIY112" s="769"/>
      <c r="SIZ112" s="769"/>
      <c r="SJA112" s="769"/>
      <c r="SJB112" s="769"/>
      <c r="SJC112" s="769"/>
      <c r="SJD112" s="769"/>
      <c r="SJE112" s="769"/>
      <c r="SJF112" s="769"/>
      <c r="SJG112" s="769"/>
      <c r="SJH112" s="769"/>
      <c r="SJI112" s="769"/>
      <c r="SJJ112" s="769"/>
      <c r="SJK112" s="769"/>
      <c r="SJL112" s="769"/>
      <c r="SJM112" s="769"/>
      <c r="SJN112" s="769"/>
      <c r="SJO112" s="769"/>
      <c r="SJP112" s="769"/>
      <c r="SJQ112" s="769"/>
      <c r="SJR112" s="769"/>
      <c r="SJS112" s="769"/>
      <c r="SJT112" s="769"/>
      <c r="SJU112" s="769"/>
      <c r="SJV112" s="769"/>
      <c r="SJW112" s="769"/>
      <c r="SJX112" s="769"/>
      <c r="SJY112" s="769"/>
      <c r="SJZ112" s="769"/>
      <c r="SKA112" s="769"/>
      <c r="SKB112" s="769"/>
      <c r="SKC112" s="769"/>
      <c r="SKD112" s="769"/>
      <c r="SKE112" s="769"/>
      <c r="SKF112" s="769"/>
      <c r="SKG112" s="769"/>
      <c r="SKH112" s="769"/>
      <c r="SKI112" s="769"/>
      <c r="SKJ112" s="769"/>
      <c r="SKK112" s="769"/>
      <c r="SKL112" s="769"/>
      <c r="SKM112" s="769"/>
      <c r="SKN112" s="769"/>
      <c r="SKO112" s="769"/>
      <c r="SKP112" s="769"/>
      <c r="SKQ112" s="769"/>
      <c r="SKR112" s="769"/>
      <c r="SKS112" s="769"/>
      <c r="SKT112" s="769"/>
      <c r="SKU112" s="769"/>
      <c r="SKV112" s="769"/>
      <c r="SKW112" s="769"/>
      <c r="SKX112" s="769"/>
      <c r="SKY112" s="769"/>
      <c r="SKZ112" s="769"/>
      <c r="SLA112" s="769"/>
      <c r="SLB112" s="769"/>
      <c r="SLC112" s="769"/>
      <c r="SLD112" s="769"/>
      <c r="SLE112" s="769"/>
      <c r="SLF112" s="769"/>
      <c r="SLG112" s="769"/>
      <c r="SLH112" s="769"/>
      <c r="SLI112" s="769"/>
      <c r="SLJ112" s="769"/>
      <c r="SLK112" s="769"/>
      <c r="SLL112" s="769"/>
      <c r="SLM112" s="769"/>
      <c r="SLN112" s="769"/>
      <c r="SLO112" s="769"/>
      <c r="SLP112" s="769"/>
      <c r="SLQ112" s="769"/>
      <c r="SLR112" s="769"/>
      <c r="SLS112" s="769"/>
      <c r="SLT112" s="769"/>
      <c r="SLU112" s="769"/>
      <c r="SLV112" s="769"/>
      <c r="SLW112" s="769"/>
      <c r="SLX112" s="769"/>
      <c r="SLY112" s="769"/>
      <c r="SLZ112" s="769"/>
      <c r="SMA112" s="769"/>
      <c r="SMB112" s="769"/>
      <c r="SMC112" s="769"/>
      <c r="SMD112" s="769"/>
      <c r="SME112" s="769"/>
      <c r="SMF112" s="769"/>
      <c r="SMG112" s="769"/>
      <c r="SMH112" s="769"/>
      <c r="SMI112" s="769"/>
      <c r="SMJ112" s="769"/>
      <c r="SMK112" s="769"/>
      <c r="SML112" s="769"/>
      <c r="SMM112" s="769"/>
      <c r="SMN112" s="769"/>
      <c r="SMO112" s="769"/>
      <c r="SMP112" s="769"/>
      <c r="SMQ112" s="769"/>
      <c r="SMR112" s="769"/>
      <c r="SMS112" s="769"/>
      <c r="SMT112" s="769"/>
      <c r="SMU112" s="769"/>
      <c r="SMV112" s="769"/>
      <c r="SMW112" s="769"/>
      <c r="SMX112" s="769"/>
      <c r="SMY112" s="769"/>
      <c r="SMZ112" s="769"/>
      <c r="SNA112" s="769"/>
      <c r="SNB112" s="769"/>
      <c r="SNC112" s="769"/>
      <c r="SND112" s="769"/>
      <c r="SNE112" s="769"/>
      <c r="SNF112" s="769"/>
      <c r="SNG112" s="769"/>
      <c r="SNH112" s="769"/>
      <c r="SNI112" s="769"/>
      <c r="SNJ112" s="769"/>
      <c r="SNK112" s="769"/>
      <c r="SNL112" s="769"/>
      <c r="SNM112" s="769"/>
      <c r="SNN112" s="769"/>
      <c r="SNO112" s="769"/>
      <c r="SNP112" s="769"/>
      <c r="SNQ112" s="769"/>
      <c r="SNR112" s="769"/>
      <c r="SNS112" s="769"/>
      <c r="SNT112" s="769"/>
      <c r="SNU112" s="769"/>
      <c r="SNV112" s="769"/>
      <c r="SNW112" s="769"/>
      <c r="SNX112" s="769"/>
      <c r="SNY112" s="769"/>
      <c r="SNZ112" s="769"/>
      <c r="SOA112" s="769"/>
      <c r="SOB112" s="769"/>
      <c r="SOC112" s="769"/>
      <c r="SOD112" s="769"/>
      <c r="SOE112" s="769"/>
      <c r="SOF112" s="769"/>
      <c r="SOG112" s="769"/>
      <c r="SOH112" s="769"/>
      <c r="SOI112" s="769"/>
      <c r="SOJ112" s="769"/>
      <c r="SOK112" s="769"/>
      <c r="SOL112" s="769"/>
      <c r="SOM112" s="769"/>
      <c r="SON112" s="769"/>
      <c r="SOO112" s="769"/>
      <c r="SOP112" s="769"/>
      <c r="SOQ112" s="769"/>
      <c r="SOR112" s="769"/>
      <c r="SOS112" s="769"/>
      <c r="SOT112" s="769"/>
      <c r="SOU112" s="769"/>
      <c r="SOV112" s="769"/>
      <c r="SOW112" s="769"/>
      <c r="SOX112" s="769"/>
      <c r="SOY112" s="769"/>
      <c r="SOZ112" s="769"/>
      <c r="SPA112" s="769"/>
      <c r="SPB112" s="769"/>
      <c r="SPC112" s="769"/>
      <c r="SPD112" s="769"/>
      <c r="SPE112" s="769"/>
      <c r="SPF112" s="769"/>
      <c r="SPG112" s="769"/>
      <c r="SPH112" s="769"/>
      <c r="SPI112" s="769"/>
      <c r="SPJ112" s="769"/>
      <c r="SPK112" s="769"/>
      <c r="SPL112" s="769"/>
      <c r="SPM112" s="769"/>
      <c r="SPN112" s="769"/>
      <c r="SPO112" s="769"/>
      <c r="SPP112" s="769"/>
      <c r="SPQ112" s="769"/>
      <c r="SPR112" s="769"/>
      <c r="SPS112" s="769"/>
      <c r="SPT112" s="769"/>
      <c r="SPU112" s="769"/>
      <c r="SPV112" s="769"/>
      <c r="SPW112" s="769"/>
      <c r="SPX112" s="769"/>
      <c r="SPY112" s="769"/>
      <c r="SPZ112" s="769"/>
      <c r="SQA112" s="769"/>
      <c r="SQB112" s="769"/>
      <c r="SQC112" s="769"/>
      <c r="SQD112" s="769"/>
      <c r="SQE112" s="769"/>
      <c r="SQF112" s="769"/>
      <c r="SQG112" s="769"/>
      <c r="SQH112" s="769"/>
      <c r="SQI112" s="769"/>
      <c r="SQJ112" s="769"/>
      <c r="SQK112" s="769"/>
      <c r="SQL112" s="769"/>
      <c r="SQM112" s="769"/>
      <c r="SQN112" s="769"/>
      <c r="SQO112" s="769"/>
      <c r="SQP112" s="769"/>
      <c r="SQQ112" s="769"/>
      <c r="SQR112" s="769"/>
      <c r="SQS112" s="769"/>
      <c r="SQT112" s="769"/>
      <c r="SQU112" s="769"/>
      <c r="SQV112" s="769"/>
      <c r="SQW112" s="769"/>
      <c r="SQX112" s="769"/>
      <c r="SQY112" s="769"/>
      <c r="SQZ112" s="769"/>
      <c r="SRA112" s="769"/>
      <c r="SRB112" s="769"/>
      <c r="SRC112" s="769"/>
      <c r="SRD112" s="769"/>
      <c r="SRE112" s="769"/>
      <c r="SRF112" s="769"/>
      <c r="SRG112" s="769"/>
      <c r="SRH112" s="769"/>
      <c r="SRI112" s="769"/>
      <c r="SRJ112" s="769"/>
      <c r="SRK112" s="769"/>
      <c r="SRL112" s="769"/>
      <c r="SRM112" s="769"/>
      <c r="SRN112" s="769"/>
      <c r="SRO112" s="769"/>
      <c r="SRP112" s="769"/>
      <c r="SRQ112" s="769"/>
      <c r="SRR112" s="769"/>
      <c r="SRS112" s="769"/>
      <c r="SRT112" s="769"/>
      <c r="SRU112" s="769"/>
      <c r="SRV112" s="769"/>
      <c r="SRW112" s="769"/>
      <c r="SRX112" s="769"/>
      <c r="SRY112" s="769"/>
      <c r="SRZ112" s="769"/>
      <c r="SSA112" s="769"/>
      <c r="SSB112" s="769"/>
      <c r="SSC112" s="769"/>
      <c r="SSD112" s="769"/>
      <c r="SSE112" s="769"/>
      <c r="SSF112" s="769"/>
      <c r="SSG112" s="769"/>
      <c r="SSH112" s="769"/>
      <c r="SSI112" s="769"/>
      <c r="SSJ112" s="769"/>
      <c r="SSK112" s="769"/>
      <c r="SSL112" s="769"/>
      <c r="SSM112" s="769"/>
      <c r="SSN112" s="769"/>
      <c r="SSO112" s="769"/>
      <c r="SSP112" s="769"/>
      <c r="SSQ112" s="769"/>
      <c r="SSR112" s="769"/>
      <c r="SSS112" s="769"/>
      <c r="SST112" s="769"/>
      <c r="SSU112" s="769"/>
      <c r="SSV112" s="769"/>
      <c r="SSW112" s="769"/>
      <c r="SSX112" s="769"/>
      <c r="SSY112" s="769"/>
      <c r="SSZ112" s="769"/>
      <c r="STA112" s="769"/>
      <c r="STB112" s="769"/>
      <c r="STC112" s="769"/>
      <c r="STD112" s="769"/>
      <c r="STE112" s="769"/>
      <c r="STF112" s="769"/>
      <c r="STG112" s="769"/>
      <c r="STH112" s="769"/>
      <c r="STI112" s="769"/>
      <c r="STJ112" s="769"/>
      <c r="STK112" s="769"/>
      <c r="STL112" s="769"/>
      <c r="STM112" s="769"/>
      <c r="STN112" s="769"/>
      <c r="STO112" s="769"/>
      <c r="STP112" s="769"/>
      <c r="STQ112" s="769"/>
      <c r="STR112" s="769"/>
      <c r="STS112" s="769"/>
      <c r="STT112" s="769"/>
      <c r="STU112" s="769"/>
      <c r="STV112" s="769"/>
      <c r="STW112" s="769"/>
      <c r="STX112" s="769"/>
      <c r="STY112" s="769"/>
      <c r="STZ112" s="769"/>
      <c r="SUA112" s="769"/>
      <c r="SUB112" s="769"/>
      <c r="SUC112" s="769"/>
      <c r="SUD112" s="769"/>
      <c r="SUE112" s="769"/>
      <c r="SUF112" s="769"/>
      <c r="SUG112" s="769"/>
      <c r="SUH112" s="769"/>
      <c r="SUI112" s="769"/>
      <c r="SUJ112" s="769"/>
      <c r="SUK112" s="769"/>
      <c r="SUL112" s="769"/>
      <c r="SUM112" s="769"/>
      <c r="SUN112" s="769"/>
      <c r="SUO112" s="769"/>
      <c r="SUP112" s="769"/>
      <c r="SUQ112" s="769"/>
      <c r="SUR112" s="769"/>
      <c r="SUS112" s="769"/>
      <c r="SUT112" s="769"/>
      <c r="SUU112" s="769"/>
      <c r="SUV112" s="769"/>
      <c r="SUW112" s="769"/>
      <c r="SUX112" s="769"/>
      <c r="SUY112" s="769"/>
      <c r="SUZ112" s="769"/>
      <c r="SVA112" s="769"/>
      <c r="SVB112" s="769"/>
      <c r="SVC112" s="769"/>
      <c r="SVD112" s="769"/>
      <c r="SVE112" s="769"/>
      <c r="SVF112" s="769"/>
      <c r="SVG112" s="769"/>
      <c r="SVH112" s="769"/>
      <c r="SVI112" s="769"/>
      <c r="SVJ112" s="769"/>
      <c r="SVK112" s="769"/>
      <c r="SVL112" s="769"/>
      <c r="SVM112" s="769"/>
      <c r="SVN112" s="769"/>
      <c r="SVO112" s="769"/>
      <c r="SVP112" s="769"/>
      <c r="SVQ112" s="769"/>
      <c r="SVR112" s="769"/>
      <c r="SVS112" s="769"/>
      <c r="SVT112" s="769"/>
      <c r="SVU112" s="769"/>
      <c r="SVV112" s="769"/>
      <c r="SVW112" s="769"/>
      <c r="SVX112" s="769"/>
      <c r="SVY112" s="769"/>
      <c r="SVZ112" s="769"/>
      <c r="SWA112" s="769"/>
      <c r="SWB112" s="769"/>
      <c r="SWC112" s="769"/>
      <c r="SWD112" s="769"/>
      <c r="SWE112" s="769"/>
      <c r="SWF112" s="769"/>
      <c r="SWG112" s="769"/>
      <c r="SWH112" s="769"/>
      <c r="SWI112" s="769"/>
      <c r="SWJ112" s="769"/>
      <c r="SWK112" s="769"/>
      <c r="SWL112" s="769"/>
      <c r="SWM112" s="769"/>
      <c r="SWN112" s="769"/>
      <c r="SWO112" s="769"/>
      <c r="SWP112" s="769"/>
      <c r="SWQ112" s="769"/>
      <c r="SWR112" s="769"/>
      <c r="SWS112" s="769"/>
      <c r="SWT112" s="769"/>
      <c r="SWU112" s="769"/>
      <c r="SWV112" s="769"/>
      <c r="SWW112" s="769"/>
      <c r="SWX112" s="769"/>
      <c r="SWY112" s="769"/>
      <c r="SWZ112" s="769"/>
      <c r="SXA112" s="769"/>
      <c r="SXB112" s="769"/>
      <c r="SXC112" s="769"/>
      <c r="SXD112" s="769"/>
      <c r="SXE112" s="769"/>
      <c r="SXF112" s="769"/>
      <c r="SXG112" s="769"/>
      <c r="SXH112" s="769"/>
      <c r="SXI112" s="769"/>
      <c r="SXJ112" s="769"/>
      <c r="SXK112" s="769"/>
      <c r="SXL112" s="769"/>
      <c r="SXM112" s="769"/>
      <c r="SXN112" s="769"/>
      <c r="SXO112" s="769"/>
      <c r="SXP112" s="769"/>
      <c r="SXQ112" s="769"/>
      <c r="SXR112" s="769"/>
      <c r="SXS112" s="769"/>
      <c r="SXT112" s="769"/>
      <c r="SXU112" s="769"/>
      <c r="SXV112" s="769"/>
      <c r="SXW112" s="769"/>
      <c r="SXX112" s="769"/>
      <c r="SXY112" s="769"/>
      <c r="SXZ112" s="769"/>
      <c r="SYA112" s="769"/>
      <c r="SYB112" s="769"/>
      <c r="SYC112" s="769"/>
      <c r="SYD112" s="769"/>
      <c r="SYE112" s="769"/>
      <c r="SYF112" s="769"/>
      <c r="SYG112" s="769"/>
      <c r="SYH112" s="769"/>
      <c r="SYI112" s="769"/>
      <c r="SYJ112" s="769"/>
      <c r="SYK112" s="769"/>
      <c r="SYL112" s="769"/>
      <c r="SYM112" s="769"/>
      <c r="SYN112" s="769"/>
      <c r="SYO112" s="769"/>
      <c r="SYP112" s="769"/>
      <c r="SYQ112" s="769"/>
      <c r="SYR112" s="769"/>
      <c r="SYS112" s="769"/>
      <c r="SYT112" s="769"/>
      <c r="SYU112" s="769"/>
      <c r="SYV112" s="769"/>
      <c r="SYW112" s="769"/>
      <c r="SYX112" s="769"/>
      <c r="SYY112" s="769"/>
      <c r="SYZ112" s="769"/>
      <c r="SZA112" s="769"/>
      <c r="SZB112" s="769"/>
      <c r="SZC112" s="769"/>
      <c r="SZD112" s="769"/>
      <c r="SZE112" s="769"/>
      <c r="SZF112" s="769"/>
      <c r="SZG112" s="769"/>
      <c r="SZH112" s="769"/>
      <c r="SZI112" s="769"/>
      <c r="SZJ112" s="769"/>
      <c r="SZK112" s="769"/>
      <c r="SZL112" s="769"/>
      <c r="SZM112" s="769"/>
      <c r="SZN112" s="769"/>
      <c r="SZO112" s="769"/>
      <c r="SZP112" s="769"/>
      <c r="SZQ112" s="769"/>
      <c r="SZR112" s="769"/>
      <c r="SZS112" s="769"/>
      <c r="SZT112" s="769"/>
      <c r="SZU112" s="769"/>
      <c r="SZV112" s="769"/>
      <c r="SZW112" s="769"/>
      <c r="SZX112" s="769"/>
      <c r="SZY112" s="769"/>
      <c r="SZZ112" s="769"/>
      <c r="TAA112" s="769"/>
      <c r="TAB112" s="769"/>
      <c r="TAC112" s="769"/>
      <c r="TAD112" s="769"/>
      <c r="TAE112" s="769"/>
      <c r="TAF112" s="769"/>
      <c r="TAG112" s="769"/>
      <c r="TAH112" s="769"/>
      <c r="TAI112" s="769"/>
      <c r="TAJ112" s="769"/>
      <c r="TAK112" s="769"/>
      <c r="TAL112" s="769"/>
      <c r="TAM112" s="769"/>
      <c r="TAN112" s="769"/>
      <c r="TAO112" s="769"/>
      <c r="TAP112" s="769"/>
      <c r="TAQ112" s="769"/>
      <c r="TAR112" s="769"/>
      <c r="TAS112" s="769"/>
      <c r="TAT112" s="769"/>
      <c r="TAU112" s="769"/>
      <c r="TAV112" s="769"/>
      <c r="TAW112" s="769"/>
      <c r="TAX112" s="769"/>
      <c r="TAY112" s="769"/>
      <c r="TAZ112" s="769"/>
      <c r="TBA112" s="769"/>
      <c r="TBB112" s="769"/>
      <c r="TBC112" s="769"/>
      <c r="TBD112" s="769"/>
      <c r="TBE112" s="769"/>
      <c r="TBF112" s="769"/>
      <c r="TBG112" s="769"/>
      <c r="TBH112" s="769"/>
      <c r="TBI112" s="769"/>
      <c r="TBJ112" s="769"/>
      <c r="TBK112" s="769"/>
      <c r="TBL112" s="769"/>
      <c r="TBM112" s="769"/>
      <c r="TBN112" s="769"/>
      <c r="TBO112" s="769"/>
      <c r="TBP112" s="769"/>
      <c r="TBQ112" s="769"/>
      <c r="TBR112" s="769"/>
      <c r="TBS112" s="769"/>
      <c r="TBT112" s="769"/>
      <c r="TBU112" s="769"/>
      <c r="TBV112" s="769"/>
      <c r="TBW112" s="769"/>
      <c r="TBX112" s="769"/>
      <c r="TBY112" s="769"/>
      <c r="TBZ112" s="769"/>
      <c r="TCA112" s="769"/>
      <c r="TCB112" s="769"/>
      <c r="TCC112" s="769"/>
      <c r="TCD112" s="769"/>
      <c r="TCE112" s="769"/>
      <c r="TCF112" s="769"/>
      <c r="TCG112" s="769"/>
      <c r="TCH112" s="769"/>
      <c r="TCI112" s="769"/>
      <c r="TCJ112" s="769"/>
      <c r="TCK112" s="769"/>
      <c r="TCL112" s="769"/>
      <c r="TCM112" s="769"/>
      <c r="TCN112" s="769"/>
      <c r="TCO112" s="769"/>
      <c r="TCP112" s="769"/>
      <c r="TCQ112" s="769"/>
      <c r="TCR112" s="769"/>
      <c r="TCS112" s="769"/>
      <c r="TCT112" s="769"/>
      <c r="TCU112" s="769"/>
      <c r="TCV112" s="769"/>
      <c r="TCW112" s="769"/>
      <c r="TCX112" s="769"/>
      <c r="TCY112" s="769"/>
      <c r="TCZ112" s="769"/>
      <c r="TDA112" s="769"/>
      <c r="TDB112" s="769"/>
      <c r="TDC112" s="769"/>
      <c r="TDD112" s="769"/>
      <c r="TDE112" s="769"/>
      <c r="TDF112" s="769"/>
      <c r="TDG112" s="769"/>
      <c r="TDH112" s="769"/>
      <c r="TDI112" s="769"/>
      <c r="TDJ112" s="769"/>
      <c r="TDK112" s="769"/>
      <c r="TDL112" s="769"/>
      <c r="TDM112" s="769"/>
      <c r="TDN112" s="769"/>
      <c r="TDO112" s="769"/>
      <c r="TDP112" s="769"/>
      <c r="TDQ112" s="769"/>
      <c r="TDR112" s="769"/>
      <c r="TDS112" s="769"/>
      <c r="TDT112" s="769"/>
      <c r="TDU112" s="769"/>
      <c r="TDV112" s="769"/>
      <c r="TDW112" s="769"/>
      <c r="TDX112" s="769"/>
      <c r="TDY112" s="769"/>
      <c r="TDZ112" s="769"/>
      <c r="TEA112" s="769"/>
      <c r="TEB112" s="769"/>
      <c r="TEC112" s="769"/>
      <c r="TED112" s="769"/>
      <c r="TEE112" s="769"/>
      <c r="TEF112" s="769"/>
      <c r="TEG112" s="769"/>
      <c r="TEH112" s="769"/>
      <c r="TEI112" s="769"/>
      <c r="TEJ112" s="769"/>
      <c r="TEK112" s="769"/>
      <c r="TEL112" s="769"/>
      <c r="TEM112" s="769"/>
      <c r="TEN112" s="769"/>
      <c r="TEO112" s="769"/>
      <c r="TEP112" s="769"/>
      <c r="TEQ112" s="769"/>
      <c r="TER112" s="769"/>
      <c r="TES112" s="769"/>
      <c r="TET112" s="769"/>
      <c r="TEU112" s="769"/>
      <c r="TEV112" s="769"/>
      <c r="TEW112" s="769"/>
      <c r="TEX112" s="769"/>
      <c r="TEY112" s="769"/>
      <c r="TEZ112" s="769"/>
      <c r="TFA112" s="769"/>
      <c r="TFB112" s="769"/>
      <c r="TFC112" s="769"/>
      <c r="TFD112" s="769"/>
      <c r="TFE112" s="769"/>
      <c r="TFF112" s="769"/>
      <c r="TFG112" s="769"/>
      <c r="TFH112" s="769"/>
      <c r="TFI112" s="769"/>
      <c r="TFJ112" s="769"/>
      <c r="TFK112" s="769"/>
      <c r="TFL112" s="769"/>
      <c r="TFM112" s="769"/>
      <c r="TFN112" s="769"/>
      <c r="TFO112" s="769"/>
      <c r="TFP112" s="769"/>
      <c r="TFQ112" s="769"/>
      <c r="TFR112" s="769"/>
      <c r="TFS112" s="769"/>
      <c r="TFT112" s="769"/>
      <c r="TFU112" s="769"/>
      <c r="TFV112" s="769"/>
      <c r="TFW112" s="769"/>
      <c r="TFX112" s="769"/>
      <c r="TFY112" s="769"/>
      <c r="TFZ112" s="769"/>
      <c r="TGA112" s="769"/>
      <c r="TGB112" s="769"/>
      <c r="TGC112" s="769"/>
      <c r="TGD112" s="769"/>
      <c r="TGE112" s="769"/>
      <c r="TGF112" s="769"/>
      <c r="TGG112" s="769"/>
      <c r="TGH112" s="769"/>
      <c r="TGI112" s="769"/>
      <c r="TGJ112" s="769"/>
      <c r="TGK112" s="769"/>
      <c r="TGL112" s="769"/>
      <c r="TGM112" s="769"/>
      <c r="TGN112" s="769"/>
      <c r="TGO112" s="769"/>
      <c r="TGP112" s="769"/>
      <c r="TGQ112" s="769"/>
      <c r="TGR112" s="769"/>
      <c r="TGS112" s="769"/>
      <c r="TGT112" s="769"/>
      <c r="TGU112" s="769"/>
      <c r="TGV112" s="769"/>
      <c r="TGW112" s="769"/>
      <c r="TGX112" s="769"/>
      <c r="TGY112" s="769"/>
      <c r="TGZ112" s="769"/>
      <c r="THA112" s="769"/>
      <c r="THB112" s="769"/>
      <c r="THC112" s="769"/>
      <c r="THD112" s="769"/>
      <c r="THE112" s="769"/>
      <c r="THF112" s="769"/>
      <c r="THG112" s="769"/>
      <c r="THH112" s="769"/>
      <c r="THI112" s="769"/>
      <c r="THJ112" s="769"/>
      <c r="THK112" s="769"/>
      <c r="THL112" s="769"/>
      <c r="THM112" s="769"/>
      <c r="THN112" s="769"/>
      <c r="THO112" s="769"/>
      <c r="THP112" s="769"/>
      <c r="THQ112" s="769"/>
      <c r="THR112" s="769"/>
      <c r="THS112" s="769"/>
      <c r="THT112" s="769"/>
      <c r="THU112" s="769"/>
      <c r="THV112" s="769"/>
      <c r="THW112" s="769"/>
      <c r="THX112" s="769"/>
      <c r="THY112" s="769"/>
      <c r="THZ112" s="769"/>
      <c r="TIA112" s="769"/>
      <c r="TIB112" s="769"/>
      <c r="TIC112" s="769"/>
      <c r="TID112" s="769"/>
      <c r="TIE112" s="769"/>
      <c r="TIF112" s="769"/>
      <c r="TIG112" s="769"/>
      <c r="TIH112" s="769"/>
      <c r="TII112" s="769"/>
      <c r="TIJ112" s="769"/>
      <c r="TIK112" s="769"/>
      <c r="TIL112" s="769"/>
      <c r="TIM112" s="769"/>
      <c r="TIN112" s="769"/>
      <c r="TIO112" s="769"/>
      <c r="TIP112" s="769"/>
      <c r="TIQ112" s="769"/>
      <c r="TIR112" s="769"/>
      <c r="TIS112" s="769"/>
      <c r="TIT112" s="769"/>
      <c r="TIU112" s="769"/>
      <c r="TIV112" s="769"/>
      <c r="TIW112" s="769"/>
      <c r="TIX112" s="769"/>
      <c r="TIY112" s="769"/>
      <c r="TIZ112" s="769"/>
      <c r="TJA112" s="769"/>
      <c r="TJB112" s="769"/>
      <c r="TJC112" s="769"/>
      <c r="TJD112" s="769"/>
      <c r="TJE112" s="769"/>
      <c r="TJF112" s="769"/>
      <c r="TJG112" s="769"/>
      <c r="TJH112" s="769"/>
      <c r="TJI112" s="769"/>
      <c r="TJJ112" s="769"/>
      <c r="TJK112" s="769"/>
      <c r="TJL112" s="769"/>
      <c r="TJM112" s="769"/>
      <c r="TJN112" s="769"/>
      <c r="TJO112" s="769"/>
      <c r="TJP112" s="769"/>
      <c r="TJQ112" s="769"/>
      <c r="TJR112" s="769"/>
      <c r="TJS112" s="769"/>
      <c r="TJT112" s="769"/>
      <c r="TJU112" s="769"/>
      <c r="TJV112" s="769"/>
      <c r="TJW112" s="769"/>
      <c r="TJX112" s="769"/>
      <c r="TJY112" s="769"/>
      <c r="TJZ112" s="769"/>
      <c r="TKA112" s="769"/>
      <c r="TKB112" s="769"/>
      <c r="TKC112" s="769"/>
      <c r="TKD112" s="769"/>
      <c r="TKE112" s="769"/>
      <c r="TKF112" s="769"/>
      <c r="TKG112" s="769"/>
      <c r="TKH112" s="769"/>
      <c r="TKI112" s="769"/>
      <c r="TKJ112" s="769"/>
      <c r="TKK112" s="769"/>
      <c r="TKL112" s="769"/>
      <c r="TKM112" s="769"/>
      <c r="TKN112" s="769"/>
      <c r="TKO112" s="769"/>
      <c r="TKP112" s="769"/>
      <c r="TKQ112" s="769"/>
      <c r="TKR112" s="769"/>
      <c r="TKS112" s="769"/>
      <c r="TKT112" s="769"/>
      <c r="TKU112" s="769"/>
      <c r="TKV112" s="769"/>
      <c r="TKW112" s="769"/>
      <c r="TKX112" s="769"/>
      <c r="TKY112" s="769"/>
      <c r="TKZ112" s="769"/>
      <c r="TLA112" s="769"/>
      <c r="TLB112" s="769"/>
      <c r="TLC112" s="769"/>
      <c r="TLD112" s="769"/>
      <c r="TLE112" s="769"/>
      <c r="TLF112" s="769"/>
      <c r="TLG112" s="769"/>
      <c r="TLH112" s="769"/>
      <c r="TLI112" s="769"/>
      <c r="TLJ112" s="769"/>
      <c r="TLK112" s="769"/>
      <c r="TLL112" s="769"/>
      <c r="TLM112" s="769"/>
      <c r="TLN112" s="769"/>
      <c r="TLO112" s="769"/>
      <c r="TLP112" s="769"/>
      <c r="TLQ112" s="769"/>
      <c r="TLR112" s="769"/>
      <c r="TLS112" s="769"/>
      <c r="TLT112" s="769"/>
      <c r="TLU112" s="769"/>
      <c r="TLV112" s="769"/>
      <c r="TLW112" s="769"/>
      <c r="TLX112" s="769"/>
      <c r="TLY112" s="769"/>
      <c r="TLZ112" s="769"/>
      <c r="TMA112" s="769"/>
      <c r="TMB112" s="769"/>
      <c r="TMC112" s="769"/>
      <c r="TMD112" s="769"/>
      <c r="TME112" s="769"/>
      <c r="TMF112" s="769"/>
      <c r="TMG112" s="769"/>
      <c r="TMH112" s="769"/>
      <c r="TMI112" s="769"/>
      <c r="TMJ112" s="769"/>
      <c r="TMK112" s="769"/>
      <c r="TML112" s="769"/>
      <c r="TMM112" s="769"/>
      <c r="TMN112" s="769"/>
      <c r="TMO112" s="769"/>
      <c r="TMP112" s="769"/>
      <c r="TMQ112" s="769"/>
      <c r="TMR112" s="769"/>
      <c r="TMS112" s="769"/>
      <c r="TMT112" s="769"/>
      <c r="TMU112" s="769"/>
      <c r="TMV112" s="769"/>
      <c r="TMW112" s="769"/>
      <c r="TMX112" s="769"/>
      <c r="TMY112" s="769"/>
      <c r="TMZ112" s="769"/>
      <c r="TNA112" s="769"/>
      <c r="TNB112" s="769"/>
      <c r="TNC112" s="769"/>
      <c r="TND112" s="769"/>
      <c r="TNE112" s="769"/>
      <c r="TNF112" s="769"/>
      <c r="TNG112" s="769"/>
      <c r="TNH112" s="769"/>
      <c r="TNI112" s="769"/>
      <c r="TNJ112" s="769"/>
      <c r="TNK112" s="769"/>
      <c r="TNL112" s="769"/>
      <c r="TNM112" s="769"/>
      <c r="TNN112" s="769"/>
      <c r="TNO112" s="769"/>
      <c r="TNP112" s="769"/>
      <c r="TNQ112" s="769"/>
      <c r="TNR112" s="769"/>
      <c r="TNS112" s="769"/>
      <c r="TNT112" s="769"/>
      <c r="TNU112" s="769"/>
      <c r="TNV112" s="769"/>
      <c r="TNW112" s="769"/>
      <c r="TNX112" s="769"/>
      <c r="TNY112" s="769"/>
      <c r="TNZ112" s="769"/>
      <c r="TOA112" s="769"/>
      <c r="TOB112" s="769"/>
      <c r="TOC112" s="769"/>
      <c r="TOD112" s="769"/>
      <c r="TOE112" s="769"/>
      <c r="TOF112" s="769"/>
      <c r="TOG112" s="769"/>
      <c r="TOH112" s="769"/>
      <c r="TOI112" s="769"/>
      <c r="TOJ112" s="769"/>
      <c r="TOK112" s="769"/>
      <c r="TOL112" s="769"/>
      <c r="TOM112" s="769"/>
      <c r="TON112" s="769"/>
      <c r="TOO112" s="769"/>
      <c r="TOP112" s="769"/>
      <c r="TOQ112" s="769"/>
      <c r="TOR112" s="769"/>
      <c r="TOS112" s="769"/>
      <c r="TOT112" s="769"/>
      <c r="TOU112" s="769"/>
      <c r="TOV112" s="769"/>
      <c r="TOW112" s="769"/>
      <c r="TOX112" s="769"/>
      <c r="TOY112" s="769"/>
      <c r="TOZ112" s="769"/>
      <c r="TPA112" s="769"/>
      <c r="TPB112" s="769"/>
      <c r="TPC112" s="769"/>
      <c r="TPD112" s="769"/>
      <c r="TPE112" s="769"/>
      <c r="TPF112" s="769"/>
      <c r="TPG112" s="769"/>
      <c r="TPH112" s="769"/>
      <c r="TPI112" s="769"/>
      <c r="TPJ112" s="769"/>
      <c r="TPK112" s="769"/>
      <c r="TPL112" s="769"/>
      <c r="TPM112" s="769"/>
      <c r="TPN112" s="769"/>
      <c r="TPO112" s="769"/>
      <c r="TPP112" s="769"/>
      <c r="TPQ112" s="769"/>
      <c r="TPR112" s="769"/>
      <c r="TPS112" s="769"/>
      <c r="TPT112" s="769"/>
      <c r="TPU112" s="769"/>
      <c r="TPV112" s="769"/>
      <c r="TPW112" s="769"/>
      <c r="TPX112" s="769"/>
      <c r="TPY112" s="769"/>
      <c r="TPZ112" s="769"/>
      <c r="TQA112" s="769"/>
      <c r="TQB112" s="769"/>
      <c r="TQC112" s="769"/>
      <c r="TQD112" s="769"/>
      <c r="TQE112" s="769"/>
      <c r="TQF112" s="769"/>
      <c r="TQG112" s="769"/>
      <c r="TQH112" s="769"/>
      <c r="TQI112" s="769"/>
      <c r="TQJ112" s="769"/>
      <c r="TQK112" s="769"/>
      <c r="TQL112" s="769"/>
      <c r="TQM112" s="769"/>
      <c r="TQN112" s="769"/>
      <c r="TQO112" s="769"/>
      <c r="TQP112" s="769"/>
      <c r="TQQ112" s="769"/>
      <c r="TQR112" s="769"/>
      <c r="TQS112" s="769"/>
      <c r="TQT112" s="769"/>
      <c r="TQU112" s="769"/>
      <c r="TQV112" s="769"/>
      <c r="TQW112" s="769"/>
      <c r="TQX112" s="769"/>
      <c r="TQY112" s="769"/>
      <c r="TQZ112" s="769"/>
      <c r="TRA112" s="769"/>
      <c r="TRB112" s="769"/>
      <c r="TRC112" s="769"/>
      <c r="TRD112" s="769"/>
      <c r="TRE112" s="769"/>
      <c r="TRF112" s="769"/>
      <c r="TRG112" s="769"/>
      <c r="TRH112" s="769"/>
      <c r="TRI112" s="769"/>
      <c r="TRJ112" s="769"/>
      <c r="TRK112" s="769"/>
      <c r="TRL112" s="769"/>
      <c r="TRM112" s="769"/>
      <c r="TRN112" s="769"/>
      <c r="TRO112" s="769"/>
      <c r="TRP112" s="769"/>
      <c r="TRQ112" s="769"/>
      <c r="TRR112" s="769"/>
      <c r="TRS112" s="769"/>
      <c r="TRT112" s="769"/>
      <c r="TRU112" s="769"/>
      <c r="TRV112" s="769"/>
      <c r="TRW112" s="769"/>
      <c r="TRX112" s="769"/>
      <c r="TRY112" s="769"/>
      <c r="TRZ112" s="769"/>
      <c r="TSA112" s="769"/>
      <c r="TSB112" s="769"/>
      <c r="TSC112" s="769"/>
      <c r="TSD112" s="769"/>
      <c r="TSE112" s="769"/>
      <c r="TSF112" s="769"/>
      <c r="TSG112" s="769"/>
      <c r="TSH112" s="769"/>
      <c r="TSI112" s="769"/>
      <c r="TSJ112" s="769"/>
      <c r="TSK112" s="769"/>
      <c r="TSL112" s="769"/>
      <c r="TSM112" s="769"/>
      <c r="TSN112" s="769"/>
      <c r="TSO112" s="769"/>
      <c r="TSP112" s="769"/>
      <c r="TSQ112" s="769"/>
      <c r="TSR112" s="769"/>
      <c r="TSS112" s="769"/>
      <c r="TST112" s="769"/>
      <c r="TSU112" s="769"/>
      <c r="TSV112" s="769"/>
      <c r="TSW112" s="769"/>
      <c r="TSX112" s="769"/>
      <c r="TSY112" s="769"/>
      <c r="TSZ112" s="769"/>
      <c r="TTA112" s="769"/>
      <c r="TTB112" s="769"/>
      <c r="TTC112" s="769"/>
      <c r="TTD112" s="769"/>
      <c r="TTE112" s="769"/>
      <c r="TTF112" s="769"/>
      <c r="TTG112" s="769"/>
      <c r="TTH112" s="769"/>
      <c r="TTI112" s="769"/>
      <c r="TTJ112" s="769"/>
      <c r="TTK112" s="769"/>
      <c r="TTL112" s="769"/>
      <c r="TTM112" s="769"/>
      <c r="TTN112" s="769"/>
      <c r="TTO112" s="769"/>
      <c r="TTP112" s="769"/>
      <c r="TTQ112" s="769"/>
      <c r="TTR112" s="769"/>
      <c r="TTS112" s="769"/>
      <c r="TTT112" s="769"/>
      <c r="TTU112" s="769"/>
      <c r="TTV112" s="769"/>
      <c r="TTW112" s="769"/>
      <c r="TTX112" s="769"/>
      <c r="TTY112" s="769"/>
      <c r="TTZ112" s="769"/>
      <c r="TUA112" s="769"/>
      <c r="TUB112" s="769"/>
      <c r="TUC112" s="769"/>
      <c r="TUD112" s="769"/>
      <c r="TUE112" s="769"/>
      <c r="TUF112" s="769"/>
      <c r="TUG112" s="769"/>
      <c r="TUH112" s="769"/>
      <c r="TUI112" s="769"/>
      <c r="TUJ112" s="769"/>
      <c r="TUK112" s="769"/>
      <c r="TUL112" s="769"/>
      <c r="TUM112" s="769"/>
      <c r="TUN112" s="769"/>
      <c r="TUO112" s="769"/>
      <c r="TUP112" s="769"/>
      <c r="TUQ112" s="769"/>
      <c r="TUR112" s="769"/>
      <c r="TUS112" s="769"/>
      <c r="TUT112" s="769"/>
      <c r="TUU112" s="769"/>
      <c r="TUV112" s="769"/>
      <c r="TUW112" s="769"/>
      <c r="TUX112" s="769"/>
      <c r="TUY112" s="769"/>
      <c r="TUZ112" s="769"/>
      <c r="TVA112" s="769"/>
      <c r="TVB112" s="769"/>
      <c r="TVC112" s="769"/>
      <c r="TVD112" s="769"/>
      <c r="TVE112" s="769"/>
      <c r="TVF112" s="769"/>
      <c r="TVG112" s="769"/>
      <c r="TVH112" s="769"/>
      <c r="TVI112" s="769"/>
      <c r="TVJ112" s="769"/>
      <c r="TVK112" s="769"/>
      <c r="TVL112" s="769"/>
      <c r="TVM112" s="769"/>
      <c r="TVN112" s="769"/>
      <c r="TVO112" s="769"/>
      <c r="TVP112" s="769"/>
      <c r="TVQ112" s="769"/>
      <c r="TVR112" s="769"/>
      <c r="TVS112" s="769"/>
      <c r="TVT112" s="769"/>
      <c r="TVU112" s="769"/>
      <c r="TVV112" s="769"/>
      <c r="TVW112" s="769"/>
      <c r="TVX112" s="769"/>
      <c r="TVY112" s="769"/>
      <c r="TVZ112" s="769"/>
      <c r="TWA112" s="769"/>
      <c r="TWB112" s="769"/>
      <c r="TWC112" s="769"/>
      <c r="TWD112" s="769"/>
      <c r="TWE112" s="769"/>
      <c r="TWF112" s="769"/>
      <c r="TWG112" s="769"/>
      <c r="TWH112" s="769"/>
      <c r="TWI112" s="769"/>
      <c r="TWJ112" s="769"/>
      <c r="TWK112" s="769"/>
      <c r="TWL112" s="769"/>
      <c r="TWM112" s="769"/>
      <c r="TWN112" s="769"/>
      <c r="TWO112" s="769"/>
      <c r="TWP112" s="769"/>
      <c r="TWQ112" s="769"/>
      <c r="TWR112" s="769"/>
      <c r="TWS112" s="769"/>
      <c r="TWT112" s="769"/>
      <c r="TWU112" s="769"/>
      <c r="TWV112" s="769"/>
      <c r="TWW112" s="769"/>
      <c r="TWX112" s="769"/>
      <c r="TWY112" s="769"/>
      <c r="TWZ112" s="769"/>
      <c r="TXA112" s="769"/>
      <c r="TXB112" s="769"/>
      <c r="TXC112" s="769"/>
      <c r="TXD112" s="769"/>
      <c r="TXE112" s="769"/>
      <c r="TXF112" s="769"/>
      <c r="TXG112" s="769"/>
      <c r="TXH112" s="769"/>
      <c r="TXI112" s="769"/>
      <c r="TXJ112" s="769"/>
      <c r="TXK112" s="769"/>
      <c r="TXL112" s="769"/>
      <c r="TXM112" s="769"/>
      <c r="TXN112" s="769"/>
      <c r="TXO112" s="769"/>
      <c r="TXP112" s="769"/>
      <c r="TXQ112" s="769"/>
      <c r="TXR112" s="769"/>
      <c r="TXS112" s="769"/>
      <c r="TXT112" s="769"/>
      <c r="TXU112" s="769"/>
      <c r="TXV112" s="769"/>
      <c r="TXW112" s="769"/>
      <c r="TXX112" s="769"/>
      <c r="TXY112" s="769"/>
      <c r="TXZ112" s="769"/>
      <c r="TYA112" s="769"/>
      <c r="TYB112" s="769"/>
      <c r="TYC112" s="769"/>
      <c r="TYD112" s="769"/>
      <c r="TYE112" s="769"/>
      <c r="TYF112" s="769"/>
      <c r="TYG112" s="769"/>
      <c r="TYH112" s="769"/>
      <c r="TYI112" s="769"/>
      <c r="TYJ112" s="769"/>
      <c r="TYK112" s="769"/>
      <c r="TYL112" s="769"/>
      <c r="TYM112" s="769"/>
      <c r="TYN112" s="769"/>
      <c r="TYO112" s="769"/>
      <c r="TYP112" s="769"/>
      <c r="TYQ112" s="769"/>
      <c r="TYR112" s="769"/>
      <c r="TYS112" s="769"/>
      <c r="TYT112" s="769"/>
      <c r="TYU112" s="769"/>
      <c r="TYV112" s="769"/>
      <c r="TYW112" s="769"/>
      <c r="TYX112" s="769"/>
      <c r="TYY112" s="769"/>
      <c r="TYZ112" s="769"/>
      <c r="TZA112" s="769"/>
      <c r="TZB112" s="769"/>
      <c r="TZC112" s="769"/>
      <c r="TZD112" s="769"/>
      <c r="TZE112" s="769"/>
      <c r="TZF112" s="769"/>
      <c r="TZG112" s="769"/>
      <c r="TZH112" s="769"/>
      <c r="TZI112" s="769"/>
      <c r="TZJ112" s="769"/>
      <c r="TZK112" s="769"/>
      <c r="TZL112" s="769"/>
      <c r="TZM112" s="769"/>
      <c r="TZN112" s="769"/>
      <c r="TZO112" s="769"/>
      <c r="TZP112" s="769"/>
      <c r="TZQ112" s="769"/>
      <c r="TZR112" s="769"/>
      <c r="TZS112" s="769"/>
      <c r="TZT112" s="769"/>
      <c r="TZU112" s="769"/>
      <c r="TZV112" s="769"/>
      <c r="TZW112" s="769"/>
      <c r="TZX112" s="769"/>
      <c r="TZY112" s="769"/>
      <c r="TZZ112" s="769"/>
      <c r="UAA112" s="769"/>
      <c r="UAB112" s="769"/>
      <c r="UAC112" s="769"/>
      <c r="UAD112" s="769"/>
      <c r="UAE112" s="769"/>
      <c r="UAF112" s="769"/>
      <c r="UAG112" s="769"/>
      <c r="UAH112" s="769"/>
      <c r="UAI112" s="769"/>
      <c r="UAJ112" s="769"/>
      <c r="UAK112" s="769"/>
      <c r="UAL112" s="769"/>
      <c r="UAM112" s="769"/>
      <c r="UAN112" s="769"/>
      <c r="UAO112" s="769"/>
      <c r="UAP112" s="769"/>
      <c r="UAQ112" s="769"/>
      <c r="UAR112" s="769"/>
      <c r="UAS112" s="769"/>
      <c r="UAT112" s="769"/>
      <c r="UAU112" s="769"/>
      <c r="UAV112" s="769"/>
      <c r="UAW112" s="769"/>
      <c r="UAX112" s="769"/>
      <c r="UAY112" s="769"/>
      <c r="UAZ112" s="769"/>
      <c r="UBA112" s="769"/>
      <c r="UBB112" s="769"/>
      <c r="UBC112" s="769"/>
      <c r="UBD112" s="769"/>
      <c r="UBE112" s="769"/>
      <c r="UBF112" s="769"/>
      <c r="UBG112" s="769"/>
      <c r="UBH112" s="769"/>
      <c r="UBI112" s="769"/>
      <c r="UBJ112" s="769"/>
      <c r="UBK112" s="769"/>
      <c r="UBL112" s="769"/>
      <c r="UBM112" s="769"/>
      <c r="UBN112" s="769"/>
      <c r="UBO112" s="769"/>
      <c r="UBP112" s="769"/>
      <c r="UBQ112" s="769"/>
      <c r="UBR112" s="769"/>
      <c r="UBS112" s="769"/>
      <c r="UBT112" s="769"/>
      <c r="UBU112" s="769"/>
      <c r="UBV112" s="769"/>
      <c r="UBW112" s="769"/>
      <c r="UBX112" s="769"/>
      <c r="UBY112" s="769"/>
      <c r="UBZ112" s="769"/>
      <c r="UCA112" s="769"/>
      <c r="UCB112" s="769"/>
      <c r="UCC112" s="769"/>
      <c r="UCD112" s="769"/>
      <c r="UCE112" s="769"/>
      <c r="UCF112" s="769"/>
      <c r="UCG112" s="769"/>
      <c r="UCH112" s="769"/>
      <c r="UCI112" s="769"/>
      <c r="UCJ112" s="769"/>
      <c r="UCK112" s="769"/>
      <c r="UCL112" s="769"/>
      <c r="UCM112" s="769"/>
      <c r="UCN112" s="769"/>
      <c r="UCO112" s="769"/>
      <c r="UCP112" s="769"/>
      <c r="UCQ112" s="769"/>
      <c r="UCR112" s="769"/>
      <c r="UCS112" s="769"/>
      <c r="UCT112" s="769"/>
      <c r="UCU112" s="769"/>
      <c r="UCV112" s="769"/>
      <c r="UCW112" s="769"/>
      <c r="UCX112" s="769"/>
      <c r="UCY112" s="769"/>
      <c r="UCZ112" s="769"/>
      <c r="UDA112" s="769"/>
      <c r="UDB112" s="769"/>
      <c r="UDC112" s="769"/>
      <c r="UDD112" s="769"/>
      <c r="UDE112" s="769"/>
      <c r="UDF112" s="769"/>
      <c r="UDG112" s="769"/>
      <c r="UDH112" s="769"/>
      <c r="UDI112" s="769"/>
      <c r="UDJ112" s="769"/>
      <c r="UDK112" s="769"/>
      <c r="UDL112" s="769"/>
      <c r="UDM112" s="769"/>
      <c r="UDN112" s="769"/>
      <c r="UDO112" s="769"/>
      <c r="UDP112" s="769"/>
      <c r="UDQ112" s="769"/>
      <c r="UDR112" s="769"/>
      <c r="UDS112" s="769"/>
      <c r="UDT112" s="769"/>
      <c r="UDU112" s="769"/>
      <c r="UDV112" s="769"/>
      <c r="UDW112" s="769"/>
      <c r="UDX112" s="769"/>
      <c r="UDY112" s="769"/>
      <c r="UDZ112" s="769"/>
      <c r="UEA112" s="769"/>
      <c r="UEB112" s="769"/>
      <c r="UEC112" s="769"/>
      <c r="UED112" s="769"/>
      <c r="UEE112" s="769"/>
      <c r="UEF112" s="769"/>
      <c r="UEG112" s="769"/>
      <c r="UEH112" s="769"/>
      <c r="UEI112" s="769"/>
      <c r="UEJ112" s="769"/>
      <c r="UEK112" s="769"/>
      <c r="UEL112" s="769"/>
      <c r="UEM112" s="769"/>
      <c r="UEN112" s="769"/>
      <c r="UEO112" s="769"/>
      <c r="UEP112" s="769"/>
      <c r="UEQ112" s="769"/>
      <c r="UER112" s="769"/>
      <c r="UES112" s="769"/>
      <c r="UET112" s="769"/>
      <c r="UEU112" s="769"/>
      <c r="UEV112" s="769"/>
      <c r="UEW112" s="769"/>
      <c r="UEX112" s="769"/>
      <c r="UEY112" s="769"/>
      <c r="UEZ112" s="769"/>
      <c r="UFA112" s="769"/>
      <c r="UFB112" s="769"/>
      <c r="UFC112" s="769"/>
      <c r="UFD112" s="769"/>
      <c r="UFE112" s="769"/>
      <c r="UFF112" s="769"/>
      <c r="UFG112" s="769"/>
      <c r="UFH112" s="769"/>
      <c r="UFI112" s="769"/>
      <c r="UFJ112" s="769"/>
      <c r="UFK112" s="769"/>
      <c r="UFL112" s="769"/>
      <c r="UFM112" s="769"/>
      <c r="UFN112" s="769"/>
      <c r="UFO112" s="769"/>
      <c r="UFP112" s="769"/>
      <c r="UFQ112" s="769"/>
      <c r="UFR112" s="769"/>
      <c r="UFS112" s="769"/>
      <c r="UFT112" s="769"/>
      <c r="UFU112" s="769"/>
      <c r="UFV112" s="769"/>
      <c r="UFW112" s="769"/>
      <c r="UFX112" s="769"/>
      <c r="UFY112" s="769"/>
      <c r="UFZ112" s="769"/>
      <c r="UGA112" s="769"/>
      <c r="UGB112" s="769"/>
      <c r="UGC112" s="769"/>
      <c r="UGD112" s="769"/>
      <c r="UGE112" s="769"/>
      <c r="UGF112" s="769"/>
      <c r="UGG112" s="769"/>
      <c r="UGH112" s="769"/>
      <c r="UGI112" s="769"/>
      <c r="UGJ112" s="769"/>
      <c r="UGK112" s="769"/>
      <c r="UGL112" s="769"/>
      <c r="UGM112" s="769"/>
      <c r="UGN112" s="769"/>
      <c r="UGO112" s="769"/>
      <c r="UGP112" s="769"/>
      <c r="UGQ112" s="769"/>
      <c r="UGR112" s="769"/>
      <c r="UGS112" s="769"/>
      <c r="UGT112" s="769"/>
      <c r="UGU112" s="769"/>
      <c r="UGV112" s="769"/>
      <c r="UGW112" s="769"/>
      <c r="UGX112" s="769"/>
      <c r="UGY112" s="769"/>
      <c r="UGZ112" s="769"/>
      <c r="UHA112" s="769"/>
      <c r="UHB112" s="769"/>
      <c r="UHC112" s="769"/>
      <c r="UHD112" s="769"/>
      <c r="UHE112" s="769"/>
      <c r="UHF112" s="769"/>
      <c r="UHG112" s="769"/>
      <c r="UHH112" s="769"/>
      <c r="UHI112" s="769"/>
      <c r="UHJ112" s="769"/>
      <c r="UHK112" s="769"/>
      <c r="UHL112" s="769"/>
      <c r="UHM112" s="769"/>
      <c r="UHN112" s="769"/>
      <c r="UHO112" s="769"/>
      <c r="UHP112" s="769"/>
      <c r="UHQ112" s="769"/>
      <c r="UHR112" s="769"/>
      <c r="UHS112" s="769"/>
      <c r="UHT112" s="769"/>
      <c r="UHU112" s="769"/>
      <c r="UHV112" s="769"/>
      <c r="UHW112" s="769"/>
      <c r="UHX112" s="769"/>
      <c r="UHY112" s="769"/>
      <c r="UHZ112" s="769"/>
      <c r="UIA112" s="769"/>
      <c r="UIB112" s="769"/>
      <c r="UIC112" s="769"/>
      <c r="UID112" s="769"/>
      <c r="UIE112" s="769"/>
      <c r="UIF112" s="769"/>
      <c r="UIG112" s="769"/>
      <c r="UIH112" s="769"/>
      <c r="UII112" s="769"/>
      <c r="UIJ112" s="769"/>
      <c r="UIK112" s="769"/>
      <c r="UIL112" s="769"/>
      <c r="UIM112" s="769"/>
      <c r="UIN112" s="769"/>
      <c r="UIO112" s="769"/>
      <c r="UIP112" s="769"/>
      <c r="UIQ112" s="769"/>
      <c r="UIR112" s="769"/>
      <c r="UIS112" s="769"/>
      <c r="UIT112" s="769"/>
      <c r="UIU112" s="769"/>
      <c r="UIV112" s="769"/>
      <c r="UIW112" s="769"/>
      <c r="UIX112" s="769"/>
      <c r="UIY112" s="769"/>
      <c r="UIZ112" s="769"/>
      <c r="UJA112" s="769"/>
      <c r="UJB112" s="769"/>
      <c r="UJC112" s="769"/>
      <c r="UJD112" s="769"/>
      <c r="UJE112" s="769"/>
      <c r="UJF112" s="769"/>
      <c r="UJG112" s="769"/>
      <c r="UJH112" s="769"/>
      <c r="UJI112" s="769"/>
      <c r="UJJ112" s="769"/>
      <c r="UJK112" s="769"/>
      <c r="UJL112" s="769"/>
      <c r="UJM112" s="769"/>
      <c r="UJN112" s="769"/>
      <c r="UJO112" s="769"/>
      <c r="UJP112" s="769"/>
      <c r="UJQ112" s="769"/>
      <c r="UJR112" s="769"/>
      <c r="UJS112" s="769"/>
      <c r="UJT112" s="769"/>
      <c r="UJU112" s="769"/>
      <c r="UJV112" s="769"/>
      <c r="UJW112" s="769"/>
      <c r="UJX112" s="769"/>
      <c r="UJY112" s="769"/>
      <c r="UJZ112" s="769"/>
      <c r="UKA112" s="769"/>
      <c r="UKB112" s="769"/>
      <c r="UKC112" s="769"/>
      <c r="UKD112" s="769"/>
      <c r="UKE112" s="769"/>
      <c r="UKF112" s="769"/>
      <c r="UKG112" s="769"/>
      <c r="UKH112" s="769"/>
      <c r="UKI112" s="769"/>
      <c r="UKJ112" s="769"/>
      <c r="UKK112" s="769"/>
      <c r="UKL112" s="769"/>
      <c r="UKM112" s="769"/>
      <c r="UKN112" s="769"/>
      <c r="UKO112" s="769"/>
      <c r="UKP112" s="769"/>
      <c r="UKQ112" s="769"/>
      <c r="UKR112" s="769"/>
      <c r="UKS112" s="769"/>
      <c r="UKT112" s="769"/>
      <c r="UKU112" s="769"/>
      <c r="UKV112" s="769"/>
      <c r="UKW112" s="769"/>
      <c r="UKX112" s="769"/>
      <c r="UKY112" s="769"/>
      <c r="UKZ112" s="769"/>
      <c r="ULA112" s="769"/>
      <c r="ULB112" s="769"/>
      <c r="ULC112" s="769"/>
      <c r="ULD112" s="769"/>
      <c r="ULE112" s="769"/>
      <c r="ULF112" s="769"/>
      <c r="ULG112" s="769"/>
      <c r="ULH112" s="769"/>
      <c r="ULI112" s="769"/>
      <c r="ULJ112" s="769"/>
      <c r="ULK112" s="769"/>
      <c r="ULL112" s="769"/>
      <c r="ULM112" s="769"/>
      <c r="ULN112" s="769"/>
      <c r="ULO112" s="769"/>
      <c r="ULP112" s="769"/>
      <c r="ULQ112" s="769"/>
      <c r="ULR112" s="769"/>
      <c r="ULS112" s="769"/>
      <c r="ULT112" s="769"/>
      <c r="ULU112" s="769"/>
      <c r="ULV112" s="769"/>
      <c r="ULW112" s="769"/>
      <c r="ULX112" s="769"/>
      <c r="ULY112" s="769"/>
      <c r="ULZ112" s="769"/>
      <c r="UMA112" s="769"/>
      <c r="UMB112" s="769"/>
      <c r="UMC112" s="769"/>
      <c r="UMD112" s="769"/>
      <c r="UME112" s="769"/>
      <c r="UMF112" s="769"/>
      <c r="UMG112" s="769"/>
      <c r="UMH112" s="769"/>
      <c r="UMI112" s="769"/>
      <c r="UMJ112" s="769"/>
      <c r="UMK112" s="769"/>
      <c r="UML112" s="769"/>
      <c r="UMM112" s="769"/>
      <c r="UMN112" s="769"/>
      <c r="UMO112" s="769"/>
      <c r="UMP112" s="769"/>
      <c r="UMQ112" s="769"/>
      <c r="UMR112" s="769"/>
      <c r="UMS112" s="769"/>
      <c r="UMT112" s="769"/>
      <c r="UMU112" s="769"/>
      <c r="UMV112" s="769"/>
      <c r="UMW112" s="769"/>
      <c r="UMX112" s="769"/>
      <c r="UMY112" s="769"/>
      <c r="UMZ112" s="769"/>
      <c r="UNA112" s="769"/>
      <c r="UNB112" s="769"/>
      <c r="UNC112" s="769"/>
      <c r="UND112" s="769"/>
      <c r="UNE112" s="769"/>
      <c r="UNF112" s="769"/>
      <c r="UNG112" s="769"/>
      <c r="UNH112" s="769"/>
      <c r="UNI112" s="769"/>
      <c r="UNJ112" s="769"/>
      <c r="UNK112" s="769"/>
      <c r="UNL112" s="769"/>
      <c r="UNM112" s="769"/>
      <c r="UNN112" s="769"/>
      <c r="UNO112" s="769"/>
      <c r="UNP112" s="769"/>
      <c r="UNQ112" s="769"/>
      <c r="UNR112" s="769"/>
      <c r="UNS112" s="769"/>
      <c r="UNT112" s="769"/>
      <c r="UNU112" s="769"/>
      <c r="UNV112" s="769"/>
      <c r="UNW112" s="769"/>
      <c r="UNX112" s="769"/>
      <c r="UNY112" s="769"/>
      <c r="UNZ112" s="769"/>
      <c r="UOA112" s="769"/>
      <c r="UOB112" s="769"/>
      <c r="UOC112" s="769"/>
      <c r="UOD112" s="769"/>
      <c r="UOE112" s="769"/>
      <c r="UOF112" s="769"/>
      <c r="UOG112" s="769"/>
      <c r="UOH112" s="769"/>
      <c r="UOI112" s="769"/>
      <c r="UOJ112" s="769"/>
      <c r="UOK112" s="769"/>
      <c r="UOL112" s="769"/>
      <c r="UOM112" s="769"/>
      <c r="UON112" s="769"/>
      <c r="UOO112" s="769"/>
      <c r="UOP112" s="769"/>
      <c r="UOQ112" s="769"/>
      <c r="UOR112" s="769"/>
      <c r="UOS112" s="769"/>
      <c r="UOT112" s="769"/>
      <c r="UOU112" s="769"/>
      <c r="UOV112" s="769"/>
      <c r="UOW112" s="769"/>
      <c r="UOX112" s="769"/>
      <c r="UOY112" s="769"/>
      <c r="UOZ112" s="769"/>
      <c r="UPA112" s="769"/>
      <c r="UPB112" s="769"/>
      <c r="UPC112" s="769"/>
      <c r="UPD112" s="769"/>
      <c r="UPE112" s="769"/>
      <c r="UPF112" s="769"/>
      <c r="UPG112" s="769"/>
      <c r="UPH112" s="769"/>
      <c r="UPI112" s="769"/>
      <c r="UPJ112" s="769"/>
      <c r="UPK112" s="769"/>
      <c r="UPL112" s="769"/>
      <c r="UPM112" s="769"/>
      <c r="UPN112" s="769"/>
      <c r="UPO112" s="769"/>
      <c r="UPP112" s="769"/>
      <c r="UPQ112" s="769"/>
      <c r="UPR112" s="769"/>
      <c r="UPS112" s="769"/>
      <c r="UPT112" s="769"/>
      <c r="UPU112" s="769"/>
      <c r="UPV112" s="769"/>
      <c r="UPW112" s="769"/>
      <c r="UPX112" s="769"/>
      <c r="UPY112" s="769"/>
      <c r="UPZ112" s="769"/>
      <c r="UQA112" s="769"/>
      <c r="UQB112" s="769"/>
      <c r="UQC112" s="769"/>
      <c r="UQD112" s="769"/>
      <c r="UQE112" s="769"/>
      <c r="UQF112" s="769"/>
      <c r="UQG112" s="769"/>
      <c r="UQH112" s="769"/>
      <c r="UQI112" s="769"/>
      <c r="UQJ112" s="769"/>
      <c r="UQK112" s="769"/>
      <c r="UQL112" s="769"/>
      <c r="UQM112" s="769"/>
      <c r="UQN112" s="769"/>
      <c r="UQO112" s="769"/>
      <c r="UQP112" s="769"/>
      <c r="UQQ112" s="769"/>
      <c r="UQR112" s="769"/>
      <c r="UQS112" s="769"/>
      <c r="UQT112" s="769"/>
      <c r="UQU112" s="769"/>
      <c r="UQV112" s="769"/>
      <c r="UQW112" s="769"/>
      <c r="UQX112" s="769"/>
      <c r="UQY112" s="769"/>
      <c r="UQZ112" s="769"/>
      <c r="URA112" s="769"/>
      <c r="URB112" s="769"/>
      <c r="URC112" s="769"/>
      <c r="URD112" s="769"/>
      <c r="URE112" s="769"/>
      <c r="URF112" s="769"/>
      <c r="URG112" s="769"/>
      <c r="URH112" s="769"/>
      <c r="URI112" s="769"/>
      <c r="URJ112" s="769"/>
      <c r="URK112" s="769"/>
      <c r="URL112" s="769"/>
      <c r="URM112" s="769"/>
      <c r="URN112" s="769"/>
      <c r="URO112" s="769"/>
      <c r="URP112" s="769"/>
      <c r="URQ112" s="769"/>
      <c r="URR112" s="769"/>
      <c r="URS112" s="769"/>
      <c r="URT112" s="769"/>
      <c r="URU112" s="769"/>
      <c r="URV112" s="769"/>
      <c r="URW112" s="769"/>
      <c r="URX112" s="769"/>
      <c r="URY112" s="769"/>
      <c r="URZ112" s="769"/>
      <c r="USA112" s="769"/>
      <c r="USB112" s="769"/>
      <c r="USC112" s="769"/>
      <c r="USD112" s="769"/>
      <c r="USE112" s="769"/>
      <c r="USF112" s="769"/>
      <c r="USG112" s="769"/>
      <c r="USH112" s="769"/>
      <c r="USI112" s="769"/>
      <c r="USJ112" s="769"/>
      <c r="USK112" s="769"/>
      <c r="USL112" s="769"/>
      <c r="USM112" s="769"/>
      <c r="USN112" s="769"/>
      <c r="USO112" s="769"/>
      <c r="USP112" s="769"/>
      <c r="USQ112" s="769"/>
      <c r="USR112" s="769"/>
      <c r="USS112" s="769"/>
      <c r="UST112" s="769"/>
      <c r="USU112" s="769"/>
      <c r="USV112" s="769"/>
      <c r="USW112" s="769"/>
      <c r="USX112" s="769"/>
      <c r="USY112" s="769"/>
      <c r="USZ112" s="769"/>
      <c r="UTA112" s="769"/>
      <c r="UTB112" s="769"/>
      <c r="UTC112" s="769"/>
      <c r="UTD112" s="769"/>
      <c r="UTE112" s="769"/>
      <c r="UTF112" s="769"/>
      <c r="UTG112" s="769"/>
      <c r="UTH112" s="769"/>
      <c r="UTI112" s="769"/>
      <c r="UTJ112" s="769"/>
      <c r="UTK112" s="769"/>
      <c r="UTL112" s="769"/>
      <c r="UTM112" s="769"/>
      <c r="UTN112" s="769"/>
      <c r="UTO112" s="769"/>
      <c r="UTP112" s="769"/>
      <c r="UTQ112" s="769"/>
      <c r="UTR112" s="769"/>
      <c r="UTS112" s="769"/>
      <c r="UTT112" s="769"/>
      <c r="UTU112" s="769"/>
      <c r="UTV112" s="769"/>
      <c r="UTW112" s="769"/>
      <c r="UTX112" s="769"/>
      <c r="UTY112" s="769"/>
      <c r="UTZ112" s="769"/>
      <c r="UUA112" s="769"/>
      <c r="UUB112" s="769"/>
      <c r="UUC112" s="769"/>
      <c r="UUD112" s="769"/>
      <c r="UUE112" s="769"/>
      <c r="UUF112" s="769"/>
      <c r="UUG112" s="769"/>
      <c r="UUH112" s="769"/>
      <c r="UUI112" s="769"/>
      <c r="UUJ112" s="769"/>
      <c r="UUK112" s="769"/>
      <c r="UUL112" s="769"/>
      <c r="UUM112" s="769"/>
      <c r="UUN112" s="769"/>
      <c r="UUO112" s="769"/>
      <c r="UUP112" s="769"/>
      <c r="UUQ112" s="769"/>
      <c r="UUR112" s="769"/>
      <c r="UUS112" s="769"/>
      <c r="UUT112" s="769"/>
      <c r="UUU112" s="769"/>
      <c r="UUV112" s="769"/>
      <c r="UUW112" s="769"/>
      <c r="UUX112" s="769"/>
      <c r="UUY112" s="769"/>
      <c r="UUZ112" s="769"/>
      <c r="UVA112" s="769"/>
      <c r="UVB112" s="769"/>
      <c r="UVC112" s="769"/>
      <c r="UVD112" s="769"/>
      <c r="UVE112" s="769"/>
      <c r="UVF112" s="769"/>
      <c r="UVG112" s="769"/>
      <c r="UVH112" s="769"/>
      <c r="UVI112" s="769"/>
      <c r="UVJ112" s="769"/>
      <c r="UVK112" s="769"/>
      <c r="UVL112" s="769"/>
      <c r="UVM112" s="769"/>
      <c r="UVN112" s="769"/>
      <c r="UVO112" s="769"/>
      <c r="UVP112" s="769"/>
      <c r="UVQ112" s="769"/>
      <c r="UVR112" s="769"/>
      <c r="UVS112" s="769"/>
      <c r="UVT112" s="769"/>
      <c r="UVU112" s="769"/>
      <c r="UVV112" s="769"/>
      <c r="UVW112" s="769"/>
      <c r="UVX112" s="769"/>
      <c r="UVY112" s="769"/>
      <c r="UVZ112" s="769"/>
      <c r="UWA112" s="769"/>
      <c r="UWB112" s="769"/>
      <c r="UWC112" s="769"/>
      <c r="UWD112" s="769"/>
      <c r="UWE112" s="769"/>
      <c r="UWF112" s="769"/>
      <c r="UWG112" s="769"/>
      <c r="UWH112" s="769"/>
      <c r="UWI112" s="769"/>
      <c r="UWJ112" s="769"/>
      <c r="UWK112" s="769"/>
      <c r="UWL112" s="769"/>
      <c r="UWM112" s="769"/>
      <c r="UWN112" s="769"/>
      <c r="UWO112" s="769"/>
      <c r="UWP112" s="769"/>
      <c r="UWQ112" s="769"/>
      <c r="UWR112" s="769"/>
      <c r="UWS112" s="769"/>
      <c r="UWT112" s="769"/>
      <c r="UWU112" s="769"/>
      <c r="UWV112" s="769"/>
      <c r="UWW112" s="769"/>
      <c r="UWX112" s="769"/>
      <c r="UWY112" s="769"/>
      <c r="UWZ112" s="769"/>
      <c r="UXA112" s="769"/>
      <c r="UXB112" s="769"/>
      <c r="UXC112" s="769"/>
      <c r="UXD112" s="769"/>
      <c r="UXE112" s="769"/>
      <c r="UXF112" s="769"/>
      <c r="UXG112" s="769"/>
      <c r="UXH112" s="769"/>
      <c r="UXI112" s="769"/>
      <c r="UXJ112" s="769"/>
      <c r="UXK112" s="769"/>
      <c r="UXL112" s="769"/>
      <c r="UXM112" s="769"/>
      <c r="UXN112" s="769"/>
      <c r="UXO112" s="769"/>
      <c r="UXP112" s="769"/>
      <c r="UXQ112" s="769"/>
      <c r="UXR112" s="769"/>
      <c r="UXS112" s="769"/>
      <c r="UXT112" s="769"/>
      <c r="UXU112" s="769"/>
      <c r="UXV112" s="769"/>
      <c r="UXW112" s="769"/>
      <c r="UXX112" s="769"/>
      <c r="UXY112" s="769"/>
      <c r="UXZ112" s="769"/>
      <c r="UYA112" s="769"/>
      <c r="UYB112" s="769"/>
      <c r="UYC112" s="769"/>
      <c r="UYD112" s="769"/>
      <c r="UYE112" s="769"/>
      <c r="UYF112" s="769"/>
      <c r="UYG112" s="769"/>
      <c r="UYH112" s="769"/>
      <c r="UYI112" s="769"/>
      <c r="UYJ112" s="769"/>
      <c r="UYK112" s="769"/>
      <c r="UYL112" s="769"/>
      <c r="UYM112" s="769"/>
      <c r="UYN112" s="769"/>
      <c r="UYO112" s="769"/>
      <c r="UYP112" s="769"/>
      <c r="UYQ112" s="769"/>
      <c r="UYR112" s="769"/>
      <c r="UYS112" s="769"/>
      <c r="UYT112" s="769"/>
      <c r="UYU112" s="769"/>
      <c r="UYV112" s="769"/>
      <c r="UYW112" s="769"/>
      <c r="UYX112" s="769"/>
      <c r="UYY112" s="769"/>
      <c r="UYZ112" s="769"/>
      <c r="UZA112" s="769"/>
      <c r="UZB112" s="769"/>
      <c r="UZC112" s="769"/>
      <c r="UZD112" s="769"/>
      <c r="UZE112" s="769"/>
      <c r="UZF112" s="769"/>
      <c r="UZG112" s="769"/>
      <c r="UZH112" s="769"/>
      <c r="UZI112" s="769"/>
      <c r="UZJ112" s="769"/>
      <c r="UZK112" s="769"/>
      <c r="UZL112" s="769"/>
      <c r="UZM112" s="769"/>
      <c r="UZN112" s="769"/>
      <c r="UZO112" s="769"/>
      <c r="UZP112" s="769"/>
      <c r="UZQ112" s="769"/>
      <c r="UZR112" s="769"/>
      <c r="UZS112" s="769"/>
      <c r="UZT112" s="769"/>
      <c r="UZU112" s="769"/>
      <c r="UZV112" s="769"/>
      <c r="UZW112" s="769"/>
      <c r="UZX112" s="769"/>
      <c r="UZY112" s="769"/>
      <c r="UZZ112" s="769"/>
      <c r="VAA112" s="769"/>
      <c r="VAB112" s="769"/>
      <c r="VAC112" s="769"/>
      <c r="VAD112" s="769"/>
      <c r="VAE112" s="769"/>
      <c r="VAF112" s="769"/>
      <c r="VAG112" s="769"/>
      <c r="VAH112" s="769"/>
      <c r="VAI112" s="769"/>
      <c r="VAJ112" s="769"/>
      <c r="VAK112" s="769"/>
      <c r="VAL112" s="769"/>
      <c r="VAM112" s="769"/>
      <c r="VAN112" s="769"/>
      <c r="VAO112" s="769"/>
      <c r="VAP112" s="769"/>
      <c r="VAQ112" s="769"/>
      <c r="VAR112" s="769"/>
      <c r="VAS112" s="769"/>
      <c r="VAT112" s="769"/>
      <c r="VAU112" s="769"/>
      <c r="VAV112" s="769"/>
      <c r="VAW112" s="769"/>
      <c r="VAX112" s="769"/>
      <c r="VAY112" s="769"/>
      <c r="VAZ112" s="769"/>
      <c r="VBA112" s="769"/>
      <c r="VBB112" s="769"/>
      <c r="VBC112" s="769"/>
      <c r="VBD112" s="769"/>
      <c r="VBE112" s="769"/>
      <c r="VBF112" s="769"/>
      <c r="VBG112" s="769"/>
      <c r="VBH112" s="769"/>
      <c r="VBI112" s="769"/>
      <c r="VBJ112" s="769"/>
      <c r="VBK112" s="769"/>
      <c r="VBL112" s="769"/>
      <c r="VBM112" s="769"/>
      <c r="VBN112" s="769"/>
      <c r="VBO112" s="769"/>
      <c r="VBP112" s="769"/>
      <c r="VBQ112" s="769"/>
      <c r="VBR112" s="769"/>
      <c r="VBS112" s="769"/>
      <c r="VBT112" s="769"/>
      <c r="VBU112" s="769"/>
      <c r="VBV112" s="769"/>
      <c r="VBW112" s="769"/>
      <c r="VBX112" s="769"/>
      <c r="VBY112" s="769"/>
      <c r="VBZ112" s="769"/>
      <c r="VCA112" s="769"/>
      <c r="VCB112" s="769"/>
      <c r="VCC112" s="769"/>
      <c r="VCD112" s="769"/>
      <c r="VCE112" s="769"/>
      <c r="VCF112" s="769"/>
      <c r="VCG112" s="769"/>
      <c r="VCH112" s="769"/>
      <c r="VCI112" s="769"/>
      <c r="VCJ112" s="769"/>
      <c r="VCK112" s="769"/>
      <c r="VCL112" s="769"/>
      <c r="VCM112" s="769"/>
      <c r="VCN112" s="769"/>
      <c r="VCO112" s="769"/>
      <c r="VCP112" s="769"/>
      <c r="VCQ112" s="769"/>
      <c r="VCR112" s="769"/>
      <c r="VCS112" s="769"/>
      <c r="VCT112" s="769"/>
      <c r="VCU112" s="769"/>
      <c r="VCV112" s="769"/>
      <c r="VCW112" s="769"/>
      <c r="VCX112" s="769"/>
      <c r="VCY112" s="769"/>
      <c r="VCZ112" s="769"/>
      <c r="VDA112" s="769"/>
      <c r="VDB112" s="769"/>
      <c r="VDC112" s="769"/>
      <c r="VDD112" s="769"/>
      <c r="VDE112" s="769"/>
      <c r="VDF112" s="769"/>
      <c r="VDG112" s="769"/>
      <c r="VDH112" s="769"/>
      <c r="VDI112" s="769"/>
      <c r="VDJ112" s="769"/>
      <c r="VDK112" s="769"/>
      <c r="VDL112" s="769"/>
      <c r="VDM112" s="769"/>
      <c r="VDN112" s="769"/>
      <c r="VDO112" s="769"/>
      <c r="VDP112" s="769"/>
      <c r="VDQ112" s="769"/>
      <c r="VDR112" s="769"/>
      <c r="VDS112" s="769"/>
      <c r="VDT112" s="769"/>
      <c r="VDU112" s="769"/>
      <c r="VDV112" s="769"/>
      <c r="VDW112" s="769"/>
      <c r="VDX112" s="769"/>
      <c r="VDY112" s="769"/>
      <c r="VDZ112" s="769"/>
      <c r="VEA112" s="769"/>
      <c r="VEB112" s="769"/>
      <c r="VEC112" s="769"/>
      <c r="VED112" s="769"/>
      <c r="VEE112" s="769"/>
      <c r="VEF112" s="769"/>
      <c r="VEG112" s="769"/>
      <c r="VEH112" s="769"/>
      <c r="VEI112" s="769"/>
      <c r="VEJ112" s="769"/>
      <c r="VEK112" s="769"/>
      <c r="VEL112" s="769"/>
      <c r="VEM112" s="769"/>
      <c r="VEN112" s="769"/>
      <c r="VEO112" s="769"/>
      <c r="VEP112" s="769"/>
      <c r="VEQ112" s="769"/>
      <c r="VER112" s="769"/>
      <c r="VES112" s="769"/>
      <c r="VET112" s="769"/>
      <c r="VEU112" s="769"/>
      <c r="VEV112" s="769"/>
      <c r="VEW112" s="769"/>
      <c r="VEX112" s="769"/>
      <c r="VEY112" s="769"/>
      <c r="VEZ112" s="769"/>
      <c r="VFA112" s="769"/>
      <c r="VFB112" s="769"/>
      <c r="VFC112" s="769"/>
      <c r="VFD112" s="769"/>
      <c r="VFE112" s="769"/>
      <c r="VFF112" s="769"/>
      <c r="VFG112" s="769"/>
      <c r="VFH112" s="769"/>
      <c r="VFI112" s="769"/>
      <c r="VFJ112" s="769"/>
      <c r="VFK112" s="769"/>
      <c r="VFL112" s="769"/>
      <c r="VFM112" s="769"/>
      <c r="VFN112" s="769"/>
      <c r="VFO112" s="769"/>
      <c r="VFP112" s="769"/>
      <c r="VFQ112" s="769"/>
      <c r="VFR112" s="769"/>
      <c r="VFS112" s="769"/>
      <c r="VFT112" s="769"/>
      <c r="VFU112" s="769"/>
      <c r="VFV112" s="769"/>
      <c r="VFW112" s="769"/>
      <c r="VFX112" s="769"/>
      <c r="VFY112" s="769"/>
      <c r="VFZ112" s="769"/>
      <c r="VGA112" s="769"/>
      <c r="VGB112" s="769"/>
      <c r="VGC112" s="769"/>
      <c r="VGD112" s="769"/>
      <c r="VGE112" s="769"/>
      <c r="VGF112" s="769"/>
      <c r="VGG112" s="769"/>
      <c r="VGH112" s="769"/>
      <c r="VGI112" s="769"/>
      <c r="VGJ112" s="769"/>
      <c r="VGK112" s="769"/>
      <c r="VGL112" s="769"/>
      <c r="VGM112" s="769"/>
      <c r="VGN112" s="769"/>
      <c r="VGO112" s="769"/>
      <c r="VGP112" s="769"/>
      <c r="VGQ112" s="769"/>
      <c r="VGR112" s="769"/>
      <c r="VGS112" s="769"/>
      <c r="VGT112" s="769"/>
      <c r="VGU112" s="769"/>
      <c r="VGV112" s="769"/>
      <c r="VGW112" s="769"/>
      <c r="VGX112" s="769"/>
      <c r="VGY112" s="769"/>
      <c r="VGZ112" s="769"/>
      <c r="VHA112" s="769"/>
      <c r="VHB112" s="769"/>
      <c r="VHC112" s="769"/>
      <c r="VHD112" s="769"/>
      <c r="VHE112" s="769"/>
      <c r="VHF112" s="769"/>
      <c r="VHG112" s="769"/>
      <c r="VHH112" s="769"/>
      <c r="VHI112" s="769"/>
      <c r="VHJ112" s="769"/>
      <c r="VHK112" s="769"/>
      <c r="VHL112" s="769"/>
      <c r="VHM112" s="769"/>
      <c r="VHN112" s="769"/>
      <c r="VHO112" s="769"/>
      <c r="VHP112" s="769"/>
      <c r="VHQ112" s="769"/>
      <c r="VHR112" s="769"/>
      <c r="VHS112" s="769"/>
      <c r="VHT112" s="769"/>
      <c r="VHU112" s="769"/>
      <c r="VHV112" s="769"/>
      <c r="VHW112" s="769"/>
      <c r="VHX112" s="769"/>
      <c r="VHY112" s="769"/>
      <c r="VHZ112" s="769"/>
      <c r="VIA112" s="769"/>
      <c r="VIB112" s="769"/>
      <c r="VIC112" s="769"/>
      <c r="VID112" s="769"/>
      <c r="VIE112" s="769"/>
      <c r="VIF112" s="769"/>
      <c r="VIG112" s="769"/>
      <c r="VIH112" s="769"/>
      <c r="VII112" s="769"/>
      <c r="VIJ112" s="769"/>
      <c r="VIK112" s="769"/>
      <c r="VIL112" s="769"/>
      <c r="VIM112" s="769"/>
      <c r="VIN112" s="769"/>
      <c r="VIO112" s="769"/>
      <c r="VIP112" s="769"/>
      <c r="VIQ112" s="769"/>
      <c r="VIR112" s="769"/>
      <c r="VIS112" s="769"/>
      <c r="VIT112" s="769"/>
      <c r="VIU112" s="769"/>
      <c r="VIV112" s="769"/>
      <c r="VIW112" s="769"/>
      <c r="VIX112" s="769"/>
      <c r="VIY112" s="769"/>
      <c r="VIZ112" s="769"/>
      <c r="VJA112" s="769"/>
      <c r="VJB112" s="769"/>
      <c r="VJC112" s="769"/>
      <c r="VJD112" s="769"/>
      <c r="VJE112" s="769"/>
      <c r="VJF112" s="769"/>
      <c r="VJG112" s="769"/>
      <c r="VJH112" s="769"/>
      <c r="VJI112" s="769"/>
      <c r="VJJ112" s="769"/>
      <c r="VJK112" s="769"/>
      <c r="VJL112" s="769"/>
      <c r="VJM112" s="769"/>
      <c r="VJN112" s="769"/>
      <c r="VJO112" s="769"/>
      <c r="VJP112" s="769"/>
      <c r="VJQ112" s="769"/>
      <c r="VJR112" s="769"/>
      <c r="VJS112" s="769"/>
      <c r="VJT112" s="769"/>
      <c r="VJU112" s="769"/>
      <c r="VJV112" s="769"/>
      <c r="VJW112" s="769"/>
      <c r="VJX112" s="769"/>
      <c r="VJY112" s="769"/>
      <c r="VJZ112" s="769"/>
      <c r="VKA112" s="769"/>
      <c r="VKB112" s="769"/>
      <c r="VKC112" s="769"/>
      <c r="VKD112" s="769"/>
      <c r="VKE112" s="769"/>
      <c r="VKF112" s="769"/>
      <c r="VKG112" s="769"/>
      <c r="VKH112" s="769"/>
      <c r="VKI112" s="769"/>
      <c r="VKJ112" s="769"/>
      <c r="VKK112" s="769"/>
      <c r="VKL112" s="769"/>
      <c r="VKM112" s="769"/>
      <c r="VKN112" s="769"/>
      <c r="VKO112" s="769"/>
      <c r="VKP112" s="769"/>
      <c r="VKQ112" s="769"/>
      <c r="VKR112" s="769"/>
      <c r="VKS112" s="769"/>
      <c r="VKT112" s="769"/>
      <c r="VKU112" s="769"/>
      <c r="VKV112" s="769"/>
      <c r="VKW112" s="769"/>
      <c r="VKX112" s="769"/>
      <c r="VKY112" s="769"/>
      <c r="VKZ112" s="769"/>
      <c r="VLA112" s="769"/>
      <c r="VLB112" s="769"/>
      <c r="VLC112" s="769"/>
      <c r="VLD112" s="769"/>
      <c r="VLE112" s="769"/>
      <c r="VLF112" s="769"/>
      <c r="VLG112" s="769"/>
      <c r="VLH112" s="769"/>
      <c r="VLI112" s="769"/>
      <c r="VLJ112" s="769"/>
      <c r="VLK112" s="769"/>
      <c r="VLL112" s="769"/>
      <c r="VLM112" s="769"/>
      <c r="VLN112" s="769"/>
      <c r="VLO112" s="769"/>
      <c r="VLP112" s="769"/>
      <c r="VLQ112" s="769"/>
      <c r="VLR112" s="769"/>
      <c r="VLS112" s="769"/>
      <c r="VLT112" s="769"/>
      <c r="VLU112" s="769"/>
      <c r="VLV112" s="769"/>
      <c r="VLW112" s="769"/>
      <c r="VLX112" s="769"/>
      <c r="VLY112" s="769"/>
      <c r="VLZ112" s="769"/>
      <c r="VMA112" s="769"/>
      <c r="VMB112" s="769"/>
      <c r="VMC112" s="769"/>
      <c r="VMD112" s="769"/>
      <c r="VME112" s="769"/>
      <c r="VMF112" s="769"/>
      <c r="VMG112" s="769"/>
      <c r="VMH112" s="769"/>
      <c r="VMI112" s="769"/>
      <c r="VMJ112" s="769"/>
      <c r="VMK112" s="769"/>
      <c r="VML112" s="769"/>
      <c r="VMM112" s="769"/>
      <c r="VMN112" s="769"/>
      <c r="VMO112" s="769"/>
      <c r="VMP112" s="769"/>
      <c r="VMQ112" s="769"/>
      <c r="VMR112" s="769"/>
      <c r="VMS112" s="769"/>
      <c r="VMT112" s="769"/>
      <c r="VMU112" s="769"/>
      <c r="VMV112" s="769"/>
      <c r="VMW112" s="769"/>
      <c r="VMX112" s="769"/>
      <c r="VMY112" s="769"/>
      <c r="VMZ112" s="769"/>
      <c r="VNA112" s="769"/>
      <c r="VNB112" s="769"/>
      <c r="VNC112" s="769"/>
      <c r="VND112" s="769"/>
      <c r="VNE112" s="769"/>
      <c r="VNF112" s="769"/>
      <c r="VNG112" s="769"/>
      <c r="VNH112" s="769"/>
      <c r="VNI112" s="769"/>
      <c r="VNJ112" s="769"/>
      <c r="VNK112" s="769"/>
      <c r="VNL112" s="769"/>
      <c r="VNM112" s="769"/>
      <c r="VNN112" s="769"/>
      <c r="VNO112" s="769"/>
      <c r="VNP112" s="769"/>
      <c r="VNQ112" s="769"/>
      <c r="VNR112" s="769"/>
      <c r="VNS112" s="769"/>
      <c r="VNT112" s="769"/>
      <c r="VNU112" s="769"/>
      <c r="VNV112" s="769"/>
      <c r="VNW112" s="769"/>
      <c r="VNX112" s="769"/>
      <c r="VNY112" s="769"/>
      <c r="VNZ112" s="769"/>
      <c r="VOA112" s="769"/>
      <c r="VOB112" s="769"/>
      <c r="VOC112" s="769"/>
      <c r="VOD112" s="769"/>
      <c r="VOE112" s="769"/>
      <c r="VOF112" s="769"/>
      <c r="VOG112" s="769"/>
      <c r="VOH112" s="769"/>
      <c r="VOI112" s="769"/>
      <c r="VOJ112" s="769"/>
      <c r="VOK112" s="769"/>
      <c r="VOL112" s="769"/>
      <c r="VOM112" s="769"/>
      <c r="VON112" s="769"/>
      <c r="VOO112" s="769"/>
      <c r="VOP112" s="769"/>
      <c r="VOQ112" s="769"/>
      <c r="VOR112" s="769"/>
      <c r="VOS112" s="769"/>
      <c r="VOT112" s="769"/>
      <c r="VOU112" s="769"/>
      <c r="VOV112" s="769"/>
      <c r="VOW112" s="769"/>
      <c r="VOX112" s="769"/>
      <c r="VOY112" s="769"/>
      <c r="VOZ112" s="769"/>
      <c r="VPA112" s="769"/>
      <c r="VPB112" s="769"/>
      <c r="VPC112" s="769"/>
      <c r="VPD112" s="769"/>
      <c r="VPE112" s="769"/>
      <c r="VPF112" s="769"/>
      <c r="VPG112" s="769"/>
      <c r="VPH112" s="769"/>
      <c r="VPI112" s="769"/>
      <c r="VPJ112" s="769"/>
      <c r="VPK112" s="769"/>
      <c r="VPL112" s="769"/>
      <c r="VPM112" s="769"/>
      <c r="VPN112" s="769"/>
      <c r="VPO112" s="769"/>
      <c r="VPP112" s="769"/>
      <c r="VPQ112" s="769"/>
      <c r="VPR112" s="769"/>
      <c r="VPS112" s="769"/>
      <c r="VPT112" s="769"/>
      <c r="VPU112" s="769"/>
      <c r="VPV112" s="769"/>
      <c r="VPW112" s="769"/>
      <c r="VPX112" s="769"/>
      <c r="VPY112" s="769"/>
      <c r="VPZ112" s="769"/>
      <c r="VQA112" s="769"/>
      <c r="VQB112" s="769"/>
      <c r="VQC112" s="769"/>
      <c r="VQD112" s="769"/>
      <c r="VQE112" s="769"/>
      <c r="VQF112" s="769"/>
      <c r="VQG112" s="769"/>
      <c r="VQH112" s="769"/>
      <c r="VQI112" s="769"/>
      <c r="VQJ112" s="769"/>
      <c r="VQK112" s="769"/>
      <c r="VQL112" s="769"/>
      <c r="VQM112" s="769"/>
      <c r="VQN112" s="769"/>
      <c r="VQO112" s="769"/>
      <c r="VQP112" s="769"/>
      <c r="VQQ112" s="769"/>
      <c r="VQR112" s="769"/>
      <c r="VQS112" s="769"/>
      <c r="VQT112" s="769"/>
      <c r="VQU112" s="769"/>
      <c r="VQV112" s="769"/>
      <c r="VQW112" s="769"/>
      <c r="VQX112" s="769"/>
      <c r="VQY112" s="769"/>
      <c r="VQZ112" s="769"/>
      <c r="VRA112" s="769"/>
      <c r="VRB112" s="769"/>
      <c r="VRC112" s="769"/>
      <c r="VRD112" s="769"/>
      <c r="VRE112" s="769"/>
      <c r="VRF112" s="769"/>
      <c r="VRG112" s="769"/>
      <c r="VRH112" s="769"/>
      <c r="VRI112" s="769"/>
      <c r="VRJ112" s="769"/>
      <c r="VRK112" s="769"/>
      <c r="VRL112" s="769"/>
      <c r="VRM112" s="769"/>
      <c r="VRN112" s="769"/>
      <c r="VRO112" s="769"/>
      <c r="VRP112" s="769"/>
      <c r="VRQ112" s="769"/>
      <c r="VRR112" s="769"/>
      <c r="VRS112" s="769"/>
      <c r="VRT112" s="769"/>
      <c r="VRU112" s="769"/>
      <c r="VRV112" s="769"/>
      <c r="VRW112" s="769"/>
      <c r="VRX112" s="769"/>
      <c r="VRY112" s="769"/>
      <c r="VRZ112" s="769"/>
      <c r="VSA112" s="769"/>
      <c r="VSB112" s="769"/>
      <c r="VSC112" s="769"/>
      <c r="VSD112" s="769"/>
      <c r="VSE112" s="769"/>
      <c r="VSF112" s="769"/>
      <c r="VSG112" s="769"/>
      <c r="VSH112" s="769"/>
      <c r="VSI112" s="769"/>
      <c r="VSJ112" s="769"/>
      <c r="VSK112" s="769"/>
      <c r="VSL112" s="769"/>
      <c r="VSM112" s="769"/>
      <c r="VSN112" s="769"/>
      <c r="VSO112" s="769"/>
      <c r="VSP112" s="769"/>
      <c r="VSQ112" s="769"/>
      <c r="VSR112" s="769"/>
      <c r="VSS112" s="769"/>
      <c r="VST112" s="769"/>
      <c r="VSU112" s="769"/>
      <c r="VSV112" s="769"/>
      <c r="VSW112" s="769"/>
      <c r="VSX112" s="769"/>
      <c r="VSY112" s="769"/>
      <c r="VSZ112" s="769"/>
      <c r="VTA112" s="769"/>
      <c r="VTB112" s="769"/>
      <c r="VTC112" s="769"/>
      <c r="VTD112" s="769"/>
      <c r="VTE112" s="769"/>
      <c r="VTF112" s="769"/>
      <c r="VTG112" s="769"/>
      <c r="VTH112" s="769"/>
      <c r="VTI112" s="769"/>
      <c r="VTJ112" s="769"/>
      <c r="VTK112" s="769"/>
      <c r="VTL112" s="769"/>
      <c r="VTM112" s="769"/>
      <c r="VTN112" s="769"/>
      <c r="VTO112" s="769"/>
      <c r="VTP112" s="769"/>
      <c r="VTQ112" s="769"/>
      <c r="VTR112" s="769"/>
      <c r="VTS112" s="769"/>
      <c r="VTT112" s="769"/>
      <c r="VTU112" s="769"/>
      <c r="VTV112" s="769"/>
      <c r="VTW112" s="769"/>
      <c r="VTX112" s="769"/>
      <c r="VTY112" s="769"/>
      <c r="VTZ112" s="769"/>
      <c r="VUA112" s="769"/>
      <c r="VUB112" s="769"/>
      <c r="VUC112" s="769"/>
      <c r="VUD112" s="769"/>
      <c r="VUE112" s="769"/>
      <c r="VUF112" s="769"/>
      <c r="VUG112" s="769"/>
      <c r="VUH112" s="769"/>
      <c r="VUI112" s="769"/>
      <c r="VUJ112" s="769"/>
      <c r="VUK112" s="769"/>
      <c r="VUL112" s="769"/>
      <c r="VUM112" s="769"/>
      <c r="VUN112" s="769"/>
      <c r="VUO112" s="769"/>
      <c r="VUP112" s="769"/>
      <c r="VUQ112" s="769"/>
      <c r="VUR112" s="769"/>
      <c r="VUS112" s="769"/>
      <c r="VUT112" s="769"/>
      <c r="VUU112" s="769"/>
      <c r="VUV112" s="769"/>
      <c r="VUW112" s="769"/>
      <c r="VUX112" s="769"/>
      <c r="VUY112" s="769"/>
      <c r="VUZ112" s="769"/>
      <c r="VVA112" s="769"/>
      <c r="VVB112" s="769"/>
      <c r="VVC112" s="769"/>
      <c r="VVD112" s="769"/>
      <c r="VVE112" s="769"/>
      <c r="VVF112" s="769"/>
      <c r="VVG112" s="769"/>
      <c r="VVH112" s="769"/>
      <c r="VVI112" s="769"/>
      <c r="VVJ112" s="769"/>
      <c r="VVK112" s="769"/>
      <c r="VVL112" s="769"/>
      <c r="VVM112" s="769"/>
      <c r="VVN112" s="769"/>
      <c r="VVO112" s="769"/>
      <c r="VVP112" s="769"/>
      <c r="VVQ112" s="769"/>
      <c r="VVR112" s="769"/>
      <c r="VVS112" s="769"/>
      <c r="VVT112" s="769"/>
      <c r="VVU112" s="769"/>
      <c r="VVV112" s="769"/>
      <c r="VVW112" s="769"/>
      <c r="VVX112" s="769"/>
      <c r="VVY112" s="769"/>
      <c r="VVZ112" s="769"/>
      <c r="VWA112" s="769"/>
      <c r="VWB112" s="769"/>
      <c r="VWC112" s="769"/>
      <c r="VWD112" s="769"/>
      <c r="VWE112" s="769"/>
      <c r="VWF112" s="769"/>
      <c r="VWG112" s="769"/>
      <c r="VWH112" s="769"/>
      <c r="VWI112" s="769"/>
      <c r="VWJ112" s="769"/>
      <c r="VWK112" s="769"/>
      <c r="VWL112" s="769"/>
      <c r="VWM112" s="769"/>
      <c r="VWN112" s="769"/>
      <c r="VWO112" s="769"/>
      <c r="VWP112" s="769"/>
      <c r="VWQ112" s="769"/>
      <c r="VWR112" s="769"/>
      <c r="VWS112" s="769"/>
      <c r="VWT112" s="769"/>
      <c r="VWU112" s="769"/>
      <c r="VWV112" s="769"/>
      <c r="VWW112" s="769"/>
      <c r="VWX112" s="769"/>
      <c r="VWY112" s="769"/>
      <c r="VWZ112" s="769"/>
      <c r="VXA112" s="769"/>
      <c r="VXB112" s="769"/>
      <c r="VXC112" s="769"/>
      <c r="VXD112" s="769"/>
      <c r="VXE112" s="769"/>
      <c r="VXF112" s="769"/>
      <c r="VXG112" s="769"/>
      <c r="VXH112" s="769"/>
      <c r="VXI112" s="769"/>
      <c r="VXJ112" s="769"/>
      <c r="VXK112" s="769"/>
      <c r="VXL112" s="769"/>
      <c r="VXM112" s="769"/>
      <c r="VXN112" s="769"/>
      <c r="VXO112" s="769"/>
      <c r="VXP112" s="769"/>
      <c r="VXQ112" s="769"/>
      <c r="VXR112" s="769"/>
      <c r="VXS112" s="769"/>
      <c r="VXT112" s="769"/>
      <c r="VXU112" s="769"/>
      <c r="VXV112" s="769"/>
      <c r="VXW112" s="769"/>
      <c r="VXX112" s="769"/>
      <c r="VXY112" s="769"/>
      <c r="VXZ112" s="769"/>
      <c r="VYA112" s="769"/>
      <c r="VYB112" s="769"/>
      <c r="VYC112" s="769"/>
      <c r="VYD112" s="769"/>
      <c r="VYE112" s="769"/>
      <c r="VYF112" s="769"/>
      <c r="VYG112" s="769"/>
      <c r="VYH112" s="769"/>
      <c r="VYI112" s="769"/>
      <c r="VYJ112" s="769"/>
      <c r="VYK112" s="769"/>
      <c r="VYL112" s="769"/>
      <c r="VYM112" s="769"/>
      <c r="VYN112" s="769"/>
      <c r="VYO112" s="769"/>
      <c r="VYP112" s="769"/>
      <c r="VYQ112" s="769"/>
      <c r="VYR112" s="769"/>
      <c r="VYS112" s="769"/>
      <c r="VYT112" s="769"/>
      <c r="VYU112" s="769"/>
      <c r="VYV112" s="769"/>
      <c r="VYW112" s="769"/>
      <c r="VYX112" s="769"/>
      <c r="VYY112" s="769"/>
      <c r="VYZ112" s="769"/>
      <c r="VZA112" s="769"/>
      <c r="VZB112" s="769"/>
      <c r="VZC112" s="769"/>
      <c r="VZD112" s="769"/>
      <c r="VZE112" s="769"/>
      <c r="VZF112" s="769"/>
      <c r="VZG112" s="769"/>
      <c r="VZH112" s="769"/>
      <c r="VZI112" s="769"/>
      <c r="VZJ112" s="769"/>
      <c r="VZK112" s="769"/>
      <c r="VZL112" s="769"/>
      <c r="VZM112" s="769"/>
      <c r="VZN112" s="769"/>
      <c r="VZO112" s="769"/>
      <c r="VZP112" s="769"/>
      <c r="VZQ112" s="769"/>
      <c r="VZR112" s="769"/>
      <c r="VZS112" s="769"/>
      <c r="VZT112" s="769"/>
      <c r="VZU112" s="769"/>
      <c r="VZV112" s="769"/>
      <c r="VZW112" s="769"/>
      <c r="VZX112" s="769"/>
      <c r="VZY112" s="769"/>
      <c r="VZZ112" s="769"/>
      <c r="WAA112" s="769"/>
      <c r="WAB112" s="769"/>
      <c r="WAC112" s="769"/>
      <c r="WAD112" s="769"/>
      <c r="WAE112" s="769"/>
      <c r="WAF112" s="769"/>
      <c r="WAG112" s="769"/>
      <c r="WAH112" s="769"/>
      <c r="WAI112" s="769"/>
      <c r="WAJ112" s="769"/>
      <c r="WAK112" s="769"/>
      <c r="WAL112" s="769"/>
      <c r="WAM112" s="769"/>
      <c r="WAN112" s="769"/>
      <c r="WAO112" s="769"/>
      <c r="WAP112" s="769"/>
      <c r="WAQ112" s="769"/>
      <c r="WAR112" s="769"/>
      <c r="WAS112" s="769"/>
      <c r="WAT112" s="769"/>
      <c r="WAU112" s="769"/>
      <c r="WAV112" s="769"/>
      <c r="WAW112" s="769"/>
      <c r="WAX112" s="769"/>
      <c r="WAY112" s="769"/>
      <c r="WAZ112" s="769"/>
      <c r="WBA112" s="769"/>
      <c r="WBB112" s="769"/>
      <c r="WBC112" s="769"/>
      <c r="WBD112" s="769"/>
      <c r="WBE112" s="769"/>
      <c r="WBF112" s="769"/>
      <c r="WBG112" s="769"/>
      <c r="WBH112" s="769"/>
      <c r="WBI112" s="769"/>
      <c r="WBJ112" s="769"/>
      <c r="WBK112" s="769"/>
      <c r="WBL112" s="769"/>
      <c r="WBM112" s="769"/>
      <c r="WBN112" s="769"/>
      <c r="WBO112" s="769"/>
      <c r="WBP112" s="769"/>
      <c r="WBQ112" s="769"/>
      <c r="WBR112" s="769"/>
      <c r="WBS112" s="769"/>
      <c r="WBT112" s="769"/>
      <c r="WBU112" s="769"/>
      <c r="WBV112" s="769"/>
      <c r="WBW112" s="769"/>
      <c r="WBX112" s="769"/>
      <c r="WBY112" s="769"/>
      <c r="WBZ112" s="769"/>
      <c r="WCA112" s="769"/>
      <c r="WCB112" s="769"/>
      <c r="WCC112" s="769"/>
      <c r="WCD112" s="769"/>
      <c r="WCE112" s="769"/>
      <c r="WCF112" s="769"/>
      <c r="WCG112" s="769"/>
      <c r="WCH112" s="769"/>
      <c r="WCI112" s="769"/>
      <c r="WCJ112" s="769"/>
      <c r="WCK112" s="769"/>
      <c r="WCL112" s="769"/>
      <c r="WCM112" s="769"/>
      <c r="WCN112" s="769"/>
      <c r="WCO112" s="769"/>
      <c r="WCP112" s="769"/>
      <c r="WCQ112" s="769"/>
      <c r="WCR112" s="769"/>
      <c r="WCS112" s="769"/>
      <c r="WCT112" s="769"/>
      <c r="WCU112" s="769"/>
      <c r="WCV112" s="769"/>
      <c r="WCW112" s="769"/>
      <c r="WCX112" s="769"/>
      <c r="WCY112" s="769"/>
      <c r="WCZ112" s="769"/>
      <c r="WDA112" s="769"/>
      <c r="WDB112" s="769"/>
      <c r="WDC112" s="769"/>
      <c r="WDD112" s="769"/>
      <c r="WDE112" s="769"/>
      <c r="WDF112" s="769"/>
      <c r="WDG112" s="769"/>
      <c r="WDH112" s="769"/>
      <c r="WDI112" s="769"/>
      <c r="WDJ112" s="769"/>
      <c r="WDK112" s="769"/>
      <c r="WDL112" s="769"/>
      <c r="WDM112" s="769"/>
      <c r="WDN112" s="769"/>
      <c r="WDO112" s="769"/>
      <c r="WDP112" s="769"/>
      <c r="WDQ112" s="769"/>
      <c r="WDR112" s="769"/>
      <c r="WDS112" s="769"/>
      <c r="WDT112" s="769"/>
      <c r="WDU112" s="769"/>
      <c r="WDV112" s="769"/>
      <c r="WDW112" s="769"/>
      <c r="WDX112" s="769"/>
      <c r="WDY112" s="769"/>
      <c r="WDZ112" s="769"/>
      <c r="WEA112" s="769"/>
      <c r="WEB112" s="769"/>
      <c r="WEC112" s="769"/>
      <c r="WED112" s="769"/>
      <c r="WEE112" s="769"/>
      <c r="WEF112" s="769"/>
      <c r="WEG112" s="769"/>
      <c r="WEH112" s="769"/>
      <c r="WEI112" s="769"/>
      <c r="WEJ112" s="769"/>
      <c r="WEK112" s="769"/>
      <c r="WEL112" s="769"/>
      <c r="WEM112" s="769"/>
      <c r="WEN112" s="769"/>
      <c r="WEO112" s="769"/>
      <c r="WEP112" s="769"/>
      <c r="WEQ112" s="769"/>
      <c r="WER112" s="769"/>
      <c r="WES112" s="769"/>
      <c r="WET112" s="769"/>
      <c r="WEU112" s="769"/>
      <c r="WEV112" s="769"/>
      <c r="WEW112" s="769"/>
      <c r="WEX112" s="769"/>
      <c r="WEY112" s="769"/>
      <c r="WEZ112" s="769"/>
      <c r="WFA112" s="769"/>
      <c r="WFB112" s="769"/>
      <c r="WFC112" s="769"/>
      <c r="WFD112" s="769"/>
      <c r="WFE112" s="769"/>
      <c r="WFF112" s="769"/>
      <c r="WFG112" s="769"/>
      <c r="WFH112" s="769"/>
      <c r="WFI112" s="769"/>
      <c r="WFJ112" s="769"/>
      <c r="WFK112" s="769"/>
      <c r="WFL112" s="769"/>
      <c r="WFM112" s="769"/>
      <c r="WFN112" s="769"/>
      <c r="WFO112" s="769"/>
      <c r="WFP112" s="769"/>
      <c r="WFQ112" s="769"/>
      <c r="WFR112" s="769"/>
      <c r="WFS112" s="769"/>
      <c r="WFT112" s="769"/>
      <c r="WFU112" s="769"/>
      <c r="WFV112" s="769"/>
      <c r="WFW112" s="769"/>
      <c r="WFX112" s="769"/>
      <c r="WFY112" s="769"/>
      <c r="WFZ112" s="769"/>
      <c r="WGA112" s="769"/>
      <c r="WGB112" s="769"/>
      <c r="WGC112" s="769"/>
      <c r="WGD112" s="769"/>
      <c r="WGE112" s="769"/>
      <c r="WGF112" s="769"/>
      <c r="WGG112" s="769"/>
      <c r="WGH112" s="769"/>
      <c r="WGI112" s="769"/>
      <c r="WGJ112" s="769"/>
      <c r="WGK112" s="769"/>
      <c r="WGL112" s="769"/>
      <c r="WGM112" s="769"/>
      <c r="WGN112" s="769"/>
      <c r="WGO112" s="769"/>
      <c r="WGP112" s="769"/>
      <c r="WGQ112" s="769"/>
      <c r="WGR112" s="769"/>
      <c r="WGS112" s="769"/>
      <c r="WGT112" s="769"/>
      <c r="WGU112" s="769"/>
      <c r="WGV112" s="769"/>
      <c r="WGW112" s="769"/>
      <c r="WGX112" s="769"/>
      <c r="WGY112" s="769"/>
      <c r="WGZ112" s="769"/>
      <c r="WHA112" s="769"/>
      <c r="WHB112" s="769"/>
      <c r="WHC112" s="769"/>
      <c r="WHD112" s="769"/>
      <c r="WHE112" s="769"/>
      <c r="WHF112" s="769"/>
      <c r="WHG112" s="769"/>
      <c r="WHH112" s="769"/>
      <c r="WHI112" s="769"/>
      <c r="WHJ112" s="769"/>
      <c r="WHK112" s="769"/>
      <c r="WHL112" s="769"/>
      <c r="WHM112" s="769"/>
      <c r="WHN112" s="769"/>
      <c r="WHO112" s="769"/>
      <c r="WHP112" s="769"/>
      <c r="WHQ112" s="769"/>
      <c r="WHR112" s="769"/>
      <c r="WHS112" s="769"/>
      <c r="WHT112" s="769"/>
      <c r="WHU112" s="769"/>
      <c r="WHV112" s="769"/>
      <c r="WHW112" s="769"/>
      <c r="WHX112" s="769"/>
      <c r="WHY112" s="769"/>
      <c r="WHZ112" s="769"/>
      <c r="WIA112" s="769"/>
      <c r="WIB112" s="769"/>
      <c r="WIC112" s="769"/>
      <c r="WID112" s="769"/>
      <c r="WIE112" s="769"/>
      <c r="WIF112" s="769"/>
      <c r="WIG112" s="769"/>
      <c r="WIH112" s="769"/>
      <c r="WII112" s="769"/>
      <c r="WIJ112" s="769"/>
      <c r="WIK112" s="769"/>
      <c r="WIL112" s="769"/>
      <c r="WIM112" s="769"/>
      <c r="WIN112" s="769"/>
      <c r="WIO112" s="769"/>
      <c r="WIP112" s="769"/>
      <c r="WIQ112" s="769"/>
      <c r="WIR112" s="769"/>
      <c r="WIS112" s="769"/>
      <c r="WIT112" s="769"/>
      <c r="WIU112" s="769"/>
      <c r="WIV112" s="769"/>
      <c r="WIW112" s="769"/>
      <c r="WIX112" s="769"/>
      <c r="WIY112" s="769"/>
      <c r="WIZ112" s="769"/>
      <c r="WJA112" s="769"/>
      <c r="WJB112" s="769"/>
      <c r="WJC112" s="769"/>
      <c r="WJD112" s="769"/>
      <c r="WJE112" s="769"/>
      <c r="WJF112" s="769"/>
      <c r="WJG112" s="769"/>
      <c r="WJH112" s="769"/>
      <c r="WJI112" s="769"/>
      <c r="WJJ112" s="769"/>
      <c r="WJK112" s="769"/>
      <c r="WJL112" s="769"/>
      <c r="WJM112" s="769"/>
      <c r="WJN112" s="769"/>
      <c r="WJO112" s="769"/>
      <c r="WJP112" s="769"/>
      <c r="WJQ112" s="769"/>
      <c r="WJR112" s="769"/>
      <c r="WJS112" s="769"/>
      <c r="WJT112" s="769"/>
      <c r="WJU112" s="769"/>
      <c r="WJV112" s="769"/>
      <c r="WJW112" s="769"/>
      <c r="WJX112" s="769"/>
      <c r="WJY112" s="769"/>
      <c r="WJZ112" s="769"/>
      <c r="WKA112" s="769"/>
      <c r="WKB112" s="769"/>
      <c r="WKC112" s="769"/>
      <c r="WKD112" s="769"/>
      <c r="WKE112" s="769"/>
      <c r="WKF112" s="769"/>
      <c r="WKG112" s="769"/>
      <c r="WKH112" s="769"/>
      <c r="WKI112" s="769"/>
      <c r="WKJ112" s="769"/>
      <c r="WKK112" s="769"/>
      <c r="WKL112" s="769"/>
      <c r="WKM112" s="769"/>
      <c r="WKN112" s="769"/>
      <c r="WKO112" s="769"/>
      <c r="WKP112" s="769"/>
      <c r="WKQ112" s="769"/>
      <c r="WKR112" s="769"/>
      <c r="WKS112" s="769"/>
      <c r="WKT112" s="769"/>
      <c r="WKU112" s="769"/>
      <c r="WKV112" s="769"/>
      <c r="WKW112" s="769"/>
      <c r="WKX112" s="769"/>
      <c r="WKY112" s="769"/>
      <c r="WKZ112" s="769"/>
      <c r="WLA112" s="769"/>
      <c r="WLB112" s="769"/>
      <c r="WLC112" s="769"/>
      <c r="WLD112" s="769"/>
      <c r="WLE112" s="769"/>
      <c r="WLF112" s="769"/>
      <c r="WLG112" s="769"/>
      <c r="WLH112" s="769"/>
      <c r="WLI112" s="769"/>
      <c r="WLJ112" s="769"/>
      <c r="WLK112" s="769"/>
      <c r="WLL112" s="769"/>
      <c r="WLM112" s="769"/>
      <c r="WLN112" s="769"/>
      <c r="WLO112" s="769"/>
      <c r="WLP112" s="769"/>
      <c r="WLQ112" s="769"/>
      <c r="WLR112" s="769"/>
      <c r="WLS112" s="769"/>
      <c r="WLT112" s="769"/>
      <c r="WLU112" s="769"/>
      <c r="WLV112" s="769"/>
      <c r="WLW112" s="769"/>
      <c r="WLX112" s="769"/>
      <c r="WLY112" s="769"/>
      <c r="WLZ112" s="769"/>
      <c r="WMA112" s="769"/>
      <c r="WMB112" s="769"/>
      <c r="WMC112" s="769"/>
      <c r="WMD112" s="769"/>
      <c r="WME112" s="769"/>
      <c r="WMF112" s="769"/>
      <c r="WMG112" s="769"/>
      <c r="WMH112" s="769"/>
      <c r="WMI112" s="769"/>
      <c r="WMJ112" s="769"/>
      <c r="WMK112" s="769"/>
      <c r="WML112" s="769"/>
      <c r="WMM112" s="769"/>
      <c r="WMN112" s="769"/>
      <c r="WMO112" s="769"/>
      <c r="WMP112" s="769"/>
      <c r="WMQ112" s="769"/>
      <c r="WMR112" s="769"/>
      <c r="WMS112" s="769"/>
      <c r="WMT112" s="769"/>
      <c r="WMU112" s="769"/>
      <c r="WMV112" s="769"/>
      <c r="WMW112" s="769"/>
      <c r="WMX112" s="769"/>
      <c r="WMY112" s="769"/>
      <c r="WMZ112" s="769"/>
      <c r="WNA112" s="769"/>
      <c r="WNB112" s="769"/>
      <c r="WNC112" s="769"/>
      <c r="WND112" s="769"/>
      <c r="WNE112" s="769"/>
      <c r="WNF112" s="769"/>
      <c r="WNG112" s="769"/>
      <c r="WNH112" s="769"/>
      <c r="WNI112" s="769"/>
      <c r="WNJ112" s="769"/>
      <c r="WNK112" s="769"/>
      <c r="WNL112" s="769"/>
      <c r="WNM112" s="769"/>
      <c r="WNN112" s="769"/>
      <c r="WNO112" s="769"/>
      <c r="WNP112" s="769"/>
      <c r="WNQ112" s="769"/>
      <c r="WNR112" s="769"/>
      <c r="WNS112" s="769"/>
      <c r="WNT112" s="769"/>
      <c r="WNU112" s="769"/>
      <c r="WNV112" s="769"/>
      <c r="WNW112" s="769"/>
      <c r="WNX112" s="769"/>
      <c r="WNY112" s="769"/>
      <c r="WNZ112" s="769"/>
      <c r="WOA112" s="769"/>
      <c r="WOB112" s="769"/>
      <c r="WOC112" s="769"/>
      <c r="WOD112" s="769"/>
      <c r="WOE112" s="769"/>
      <c r="WOF112" s="769"/>
      <c r="WOG112" s="769"/>
      <c r="WOH112" s="769"/>
      <c r="WOI112" s="769"/>
      <c r="WOJ112" s="769"/>
      <c r="WOK112" s="769"/>
      <c r="WOL112" s="769"/>
      <c r="WOM112" s="769"/>
      <c r="WON112" s="769"/>
      <c r="WOO112" s="769"/>
      <c r="WOP112" s="769"/>
      <c r="WOQ112" s="769"/>
      <c r="WOR112" s="769"/>
      <c r="WOS112" s="769"/>
      <c r="WOT112" s="769"/>
      <c r="WOU112" s="769"/>
      <c r="WOV112" s="769"/>
      <c r="WOW112" s="769"/>
      <c r="WOX112" s="769"/>
      <c r="WOY112" s="769"/>
      <c r="WOZ112" s="769"/>
      <c r="WPA112" s="769"/>
      <c r="WPB112" s="769"/>
      <c r="WPC112" s="769"/>
      <c r="WPD112" s="769"/>
      <c r="WPE112" s="769"/>
      <c r="WPF112" s="769"/>
      <c r="WPG112" s="769"/>
      <c r="WPH112" s="769"/>
      <c r="WPI112" s="769"/>
      <c r="WPJ112" s="769"/>
      <c r="WPK112" s="769"/>
      <c r="WPL112" s="769"/>
      <c r="WPM112" s="769"/>
      <c r="WPN112" s="769"/>
      <c r="WPO112" s="769"/>
      <c r="WPP112" s="769"/>
      <c r="WPQ112" s="769"/>
      <c r="WPR112" s="769"/>
      <c r="WPS112" s="769"/>
      <c r="WPT112" s="769"/>
      <c r="WPU112" s="769"/>
      <c r="WPV112" s="769"/>
      <c r="WPW112" s="769"/>
      <c r="WPX112" s="769"/>
      <c r="WPY112" s="769"/>
      <c r="WPZ112" s="769"/>
      <c r="WQA112" s="769"/>
      <c r="WQB112" s="769"/>
      <c r="WQC112" s="769"/>
      <c r="WQD112" s="769"/>
      <c r="WQE112" s="769"/>
      <c r="WQF112" s="769"/>
      <c r="WQG112" s="769"/>
      <c r="WQH112" s="769"/>
      <c r="WQI112" s="769"/>
      <c r="WQJ112" s="769"/>
      <c r="WQK112" s="769"/>
      <c r="WQL112" s="769"/>
      <c r="WQM112" s="769"/>
      <c r="WQN112" s="769"/>
      <c r="WQO112" s="769"/>
      <c r="WQP112" s="769"/>
      <c r="WQQ112" s="769"/>
      <c r="WQR112" s="769"/>
      <c r="WQS112" s="769"/>
      <c r="WQT112" s="769"/>
      <c r="WQU112" s="769"/>
      <c r="WQV112" s="769"/>
      <c r="WQW112" s="769"/>
      <c r="WQX112" s="769"/>
      <c r="WQY112" s="769"/>
      <c r="WQZ112" s="769"/>
      <c r="WRA112" s="769"/>
      <c r="WRB112" s="769"/>
      <c r="WRC112" s="769"/>
      <c r="WRD112" s="769"/>
      <c r="WRE112" s="769"/>
      <c r="WRF112" s="769"/>
      <c r="WRG112" s="769"/>
      <c r="WRH112" s="769"/>
      <c r="WRI112" s="769"/>
      <c r="WRJ112" s="769"/>
      <c r="WRK112" s="769"/>
      <c r="WRL112" s="769"/>
      <c r="WRM112" s="769"/>
      <c r="WRN112" s="769"/>
      <c r="WRO112" s="769"/>
      <c r="WRP112" s="769"/>
      <c r="WRQ112" s="769"/>
      <c r="WRR112" s="769"/>
      <c r="WRS112" s="769"/>
      <c r="WRT112" s="769"/>
      <c r="WRU112" s="769"/>
      <c r="WRV112" s="769"/>
      <c r="WRW112" s="769"/>
      <c r="WRX112" s="769"/>
      <c r="WRY112" s="769"/>
      <c r="WRZ112" s="769"/>
      <c r="WSA112" s="769"/>
      <c r="WSB112" s="769"/>
      <c r="WSC112" s="769"/>
      <c r="WSD112" s="769"/>
      <c r="WSE112" s="769"/>
      <c r="WSF112" s="769"/>
      <c r="WSG112" s="769"/>
      <c r="WSH112" s="769"/>
      <c r="WSI112" s="769"/>
      <c r="WSJ112" s="769"/>
      <c r="WSK112" s="769"/>
      <c r="WSL112" s="769"/>
      <c r="WSM112" s="769"/>
      <c r="WSN112" s="769"/>
      <c r="WSO112" s="769"/>
      <c r="WSP112" s="769"/>
      <c r="WSQ112" s="769"/>
      <c r="WSR112" s="769"/>
      <c r="WSS112" s="769"/>
      <c r="WST112" s="769"/>
      <c r="WSU112" s="769"/>
      <c r="WSV112" s="769"/>
      <c r="WSW112" s="769"/>
      <c r="WSX112" s="769"/>
      <c r="WSY112" s="769"/>
      <c r="WSZ112" s="769"/>
      <c r="WTA112" s="769"/>
      <c r="WTB112" s="769"/>
      <c r="WTC112" s="769"/>
      <c r="WTD112" s="769"/>
      <c r="WTE112" s="769"/>
      <c r="WTF112" s="769"/>
      <c r="WTG112" s="769"/>
      <c r="WTH112" s="769"/>
      <c r="WTI112" s="769"/>
      <c r="WTJ112" s="769"/>
      <c r="WTK112" s="769"/>
      <c r="WTL112" s="769"/>
      <c r="WTM112" s="769"/>
      <c r="WTN112" s="769"/>
      <c r="WTO112" s="769"/>
      <c r="WTP112" s="769"/>
      <c r="WTQ112" s="769"/>
      <c r="WTR112" s="769"/>
      <c r="WTS112" s="769"/>
      <c r="WTT112" s="769"/>
      <c r="WTU112" s="769"/>
      <c r="WTV112" s="769"/>
      <c r="WTW112" s="769"/>
      <c r="WTX112" s="769"/>
      <c r="WTY112" s="769"/>
      <c r="WTZ112" s="769"/>
      <c r="WUA112" s="769"/>
      <c r="WUB112" s="769"/>
      <c r="WUC112" s="769"/>
      <c r="WUD112" s="769"/>
      <c r="WUE112" s="769"/>
      <c r="WUF112" s="769"/>
      <c r="WUG112" s="769"/>
      <c r="WUH112" s="769"/>
      <c r="WUI112" s="769"/>
      <c r="WUJ112" s="769"/>
      <c r="WUK112" s="769"/>
      <c r="WUL112" s="769"/>
      <c r="WUM112" s="769"/>
      <c r="WUN112" s="769"/>
      <c r="WUO112" s="769"/>
      <c r="WUP112" s="769"/>
      <c r="WUQ112" s="769"/>
      <c r="WUR112" s="769"/>
      <c r="WUS112" s="769"/>
      <c r="WUT112" s="769"/>
      <c r="WUU112" s="769"/>
      <c r="WUV112" s="769"/>
      <c r="WUW112" s="769"/>
      <c r="WUX112" s="769"/>
      <c r="WUY112" s="769"/>
      <c r="WUZ112" s="769"/>
      <c r="WVA112" s="769"/>
      <c r="WVB112" s="769"/>
      <c r="WVC112" s="769"/>
      <c r="WVD112" s="769"/>
      <c r="WVE112" s="769"/>
      <c r="WVF112" s="769"/>
      <c r="WVG112" s="769"/>
      <c r="WVH112" s="769"/>
      <c r="WVI112" s="769"/>
      <c r="WVJ112" s="769"/>
      <c r="WVK112" s="769"/>
      <c r="WVL112" s="769"/>
      <c r="WVM112" s="769"/>
      <c r="WVN112" s="769"/>
      <c r="WVO112" s="769"/>
      <c r="WVP112" s="769"/>
      <c r="WVQ112" s="769"/>
      <c r="WVR112" s="769"/>
      <c r="WVS112" s="769"/>
      <c r="WVT112" s="769"/>
      <c r="WVU112" s="769"/>
      <c r="WVV112" s="769"/>
      <c r="WVW112" s="769"/>
      <c r="WVX112" s="769"/>
      <c r="WVY112" s="769"/>
      <c r="WVZ112" s="769"/>
      <c r="WWA112" s="769"/>
      <c r="WWB112" s="769"/>
      <c r="WWC112" s="769"/>
      <c r="WWD112" s="769"/>
      <c r="WWE112" s="769"/>
      <c r="WWF112" s="769"/>
      <c r="WWG112" s="769"/>
      <c r="WWH112" s="769"/>
      <c r="WWI112" s="769"/>
      <c r="WWJ112" s="769"/>
      <c r="WWK112" s="769"/>
      <c r="WWL112" s="769"/>
      <c r="WWM112" s="769"/>
      <c r="WWN112" s="769"/>
      <c r="WWO112" s="769"/>
      <c r="WWP112" s="769"/>
      <c r="WWQ112" s="769"/>
      <c r="WWR112" s="769"/>
      <c r="WWS112" s="769"/>
      <c r="WWT112" s="769"/>
      <c r="WWU112" s="769"/>
      <c r="WWV112" s="769"/>
      <c r="WWW112" s="769"/>
      <c r="WWX112" s="769"/>
      <c r="WWY112" s="769"/>
      <c r="WWZ112" s="769"/>
      <c r="WXA112" s="769"/>
      <c r="WXB112" s="769"/>
      <c r="WXC112" s="769"/>
      <c r="WXD112" s="769"/>
      <c r="WXE112" s="769"/>
      <c r="WXF112" s="769"/>
      <c r="WXG112" s="769"/>
      <c r="WXH112" s="769"/>
      <c r="WXI112" s="769"/>
      <c r="WXJ112" s="769"/>
      <c r="WXK112" s="769"/>
      <c r="WXL112" s="769"/>
      <c r="WXM112" s="769"/>
      <c r="WXN112" s="769"/>
      <c r="WXO112" s="769"/>
      <c r="WXP112" s="769"/>
      <c r="WXQ112" s="769"/>
      <c r="WXR112" s="769"/>
      <c r="WXS112" s="769"/>
      <c r="WXT112" s="769"/>
      <c r="WXU112" s="769"/>
      <c r="WXV112" s="769"/>
      <c r="WXW112" s="769"/>
      <c r="WXX112" s="769"/>
      <c r="WXY112" s="769"/>
      <c r="WXZ112" s="769"/>
      <c r="WYA112" s="769"/>
      <c r="WYB112" s="769"/>
      <c r="WYC112" s="769"/>
      <c r="WYD112" s="769"/>
      <c r="WYE112" s="769"/>
      <c r="WYF112" s="769"/>
      <c r="WYG112" s="769"/>
      <c r="WYH112" s="769"/>
      <c r="WYI112" s="769"/>
      <c r="WYJ112" s="769"/>
      <c r="WYK112" s="769"/>
      <c r="WYL112" s="769"/>
      <c r="WYM112" s="769"/>
      <c r="WYN112" s="769"/>
      <c r="WYO112" s="769"/>
      <c r="WYP112" s="769"/>
      <c r="WYQ112" s="769"/>
      <c r="WYR112" s="769"/>
      <c r="WYS112" s="769"/>
      <c r="WYT112" s="769"/>
      <c r="WYU112" s="769"/>
      <c r="WYV112" s="769"/>
      <c r="WYW112" s="769"/>
      <c r="WYX112" s="769"/>
      <c r="WYY112" s="769"/>
      <c r="WYZ112" s="769"/>
      <c r="WZA112" s="769"/>
      <c r="WZB112" s="769"/>
      <c r="WZC112" s="769"/>
      <c r="WZD112" s="769"/>
      <c r="WZE112" s="769"/>
      <c r="WZF112" s="769"/>
      <c r="WZG112" s="769"/>
      <c r="WZH112" s="769"/>
      <c r="WZI112" s="769"/>
      <c r="WZJ112" s="769"/>
      <c r="WZK112" s="769"/>
      <c r="WZL112" s="769"/>
      <c r="WZM112" s="769"/>
      <c r="WZN112" s="769"/>
      <c r="WZO112" s="769"/>
      <c r="WZP112" s="769"/>
      <c r="WZQ112" s="769"/>
      <c r="WZR112" s="769"/>
      <c r="WZS112" s="769"/>
      <c r="WZT112" s="769"/>
      <c r="WZU112" s="769"/>
      <c r="WZV112" s="769"/>
      <c r="WZW112" s="769"/>
      <c r="WZX112" s="769"/>
      <c r="WZY112" s="769"/>
      <c r="WZZ112" s="769"/>
      <c r="XAA112" s="769"/>
      <c r="XAB112" s="769"/>
      <c r="XAC112" s="769"/>
      <c r="XAD112" s="769"/>
      <c r="XAE112" s="769"/>
      <c r="XAF112" s="769"/>
      <c r="XAG112" s="769"/>
      <c r="XAH112" s="769"/>
      <c r="XAI112" s="769"/>
      <c r="XAJ112" s="769"/>
      <c r="XAK112" s="769"/>
      <c r="XAL112" s="769"/>
      <c r="XAM112" s="769"/>
      <c r="XAN112" s="769"/>
      <c r="XAO112" s="769"/>
      <c r="XAP112" s="769"/>
      <c r="XAQ112" s="769"/>
      <c r="XAR112" s="769"/>
      <c r="XAS112" s="769"/>
      <c r="XAT112" s="769"/>
      <c r="XAU112" s="769"/>
      <c r="XAV112" s="769"/>
      <c r="XAW112" s="769"/>
      <c r="XAX112" s="769"/>
      <c r="XAY112" s="769"/>
      <c r="XAZ112" s="769"/>
      <c r="XBA112" s="769"/>
      <c r="XBB112" s="769"/>
      <c r="XBC112" s="769"/>
      <c r="XBD112" s="769"/>
      <c r="XBE112" s="769"/>
      <c r="XBF112" s="769"/>
      <c r="XBG112" s="769"/>
      <c r="XBH112" s="769"/>
      <c r="XBI112" s="769"/>
      <c r="XBJ112" s="769"/>
      <c r="XBK112" s="769"/>
      <c r="XBL112" s="769"/>
      <c r="XBM112" s="769"/>
      <c r="XBN112" s="769"/>
      <c r="XBO112" s="769"/>
      <c r="XBP112" s="769"/>
      <c r="XBQ112" s="769"/>
      <c r="XBR112" s="769"/>
      <c r="XBS112" s="769"/>
      <c r="XBT112" s="769"/>
      <c r="XBU112" s="769"/>
      <c r="XBV112" s="769"/>
      <c r="XBW112" s="769"/>
      <c r="XBX112" s="769"/>
      <c r="XBY112" s="769"/>
      <c r="XBZ112" s="769"/>
      <c r="XCA112" s="769"/>
      <c r="XCB112" s="769"/>
      <c r="XCC112" s="769"/>
      <c r="XCD112" s="769"/>
      <c r="XCE112" s="769"/>
      <c r="XCF112" s="769"/>
      <c r="XCG112" s="769"/>
      <c r="XCH112" s="769"/>
      <c r="XCI112" s="769"/>
      <c r="XCJ112" s="769"/>
      <c r="XCK112" s="769"/>
      <c r="XCL112" s="769"/>
      <c r="XCM112" s="769"/>
      <c r="XCN112" s="769"/>
      <c r="XCO112" s="769"/>
      <c r="XCP112" s="769"/>
      <c r="XCQ112" s="769"/>
      <c r="XCR112" s="769"/>
      <c r="XCS112" s="769"/>
      <c r="XCT112" s="769"/>
      <c r="XCU112" s="769"/>
      <c r="XCV112" s="769"/>
      <c r="XCW112" s="769"/>
      <c r="XCX112" s="769"/>
      <c r="XCY112" s="769"/>
      <c r="XCZ112" s="769"/>
      <c r="XDA112" s="769"/>
      <c r="XDB112" s="769"/>
      <c r="XDC112" s="769"/>
      <c r="XDD112" s="769"/>
      <c r="XDE112" s="769"/>
      <c r="XDF112" s="769"/>
      <c r="XDG112" s="769"/>
      <c r="XDH112" s="769"/>
      <c r="XDI112" s="769"/>
      <c r="XDJ112" s="769"/>
      <c r="XDK112" s="769"/>
      <c r="XDL112" s="769"/>
      <c r="XDM112" s="769"/>
      <c r="XDN112" s="769"/>
      <c r="XDO112" s="769"/>
      <c r="XDP112" s="769"/>
      <c r="XDQ112" s="769"/>
      <c r="XDR112" s="769"/>
      <c r="XDS112" s="769"/>
      <c r="XDT112" s="769"/>
      <c r="XDU112" s="769"/>
      <c r="XDV112" s="769"/>
      <c r="XDW112" s="769"/>
      <c r="XDX112" s="769"/>
      <c r="XDY112" s="769"/>
      <c r="XDZ112" s="769"/>
      <c r="XEA112" s="769"/>
      <c r="XEB112" s="769"/>
      <c r="XEC112" s="769"/>
      <c r="XED112" s="769"/>
      <c r="XEE112" s="769"/>
      <c r="XEF112" s="769"/>
      <c r="XEG112" s="769"/>
      <c r="XEH112" s="769"/>
      <c r="XEI112" s="769"/>
      <c r="XEJ112" s="769"/>
      <c r="XEK112" s="769"/>
      <c r="XEL112" s="769"/>
      <c r="XEM112" s="769"/>
      <c r="XEN112" s="769"/>
      <c r="XEO112" s="769"/>
      <c r="XEP112" s="769"/>
      <c r="XEQ112" s="769"/>
      <c r="XER112" s="769"/>
      <c r="XES112" s="769"/>
      <c r="XET112" s="769"/>
      <c r="XEU112" s="769"/>
      <c r="XEV112" s="769"/>
      <c r="XEW112" s="769"/>
      <c r="XEX112" s="769"/>
      <c r="XEY112" s="769"/>
      <c r="XEZ112" s="769"/>
      <c r="XFA112" s="769"/>
      <c r="XFB112" s="769"/>
    </row>
    <row r="113" spans="2:17" s="769" customFormat="1" ht="15.75" hidden="1" thickBot="1" x14ac:dyDescent="0.3">
      <c r="B113" s="50"/>
      <c r="C113" s="50"/>
      <c r="D113" s="50"/>
      <c r="E113" s="50"/>
      <c r="F113" s="50"/>
      <c r="G113" s="50"/>
      <c r="H113" s="50"/>
      <c r="I113" s="50"/>
      <c r="J113" s="50"/>
      <c r="K113" s="50"/>
      <c r="L113" s="50"/>
      <c r="M113" s="50"/>
      <c r="N113" s="50"/>
      <c r="O113" s="50"/>
      <c r="P113" s="50"/>
      <c r="Q113" s="50"/>
    </row>
    <row r="114" spans="2:17" s="769" customFormat="1" ht="36" hidden="1" customHeight="1" thickBot="1" x14ac:dyDescent="0.3">
      <c r="B114" s="2179" t="s">
        <v>5455</v>
      </c>
      <c r="C114" s="2180"/>
      <c r="D114" s="2181" t="s">
        <v>5506</v>
      </c>
      <c r="E114" s="2181"/>
      <c r="F114" s="2181"/>
      <c r="G114" s="2181"/>
      <c r="H114" s="2181"/>
      <c r="I114" s="2181"/>
      <c r="J114" s="2181"/>
      <c r="K114" s="2181"/>
      <c r="L114" s="2182" t="s">
        <v>5507</v>
      </c>
      <c r="M114" s="2182"/>
      <c r="N114" s="2182" t="s">
        <v>5454</v>
      </c>
      <c r="O114" s="2182"/>
      <c r="P114" s="2182" t="s">
        <v>5508</v>
      </c>
      <c r="Q114" s="2183"/>
    </row>
    <row r="115" spans="2:17" s="769" customFormat="1" hidden="1" x14ac:dyDescent="0.25">
      <c r="B115" s="2184"/>
      <c r="C115" s="2185"/>
      <c r="D115" s="2230"/>
      <c r="E115" s="2231"/>
      <c r="F115" s="2231"/>
      <c r="G115" s="2231"/>
      <c r="H115" s="2231"/>
      <c r="I115" s="2231"/>
      <c r="J115" s="2231"/>
      <c r="K115" s="2231"/>
      <c r="L115" s="2232"/>
      <c r="M115" s="2232"/>
      <c r="N115" s="2232"/>
      <c r="O115" s="2232"/>
      <c r="P115" s="2233"/>
      <c r="Q115" s="2234"/>
    </row>
    <row r="116" spans="2:17" s="769" customFormat="1" hidden="1" x14ac:dyDescent="0.25">
      <c r="B116" s="2186"/>
      <c r="C116" s="2187"/>
      <c r="D116" s="2235"/>
      <c r="E116" s="2236"/>
      <c r="F116" s="2236"/>
      <c r="G116" s="2236"/>
      <c r="H116" s="2236"/>
      <c r="I116" s="2236"/>
      <c r="J116" s="2236"/>
      <c r="K116" s="2236"/>
      <c r="L116" s="2237"/>
      <c r="M116" s="2237"/>
      <c r="N116" s="2237"/>
      <c r="O116" s="2237"/>
      <c r="P116" s="2238"/>
      <c r="Q116" s="2239"/>
    </row>
    <row r="117" spans="2:17" s="769" customFormat="1" hidden="1" x14ac:dyDescent="0.25">
      <c r="B117" s="2186"/>
      <c r="C117" s="2187"/>
      <c r="D117" s="2235"/>
      <c r="E117" s="2236"/>
      <c r="F117" s="2236"/>
      <c r="G117" s="2236"/>
      <c r="H117" s="2236"/>
      <c r="I117" s="2236"/>
      <c r="J117" s="2236"/>
      <c r="K117" s="2236"/>
      <c r="L117" s="2237"/>
      <c r="M117" s="2237"/>
      <c r="N117" s="2237"/>
      <c r="O117" s="2237"/>
      <c r="P117" s="2238"/>
      <c r="Q117" s="2239"/>
    </row>
    <row r="118" spans="2:17" s="769" customFormat="1" hidden="1" x14ac:dyDescent="0.25">
      <c r="B118" s="2186"/>
      <c r="C118" s="2187"/>
      <c r="D118" s="2235"/>
      <c r="E118" s="2236"/>
      <c r="F118" s="2236"/>
      <c r="G118" s="2236"/>
      <c r="H118" s="2236"/>
      <c r="I118" s="2236"/>
      <c r="J118" s="2236"/>
      <c r="K118" s="2236"/>
      <c r="L118" s="2237"/>
      <c r="M118" s="2237"/>
      <c r="N118" s="2237"/>
      <c r="O118" s="2237"/>
      <c r="P118" s="2238"/>
      <c r="Q118" s="2239"/>
    </row>
    <row r="119" spans="2:17" s="769" customFormat="1" hidden="1" x14ac:dyDescent="0.25">
      <c r="B119" s="2186"/>
      <c r="C119" s="2187"/>
      <c r="D119" s="2235"/>
      <c r="E119" s="2236"/>
      <c r="F119" s="2236"/>
      <c r="G119" s="2236"/>
      <c r="H119" s="2236"/>
      <c r="I119" s="2236"/>
      <c r="J119" s="2236"/>
      <c r="K119" s="2236"/>
      <c r="L119" s="2237"/>
      <c r="M119" s="2237"/>
      <c r="N119" s="2237"/>
      <c r="O119" s="2237"/>
      <c r="P119" s="2238"/>
      <c r="Q119" s="2239"/>
    </row>
    <row r="120" spans="2:17" s="769" customFormat="1" ht="15.75" hidden="1" thickBot="1" x14ac:dyDescent="0.3">
      <c r="B120" s="2188"/>
      <c r="C120" s="2189"/>
      <c r="D120" s="2200" t="s">
        <v>5509</v>
      </c>
      <c r="E120" s="2201"/>
      <c r="F120" s="2201"/>
      <c r="G120" s="2201"/>
      <c r="H120" s="2201"/>
      <c r="I120" s="2201"/>
      <c r="J120" s="2201"/>
      <c r="K120" s="2201"/>
      <c r="L120" s="2201"/>
      <c r="M120" s="2201"/>
      <c r="N120" s="2201"/>
      <c r="O120" s="2202"/>
      <c r="P120" s="2203">
        <f>SUM(P115:Q119)</f>
        <v>0</v>
      </c>
      <c r="Q120" s="2204"/>
    </row>
    <row r="121" spans="2:17" s="769" customFormat="1" ht="15" hidden="1" customHeight="1" x14ac:dyDescent="0.25">
      <c r="B121" s="2184"/>
      <c r="C121" s="2205"/>
      <c r="D121" s="2240"/>
      <c r="E121" s="2240"/>
      <c r="F121" s="2240"/>
      <c r="G121" s="2240"/>
      <c r="H121" s="2240"/>
      <c r="I121" s="2240"/>
      <c r="J121" s="2240"/>
      <c r="K121" s="2240"/>
      <c r="L121" s="2241"/>
      <c r="M121" s="2241"/>
      <c r="N121" s="2241"/>
      <c r="O121" s="2241"/>
      <c r="P121" s="2242"/>
      <c r="Q121" s="2243"/>
    </row>
    <row r="122" spans="2:17" s="769" customFormat="1" hidden="1" x14ac:dyDescent="0.25">
      <c r="B122" s="2186"/>
      <c r="C122" s="2206"/>
      <c r="D122" s="2236"/>
      <c r="E122" s="2236"/>
      <c r="F122" s="2236"/>
      <c r="G122" s="2236"/>
      <c r="H122" s="2236"/>
      <c r="I122" s="2236"/>
      <c r="J122" s="2236"/>
      <c r="K122" s="2236"/>
      <c r="L122" s="2237"/>
      <c r="M122" s="2237"/>
      <c r="N122" s="2237"/>
      <c r="O122" s="2237"/>
      <c r="P122" s="2238"/>
      <c r="Q122" s="2239"/>
    </row>
    <row r="123" spans="2:17" s="769" customFormat="1" hidden="1" x14ac:dyDescent="0.25">
      <c r="B123" s="2186"/>
      <c r="C123" s="2206"/>
      <c r="D123" s="2236"/>
      <c r="E123" s="2236"/>
      <c r="F123" s="2236"/>
      <c r="G123" s="2236"/>
      <c r="H123" s="2236"/>
      <c r="I123" s="2236"/>
      <c r="J123" s="2236"/>
      <c r="K123" s="2236"/>
      <c r="L123" s="2237"/>
      <c r="M123" s="2237"/>
      <c r="N123" s="2237"/>
      <c r="O123" s="2237"/>
      <c r="P123" s="2238"/>
      <c r="Q123" s="2239"/>
    </row>
    <row r="124" spans="2:17" s="769" customFormat="1" hidden="1" x14ac:dyDescent="0.25">
      <c r="B124" s="2186"/>
      <c r="C124" s="2206"/>
      <c r="D124" s="2235"/>
      <c r="E124" s="2236"/>
      <c r="F124" s="2236"/>
      <c r="G124" s="2236"/>
      <c r="H124" s="2236"/>
      <c r="I124" s="2236"/>
      <c r="J124" s="2236"/>
      <c r="K124" s="2236"/>
      <c r="L124" s="2237"/>
      <c r="M124" s="2237"/>
      <c r="N124" s="2237"/>
      <c r="O124" s="2237"/>
      <c r="P124" s="2238"/>
      <c r="Q124" s="2239"/>
    </row>
    <row r="125" spans="2:17" s="769" customFormat="1" ht="15.75" hidden="1" thickBot="1" x14ac:dyDescent="0.3">
      <c r="B125" s="2186"/>
      <c r="C125" s="2206"/>
      <c r="D125" s="2244"/>
      <c r="E125" s="2244"/>
      <c r="F125" s="2244"/>
      <c r="G125" s="2244"/>
      <c r="H125" s="2244"/>
      <c r="I125" s="2244"/>
      <c r="J125" s="2244"/>
      <c r="K125" s="2244"/>
      <c r="L125" s="2245"/>
      <c r="M125" s="2245"/>
      <c r="N125" s="2245"/>
      <c r="O125" s="2245"/>
      <c r="P125" s="2246"/>
      <c r="Q125" s="2247"/>
    </row>
    <row r="126" spans="2:17" s="769" customFormat="1" ht="15.75" hidden="1" thickBot="1" x14ac:dyDescent="0.3">
      <c r="B126" s="2188"/>
      <c r="C126" s="2207"/>
      <c r="D126" s="2200" t="s">
        <v>5509</v>
      </c>
      <c r="E126" s="2201"/>
      <c r="F126" s="2201"/>
      <c r="G126" s="2201"/>
      <c r="H126" s="2201"/>
      <c r="I126" s="2201"/>
      <c r="J126" s="2201"/>
      <c r="K126" s="2201"/>
      <c r="L126" s="2201"/>
      <c r="M126" s="2201"/>
      <c r="N126" s="2201"/>
      <c r="O126" s="2202"/>
      <c r="P126" s="2216">
        <f>SUM(P121:Q125)</f>
        <v>0</v>
      </c>
      <c r="Q126" s="2217"/>
    </row>
    <row r="127" spans="2:17" s="769" customFormat="1" ht="15" hidden="1" customHeight="1" x14ac:dyDescent="0.25">
      <c r="B127" s="2184"/>
      <c r="C127" s="2205"/>
      <c r="D127" s="2231"/>
      <c r="E127" s="2231"/>
      <c r="F127" s="2231"/>
      <c r="G127" s="2231"/>
      <c r="H127" s="2231"/>
      <c r="I127" s="2231"/>
      <c r="J127" s="2231"/>
      <c r="K127" s="2231"/>
      <c r="L127" s="2232"/>
      <c r="M127" s="2232"/>
      <c r="N127" s="2232"/>
      <c r="O127" s="2232"/>
      <c r="P127" s="2233"/>
      <c r="Q127" s="2234"/>
    </row>
    <row r="128" spans="2:17" s="769" customFormat="1" hidden="1" x14ac:dyDescent="0.25">
      <c r="B128" s="2186"/>
      <c r="C128" s="2206"/>
      <c r="D128" s="2236"/>
      <c r="E128" s="2236"/>
      <c r="F128" s="2236"/>
      <c r="G128" s="2236"/>
      <c r="H128" s="2236"/>
      <c r="I128" s="2236"/>
      <c r="J128" s="2236"/>
      <c r="K128" s="2236"/>
      <c r="L128" s="2237"/>
      <c r="M128" s="2237"/>
      <c r="N128" s="2237"/>
      <c r="O128" s="2237"/>
      <c r="P128" s="2238"/>
      <c r="Q128" s="2239"/>
    </row>
    <row r="129" spans="2:17" s="769" customFormat="1" hidden="1" x14ac:dyDescent="0.25">
      <c r="B129" s="2186"/>
      <c r="C129" s="2206"/>
      <c r="D129" s="2236"/>
      <c r="E129" s="2236"/>
      <c r="F129" s="2236"/>
      <c r="G129" s="2236"/>
      <c r="H129" s="2236"/>
      <c r="I129" s="2236"/>
      <c r="J129" s="2236"/>
      <c r="K129" s="2236"/>
      <c r="L129" s="2237"/>
      <c r="M129" s="2237"/>
      <c r="N129" s="2237"/>
      <c r="O129" s="2237"/>
      <c r="P129" s="2238"/>
      <c r="Q129" s="2239"/>
    </row>
    <row r="130" spans="2:17" s="769" customFormat="1" hidden="1" x14ac:dyDescent="0.25">
      <c r="B130" s="2186"/>
      <c r="C130" s="2206"/>
      <c r="D130" s="2236"/>
      <c r="E130" s="2236"/>
      <c r="F130" s="2236"/>
      <c r="G130" s="2236"/>
      <c r="H130" s="2236"/>
      <c r="I130" s="2236"/>
      <c r="J130" s="2236"/>
      <c r="K130" s="2236"/>
      <c r="L130" s="2237"/>
      <c r="M130" s="2237"/>
      <c r="N130" s="2237"/>
      <c r="O130" s="2237"/>
      <c r="P130" s="2238"/>
      <c r="Q130" s="2239"/>
    </row>
    <row r="131" spans="2:17" s="769" customFormat="1" ht="15.75" hidden="1" thickBot="1" x14ac:dyDescent="0.3">
      <c r="B131" s="2186"/>
      <c r="C131" s="2206"/>
      <c r="D131" s="2248"/>
      <c r="E131" s="2248"/>
      <c r="F131" s="2248"/>
      <c r="G131" s="2248"/>
      <c r="H131" s="2248"/>
      <c r="I131" s="2248"/>
      <c r="J131" s="2248"/>
      <c r="K131" s="2248"/>
      <c r="L131" s="2249"/>
      <c r="M131" s="2249"/>
      <c r="N131" s="2249"/>
      <c r="O131" s="2249"/>
      <c r="P131" s="2203"/>
      <c r="Q131" s="2204"/>
    </row>
    <row r="132" spans="2:17" s="769" customFormat="1" ht="15.75" hidden="1" thickBot="1" x14ac:dyDescent="0.3">
      <c r="B132" s="2188"/>
      <c r="C132" s="2218"/>
      <c r="D132" s="2200" t="s">
        <v>5509</v>
      </c>
      <c r="E132" s="2201"/>
      <c r="F132" s="2201"/>
      <c r="G132" s="2201"/>
      <c r="H132" s="2201"/>
      <c r="I132" s="2201"/>
      <c r="J132" s="2201"/>
      <c r="K132" s="2201"/>
      <c r="L132" s="2201"/>
      <c r="M132" s="2201"/>
      <c r="N132" s="2201"/>
      <c r="O132" s="2202"/>
      <c r="P132" s="2203">
        <f>SUM(P127:Q131)</f>
        <v>0</v>
      </c>
      <c r="Q132" s="2204"/>
    </row>
    <row r="133" spans="2:17" s="769" customFormat="1" hidden="1" x14ac:dyDescent="0.25">
      <c r="B133" s="2186"/>
      <c r="C133" s="2206"/>
      <c r="D133" s="2240"/>
      <c r="E133" s="2240"/>
      <c r="F133" s="2240"/>
      <c r="G133" s="2240"/>
      <c r="H133" s="2240"/>
      <c r="I133" s="2240"/>
      <c r="J133" s="2240"/>
      <c r="K133" s="2240"/>
      <c r="L133" s="2241"/>
      <c r="M133" s="2241"/>
      <c r="N133" s="2241"/>
      <c r="O133" s="2241"/>
      <c r="P133" s="2242"/>
      <c r="Q133" s="2243"/>
    </row>
    <row r="134" spans="2:17" s="769" customFormat="1" hidden="1" x14ac:dyDescent="0.25">
      <c r="B134" s="2186"/>
      <c r="C134" s="2206"/>
      <c r="D134" s="2236"/>
      <c r="E134" s="2236"/>
      <c r="F134" s="2236"/>
      <c r="G134" s="2236"/>
      <c r="H134" s="2236"/>
      <c r="I134" s="2236"/>
      <c r="J134" s="2236"/>
      <c r="K134" s="2236"/>
      <c r="L134" s="2237"/>
      <c r="M134" s="2237"/>
      <c r="N134" s="2237"/>
      <c r="O134" s="2237"/>
      <c r="P134" s="2238"/>
      <c r="Q134" s="2239"/>
    </row>
    <row r="135" spans="2:17" s="769" customFormat="1" hidden="1" x14ac:dyDescent="0.25">
      <c r="B135" s="2186"/>
      <c r="C135" s="2206"/>
      <c r="D135" s="2236"/>
      <c r="E135" s="2236"/>
      <c r="F135" s="2236"/>
      <c r="G135" s="2236"/>
      <c r="H135" s="2236"/>
      <c r="I135" s="2236"/>
      <c r="J135" s="2236"/>
      <c r="K135" s="2236"/>
      <c r="L135" s="2237"/>
      <c r="M135" s="2237"/>
      <c r="N135" s="2237"/>
      <c r="O135" s="2237"/>
      <c r="P135" s="2238"/>
      <c r="Q135" s="2239"/>
    </row>
    <row r="136" spans="2:17" s="769" customFormat="1" hidden="1" x14ac:dyDescent="0.25">
      <c r="B136" s="2186"/>
      <c r="C136" s="2206"/>
      <c r="D136" s="2236"/>
      <c r="E136" s="2236"/>
      <c r="F136" s="2236"/>
      <c r="G136" s="2236"/>
      <c r="H136" s="2236"/>
      <c r="I136" s="2236"/>
      <c r="J136" s="2236"/>
      <c r="K136" s="2236"/>
      <c r="L136" s="2237"/>
      <c r="M136" s="2237"/>
      <c r="N136" s="2237"/>
      <c r="O136" s="2237"/>
      <c r="P136" s="2238"/>
      <c r="Q136" s="2239"/>
    </row>
    <row r="137" spans="2:17" s="769" customFormat="1" ht="15.75" hidden="1" thickBot="1" x14ac:dyDescent="0.3">
      <c r="B137" s="2186"/>
      <c r="C137" s="2206"/>
      <c r="D137" s="2244"/>
      <c r="E137" s="2244"/>
      <c r="F137" s="2244"/>
      <c r="G137" s="2244"/>
      <c r="H137" s="2244"/>
      <c r="I137" s="2244"/>
      <c r="J137" s="2244"/>
      <c r="K137" s="2244"/>
      <c r="L137" s="2245"/>
      <c r="M137" s="2245"/>
      <c r="N137" s="2245"/>
      <c r="O137" s="2245"/>
      <c r="P137" s="2246"/>
      <c r="Q137" s="2247"/>
    </row>
    <row r="138" spans="2:17" s="769" customFormat="1" ht="15.75" hidden="1" thickBot="1" x14ac:dyDescent="0.3">
      <c r="B138" s="2188"/>
      <c r="C138" s="2207"/>
      <c r="D138" s="2200" t="s">
        <v>5509</v>
      </c>
      <c r="E138" s="2201"/>
      <c r="F138" s="2201"/>
      <c r="G138" s="2201"/>
      <c r="H138" s="2201"/>
      <c r="I138" s="2201"/>
      <c r="J138" s="2201"/>
      <c r="K138" s="2201"/>
      <c r="L138" s="2201"/>
      <c r="M138" s="2201"/>
      <c r="N138" s="2201"/>
      <c r="O138" s="2202"/>
      <c r="P138" s="2216">
        <f>SUM(P133:Q137)</f>
        <v>0</v>
      </c>
      <c r="Q138" s="2217"/>
    </row>
    <row r="139" spans="2:17" s="769" customFormat="1" hidden="1" x14ac:dyDescent="0.25">
      <c r="B139" s="2184"/>
      <c r="C139" s="2205"/>
      <c r="D139" s="2231"/>
      <c r="E139" s="2231"/>
      <c r="F139" s="2231"/>
      <c r="G139" s="2231"/>
      <c r="H139" s="2231"/>
      <c r="I139" s="2231"/>
      <c r="J139" s="2231"/>
      <c r="K139" s="2231"/>
      <c r="L139" s="2232"/>
      <c r="M139" s="2232"/>
      <c r="N139" s="2232"/>
      <c r="O139" s="2232"/>
      <c r="P139" s="2233"/>
      <c r="Q139" s="2234"/>
    </row>
    <row r="140" spans="2:17" s="769" customFormat="1" hidden="1" x14ac:dyDescent="0.25">
      <c r="B140" s="2186"/>
      <c r="C140" s="2206"/>
      <c r="D140" s="2236"/>
      <c r="E140" s="2236"/>
      <c r="F140" s="2236"/>
      <c r="G140" s="2236"/>
      <c r="H140" s="2236"/>
      <c r="I140" s="2236"/>
      <c r="J140" s="2236"/>
      <c r="K140" s="2236"/>
      <c r="L140" s="2237"/>
      <c r="M140" s="2237"/>
      <c r="N140" s="2237"/>
      <c r="O140" s="2237"/>
      <c r="P140" s="2238"/>
      <c r="Q140" s="2239"/>
    </row>
    <row r="141" spans="2:17" s="769" customFormat="1" hidden="1" x14ac:dyDescent="0.25">
      <c r="B141" s="2186"/>
      <c r="C141" s="2206"/>
      <c r="D141" s="2236"/>
      <c r="E141" s="2236"/>
      <c r="F141" s="2236"/>
      <c r="G141" s="2236"/>
      <c r="H141" s="2236"/>
      <c r="I141" s="2236"/>
      <c r="J141" s="2236"/>
      <c r="K141" s="2236"/>
      <c r="L141" s="2237"/>
      <c r="M141" s="2237"/>
      <c r="N141" s="2237"/>
      <c r="O141" s="2237"/>
      <c r="P141" s="2238"/>
      <c r="Q141" s="2239"/>
    </row>
    <row r="142" spans="2:17" s="769" customFormat="1" hidden="1" x14ac:dyDescent="0.25">
      <c r="B142" s="2186"/>
      <c r="C142" s="2206"/>
      <c r="D142" s="2236"/>
      <c r="E142" s="2236"/>
      <c r="F142" s="2236"/>
      <c r="G142" s="2236"/>
      <c r="H142" s="2236"/>
      <c r="I142" s="2236"/>
      <c r="J142" s="2236"/>
      <c r="K142" s="2236"/>
      <c r="L142" s="2237"/>
      <c r="M142" s="2237"/>
      <c r="N142" s="2237"/>
      <c r="O142" s="2237"/>
      <c r="P142" s="2238"/>
      <c r="Q142" s="2239"/>
    </row>
    <row r="143" spans="2:17" s="769" customFormat="1" ht="15.75" hidden="1" thickBot="1" x14ac:dyDescent="0.3">
      <c r="B143" s="2186"/>
      <c r="C143" s="2206"/>
      <c r="D143" s="2248"/>
      <c r="E143" s="2248"/>
      <c r="F143" s="2248"/>
      <c r="G143" s="2248"/>
      <c r="H143" s="2248"/>
      <c r="I143" s="2248"/>
      <c r="J143" s="2248"/>
      <c r="K143" s="2248"/>
      <c r="L143" s="2249"/>
      <c r="M143" s="2249"/>
      <c r="N143" s="2249"/>
      <c r="O143" s="2249"/>
      <c r="P143" s="2203"/>
      <c r="Q143" s="2204"/>
    </row>
    <row r="144" spans="2:17" s="769" customFormat="1" ht="15.75" hidden="1" thickBot="1" x14ac:dyDescent="0.3">
      <c r="B144" s="2188"/>
      <c r="C144" s="2218"/>
      <c r="D144" s="2200" t="s">
        <v>5509</v>
      </c>
      <c r="E144" s="2201"/>
      <c r="F144" s="2201"/>
      <c r="G144" s="2201"/>
      <c r="H144" s="2201"/>
      <c r="I144" s="2201"/>
      <c r="J144" s="2201"/>
      <c r="K144" s="2201"/>
      <c r="L144" s="2201"/>
      <c r="M144" s="2201"/>
      <c r="N144" s="2201"/>
      <c r="O144" s="2202"/>
      <c r="P144" s="2203">
        <f>SUM(P139:Q143)</f>
        <v>0</v>
      </c>
      <c r="Q144" s="2204"/>
    </row>
    <row r="145" spans="2:17" s="769" customFormat="1" hidden="1" x14ac:dyDescent="0.25">
      <c r="B145" s="2186"/>
      <c r="C145" s="2206"/>
      <c r="D145" s="2240"/>
      <c r="E145" s="2240"/>
      <c r="F145" s="2240"/>
      <c r="G145" s="2240"/>
      <c r="H145" s="2240"/>
      <c r="I145" s="2240"/>
      <c r="J145" s="2240"/>
      <c r="K145" s="2240"/>
      <c r="L145" s="2241"/>
      <c r="M145" s="2241"/>
      <c r="N145" s="2241"/>
      <c r="O145" s="2241"/>
      <c r="P145" s="2242"/>
      <c r="Q145" s="2243"/>
    </row>
    <row r="146" spans="2:17" s="769" customFormat="1" hidden="1" x14ac:dyDescent="0.25">
      <c r="B146" s="2186"/>
      <c r="C146" s="2206"/>
      <c r="D146" s="2236"/>
      <c r="E146" s="2236"/>
      <c r="F146" s="2236"/>
      <c r="G146" s="2236"/>
      <c r="H146" s="2236"/>
      <c r="I146" s="2236"/>
      <c r="J146" s="2236"/>
      <c r="K146" s="2236"/>
      <c r="L146" s="2237"/>
      <c r="M146" s="2237"/>
      <c r="N146" s="2237"/>
      <c r="O146" s="2237"/>
      <c r="P146" s="2238"/>
      <c r="Q146" s="2239"/>
    </row>
    <row r="147" spans="2:17" s="769" customFormat="1" hidden="1" x14ac:dyDescent="0.25">
      <c r="B147" s="2186"/>
      <c r="C147" s="2206"/>
      <c r="D147" s="2236"/>
      <c r="E147" s="2236"/>
      <c r="F147" s="2236"/>
      <c r="G147" s="2236"/>
      <c r="H147" s="2236"/>
      <c r="I147" s="2236"/>
      <c r="J147" s="2236"/>
      <c r="K147" s="2236"/>
      <c r="L147" s="2237"/>
      <c r="M147" s="2237"/>
      <c r="N147" s="2237"/>
      <c r="O147" s="2237"/>
      <c r="P147" s="2238"/>
      <c r="Q147" s="2239"/>
    </row>
    <row r="148" spans="2:17" s="769" customFormat="1" hidden="1" x14ac:dyDescent="0.25">
      <c r="B148" s="2186"/>
      <c r="C148" s="2206"/>
      <c r="D148" s="2236"/>
      <c r="E148" s="2236"/>
      <c r="F148" s="2236"/>
      <c r="G148" s="2236"/>
      <c r="H148" s="2236"/>
      <c r="I148" s="2236"/>
      <c r="J148" s="2236"/>
      <c r="K148" s="2236"/>
      <c r="L148" s="2237"/>
      <c r="M148" s="2237"/>
      <c r="N148" s="2237"/>
      <c r="O148" s="2237"/>
      <c r="P148" s="2238"/>
      <c r="Q148" s="2239"/>
    </row>
    <row r="149" spans="2:17" s="769" customFormat="1" ht="15.75" hidden="1" thickBot="1" x14ac:dyDescent="0.3">
      <c r="B149" s="2186"/>
      <c r="C149" s="2206"/>
      <c r="D149" s="2244"/>
      <c r="E149" s="2244"/>
      <c r="F149" s="2244"/>
      <c r="G149" s="2244"/>
      <c r="H149" s="2244"/>
      <c r="I149" s="2244"/>
      <c r="J149" s="2244"/>
      <c r="K149" s="2244"/>
      <c r="L149" s="2245"/>
      <c r="M149" s="2245"/>
      <c r="N149" s="2245"/>
      <c r="O149" s="2245"/>
      <c r="P149" s="2246"/>
      <c r="Q149" s="2247"/>
    </row>
    <row r="150" spans="2:17" s="769" customFormat="1" ht="15.75" hidden="1" thickBot="1" x14ac:dyDescent="0.3">
      <c r="B150" s="2188"/>
      <c r="C150" s="2207"/>
      <c r="D150" s="2200" t="s">
        <v>5509</v>
      </c>
      <c r="E150" s="2201"/>
      <c r="F150" s="2201"/>
      <c r="G150" s="2201"/>
      <c r="H150" s="2201"/>
      <c r="I150" s="2201"/>
      <c r="J150" s="2201"/>
      <c r="K150" s="2201"/>
      <c r="L150" s="2201"/>
      <c r="M150" s="2201"/>
      <c r="N150" s="2201"/>
      <c r="O150" s="2202"/>
      <c r="P150" s="2216">
        <f>SUM(P145:Q149)</f>
        <v>0</v>
      </c>
      <c r="Q150" s="2217"/>
    </row>
    <row r="151" spans="2:17" s="769" customFormat="1" ht="15" hidden="1" customHeight="1" x14ac:dyDescent="0.25">
      <c r="B151" s="2184"/>
      <c r="C151" s="2205"/>
      <c r="D151" s="2250"/>
      <c r="E151" s="2231"/>
      <c r="F151" s="2231"/>
      <c r="G151" s="2231"/>
      <c r="H151" s="2231"/>
      <c r="I151" s="2231"/>
      <c r="J151" s="2231"/>
      <c r="K151" s="2231"/>
      <c r="L151" s="2232"/>
      <c r="M151" s="2232"/>
      <c r="N151" s="2232"/>
      <c r="O151" s="2232"/>
      <c r="P151" s="2233"/>
      <c r="Q151" s="2234"/>
    </row>
    <row r="152" spans="2:17" s="769" customFormat="1" hidden="1" x14ac:dyDescent="0.25">
      <c r="B152" s="2186"/>
      <c r="C152" s="2206"/>
      <c r="D152" s="2236"/>
      <c r="E152" s="2236"/>
      <c r="F152" s="2236"/>
      <c r="G152" s="2236"/>
      <c r="H152" s="2236"/>
      <c r="I152" s="2236"/>
      <c r="J152" s="2236"/>
      <c r="K152" s="2236"/>
      <c r="L152" s="2237"/>
      <c r="M152" s="2237"/>
      <c r="N152" s="2237"/>
      <c r="O152" s="2237"/>
      <c r="P152" s="2238"/>
      <c r="Q152" s="2239"/>
    </row>
    <row r="153" spans="2:17" s="769" customFormat="1" hidden="1" x14ac:dyDescent="0.25">
      <c r="B153" s="2186"/>
      <c r="C153" s="2206"/>
      <c r="D153" s="2236"/>
      <c r="E153" s="2236"/>
      <c r="F153" s="2236"/>
      <c r="G153" s="2236"/>
      <c r="H153" s="2236"/>
      <c r="I153" s="2236"/>
      <c r="J153" s="2236"/>
      <c r="K153" s="2236"/>
      <c r="L153" s="2237"/>
      <c r="M153" s="2237"/>
      <c r="N153" s="2237"/>
      <c r="O153" s="2237"/>
      <c r="P153" s="2238"/>
      <c r="Q153" s="2239"/>
    </row>
    <row r="154" spans="2:17" s="769" customFormat="1" hidden="1" x14ac:dyDescent="0.25">
      <c r="B154" s="2186"/>
      <c r="C154" s="2206"/>
      <c r="D154" s="2236"/>
      <c r="E154" s="2236"/>
      <c r="F154" s="2236"/>
      <c r="G154" s="2236"/>
      <c r="H154" s="2236"/>
      <c r="I154" s="2236"/>
      <c r="J154" s="2236"/>
      <c r="K154" s="2236"/>
      <c r="L154" s="2237"/>
      <c r="M154" s="2237"/>
      <c r="N154" s="2237"/>
      <c r="O154" s="2237"/>
      <c r="P154" s="2238"/>
      <c r="Q154" s="2239"/>
    </row>
    <row r="155" spans="2:17" s="769" customFormat="1" ht="15.75" hidden="1" thickBot="1" x14ac:dyDescent="0.3">
      <c r="B155" s="2186"/>
      <c r="C155" s="2206"/>
      <c r="D155" s="2248"/>
      <c r="E155" s="2248"/>
      <c r="F155" s="2248"/>
      <c r="G155" s="2248"/>
      <c r="H155" s="2248"/>
      <c r="I155" s="2248"/>
      <c r="J155" s="2248"/>
      <c r="K155" s="2248"/>
      <c r="L155" s="2249"/>
      <c r="M155" s="2249"/>
      <c r="N155" s="2249"/>
      <c r="O155" s="2249"/>
      <c r="P155" s="2203"/>
      <c r="Q155" s="2204"/>
    </row>
    <row r="156" spans="2:17" s="769" customFormat="1" ht="15.75" hidden="1" thickBot="1" x14ac:dyDescent="0.3">
      <c r="B156" s="2188"/>
      <c r="C156" s="2218"/>
      <c r="D156" s="2200" t="s">
        <v>5509</v>
      </c>
      <c r="E156" s="2201"/>
      <c r="F156" s="2201"/>
      <c r="G156" s="2201"/>
      <c r="H156" s="2201"/>
      <c r="I156" s="2201"/>
      <c r="J156" s="2201"/>
      <c r="K156" s="2201"/>
      <c r="L156" s="2201"/>
      <c r="M156" s="2201"/>
      <c r="N156" s="2201"/>
      <c r="O156" s="2202"/>
      <c r="P156" s="2203">
        <f>SUM(P151:Q155)</f>
        <v>0</v>
      </c>
      <c r="Q156" s="2204"/>
    </row>
    <row r="157" spans="2:17" s="769" customFormat="1" ht="15" hidden="1" customHeight="1" x14ac:dyDescent="0.25">
      <c r="B157" s="2184"/>
      <c r="C157" s="2224"/>
      <c r="D157" s="2231"/>
      <c r="E157" s="2231"/>
      <c r="F157" s="2231"/>
      <c r="G157" s="2231"/>
      <c r="H157" s="2231"/>
      <c r="I157" s="2231"/>
      <c r="J157" s="2231"/>
      <c r="K157" s="2231"/>
      <c r="L157" s="2232"/>
      <c r="M157" s="2232"/>
      <c r="N157" s="2232"/>
      <c r="O157" s="2232"/>
      <c r="P157" s="2233"/>
      <c r="Q157" s="2234"/>
    </row>
    <row r="158" spans="2:17" s="769" customFormat="1" hidden="1" x14ac:dyDescent="0.25">
      <c r="B158" s="2186"/>
      <c r="C158" s="2225"/>
      <c r="D158" s="2236"/>
      <c r="E158" s="2236"/>
      <c r="F158" s="2236"/>
      <c r="G158" s="2236"/>
      <c r="H158" s="2236"/>
      <c r="I158" s="2236"/>
      <c r="J158" s="2236"/>
      <c r="K158" s="2236"/>
      <c r="L158" s="2237"/>
      <c r="M158" s="2237"/>
      <c r="N158" s="2237"/>
      <c r="O158" s="2237"/>
      <c r="P158" s="2238"/>
      <c r="Q158" s="2239"/>
    </row>
    <row r="159" spans="2:17" s="769" customFormat="1" hidden="1" x14ac:dyDescent="0.25">
      <c r="B159" s="2186"/>
      <c r="C159" s="2225"/>
      <c r="D159" s="2236"/>
      <c r="E159" s="2236"/>
      <c r="F159" s="2236"/>
      <c r="G159" s="2236"/>
      <c r="H159" s="2236"/>
      <c r="I159" s="2236"/>
      <c r="J159" s="2236"/>
      <c r="K159" s="2236"/>
      <c r="L159" s="2237"/>
      <c r="M159" s="2237"/>
      <c r="N159" s="2237"/>
      <c r="O159" s="2237"/>
      <c r="P159" s="2238"/>
      <c r="Q159" s="2239"/>
    </row>
    <row r="160" spans="2:17" s="769" customFormat="1" hidden="1" x14ac:dyDescent="0.25">
      <c r="B160" s="2186"/>
      <c r="C160" s="2225"/>
      <c r="D160" s="2236"/>
      <c r="E160" s="2236"/>
      <c r="F160" s="2236"/>
      <c r="G160" s="2236"/>
      <c r="H160" s="2236"/>
      <c r="I160" s="2236"/>
      <c r="J160" s="2236"/>
      <c r="K160" s="2236"/>
      <c r="L160" s="2237"/>
      <c r="M160" s="2237"/>
      <c r="N160" s="2237"/>
      <c r="O160" s="2237"/>
      <c r="P160" s="2238"/>
      <c r="Q160" s="2239"/>
    </row>
    <row r="161" spans="2:17" s="769" customFormat="1" ht="15.75" hidden="1" thickBot="1" x14ac:dyDescent="0.3">
      <c r="B161" s="2186"/>
      <c r="C161" s="2225"/>
      <c r="D161" s="2248"/>
      <c r="E161" s="2248"/>
      <c r="F161" s="2248"/>
      <c r="G161" s="2248"/>
      <c r="H161" s="2248"/>
      <c r="I161" s="2248"/>
      <c r="J161" s="2248"/>
      <c r="K161" s="2248"/>
      <c r="L161" s="2249"/>
      <c r="M161" s="2249"/>
      <c r="N161" s="2249"/>
      <c r="O161" s="2249"/>
      <c r="P161" s="2203"/>
      <c r="Q161" s="2204"/>
    </row>
    <row r="162" spans="2:17" s="769" customFormat="1" ht="15.75" hidden="1" thickBot="1" x14ac:dyDescent="0.3">
      <c r="B162" s="2188"/>
      <c r="C162" s="2207"/>
      <c r="D162" s="2200" t="s">
        <v>5509</v>
      </c>
      <c r="E162" s="2201"/>
      <c r="F162" s="2201"/>
      <c r="G162" s="2201"/>
      <c r="H162" s="2201"/>
      <c r="I162" s="2201"/>
      <c r="J162" s="2201"/>
      <c r="K162" s="2201"/>
      <c r="L162" s="2201"/>
      <c r="M162" s="2201"/>
      <c r="N162" s="2201"/>
      <c r="O162" s="2202"/>
      <c r="P162" s="2203">
        <f>SUM(P157:Q161)</f>
        <v>0</v>
      </c>
      <c r="Q162" s="2204"/>
    </row>
    <row r="163" spans="2:17" s="769" customFormat="1" ht="15.75" hidden="1" thickBot="1" x14ac:dyDescent="0.3">
      <c r="B163" s="2226" t="s">
        <v>5511</v>
      </c>
      <c r="C163" s="2227"/>
      <c r="D163" s="2227"/>
      <c r="E163" s="2227"/>
      <c r="F163" s="2227"/>
      <c r="G163" s="2227"/>
      <c r="H163" s="2227"/>
      <c r="I163" s="2227"/>
      <c r="J163" s="2227"/>
      <c r="K163" s="2227"/>
      <c r="L163" s="2227"/>
      <c r="M163" s="2227"/>
      <c r="N163" s="2227"/>
      <c r="O163" s="2227"/>
      <c r="P163" s="2228">
        <f>P120+P126+P132+P138+P144+P150+P156+P162</f>
        <v>0</v>
      </c>
      <c r="Q163" s="2229"/>
    </row>
    <row r="164" spans="2:17" s="769" customFormat="1" hidden="1" x14ac:dyDescent="0.25">
      <c r="B164" s="50" t="s">
        <v>5512</v>
      </c>
      <c r="C164" s="50"/>
      <c r="D164" s="50"/>
      <c r="E164" s="50"/>
      <c r="F164" s="50"/>
      <c r="G164" s="50"/>
      <c r="H164" s="50"/>
      <c r="I164" s="50"/>
      <c r="J164" s="50"/>
      <c r="K164" s="50"/>
      <c r="L164" s="50"/>
      <c r="M164" s="50"/>
      <c r="N164" s="50"/>
      <c r="O164" s="50"/>
      <c r="P164" s="50"/>
      <c r="Q164" s="50"/>
    </row>
  </sheetData>
  <sheetProtection password="9AA6" sheet="1" objects="1" scenarios="1"/>
  <mergeCells count="574">
    <mergeCell ref="B163:O163"/>
    <mergeCell ref="P163:Q163"/>
    <mergeCell ref="D161:K161"/>
    <mergeCell ref="L161:M161"/>
    <mergeCell ref="N161:O161"/>
    <mergeCell ref="P161:Q161"/>
    <mergeCell ref="D162:O162"/>
    <mergeCell ref="P162:Q162"/>
    <mergeCell ref="L159:M159"/>
    <mergeCell ref="N159:O159"/>
    <mergeCell ref="P159:Q159"/>
    <mergeCell ref="D160:K160"/>
    <mergeCell ref="L160:M160"/>
    <mergeCell ref="N160:O160"/>
    <mergeCell ref="P160:Q160"/>
    <mergeCell ref="B157:C162"/>
    <mergeCell ref="D157:K157"/>
    <mergeCell ref="L157:M157"/>
    <mergeCell ref="N157:O157"/>
    <mergeCell ref="P157:Q157"/>
    <mergeCell ref="D158:K158"/>
    <mergeCell ref="L158:M158"/>
    <mergeCell ref="N158:O158"/>
    <mergeCell ref="P158:Q158"/>
    <mergeCell ref="D159:K159"/>
    <mergeCell ref="D155:K155"/>
    <mergeCell ref="L155:M155"/>
    <mergeCell ref="N155:O155"/>
    <mergeCell ref="P155:Q155"/>
    <mergeCell ref="D156:O156"/>
    <mergeCell ref="P156:Q156"/>
    <mergeCell ref="L153:M153"/>
    <mergeCell ref="N153:O153"/>
    <mergeCell ref="P153:Q153"/>
    <mergeCell ref="D154:K154"/>
    <mergeCell ref="L154:M154"/>
    <mergeCell ref="N154:O154"/>
    <mergeCell ref="P154:Q154"/>
    <mergeCell ref="B151:C156"/>
    <mergeCell ref="D151:K151"/>
    <mergeCell ref="L151:M151"/>
    <mergeCell ref="N151:O151"/>
    <mergeCell ref="P151:Q151"/>
    <mergeCell ref="D152:K152"/>
    <mergeCell ref="L152:M152"/>
    <mergeCell ref="N152:O152"/>
    <mergeCell ref="P152:Q152"/>
    <mergeCell ref="D153:K153"/>
    <mergeCell ref="B145:C150"/>
    <mergeCell ref="D145:K145"/>
    <mergeCell ref="L145:M145"/>
    <mergeCell ref="N145:O145"/>
    <mergeCell ref="P145:Q145"/>
    <mergeCell ref="D146:K146"/>
    <mergeCell ref="L146:M146"/>
    <mergeCell ref="N146:O146"/>
    <mergeCell ref="P146:Q146"/>
    <mergeCell ref="D147:K147"/>
    <mergeCell ref="D149:K149"/>
    <mergeCell ref="L149:M149"/>
    <mergeCell ref="N149:O149"/>
    <mergeCell ref="P149:Q149"/>
    <mergeCell ref="D150:O150"/>
    <mergeCell ref="P150:Q150"/>
    <mergeCell ref="L147:M147"/>
    <mergeCell ref="N147:O147"/>
    <mergeCell ref="P147:Q147"/>
    <mergeCell ref="D148:K148"/>
    <mergeCell ref="L148:M148"/>
    <mergeCell ref="N148:O148"/>
    <mergeCell ref="P148:Q148"/>
    <mergeCell ref="B139:C144"/>
    <mergeCell ref="D139:K139"/>
    <mergeCell ref="L139:M139"/>
    <mergeCell ref="N139:O139"/>
    <mergeCell ref="P139:Q139"/>
    <mergeCell ref="D140:K140"/>
    <mergeCell ref="L140:M140"/>
    <mergeCell ref="N140:O140"/>
    <mergeCell ref="P140:Q140"/>
    <mergeCell ref="D141:K141"/>
    <mergeCell ref="D143:K143"/>
    <mergeCell ref="L143:M143"/>
    <mergeCell ref="N143:O143"/>
    <mergeCell ref="P143:Q143"/>
    <mergeCell ref="D144:O144"/>
    <mergeCell ref="P144:Q144"/>
    <mergeCell ref="L141:M141"/>
    <mergeCell ref="N141:O141"/>
    <mergeCell ref="P141:Q141"/>
    <mergeCell ref="D142:K142"/>
    <mergeCell ref="L142:M142"/>
    <mergeCell ref="N142:O142"/>
    <mergeCell ref="P142:Q142"/>
    <mergeCell ref="B133:C138"/>
    <mergeCell ref="D133:K133"/>
    <mergeCell ref="L133:M133"/>
    <mergeCell ref="N133:O133"/>
    <mergeCell ref="P133:Q133"/>
    <mergeCell ref="D134:K134"/>
    <mergeCell ref="L134:M134"/>
    <mergeCell ref="N134:O134"/>
    <mergeCell ref="P134:Q134"/>
    <mergeCell ref="D135:K135"/>
    <mergeCell ref="D137:K137"/>
    <mergeCell ref="L137:M137"/>
    <mergeCell ref="N137:O137"/>
    <mergeCell ref="P137:Q137"/>
    <mergeCell ref="D138:O138"/>
    <mergeCell ref="P138:Q138"/>
    <mergeCell ref="L135:M135"/>
    <mergeCell ref="N135:O135"/>
    <mergeCell ref="P135:Q135"/>
    <mergeCell ref="D136:K136"/>
    <mergeCell ref="L136:M136"/>
    <mergeCell ref="N136:O136"/>
    <mergeCell ref="P136:Q136"/>
    <mergeCell ref="B127:C132"/>
    <mergeCell ref="D127:K127"/>
    <mergeCell ref="L127:M127"/>
    <mergeCell ref="N127:O127"/>
    <mergeCell ref="P127:Q127"/>
    <mergeCell ref="D128:K128"/>
    <mergeCell ref="L128:M128"/>
    <mergeCell ref="N128:O128"/>
    <mergeCell ref="P128:Q128"/>
    <mergeCell ref="D129:K129"/>
    <mergeCell ref="D131:K131"/>
    <mergeCell ref="L131:M131"/>
    <mergeCell ref="N131:O131"/>
    <mergeCell ref="P131:Q131"/>
    <mergeCell ref="D132:O132"/>
    <mergeCell ref="P132:Q132"/>
    <mergeCell ref="L129:M129"/>
    <mergeCell ref="N129:O129"/>
    <mergeCell ref="P129:Q129"/>
    <mergeCell ref="D130:K130"/>
    <mergeCell ref="L130:M130"/>
    <mergeCell ref="N130:O130"/>
    <mergeCell ref="P130:Q130"/>
    <mergeCell ref="B121:C126"/>
    <mergeCell ref="D121:K121"/>
    <mergeCell ref="L121:M121"/>
    <mergeCell ref="N121:O121"/>
    <mergeCell ref="P121:Q121"/>
    <mergeCell ref="D122:K122"/>
    <mergeCell ref="L122:M122"/>
    <mergeCell ref="N122:O122"/>
    <mergeCell ref="P122:Q122"/>
    <mergeCell ref="D123:K123"/>
    <mergeCell ref="D125:K125"/>
    <mergeCell ref="L125:M125"/>
    <mergeCell ref="N125:O125"/>
    <mergeCell ref="P125:Q125"/>
    <mergeCell ref="D126:O126"/>
    <mergeCell ref="P126:Q126"/>
    <mergeCell ref="L123:M123"/>
    <mergeCell ref="N123:O123"/>
    <mergeCell ref="P123:Q123"/>
    <mergeCell ref="D124:K124"/>
    <mergeCell ref="L124:M124"/>
    <mergeCell ref="N124:O124"/>
    <mergeCell ref="P124:Q124"/>
    <mergeCell ref="B115:C120"/>
    <mergeCell ref="D115:K115"/>
    <mergeCell ref="L115:M115"/>
    <mergeCell ref="N115:O115"/>
    <mergeCell ref="P115:Q115"/>
    <mergeCell ref="D116:K116"/>
    <mergeCell ref="L116:M116"/>
    <mergeCell ref="N116:O116"/>
    <mergeCell ref="P116:Q116"/>
    <mergeCell ref="D117:K117"/>
    <mergeCell ref="D119:K119"/>
    <mergeCell ref="L119:M119"/>
    <mergeCell ref="N119:O119"/>
    <mergeCell ref="P119:Q119"/>
    <mergeCell ref="D120:O120"/>
    <mergeCell ref="P120:Q120"/>
    <mergeCell ref="L117:M117"/>
    <mergeCell ref="N117:O117"/>
    <mergeCell ref="P117:Q117"/>
    <mergeCell ref="D118:K118"/>
    <mergeCell ref="L118:M118"/>
    <mergeCell ref="N118:O118"/>
    <mergeCell ref="P118:Q118"/>
    <mergeCell ref="B109:O109"/>
    <mergeCell ref="P109:Q109"/>
    <mergeCell ref="B114:C114"/>
    <mergeCell ref="D114:K114"/>
    <mergeCell ref="L114:M114"/>
    <mergeCell ref="N114:O114"/>
    <mergeCell ref="P114:Q114"/>
    <mergeCell ref="D107:K107"/>
    <mergeCell ref="L107:M107"/>
    <mergeCell ref="N107:O107"/>
    <mergeCell ref="P107:Q107"/>
    <mergeCell ref="D108:O108"/>
    <mergeCell ref="P108:Q108"/>
    <mergeCell ref="L105:M105"/>
    <mergeCell ref="N105:O105"/>
    <mergeCell ref="P105:Q105"/>
    <mergeCell ref="D106:K106"/>
    <mergeCell ref="L106:M106"/>
    <mergeCell ref="N106:O106"/>
    <mergeCell ref="P106:Q106"/>
    <mergeCell ref="B103:C108"/>
    <mergeCell ref="D103:K103"/>
    <mergeCell ref="L103:M103"/>
    <mergeCell ref="N103:O103"/>
    <mergeCell ref="P103:Q103"/>
    <mergeCell ref="D104:K104"/>
    <mergeCell ref="L104:M104"/>
    <mergeCell ref="N104:O104"/>
    <mergeCell ref="P104:Q104"/>
    <mergeCell ref="D105:K105"/>
    <mergeCell ref="B97:C102"/>
    <mergeCell ref="D97:K97"/>
    <mergeCell ref="L97:M97"/>
    <mergeCell ref="N97:O97"/>
    <mergeCell ref="P97:Q97"/>
    <mergeCell ref="D98:K98"/>
    <mergeCell ref="L98:M98"/>
    <mergeCell ref="N98:O98"/>
    <mergeCell ref="P98:Q98"/>
    <mergeCell ref="D99:K99"/>
    <mergeCell ref="D101:K101"/>
    <mergeCell ref="L101:M101"/>
    <mergeCell ref="N101:O101"/>
    <mergeCell ref="P101:Q101"/>
    <mergeCell ref="D102:O102"/>
    <mergeCell ref="P102:Q102"/>
    <mergeCell ref="L99:M99"/>
    <mergeCell ref="N99:O99"/>
    <mergeCell ref="P99:Q99"/>
    <mergeCell ref="D100:K100"/>
    <mergeCell ref="L100:M100"/>
    <mergeCell ref="N100:O100"/>
    <mergeCell ref="P100:Q100"/>
    <mergeCell ref="B91:C96"/>
    <mergeCell ref="D91:K91"/>
    <mergeCell ref="L91:M91"/>
    <mergeCell ref="N91:O91"/>
    <mergeCell ref="P91:Q91"/>
    <mergeCell ref="D92:K92"/>
    <mergeCell ref="L92:M92"/>
    <mergeCell ref="N92:O92"/>
    <mergeCell ref="P92:Q92"/>
    <mergeCell ref="D93:K93"/>
    <mergeCell ref="D95:K95"/>
    <mergeCell ref="L95:M95"/>
    <mergeCell ref="N95:O95"/>
    <mergeCell ref="P95:Q95"/>
    <mergeCell ref="D96:O96"/>
    <mergeCell ref="P96:Q96"/>
    <mergeCell ref="L93:M93"/>
    <mergeCell ref="N93:O93"/>
    <mergeCell ref="P93:Q93"/>
    <mergeCell ref="D94:K94"/>
    <mergeCell ref="L94:M94"/>
    <mergeCell ref="N94:O94"/>
    <mergeCell ref="P94:Q94"/>
    <mergeCell ref="B85:C90"/>
    <mergeCell ref="D85:K85"/>
    <mergeCell ref="L85:M85"/>
    <mergeCell ref="N85:O85"/>
    <mergeCell ref="P85:Q85"/>
    <mergeCell ref="D86:K86"/>
    <mergeCell ref="L86:M86"/>
    <mergeCell ref="N86:O86"/>
    <mergeCell ref="P86:Q86"/>
    <mergeCell ref="D87:K87"/>
    <mergeCell ref="D89:K89"/>
    <mergeCell ref="L89:M89"/>
    <mergeCell ref="N89:O89"/>
    <mergeCell ref="P89:Q89"/>
    <mergeCell ref="D90:O90"/>
    <mergeCell ref="P90:Q90"/>
    <mergeCell ref="L87:M87"/>
    <mergeCell ref="N87:O87"/>
    <mergeCell ref="P87:Q87"/>
    <mergeCell ref="D88:K88"/>
    <mergeCell ref="L88:M88"/>
    <mergeCell ref="N88:O88"/>
    <mergeCell ref="P88:Q88"/>
    <mergeCell ref="B79:C84"/>
    <mergeCell ref="D79:K79"/>
    <mergeCell ref="L79:M79"/>
    <mergeCell ref="N79:O79"/>
    <mergeCell ref="P79:Q79"/>
    <mergeCell ref="D80:K80"/>
    <mergeCell ref="L80:M80"/>
    <mergeCell ref="N80:O80"/>
    <mergeCell ref="P80:Q80"/>
    <mergeCell ref="D81:K81"/>
    <mergeCell ref="D83:K83"/>
    <mergeCell ref="L83:M83"/>
    <mergeCell ref="N83:O83"/>
    <mergeCell ref="P83:Q83"/>
    <mergeCell ref="D84:O84"/>
    <mergeCell ref="P84:Q84"/>
    <mergeCell ref="L81:M81"/>
    <mergeCell ref="N81:O81"/>
    <mergeCell ref="P81:Q81"/>
    <mergeCell ref="D82:K82"/>
    <mergeCell ref="L82:M82"/>
    <mergeCell ref="N82:O82"/>
    <mergeCell ref="P82:Q82"/>
    <mergeCell ref="B73:C78"/>
    <mergeCell ref="D73:K73"/>
    <mergeCell ref="L73:M73"/>
    <mergeCell ref="N73:O73"/>
    <mergeCell ref="P73:Q73"/>
    <mergeCell ref="D74:K74"/>
    <mergeCell ref="L74:M74"/>
    <mergeCell ref="N74:O74"/>
    <mergeCell ref="P74:Q74"/>
    <mergeCell ref="D75:K75"/>
    <mergeCell ref="D77:K77"/>
    <mergeCell ref="L77:M77"/>
    <mergeCell ref="N77:O77"/>
    <mergeCell ref="P77:Q77"/>
    <mergeCell ref="D78:O78"/>
    <mergeCell ref="P78:Q78"/>
    <mergeCell ref="L75:M75"/>
    <mergeCell ref="N75:O75"/>
    <mergeCell ref="P75:Q75"/>
    <mergeCell ref="D76:K76"/>
    <mergeCell ref="L76:M76"/>
    <mergeCell ref="N76:O76"/>
    <mergeCell ref="P76:Q76"/>
    <mergeCell ref="B67:C72"/>
    <mergeCell ref="D67:K67"/>
    <mergeCell ref="L67:M67"/>
    <mergeCell ref="N67:O67"/>
    <mergeCell ref="P67:Q67"/>
    <mergeCell ref="D68:K68"/>
    <mergeCell ref="L68:M68"/>
    <mergeCell ref="N68:O68"/>
    <mergeCell ref="P68:Q68"/>
    <mergeCell ref="D69:K69"/>
    <mergeCell ref="D71:K71"/>
    <mergeCell ref="L71:M71"/>
    <mergeCell ref="N71:O71"/>
    <mergeCell ref="P71:Q71"/>
    <mergeCell ref="D72:O72"/>
    <mergeCell ref="P72:Q72"/>
    <mergeCell ref="L69:M69"/>
    <mergeCell ref="N69:O69"/>
    <mergeCell ref="P69:Q69"/>
    <mergeCell ref="D70:K70"/>
    <mergeCell ref="L70:M70"/>
    <mergeCell ref="N70:O70"/>
    <mergeCell ref="P70:Q70"/>
    <mergeCell ref="B61:C66"/>
    <mergeCell ref="D61:K61"/>
    <mergeCell ref="L61:M61"/>
    <mergeCell ref="N61:O61"/>
    <mergeCell ref="P61:Q61"/>
    <mergeCell ref="D62:K62"/>
    <mergeCell ref="L62:M62"/>
    <mergeCell ref="N62:O62"/>
    <mergeCell ref="P62:Q62"/>
    <mergeCell ref="D63:K63"/>
    <mergeCell ref="D65:K65"/>
    <mergeCell ref="L65:M65"/>
    <mergeCell ref="N65:O65"/>
    <mergeCell ref="P65:Q65"/>
    <mergeCell ref="D66:O66"/>
    <mergeCell ref="P66:Q66"/>
    <mergeCell ref="L63:M63"/>
    <mergeCell ref="N63:O63"/>
    <mergeCell ref="P63:Q63"/>
    <mergeCell ref="D64:K64"/>
    <mergeCell ref="L64:M64"/>
    <mergeCell ref="N64:O64"/>
    <mergeCell ref="P64:Q64"/>
    <mergeCell ref="B55:O55"/>
    <mergeCell ref="P55:Q55"/>
    <mergeCell ref="B60:C60"/>
    <mergeCell ref="D60:K60"/>
    <mergeCell ref="L60:M60"/>
    <mergeCell ref="N60:O60"/>
    <mergeCell ref="P60:Q60"/>
    <mergeCell ref="D53:K53"/>
    <mergeCell ref="L53:M53"/>
    <mergeCell ref="N53:O53"/>
    <mergeCell ref="P53:Q53"/>
    <mergeCell ref="D54:O54"/>
    <mergeCell ref="P54:Q54"/>
    <mergeCell ref="L51:M51"/>
    <mergeCell ref="N51:O51"/>
    <mergeCell ref="P51:Q51"/>
    <mergeCell ref="D52:K52"/>
    <mergeCell ref="L52:M52"/>
    <mergeCell ref="N52:O52"/>
    <mergeCell ref="P52:Q52"/>
    <mergeCell ref="B49:C54"/>
    <mergeCell ref="D49:K49"/>
    <mergeCell ref="L49:M49"/>
    <mergeCell ref="N49:O49"/>
    <mergeCell ref="P49:Q49"/>
    <mergeCell ref="D50:K50"/>
    <mergeCell ref="L50:M50"/>
    <mergeCell ref="N50:O50"/>
    <mergeCell ref="P50:Q50"/>
    <mergeCell ref="D51:K51"/>
    <mergeCell ref="B43:C48"/>
    <mergeCell ref="D43:K43"/>
    <mergeCell ref="L43:M43"/>
    <mergeCell ref="N43:O43"/>
    <mergeCell ref="P43:Q43"/>
    <mergeCell ref="D44:K44"/>
    <mergeCell ref="L44:M44"/>
    <mergeCell ref="N44:O44"/>
    <mergeCell ref="P44:Q44"/>
    <mergeCell ref="D45:K45"/>
    <mergeCell ref="D47:K47"/>
    <mergeCell ref="L47:M47"/>
    <mergeCell ref="N47:O47"/>
    <mergeCell ref="P47:Q47"/>
    <mergeCell ref="D48:O48"/>
    <mergeCell ref="P48:Q48"/>
    <mergeCell ref="L45:M45"/>
    <mergeCell ref="N45:O45"/>
    <mergeCell ref="P45:Q45"/>
    <mergeCell ref="D46:K46"/>
    <mergeCell ref="L46:M46"/>
    <mergeCell ref="N46:O46"/>
    <mergeCell ref="P46:Q46"/>
    <mergeCell ref="P34:Q34"/>
    <mergeCell ref="B37:C42"/>
    <mergeCell ref="D37:K37"/>
    <mergeCell ref="L37:M37"/>
    <mergeCell ref="N37:O37"/>
    <mergeCell ref="P37:Q37"/>
    <mergeCell ref="D38:K38"/>
    <mergeCell ref="L38:M38"/>
    <mergeCell ref="N38:O38"/>
    <mergeCell ref="P38:Q38"/>
    <mergeCell ref="D39:K39"/>
    <mergeCell ref="D41:K41"/>
    <mergeCell ref="L41:M41"/>
    <mergeCell ref="N41:O41"/>
    <mergeCell ref="P41:Q41"/>
    <mergeCell ref="D42:O42"/>
    <mergeCell ref="P42:Q42"/>
    <mergeCell ref="L39:M39"/>
    <mergeCell ref="N39:O39"/>
    <mergeCell ref="P39:Q39"/>
    <mergeCell ref="D40:K40"/>
    <mergeCell ref="L40:M40"/>
    <mergeCell ref="N40:O40"/>
    <mergeCell ref="P40:Q40"/>
    <mergeCell ref="N28:O28"/>
    <mergeCell ref="P28:Q28"/>
    <mergeCell ref="B31:C36"/>
    <mergeCell ref="D31:K31"/>
    <mergeCell ref="L31:M31"/>
    <mergeCell ref="N31:O31"/>
    <mergeCell ref="P31:Q31"/>
    <mergeCell ref="D32:K32"/>
    <mergeCell ref="L32:M32"/>
    <mergeCell ref="N32:O32"/>
    <mergeCell ref="P32:Q32"/>
    <mergeCell ref="D33:K33"/>
    <mergeCell ref="D35:K35"/>
    <mergeCell ref="L35:M35"/>
    <mergeCell ref="N35:O35"/>
    <mergeCell ref="P35:Q35"/>
    <mergeCell ref="D36:O36"/>
    <mergeCell ref="P36:Q36"/>
    <mergeCell ref="L33:M33"/>
    <mergeCell ref="N33:O33"/>
    <mergeCell ref="P33:Q33"/>
    <mergeCell ref="D34:K34"/>
    <mergeCell ref="L34:M34"/>
    <mergeCell ref="N34:O34"/>
    <mergeCell ref="L22:M22"/>
    <mergeCell ref="N22:O22"/>
    <mergeCell ref="P22:Q22"/>
    <mergeCell ref="B25:C30"/>
    <mergeCell ref="D25:K25"/>
    <mergeCell ref="L25:M25"/>
    <mergeCell ref="N25:O25"/>
    <mergeCell ref="P25:Q25"/>
    <mergeCell ref="D26:K26"/>
    <mergeCell ref="L26:M26"/>
    <mergeCell ref="N26:O26"/>
    <mergeCell ref="P26:Q26"/>
    <mergeCell ref="D27:K27"/>
    <mergeCell ref="D29:K29"/>
    <mergeCell ref="L29:M29"/>
    <mergeCell ref="N29:O29"/>
    <mergeCell ref="P29:Q29"/>
    <mergeCell ref="D30:O30"/>
    <mergeCell ref="P30:Q30"/>
    <mergeCell ref="L27:M27"/>
    <mergeCell ref="N27:O27"/>
    <mergeCell ref="P27:Q27"/>
    <mergeCell ref="D28:K28"/>
    <mergeCell ref="L28:M28"/>
    <mergeCell ref="D16:K16"/>
    <mergeCell ref="L16:M16"/>
    <mergeCell ref="N16:O16"/>
    <mergeCell ref="P16:Q16"/>
    <mergeCell ref="B19:C24"/>
    <mergeCell ref="D19:K19"/>
    <mergeCell ref="L19:M19"/>
    <mergeCell ref="N19:O19"/>
    <mergeCell ref="P19:Q19"/>
    <mergeCell ref="D20:K20"/>
    <mergeCell ref="L20:M20"/>
    <mergeCell ref="N20:O20"/>
    <mergeCell ref="P20:Q20"/>
    <mergeCell ref="D21:K21"/>
    <mergeCell ref="D23:K23"/>
    <mergeCell ref="L23:M23"/>
    <mergeCell ref="N23:O23"/>
    <mergeCell ref="P23:Q23"/>
    <mergeCell ref="D24:O24"/>
    <mergeCell ref="P24:Q24"/>
    <mergeCell ref="L21:M21"/>
    <mergeCell ref="N21:O21"/>
    <mergeCell ref="P21:Q21"/>
    <mergeCell ref="D22:K22"/>
    <mergeCell ref="P9:Q9"/>
    <mergeCell ref="D10:K10"/>
    <mergeCell ref="L10:M10"/>
    <mergeCell ref="N10:O10"/>
    <mergeCell ref="P10:Q10"/>
    <mergeCell ref="B13:C18"/>
    <mergeCell ref="D13:K13"/>
    <mergeCell ref="L13:M13"/>
    <mergeCell ref="N13:O13"/>
    <mergeCell ref="P13:Q13"/>
    <mergeCell ref="D14:K14"/>
    <mergeCell ref="L14:M14"/>
    <mergeCell ref="N14:O14"/>
    <mergeCell ref="P14:Q14"/>
    <mergeCell ref="D15:K15"/>
    <mergeCell ref="D17:K17"/>
    <mergeCell ref="L17:M17"/>
    <mergeCell ref="N17:O17"/>
    <mergeCell ref="P17:Q17"/>
    <mergeCell ref="D18:O18"/>
    <mergeCell ref="P18:Q18"/>
    <mergeCell ref="L15:M15"/>
    <mergeCell ref="N15:O15"/>
    <mergeCell ref="P15:Q15"/>
    <mergeCell ref="B2:Q2"/>
    <mergeCell ref="B6:C6"/>
    <mergeCell ref="D6:K6"/>
    <mergeCell ref="L6:M6"/>
    <mergeCell ref="N6:O6"/>
    <mergeCell ref="P6:Q6"/>
    <mergeCell ref="B7:C12"/>
    <mergeCell ref="D7:K7"/>
    <mergeCell ref="L7:M7"/>
    <mergeCell ref="N7:O7"/>
    <mergeCell ref="P7:Q7"/>
    <mergeCell ref="D8:K8"/>
    <mergeCell ref="L8:M8"/>
    <mergeCell ref="N8:O8"/>
    <mergeCell ref="P8:Q8"/>
    <mergeCell ref="D9:K9"/>
    <mergeCell ref="D11:K11"/>
    <mergeCell ref="L11:M11"/>
    <mergeCell ref="N11:O11"/>
    <mergeCell ref="P11:Q11"/>
    <mergeCell ref="D12:O12"/>
    <mergeCell ref="P12:Q12"/>
    <mergeCell ref="L9:M9"/>
    <mergeCell ref="N9:O9"/>
  </mergeCells>
  <dataValidations xWindow="119" yWindow="520" count="6">
    <dataValidation type="list" allowBlank="1" showInputMessage="1" showErrorMessage="1" promptTitle="Peligro:" prompt="Seleccioanar el peligro en relación a cada elemento (activo) establecido." sqref="N13:O17 N133:O137 N127:O131 N73:O77 N19:O23 N151:O155 N145:O149 N139:O143 N79:O83 N121:O125 N115:O119 N103:O107 N97:O101 N91:O95 N85:O89 N25:O29 N67:O71 N61:O65 N49:O53 N43:O47 N37:O41 N31:O35 N157:O161">
      <formula1>$B$118:$B$123</formula1>
    </dataValidation>
    <dataValidation allowBlank="1" showInputMessage="1" showErrorMessage="1" promptTitle="Elemento / Activo:" prompt="Se seleccionan de forma automática con la información proporcionada en el Área de Estudio." sqref="B43 B7 B13 B19 B25 B31 B37 B49 B97 B61 B67 B73 B79 B85 B91 B103 B151 B115 B121 B127 B133 B139 B145 B157"/>
    <dataValidation type="list" allowBlank="1" showInputMessage="1" showErrorMessage="1" promptTitle="Elemento de riesgo:" prompt="Seleccionar el elemento de riesgo al que corresponde cada MMR: Medidas de Reducción de Riesgos y MACC: Medidas de Adaptación al Cambio Climático." sqref="L7:M11 L13:M17 L157:M161 L31:M35 L37:M41 L43:M47 L49:M53 L61:M65 L67:M71 L25:M29 L85:M89 L91:M95 L97:M101 L103:M107 L115:M119 L121:M125 L79:M83 L139:M143 L145:M149 L151:M155 L19:M23 L73:M77 L127:M131 L133:M137">
      <formula1>"Fragilidad,Resiliencia,Exposición"</formula1>
    </dataValidation>
    <dataValidation allowBlank="1" showInputMessage="1" showErrorMessage="1" promptTitle="MMR &amp; MACC" prompt="Consignar las Medidas de Reducción de Riesgos y las Medidas de Adaptación al Cambio Climático, correspondiente a cada elemento (activo) establecido." sqref="E7:K11 E13:K17 E31:K35 E157:K161 E37:K41 E43:K47 E49:K53 E61:K65 E67:K71 E85:K89 D7:D54 E91:K95 E97:K101 E103:K107 E115:K119 E121:K125 E139:K143 D61:D108 E145:K149 E151:K155 E25:K29 E19:K23 E79:K83 E73:K77 E133:K137 E127:K131 D115:D162"/>
    <dataValidation allowBlank="1" showInputMessage="1" showErrorMessage="1" promptTitle="Costo:" prompt="Consignar el costo de cada MMR y MACC seleccionado, en referencia a cada elemento (activo) establecido." sqref="P7:Q11 P13:Q17 P19:Q23 P25:Q29 P31:Q35 P37:Q41 P43:Q47 P49:Q53 P61:Q65 P67:Q71 P73:Q77 P79:Q83 P85:Q89 P91:Q95 P97:Q101 P103:Q107 P115:Q119 P121:Q125 P127:Q131 P133:Q137 P139:Q143 P145:Q149 P151:Q155 P157:Q161"/>
    <dataValidation allowBlank="1" showInputMessage="1" showErrorMessage="1" promptTitle="Subtotal:" prompt="Es la suma de los costos correspondientes al activo establecido." sqref="P12:Q12 P18:Q18 P24:Q24 P30:Q30 P36:Q36 P42:Q42 P48:Q48 P54:Q54 P66:Q66 P72:Q72 P78:Q78 P84:Q84 P90:Q90 P96:Q96 P102:Q102 P108:Q108 P120:Q120 P126:Q126 P132:Q132 P138:Q138 P144:Q144 P150:Q150 P156:Q156 P162:Q162"/>
  </dataValidations>
  <pageMargins left="0.70866141732283472" right="0.70866141732283472" top="0.74803149606299213" bottom="0.74803149606299213" header="0.31496062992125984" footer="0.31496062992125984"/>
  <pageSetup paperSize="9" scale="65" orientation="landscape" r:id="rId1"/>
  <headerFooter>
    <oddHeader>&amp;L&amp;"Arial,Negrita"&amp;9MINISTERIO DE DESARROLLO AGRARIO Y RIEGO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extLst>
    <ext xmlns:x14="http://schemas.microsoft.com/office/spreadsheetml/2009/9/main" uri="{CCE6A557-97BC-4b89-ADB6-D9C93CAAB3DF}">
      <x14:dataValidations xmlns:xm="http://schemas.microsoft.com/office/excel/2006/main" xWindow="119" yWindow="520" count="1">
        <x14:dataValidation type="list" allowBlank="1" showInputMessage="1" showErrorMessage="1" promptTitle="Peligro:" prompt="Seleccioanar el peligro en relación a cada elemento (activo) establecido.">
          <x14:formula1>
            <xm:f>'[1]AREA DE ESTUDIO'!#REF!</xm:f>
          </x14:formula1>
          <xm:sqref>N7:O11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dimension ref="B2:L273"/>
  <sheetViews>
    <sheetView topLeftCell="F148" workbookViewId="0">
      <selection sqref="A1:XFD1048576"/>
    </sheetView>
  </sheetViews>
  <sheetFormatPr baseColWidth="10" defaultRowHeight="15" x14ac:dyDescent="0.25"/>
  <cols>
    <col min="1" max="1" width="3" style="50" customWidth="1"/>
    <col min="2" max="2" width="11.42578125" style="50"/>
    <col min="3" max="3" width="15.85546875" style="50" customWidth="1"/>
    <col min="4" max="4" width="19.140625" style="50" customWidth="1"/>
    <col min="5" max="5" width="18" style="50" customWidth="1"/>
    <col min="6" max="6" width="6.42578125" style="50" customWidth="1"/>
    <col min="7" max="7" width="5.7109375" style="50" customWidth="1"/>
    <col min="8" max="8" width="11.42578125" style="50"/>
    <col min="9" max="9" width="11.28515625" style="50" customWidth="1"/>
    <col min="10" max="10" width="10.85546875" style="50" customWidth="1"/>
    <col min="11" max="11" width="23.28515625" style="50" customWidth="1"/>
    <col min="12" max="12" width="34.85546875" style="50" customWidth="1"/>
    <col min="13" max="16384" width="11.42578125" style="50"/>
  </cols>
  <sheetData>
    <row r="2" spans="2:12" ht="24" customHeight="1" x14ac:dyDescent="0.25">
      <c r="B2" s="2251" t="s">
        <v>5515</v>
      </c>
      <c r="C2" s="2251"/>
      <c r="D2" s="2251"/>
      <c r="E2" s="2251"/>
      <c r="F2" s="2251"/>
      <c r="G2" s="2251"/>
      <c r="H2" s="2251"/>
      <c r="I2" s="2251"/>
      <c r="J2" s="2251"/>
      <c r="K2" s="2251"/>
      <c r="L2" s="2251"/>
    </row>
    <row r="3" spans="2:12" ht="9.75" customHeight="1" thickBot="1" x14ac:dyDescent="0.3"/>
    <row r="4" spans="2:12" ht="28.5" customHeight="1" thickBot="1" x14ac:dyDescent="0.3">
      <c r="B4" s="2252" t="s">
        <v>5516</v>
      </c>
      <c r="C4" s="2252"/>
      <c r="D4" s="2252"/>
      <c r="E4" s="2252"/>
      <c r="F4" s="2252"/>
      <c r="G4" s="2252"/>
      <c r="H4" s="2252"/>
      <c r="I4" s="2252"/>
      <c r="J4" s="2252"/>
      <c r="K4" s="2252"/>
      <c r="L4" s="2252"/>
    </row>
    <row r="5" spans="2:12" ht="5.25" customHeight="1" thickBot="1" x14ac:dyDescent="0.3"/>
    <row r="6" spans="2:12" ht="27" customHeight="1" thickBot="1" x14ac:dyDescent="0.3">
      <c r="B6" s="2253" t="str">
        <f>CONCATENATE("IDENTIFICACIÓN"," DEL PELIGRO ",UPPER(K6))</f>
        <v xml:space="preserve">IDENTIFICACIÓN DEL PELIGRO </v>
      </c>
      <c r="C6" s="2256" t="s">
        <v>5517</v>
      </c>
      <c r="D6" s="2257"/>
      <c r="E6" s="2257"/>
      <c r="F6" s="2257"/>
      <c r="G6" s="2257"/>
      <c r="H6" s="2257"/>
      <c r="I6" s="2257"/>
      <c r="J6" s="2258"/>
      <c r="K6" s="2259" t="str">
        <f>UPPER(IF('AREA DE ESTUDIO'!B123="","",'AREA DE ESTUDIO'!B123))</f>
        <v/>
      </c>
      <c r="L6" s="2260"/>
    </row>
    <row r="7" spans="2:12" ht="18.75" customHeight="1" thickBot="1" x14ac:dyDescent="0.3">
      <c r="B7" s="2254"/>
      <c r="C7" s="2256" t="s">
        <v>5449</v>
      </c>
      <c r="D7" s="2258"/>
      <c r="E7" s="2257" t="s">
        <v>5450</v>
      </c>
      <c r="F7" s="2257"/>
      <c r="G7" s="2257"/>
      <c r="H7" s="2256" t="s">
        <v>5451</v>
      </c>
      <c r="I7" s="2257"/>
      <c r="J7" s="2258"/>
      <c r="K7" s="2261" t="s">
        <v>26</v>
      </c>
      <c r="L7" s="2262"/>
    </row>
    <row r="8" spans="2:12" ht="24" customHeight="1" thickBot="1" x14ac:dyDescent="0.3">
      <c r="B8" s="2254"/>
      <c r="C8" s="2263" t="str">
        <f>IFERROR(IF('AREA DE ESTUDIO'!G123="","",'AREA DE ESTUDIO'!G123),"")</f>
        <v/>
      </c>
      <c r="D8" s="2260"/>
      <c r="E8" s="2259" t="str">
        <f>IFERROR(IF('AREA DE ESTUDIO'!L123="","",'AREA DE ESTUDIO'!L123),"")</f>
        <v/>
      </c>
      <c r="F8" s="2259"/>
      <c r="G8" s="2259"/>
      <c r="H8" s="2263" t="str">
        <f>IFERROR(IF('AREA DE ESTUDIO'!Q123="","",'AREA DE ESTUDIO'!Q123),"")</f>
        <v/>
      </c>
      <c r="I8" s="2259"/>
      <c r="J8" s="2260"/>
      <c r="K8" s="2264" t="str">
        <f>IFERROR(IF('Area de Impacto'!E28="","",'Area de Impacto'!E28),"")</f>
        <v>Sistema de Información para la Gestión del Riesgo de Desastres (SIGRID)</v>
      </c>
      <c r="L8" s="2265"/>
    </row>
    <row r="9" spans="2:12" ht="21" customHeight="1" thickBot="1" x14ac:dyDescent="0.3">
      <c r="B9" s="2254"/>
      <c r="C9" s="2266" t="s">
        <v>5518</v>
      </c>
      <c r="D9" s="2267"/>
      <c r="E9" s="2268"/>
      <c r="F9" s="2266" t="s">
        <v>5519</v>
      </c>
      <c r="G9" s="2267"/>
      <c r="H9" s="2267"/>
      <c r="I9" s="2267"/>
      <c r="J9" s="2267"/>
      <c r="K9" s="2267"/>
      <c r="L9" s="2268"/>
    </row>
    <row r="10" spans="2:12" ht="16.5" customHeight="1" thickTop="1" thickBot="1" x14ac:dyDescent="0.3">
      <c r="B10" s="2254"/>
      <c r="C10" s="2269" t="str">
        <f>IFERROR(IF('UNIDAD PRODUCTORA'!$B$96="","",'UNIDAD PRODUCTORA'!$B$96),"")</f>
        <v/>
      </c>
      <c r="D10" s="2272" t="s">
        <v>5510</v>
      </c>
      <c r="E10" s="2273"/>
      <c r="F10" s="2278" t="s">
        <v>29</v>
      </c>
      <c r="G10" s="2279"/>
      <c r="H10" s="761"/>
      <c r="I10" s="2280" t="s">
        <v>5520</v>
      </c>
      <c r="J10" s="2281"/>
      <c r="K10" s="2281"/>
      <c r="L10" s="2282"/>
    </row>
    <row r="11" spans="2:12" ht="15.75" thickBot="1" x14ac:dyDescent="0.3">
      <c r="B11" s="2254"/>
      <c r="C11" s="2270"/>
      <c r="D11" s="2274"/>
      <c r="E11" s="2275"/>
      <c r="F11" s="2283" t="s">
        <v>28</v>
      </c>
      <c r="G11" s="2284"/>
      <c r="H11" s="762"/>
      <c r="I11" s="2285" t="s">
        <v>5521</v>
      </c>
      <c r="J11" s="2286"/>
      <c r="K11" s="2286"/>
      <c r="L11" s="2287"/>
    </row>
    <row r="12" spans="2:12" ht="15.75" thickBot="1" x14ac:dyDescent="0.3">
      <c r="B12" s="2254"/>
      <c r="C12" s="2270"/>
      <c r="D12" s="2276"/>
      <c r="E12" s="2277"/>
      <c r="F12" s="2276"/>
      <c r="G12" s="2277"/>
      <c r="H12" s="762"/>
      <c r="I12" s="2285" t="s">
        <v>5522</v>
      </c>
      <c r="J12" s="2286"/>
      <c r="K12" s="2286"/>
      <c r="L12" s="2287"/>
    </row>
    <row r="13" spans="2:12" ht="27.75" customHeight="1" thickBot="1" x14ac:dyDescent="0.3">
      <c r="B13" s="2254"/>
      <c r="C13" s="2270"/>
      <c r="D13" s="2285" t="s">
        <v>5523</v>
      </c>
      <c r="E13" s="2287"/>
      <c r="F13" s="2285" t="str">
        <f>IFERROR(IF(Vulnerabilidad!J8="","",Vulnerabilidad!J8),"")</f>
        <v/>
      </c>
      <c r="G13" s="2287"/>
      <c r="H13" s="2290" t="str">
        <f>IF(F13="","",(F13+F14)/2)</f>
        <v/>
      </c>
      <c r="I13" s="2292" t="str">
        <f>IFERROR(IF(Vulnerabilidad!F8="","",Vulnerabilidad!F8),"")</f>
        <v/>
      </c>
      <c r="J13" s="2293"/>
      <c r="K13" s="2293"/>
      <c r="L13" s="2294"/>
    </row>
    <row r="14" spans="2:12" ht="27.75" customHeight="1" thickBot="1" x14ac:dyDescent="0.3">
      <c r="B14" s="2254"/>
      <c r="C14" s="2271"/>
      <c r="D14" s="2295" t="s">
        <v>5524</v>
      </c>
      <c r="E14" s="2296"/>
      <c r="F14" s="2295" t="str">
        <f>IFERROR(IF(Vulnerabilidad!P8="","",Vulnerabilidad!P8),"")</f>
        <v/>
      </c>
      <c r="G14" s="2296"/>
      <c r="H14" s="2291"/>
      <c r="I14" s="2297" t="str">
        <f>IFERROR(IF(Vulnerabilidad!K8="","",Vulnerabilidad!K8),"")</f>
        <v/>
      </c>
      <c r="J14" s="2298"/>
      <c r="K14" s="2298"/>
      <c r="L14" s="2299"/>
    </row>
    <row r="15" spans="2:12" ht="16.5" thickTop="1" thickBot="1" x14ac:dyDescent="0.3">
      <c r="B15" s="2254"/>
      <c r="C15" s="2269" t="str">
        <f>IFERROR(IF('UNIDAD PRODUCTORA'!$B$102="","",'UNIDAD PRODUCTORA'!$B$102),"")</f>
        <v/>
      </c>
      <c r="D15" s="2272" t="s">
        <v>5510</v>
      </c>
      <c r="E15" s="2273"/>
      <c r="F15" s="2280" t="s">
        <v>29</v>
      </c>
      <c r="G15" s="2282"/>
      <c r="H15" s="761"/>
      <c r="I15" s="2280" t="s">
        <v>5520</v>
      </c>
      <c r="J15" s="2281"/>
      <c r="K15" s="2281"/>
      <c r="L15" s="2282"/>
    </row>
    <row r="16" spans="2:12" ht="15.75" customHeight="1" thickBot="1" x14ac:dyDescent="0.3">
      <c r="B16" s="2254"/>
      <c r="C16" s="2270"/>
      <c r="D16" s="2274"/>
      <c r="E16" s="2275"/>
      <c r="F16" s="2283" t="s">
        <v>28</v>
      </c>
      <c r="G16" s="2284"/>
      <c r="H16" s="762"/>
      <c r="I16" s="2285" t="s">
        <v>5521</v>
      </c>
      <c r="J16" s="2286"/>
      <c r="K16" s="2286"/>
      <c r="L16" s="2287"/>
    </row>
    <row r="17" spans="2:12" ht="15.75" customHeight="1" thickBot="1" x14ac:dyDescent="0.3">
      <c r="B17" s="2254"/>
      <c r="C17" s="2270"/>
      <c r="D17" s="2276"/>
      <c r="E17" s="2277"/>
      <c r="F17" s="2276"/>
      <c r="G17" s="2277"/>
      <c r="H17" s="762"/>
      <c r="I17" s="2285" t="s">
        <v>5522</v>
      </c>
      <c r="J17" s="2286"/>
      <c r="K17" s="2286"/>
      <c r="L17" s="2287"/>
    </row>
    <row r="18" spans="2:12" ht="33.75" customHeight="1" thickBot="1" x14ac:dyDescent="0.3">
      <c r="B18" s="2254"/>
      <c r="C18" s="2270"/>
      <c r="D18" s="2285" t="s">
        <v>5523</v>
      </c>
      <c r="E18" s="2287"/>
      <c r="F18" s="2285" t="str">
        <f>IFERROR(IF(Vulnerabilidad!J9="","",Vulnerabilidad!J9),"")</f>
        <v/>
      </c>
      <c r="G18" s="2287"/>
      <c r="H18" s="2290" t="str">
        <f>IF(F18="","",(F18+F19)/2)</f>
        <v/>
      </c>
      <c r="I18" s="2292" t="str">
        <f>IFERROR(IF(Vulnerabilidad!F9="","",Vulnerabilidad!F9),"")</f>
        <v/>
      </c>
      <c r="J18" s="2293"/>
      <c r="K18" s="2293"/>
      <c r="L18" s="2294"/>
    </row>
    <row r="19" spans="2:12" ht="33.75" customHeight="1" thickBot="1" x14ac:dyDescent="0.3">
      <c r="B19" s="2254"/>
      <c r="C19" s="2271"/>
      <c r="D19" s="2295" t="s">
        <v>5524</v>
      </c>
      <c r="E19" s="2296"/>
      <c r="F19" s="2295" t="str">
        <f>IFERROR(IF(Vulnerabilidad!P9="","",Vulnerabilidad!P9),"")</f>
        <v/>
      </c>
      <c r="G19" s="2296"/>
      <c r="H19" s="2291"/>
      <c r="I19" s="2297" t="str">
        <f>IFERROR(IF(Vulnerabilidad!K9="","",Vulnerabilidad!K9),"")</f>
        <v/>
      </c>
      <c r="J19" s="2298"/>
      <c r="K19" s="2298"/>
      <c r="L19" s="2299"/>
    </row>
    <row r="20" spans="2:12" ht="16.5" thickTop="1" thickBot="1" x14ac:dyDescent="0.3">
      <c r="B20" s="2254"/>
      <c r="C20" s="2269" t="str">
        <f>IFERROR(IF('UNIDAD PRODUCTORA'!$B$108="","",'UNIDAD PRODUCTORA'!$B$108),"")</f>
        <v/>
      </c>
      <c r="D20" s="2272"/>
      <c r="E20" s="2273"/>
      <c r="F20" s="2280" t="s">
        <v>29</v>
      </c>
      <c r="G20" s="2282"/>
      <c r="H20" s="761"/>
      <c r="I20" s="2280" t="s">
        <v>5520</v>
      </c>
      <c r="J20" s="2281"/>
      <c r="K20" s="2281"/>
      <c r="L20" s="2282"/>
    </row>
    <row r="21" spans="2:12" ht="15.75" customHeight="1" thickBot="1" x14ac:dyDescent="0.3">
      <c r="B21" s="2254"/>
      <c r="C21" s="2270"/>
      <c r="D21" s="2274" t="s">
        <v>5510</v>
      </c>
      <c r="E21" s="2275"/>
      <c r="F21" s="2301" t="s">
        <v>28</v>
      </c>
      <c r="G21" s="2302"/>
      <c r="H21" s="762"/>
      <c r="I21" s="2285" t="s">
        <v>5521</v>
      </c>
      <c r="J21" s="2286"/>
      <c r="K21" s="2286"/>
      <c r="L21" s="2287"/>
    </row>
    <row r="22" spans="2:12" ht="15.75" customHeight="1" thickBot="1" x14ac:dyDescent="0.3">
      <c r="B22" s="2254"/>
      <c r="C22" s="2270"/>
      <c r="D22" s="2288"/>
      <c r="E22" s="2289"/>
      <c r="F22" s="2303"/>
      <c r="G22" s="2304"/>
      <c r="H22" s="762"/>
      <c r="I22" s="2285" t="s">
        <v>5522</v>
      </c>
      <c r="J22" s="2286"/>
      <c r="K22" s="2286"/>
      <c r="L22" s="2287"/>
    </row>
    <row r="23" spans="2:12" ht="32.25" customHeight="1" thickBot="1" x14ac:dyDescent="0.3">
      <c r="B23" s="2254"/>
      <c r="C23" s="2270"/>
      <c r="D23" s="2285" t="s">
        <v>5523</v>
      </c>
      <c r="E23" s="2287"/>
      <c r="F23" s="2285" t="str">
        <f>IFERROR(IF(Vulnerabilidad!J10="","",Vulnerabilidad!J10),"")</f>
        <v/>
      </c>
      <c r="G23" s="2287"/>
      <c r="H23" s="2290" t="str">
        <f>IF(F23="","",(F23+F24)/2)</f>
        <v/>
      </c>
      <c r="I23" s="2292" t="str">
        <f>IFERROR(IF(Vulnerabilidad!F10="","",Vulnerabilidad!F10),"")</f>
        <v/>
      </c>
      <c r="J23" s="2293"/>
      <c r="K23" s="2293"/>
      <c r="L23" s="2294"/>
    </row>
    <row r="24" spans="2:12" ht="32.25" customHeight="1" thickBot="1" x14ac:dyDescent="0.3">
      <c r="B24" s="2254"/>
      <c r="C24" s="2300"/>
      <c r="D24" s="2285" t="s">
        <v>5524</v>
      </c>
      <c r="E24" s="2287"/>
      <c r="F24" s="2295" t="str">
        <f>IFERROR(IF(Vulnerabilidad!P10="","",Vulnerabilidad!P10),"")</f>
        <v/>
      </c>
      <c r="G24" s="2296"/>
      <c r="H24" s="2291"/>
      <c r="I24" s="2297" t="str">
        <f>IFERROR(IF(Vulnerabilidad!K10="","",Vulnerabilidad!K10),"")</f>
        <v/>
      </c>
      <c r="J24" s="2298"/>
      <c r="K24" s="2298"/>
      <c r="L24" s="2299"/>
    </row>
    <row r="25" spans="2:12" ht="16.5" thickTop="1" thickBot="1" x14ac:dyDescent="0.3">
      <c r="B25" s="2254"/>
      <c r="C25" s="2269" t="str">
        <f>IFERROR(IF('UNIDAD PRODUCTORA'!$B$114="","",'UNIDAD PRODUCTORA'!$B$114),"")</f>
        <v/>
      </c>
      <c r="D25" s="2272"/>
      <c r="E25" s="2273"/>
      <c r="F25" s="2280" t="s">
        <v>29</v>
      </c>
      <c r="G25" s="2282"/>
      <c r="H25" s="761"/>
      <c r="I25" s="2280" t="s">
        <v>5520</v>
      </c>
      <c r="J25" s="2281"/>
      <c r="K25" s="2281"/>
      <c r="L25" s="2282"/>
    </row>
    <row r="26" spans="2:12" ht="15.75" customHeight="1" thickBot="1" x14ac:dyDescent="0.3">
      <c r="B26" s="2254"/>
      <c r="C26" s="2270"/>
      <c r="D26" s="2274" t="s">
        <v>5510</v>
      </c>
      <c r="E26" s="2275"/>
      <c r="F26" s="2301" t="s">
        <v>28</v>
      </c>
      <c r="G26" s="2302"/>
      <c r="H26" s="762"/>
      <c r="I26" s="2285" t="s">
        <v>5521</v>
      </c>
      <c r="J26" s="2286"/>
      <c r="K26" s="2286"/>
      <c r="L26" s="2287"/>
    </row>
    <row r="27" spans="2:12" ht="15.75" customHeight="1" thickBot="1" x14ac:dyDescent="0.3">
      <c r="B27" s="2254"/>
      <c r="C27" s="2270"/>
      <c r="D27" s="2288"/>
      <c r="E27" s="2289"/>
      <c r="F27" s="2303"/>
      <c r="G27" s="2304"/>
      <c r="H27" s="762"/>
      <c r="I27" s="2285" t="s">
        <v>5522</v>
      </c>
      <c r="J27" s="2286"/>
      <c r="K27" s="2286"/>
      <c r="L27" s="2287"/>
    </row>
    <row r="28" spans="2:12" ht="32.25" customHeight="1" thickBot="1" x14ac:dyDescent="0.3">
      <c r="B28" s="2254"/>
      <c r="C28" s="2270"/>
      <c r="D28" s="2285" t="s">
        <v>5523</v>
      </c>
      <c r="E28" s="2287"/>
      <c r="F28" s="2285" t="str">
        <f>IFERROR(IF(Vulnerabilidad!J11="","",Vulnerabilidad!J11),"")</f>
        <v/>
      </c>
      <c r="G28" s="2287"/>
      <c r="H28" s="2290" t="str">
        <f>IF(F28="","",(F28+F29)/2)</f>
        <v/>
      </c>
      <c r="I28" s="2292" t="str">
        <f>IFERROR(IF(Vulnerabilidad!F11="","",Vulnerabilidad!F11),"")</f>
        <v/>
      </c>
      <c r="J28" s="2293"/>
      <c r="K28" s="2293"/>
      <c r="L28" s="2294"/>
    </row>
    <row r="29" spans="2:12" ht="32.25" customHeight="1" thickBot="1" x14ac:dyDescent="0.3">
      <c r="B29" s="2254"/>
      <c r="C29" s="2300"/>
      <c r="D29" s="2285" t="s">
        <v>5524</v>
      </c>
      <c r="E29" s="2287"/>
      <c r="F29" s="2295" t="str">
        <f>IFERROR(IF(Vulnerabilidad!P11="","",Vulnerabilidad!P11),"")</f>
        <v/>
      </c>
      <c r="G29" s="2296"/>
      <c r="H29" s="2291"/>
      <c r="I29" s="2297" t="str">
        <f>IFERROR(IF(Vulnerabilidad!K11="","",Vulnerabilidad!K11),"")</f>
        <v/>
      </c>
      <c r="J29" s="2298"/>
      <c r="K29" s="2298"/>
      <c r="L29" s="2299"/>
    </row>
    <row r="30" spans="2:12" ht="16.5" thickTop="1" thickBot="1" x14ac:dyDescent="0.3">
      <c r="B30" s="2254"/>
      <c r="C30" s="2269" t="str">
        <f>IFERROR(IF('UNIDAD PRODUCTORA'!$B$120="","",'UNIDAD PRODUCTORA'!$B$120),"")</f>
        <v/>
      </c>
      <c r="D30" s="2272"/>
      <c r="E30" s="2273"/>
      <c r="F30" s="2280" t="s">
        <v>29</v>
      </c>
      <c r="G30" s="2282"/>
      <c r="H30" s="761"/>
      <c r="I30" s="2280" t="s">
        <v>5520</v>
      </c>
      <c r="J30" s="2281"/>
      <c r="K30" s="2281"/>
      <c r="L30" s="2282"/>
    </row>
    <row r="31" spans="2:12" ht="15.75" customHeight="1" thickBot="1" x14ac:dyDescent="0.3">
      <c r="B31" s="2254"/>
      <c r="C31" s="2270"/>
      <c r="D31" s="2274" t="s">
        <v>5510</v>
      </c>
      <c r="E31" s="2275"/>
      <c r="F31" s="2301" t="s">
        <v>28</v>
      </c>
      <c r="G31" s="2302"/>
      <c r="H31" s="762"/>
      <c r="I31" s="2285" t="s">
        <v>5521</v>
      </c>
      <c r="J31" s="2286"/>
      <c r="K31" s="2286"/>
      <c r="L31" s="2287"/>
    </row>
    <row r="32" spans="2:12" ht="15.75" customHeight="1" thickBot="1" x14ac:dyDescent="0.3">
      <c r="B32" s="2254"/>
      <c r="C32" s="2270"/>
      <c r="D32" s="2288"/>
      <c r="E32" s="2289"/>
      <c r="F32" s="2303"/>
      <c r="G32" s="2304"/>
      <c r="H32" s="762"/>
      <c r="I32" s="2285" t="s">
        <v>5522</v>
      </c>
      <c r="J32" s="2286"/>
      <c r="K32" s="2286"/>
      <c r="L32" s="2287"/>
    </row>
    <row r="33" spans="2:12" ht="28.5" customHeight="1" thickBot="1" x14ac:dyDescent="0.3">
      <c r="B33" s="2254"/>
      <c r="C33" s="2270"/>
      <c r="D33" s="2285" t="s">
        <v>5523</v>
      </c>
      <c r="E33" s="2287"/>
      <c r="F33" s="2285" t="str">
        <f>IFERROR(IF(Vulnerabilidad!J12="","",Vulnerabilidad!J12),"")</f>
        <v/>
      </c>
      <c r="G33" s="2287"/>
      <c r="H33" s="2290" t="str">
        <f>IF(F33="","",(F33+F34)/2)</f>
        <v/>
      </c>
      <c r="I33" s="2292" t="str">
        <f>IFERROR(IF(Vulnerabilidad!F12="","",Vulnerabilidad!F12),"")</f>
        <v/>
      </c>
      <c r="J33" s="2293"/>
      <c r="K33" s="2293"/>
      <c r="L33" s="2294"/>
    </row>
    <row r="34" spans="2:12" ht="28.5" customHeight="1" thickBot="1" x14ac:dyDescent="0.3">
      <c r="B34" s="2254"/>
      <c r="C34" s="2300"/>
      <c r="D34" s="2285" t="s">
        <v>5524</v>
      </c>
      <c r="E34" s="2287"/>
      <c r="F34" s="2295" t="str">
        <f>IFERROR(IF(Vulnerabilidad!P12="","",Vulnerabilidad!P12),"")</f>
        <v/>
      </c>
      <c r="G34" s="2296"/>
      <c r="H34" s="2291"/>
      <c r="I34" s="2297" t="str">
        <f>IFERROR(IF(Vulnerabilidad!K12="","",Vulnerabilidad!K12),"")</f>
        <v/>
      </c>
      <c r="J34" s="2298"/>
      <c r="K34" s="2298"/>
      <c r="L34" s="2299"/>
    </row>
    <row r="35" spans="2:12" ht="16.5" thickTop="1" thickBot="1" x14ac:dyDescent="0.3">
      <c r="B35" s="2254"/>
      <c r="C35" s="2269" t="str">
        <f>IFERROR(IF('UNIDAD PRODUCTORA'!$B$126="","",'UNIDAD PRODUCTORA'!$B$126),"")</f>
        <v/>
      </c>
      <c r="D35" s="2272"/>
      <c r="E35" s="2273"/>
      <c r="F35" s="2280" t="s">
        <v>29</v>
      </c>
      <c r="G35" s="2282"/>
      <c r="H35" s="761"/>
      <c r="I35" s="2280" t="s">
        <v>5520</v>
      </c>
      <c r="J35" s="2281"/>
      <c r="K35" s="2281"/>
      <c r="L35" s="2282"/>
    </row>
    <row r="36" spans="2:12" ht="15.75" customHeight="1" thickBot="1" x14ac:dyDescent="0.3">
      <c r="B36" s="2254"/>
      <c r="C36" s="2270"/>
      <c r="D36" s="2274" t="s">
        <v>5510</v>
      </c>
      <c r="E36" s="2275"/>
      <c r="F36" s="2301" t="s">
        <v>28</v>
      </c>
      <c r="G36" s="2302"/>
      <c r="H36" s="762"/>
      <c r="I36" s="2285" t="s">
        <v>5521</v>
      </c>
      <c r="J36" s="2286"/>
      <c r="K36" s="2286"/>
      <c r="L36" s="2287"/>
    </row>
    <row r="37" spans="2:12" ht="15.75" customHeight="1" thickBot="1" x14ac:dyDescent="0.3">
      <c r="B37" s="2254"/>
      <c r="C37" s="2270"/>
      <c r="D37" s="2288"/>
      <c r="E37" s="2289"/>
      <c r="F37" s="2303"/>
      <c r="G37" s="2304"/>
      <c r="H37" s="762"/>
      <c r="I37" s="2285" t="s">
        <v>5522</v>
      </c>
      <c r="J37" s="2286"/>
      <c r="K37" s="2286"/>
      <c r="L37" s="2287"/>
    </row>
    <row r="38" spans="2:12" ht="32.25" customHeight="1" thickBot="1" x14ac:dyDescent="0.3">
      <c r="B38" s="2254"/>
      <c r="C38" s="2270"/>
      <c r="D38" s="2285" t="s">
        <v>5523</v>
      </c>
      <c r="E38" s="2287"/>
      <c r="F38" s="2285" t="str">
        <f>IFERROR(IF(Vulnerabilidad!J13="","",Vulnerabilidad!J13),"")</f>
        <v/>
      </c>
      <c r="G38" s="2287"/>
      <c r="H38" s="2290" t="str">
        <f>IF(F38="","",(F38+F39)/2)</f>
        <v/>
      </c>
      <c r="I38" s="2292" t="str">
        <f>IFERROR(IF(Vulnerabilidad!F13="","",Vulnerabilidad!F13),"")</f>
        <v/>
      </c>
      <c r="J38" s="2293"/>
      <c r="K38" s="2293"/>
      <c r="L38" s="2294"/>
    </row>
    <row r="39" spans="2:12" ht="32.25" customHeight="1" thickBot="1" x14ac:dyDescent="0.3">
      <c r="B39" s="2254"/>
      <c r="C39" s="2300"/>
      <c r="D39" s="2285" t="s">
        <v>5524</v>
      </c>
      <c r="E39" s="2287"/>
      <c r="F39" s="2285" t="str">
        <f>IFERROR(IF(Vulnerabilidad!P13="","",Vulnerabilidad!P13),"")</f>
        <v/>
      </c>
      <c r="G39" s="2287"/>
      <c r="H39" s="2319"/>
      <c r="I39" s="2316" t="str">
        <f>IFERROR(IF(Vulnerabilidad!K13="","",Vulnerabilidad!K13),"")</f>
        <v/>
      </c>
      <c r="J39" s="2317"/>
      <c r="K39" s="2317"/>
      <c r="L39" s="2318"/>
    </row>
    <row r="40" spans="2:12" ht="69.75" customHeight="1" thickBot="1" x14ac:dyDescent="0.3">
      <c r="B40" s="2254"/>
      <c r="C40" s="2305" t="s">
        <v>5525</v>
      </c>
      <c r="D40" s="2285" t="s">
        <v>5526</v>
      </c>
      <c r="E40" s="2287"/>
      <c r="F40" s="2307" t="str">
        <f>IFERROR(IF(Vulnerabilidad!I51="","",Vulnerabilidad!I51),"")</f>
        <v/>
      </c>
      <c r="G40" s="2308"/>
      <c r="H40" s="2309" t="str">
        <f>IF(F40="","",(F40+F41)/2)</f>
        <v/>
      </c>
      <c r="I40" s="2311" t="str">
        <f>IFERROR(IF(Vulnerabilidad!D51="","",Vulnerabilidad!D51),"")</f>
        <v/>
      </c>
      <c r="J40" s="2312"/>
      <c r="K40" s="2312"/>
      <c r="L40" s="2313"/>
    </row>
    <row r="41" spans="2:12" ht="86.25" customHeight="1" thickBot="1" x14ac:dyDescent="0.3">
      <c r="B41" s="2254"/>
      <c r="C41" s="2306"/>
      <c r="D41" s="2285" t="s">
        <v>5527</v>
      </c>
      <c r="E41" s="2287"/>
      <c r="F41" s="2314" t="str">
        <f>IFERROR(IF(Vulnerabilidad!P51="","",Vulnerabilidad!P51),"")</f>
        <v/>
      </c>
      <c r="G41" s="2315"/>
      <c r="H41" s="2310"/>
      <c r="I41" s="2316" t="str">
        <f>IFERROR(IF(Vulnerabilidad!J51="","",Vulnerabilidad!J51),"")</f>
        <v/>
      </c>
      <c r="J41" s="2317"/>
      <c r="K41" s="2317"/>
      <c r="L41" s="2318"/>
    </row>
    <row r="42" spans="2:12" ht="25.5" customHeight="1" thickBot="1" x14ac:dyDescent="0.3">
      <c r="B42" s="2255"/>
      <c r="C42" s="2256" t="s">
        <v>5528</v>
      </c>
      <c r="D42" s="2257"/>
      <c r="E42" s="2257"/>
      <c r="F42" s="2257"/>
      <c r="G42" s="2258"/>
      <c r="H42" s="2263" t="str">
        <f>IFERROR(IF(Vulnerabilidad!R51="","",Vulnerabilidad!R51),"")</f>
        <v/>
      </c>
      <c r="I42" s="2259"/>
      <c r="J42" s="2259"/>
      <c r="K42" s="2259"/>
      <c r="L42" s="2260"/>
    </row>
    <row r="43" spans="2:12" ht="7.5" customHeight="1" thickBot="1" x14ac:dyDescent="0.3">
      <c r="L43" s="760"/>
    </row>
    <row r="44" spans="2:12" ht="9" customHeight="1" thickBot="1" x14ac:dyDescent="0.3">
      <c r="B44" s="2320" t="str">
        <f>IF(G46="","",CONCATENATE("Resumen de la incorporación de la GdR en CCC del PI de mejoramiento y ampliación de ",G46))</f>
        <v/>
      </c>
      <c r="C44" s="2320"/>
      <c r="D44" s="2320"/>
      <c r="E44" s="2320"/>
      <c r="F44" s="2320"/>
      <c r="G44" s="2320"/>
      <c r="H44" s="2320"/>
      <c r="I44" s="2320"/>
      <c r="J44" s="2320"/>
      <c r="K44" s="2320"/>
      <c r="L44" s="2320"/>
    </row>
    <row r="45" spans="2:12" ht="7.5" customHeight="1" thickBot="1" x14ac:dyDescent="0.3"/>
    <row r="46" spans="2:12" ht="23.25" customHeight="1" thickBot="1" x14ac:dyDescent="0.3">
      <c r="B46" s="2253" t="str">
        <f>CONCATENATE("IDENTIFICACIÓN"," DEL PELIGRO ",UPPER(K46))</f>
        <v xml:space="preserve">IDENTIFICACIÓN DEL PELIGRO </v>
      </c>
      <c r="C46" s="2256" t="s">
        <v>5517</v>
      </c>
      <c r="D46" s="2257"/>
      <c r="E46" s="2257"/>
      <c r="F46" s="2257"/>
      <c r="G46" s="2257"/>
      <c r="H46" s="2257"/>
      <c r="I46" s="2257"/>
      <c r="J46" s="2258"/>
      <c r="K46" s="2263" t="str">
        <f>IFERROR(UPPER(IF('AREA DE ESTUDIO'!B124="","",'AREA DE ESTUDIO'!B124)),"")</f>
        <v/>
      </c>
      <c r="L46" s="2260"/>
    </row>
    <row r="47" spans="2:12" ht="18" customHeight="1" thickBot="1" x14ac:dyDescent="0.3">
      <c r="B47" s="2254"/>
      <c r="C47" s="2256" t="s">
        <v>5449</v>
      </c>
      <c r="D47" s="2258"/>
      <c r="E47" s="2256" t="s">
        <v>5450</v>
      </c>
      <c r="F47" s="2257"/>
      <c r="G47" s="2258"/>
      <c r="H47" s="2257" t="s">
        <v>5451</v>
      </c>
      <c r="I47" s="2257"/>
      <c r="J47" s="2258"/>
      <c r="K47" s="2261" t="s">
        <v>26</v>
      </c>
      <c r="L47" s="2262"/>
    </row>
    <row r="48" spans="2:12" ht="30" customHeight="1" thickBot="1" x14ac:dyDescent="0.3">
      <c r="B48" s="2254"/>
      <c r="C48" s="2263" t="str">
        <f>IFERROR(IF('AREA DE ESTUDIO'!G124="","",'AREA DE ESTUDIO'!G124),"")</f>
        <v/>
      </c>
      <c r="D48" s="2260"/>
      <c r="E48" s="2259" t="str">
        <f>IFERROR(IF('AREA DE ESTUDIO'!L124="","",'AREA DE ESTUDIO'!L124),"")</f>
        <v/>
      </c>
      <c r="F48" s="2259"/>
      <c r="G48" s="2259"/>
      <c r="H48" s="2263" t="str">
        <f>IFERROR(IF('AREA DE ESTUDIO'!Q124="","",'AREA DE ESTUDIO'!Q124),"")</f>
        <v/>
      </c>
      <c r="I48" s="2259"/>
      <c r="J48" s="2260"/>
      <c r="K48" s="2264" t="str">
        <f>IFERROR(IF('Area de Impacto'!E56="","",'Area de Impacto'!E56),"")</f>
        <v/>
      </c>
      <c r="L48" s="2265"/>
    </row>
    <row r="49" spans="2:12" ht="15.75" customHeight="1" thickBot="1" x14ac:dyDescent="0.3">
      <c r="B49" s="2254"/>
      <c r="C49" s="2266" t="s">
        <v>5518</v>
      </c>
      <c r="D49" s="2267"/>
      <c r="E49" s="2268"/>
      <c r="F49" s="2266" t="s">
        <v>5519</v>
      </c>
      <c r="G49" s="2267"/>
      <c r="H49" s="2267"/>
      <c r="I49" s="2267"/>
      <c r="J49" s="2267"/>
      <c r="K49" s="2267"/>
      <c r="L49" s="2268"/>
    </row>
    <row r="50" spans="2:12" ht="16.5" customHeight="1" thickTop="1" thickBot="1" x14ac:dyDescent="0.3">
      <c r="B50" s="2254"/>
      <c r="C50" s="2269" t="str">
        <f>IFERROR(IF('UNIDAD PRODUCTORA'!$B$96="","",'UNIDAD PRODUCTORA'!$B$96),"")</f>
        <v/>
      </c>
      <c r="D50" s="2272" t="s">
        <v>5510</v>
      </c>
      <c r="E50" s="2273"/>
      <c r="F50" s="2278" t="s">
        <v>29</v>
      </c>
      <c r="G50" s="2279"/>
      <c r="H50" s="761"/>
      <c r="I50" s="2280" t="s">
        <v>5520</v>
      </c>
      <c r="J50" s="2281"/>
      <c r="K50" s="2281"/>
      <c r="L50" s="2282"/>
    </row>
    <row r="51" spans="2:12" ht="15.75" customHeight="1" thickBot="1" x14ac:dyDescent="0.3">
      <c r="B51" s="2254"/>
      <c r="C51" s="2270"/>
      <c r="D51" s="2274"/>
      <c r="E51" s="2275"/>
      <c r="F51" s="2283" t="s">
        <v>28</v>
      </c>
      <c r="G51" s="2284"/>
      <c r="H51" s="762"/>
      <c r="I51" s="2285" t="s">
        <v>5521</v>
      </c>
      <c r="J51" s="2286"/>
      <c r="K51" s="2286"/>
      <c r="L51" s="2287"/>
    </row>
    <row r="52" spans="2:12" ht="15.75" customHeight="1" thickBot="1" x14ac:dyDescent="0.3">
      <c r="B52" s="2254"/>
      <c r="C52" s="2270"/>
      <c r="D52" s="2276"/>
      <c r="E52" s="2277"/>
      <c r="F52" s="2276"/>
      <c r="G52" s="2277"/>
      <c r="H52" s="762"/>
      <c r="I52" s="2285" t="s">
        <v>5522</v>
      </c>
      <c r="J52" s="2286"/>
      <c r="K52" s="2286"/>
      <c r="L52" s="2287"/>
    </row>
    <row r="53" spans="2:12" ht="27.75" customHeight="1" thickBot="1" x14ac:dyDescent="0.3">
      <c r="B53" s="2254"/>
      <c r="C53" s="2270"/>
      <c r="D53" s="2285" t="s">
        <v>5523</v>
      </c>
      <c r="E53" s="2287"/>
      <c r="F53" s="2285" t="str">
        <f>IFERROR(IF(Vulnerabilidad!J14="","",Vulnerabilidad!J14),"")</f>
        <v/>
      </c>
      <c r="G53" s="2287"/>
      <c r="H53" s="2290" t="str">
        <f>IF(F53="","",(F53+F54)/2)</f>
        <v/>
      </c>
      <c r="I53" s="2321" t="str">
        <f>IFERROR(IF(Vulnerabilidad!F14="","",Vulnerabilidad!F14),"")</f>
        <v/>
      </c>
      <c r="J53" s="2322"/>
      <c r="K53" s="2322"/>
      <c r="L53" s="2323"/>
    </row>
    <row r="54" spans="2:12" ht="27.75" customHeight="1" thickBot="1" x14ac:dyDescent="0.3">
      <c r="B54" s="2254"/>
      <c r="C54" s="2271"/>
      <c r="D54" s="2295" t="s">
        <v>5524</v>
      </c>
      <c r="E54" s="2296"/>
      <c r="F54" s="2295" t="str">
        <f>IFERROR(IF(Vulnerabilidad!P14="","",Vulnerabilidad!P14),"")</f>
        <v/>
      </c>
      <c r="G54" s="2296"/>
      <c r="H54" s="2291"/>
      <c r="I54" s="2297" t="str">
        <f>IFERROR(IF(Vulnerabilidad!K14="","",Vulnerabilidad!K14),"")</f>
        <v/>
      </c>
      <c r="J54" s="2298"/>
      <c r="K54" s="2298"/>
      <c r="L54" s="2299"/>
    </row>
    <row r="55" spans="2:12" ht="16.5" thickTop="1" thickBot="1" x14ac:dyDescent="0.3">
      <c r="B55" s="2254"/>
      <c r="C55" s="2269" t="str">
        <f>IFERROR(IF('UNIDAD PRODUCTORA'!$B$102="","",'UNIDAD PRODUCTORA'!$B$102),"")</f>
        <v/>
      </c>
      <c r="D55" s="2272" t="s">
        <v>5510</v>
      </c>
      <c r="E55" s="2273"/>
      <c r="F55" s="2280" t="s">
        <v>29</v>
      </c>
      <c r="G55" s="2282"/>
      <c r="H55" s="761"/>
      <c r="I55" s="2280" t="s">
        <v>5520</v>
      </c>
      <c r="J55" s="2281"/>
      <c r="K55" s="2281"/>
      <c r="L55" s="2282"/>
    </row>
    <row r="56" spans="2:12" ht="15.75" customHeight="1" thickBot="1" x14ac:dyDescent="0.3">
      <c r="B56" s="2254"/>
      <c r="C56" s="2270"/>
      <c r="D56" s="2274"/>
      <c r="E56" s="2275"/>
      <c r="F56" s="2283" t="s">
        <v>28</v>
      </c>
      <c r="G56" s="2284"/>
      <c r="H56" s="762"/>
      <c r="I56" s="2285" t="s">
        <v>5521</v>
      </c>
      <c r="J56" s="2286"/>
      <c r="K56" s="2286"/>
      <c r="L56" s="2287"/>
    </row>
    <row r="57" spans="2:12" ht="15.75" customHeight="1" thickBot="1" x14ac:dyDescent="0.3">
      <c r="B57" s="2254"/>
      <c r="C57" s="2270"/>
      <c r="D57" s="2276"/>
      <c r="E57" s="2277"/>
      <c r="F57" s="2276"/>
      <c r="G57" s="2277"/>
      <c r="H57" s="762"/>
      <c r="I57" s="2285" t="s">
        <v>5522</v>
      </c>
      <c r="J57" s="2286"/>
      <c r="K57" s="2286"/>
      <c r="L57" s="2287"/>
    </row>
    <row r="58" spans="2:12" ht="33.75" customHeight="1" thickBot="1" x14ac:dyDescent="0.3">
      <c r="B58" s="2254"/>
      <c r="C58" s="2270"/>
      <c r="D58" s="2285" t="s">
        <v>5523</v>
      </c>
      <c r="E58" s="2287"/>
      <c r="F58" s="2285" t="str">
        <f>IFERROR(IF(Vulnerabilidad!J15="","",Vulnerabilidad!J15),"")</f>
        <v/>
      </c>
      <c r="G58" s="2287"/>
      <c r="H58" s="2290" t="str">
        <f>IF(F58="","",(F58+F59)/2)</f>
        <v/>
      </c>
      <c r="I58" s="2292" t="str">
        <f>IFERROR(IF(Vulnerabilidad!F15="","",Vulnerabilidad!F15),"")</f>
        <v/>
      </c>
      <c r="J58" s="2293"/>
      <c r="K58" s="2293"/>
      <c r="L58" s="2294"/>
    </row>
    <row r="59" spans="2:12" ht="33.75" customHeight="1" thickBot="1" x14ac:dyDescent="0.3">
      <c r="B59" s="2254"/>
      <c r="C59" s="2271"/>
      <c r="D59" s="2295" t="s">
        <v>5524</v>
      </c>
      <c r="E59" s="2296"/>
      <c r="F59" s="2295" t="str">
        <f>IFERROR(IF(Vulnerabilidad!P15="","",Vulnerabilidad!P15),"")</f>
        <v/>
      </c>
      <c r="G59" s="2296"/>
      <c r="H59" s="2291"/>
      <c r="I59" s="2297" t="str">
        <f>IFERROR(IF(Vulnerabilidad!K15="","",Vulnerabilidad!K15),"")</f>
        <v/>
      </c>
      <c r="J59" s="2298"/>
      <c r="K59" s="2298"/>
      <c r="L59" s="2299"/>
    </row>
    <row r="60" spans="2:12" ht="16.5" thickTop="1" thickBot="1" x14ac:dyDescent="0.3">
      <c r="B60" s="2254"/>
      <c r="C60" s="2269" t="str">
        <f>IFERROR(IF('UNIDAD PRODUCTORA'!$B$108="","",'UNIDAD PRODUCTORA'!$B$108),"")</f>
        <v/>
      </c>
      <c r="D60" s="2272"/>
      <c r="E60" s="2273"/>
      <c r="F60" s="2280" t="s">
        <v>29</v>
      </c>
      <c r="G60" s="2282"/>
      <c r="H60" s="761"/>
      <c r="I60" s="2280" t="s">
        <v>5520</v>
      </c>
      <c r="J60" s="2281"/>
      <c r="K60" s="2281"/>
      <c r="L60" s="2282"/>
    </row>
    <row r="61" spans="2:12" ht="15.75" customHeight="1" thickBot="1" x14ac:dyDescent="0.3">
      <c r="B61" s="2254"/>
      <c r="C61" s="2270"/>
      <c r="D61" s="2274" t="s">
        <v>5510</v>
      </c>
      <c r="E61" s="2275"/>
      <c r="F61" s="2301" t="s">
        <v>28</v>
      </c>
      <c r="G61" s="2302"/>
      <c r="H61" s="762"/>
      <c r="I61" s="2285" t="s">
        <v>5521</v>
      </c>
      <c r="J61" s="2286"/>
      <c r="K61" s="2286"/>
      <c r="L61" s="2287"/>
    </row>
    <row r="62" spans="2:12" ht="15.75" customHeight="1" thickBot="1" x14ac:dyDescent="0.3">
      <c r="B62" s="2254"/>
      <c r="C62" s="2270"/>
      <c r="D62" s="2288"/>
      <c r="E62" s="2289"/>
      <c r="F62" s="2303"/>
      <c r="G62" s="2304"/>
      <c r="H62" s="762"/>
      <c r="I62" s="2285" t="s">
        <v>5522</v>
      </c>
      <c r="J62" s="2286"/>
      <c r="K62" s="2286"/>
      <c r="L62" s="2287"/>
    </row>
    <row r="63" spans="2:12" ht="32.25" customHeight="1" thickBot="1" x14ac:dyDescent="0.3">
      <c r="B63" s="2254"/>
      <c r="C63" s="2270"/>
      <c r="D63" s="2285" t="s">
        <v>5523</v>
      </c>
      <c r="E63" s="2287"/>
      <c r="F63" s="2285" t="str">
        <f>IFERROR(IF(Vulnerabilidad!J16="","",Vulnerabilidad!J16),"")</f>
        <v/>
      </c>
      <c r="G63" s="2287"/>
      <c r="H63" s="2290" t="str">
        <f>IF(F63="","",(F63+F64)/2)</f>
        <v/>
      </c>
      <c r="I63" s="2292" t="str">
        <f>IFERROR(IF(Vulnerabilidad!F16="","",Vulnerabilidad!F16),"")</f>
        <v/>
      </c>
      <c r="J63" s="2293"/>
      <c r="K63" s="2293"/>
      <c r="L63" s="2294"/>
    </row>
    <row r="64" spans="2:12" ht="32.25" customHeight="1" thickBot="1" x14ac:dyDescent="0.3">
      <c r="B64" s="2254"/>
      <c r="C64" s="2300"/>
      <c r="D64" s="2285" t="s">
        <v>5524</v>
      </c>
      <c r="E64" s="2287"/>
      <c r="F64" s="2295" t="str">
        <f>IFERROR(IF(Vulnerabilidad!P16="","",Vulnerabilidad!P16),"")</f>
        <v/>
      </c>
      <c r="G64" s="2296"/>
      <c r="H64" s="2291"/>
      <c r="I64" s="2297" t="s">
        <v>5620</v>
      </c>
      <c r="J64" s="2298"/>
      <c r="K64" s="2298"/>
      <c r="L64" s="2299"/>
    </row>
    <row r="65" spans="2:12" ht="16.5" thickTop="1" thickBot="1" x14ac:dyDescent="0.3">
      <c r="B65" s="2254"/>
      <c r="C65" s="2269" t="str">
        <f>IFERROR(IF('UNIDAD PRODUCTORA'!$B$114="","",'UNIDAD PRODUCTORA'!$B$114),"")</f>
        <v/>
      </c>
      <c r="D65" s="2272"/>
      <c r="E65" s="2273"/>
      <c r="F65" s="2280" t="s">
        <v>29</v>
      </c>
      <c r="G65" s="2282"/>
      <c r="H65" s="761"/>
      <c r="I65" s="2280" t="s">
        <v>5520</v>
      </c>
      <c r="J65" s="2281"/>
      <c r="K65" s="2281"/>
      <c r="L65" s="2282"/>
    </row>
    <row r="66" spans="2:12" ht="15.75" customHeight="1" thickBot="1" x14ac:dyDescent="0.3">
      <c r="B66" s="2254"/>
      <c r="C66" s="2270"/>
      <c r="D66" s="2274" t="s">
        <v>5510</v>
      </c>
      <c r="E66" s="2275"/>
      <c r="F66" s="2301" t="s">
        <v>28</v>
      </c>
      <c r="G66" s="2302"/>
      <c r="H66" s="762"/>
      <c r="I66" s="2285" t="s">
        <v>5521</v>
      </c>
      <c r="J66" s="2286"/>
      <c r="K66" s="2286"/>
      <c r="L66" s="2287"/>
    </row>
    <row r="67" spans="2:12" ht="15.75" customHeight="1" thickBot="1" x14ac:dyDescent="0.3">
      <c r="B67" s="2254"/>
      <c r="C67" s="2270"/>
      <c r="D67" s="2288"/>
      <c r="E67" s="2289"/>
      <c r="F67" s="2303"/>
      <c r="G67" s="2304"/>
      <c r="H67" s="762"/>
      <c r="I67" s="2285" t="s">
        <v>5522</v>
      </c>
      <c r="J67" s="2286"/>
      <c r="K67" s="2286"/>
      <c r="L67" s="2287"/>
    </row>
    <row r="68" spans="2:12" ht="32.25" customHeight="1" thickBot="1" x14ac:dyDescent="0.3">
      <c r="B68" s="2254"/>
      <c r="C68" s="2270"/>
      <c r="D68" s="2285" t="s">
        <v>5523</v>
      </c>
      <c r="E68" s="2287"/>
      <c r="F68" s="2285" t="str">
        <f>IFERROR(IF(Vulnerabilidad!J17="","",Vulnerabilidad!J17),"")</f>
        <v/>
      </c>
      <c r="G68" s="2287"/>
      <c r="H68" s="2290" t="str">
        <f>IF(F68="","",(F68+F69)/2)</f>
        <v/>
      </c>
      <c r="I68" s="2292" t="str">
        <f>IFERROR(IF(Vulnerabilidad!F17="","",Vulnerabilidad!F17),"")</f>
        <v/>
      </c>
      <c r="J68" s="2293"/>
      <c r="K68" s="2293"/>
      <c r="L68" s="2294"/>
    </row>
    <row r="69" spans="2:12" ht="32.25" customHeight="1" thickBot="1" x14ac:dyDescent="0.3">
      <c r="B69" s="2254"/>
      <c r="C69" s="2300"/>
      <c r="D69" s="2285" t="s">
        <v>5524</v>
      </c>
      <c r="E69" s="2287"/>
      <c r="F69" s="2295" t="str">
        <f>IFERROR(IF(Vulnerabilidad!P17="","",Vulnerabilidad!P17),"")</f>
        <v/>
      </c>
      <c r="G69" s="2296"/>
      <c r="H69" s="2291"/>
      <c r="I69" s="2297" t="str">
        <f>IFERROR(IF(Vulnerabilidad!K17="","",Vulnerabilidad!K17),"")</f>
        <v/>
      </c>
      <c r="J69" s="2298"/>
      <c r="K69" s="2298"/>
      <c r="L69" s="2299"/>
    </row>
    <row r="70" spans="2:12" ht="16.5" thickTop="1" thickBot="1" x14ac:dyDescent="0.3">
      <c r="B70" s="2254"/>
      <c r="C70" s="2269" t="str">
        <f>IFERROR(IF('UNIDAD PRODUCTORA'!$B$120="","",'UNIDAD PRODUCTORA'!$B$120),"")</f>
        <v/>
      </c>
      <c r="D70" s="2272"/>
      <c r="E70" s="2273"/>
      <c r="F70" s="2280" t="s">
        <v>29</v>
      </c>
      <c r="G70" s="2282"/>
      <c r="H70" s="761"/>
      <c r="I70" s="2280" t="s">
        <v>5520</v>
      </c>
      <c r="J70" s="2281"/>
      <c r="K70" s="2281"/>
      <c r="L70" s="2282"/>
    </row>
    <row r="71" spans="2:12" ht="15.75" customHeight="1" thickBot="1" x14ac:dyDescent="0.3">
      <c r="B71" s="2254"/>
      <c r="C71" s="2270"/>
      <c r="D71" s="2274" t="s">
        <v>5510</v>
      </c>
      <c r="E71" s="2275"/>
      <c r="F71" s="2301" t="s">
        <v>28</v>
      </c>
      <c r="G71" s="2302"/>
      <c r="H71" s="762"/>
      <c r="I71" s="2285" t="s">
        <v>5521</v>
      </c>
      <c r="J71" s="2286"/>
      <c r="K71" s="2286"/>
      <c r="L71" s="2287"/>
    </row>
    <row r="72" spans="2:12" ht="15.75" customHeight="1" thickBot="1" x14ac:dyDescent="0.3">
      <c r="B72" s="2254"/>
      <c r="C72" s="2270"/>
      <c r="D72" s="2288"/>
      <c r="E72" s="2289"/>
      <c r="F72" s="2303"/>
      <c r="G72" s="2304"/>
      <c r="H72" s="762"/>
      <c r="I72" s="2285" t="s">
        <v>5522</v>
      </c>
      <c r="J72" s="2286"/>
      <c r="K72" s="2286"/>
      <c r="L72" s="2287"/>
    </row>
    <row r="73" spans="2:12" ht="28.5" customHeight="1" thickBot="1" x14ac:dyDescent="0.3">
      <c r="B73" s="2254"/>
      <c r="C73" s="2270"/>
      <c r="D73" s="2285" t="s">
        <v>5523</v>
      </c>
      <c r="E73" s="2287"/>
      <c r="F73" s="2285" t="str">
        <f>IFERROR(IF(Vulnerabilidad!J18="","",Vulnerabilidad!J18),"")</f>
        <v/>
      </c>
      <c r="G73" s="2287"/>
      <c r="H73" s="2290" t="str">
        <f>IF(F73="","",(F73+F74)/2)</f>
        <v/>
      </c>
      <c r="I73" s="2292" t="str">
        <f>IFERROR(IF(Vulnerabilidad!F18="","",Vulnerabilidad!F18),"")</f>
        <v/>
      </c>
      <c r="J73" s="2293"/>
      <c r="K73" s="2293"/>
      <c r="L73" s="2294"/>
    </row>
    <row r="74" spans="2:12" ht="28.5" customHeight="1" thickBot="1" x14ac:dyDescent="0.3">
      <c r="B74" s="2254"/>
      <c r="C74" s="2300"/>
      <c r="D74" s="2285" t="s">
        <v>5524</v>
      </c>
      <c r="E74" s="2287"/>
      <c r="F74" s="2295" t="str">
        <f>IFERROR(IF(Vulnerabilidad!P18="","",Vulnerabilidad!P18),"")</f>
        <v/>
      </c>
      <c r="G74" s="2296"/>
      <c r="H74" s="2291"/>
      <c r="I74" s="2297" t="str">
        <f>IFERROR(IF(Vulnerabilidad!K18="","",Vulnerabilidad!K18),"")</f>
        <v/>
      </c>
      <c r="J74" s="2298"/>
      <c r="K74" s="2298"/>
      <c r="L74" s="2299"/>
    </row>
    <row r="75" spans="2:12" ht="16.5" thickTop="1" thickBot="1" x14ac:dyDescent="0.3">
      <c r="B75" s="2254"/>
      <c r="C75" s="2269" t="str">
        <f>IFERROR(IF('UNIDAD PRODUCTORA'!$B$126="","",'UNIDAD PRODUCTORA'!$B$126),"")</f>
        <v/>
      </c>
      <c r="D75" s="2272"/>
      <c r="E75" s="2273"/>
      <c r="F75" s="2280" t="s">
        <v>29</v>
      </c>
      <c r="G75" s="2282"/>
      <c r="H75" s="761"/>
      <c r="I75" s="2280" t="s">
        <v>5520</v>
      </c>
      <c r="J75" s="2281"/>
      <c r="K75" s="2281"/>
      <c r="L75" s="2282"/>
    </row>
    <row r="76" spans="2:12" ht="15.75" customHeight="1" thickBot="1" x14ac:dyDescent="0.3">
      <c r="B76" s="2254"/>
      <c r="C76" s="2270"/>
      <c r="D76" s="2274" t="s">
        <v>5510</v>
      </c>
      <c r="E76" s="2275"/>
      <c r="F76" s="2301" t="s">
        <v>28</v>
      </c>
      <c r="G76" s="2302"/>
      <c r="H76" s="762"/>
      <c r="I76" s="2285" t="s">
        <v>5521</v>
      </c>
      <c r="J76" s="2286"/>
      <c r="K76" s="2286"/>
      <c r="L76" s="2287"/>
    </row>
    <row r="77" spans="2:12" ht="15.75" customHeight="1" thickBot="1" x14ac:dyDescent="0.3">
      <c r="B77" s="2254"/>
      <c r="C77" s="2270"/>
      <c r="D77" s="2288"/>
      <c r="E77" s="2289"/>
      <c r="F77" s="2303"/>
      <c r="G77" s="2304"/>
      <c r="H77" s="762"/>
      <c r="I77" s="2285" t="s">
        <v>5522</v>
      </c>
      <c r="J77" s="2286"/>
      <c r="K77" s="2286"/>
      <c r="L77" s="2287"/>
    </row>
    <row r="78" spans="2:12" ht="32.25" customHeight="1" thickBot="1" x14ac:dyDescent="0.3">
      <c r="B78" s="2254"/>
      <c r="C78" s="2270"/>
      <c r="D78" s="2285" t="s">
        <v>5523</v>
      </c>
      <c r="E78" s="2287"/>
      <c r="F78" s="2285" t="str">
        <f>IFERROR(IF(Vulnerabilidad!J19="","",Vulnerabilidad!J19),"")</f>
        <v/>
      </c>
      <c r="G78" s="2287"/>
      <c r="H78" s="2290" t="str">
        <f>IF(F78="","",(F78+F79)/2)</f>
        <v/>
      </c>
      <c r="I78" s="2292" t="str">
        <f>IFERROR(IF(Vulnerabilidad!F19="","",Vulnerabilidad!F19),"")</f>
        <v/>
      </c>
      <c r="J78" s="2293"/>
      <c r="K78" s="2293"/>
      <c r="L78" s="2294"/>
    </row>
    <row r="79" spans="2:12" ht="32.25" customHeight="1" thickBot="1" x14ac:dyDescent="0.3">
      <c r="B79" s="2254"/>
      <c r="C79" s="2300"/>
      <c r="D79" s="2285" t="s">
        <v>5524</v>
      </c>
      <c r="E79" s="2287"/>
      <c r="F79" s="2295" t="str">
        <f>IFERROR(IF(Vulnerabilidad!P19="","",Vulnerabilidad!P19),"")</f>
        <v/>
      </c>
      <c r="G79" s="2296"/>
      <c r="H79" s="2291"/>
      <c r="I79" s="2297" t="str">
        <f>IFERROR(IF(Vulnerabilidad!K19="","",Vulnerabilidad!K19),"")</f>
        <v/>
      </c>
      <c r="J79" s="2298"/>
      <c r="K79" s="2298"/>
      <c r="L79" s="2299"/>
    </row>
    <row r="80" spans="2:12" ht="53.25" customHeight="1" thickBot="1" x14ac:dyDescent="0.3">
      <c r="B80" s="2254"/>
      <c r="C80" s="2305" t="s">
        <v>5525</v>
      </c>
      <c r="D80" s="2285" t="s">
        <v>5526</v>
      </c>
      <c r="E80" s="2287"/>
      <c r="F80" s="2314" t="str">
        <f>IFERROR(IF(Vulnerabilidad!I55="","",Vulnerabilidad!I55),"")</f>
        <v/>
      </c>
      <c r="G80" s="2315"/>
      <c r="H80" s="2324" t="str">
        <f>IF(F80="","",(F80+F81)/2)</f>
        <v/>
      </c>
      <c r="I80" s="2292" t="str">
        <f>IFERROR(IF(Vulnerabilidad!D55="","",Vulnerabilidad!D55),"")</f>
        <v/>
      </c>
      <c r="J80" s="2293"/>
      <c r="K80" s="2293"/>
      <c r="L80" s="2294"/>
    </row>
    <row r="81" spans="2:12" ht="70.5" customHeight="1" thickBot="1" x14ac:dyDescent="0.3">
      <c r="B81" s="2254"/>
      <c r="C81" s="2306"/>
      <c r="D81" s="2285" t="s">
        <v>5527</v>
      </c>
      <c r="E81" s="2287"/>
      <c r="F81" s="2314" t="str">
        <f>IFERROR(IF(Vulnerabilidad!P55="","",Vulnerabilidad!P55),"")</f>
        <v/>
      </c>
      <c r="G81" s="2315"/>
      <c r="H81" s="2325"/>
      <c r="I81" s="2316" t="str">
        <f>IFERROR(IF(Vulnerabilidad!J55="","",Vulnerabilidad!J55),"")</f>
        <v/>
      </c>
      <c r="J81" s="2317"/>
      <c r="K81" s="2317"/>
      <c r="L81" s="2318"/>
    </row>
    <row r="82" spans="2:12" ht="25.5" customHeight="1" thickBot="1" x14ac:dyDescent="0.3">
      <c r="B82" s="2255"/>
      <c r="C82" s="2256" t="s">
        <v>5528</v>
      </c>
      <c r="D82" s="2257"/>
      <c r="E82" s="2257"/>
      <c r="F82" s="2257"/>
      <c r="G82" s="2258"/>
      <c r="H82" s="2263" t="str">
        <f>IFERROR(IF(Vulnerabilidad!R55="","",Vulnerabilidad!R55),"")</f>
        <v/>
      </c>
      <c r="I82" s="2259"/>
      <c r="J82" s="2259"/>
      <c r="K82" s="2259"/>
      <c r="L82" s="2260"/>
    </row>
    <row r="83" spans="2:12" ht="9.75" customHeight="1" thickBot="1" x14ac:dyDescent="0.3"/>
    <row r="84" spans="2:12" ht="13.5" customHeight="1" thickBot="1" x14ac:dyDescent="0.3">
      <c r="B84" s="2320" t="str">
        <f>IF(G86="","",CONCATENATE("Resumen de la incorporación de la GdR en CCC del PI de mejoramiento y ampliación de ",G86))</f>
        <v/>
      </c>
      <c r="C84" s="2320"/>
      <c r="D84" s="2320"/>
      <c r="E84" s="2320"/>
      <c r="F84" s="2320"/>
      <c r="G84" s="2320"/>
      <c r="H84" s="2320"/>
      <c r="I84" s="2320"/>
      <c r="J84" s="2320"/>
      <c r="K84" s="2320"/>
      <c r="L84" s="2320"/>
    </row>
    <row r="85" spans="2:12" ht="9" customHeight="1" thickBot="1" x14ac:dyDescent="0.3"/>
    <row r="86" spans="2:12" ht="22.5" customHeight="1" thickBot="1" x14ac:dyDescent="0.3">
      <c r="B86" s="2253" t="str">
        <f>CONCATENATE("IDENTIFICACIÓN"," DEL PELIGRO ",UPPER(K86))</f>
        <v xml:space="preserve">IDENTIFICACIÓN DEL PELIGRO </v>
      </c>
      <c r="C86" s="2257" t="s">
        <v>5517</v>
      </c>
      <c r="D86" s="2257"/>
      <c r="E86" s="2257"/>
      <c r="F86" s="2257"/>
      <c r="G86" s="2257"/>
      <c r="H86" s="2257"/>
      <c r="I86" s="2257"/>
      <c r="J86" s="2258"/>
      <c r="K86" s="2263" t="str">
        <f>IFERROR(UPPER(IF('AREA DE ESTUDIO'!B125="","",'AREA DE ESTUDIO'!B125)),"")</f>
        <v/>
      </c>
      <c r="L86" s="2260"/>
    </row>
    <row r="87" spans="2:12" ht="15.75" customHeight="1" thickBot="1" x14ac:dyDescent="0.3">
      <c r="B87" s="2254"/>
      <c r="C87" s="2257" t="s">
        <v>5449</v>
      </c>
      <c r="D87" s="2258"/>
      <c r="E87" s="2256" t="s">
        <v>5450</v>
      </c>
      <c r="F87" s="2257"/>
      <c r="G87" s="2258"/>
      <c r="H87" s="2257" t="s">
        <v>5451</v>
      </c>
      <c r="I87" s="2257"/>
      <c r="J87" s="2258"/>
      <c r="K87" s="2261" t="s">
        <v>26</v>
      </c>
      <c r="L87" s="2262"/>
    </row>
    <row r="88" spans="2:12" ht="30" customHeight="1" thickBot="1" x14ac:dyDescent="0.3">
      <c r="B88" s="2254"/>
      <c r="C88" s="2259" t="str">
        <f>IFERROR(IF('AREA DE ESTUDIO'!G125="","",'AREA DE ESTUDIO'!G125),"")</f>
        <v/>
      </c>
      <c r="D88" s="2260"/>
      <c r="E88" s="2263" t="str">
        <f>IFERROR(IF('AREA DE ESTUDIO'!L125="","",'AREA DE ESTUDIO'!L125),"")</f>
        <v/>
      </c>
      <c r="F88" s="2259"/>
      <c r="G88" s="2260"/>
      <c r="H88" s="2259" t="str">
        <f>IFERROR(IF('AREA DE ESTUDIO'!Q125="","",'AREA DE ESTUDIO'!Q125),"")</f>
        <v/>
      </c>
      <c r="I88" s="2259"/>
      <c r="J88" s="2260"/>
      <c r="K88" s="2264" t="str">
        <f>IFERROR(IF('Area de Impacto'!E84="","",'Area de Impacto'!E84),"")</f>
        <v/>
      </c>
      <c r="L88" s="2265"/>
    </row>
    <row r="89" spans="2:12" ht="15.75" customHeight="1" thickBot="1" x14ac:dyDescent="0.3">
      <c r="B89" s="2254"/>
      <c r="C89" s="2267" t="s">
        <v>5518</v>
      </c>
      <c r="D89" s="2267"/>
      <c r="E89" s="2268"/>
      <c r="F89" s="2266" t="s">
        <v>5519</v>
      </c>
      <c r="G89" s="2267"/>
      <c r="H89" s="2267"/>
      <c r="I89" s="2267"/>
      <c r="J89" s="2267"/>
      <c r="K89" s="2267"/>
      <c r="L89" s="2268"/>
    </row>
    <row r="90" spans="2:12" ht="16.5" customHeight="1" thickTop="1" thickBot="1" x14ac:dyDescent="0.3">
      <c r="B90" s="2254"/>
      <c r="C90" s="2326" t="str">
        <f>IFERROR(IF('UNIDAD PRODUCTORA'!$B$96="","",'UNIDAD PRODUCTORA'!$B$96),"")</f>
        <v/>
      </c>
      <c r="D90" s="2272" t="s">
        <v>5510</v>
      </c>
      <c r="E90" s="2273"/>
      <c r="F90" s="2278" t="s">
        <v>29</v>
      </c>
      <c r="G90" s="2279"/>
      <c r="H90" s="761"/>
      <c r="I90" s="2280" t="s">
        <v>5520</v>
      </c>
      <c r="J90" s="2281"/>
      <c r="K90" s="2281"/>
      <c r="L90" s="2282"/>
    </row>
    <row r="91" spans="2:12" ht="15.75" customHeight="1" thickBot="1" x14ac:dyDescent="0.3">
      <c r="B91" s="2254"/>
      <c r="C91" s="2327"/>
      <c r="D91" s="2274"/>
      <c r="E91" s="2275"/>
      <c r="F91" s="2283" t="s">
        <v>28</v>
      </c>
      <c r="G91" s="2284"/>
      <c r="H91" s="762"/>
      <c r="I91" s="2285" t="s">
        <v>5521</v>
      </c>
      <c r="J91" s="2286"/>
      <c r="K91" s="2286"/>
      <c r="L91" s="2287"/>
    </row>
    <row r="92" spans="2:12" ht="15.75" customHeight="1" thickBot="1" x14ac:dyDescent="0.3">
      <c r="B92" s="2254"/>
      <c r="C92" s="2327"/>
      <c r="D92" s="2276"/>
      <c r="E92" s="2277"/>
      <c r="F92" s="2276"/>
      <c r="G92" s="2277"/>
      <c r="H92" s="762"/>
      <c r="I92" s="2285" t="s">
        <v>5522</v>
      </c>
      <c r="J92" s="2286"/>
      <c r="K92" s="2286"/>
      <c r="L92" s="2287"/>
    </row>
    <row r="93" spans="2:12" ht="35.25" customHeight="1" thickBot="1" x14ac:dyDescent="0.3">
      <c r="B93" s="2254"/>
      <c r="C93" s="2327"/>
      <c r="D93" s="2285" t="s">
        <v>5523</v>
      </c>
      <c r="E93" s="2287"/>
      <c r="F93" s="2285" t="str">
        <f>IFERROR(IF(Vulnerabilidad!J20="","",Vulnerabilidad!J20),"")</f>
        <v/>
      </c>
      <c r="G93" s="2287"/>
      <c r="H93" s="2290" t="str">
        <f>IF(F93="","",(F93+F94)/2)</f>
        <v/>
      </c>
      <c r="I93" s="2292" t="str">
        <f>IFERROR(IF(Vulnerabilidad!F20="","",Vulnerabilidad!F20),"")</f>
        <v/>
      </c>
      <c r="J93" s="2293"/>
      <c r="K93" s="2293"/>
      <c r="L93" s="2294"/>
    </row>
    <row r="94" spans="2:12" ht="27.75" customHeight="1" thickBot="1" x14ac:dyDescent="0.3">
      <c r="B94" s="2254"/>
      <c r="C94" s="2328"/>
      <c r="D94" s="2295" t="s">
        <v>5524</v>
      </c>
      <c r="E94" s="2296"/>
      <c r="F94" s="2295" t="str">
        <f>IFERROR(IF(Vulnerabilidad!P20="","",Vulnerabilidad!P20),"")</f>
        <v/>
      </c>
      <c r="G94" s="2296"/>
      <c r="H94" s="2291"/>
      <c r="I94" s="2297" t="str">
        <f>IFERROR(IF(Vulnerabilidad!K20="","",Vulnerabilidad!K20),"")</f>
        <v/>
      </c>
      <c r="J94" s="2298"/>
      <c r="K94" s="2298"/>
      <c r="L94" s="2299"/>
    </row>
    <row r="95" spans="2:12" ht="16.5" thickTop="1" thickBot="1" x14ac:dyDescent="0.3">
      <c r="B95" s="2254"/>
      <c r="C95" s="2326" t="str">
        <f>IFERROR(IF('UNIDAD PRODUCTORA'!$B$102="","",'UNIDAD PRODUCTORA'!$B$102),"")</f>
        <v/>
      </c>
      <c r="D95" s="2272" t="s">
        <v>5510</v>
      </c>
      <c r="E95" s="2273"/>
      <c r="F95" s="2280" t="s">
        <v>29</v>
      </c>
      <c r="G95" s="2282"/>
      <c r="H95" s="761"/>
      <c r="I95" s="2280" t="s">
        <v>5520</v>
      </c>
      <c r="J95" s="2281"/>
      <c r="K95" s="2281"/>
      <c r="L95" s="2282"/>
    </row>
    <row r="96" spans="2:12" ht="15.75" customHeight="1" thickBot="1" x14ac:dyDescent="0.3">
      <c r="B96" s="2254"/>
      <c r="C96" s="2327"/>
      <c r="D96" s="2274"/>
      <c r="E96" s="2275"/>
      <c r="F96" s="2283" t="s">
        <v>28</v>
      </c>
      <c r="G96" s="2284"/>
      <c r="H96" s="762"/>
      <c r="I96" s="2285" t="s">
        <v>5521</v>
      </c>
      <c r="J96" s="2286"/>
      <c r="K96" s="2286"/>
      <c r="L96" s="2287"/>
    </row>
    <row r="97" spans="2:12" ht="15.75" customHeight="1" thickBot="1" x14ac:dyDescent="0.3">
      <c r="B97" s="2254"/>
      <c r="C97" s="2327"/>
      <c r="D97" s="2276"/>
      <c r="E97" s="2277"/>
      <c r="F97" s="2276"/>
      <c r="G97" s="2277"/>
      <c r="H97" s="762"/>
      <c r="I97" s="2285" t="s">
        <v>5522</v>
      </c>
      <c r="J97" s="2286"/>
      <c r="K97" s="2286"/>
      <c r="L97" s="2287"/>
    </row>
    <row r="98" spans="2:12" ht="33.75" customHeight="1" thickBot="1" x14ac:dyDescent="0.3">
      <c r="B98" s="2254"/>
      <c r="C98" s="2327"/>
      <c r="D98" s="2285" t="s">
        <v>5523</v>
      </c>
      <c r="E98" s="2287"/>
      <c r="F98" s="2285" t="str">
        <f>IFERROR(IF(Vulnerabilidad!J21="","",Vulnerabilidad!J21),"")</f>
        <v/>
      </c>
      <c r="G98" s="2287"/>
      <c r="H98" s="2290" t="str">
        <f>IF(F98="","",(F98+F99)/2)</f>
        <v/>
      </c>
      <c r="I98" s="2292" t="str">
        <f>IFERROR(IF(Vulnerabilidad!F21="","",Vulnerabilidad!F21),"")</f>
        <v/>
      </c>
      <c r="J98" s="2293"/>
      <c r="K98" s="2293"/>
      <c r="L98" s="2294"/>
    </row>
    <row r="99" spans="2:12" ht="33.75" customHeight="1" thickBot="1" x14ac:dyDescent="0.3">
      <c r="B99" s="2254"/>
      <c r="C99" s="2328"/>
      <c r="D99" s="2295" t="s">
        <v>5524</v>
      </c>
      <c r="E99" s="2296"/>
      <c r="F99" s="2295" t="str">
        <f>IFERROR(IF(Vulnerabilidad!P21="","",Vulnerabilidad!P21),"")</f>
        <v/>
      </c>
      <c r="G99" s="2296"/>
      <c r="H99" s="2291"/>
      <c r="I99" s="2297" t="str">
        <f>IFERROR(IF(Vulnerabilidad!K21="","",Vulnerabilidad!K21),"")</f>
        <v/>
      </c>
      <c r="J99" s="2298"/>
      <c r="K99" s="2298"/>
      <c r="L99" s="2299"/>
    </row>
    <row r="100" spans="2:12" ht="16.5" thickTop="1" thickBot="1" x14ac:dyDescent="0.3">
      <c r="B100" s="2254"/>
      <c r="C100" s="2326" t="str">
        <f>IFERROR(IF('UNIDAD PRODUCTORA'!$B$108="","",'UNIDAD PRODUCTORA'!$B$108),"")</f>
        <v/>
      </c>
      <c r="D100" s="2272"/>
      <c r="E100" s="2273"/>
      <c r="F100" s="2280" t="s">
        <v>29</v>
      </c>
      <c r="G100" s="2282"/>
      <c r="H100" s="761"/>
      <c r="I100" s="2280" t="s">
        <v>5520</v>
      </c>
      <c r="J100" s="2281"/>
      <c r="K100" s="2281"/>
      <c r="L100" s="2282"/>
    </row>
    <row r="101" spans="2:12" ht="15.75" customHeight="1" thickBot="1" x14ac:dyDescent="0.3">
      <c r="B101" s="2254"/>
      <c r="C101" s="2327"/>
      <c r="D101" s="2274" t="s">
        <v>5510</v>
      </c>
      <c r="E101" s="2275"/>
      <c r="F101" s="2301" t="s">
        <v>28</v>
      </c>
      <c r="G101" s="2302"/>
      <c r="H101" s="762"/>
      <c r="I101" s="2285" t="s">
        <v>5521</v>
      </c>
      <c r="J101" s="2286"/>
      <c r="K101" s="2286"/>
      <c r="L101" s="2287"/>
    </row>
    <row r="102" spans="2:12" ht="15.75" customHeight="1" thickBot="1" x14ac:dyDescent="0.3">
      <c r="B102" s="2254"/>
      <c r="C102" s="2327"/>
      <c r="D102" s="2288"/>
      <c r="E102" s="2289"/>
      <c r="F102" s="2303"/>
      <c r="G102" s="2304"/>
      <c r="H102" s="762"/>
      <c r="I102" s="2285" t="s">
        <v>5522</v>
      </c>
      <c r="J102" s="2286"/>
      <c r="K102" s="2286"/>
      <c r="L102" s="2287"/>
    </row>
    <row r="103" spans="2:12" ht="32.25" customHeight="1" thickBot="1" x14ac:dyDescent="0.3">
      <c r="B103" s="2254"/>
      <c r="C103" s="2327"/>
      <c r="D103" s="2285" t="s">
        <v>5523</v>
      </c>
      <c r="E103" s="2287"/>
      <c r="F103" s="2285" t="str">
        <f>IFERROR(IF(Vulnerabilidad!J22="","",Vulnerabilidad!J22),"")</f>
        <v/>
      </c>
      <c r="G103" s="2287"/>
      <c r="H103" s="2290" t="str">
        <f>IF(F103="","",(F103+F104)/2)</f>
        <v/>
      </c>
      <c r="I103" s="2292" t="str">
        <f>IFERROR(IF(Vulnerabilidad!F22="","",Vulnerabilidad!F22),"")</f>
        <v/>
      </c>
      <c r="J103" s="2293"/>
      <c r="K103" s="2293"/>
      <c r="L103" s="2294"/>
    </row>
    <row r="104" spans="2:12" ht="32.25" customHeight="1" thickBot="1" x14ac:dyDescent="0.3">
      <c r="B104" s="2254"/>
      <c r="C104" s="2329"/>
      <c r="D104" s="2285" t="s">
        <v>5524</v>
      </c>
      <c r="E104" s="2287"/>
      <c r="F104" s="2295" t="str">
        <f>IFERROR(IF(Vulnerabilidad!P22="","",Vulnerabilidad!P22),"")</f>
        <v/>
      </c>
      <c r="G104" s="2296"/>
      <c r="H104" s="2291"/>
      <c r="I104" s="2297" t="str">
        <f>IFERROR(IF(Vulnerabilidad!K22="","",Vulnerabilidad!K22),"")</f>
        <v/>
      </c>
      <c r="J104" s="2298"/>
      <c r="K104" s="2298"/>
      <c r="L104" s="2299"/>
    </row>
    <row r="105" spans="2:12" ht="16.5" thickTop="1" thickBot="1" x14ac:dyDescent="0.3">
      <c r="B105" s="2254"/>
      <c r="C105" s="2326" t="str">
        <f>IFERROR(IF('UNIDAD PRODUCTORA'!$B$114="","",'UNIDAD PRODUCTORA'!$B$114),"")</f>
        <v/>
      </c>
      <c r="D105" s="2272"/>
      <c r="E105" s="2273"/>
      <c r="F105" s="2280" t="s">
        <v>29</v>
      </c>
      <c r="G105" s="2282"/>
      <c r="H105" s="761"/>
      <c r="I105" s="2280" t="s">
        <v>5520</v>
      </c>
      <c r="J105" s="2281"/>
      <c r="K105" s="2281"/>
      <c r="L105" s="2282"/>
    </row>
    <row r="106" spans="2:12" ht="15.75" customHeight="1" thickBot="1" x14ac:dyDescent="0.3">
      <c r="B106" s="2254"/>
      <c r="C106" s="2327"/>
      <c r="D106" s="2274" t="s">
        <v>5510</v>
      </c>
      <c r="E106" s="2275"/>
      <c r="F106" s="2301" t="s">
        <v>28</v>
      </c>
      <c r="G106" s="2302"/>
      <c r="H106" s="762"/>
      <c r="I106" s="2285" t="s">
        <v>5521</v>
      </c>
      <c r="J106" s="2286"/>
      <c r="K106" s="2286"/>
      <c r="L106" s="2287"/>
    </row>
    <row r="107" spans="2:12" ht="15.75" customHeight="1" thickBot="1" x14ac:dyDescent="0.3">
      <c r="B107" s="2254"/>
      <c r="C107" s="2327"/>
      <c r="D107" s="2288"/>
      <c r="E107" s="2289"/>
      <c r="F107" s="2303"/>
      <c r="G107" s="2304"/>
      <c r="H107" s="762"/>
      <c r="I107" s="2285" t="s">
        <v>5522</v>
      </c>
      <c r="J107" s="2286"/>
      <c r="K107" s="2286"/>
      <c r="L107" s="2287"/>
    </row>
    <row r="108" spans="2:12" ht="32.25" customHeight="1" thickBot="1" x14ac:dyDescent="0.3">
      <c r="B108" s="2254"/>
      <c r="C108" s="2327"/>
      <c r="D108" s="2285" t="s">
        <v>5523</v>
      </c>
      <c r="E108" s="2287"/>
      <c r="F108" s="2285" t="str">
        <f>IFERROR(IF(Vulnerabilidad!J23="","",Vulnerabilidad!J23),"")</f>
        <v/>
      </c>
      <c r="G108" s="2287"/>
      <c r="H108" s="2290" t="str">
        <f>IF(F108="","",(F108+F109)/2)</f>
        <v/>
      </c>
      <c r="I108" s="2292" t="str">
        <f>IFERROR(IF(Vulnerabilidad!F23="","",Vulnerabilidad!F23),"")</f>
        <v/>
      </c>
      <c r="J108" s="2293"/>
      <c r="K108" s="2293"/>
      <c r="L108" s="2294"/>
    </row>
    <row r="109" spans="2:12" ht="32.25" customHeight="1" thickBot="1" x14ac:dyDescent="0.3">
      <c r="B109" s="2254"/>
      <c r="C109" s="2329"/>
      <c r="D109" s="2285" t="s">
        <v>5524</v>
      </c>
      <c r="E109" s="2287"/>
      <c r="F109" s="2295" t="str">
        <f>IFERROR(IF(Vulnerabilidad!P23="","",Vulnerabilidad!P23),"")</f>
        <v/>
      </c>
      <c r="G109" s="2296"/>
      <c r="H109" s="2291"/>
      <c r="I109" s="2297" t="str">
        <f>IFERROR(IF(Vulnerabilidad!K23="","",Vulnerabilidad!K23),"")</f>
        <v/>
      </c>
      <c r="J109" s="2298"/>
      <c r="K109" s="2298"/>
      <c r="L109" s="2299"/>
    </row>
    <row r="110" spans="2:12" ht="16.5" thickTop="1" thickBot="1" x14ac:dyDescent="0.3">
      <c r="B110" s="2254"/>
      <c r="C110" s="2326" t="str">
        <f>IFERROR(IF('UNIDAD PRODUCTORA'!$B$120="","",'UNIDAD PRODUCTORA'!$B$120),"")</f>
        <v/>
      </c>
      <c r="D110" s="2272"/>
      <c r="E110" s="2273"/>
      <c r="F110" s="2280" t="s">
        <v>29</v>
      </c>
      <c r="G110" s="2282"/>
      <c r="H110" s="761"/>
      <c r="I110" s="2280" t="s">
        <v>5520</v>
      </c>
      <c r="J110" s="2281"/>
      <c r="K110" s="2281"/>
      <c r="L110" s="2282"/>
    </row>
    <row r="111" spans="2:12" ht="15.75" customHeight="1" thickBot="1" x14ac:dyDescent="0.3">
      <c r="B111" s="2254"/>
      <c r="C111" s="2327"/>
      <c r="D111" s="2274" t="s">
        <v>5510</v>
      </c>
      <c r="E111" s="2275"/>
      <c r="F111" s="2301" t="s">
        <v>28</v>
      </c>
      <c r="G111" s="2302"/>
      <c r="H111" s="762"/>
      <c r="I111" s="2285" t="s">
        <v>5521</v>
      </c>
      <c r="J111" s="2286"/>
      <c r="K111" s="2286"/>
      <c r="L111" s="2287"/>
    </row>
    <row r="112" spans="2:12" ht="15.75" customHeight="1" thickBot="1" x14ac:dyDescent="0.3">
      <c r="B112" s="2254"/>
      <c r="C112" s="2327"/>
      <c r="D112" s="2288"/>
      <c r="E112" s="2289"/>
      <c r="F112" s="2303"/>
      <c r="G112" s="2304"/>
      <c r="H112" s="762"/>
      <c r="I112" s="2285" t="s">
        <v>5522</v>
      </c>
      <c r="J112" s="2286"/>
      <c r="K112" s="2286"/>
      <c r="L112" s="2287"/>
    </row>
    <row r="113" spans="2:12" ht="28.5" customHeight="1" thickBot="1" x14ac:dyDescent="0.3">
      <c r="B113" s="2254"/>
      <c r="C113" s="2327"/>
      <c r="D113" s="2285" t="s">
        <v>5523</v>
      </c>
      <c r="E113" s="2287"/>
      <c r="F113" s="2285" t="str">
        <f>IFERROR(IF(Vulnerabilidad!J24="","",Vulnerabilidad!J24),"")</f>
        <v/>
      </c>
      <c r="G113" s="2287"/>
      <c r="H113" s="2290" t="str">
        <f>IF(F113="","",(F113+F114)/2)</f>
        <v/>
      </c>
      <c r="I113" s="2292" t="str">
        <f>IFERROR(IF(Vulnerabilidad!F24="","",Vulnerabilidad!F24),"")</f>
        <v/>
      </c>
      <c r="J113" s="2293"/>
      <c r="K113" s="2293"/>
      <c r="L113" s="2294"/>
    </row>
    <row r="114" spans="2:12" ht="28.5" customHeight="1" thickBot="1" x14ac:dyDescent="0.3">
      <c r="B114" s="2254"/>
      <c r="C114" s="2329"/>
      <c r="D114" s="2285" t="s">
        <v>5524</v>
      </c>
      <c r="E114" s="2287"/>
      <c r="F114" s="2295" t="str">
        <f>IFERROR(IF(Vulnerabilidad!P24="","",Vulnerabilidad!P24),"")</f>
        <v/>
      </c>
      <c r="G114" s="2296"/>
      <c r="H114" s="2291"/>
      <c r="I114" s="2297" t="str">
        <f>IFERROR(IF(Vulnerabilidad!K24="","",Vulnerabilidad!K24),"")</f>
        <v/>
      </c>
      <c r="J114" s="2298"/>
      <c r="K114" s="2298"/>
      <c r="L114" s="2299"/>
    </row>
    <row r="115" spans="2:12" ht="16.5" thickTop="1" thickBot="1" x14ac:dyDescent="0.3">
      <c r="B115" s="2254"/>
      <c r="C115" s="2326" t="str">
        <f>IFERROR(IF('UNIDAD PRODUCTORA'!$B$126="","",'UNIDAD PRODUCTORA'!$B$126),"")</f>
        <v/>
      </c>
      <c r="D115" s="2272"/>
      <c r="E115" s="2273"/>
      <c r="F115" s="2280" t="s">
        <v>29</v>
      </c>
      <c r="G115" s="2282"/>
      <c r="H115" s="761"/>
      <c r="I115" s="2280" t="s">
        <v>5520</v>
      </c>
      <c r="J115" s="2281"/>
      <c r="K115" s="2281"/>
      <c r="L115" s="2282"/>
    </row>
    <row r="116" spans="2:12" ht="15.75" customHeight="1" thickBot="1" x14ac:dyDescent="0.3">
      <c r="B116" s="2254"/>
      <c r="C116" s="2327"/>
      <c r="D116" s="2274" t="s">
        <v>5510</v>
      </c>
      <c r="E116" s="2275"/>
      <c r="F116" s="2301" t="s">
        <v>28</v>
      </c>
      <c r="G116" s="2302"/>
      <c r="H116" s="762"/>
      <c r="I116" s="2285" t="s">
        <v>5521</v>
      </c>
      <c r="J116" s="2286"/>
      <c r="K116" s="2286"/>
      <c r="L116" s="2287"/>
    </row>
    <row r="117" spans="2:12" ht="15.75" customHeight="1" thickBot="1" x14ac:dyDescent="0.3">
      <c r="B117" s="2254"/>
      <c r="C117" s="2327"/>
      <c r="D117" s="2288"/>
      <c r="E117" s="2289"/>
      <c r="F117" s="2303"/>
      <c r="G117" s="2304"/>
      <c r="H117" s="762"/>
      <c r="I117" s="2285" t="s">
        <v>5522</v>
      </c>
      <c r="J117" s="2286"/>
      <c r="K117" s="2286"/>
      <c r="L117" s="2287"/>
    </row>
    <row r="118" spans="2:12" ht="32.25" customHeight="1" thickBot="1" x14ac:dyDescent="0.3">
      <c r="B118" s="2254"/>
      <c r="C118" s="2327"/>
      <c r="D118" s="2285" t="s">
        <v>5523</v>
      </c>
      <c r="E118" s="2287"/>
      <c r="F118" s="2285" t="str">
        <f>IFERROR(IF(Vulnerabilidad!J25="","",Vulnerabilidad!J25),"")</f>
        <v/>
      </c>
      <c r="G118" s="2287"/>
      <c r="H118" s="2290" t="str">
        <f>IF(F118="","",(F118+F119)/2)</f>
        <v/>
      </c>
      <c r="I118" s="2292" t="str">
        <f>IFERROR(IF(Vulnerabilidad!F25="","",Vulnerabilidad!F25),"")</f>
        <v/>
      </c>
      <c r="J118" s="2293"/>
      <c r="K118" s="2293"/>
      <c r="L118" s="2294"/>
    </row>
    <row r="119" spans="2:12" ht="32.25" customHeight="1" thickBot="1" x14ac:dyDescent="0.3">
      <c r="B119" s="2254"/>
      <c r="C119" s="2329"/>
      <c r="D119" s="2285" t="s">
        <v>5524</v>
      </c>
      <c r="E119" s="2287"/>
      <c r="F119" s="2295" t="str">
        <f>IFERROR(IF(Vulnerabilidad!P25="","",Vulnerabilidad!P25),"")</f>
        <v/>
      </c>
      <c r="G119" s="2296"/>
      <c r="H119" s="2291"/>
      <c r="I119" s="2297" t="str">
        <f>IFERROR(IF(Vulnerabilidad!K25="","",Vulnerabilidad!K25),"")</f>
        <v/>
      </c>
      <c r="J119" s="2298"/>
      <c r="K119" s="2298"/>
      <c r="L119" s="2299"/>
    </row>
    <row r="120" spans="2:12" ht="52.5" customHeight="1" thickBot="1" x14ac:dyDescent="0.3">
      <c r="B120" s="2254"/>
      <c r="C120" s="2330" t="s">
        <v>5525</v>
      </c>
      <c r="D120" s="2285" t="s">
        <v>5526</v>
      </c>
      <c r="E120" s="2287"/>
      <c r="F120" s="2314" t="str">
        <f>IFERROR(IF(Vulnerabilidad!I59="","",Vulnerabilidad!I59),"")</f>
        <v/>
      </c>
      <c r="G120" s="2315"/>
      <c r="H120" s="2324" t="str">
        <f>IF(F120="","",(F120+F121)/2)</f>
        <v/>
      </c>
      <c r="I120" s="2292" t="str">
        <f>IFERROR(IF(Vulnerabilidad!D59="","",Vulnerabilidad!D59),"")</f>
        <v/>
      </c>
      <c r="J120" s="2293"/>
      <c r="K120" s="2293"/>
      <c r="L120" s="2294"/>
    </row>
    <row r="121" spans="2:12" ht="56.25" customHeight="1" thickBot="1" x14ac:dyDescent="0.3">
      <c r="B121" s="2254"/>
      <c r="C121" s="2331"/>
      <c r="D121" s="2285" t="s">
        <v>5527</v>
      </c>
      <c r="E121" s="2287"/>
      <c r="F121" s="2314" t="str">
        <f>IFERROR(IF(Vulnerabilidad!P59="","",Vulnerabilidad!P59),"")</f>
        <v/>
      </c>
      <c r="G121" s="2315"/>
      <c r="H121" s="2325"/>
      <c r="I121" s="2316" t="str">
        <f>IFERROR(IF(Vulnerabilidad!J59="","",Vulnerabilidad!J59),"")</f>
        <v/>
      </c>
      <c r="J121" s="2317"/>
      <c r="K121" s="2317"/>
      <c r="L121" s="2318"/>
    </row>
    <row r="122" spans="2:12" ht="25.5" customHeight="1" thickBot="1" x14ac:dyDescent="0.3">
      <c r="B122" s="2255"/>
      <c r="C122" s="2257" t="s">
        <v>5528</v>
      </c>
      <c r="D122" s="2257"/>
      <c r="E122" s="2257"/>
      <c r="F122" s="2257"/>
      <c r="G122" s="2258"/>
      <c r="H122" s="2263" t="str">
        <f>IFERROR(IF(Vulnerabilidad!R59="","",Vulnerabilidad!R59),"")</f>
        <v/>
      </c>
      <c r="I122" s="2259"/>
      <c r="J122" s="2259"/>
      <c r="K122" s="2259"/>
      <c r="L122" s="2260"/>
    </row>
    <row r="123" spans="2:12" ht="8.25" customHeight="1" thickBot="1" x14ac:dyDescent="0.3"/>
    <row r="124" spans="2:12" ht="14.25" customHeight="1" thickBot="1" x14ac:dyDescent="0.3">
      <c r="B124" s="2320" t="str">
        <f>IF(G126="","",CONCATENATE("Resumen de la incorporación de la GdR en CCC del PI de mejoramiento y ampliación de ",G126))</f>
        <v/>
      </c>
      <c r="C124" s="2320"/>
      <c r="D124" s="2320"/>
      <c r="E124" s="2320"/>
      <c r="F124" s="2320"/>
      <c r="G124" s="2320"/>
      <c r="H124" s="2320"/>
      <c r="I124" s="2320"/>
      <c r="J124" s="2320"/>
      <c r="K124" s="2320"/>
      <c r="L124" s="2320"/>
    </row>
    <row r="125" spans="2:12" ht="8.25" customHeight="1" thickBot="1" x14ac:dyDescent="0.3"/>
    <row r="126" spans="2:12" ht="15.75" customHeight="1" thickBot="1" x14ac:dyDescent="0.3">
      <c r="B126" s="2253" t="str">
        <f>CONCATENATE("IDENTIFICACIÓN"," DEL PELIGRO ",UPPER(K126))</f>
        <v xml:space="preserve">IDENTIFICACIÓN DEL PELIGRO </v>
      </c>
      <c r="C126" s="2257" t="s">
        <v>5517</v>
      </c>
      <c r="D126" s="2257"/>
      <c r="E126" s="2257"/>
      <c r="F126" s="2257"/>
      <c r="G126" s="2257"/>
      <c r="H126" s="2257"/>
      <c r="I126" s="2257"/>
      <c r="J126" s="2258"/>
      <c r="K126" s="2263" t="str">
        <f>IFERROR(UPPER(IF('AREA DE ESTUDIO'!B126="","",'AREA DE ESTUDIO'!B126)),"")</f>
        <v/>
      </c>
      <c r="L126" s="2260"/>
    </row>
    <row r="127" spans="2:12" ht="15.75" customHeight="1" thickBot="1" x14ac:dyDescent="0.3">
      <c r="B127" s="2254"/>
      <c r="C127" s="2257" t="s">
        <v>5449</v>
      </c>
      <c r="D127" s="2258"/>
      <c r="E127" s="2256" t="s">
        <v>5450</v>
      </c>
      <c r="F127" s="2257"/>
      <c r="G127" s="2258"/>
      <c r="H127" s="2257" t="s">
        <v>5451</v>
      </c>
      <c r="I127" s="2257"/>
      <c r="J127" s="2258"/>
      <c r="K127" s="2261" t="s">
        <v>26</v>
      </c>
      <c r="L127" s="2262"/>
    </row>
    <row r="128" spans="2:12" ht="30" customHeight="1" thickBot="1" x14ac:dyDescent="0.3">
      <c r="B128" s="2254"/>
      <c r="C128" s="2259" t="str">
        <f>IFERROR(IF('AREA DE ESTUDIO'!G126="","",'AREA DE ESTUDIO'!G126),"")</f>
        <v/>
      </c>
      <c r="D128" s="2259"/>
      <c r="E128" s="2263" t="str">
        <f>IFERROR(IF('AREA DE ESTUDIO'!L126="","",'AREA DE ESTUDIO'!L126),"")</f>
        <v/>
      </c>
      <c r="F128" s="2259"/>
      <c r="G128" s="2260"/>
      <c r="H128" s="2259" t="str">
        <f>IFERROR(IF('AREA DE ESTUDIO'!Q126="","",'AREA DE ESTUDIO'!Q126),"")</f>
        <v/>
      </c>
      <c r="I128" s="2259"/>
      <c r="J128" s="2260"/>
      <c r="K128" s="2264" t="str">
        <f>IFERROR(IF('Area de Impacto'!E112="","",'Area de Impacto'!E112),"")</f>
        <v/>
      </c>
      <c r="L128" s="2265"/>
    </row>
    <row r="129" spans="2:12" ht="15.75" customHeight="1" thickBot="1" x14ac:dyDescent="0.3">
      <c r="B129" s="2254"/>
      <c r="C129" s="2267" t="s">
        <v>5518</v>
      </c>
      <c r="D129" s="2267"/>
      <c r="E129" s="2268"/>
      <c r="F129" s="2266" t="s">
        <v>5519</v>
      </c>
      <c r="G129" s="2267"/>
      <c r="H129" s="2267"/>
      <c r="I129" s="2267"/>
      <c r="J129" s="2267"/>
      <c r="K129" s="2267"/>
      <c r="L129" s="2268"/>
    </row>
    <row r="130" spans="2:12" ht="16.5" customHeight="1" thickTop="1" thickBot="1" x14ac:dyDescent="0.3">
      <c r="B130" s="2254"/>
      <c r="C130" s="2326" t="str">
        <f>IFERROR(IF('UNIDAD PRODUCTORA'!$B$96="","",'UNIDAD PRODUCTORA'!$B$96),"")</f>
        <v/>
      </c>
      <c r="D130" s="2272" t="s">
        <v>5510</v>
      </c>
      <c r="E130" s="2273"/>
      <c r="F130" s="2278" t="s">
        <v>29</v>
      </c>
      <c r="G130" s="2279"/>
      <c r="H130" s="761"/>
      <c r="I130" s="2280" t="s">
        <v>5520</v>
      </c>
      <c r="J130" s="2281"/>
      <c r="K130" s="2281"/>
      <c r="L130" s="2282"/>
    </row>
    <row r="131" spans="2:12" ht="15.75" customHeight="1" thickBot="1" x14ac:dyDescent="0.3">
      <c r="B131" s="2254"/>
      <c r="C131" s="2327"/>
      <c r="D131" s="2274"/>
      <c r="E131" s="2275"/>
      <c r="F131" s="2283" t="s">
        <v>28</v>
      </c>
      <c r="G131" s="2284"/>
      <c r="H131" s="762"/>
      <c r="I131" s="2285" t="s">
        <v>5521</v>
      </c>
      <c r="J131" s="2286"/>
      <c r="K131" s="2286"/>
      <c r="L131" s="2287"/>
    </row>
    <row r="132" spans="2:12" ht="15.75" customHeight="1" thickBot="1" x14ac:dyDescent="0.3">
      <c r="B132" s="2254"/>
      <c r="C132" s="2327"/>
      <c r="D132" s="2276"/>
      <c r="E132" s="2277"/>
      <c r="F132" s="2276"/>
      <c r="G132" s="2277"/>
      <c r="H132" s="762"/>
      <c r="I132" s="2285" t="s">
        <v>5522</v>
      </c>
      <c r="J132" s="2286"/>
      <c r="K132" s="2286"/>
      <c r="L132" s="2287"/>
    </row>
    <row r="133" spans="2:12" ht="27.75" customHeight="1" thickBot="1" x14ac:dyDescent="0.3">
      <c r="B133" s="2254"/>
      <c r="C133" s="2327"/>
      <c r="D133" s="2285" t="s">
        <v>5523</v>
      </c>
      <c r="E133" s="2287"/>
      <c r="F133" s="2285" t="str">
        <f>IFERROR(IF(Vulnerabilidad!J26="","",Vulnerabilidad!J26),"")</f>
        <v/>
      </c>
      <c r="G133" s="2287"/>
      <c r="H133" s="2290" t="str">
        <f>IF(F133="","",(F133+F134)/2)</f>
        <v/>
      </c>
      <c r="I133" s="2292" t="str">
        <f>IFERROR(IF(Vulnerabilidad!F26="","",Vulnerabilidad!F26),"")</f>
        <v/>
      </c>
      <c r="J133" s="2293"/>
      <c r="K133" s="2293"/>
      <c r="L133" s="2294"/>
    </row>
    <row r="134" spans="2:12" ht="27.75" customHeight="1" thickBot="1" x14ac:dyDescent="0.3">
      <c r="B134" s="2254"/>
      <c r="C134" s="2328"/>
      <c r="D134" s="2295" t="s">
        <v>5524</v>
      </c>
      <c r="E134" s="2296"/>
      <c r="F134" s="2295" t="str">
        <f>IFERROR(IF(Vulnerabilidad!P26="","",Vulnerabilidad!P26),"")</f>
        <v/>
      </c>
      <c r="G134" s="2296"/>
      <c r="H134" s="2291"/>
      <c r="I134" s="2297" t="str">
        <f>IFERROR(IF(Vulnerabilidad!K26="","",Vulnerabilidad!K26),"")</f>
        <v/>
      </c>
      <c r="J134" s="2298"/>
      <c r="K134" s="2298"/>
      <c r="L134" s="2299"/>
    </row>
    <row r="135" spans="2:12" ht="16.5" thickTop="1" thickBot="1" x14ac:dyDescent="0.3">
      <c r="B135" s="2254"/>
      <c r="C135" s="2326" t="str">
        <f>IFERROR(IF('UNIDAD PRODUCTORA'!$B$102="","",'UNIDAD PRODUCTORA'!$B$102),"")</f>
        <v/>
      </c>
      <c r="D135" s="2272" t="s">
        <v>5510</v>
      </c>
      <c r="E135" s="2273"/>
      <c r="F135" s="2280" t="s">
        <v>29</v>
      </c>
      <c r="G135" s="2282"/>
      <c r="H135" s="761"/>
      <c r="I135" s="2280" t="s">
        <v>5520</v>
      </c>
      <c r="J135" s="2281"/>
      <c r="K135" s="2281"/>
      <c r="L135" s="2282"/>
    </row>
    <row r="136" spans="2:12" ht="15.75" customHeight="1" thickBot="1" x14ac:dyDescent="0.3">
      <c r="B136" s="2254"/>
      <c r="C136" s="2327"/>
      <c r="D136" s="2274"/>
      <c r="E136" s="2275"/>
      <c r="F136" s="2283" t="s">
        <v>28</v>
      </c>
      <c r="G136" s="2284"/>
      <c r="H136" s="762"/>
      <c r="I136" s="2285" t="s">
        <v>5521</v>
      </c>
      <c r="J136" s="2286"/>
      <c r="K136" s="2286"/>
      <c r="L136" s="2287"/>
    </row>
    <row r="137" spans="2:12" ht="15.75" customHeight="1" thickBot="1" x14ac:dyDescent="0.3">
      <c r="B137" s="2254"/>
      <c r="C137" s="2327"/>
      <c r="D137" s="2276"/>
      <c r="E137" s="2277"/>
      <c r="F137" s="2276"/>
      <c r="G137" s="2277"/>
      <c r="H137" s="762"/>
      <c r="I137" s="2285" t="s">
        <v>5522</v>
      </c>
      <c r="J137" s="2286"/>
      <c r="K137" s="2286"/>
      <c r="L137" s="2287"/>
    </row>
    <row r="138" spans="2:12" ht="33.75" customHeight="1" thickBot="1" x14ac:dyDescent="0.3">
      <c r="B138" s="2254"/>
      <c r="C138" s="2327"/>
      <c r="D138" s="2285" t="s">
        <v>5523</v>
      </c>
      <c r="E138" s="2287"/>
      <c r="F138" s="2285" t="str">
        <f>IFERROR(IF(Vulnerabilidad!J27="","",Vulnerabilidad!J27),"")</f>
        <v/>
      </c>
      <c r="G138" s="2287"/>
      <c r="H138" s="2290" t="str">
        <f>IF(F138="","",(F138+F139)/2)</f>
        <v/>
      </c>
      <c r="I138" s="2292" t="str">
        <f>IFERROR(IF(Vulnerabilidad!F27="","",Vulnerabilidad!F27),"")</f>
        <v/>
      </c>
      <c r="J138" s="2293"/>
      <c r="K138" s="2293"/>
      <c r="L138" s="2294"/>
    </row>
    <row r="139" spans="2:12" ht="33.75" customHeight="1" thickBot="1" x14ac:dyDescent="0.3">
      <c r="B139" s="2254"/>
      <c r="C139" s="2328"/>
      <c r="D139" s="2295" t="s">
        <v>5524</v>
      </c>
      <c r="E139" s="2296"/>
      <c r="F139" s="2295" t="str">
        <f>IFERROR(IF(Vulnerabilidad!P27="","",Vulnerabilidad!P27),"")</f>
        <v/>
      </c>
      <c r="G139" s="2296"/>
      <c r="H139" s="2291"/>
      <c r="I139" s="2297" t="str">
        <f>IFERROR(IF(Vulnerabilidad!K27="","",Vulnerabilidad!K27),"")</f>
        <v/>
      </c>
      <c r="J139" s="2298"/>
      <c r="K139" s="2298"/>
      <c r="L139" s="2299"/>
    </row>
    <row r="140" spans="2:12" ht="16.5" thickTop="1" thickBot="1" x14ac:dyDescent="0.3">
      <c r="B140" s="2254"/>
      <c r="C140" s="2326" t="str">
        <f>IFERROR(IF('UNIDAD PRODUCTORA'!$B$108="","",'UNIDAD PRODUCTORA'!$B$108),"")</f>
        <v/>
      </c>
      <c r="D140" s="2272"/>
      <c r="E140" s="2273"/>
      <c r="F140" s="2280" t="s">
        <v>29</v>
      </c>
      <c r="G140" s="2282"/>
      <c r="H140" s="761"/>
      <c r="I140" s="2280" t="s">
        <v>5520</v>
      </c>
      <c r="J140" s="2281"/>
      <c r="K140" s="2281"/>
      <c r="L140" s="2282"/>
    </row>
    <row r="141" spans="2:12" ht="15.75" customHeight="1" thickBot="1" x14ac:dyDescent="0.3">
      <c r="B141" s="2254"/>
      <c r="C141" s="2327"/>
      <c r="D141" s="2274" t="s">
        <v>5510</v>
      </c>
      <c r="E141" s="2275"/>
      <c r="F141" s="2301" t="s">
        <v>28</v>
      </c>
      <c r="G141" s="2302"/>
      <c r="H141" s="762"/>
      <c r="I141" s="2285" t="s">
        <v>5521</v>
      </c>
      <c r="J141" s="2286"/>
      <c r="K141" s="2286"/>
      <c r="L141" s="2287"/>
    </row>
    <row r="142" spans="2:12" ht="15.75" customHeight="1" thickBot="1" x14ac:dyDescent="0.3">
      <c r="B142" s="2254"/>
      <c r="C142" s="2327"/>
      <c r="D142" s="2288"/>
      <c r="E142" s="2289"/>
      <c r="F142" s="2303"/>
      <c r="G142" s="2304"/>
      <c r="H142" s="762"/>
      <c r="I142" s="2285" t="s">
        <v>5522</v>
      </c>
      <c r="J142" s="2286"/>
      <c r="K142" s="2286"/>
      <c r="L142" s="2287"/>
    </row>
    <row r="143" spans="2:12" ht="32.25" customHeight="1" thickBot="1" x14ac:dyDescent="0.3">
      <c r="B143" s="2254"/>
      <c r="C143" s="2327"/>
      <c r="D143" s="2285" t="s">
        <v>5523</v>
      </c>
      <c r="E143" s="2287"/>
      <c r="F143" s="2285" t="str">
        <f>IFERROR(IF(Vulnerabilidad!J28="","",Vulnerabilidad!J28),"")</f>
        <v/>
      </c>
      <c r="G143" s="2287"/>
      <c r="H143" s="2290" t="str">
        <f>IF(F143="","",(F143+F144)/2)</f>
        <v/>
      </c>
      <c r="I143" s="2292" t="str">
        <f>IFERROR(IF(Vulnerabilidad!F28="","",Vulnerabilidad!F28),"")</f>
        <v/>
      </c>
      <c r="J143" s="2293"/>
      <c r="K143" s="2293"/>
      <c r="L143" s="2294"/>
    </row>
    <row r="144" spans="2:12" ht="32.25" customHeight="1" thickBot="1" x14ac:dyDescent="0.3">
      <c r="B144" s="2254"/>
      <c r="C144" s="2329"/>
      <c r="D144" s="2285" t="s">
        <v>5524</v>
      </c>
      <c r="E144" s="2287"/>
      <c r="F144" s="2295" t="str">
        <f>IFERROR(IF(Vulnerabilidad!P28="","",Vulnerabilidad!P28),"")</f>
        <v/>
      </c>
      <c r="G144" s="2296"/>
      <c r="H144" s="2291"/>
      <c r="I144" s="2297" t="str">
        <f>IFERROR(IF(Vulnerabilidad!K28="","",Vulnerabilidad!K28),"")</f>
        <v/>
      </c>
      <c r="J144" s="2298"/>
      <c r="K144" s="2298"/>
      <c r="L144" s="2299"/>
    </row>
    <row r="145" spans="2:12" ht="16.5" thickTop="1" thickBot="1" x14ac:dyDescent="0.3">
      <c r="B145" s="2254"/>
      <c r="C145" s="2326" t="str">
        <f>IFERROR(IF('UNIDAD PRODUCTORA'!$B$114="","",'UNIDAD PRODUCTORA'!$B$114),"")</f>
        <v/>
      </c>
      <c r="D145" s="2272"/>
      <c r="E145" s="2273"/>
      <c r="F145" s="2280" t="s">
        <v>29</v>
      </c>
      <c r="G145" s="2282"/>
      <c r="H145" s="761"/>
      <c r="I145" s="2280" t="s">
        <v>5520</v>
      </c>
      <c r="J145" s="2281"/>
      <c r="K145" s="2281"/>
      <c r="L145" s="2282"/>
    </row>
    <row r="146" spans="2:12" ht="15.75" customHeight="1" thickBot="1" x14ac:dyDescent="0.3">
      <c r="B146" s="2254"/>
      <c r="C146" s="2327"/>
      <c r="D146" s="2274" t="s">
        <v>5510</v>
      </c>
      <c r="E146" s="2275"/>
      <c r="F146" s="2301" t="s">
        <v>28</v>
      </c>
      <c r="G146" s="2302"/>
      <c r="H146" s="762"/>
      <c r="I146" s="2285" t="s">
        <v>5521</v>
      </c>
      <c r="J146" s="2286"/>
      <c r="K146" s="2286"/>
      <c r="L146" s="2287"/>
    </row>
    <row r="147" spans="2:12" ht="15.75" customHeight="1" thickBot="1" x14ac:dyDescent="0.3">
      <c r="B147" s="2254"/>
      <c r="C147" s="2327"/>
      <c r="D147" s="2288"/>
      <c r="E147" s="2289"/>
      <c r="F147" s="2303"/>
      <c r="G147" s="2304"/>
      <c r="H147" s="762"/>
      <c r="I147" s="2285" t="s">
        <v>5522</v>
      </c>
      <c r="J147" s="2286"/>
      <c r="K147" s="2286"/>
      <c r="L147" s="2287"/>
    </row>
    <row r="148" spans="2:12" ht="32.25" customHeight="1" thickBot="1" x14ac:dyDescent="0.3">
      <c r="B148" s="2254"/>
      <c r="C148" s="2327"/>
      <c r="D148" s="2285" t="s">
        <v>5523</v>
      </c>
      <c r="E148" s="2287"/>
      <c r="F148" s="2285" t="str">
        <f>IFERROR(IF(Vulnerabilidad!J29="","",Vulnerabilidad!J29),"")</f>
        <v/>
      </c>
      <c r="G148" s="2287"/>
      <c r="H148" s="2290" t="str">
        <f>IF(F148="","",(F148+F149)/2)</f>
        <v/>
      </c>
      <c r="I148" s="2292" t="str">
        <f>IFERROR(IF(Vulnerabilidad!F29="","",Vulnerabilidad!F29),"")</f>
        <v/>
      </c>
      <c r="J148" s="2293"/>
      <c r="K148" s="2293"/>
      <c r="L148" s="2294"/>
    </row>
    <row r="149" spans="2:12" ht="32.25" customHeight="1" thickBot="1" x14ac:dyDescent="0.3">
      <c r="B149" s="2254"/>
      <c r="C149" s="2329"/>
      <c r="D149" s="2285" t="s">
        <v>5524</v>
      </c>
      <c r="E149" s="2287"/>
      <c r="F149" s="2295" t="str">
        <f>IFERROR(IF(Vulnerabilidad!P29="","",Vulnerabilidad!P29),"")</f>
        <v/>
      </c>
      <c r="G149" s="2296"/>
      <c r="H149" s="2291"/>
      <c r="I149" s="2297" t="str">
        <f>IFERROR(IF(Vulnerabilidad!K29="","",Vulnerabilidad!K29),"")</f>
        <v/>
      </c>
      <c r="J149" s="2298"/>
      <c r="K149" s="2298"/>
      <c r="L149" s="2299"/>
    </row>
    <row r="150" spans="2:12" ht="16.5" thickTop="1" thickBot="1" x14ac:dyDescent="0.3">
      <c r="B150" s="2254"/>
      <c r="C150" s="2326" t="str">
        <f>IFERROR(IF('UNIDAD PRODUCTORA'!$B$120="","",'UNIDAD PRODUCTORA'!$B$120),"")</f>
        <v/>
      </c>
      <c r="D150" s="2272"/>
      <c r="E150" s="2273"/>
      <c r="F150" s="2280" t="s">
        <v>29</v>
      </c>
      <c r="G150" s="2282"/>
      <c r="H150" s="761"/>
      <c r="I150" s="2280" t="s">
        <v>5520</v>
      </c>
      <c r="J150" s="2281"/>
      <c r="K150" s="2281"/>
      <c r="L150" s="2282"/>
    </row>
    <row r="151" spans="2:12" ht="15.75" customHeight="1" thickBot="1" x14ac:dyDescent="0.3">
      <c r="B151" s="2254"/>
      <c r="C151" s="2327"/>
      <c r="D151" s="2274" t="s">
        <v>5510</v>
      </c>
      <c r="E151" s="2275"/>
      <c r="F151" s="2301" t="s">
        <v>28</v>
      </c>
      <c r="G151" s="2302"/>
      <c r="H151" s="762"/>
      <c r="I151" s="2285" t="s">
        <v>5521</v>
      </c>
      <c r="J151" s="2286"/>
      <c r="K151" s="2286"/>
      <c r="L151" s="2287"/>
    </row>
    <row r="152" spans="2:12" ht="15.75" customHeight="1" thickBot="1" x14ac:dyDescent="0.3">
      <c r="B152" s="2254"/>
      <c r="C152" s="2327"/>
      <c r="D152" s="2288"/>
      <c r="E152" s="2289"/>
      <c r="F152" s="2303"/>
      <c r="G152" s="2304"/>
      <c r="H152" s="762"/>
      <c r="I152" s="2285" t="s">
        <v>5522</v>
      </c>
      <c r="J152" s="2286"/>
      <c r="K152" s="2286"/>
      <c r="L152" s="2287"/>
    </row>
    <row r="153" spans="2:12" ht="28.5" customHeight="1" thickBot="1" x14ac:dyDescent="0.3">
      <c r="B153" s="2254"/>
      <c r="C153" s="2327"/>
      <c r="D153" s="2285" t="s">
        <v>5523</v>
      </c>
      <c r="E153" s="2287"/>
      <c r="F153" s="2285" t="str">
        <f>IFERROR(IF(Vulnerabilidad!J30="","",Vulnerabilidad!J30),"")</f>
        <v/>
      </c>
      <c r="G153" s="2287"/>
      <c r="H153" s="2290" t="str">
        <f>IF(F153="","",(F153+F154)/2)</f>
        <v/>
      </c>
      <c r="I153" s="2292" t="str">
        <f>IFERROR(IF(Vulnerabilidad!F30="","",Vulnerabilidad!F30),"")</f>
        <v/>
      </c>
      <c r="J153" s="2293"/>
      <c r="K153" s="2293"/>
      <c r="L153" s="2294"/>
    </row>
    <row r="154" spans="2:12" ht="28.5" customHeight="1" thickBot="1" x14ac:dyDescent="0.3">
      <c r="B154" s="2254"/>
      <c r="C154" s="2329"/>
      <c r="D154" s="2285" t="s">
        <v>5524</v>
      </c>
      <c r="E154" s="2287"/>
      <c r="F154" s="2295" t="str">
        <f>IFERROR(IF(Vulnerabilidad!P30="","",Vulnerabilidad!P30),"")</f>
        <v/>
      </c>
      <c r="G154" s="2296"/>
      <c r="H154" s="2291"/>
      <c r="I154" s="2297" t="str">
        <f>IFERROR(IF(Vulnerabilidad!K30="","",Vulnerabilidad!K30),"")</f>
        <v/>
      </c>
      <c r="J154" s="2298"/>
      <c r="K154" s="2298"/>
      <c r="L154" s="2299"/>
    </row>
    <row r="155" spans="2:12" ht="16.5" thickTop="1" thickBot="1" x14ac:dyDescent="0.3">
      <c r="B155" s="2254"/>
      <c r="C155" s="2326" t="str">
        <f>IFERROR(IF('UNIDAD PRODUCTORA'!$B$126="","",'UNIDAD PRODUCTORA'!$B$126),"")</f>
        <v/>
      </c>
      <c r="D155" s="2272"/>
      <c r="E155" s="2273"/>
      <c r="F155" s="2280" t="s">
        <v>29</v>
      </c>
      <c r="G155" s="2282"/>
      <c r="H155" s="761"/>
      <c r="I155" s="2280" t="s">
        <v>5520</v>
      </c>
      <c r="J155" s="2281"/>
      <c r="K155" s="2281"/>
      <c r="L155" s="2282"/>
    </row>
    <row r="156" spans="2:12" ht="15.75" customHeight="1" thickBot="1" x14ac:dyDescent="0.3">
      <c r="B156" s="2254"/>
      <c r="C156" s="2327"/>
      <c r="D156" s="2274" t="s">
        <v>5510</v>
      </c>
      <c r="E156" s="2275"/>
      <c r="F156" s="2301" t="s">
        <v>28</v>
      </c>
      <c r="G156" s="2302"/>
      <c r="H156" s="762"/>
      <c r="I156" s="2285" t="s">
        <v>5521</v>
      </c>
      <c r="J156" s="2286"/>
      <c r="K156" s="2286"/>
      <c r="L156" s="2287"/>
    </row>
    <row r="157" spans="2:12" ht="15.75" customHeight="1" thickBot="1" x14ac:dyDescent="0.3">
      <c r="B157" s="2254"/>
      <c r="C157" s="2327"/>
      <c r="D157" s="2288"/>
      <c r="E157" s="2289"/>
      <c r="F157" s="2303"/>
      <c r="G157" s="2304"/>
      <c r="H157" s="762"/>
      <c r="I157" s="2285" t="s">
        <v>5522</v>
      </c>
      <c r="J157" s="2286"/>
      <c r="K157" s="2286"/>
      <c r="L157" s="2287"/>
    </row>
    <row r="158" spans="2:12" ht="32.25" customHeight="1" thickBot="1" x14ac:dyDescent="0.3">
      <c r="B158" s="2254"/>
      <c r="C158" s="2327"/>
      <c r="D158" s="2285" t="s">
        <v>5523</v>
      </c>
      <c r="E158" s="2287"/>
      <c r="F158" s="2285" t="str">
        <f>IFERROR(IF(Vulnerabilidad!J31="","",Vulnerabilidad!J31),"")</f>
        <v/>
      </c>
      <c r="G158" s="2287"/>
      <c r="H158" s="2290" t="str">
        <f>IF(F158="","",(F158+F159)/2)</f>
        <v/>
      </c>
      <c r="I158" s="2292" t="str">
        <f>IFERROR(IF(Vulnerabilidad!F31="","",Vulnerabilidad!F31),"")</f>
        <v/>
      </c>
      <c r="J158" s="2293"/>
      <c r="K158" s="2293"/>
      <c r="L158" s="2294"/>
    </row>
    <row r="159" spans="2:12" ht="32.25" customHeight="1" thickBot="1" x14ac:dyDescent="0.3">
      <c r="B159" s="2254"/>
      <c r="C159" s="2329"/>
      <c r="D159" s="2285" t="s">
        <v>5524</v>
      </c>
      <c r="E159" s="2287"/>
      <c r="F159" s="2295" t="str">
        <f>IFERROR(IF(Vulnerabilidad!P31="","",Vulnerabilidad!P31),"")</f>
        <v/>
      </c>
      <c r="G159" s="2296"/>
      <c r="H159" s="2291"/>
      <c r="I159" s="2297" t="str">
        <f>IFERROR(IF(Vulnerabilidad!K31="","",Vulnerabilidad!K31),"")</f>
        <v/>
      </c>
      <c r="J159" s="2298"/>
      <c r="K159" s="2298"/>
      <c r="L159" s="2299"/>
    </row>
    <row r="160" spans="2:12" ht="36.75" customHeight="1" thickBot="1" x14ac:dyDescent="0.3">
      <c r="B160" s="2254"/>
      <c r="C160" s="2330" t="s">
        <v>5525</v>
      </c>
      <c r="D160" s="2285" t="s">
        <v>5526</v>
      </c>
      <c r="E160" s="2287"/>
      <c r="F160" s="2314" t="str">
        <f>IFERROR(IF(Vulnerabilidad!I63="","",Vulnerabilidad!I63),"")</f>
        <v/>
      </c>
      <c r="G160" s="2315"/>
      <c r="H160" s="2324" t="str">
        <f>IF(F160="","",(F160+F161)/2)</f>
        <v/>
      </c>
      <c r="I160" s="2292" t="str">
        <f>IFERROR(IF(Vulnerabilidad!D63="","",Vulnerabilidad!D63),"")</f>
        <v/>
      </c>
      <c r="J160" s="2293"/>
      <c r="K160" s="2293"/>
      <c r="L160" s="2294"/>
    </row>
    <row r="161" spans="2:12" ht="36.75" customHeight="1" thickBot="1" x14ac:dyDescent="0.3">
      <c r="B161" s="2254"/>
      <c r="C161" s="2331"/>
      <c r="D161" s="2285" t="s">
        <v>5527</v>
      </c>
      <c r="E161" s="2287"/>
      <c r="F161" s="2314" t="str">
        <f>IFERROR(IF(Vulnerabilidad!I63="","",Vulnerabilidad!I63),"")</f>
        <v/>
      </c>
      <c r="G161" s="2315"/>
      <c r="H161" s="2325"/>
      <c r="I161" s="2316" t="str">
        <f>IFERROR(IF(Vulnerabilidad!J63="","",Vulnerabilidad!J63),"")</f>
        <v/>
      </c>
      <c r="J161" s="2317"/>
      <c r="K161" s="2317"/>
      <c r="L161" s="2318"/>
    </row>
    <row r="162" spans="2:12" ht="25.5" customHeight="1" thickBot="1" x14ac:dyDescent="0.3">
      <c r="B162" s="2255"/>
      <c r="C162" s="2257" t="s">
        <v>5528</v>
      </c>
      <c r="D162" s="2257"/>
      <c r="E162" s="2257"/>
      <c r="F162" s="2257"/>
      <c r="G162" s="2258"/>
      <c r="H162" s="2263" t="str">
        <f>IFERROR(IF(Vulnerabilidad!R63="","",Vulnerabilidad!R63),"")</f>
        <v/>
      </c>
      <c r="I162" s="2259"/>
      <c r="J162" s="2259"/>
      <c r="K162" s="2259"/>
      <c r="L162" s="2260"/>
    </row>
    <row r="163" spans="2:12" ht="6" customHeight="1" thickBot="1" x14ac:dyDescent="0.3"/>
    <row r="164" spans="2:12" ht="11.25" customHeight="1" thickBot="1" x14ac:dyDescent="0.3">
      <c r="B164" s="2320" t="str">
        <f>IF(G166="","",CONCATENATE("Resumen de la incorporación de la GdR en CCC del PI de mejoramiento y ampliación de ",G166))</f>
        <v/>
      </c>
      <c r="C164" s="2320"/>
      <c r="D164" s="2320"/>
      <c r="E164" s="2320"/>
      <c r="F164" s="2320"/>
      <c r="G164" s="2320"/>
      <c r="H164" s="2320"/>
      <c r="I164" s="2320"/>
      <c r="J164" s="2320"/>
      <c r="K164" s="2320"/>
      <c r="L164" s="2320"/>
    </row>
    <row r="165" spans="2:12" ht="9" customHeight="1" thickBot="1" x14ac:dyDescent="0.3"/>
    <row r="166" spans="2:12" ht="15.75" customHeight="1" thickBot="1" x14ac:dyDescent="0.3">
      <c r="B166" s="2253" t="str">
        <f>CONCATENATE("IDENTIFICACIÓN"," DEL PELIGRO ",UPPER(K166))</f>
        <v xml:space="preserve">IDENTIFICACIÓN DEL PELIGRO </v>
      </c>
      <c r="C166" s="2257" t="s">
        <v>5517</v>
      </c>
      <c r="D166" s="2257"/>
      <c r="E166" s="2257"/>
      <c r="F166" s="2257"/>
      <c r="G166" s="2257"/>
      <c r="H166" s="2257"/>
      <c r="I166" s="2257"/>
      <c r="J166" s="2258"/>
      <c r="K166" s="2263" t="str">
        <f>IFERROR(UPPER(IF('AREA DE ESTUDIO'!B127="","",'AREA DE ESTUDIO'!B127)),"")</f>
        <v/>
      </c>
      <c r="L166" s="2260"/>
    </row>
    <row r="167" spans="2:12" ht="15.75" customHeight="1" thickBot="1" x14ac:dyDescent="0.3">
      <c r="B167" s="2254"/>
      <c r="C167" s="2257" t="s">
        <v>5449</v>
      </c>
      <c r="D167" s="2257"/>
      <c r="E167" s="2256" t="s">
        <v>5450</v>
      </c>
      <c r="F167" s="2257"/>
      <c r="G167" s="2258"/>
      <c r="H167" s="2257" t="s">
        <v>5451</v>
      </c>
      <c r="I167" s="2257"/>
      <c r="J167" s="2258"/>
      <c r="K167" s="2261" t="s">
        <v>26</v>
      </c>
      <c r="L167" s="2262"/>
    </row>
    <row r="168" spans="2:12" ht="30" customHeight="1" thickBot="1" x14ac:dyDescent="0.3">
      <c r="B168" s="2254"/>
      <c r="C168" s="2259" t="str">
        <f>IFERROR(IF('AREA DE ESTUDIO'!G127="","",'AREA DE ESTUDIO'!G127),"")</f>
        <v/>
      </c>
      <c r="D168" s="2259"/>
      <c r="E168" s="2263" t="str">
        <f>IFERROR(IF('AREA DE ESTUDIO'!L127="","",'AREA DE ESTUDIO'!L127),"")</f>
        <v/>
      </c>
      <c r="F168" s="2259"/>
      <c r="G168" s="2260"/>
      <c r="H168" s="2259" t="str">
        <f>IFERROR(IF('AREA DE ESTUDIO'!Q127="","",'AREA DE ESTUDIO'!Q127),"")</f>
        <v/>
      </c>
      <c r="I168" s="2259"/>
      <c r="J168" s="2260"/>
      <c r="K168" s="2264" t="str">
        <f>IFERROR(IF('Area de Impacto'!E140="","",'Area de Impacto'!E140),"")</f>
        <v/>
      </c>
      <c r="L168" s="2265"/>
    </row>
    <row r="169" spans="2:12" ht="15.75" customHeight="1" thickBot="1" x14ac:dyDescent="0.3">
      <c r="B169" s="2254"/>
      <c r="C169" s="2267" t="s">
        <v>5518</v>
      </c>
      <c r="D169" s="2267"/>
      <c r="E169" s="2268"/>
      <c r="F169" s="2266" t="s">
        <v>5519</v>
      </c>
      <c r="G169" s="2267"/>
      <c r="H169" s="2267"/>
      <c r="I169" s="2267"/>
      <c r="J169" s="2267"/>
      <c r="K169" s="2267"/>
      <c r="L169" s="2268"/>
    </row>
    <row r="170" spans="2:12" ht="16.5" customHeight="1" thickTop="1" thickBot="1" x14ac:dyDescent="0.3">
      <c r="B170" s="2254"/>
      <c r="C170" s="2326" t="str">
        <f>IFERROR(IF('UNIDAD PRODUCTORA'!$B$96="","",'UNIDAD PRODUCTORA'!$B$96),"")</f>
        <v/>
      </c>
      <c r="D170" s="2272" t="s">
        <v>5510</v>
      </c>
      <c r="E170" s="2273"/>
      <c r="F170" s="2278" t="s">
        <v>29</v>
      </c>
      <c r="G170" s="2279"/>
      <c r="H170" s="761"/>
      <c r="I170" s="2280" t="s">
        <v>5520</v>
      </c>
      <c r="J170" s="2281"/>
      <c r="K170" s="2281"/>
      <c r="L170" s="2282"/>
    </row>
    <row r="171" spans="2:12" ht="15.75" customHeight="1" thickBot="1" x14ac:dyDescent="0.3">
      <c r="B171" s="2254"/>
      <c r="C171" s="2327"/>
      <c r="D171" s="2274"/>
      <c r="E171" s="2275"/>
      <c r="F171" s="2283" t="s">
        <v>28</v>
      </c>
      <c r="G171" s="2284"/>
      <c r="H171" s="762"/>
      <c r="I171" s="2285" t="s">
        <v>5521</v>
      </c>
      <c r="J171" s="2286"/>
      <c r="K171" s="2286"/>
      <c r="L171" s="2287"/>
    </row>
    <row r="172" spans="2:12" ht="15.75" customHeight="1" thickBot="1" x14ac:dyDescent="0.3">
      <c r="B172" s="2254"/>
      <c r="C172" s="2327"/>
      <c r="D172" s="2276"/>
      <c r="E172" s="2277"/>
      <c r="F172" s="2276"/>
      <c r="G172" s="2277"/>
      <c r="H172" s="762"/>
      <c r="I172" s="2285" t="s">
        <v>5522</v>
      </c>
      <c r="J172" s="2286"/>
      <c r="K172" s="2286"/>
      <c r="L172" s="2287"/>
    </row>
    <row r="173" spans="2:12" ht="27.75" customHeight="1" thickBot="1" x14ac:dyDescent="0.3">
      <c r="B173" s="2254"/>
      <c r="C173" s="2327"/>
      <c r="D173" s="2285" t="s">
        <v>5523</v>
      </c>
      <c r="E173" s="2287"/>
      <c r="F173" s="2285" t="str">
        <f>IFERROR(IF(Vulnerabilidad!J32="","",Vulnerabilidad!J32),"")</f>
        <v/>
      </c>
      <c r="G173" s="2287"/>
      <c r="H173" s="2290" t="str">
        <f>IF(F173="","",(F173+F174)/2)</f>
        <v/>
      </c>
      <c r="I173" s="2292" t="str">
        <f>IFERROR(IF(Vulnerabilidad!F32="","",Vulnerabilidad!F32),"")</f>
        <v/>
      </c>
      <c r="J173" s="2293"/>
      <c r="K173" s="2293"/>
      <c r="L173" s="2294"/>
    </row>
    <row r="174" spans="2:12" ht="27.75" customHeight="1" thickBot="1" x14ac:dyDescent="0.3">
      <c r="B174" s="2254"/>
      <c r="C174" s="2328"/>
      <c r="D174" s="2295" t="s">
        <v>5524</v>
      </c>
      <c r="E174" s="2296"/>
      <c r="F174" s="2295" t="str">
        <f>IFERROR(IF(Vulnerabilidad!P32="","",Vulnerabilidad!P32),"")</f>
        <v/>
      </c>
      <c r="G174" s="2296"/>
      <c r="H174" s="2291"/>
      <c r="I174" s="2297" t="str">
        <f>IFERROR(IF(Vulnerabilidad!K32="","",Vulnerabilidad!K32),"")</f>
        <v/>
      </c>
      <c r="J174" s="2298"/>
      <c r="K174" s="2298"/>
      <c r="L174" s="2299"/>
    </row>
    <row r="175" spans="2:12" ht="16.5" thickTop="1" thickBot="1" x14ac:dyDescent="0.3">
      <c r="B175" s="2254"/>
      <c r="C175" s="2326" t="str">
        <f>IFERROR(IF('UNIDAD PRODUCTORA'!$B$102="","",'UNIDAD PRODUCTORA'!$B$102),"")</f>
        <v/>
      </c>
      <c r="D175" s="2272" t="s">
        <v>5510</v>
      </c>
      <c r="E175" s="2273"/>
      <c r="F175" s="2280" t="s">
        <v>29</v>
      </c>
      <c r="G175" s="2282"/>
      <c r="H175" s="761"/>
      <c r="I175" s="2280" t="s">
        <v>5520</v>
      </c>
      <c r="J175" s="2281"/>
      <c r="K175" s="2281"/>
      <c r="L175" s="2282"/>
    </row>
    <row r="176" spans="2:12" ht="15.75" customHeight="1" thickBot="1" x14ac:dyDescent="0.3">
      <c r="B176" s="2254"/>
      <c r="C176" s="2327"/>
      <c r="D176" s="2274"/>
      <c r="E176" s="2275"/>
      <c r="F176" s="2283" t="s">
        <v>28</v>
      </c>
      <c r="G176" s="2284"/>
      <c r="H176" s="762"/>
      <c r="I176" s="2285" t="s">
        <v>5521</v>
      </c>
      <c r="J176" s="2286"/>
      <c r="K176" s="2286"/>
      <c r="L176" s="2287"/>
    </row>
    <row r="177" spans="2:12" ht="15.75" customHeight="1" thickBot="1" x14ac:dyDescent="0.3">
      <c r="B177" s="2254"/>
      <c r="C177" s="2327"/>
      <c r="D177" s="2276"/>
      <c r="E177" s="2277"/>
      <c r="F177" s="2276"/>
      <c r="G177" s="2277"/>
      <c r="H177" s="762"/>
      <c r="I177" s="2285" t="s">
        <v>5522</v>
      </c>
      <c r="J177" s="2286"/>
      <c r="K177" s="2286"/>
      <c r="L177" s="2287"/>
    </row>
    <row r="178" spans="2:12" ht="33.75" customHeight="1" thickBot="1" x14ac:dyDescent="0.3">
      <c r="B178" s="2254"/>
      <c r="C178" s="2327"/>
      <c r="D178" s="2285" t="s">
        <v>5523</v>
      </c>
      <c r="E178" s="2287"/>
      <c r="F178" s="2285" t="str">
        <f>IFERROR(IF(Vulnerabilidad!J33="","",Vulnerabilidad!J33),"")</f>
        <v/>
      </c>
      <c r="G178" s="2287"/>
      <c r="H178" s="2290" t="str">
        <f>IF(F178="","",(F178+F179)/2)</f>
        <v/>
      </c>
      <c r="I178" s="2292" t="str">
        <f>IFERROR(IF(Vulnerabilidad!F33="","",Vulnerabilidad!F33),"")</f>
        <v/>
      </c>
      <c r="J178" s="2293"/>
      <c r="K178" s="2293"/>
      <c r="L178" s="2294"/>
    </row>
    <row r="179" spans="2:12" ht="33.75" customHeight="1" thickBot="1" x14ac:dyDescent="0.3">
      <c r="B179" s="2254"/>
      <c r="C179" s="2328"/>
      <c r="D179" s="2295" t="s">
        <v>5524</v>
      </c>
      <c r="E179" s="2296"/>
      <c r="F179" s="2295" t="str">
        <f>IFERROR(IF(Vulnerabilidad!P33="","",Vulnerabilidad!P33),"")</f>
        <v/>
      </c>
      <c r="G179" s="2296"/>
      <c r="H179" s="2291"/>
      <c r="I179" s="2297" t="str">
        <f>IFERROR(IF(Vulnerabilidad!K33="","",Vulnerabilidad!K33),"")</f>
        <v/>
      </c>
      <c r="J179" s="2298"/>
      <c r="K179" s="2298"/>
      <c r="L179" s="2299"/>
    </row>
    <row r="180" spans="2:12" ht="16.5" thickTop="1" thickBot="1" x14ac:dyDescent="0.3">
      <c r="B180" s="2254"/>
      <c r="C180" s="2326" t="str">
        <f>IFERROR(IF('UNIDAD PRODUCTORA'!$B$108="","",'UNIDAD PRODUCTORA'!$B$108),"")</f>
        <v/>
      </c>
      <c r="D180" s="2272"/>
      <c r="E180" s="2273"/>
      <c r="F180" s="2280" t="s">
        <v>29</v>
      </c>
      <c r="G180" s="2282"/>
      <c r="H180" s="761"/>
      <c r="I180" s="2280" t="s">
        <v>5520</v>
      </c>
      <c r="J180" s="2281"/>
      <c r="K180" s="2281"/>
      <c r="L180" s="2282"/>
    </row>
    <row r="181" spans="2:12" ht="15.75" customHeight="1" thickBot="1" x14ac:dyDescent="0.3">
      <c r="B181" s="2254"/>
      <c r="C181" s="2327"/>
      <c r="D181" s="2274" t="s">
        <v>5510</v>
      </c>
      <c r="E181" s="2275"/>
      <c r="F181" s="2301" t="s">
        <v>28</v>
      </c>
      <c r="G181" s="2302"/>
      <c r="H181" s="762"/>
      <c r="I181" s="2285" t="s">
        <v>5521</v>
      </c>
      <c r="J181" s="2286"/>
      <c r="K181" s="2286"/>
      <c r="L181" s="2287"/>
    </row>
    <row r="182" spans="2:12" ht="15.75" customHeight="1" thickBot="1" x14ac:dyDescent="0.3">
      <c r="B182" s="2254"/>
      <c r="C182" s="2327"/>
      <c r="D182" s="2288"/>
      <c r="E182" s="2289"/>
      <c r="F182" s="2303"/>
      <c r="G182" s="2304"/>
      <c r="H182" s="762"/>
      <c r="I182" s="2285" t="s">
        <v>5522</v>
      </c>
      <c r="J182" s="2286"/>
      <c r="K182" s="2286"/>
      <c r="L182" s="2287"/>
    </row>
    <row r="183" spans="2:12" ht="32.25" customHeight="1" thickBot="1" x14ac:dyDescent="0.3">
      <c r="B183" s="2254"/>
      <c r="C183" s="2327"/>
      <c r="D183" s="2285" t="s">
        <v>5523</v>
      </c>
      <c r="E183" s="2287"/>
      <c r="F183" s="2285" t="str">
        <f>IFERROR(IF(Vulnerabilidad!J34="","",Vulnerabilidad!J34),"")</f>
        <v/>
      </c>
      <c r="G183" s="2287"/>
      <c r="H183" s="2290" t="str">
        <f>IF(F183="","",(F183+F184)/2)</f>
        <v/>
      </c>
      <c r="I183" s="2292" t="str">
        <f>IFERROR(IF(Vulnerabilidad!F34="","",Vulnerabilidad!F34),"")</f>
        <v/>
      </c>
      <c r="J183" s="2293"/>
      <c r="K183" s="2293"/>
      <c r="L183" s="2294"/>
    </row>
    <row r="184" spans="2:12" ht="32.25" customHeight="1" thickBot="1" x14ac:dyDescent="0.3">
      <c r="B184" s="2254"/>
      <c r="C184" s="2329"/>
      <c r="D184" s="2285" t="s">
        <v>5524</v>
      </c>
      <c r="E184" s="2287"/>
      <c r="F184" s="2295" t="str">
        <f>IFERROR(IF(Vulnerabilidad!P34="","",Vulnerabilidad!P34),"")</f>
        <v/>
      </c>
      <c r="G184" s="2296"/>
      <c r="H184" s="2291"/>
      <c r="I184" s="2297" t="str">
        <f>IFERROR(IF(Vulnerabilidad!K34="","",Vulnerabilidad!K34),"")</f>
        <v/>
      </c>
      <c r="J184" s="2298"/>
      <c r="K184" s="2298"/>
      <c r="L184" s="2299"/>
    </row>
    <row r="185" spans="2:12" ht="16.5" thickTop="1" thickBot="1" x14ac:dyDescent="0.3">
      <c r="B185" s="2254"/>
      <c r="C185" s="2326" t="str">
        <f>IFERROR(IF('UNIDAD PRODUCTORA'!$B$114="","",'UNIDAD PRODUCTORA'!$B$114),"")</f>
        <v/>
      </c>
      <c r="D185" s="2272"/>
      <c r="E185" s="2273"/>
      <c r="F185" s="2280" t="s">
        <v>29</v>
      </c>
      <c r="G185" s="2282"/>
      <c r="H185" s="761"/>
      <c r="I185" s="2280" t="s">
        <v>5520</v>
      </c>
      <c r="J185" s="2281"/>
      <c r="K185" s="2281"/>
      <c r="L185" s="2282"/>
    </row>
    <row r="186" spans="2:12" ht="15.75" customHeight="1" thickBot="1" x14ac:dyDescent="0.3">
      <c r="B186" s="2254"/>
      <c r="C186" s="2327"/>
      <c r="D186" s="2274" t="s">
        <v>5510</v>
      </c>
      <c r="E186" s="2275"/>
      <c r="F186" s="2301" t="s">
        <v>28</v>
      </c>
      <c r="G186" s="2302"/>
      <c r="H186" s="762"/>
      <c r="I186" s="2285" t="s">
        <v>5521</v>
      </c>
      <c r="J186" s="2286"/>
      <c r="K186" s="2286"/>
      <c r="L186" s="2287"/>
    </row>
    <row r="187" spans="2:12" ht="15.75" customHeight="1" thickBot="1" x14ac:dyDescent="0.3">
      <c r="B187" s="2254"/>
      <c r="C187" s="2327"/>
      <c r="D187" s="2288"/>
      <c r="E187" s="2289"/>
      <c r="F187" s="2303"/>
      <c r="G187" s="2304"/>
      <c r="H187" s="762"/>
      <c r="I187" s="2285" t="s">
        <v>5522</v>
      </c>
      <c r="J187" s="2286"/>
      <c r="K187" s="2286"/>
      <c r="L187" s="2287"/>
    </row>
    <row r="188" spans="2:12" ht="32.25" customHeight="1" thickBot="1" x14ac:dyDescent="0.3">
      <c r="B188" s="2254"/>
      <c r="C188" s="2327"/>
      <c r="D188" s="2285" t="s">
        <v>5523</v>
      </c>
      <c r="E188" s="2287"/>
      <c r="F188" s="2285" t="str">
        <f>IFERROR(IF(Vulnerabilidad!J35="","",Vulnerabilidad!J35),"")</f>
        <v/>
      </c>
      <c r="G188" s="2287"/>
      <c r="H188" s="2290" t="str">
        <f>IF(F188="","",(F188+F189)/2)</f>
        <v/>
      </c>
      <c r="I188" s="2292" t="str">
        <f>IFERROR(IF(Vulnerabilidad!F35="","",Vulnerabilidad!F35),"")</f>
        <v/>
      </c>
      <c r="J188" s="2293"/>
      <c r="K188" s="2293"/>
      <c r="L188" s="2294"/>
    </row>
    <row r="189" spans="2:12" ht="32.25" customHeight="1" thickBot="1" x14ac:dyDescent="0.3">
      <c r="B189" s="2254"/>
      <c r="C189" s="2329"/>
      <c r="D189" s="2285" t="s">
        <v>5524</v>
      </c>
      <c r="E189" s="2287"/>
      <c r="F189" s="2295" t="str">
        <f>IFERROR(IF(Vulnerabilidad!P35="","",Vulnerabilidad!P35),"")</f>
        <v/>
      </c>
      <c r="G189" s="2296"/>
      <c r="H189" s="2291"/>
      <c r="I189" s="2297" t="str">
        <f>IFERROR(IF(Vulnerabilidad!K35="","",Vulnerabilidad!K35),"")</f>
        <v/>
      </c>
      <c r="J189" s="2298"/>
      <c r="K189" s="2298"/>
      <c r="L189" s="2299"/>
    </row>
    <row r="190" spans="2:12" ht="16.5" thickTop="1" thickBot="1" x14ac:dyDescent="0.3">
      <c r="B190" s="2254"/>
      <c r="C190" s="2326" t="str">
        <f>IFERROR(IF('UNIDAD PRODUCTORA'!$B$120="","",'UNIDAD PRODUCTORA'!$B$120),"")</f>
        <v/>
      </c>
      <c r="D190" s="2272"/>
      <c r="E190" s="2273"/>
      <c r="F190" s="2280" t="s">
        <v>29</v>
      </c>
      <c r="G190" s="2282"/>
      <c r="H190" s="761"/>
      <c r="I190" s="2280" t="s">
        <v>5520</v>
      </c>
      <c r="J190" s="2281"/>
      <c r="K190" s="2281"/>
      <c r="L190" s="2282"/>
    </row>
    <row r="191" spans="2:12" ht="15.75" customHeight="1" thickBot="1" x14ac:dyDescent="0.3">
      <c r="B191" s="2254"/>
      <c r="C191" s="2327"/>
      <c r="D191" s="2274" t="s">
        <v>5510</v>
      </c>
      <c r="E191" s="2275"/>
      <c r="F191" s="2301" t="s">
        <v>28</v>
      </c>
      <c r="G191" s="2302"/>
      <c r="H191" s="762"/>
      <c r="I191" s="2285" t="s">
        <v>5521</v>
      </c>
      <c r="J191" s="2286"/>
      <c r="K191" s="2286"/>
      <c r="L191" s="2287"/>
    </row>
    <row r="192" spans="2:12" ht="15.75" customHeight="1" thickBot="1" x14ac:dyDescent="0.3">
      <c r="B192" s="2254"/>
      <c r="C192" s="2327"/>
      <c r="D192" s="2288"/>
      <c r="E192" s="2289"/>
      <c r="F192" s="2303"/>
      <c r="G192" s="2304"/>
      <c r="H192" s="762"/>
      <c r="I192" s="2285" t="s">
        <v>5522</v>
      </c>
      <c r="J192" s="2286"/>
      <c r="K192" s="2286"/>
      <c r="L192" s="2287"/>
    </row>
    <row r="193" spans="2:12" ht="28.5" customHeight="1" thickBot="1" x14ac:dyDescent="0.3">
      <c r="B193" s="2254"/>
      <c r="C193" s="2327"/>
      <c r="D193" s="2285" t="s">
        <v>5523</v>
      </c>
      <c r="E193" s="2287"/>
      <c r="F193" s="2285" t="str">
        <f>IFERROR(IF(Vulnerabilidad!J36="","",Vulnerabilidad!J36),"")</f>
        <v/>
      </c>
      <c r="G193" s="2287"/>
      <c r="H193" s="2290" t="str">
        <f>IF(F193="","",(F193+F194)/2)</f>
        <v/>
      </c>
      <c r="I193" s="2292" t="str">
        <f>IFERROR(IF(Vulnerabilidad!F36="","",Vulnerabilidad!F36),"")</f>
        <v/>
      </c>
      <c r="J193" s="2293"/>
      <c r="K193" s="2293"/>
      <c r="L193" s="2294"/>
    </row>
    <row r="194" spans="2:12" ht="28.5" customHeight="1" thickBot="1" x14ac:dyDescent="0.3">
      <c r="B194" s="2254"/>
      <c r="C194" s="2329"/>
      <c r="D194" s="2285" t="s">
        <v>5524</v>
      </c>
      <c r="E194" s="2287"/>
      <c r="F194" s="2295" t="str">
        <f>IFERROR(IF(Vulnerabilidad!P36="","",Vulnerabilidad!P36),"")</f>
        <v/>
      </c>
      <c r="G194" s="2296"/>
      <c r="H194" s="2291"/>
      <c r="I194" s="2297" t="str">
        <f>IFERROR(IF(Vulnerabilidad!K36="","",Vulnerabilidad!K36),"")</f>
        <v/>
      </c>
      <c r="J194" s="2298"/>
      <c r="K194" s="2298"/>
      <c r="L194" s="2299"/>
    </row>
    <row r="195" spans="2:12" ht="16.5" thickTop="1" thickBot="1" x14ac:dyDescent="0.3">
      <c r="B195" s="2254"/>
      <c r="C195" s="2326" t="str">
        <f>IFERROR(IF('UNIDAD PRODUCTORA'!$B$126="","",'UNIDAD PRODUCTORA'!$B$126),"")</f>
        <v/>
      </c>
      <c r="D195" s="2272"/>
      <c r="E195" s="2273"/>
      <c r="F195" s="2280" t="s">
        <v>29</v>
      </c>
      <c r="G195" s="2282"/>
      <c r="H195" s="761"/>
      <c r="I195" s="2280" t="s">
        <v>5520</v>
      </c>
      <c r="J195" s="2281"/>
      <c r="K195" s="2281"/>
      <c r="L195" s="2282"/>
    </row>
    <row r="196" spans="2:12" ht="15.75" customHeight="1" thickBot="1" x14ac:dyDescent="0.3">
      <c r="B196" s="2254"/>
      <c r="C196" s="2327"/>
      <c r="D196" s="2274" t="s">
        <v>5510</v>
      </c>
      <c r="E196" s="2275"/>
      <c r="F196" s="2301" t="s">
        <v>28</v>
      </c>
      <c r="G196" s="2302"/>
      <c r="H196" s="762"/>
      <c r="I196" s="2285" t="s">
        <v>5521</v>
      </c>
      <c r="J196" s="2286"/>
      <c r="K196" s="2286"/>
      <c r="L196" s="2287"/>
    </row>
    <row r="197" spans="2:12" ht="15.75" customHeight="1" thickBot="1" x14ac:dyDescent="0.3">
      <c r="B197" s="2254"/>
      <c r="C197" s="2327"/>
      <c r="D197" s="2288"/>
      <c r="E197" s="2289"/>
      <c r="F197" s="2303"/>
      <c r="G197" s="2304"/>
      <c r="H197" s="762"/>
      <c r="I197" s="2285" t="s">
        <v>5522</v>
      </c>
      <c r="J197" s="2286"/>
      <c r="K197" s="2286"/>
      <c r="L197" s="2287"/>
    </row>
    <row r="198" spans="2:12" ht="32.25" customHeight="1" thickBot="1" x14ac:dyDescent="0.3">
      <c r="B198" s="2254"/>
      <c r="C198" s="2327"/>
      <c r="D198" s="2285" t="s">
        <v>5523</v>
      </c>
      <c r="E198" s="2287"/>
      <c r="F198" s="2285" t="str">
        <f>IFERROR(IF(Vulnerabilidad!J37="","",Vulnerabilidad!J37),"")</f>
        <v/>
      </c>
      <c r="G198" s="2287"/>
      <c r="H198" s="2290" t="str">
        <f>IF(F198="","",(F198+F199)/2)</f>
        <v/>
      </c>
      <c r="I198" s="2292" t="str">
        <f>IFERROR(IF(Vulnerabilidad!F37="","",Vulnerabilidad!F37),"")</f>
        <v/>
      </c>
      <c r="J198" s="2293"/>
      <c r="K198" s="2293"/>
      <c r="L198" s="2294"/>
    </row>
    <row r="199" spans="2:12" ht="32.25" customHeight="1" thickBot="1" x14ac:dyDescent="0.3">
      <c r="B199" s="2254"/>
      <c r="C199" s="2329"/>
      <c r="D199" s="2285" t="s">
        <v>5524</v>
      </c>
      <c r="E199" s="2287"/>
      <c r="F199" s="2295" t="str">
        <f>IFERROR(IF(Vulnerabilidad!P37="","",Vulnerabilidad!P37),"")</f>
        <v/>
      </c>
      <c r="G199" s="2296"/>
      <c r="H199" s="2291"/>
      <c r="I199" s="2297" t="str">
        <f>IFERROR(IF(Vulnerabilidad!K37="","",Vulnerabilidad!K37),"")</f>
        <v/>
      </c>
      <c r="J199" s="2298"/>
      <c r="K199" s="2298"/>
      <c r="L199" s="2299"/>
    </row>
    <row r="200" spans="2:12" ht="25.5" customHeight="1" thickBot="1" x14ac:dyDescent="0.3">
      <c r="B200" s="2254"/>
      <c r="C200" s="2330" t="s">
        <v>5525</v>
      </c>
      <c r="D200" s="2285" t="s">
        <v>5526</v>
      </c>
      <c r="E200" s="2287"/>
      <c r="F200" s="2314" t="str">
        <f>IFERROR(IF(Vulnerabilidad!I67="","",Vulnerabilidad!I67),"")</f>
        <v/>
      </c>
      <c r="G200" s="2315"/>
      <c r="H200" s="2324" t="str">
        <f>IF(F200="","",(F200+F201)/2)</f>
        <v/>
      </c>
      <c r="I200" s="2292" t="str">
        <f>IFERROR(IF(Vulnerabilidad!D67="","",Vulnerabilidad!D67),"")</f>
        <v/>
      </c>
      <c r="J200" s="2293"/>
      <c r="K200" s="2293"/>
      <c r="L200" s="2294"/>
    </row>
    <row r="201" spans="2:12" ht="25.5" customHeight="1" thickBot="1" x14ac:dyDescent="0.3">
      <c r="B201" s="2254"/>
      <c r="C201" s="2331"/>
      <c r="D201" s="2285" t="s">
        <v>5527</v>
      </c>
      <c r="E201" s="2287"/>
      <c r="F201" s="2314" t="str">
        <f>IFERROR(IF(Vulnerabilidad!P67="","",Vulnerabilidad!P67),"")</f>
        <v/>
      </c>
      <c r="G201" s="2315"/>
      <c r="H201" s="2325"/>
      <c r="I201" s="2316" t="str">
        <f>IFERROR(IF(Vulnerabilidad!J67="","",Vulnerabilidad!J67),"")</f>
        <v/>
      </c>
      <c r="J201" s="2317"/>
      <c r="K201" s="2317"/>
      <c r="L201" s="2318"/>
    </row>
    <row r="202" spans="2:12" ht="25.5" customHeight="1" thickBot="1" x14ac:dyDescent="0.3">
      <c r="B202" s="2255"/>
      <c r="C202" s="2257" t="s">
        <v>5528</v>
      </c>
      <c r="D202" s="2257"/>
      <c r="E202" s="2257"/>
      <c r="F202" s="2257"/>
      <c r="G202" s="2258"/>
      <c r="H202" s="2263" t="str">
        <f>IFERROR(IF(Vulnerabilidad!R67="","",Vulnerabilidad!R67),"")</f>
        <v/>
      </c>
      <c r="I202" s="2259"/>
      <c r="J202" s="2259"/>
      <c r="K202" s="2259"/>
      <c r="L202" s="2260"/>
    </row>
    <row r="203" spans="2:12" ht="9" customHeight="1" thickBot="1" x14ac:dyDescent="0.3"/>
    <row r="204" spans="2:12" ht="9.75" customHeight="1" thickBot="1" x14ac:dyDescent="0.3">
      <c r="B204" s="2320" t="str">
        <f>IF(G206="","",CONCATENATE("Resumen de la incorporación de la GdR en CCC del PI de mejoramiento y ampliación de ",G206))</f>
        <v/>
      </c>
      <c r="C204" s="2320"/>
      <c r="D204" s="2320"/>
      <c r="E204" s="2320"/>
      <c r="F204" s="2320"/>
      <c r="G204" s="2320"/>
      <c r="H204" s="2320"/>
      <c r="I204" s="2320"/>
      <c r="J204" s="2320"/>
      <c r="K204" s="2320"/>
      <c r="L204" s="2320"/>
    </row>
    <row r="205" spans="2:12" ht="11.25" customHeight="1" thickBot="1" x14ac:dyDescent="0.3"/>
    <row r="206" spans="2:12" ht="15.75" customHeight="1" thickBot="1" x14ac:dyDescent="0.3">
      <c r="B206" s="2253" t="str">
        <f>CONCATENATE("IDENTIFICACIÓN"," DEL PELIGRO ",UPPER(K206))</f>
        <v xml:space="preserve">IDENTIFICACIÓN DEL PELIGRO </v>
      </c>
      <c r="C206" s="2257" t="s">
        <v>5517</v>
      </c>
      <c r="D206" s="2257"/>
      <c r="E206" s="2257"/>
      <c r="F206" s="2257"/>
      <c r="G206" s="2257"/>
      <c r="H206" s="2257"/>
      <c r="I206" s="2257"/>
      <c r="J206" s="2258"/>
      <c r="K206" s="2263" t="str">
        <f>IFERROR(UPPER(IF('AREA DE ESTUDIO'!B128="","",'AREA DE ESTUDIO'!B128)),"")</f>
        <v/>
      </c>
      <c r="L206" s="2260"/>
    </row>
    <row r="207" spans="2:12" ht="15.75" customHeight="1" thickBot="1" x14ac:dyDescent="0.3">
      <c r="B207" s="2254"/>
      <c r="C207" s="2257" t="s">
        <v>5449</v>
      </c>
      <c r="D207" s="2257"/>
      <c r="E207" s="2256" t="s">
        <v>5450</v>
      </c>
      <c r="F207" s="2257"/>
      <c r="G207" s="2258"/>
      <c r="H207" s="2257" t="s">
        <v>5451</v>
      </c>
      <c r="I207" s="2257"/>
      <c r="J207" s="2258"/>
      <c r="K207" s="2261" t="s">
        <v>26</v>
      </c>
      <c r="L207" s="2262"/>
    </row>
    <row r="208" spans="2:12" ht="30" customHeight="1" thickBot="1" x14ac:dyDescent="0.3">
      <c r="B208" s="2254"/>
      <c r="C208" s="2259" t="str">
        <f>IFERROR(IF('AREA DE ESTUDIO'!G128="","",'AREA DE ESTUDIO'!G128),"")</f>
        <v/>
      </c>
      <c r="D208" s="2259"/>
      <c r="E208" s="2263" t="str">
        <f>IFERROR(IF('AREA DE ESTUDIO'!L128="","",'AREA DE ESTUDIO'!L128),"")</f>
        <v/>
      </c>
      <c r="F208" s="2259"/>
      <c r="G208" s="2260"/>
      <c r="H208" s="2259" t="str">
        <f>IFERROR(IF('AREA DE ESTUDIO'!Q128="","",'AREA DE ESTUDIO'!Q128),"")</f>
        <v/>
      </c>
      <c r="I208" s="2259"/>
      <c r="J208" s="2260"/>
      <c r="K208" s="2264" t="str">
        <f>IFERROR(IF('Area de Impacto'!E168="","",'Area de Impacto'!E168),"")</f>
        <v/>
      </c>
      <c r="L208" s="2265"/>
    </row>
    <row r="209" spans="2:12" ht="15.75" customHeight="1" thickBot="1" x14ac:dyDescent="0.3">
      <c r="B209" s="2254"/>
      <c r="C209" s="2267" t="s">
        <v>5518</v>
      </c>
      <c r="D209" s="2267"/>
      <c r="E209" s="2268"/>
      <c r="F209" s="2266" t="s">
        <v>5519</v>
      </c>
      <c r="G209" s="2267"/>
      <c r="H209" s="2267"/>
      <c r="I209" s="2267"/>
      <c r="J209" s="2267"/>
      <c r="K209" s="2267"/>
      <c r="L209" s="2268"/>
    </row>
    <row r="210" spans="2:12" ht="16.5" customHeight="1" thickTop="1" thickBot="1" x14ac:dyDescent="0.3">
      <c r="B210" s="2254"/>
      <c r="C210" s="2326" t="str">
        <f>IFERROR(IF('UNIDAD PRODUCTORA'!$B$96="","",'UNIDAD PRODUCTORA'!$B$96),"")</f>
        <v/>
      </c>
      <c r="D210" s="2272" t="s">
        <v>5510</v>
      </c>
      <c r="E210" s="2273"/>
      <c r="F210" s="2278" t="s">
        <v>29</v>
      </c>
      <c r="G210" s="2279"/>
      <c r="H210" s="761"/>
      <c r="I210" s="2280" t="s">
        <v>5520</v>
      </c>
      <c r="J210" s="2281"/>
      <c r="K210" s="2281"/>
      <c r="L210" s="2282"/>
    </row>
    <row r="211" spans="2:12" ht="15.75" customHeight="1" thickBot="1" x14ac:dyDescent="0.3">
      <c r="B211" s="2254"/>
      <c r="C211" s="2327"/>
      <c r="D211" s="2274"/>
      <c r="E211" s="2275"/>
      <c r="F211" s="2283" t="s">
        <v>28</v>
      </c>
      <c r="G211" s="2284"/>
      <c r="H211" s="762"/>
      <c r="I211" s="2285" t="s">
        <v>5521</v>
      </c>
      <c r="J211" s="2286"/>
      <c r="K211" s="2286"/>
      <c r="L211" s="2287"/>
    </row>
    <row r="212" spans="2:12" ht="15.75" customHeight="1" thickBot="1" x14ac:dyDescent="0.3">
      <c r="B212" s="2254"/>
      <c r="C212" s="2327"/>
      <c r="D212" s="2276"/>
      <c r="E212" s="2277"/>
      <c r="F212" s="2276"/>
      <c r="G212" s="2277"/>
      <c r="H212" s="762"/>
      <c r="I212" s="2285" t="s">
        <v>5522</v>
      </c>
      <c r="J212" s="2286"/>
      <c r="K212" s="2286"/>
      <c r="L212" s="2287"/>
    </row>
    <row r="213" spans="2:12" ht="27.75" customHeight="1" thickBot="1" x14ac:dyDescent="0.3">
      <c r="B213" s="2254"/>
      <c r="C213" s="2327"/>
      <c r="D213" s="2285" t="s">
        <v>5523</v>
      </c>
      <c r="E213" s="2287"/>
      <c r="F213" s="2285" t="str">
        <f>IFERROR(IF(Vulnerabilidad!J38="","",Vulnerabilidad!J38),"")</f>
        <v/>
      </c>
      <c r="G213" s="2287"/>
      <c r="H213" s="2290" t="str">
        <f>IF(F213="","",(F213+F214)/2)</f>
        <v/>
      </c>
      <c r="I213" s="2292" t="str">
        <f>IFERROR(IF(Vulnerabilidad!F38="","",Vulnerabilidad!F38),"")</f>
        <v/>
      </c>
      <c r="J213" s="2293"/>
      <c r="K213" s="2293"/>
      <c r="L213" s="2294"/>
    </row>
    <row r="214" spans="2:12" ht="27.75" customHeight="1" thickBot="1" x14ac:dyDescent="0.3">
      <c r="B214" s="2254"/>
      <c r="C214" s="2328"/>
      <c r="D214" s="2295" t="s">
        <v>5524</v>
      </c>
      <c r="E214" s="2296"/>
      <c r="F214" s="2295" t="str">
        <f>IFERROR(IF(Vulnerabilidad!P38="","",Vulnerabilidad!P38),"")</f>
        <v/>
      </c>
      <c r="G214" s="2296"/>
      <c r="H214" s="2291"/>
      <c r="I214" s="2297" t="str">
        <f>IFERROR(IF(Vulnerabilidad!K38="","",Vulnerabilidad!K38),"")</f>
        <v/>
      </c>
      <c r="J214" s="2298"/>
      <c r="K214" s="2298"/>
      <c r="L214" s="2299"/>
    </row>
    <row r="215" spans="2:12" ht="16.5" thickTop="1" thickBot="1" x14ac:dyDescent="0.3">
      <c r="B215" s="2254"/>
      <c r="C215" s="2326" t="str">
        <f>IFERROR(IF('UNIDAD PRODUCTORA'!$B$102="","",'UNIDAD PRODUCTORA'!$B$102),"")</f>
        <v/>
      </c>
      <c r="D215" s="2272" t="s">
        <v>5510</v>
      </c>
      <c r="E215" s="2273"/>
      <c r="F215" s="2280" t="s">
        <v>29</v>
      </c>
      <c r="G215" s="2282"/>
      <c r="H215" s="761"/>
      <c r="I215" s="2280" t="s">
        <v>5520</v>
      </c>
      <c r="J215" s="2281"/>
      <c r="K215" s="2281"/>
      <c r="L215" s="2282"/>
    </row>
    <row r="216" spans="2:12" ht="15.75" customHeight="1" thickBot="1" x14ac:dyDescent="0.3">
      <c r="B216" s="2254"/>
      <c r="C216" s="2327"/>
      <c r="D216" s="2274"/>
      <c r="E216" s="2275"/>
      <c r="F216" s="2283" t="s">
        <v>28</v>
      </c>
      <c r="G216" s="2284"/>
      <c r="H216" s="762"/>
      <c r="I216" s="2285" t="s">
        <v>5521</v>
      </c>
      <c r="J216" s="2286"/>
      <c r="K216" s="2286"/>
      <c r="L216" s="2287"/>
    </row>
    <row r="217" spans="2:12" ht="15.75" customHeight="1" thickBot="1" x14ac:dyDescent="0.3">
      <c r="B217" s="2254"/>
      <c r="C217" s="2327"/>
      <c r="D217" s="2276"/>
      <c r="E217" s="2277"/>
      <c r="F217" s="2276"/>
      <c r="G217" s="2277"/>
      <c r="H217" s="762"/>
      <c r="I217" s="2285" t="s">
        <v>5522</v>
      </c>
      <c r="J217" s="2286"/>
      <c r="K217" s="2286"/>
      <c r="L217" s="2287"/>
    </row>
    <row r="218" spans="2:12" ht="33.75" customHeight="1" thickBot="1" x14ac:dyDescent="0.3">
      <c r="B218" s="2254"/>
      <c r="C218" s="2327"/>
      <c r="D218" s="2285" t="s">
        <v>5523</v>
      </c>
      <c r="E218" s="2287"/>
      <c r="F218" s="2285" t="str">
        <f>IFERROR(IF(Vulnerabilidad!J39="","",Vulnerabilidad!J39),"")</f>
        <v/>
      </c>
      <c r="G218" s="2287"/>
      <c r="H218" s="2290" t="str">
        <f>IF(F218="","",(F218+F219)/2)</f>
        <v/>
      </c>
      <c r="I218" s="2292" t="str">
        <f>IFERROR(IF(Vulnerabilidad!F39="","",Vulnerabilidad!F39),"")</f>
        <v/>
      </c>
      <c r="J218" s="2293"/>
      <c r="K218" s="2293"/>
      <c r="L218" s="2294"/>
    </row>
    <row r="219" spans="2:12" ht="33.75" customHeight="1" thickBot="1" x14ac:dyDescent="0.3">
      <c r="B219" s="2254"/>
      <c r="C219" s="2328"/>
      <c r="D219" s="2295" t="s">
        <v>5524</v>
      </c>
      <c r="E219" s="2296"/>
      <c r="F219" s="2295" t="str">
        <f>IFERROR(IF(Vulnerabilidad!P39="","",Vulnerabilidad!P39),"")</f>
        <v/>
      </c>
      <c r="G219" s="2296"/>
      <c r="H219" s="2291"/>
      <c r="I219" s="2297" t="str">
        <f>IFERROR(IF(Vulnerabilidad!K39="","",Vulnerabilidad!K39),"")</f>
        <v/>
      </c>
      <c r="J219" s="2298"/>
      <c r="K219" s="2298"/>
      <c r="L219" s="2299"/>
    </row>
    <row r="220" spans="2:12" ht="16.5" thickTop="1" thickBot="1" x14ac:dyDescent="0.3">
      <c r="B220" s="2254"/>
      <c r="C220" s="2326" t="str">
        <f>IFERROR(IF('UNIDAD PRODUCTORA'!$B$108="","",'UNIDAD PRODUCTORA'!$B$108),"")</f>
        <v/>
      </c>
      <c r="D220" s="2272"/>
      <c r="E220" s="2273"/>
      <c r="F220" s="2280" t="s">
        <v>29</v>
      </c>
      <c r="G220" s="2282"/>
      <c r="H220" s="761"/>
      <c r="I220" s="2280" t="s">
        <v>5520</v>
      </c>
      <c r="J220" s="2281"/>
      <c r="K220" s="2281"/>
      <c r="L220" s="2282"/>
    </row>
    <row r="221" spans="2:12" ht="15.75" customHeight="1" thickBot="1" x14ac:dyDescent="0.3">
      <c r="B221" s="2254"/>
      <c r="C221" s="2327"/>
      <c r="D221" s="2274" t="s">
        <v>5510</v>
      </c>
      <c r="E221" s="2275"/>
      <c r="F221" s="2301" t="s">
        <v>28</v>
      </c>
      <c r="G221" s="2302"/>
      <c r="H221" s="762"/>
      <c r="I221" s="2285" t="s">
        <v>5521</v>
      </c>
      <c r="J221" s="2286"/>
      <c r="K221" s="2286"/>
      <c r="L221" s="2287"/>
    </row>
    <row r="222" spans="2:12" ht="15.75" customHeight="1" thickBot="1" x14ac:dyDescent="0.3">
      <c r="B222" s="2254"/>
      <c r="C222" s="2327"/>
      <c r="D222" s="2288"/>
      <c r="E222" s="2289"/>
      <c r="F222" s="2303"/>
      <c r="G222" s="2304"/>
      <c r="H222" s="762"/>
      <c r="I222" s="2285" t="s">
        <v>5522</v>
      </c>
      <c r="J222" s="2286"/>
      <c r="K222" s="2286"/>
      <c r="L222" s="2287"/>
    </row>
    <row r="223" spans="2:12" ht="32.25" customHeight="1" thickBot="1" x14ac:dyDescent="0.3">
      <c r="B223" s="2254"/>
      <c r="C223" s="2327"/>
      <c r="D223" s="2285" t="s">
        <v>5523</v>
      </c>
      <c r="E223" s="2287"/>
      <c r="F223" s="2285" t="str">
        <f>IFERROR(IF(Vulnerabilidad!J40="","",Vulnerabilidad!J40),"")</f>
        <v/>
      </c>
      <c r="G223" s="2287"/>
      <c r="H223" s="2290" t="str">
        <f>IF(F223="","",(F223+F224)/2)</f>
        <v/>
      </c>
      <c r="I223" s="2292" t="str">
        <f>IFERROR(IF(Vulnerabilidad!F40="","",Vulnerabilidad!F40),"")</f>
        <v/>
      </c>
      <c r="J223" s="2293"/>
      <c r="K223" s="2293"/>
      <c r="L223" s="2294"/>
    </row>
    <row r="224" spans="2:12" ht="32.25" customHeight="1" thickBot="1" x14ac:dyDescent="0.3">
      <c r="B224" s="2254"/>
      <c r="C224" s="2329"/>
      <c r="D224" s="2285" t="s">
        <v>5524</v>
      </c>
      <c r="E224" s="2287"/>
      <c r="F224" s="2295" t="str">
        <f>IFERROR(IF(Vulnerabilidad!P40="","",Vulnerabilidad!P40),"")</f>
        <v/>
      </c>
      <c r="G224" s="2296"/>
      <c r="H224" s="2291"/>
      <c r="I224" s="2297" t="str">
        <f>IFERROR(IF(Vulnerabilidad!K40="","",Vulnerabilidad!K40),"")</f>
        <v/>
      </c>
      <c r="J224" s="2298"/>
      <c r="K224" s="2298"/>
      <c r="L224" s="2299"/>
    </row>
    <row r="225" spans="2:12" ht="16.5" thickTop="1" thickBot="1" x14ac:dyDescent="0.3">
      <c r="B225" s="2254"/>
      <c r="C225" s="2326" t="str">
        <f>IFERROR(IF('UNIDAD PRODUCTORA'!$B$114="","",'UNIDAD PRODUCTORA'!$B$114),"")</f>
        <v/>
      </c>
      <c r="D225" s="2272"/>
      <c r="E225" s="2273"/>
      <c r="F225" s="2280" t="s">
        <v>29</v>
      </c>
      <c r="G225" s="2282"/>
      <c r="H225" s="761"/>
      <c r="I225" s="2280" t="s">
        <v>5520</v>
      </c>
      <c r="J225" s="2281"/>
      <c r="K225" s="2281"/>
      <c r="L225" s="2282"/>
    </row>
    <row r="226" spans="2:12" ht="15.75" customHeight="1" thickBot="1" x14ac:dyDescent="0.3">
      <c r="B226" s="2254"/>
      <c r="C226" s="2327"/>
      <c r="D226" s="2274" t="s">
        <v>5510</v>
      </c>
      <c r="E226" s="2275"/>
      <c r="F226" s="2301" t="s">
        <v>28</v>
      </c>
      <c r="G226" s="2302"/>
      <c r="H226" s="762"/>
      <c r="I226" s="2285" t="s">
        <v>5521</v>
      </c>
      <c r="J226" s="2286"/>
      <c r="K226" s="2286"/>
      <c r="L226" s="2287"/>
    </row>
    <row r="227" spans="2:12" ht="15.75" customHeight="1" thickBot="1" x14ac:dyDescent="0.3">
      <c r="B227" s="2254"/>
      <c r="C227" s="2327"/>
      <c r="D227" s="2288"/>
      <c r="E227" s="2289"/>
      <c r="F227" s="2303"/>
      <c r="G227" s="2304"/>
      <c r="H227" s="762"/>
      <c r="I227" s="2285" t="s">
        <v>5522</v>
      </c>
      <c r="J227" s="2286"/>
      <c r="K227" s="2286"/>
      <c r="L227" s="2287"/>
    </row>
    <row r="228" spans="2:12" ht="32.25" customHeight="1" thickBot="1" x14ac:dyDescent="0.3">
      <c r="B228" s="2254"/>
      <c r="C228" s="2327"/>
      <c r="D228" s="2285" t="s">
        <v>5523</v>
      </c>
      <c r="E228" s="2287"/>
      <c r="F228" s="2285" t="str">
        <f>IFERROR(IF(Vulnerabilidad!J41="","",Vulnerabilidad!J41),"")</f>
        <v/>
      </c>
      <c r="G228" s="2287"/>
      <c r="H228" s="2290" t="str">
        <f>IF(F228="","",(F228+F229)/2)</f>
        <v/>
      </c>
      <c r="I228" s="2292" t="str">
        <f>IFERROR(IF(Vulnerabilidad!F41="","",Vulnerabilidad!F41),"")</f>
        <v/>
      </c>
      <c r="J228" s="2293"/>
      <c r="K228" s="2293"/>
      <c r="L228" s="2294"/>
    </row>
    <row r="229" spans="2:12" ht="32.25" customHeight="1" thickBot="1" x14ac:dyDescent="0.3">
      <c r="B229" s="2254"/>
      <c r="C229" s="2329"/>
      <c r="D229" s="2285" t="s">
        <v>5524</v>
      </c>
      <c r="E229" s="2287"/>
      <c r="F229" s="2295" t="str">
        <f>IFERROR(IF(Vulnerabilidad!P41="","",Vulnerabilidad!P41),"")</f>
        <v/>
      </c>
      <c r="G229" s="2296"/>
      <c r="H229" s="2291"/>
      <c r="I229" s="2297" t="str">
        <f>IFERROR(IF(Vulnerabilidad!K41="","",Vulnerabilidad!K41),"")</f>
        <v/>
      </c>
      <c r="J229" s="2298"/>
      <c r="K229" s="2298"/>
      <c r="L229" s="2299"/>
    </row>
    <row r="230" spans="2:12" ht="16.5" thickTop="1" thickBot="1" x14ac:dyDescent="0.3">
      <c r="B230" s="2254"/>
      <c r="C230" s="2326" t="str">
        <f>IFERROR(IF('UNIDAD PRODUCTORA'!$B$120="","",'UNIDAD PRODUCTORA'!$B$120),"")</f>
        <v/>
      </c>
      <c r="D230" s="2272"/>
      <c r="E230" s="2273"/>
      <c r="F230" s="2280" t="s">
        <v>29</v>
      </c>
      <c r="G230" s="2282"/>
      <c r="H230" s="761"/>
      <c r="I230" s="2280" t="s">
        <v>5520</v>
      </c>
      <c r="J230" s="2281"/>
      <c r="K230" s="2281"/>
      <c r="L230" s="2282"/>
    </row>
    <row r="231" spans="2:12" ht="15.75" customHeight="1" thickBot="1" x14ac:dyDescent="0.3">
      <c r="B231" s="2254"/>
      <c r="C231" s="2327"/>
      <c r="D231" s="2274" t="s">
        <v>5510</v>
      </c>
      <c r="E231" s="2275"/>
      <c r="F231" s="2301" t="s">
        <v>28</v>
      </c>
      <c r="G231" s="2302"/>
      <c r="H231" s="762"/>
      <c r="I231" s="2285" t="s">
        <v>5521</v>
      </c>
      <c r="J231" s="2286"/>
      <c r="K231" s="2286"/>
      <c r="L231" s="2287"/>
    </row>
    <row r="232" spans="2:12" ht="15.75" customHeight="1" thickBot="1" x14ac:dyDescent="0.3">
      <c r="B232" s="2254"/>
      <c r="C232" s="2327"/>
      <c r="D232" s="2288"/>
      <c r="E232" s="2289"/>
      <c r="F232" s="2303"/>
      <c r="G232" s="2304"/>
      <c r="H232" s="762"/>
      <c r="I232" s="2285" t="s">
        <v>5522</v>
      </c>
      <c r="J232" s="2286"/>
      <c r="K232" s="2286"/>
      <c r="L232" s="2287"/>
    </row>
    <row r="233" spans="2:12" ht="28.5" customHeight="1" thickBot="1" x14ac:dyDescent="0.3">
      <c r="B233" s="2254"/>
      <c r="C233" s="2327"/>
      <c r="D233" s="2285" t="s">
        <v>5523</v>
      </c>
      <c r="E233" s="2287"/>
      <c r="F233" s="2285" t="str">
        <f>IFERROR(IF(Vulnerabilidad!J42="","",Vulnerabilidad!J42),"")</f>
        <v/>
      </c>
      <c r="G233" s="2287"/>
      <c r="H233" s="2290" t="str">
        <f>IF(F233="","",(F233+F234)/2)</f>
        <v/>
      </c>
      <c r="I233" s="2292" t="str">
        <f>IFERROR(IF(Vulnerabilidad!F42="","",Vulnerabilidad!F42),"")</f>
        <v/>
      </c>
      <c r="J233" s="2293"/>
      <c r="K233" s="2293"/>
      <c r="L233" s="2294"/>
    </row>
    <row r="234" spans="2:12" ht="28.5" customHeight="1" thickBot="1" x14ac:dyDescent="0.3">
      <c r="B234" s="2254"/>
      <c r="C234" s="2329"/>
      <c r="D234" s="2285" t="s">
        <v>5524</v>
      </c>
      <c r="E234" s="2287"/>
      <c r="F234" s="2295" t="str">
        <f>IFERROR(IF(Vulnerabilidad!P42="","",Vulnerabilidad!P42),"")</f>
        <v/>
      </c>
      <c r="G234" s="2296"/>
      <c r="H234" s="2291"/>
      <c r="I234" s="2297" t="str">
        <f>IFERROR(IF(Vulnerabilidad!K42="","",Vulnerabilidad!K42),"")</f>
        <v/>
      </c>
      <c r="J234" s="2298"/>
      <c r="K234" s="2298"/>
      <c r="L234" s="2299"/>
    </row>
    <row r="235" spans="2:12" ht="16.5" thickTop="1" thickBot="1" x14ac:dyDescent="0.3">
      <c r="B235" s="2254"/>
      <c r="C235" s="2326" t="str">
        <f>IFERROR(IF('UNIDAD PRODUCTORA'!$B$126="","",'UNIDAD PRODUCTORA'!$B$126),"")</f>
        <v/>
      </c>
      <c r="D235" s="2272"/>
      <c r="E235" s="2273"/>
      <c r="F235" s="2280" t="s">
        <v>29</v>
      </c>
      <c r="G235" s="2282"/>
      <c r="H235" s="761"/>
      <c r="I235" s="2280" t="s">
        <v>5520</v>
      </c>
      <c r="J235" s="2281"/>
      <c r="K235" s="2281"/>
      <c r="L235" s="2282"/>
    </row>
    <row r="236" spans="2:12" ht="15.75" customHeight="1" thickBot="1" x14ac:dyDescent="0.3">
      <c r="B236" s="2254"/>
      <c r="C236" s="2327"/>
      <c r="D236" s="2274" t="s">
        <v>5510</v>
      </c>
      <c r="E236" s="2275"/>
      <c r="F236" s="2301" t="s">
        <v>28</v>
      </c>
      <c r="G236" s="2302"/>
      <c r="H236" s="762"/>
      <c r="I236" s="2285" t="s">
        <v>5521</v>
      </c>
      <c r="J236" s="2286"/>
      <c r="K236" s="2286"/>
      <c r="L236" s="2287"/>
    </row>
    <row r="237" spans="2:12" ht="15.75" customHeight="1" thickBot="1" x14ac:dyDescent="0.3">
      <c r="B237" s="2254"/>
      <c r="C237" s="2327"/>
      <c r="D237" s="2288"/>
      <c r="E237" s="2289"/>
      <c r="F237" s="2303"/>
      <c r="G237" s="2304"/>
      <c r="H237" s="762"/>
      <c r="I237" s="2285" t="s">
        <v>5522</v>
      </c>
      <c r="J237" s="2286"/>
      <c r="K237" s="2286"/>
      <c r="L237" s="2287"/>
    </row>
    <row r="238" spans="2:12" ht="32.25" customHeight="1" thickBot="1" x14ac:dyDescent="0.3">
      <c r="B238" s="2254"/>
      <c r="C238" s="2327"/>
      <c r="D238" s="2285" t="s">
        <v>5523</v>
      </c>
      <c r="E238" s="2287"/>
      <c r="F238" s="2285" t="str">
        <f>IFERROR(IF(Vulnerabilidad!J43="","",Vulnerabilidad!J43),"")</f>
        <v/>
      </c>
      <c r="G238" s="2287"/>
      <c r="H238" s="2290" t="str">
        <f>IF(F238="","",(F238+F239)/2)</f>
        <v/>
      </c>
      <c r="I238" s="2292" t="str">
        <f>IFERROR(IF(Vulnerabilidad!F43="","",Vulnerabilidad!F43),"")</f>
        <v/>
      </c>
      <c r="J238" s="2293"/>
      <c r="K238" s="2293"/>
      <c r="L238" s="2294"/>
    </row>
    <row r="239" spans="2:12" ht="32.25" customHeight="1" thickBot="1" x14ac:dyDescent="0.3">
      <c r="B239" s="2254"/>
      <c r="C239" s="2329"/>
      <c r="D239" s="2285" t="s">
        <v>5524</v>
      </c>
      <c r="E239" s="2287"/>
      <c r="F239" s="2285" t="str">
        <f>IFERROR(IF(Vulnerabilidad!P43="","",Vulnerabilidad!P43),"")</f>
        <v/>
      </c>
      <c r="G239" s="2287"/>
      <c r="H239" s="2319"/>
      <c r="I239" s="2316" t="str">
        <f>IFERROR(IF(Vulnerabilidad!K43="","",Vulnerabilidad!K43),"")</f>
        <v/>
      </c>
      <c r="J239" s="2317"/>
      <c r="K239" s="2317"/>
      <c r="L239" s="2318"/>
    </row>
    <row r="240" spans="2:12" ht="15.75" thickBot="1" x14ac:dyDescent="0.3">
      <c r="B240" s="2254"/>
      <c r="C240" s="2330" t="s">
        <v>5525</v>
      </c>
      <c r="D240" s="2285" t="s">
        <v>5526</v>
      </c>
      <c r="E240" s="2287"/>
      <c r="F240" s="2314" t="str">
        <f>IFERROR(IF(Vulnerabilidad!I71="","",Vulnerabilidad!I71),"")</f>
        <v/>
      </c>
      <c r="G240" s="2315"/>
      <c r="H240" s="2324" t="str">
        <f>IF(F240="","",(F240+F241)/2)</f>
        <v/>
      </c>
      <c r="I240" s="2292" t="str">
        <f>IFERROR(IF(Vulnerabilidad!D71="","",Vulnerabilidad!D71),"")</f>
        <v/>
      </c>
      <c r="J240" s="2293"/>
      <c r="K240" s="2293"/>
      <c r="L240" s="2294"/>
    </row>
    <row r="241" spans="2:12" ht="15.75" thickBot="1" x14ac:dyDescent="0.3">
      <c r="B241" s="2254"/>
      <c r="C241" s="2332"/>
      <c r="D241" s="2285" t="s">
        <v>5527</v>
      </c>
      <c r="E241" s="2287"/>
      <c r="F241" s="2314" t="str">
        <f>IFERROR(IF(Vulnerabilidad!P71="","",Vulnerabilidad!P71),"")</f>
        <v/>
      </c>
      <c r="G241" s="2315"/>
      <c r="H241" s="2325"/>
      <c r="I241" s="2316" t="str">
        <f>IF(Vulnerabilidad!J71="","",Vulnerabilidad!J71)</f>
        <v/>
      </c>
      <c r="J241" s="2317"/>
      <c r="K241" s="2317"/>
      <c r="L241" s="2318"/>
    </row>
    <row r="242" spans="2:12" ht="25.5" customHeight="1" thickBot="1" x14ac:dyDescent="0.3">
      <c r="B242" s="2255"/>
      <c r="C242" s="2257" t="s">
        <v>5528</v>
      </c>
      <c r="D242" s="2257"/>
      <c r="E242" s="2257"/>
      <c r="F242" s="2257"/>
      <c r="G242" s="2258"/>
      <c r="H242" s="2263" t="str">
        <f>IFERROR(IF(Vulnerabilidad!R71="","",Vulnerabilidad!R71),"")</f>
        <v/>
      </c>
      <c r="I242" s="2259"/>
      <c r="J242" s="2259"/>
      <c r="K242" s="2259"/>
      <c r="L242" s="2260"/>
    </row>
    <row r="243" spans="2:12" ht="15.75" thickBot="1" x14ac:dyDescent="0.3"/>
    <row r="244" spans="2:12" ht="33" customHeight="1" thickBot="1" x14ac:dyDescent="0.3">
      <c r="B244" s="2252" t="s">
        <v>353</v>
      </c>
      <c r="C244" s="2252"/>
      <c r="D244" s="2252"/>
      <c r="E244" s="2252"/>
      <c r="F244" s="2252"/>
      <c r="G244" s="2252"/>
      <c r="H244" s="2252"/>
      <c r="I244" s="2252"/>
      <c r="J244" s="2252"/>
      <c r="K244" s="2252"/>
      <c r="L244" s="2252"/>
    </row>
    <row r="245" spans="2:12" ht="15.75" thickBot="1" x14ac:dyDescent="0.3">
      <c r="C245" s="765"/>
      <c r="D245" s="765"/>
      <c r="E245" s="765"/>
      <c r="F245" s="765"/>
      <c r="G245" s="765"/>
      <c r="H245" s="765"/>
      <c r="I245" s="765"/>
      <c r="J245" s="765"/>
      <c r="K245" s="765"/>
    </row>
    <row r="246" spans="2:12" ht="16.5" customHeight="1" thickBot="1" x14ac:dyDescent="0.3">
      <c r="B246" s="2253" t="s">
        <v>353</v>
      </c>
      <c r="C246" s="2256" t="s">
        <v>5529</v>
      </c>
      <c r="D246" s="2257"/>
      <c r="E246" s="2257"/>
      <c r="F246" s="2256" t="s">
        <v>5530</v>
      </c>
      <c r="G246" s="2257"/>
      <c r="H246" s="2258"/>
      <c r="I246" s="2257" t="s">
        <v>5531</v>
      </c>
      <c r="J246" s="2257"/>
      <c r="K246" s="2258"/>
      <c r="L246" s="763" t="s">
        <v>5532</v>
      </c>
    </row>
    <row r="247" spans="2:12" ht="25.5" customHeight="1" thickBot="1" x14ac:dyDescent="0.3">
      <c r="B247" s="2254"/>
      <c r="C247" s="2270" t="str">
        <f>IFERROR(IF(C10="","",CONCATENATE(C10,"  mejorada y/o ampliada")),"")</f>
        <v/>
      </c>
      <c r="D247" s="2276" t="s">
        <v>5523</v>
      </c>
      <c r="E247" s="2277"/>
      <c r="F247" s="2276">
        <f>IFERROR(MAX(Vulnerabilidad_AT!J10,Vulnerabilidad_AT!J16,Vulnerabilidad_AT!J22,Vulnerabilidad_AT!J28,Vulnerabilidad_AT!J34,Vulnerabilidad_AT!J40),"")</f>
        <v>0</v>
      </c>
      <c r="G247" s="2277"/>
      <c r="H247" s="2333">
        <f>IF(F247="","",AVERAGE(F247:G248))</f>
        <v>0</v>
      </c>
      <c r="I247" s="2334" t="s">
        <v>5533</v>
      </c>
      <c r="J247" s="2335"/>
      <c r="K247" s="2336"/>
      <c r="L247" s="2337">
        <f>IFERROR(IF('MRR MACC (COSTOS)'!P12="","",'MRR MACC (COSTOS)'!P12),"")</f>
        <v>0</v>
      </c>
    </row>
    <row r="248" spans="2:12" ht="33" customHeight="1" thickBot="1" x14ac:dyDescent="0.3">
      <c r="B248" s="2254"/>
      <c r="C248" s="2270"/>
      <c r="D248" s="2295" t="s">
        <v>5524</v>
      </c>
      <c r="E248" s="2296"/>
      <c r="F248" s="2295">
        <f>IFERROR(MAX(Vulnerabilidad_AT!P10,Vulnerabilidad_AT!P16,Vulnerabilidad_AT!P22,Vulnerabilidad_AT!P28,Vulnerabilidad_AT!P34,Vulnerabilidad_AT!P40),"")</f>
        <v>0</v>
      </c>
      <c r="G248" s="2296"/>
      <c r="H248" s="2291"/>
      <c r="I248" s="2338" t="s">
        <v>5534</v>
      </c>
      <c r="J248" s="2339"/>
      <c r="K248" s="2340"/>
      <c r="L248" s="2291"/>
    </row>
    <row r="249" spans="2:12" ht="58.5" customHeight="1" thickTop="1" thickBot="1" x14ac:dyDescent="0.3">
      <c r="B249" s="2254"/>
      <c r="C249" s="2269" t="str">
        <f>IFERROR(IF(C15="","",CONCATENATE(C15,"  mejorada y/o ampliada")),"")</f>
        <v/>
      </c>
      <c r="D249" s="2272" t="s">
        <v>5523</v>
      </c>
      <c r="E249" s="2273"/>
      <c r="F249" s="2276">
        <f>IFERROR(MAX(Vulnerabilidad_AT!J11,Vulnerabilidad_AT!J17,Vulnerabilidad_AT!J35,Vulnerabilidad_AT!J41),"")</f>
        <v>0</v>
      </c>
      <c r="G249" s="2277"/>
      <c r="H249" s="2333">
        <f>IF(F249="","",AVERAGE(F249:G250))</f>
        <v>0</v>
      </c>
      <c r="I249" s="2341" t="s">
        <v>5535</v>
      </c>
      <c r="J249" s="2342"/>
      <c r="K249" s="2343"/>
      <c r="L249" s="2344">
        <f>IFERROR(IF('MRR MACC (COSTOS)'!P18="","",'MRR MACC (COSTOS)'!P18),"")</f>
        <v>0</v>
      </c>
    </row>
    <row r="250" spans="2:12" ht="30" customHeight="1" thickBot="1" x14ac:dyDescent="0.3">
      <c r="B250" s="2254"/>
      <c r="C250" s="2271"/>
      <c r="D250" s="2295" t="s">
        <v>5524</v>
      </c>
      <c r="E250" s="2296"/>
      <c r="F250" s="2295">
        <f>IFERROR(MAX(Vulnerabilidad_AT!P11,Vulnerabilidad_AT!P17,Vulnerabilidad_AT!P23,Vulnerabilidad_AT!P29,Vulnerabilidad_AT!P35,Vulnerabilidad_AT!P41),"")</f>
        <v>0</v>
      </c>
      <c r="G250" s="2296"/>
      <c r="H250" s="2291"/>
      <c r="I250" s="2345"/>
      <c r="J250" s="2346"/>
      <c r="K250" s="2347"/>
      <c r="L250" s="2291"/>
    </row>
    <row r="251" spans="2:12" ht="25.5" customHeight="1" thickTop="1" thickBot="1" x14ac:dyDescent="0.3">
      <c r="B251" s="2254"/>
      <c r="C251" s="2269" t="str">
        <f>IFERROR(IF(C20="","",CONCATENATE(C20,"  mejorada y/o ampliada")),"")</f>
        <v/>
      </c>
      <c r="D251" s="2280" t="s">
        <v>5523</v>
      </c>
      <c r="E251" s="2282"/>
      <c r="F251" s="2276">
        <f>IFERROR(MAX(Vulnerabilidad_AT!J12,Vulnerabilidad_AT!J18,Vulnerabilidad_AT!J24,Vulnerabilidad_AT!J30,Vulnerabilidad_AT!J36,Vulnerabilidad_AT!J42),"")</f>
        <v>0</v>
      </c>
      <c r="G251" s="2277"/>
      <c r="H251" s="2333">
        <f>IF(F251="","",AVERAGE(F251:G252))</f>
        <v>0</v>
      </c>
      <c r="I251" s="2348" t="s">
        <v>5536</v>
      </c>
      <c r="J251" s="2349"/>
      <c r="K251" s="2350"/>
      <c r="L251" s="2344">
        <f>IFERROR(IF('MRR MACC (COSTOS)'!P24="","",'MRR MACC (COSTOS)'!P24),"")</f>
        <v>0</v>
      </c>
    </row>
    <row r="252" spans="2:12" ht="30.75" customHeight="1" thickBot="1" x14ac:dyDescent="0.3">
      <c r="B252" s="2254"/>
      <c r="C252" s="2271"/>
      <c r="D252" s="2295" t="s">
        <v>5524</v>
      </c>
      <c r="E252" s="2296"/>
      <c r="F252" s="2295">
        <v>0</v>
      </c>
      <c r="G252" s="2296"/>
      <c r="H252" s="2291"/>
      <c r="I252" s="2338" t="s">
        <v>5534</v>
      </c>
      <c r="J252" s="2339"/>
      <c r="K252" s="2340"/>
      <c r="L252" s="2291"/>
    </row>
    <row r="253" spans="2:12" ht="25.5" customHeight="1" thickTop="1" thickBot="1" x14ac:dyDescent="0.3">
      <c r="B253" s="2254"/>
      <c r="C253" s="2269" t="str">
        <f>IFERROR(IF(C25="","",CONCATENATE(C25,"  mejorada y/o ampliada")),"")</f>
        <v/>
      </c>
      <c r="D253" s="2280" t="s">
        <v>5523</v>
      </c>
      <c r="E253" s="2282"/>
      <c r="F253" s="2276">
        <f>IFERROR(MAX(Vulnerabilidad_AT!J13,Vulnerabilidad_AT!J19,Vulnerabilidad_AT!J25,Vulnerabilidad_AT!J31,Vulnerabilidad_AT!J37,Vulnerabilidad_AT!J43),"")</f>
        <v>0</v>
      </c>
      <c r="G253" s="2277"/>
      <c r="H253" s="2333">
        <f>IF(F253="","",AVERAGE(F253:G254))</f>
        <v>0</v>
      </c>
      <c r="I253" s="2351"/>
      <c r="J253" s="2352"/>
      <c r="K253" s="2353"/>
      <c r="L253" s="2344">
        <f>IFERROR(IF('MRR MACC (COSTOS)'!P30="","",'MRR MACC (COSTOS)'!P30),"")</f>
        <v>0</v>
      </c>
    </row>
    <row r="254" spans="2:12" ht="25.5" customHeight="1" thickBot="1" x14ac:dyDescent="0.3">
      <c r="B254" s="2254"/>
      <c r="C254" s="2270"/>
      <c r="D254" s="2295" t="s">
        <v>5524</v>
      </c>
      <c r="E254" s="2296"/>
      <c r="F254" s="2295">
        <f>IFERROR(MAX(Vulnerabilidad_AT!P13,Vulnerabilidad_AT!P19,Vulnerabilidad_AT!P25,Vulnerabilidad_AT!P31,Vulnerabilidad_AT!P37,Vulnerabilidad_AT!P43),"")</f>
        <v>0</v>
      </c>
      <c r="G254" s="2296"/>
      <c r="H254" s="2291"/>
      <c r="I254" s="2338"/>
      <c r="J254" s="2339"/>
      <c r="K254" s="2340"/>
      <c r="L254" s="2291"/>
    </row>
    <row r="255" spans="2:12" ht="30" customHeight="1" thickTop="1" thickBot="1" x14ac:dyDescent="0.3">
      <c r="B255" s="2254"/>
      <c r="C255" s="2269" t="str">
        <f>IFERROR(IF(C30="","",CONCATENATE(C30,"  mejorada y/o ampliada")),"")</f>
        <v/>
      </c>
      <c r="D255" s="2272" t="s">
        <v>5523</v>
      </c>
      <c r="E255" s="2273"/>
      <c r="F255" s="2276">
        <f>IFERROR(MAX(Vulnerabilidad_AT!J14,Vulnerabilidad_AT!J20,Vulnerabilidad_AT!J26,Vulnerabilidad_AT!J32,Vulnerabilidad_AT!J38,Vulnerabilidad_AT!J44),"")</f>
        <v>0</v>
      </c>
      <c r="G255" s="2277"/>
      <c r="H255" s="2333">
        <f>IF(F255="","",AVERAGE(F255:G256))</f>
        <v>0</v>
      </c>
      <c r="I255" s="2348"/>
      <c r="J255" s="2349"/>
      <c r="K255" s="2350"/>
      <c r="L255" s="2344">
        <f>IFERROR(IF('MRR MACC (COSTOS)'!P36="","",'MRR MACC (COSTOS)'!P36),"")</f>
        <v>0</v>
      </c>
    </row>
    <row r="256" spans="2:12" ht="30" customHeight="1" thickBot="1" x14ac:dyDescent="0.3">
      <c r="B256" s="2254"/>
      <c r="C256" s="2271"/>
      <c r="D256" s="2295" t="s">
        <v>5524</v>
      </c>
      <c r="E256" s="2296"/>
      <c r="F256" s="2295">
        <f>IFERROR(MAX(Vulnerabilidad_AT!P14,Vulnerabilidad_AT!P20,Vulnerabilidad_AT!P26,Vulnerabilidad_AT!P32,Vulnerabilidad_AT!P38,Vulnerabilidad_AT!P44),"")</f>
        <v>0</v>
      </c>
      <c r="G256" s="2296"/>
      <c r="H256" s="2291"/>
      <c r="I256" s="2345"/>
      <c r="J256" s="2346"/>
      <c r="K256" s="2347"/>
      <c r="L256" s="2291"/>
    </row>
    <row r="257" spans="2:12" ht="25.5" customHeight="1" thickTop="1" thickBot="1" x14ac:dyDescent="0.3">
      <c r="B257" s="2254"/>
      <c r="C257" s="2269" t="str">
        <f>IFERROR(IF(C35="","",CONCATENATE(C35,"  mejorada y/o ampliada")),"")</f>
        <v/>
      </c>
      <c r="D257" s="2280" t="s">
        <v>5523</v>
      </c>
      <c r="E257" s="2282"/>
      <c r="F257" s="2276">
        <f>IFERROR(MAX(Vulnerabilidad_AT!J15,Vulnerabilidad_AT!J21,Vulnerabilidad_AT!J27,Vulnerabilidad_AT!J33,Vulnerabilidad_AT!J39,Vulnerabilidad_AT!J45),"")</f>
        <v>0</v>
      </c>
      <c r="G257" s="2277"/>
      <c r="H257" s="2333">
        <f>IF(F257="","",AVERAGE(F257:G258))</f>
        <v>0</v>
      </c>
      <c r="I257" s="2348"/>
      <c r="J257" s="2349"/>
      <c r="K257" s="2350"/>
      <c r="L257" s="2344">
        <f>IFERROR(IF('MRR MACC (COSTOS)'!P42="","",'MRR MACC (COSTOS)'!P42),"")</f>
        <v>0</v>
      </c>
    </row>
    <row r="258" spans="2:12" ht="25.5" customHeight="1" thickBot="1" x14ac:dyDescent="0.3">
      <c r="B258" s="2254"/>
      <c r="C258" s="2271"/>
      <c r="D258" s="2295" t="s">
        <v>5524</v>
      </c>
      <c r="E258" s="2296"/>
      <c r="F258" s="2295">
        <f>IFERROR(MAX(Vulnerabilidad_AT!P15,Vulnerabilidad_AT!P21,Vulnerabilidad_AT!P27,Vulnerabilidad_AT!P33,Vulnerabilidad_AT!P39,Vulnerabilidad_AT!P45),"")</f>
        <v>0</v>
      </c>
      <c r="G258" s="2296"/>
      <c r="H258" s="2291"/>
      <c r="I258" s="2338"/>
      <c r="J258" s="2339"/>
      <c r="K258" s="2340"/>
      <c r="L258" s="2291"/>
    </row>
    <row r="259" spans="2:12" ht="15.75" thickTop="1" x14ac:dyDescent="0.25">
      <c r="B259" s="2254"/>
      <c r="C259" s="2386" t="s">
        <v>5537</v>
      </c>
      <c r="D259" s="2389" t="s">
        <v>5526</v>
      </c>
      <c r="E259" s="2390"/>
      <c r="F259" s="2393" t="str">
        <f>IFERROR(IF(Vulnerabilidad_AT!I52="","",Vulnerabilidad_AT!I52),"")</f>
        <v/>
      </c>
      <c r="G259" s="2394"/>
      <c r="H259" s="2397" t="str">
        <f>IF(F259="","",AVERAGE(F259:G268))</f>
        <v/>
      </c>
      <c r="I259" s="2351" t="s">
        <v>5538</v>
      </c>
      <c r="J259" s="2352"/>
      <c r="K259" s="2353"/>
      <c r="L259" s="2344">
        <f>IFERROR(IF('MRR MACC (COSTOS)'!P48="","",'MRR MACC (COSTOS)'!P48),"")</f>
        <v>0</v>
      </c>
    </row>
    <row r="260" spans="2:12" ht="25.5" customHeight="1" x14ac:dyDescent="0.25">
      <c r="B260" s="2254"/>
      <c r="C260" s="2387"/>
      <c r="D260" s="2391"/>
      <c r="E260" s="2392"/>
      <c r="F260" s="2368"/>
      <c r="G260" s="2369"/>
      <c r="H260" s="2333"/>
      <c r="I260" s="2399" t="s">
        <v>5539</v>
      </c>
      <c r="J260" s="2400"/>
      <c r="K260" s="2401"/>
      <c r="L260" s="2375"/>
    </row>
    <row r="261" spans="2:12" ht="25.5" customHeight="1" x14ac:dyDescent="0.25">
      <c r="B261" s="2254"/>
      <c r="C261" s="2387"/>
      <c r="D261" s="2391"/>
      <c r="E261" s="2392"/>
      <c r="F261" s="2368"/>
      <c r="G261" s="2369"/>
      <c r="H261" s="2333"/>
      <c r="I261" s="2334" t="s">
        <v>5540</v>
      </c>
      <c r="J261" s="2335"/>
      <c r="K261" s="2336"/>
      <c r="L261" s="2375"/>
    </row>
    <row r="262" spans="2:12" ht="25.5" customHeight="1" x14ac:dyDescent="0.25">
      <c r="B262" s="2254"/>
      <c r="C262" s="2387"/>
      <c r="D262" s="2391"/>
      <c r="E262" s="2392"/>
      <c r="F262" s="2368"/>
      <c r="G262" s="2369"/>
      <c r="H262" s="2333"/>
      <c r="I262" s="2402" t="s">
        <v>5541</v>
      </c>
      <c r="J262" s="2403"/>
      <c r="K262" s="2404"/>
      <c r="L262" s="2375"/>
    </row>
    <row r="263" spans="2:12" ht="25.5" customHeight="1" x14ac:dyDescent="0.25">
      <c r="B263" s="2254"/>
      <c r="C263" s="2387"/>
      <c r="D263" s="2391"/>
      <c r="E263" s="2392"/>
      <c r="F263" s="2368"/>
      <c r="G263" s="2369"/>
      <c r="H263" s="2333"/>
      <c r="I263" s="2402" t="s">
        <v>5542</v>
      </c>
      <c r="J263" s="2403"/>
      <c r="K263" s="2404"/>
      <c r="L263" s="2375"/>
    </row>
    <row r="264" spans="2:12" ht="25.5" customHeight="1" thickBot="1" x14ac:dyDescent="0.3">
      <c r="B264" s="2254"/>
      <c r="C264" s="2387"/>
      <c r="D264" s="2303"/>
      <c r="E264" s="2304"/>
      <c r="F264" s="2395"/>
      <c r="G264" s="2396"/>
      <c r="H264" s="2333"/>
      <c r="I264" s="2363" t="s">
        <v>5543</v>
      </c>
      <c r="J264" s="2364"/>
      <c r="K264" s="2365"/>
      <c r="L264" s="2398"/>
    </row>
    <row r="265" spans="2:12" ht="25.5" customHeight="1" x14ac:dyDescent="0.25">
      <c r="B265" s="2254"/>
      <c r="C265" s="2387"/>
      <c r="D265" s="2366" t="s">
        <v>5527</v>
      </c>
      <c r="E265" s="2367"/>
      <c r="F265" s="2366" t="str">
        <f>IFERROR(IF(Vulnerabilidad_AT!P52="","",Vulnerabilidad_AT!P52),"")</f>
        <v/>
      </c>
      <c r="G265" s="2367"/>
      <c r="H265" s="2333"/>
      <c r="I265" s="2372" t="s">
        <v>5544</v>
      </c>
      <c r="J265" s="2373"/>
      <c r="K265" s="2374"/>
      <c r="L265" s="2337">
        <f>IFERROR(IF('MRR MACC (COSTOS)'!P54="","",'MRR MACC (COSTOS)'!P54),"")</f>
        <v>0</v>
      </c>
    </row>
    <row r="266" spans="2:12" ht="25.5" customHeight="1" x14ac:dyDescent="0.25">
      <c r="B266" s="2254"/>
      <c r="C266" s="2387"/>
      <c r="D266" s="2368"/>
      <c r="E266" s="2369"/>
      <c r="F266" s="2368"/>
      <c r="G266" s="2369"/>
      <c r="H266" s="2333"/>
      <c r="I266" s="2377"/>
      <c r="J266" s="2378"/>
      <c r="K266" s="2379"/>
      <c r="L266" s="2375"/>
    </row>
    <row r="267" spans="2:12" ht="25.5" customHeight="1" x14ac:dyDescent="0.25">
      <c r="B267" s="2254"/>
      <c r="C267" s="2387"/>
      <c r="D267" s="2368"/>
      <c r="E267" s="2369"/>
      <c r="F267" s="2368"/>
      <c r="G267" s="2369"/>
      <c r="H267" s="2333"/>
      <c r="I267" s="2380"/>
      <c r="J267" s="2381"/>
      <c r="K267" s="2382"/>
      <c r="L267" s="2375"/>
    </row>
    <row r="268" spans="2:12" ht="15.75" customHeight="1" thickBot="1" x14ac:dyDescent="0.3">
      <c r="B268" s="2254"/>
      <c r="C268" s="2388"/>
      <c r="D268" s="2370"/>
      <c r="E268" s="2371"/>
      <c r="F268" s="2370"/>
      <c r="G268" s="2371"/>
      <c r="H268" s="2291"/>
      <c r="I268" s="2383"/>
      <c r="J268" s="2384"/>
      <c r="K268" s="2385"/>
      <c r="L268" s="2376"/>
    </row>
    <row r="269" spans="2:12" ht="28.5" customHeight="1" thickTop="1" thickBot="1" x14ac:dyDescent="0.3">
      <c r="B269" s="2255"/>
      <c r="C269" s="2354" t="s">
        <v>5545</v>
      </c>
      <c r="D269" s="2355"/>
      <c r="E269" s="2356"/>
      <c r="F269" s="2357" t="str">
        <f>IFERROR(IF(Vulnerabilidad_AT!R52="","",Vulnerabilidad_AT!R52),"")</f>
        <v/>
      </c>
      <c r="G269" s="2358"/>
      <c r="H269" s="2359"/>
      <c r="I269" s="2360" t="s">
        <v>5546</v>
      </c>
      <c r="J269" s="2361"/>
      <c r="K269" s="2362"/>
      <c r="L269" s="764">
        <f>SUM(L247:L268)</f>
        <v>0</v>
      </c>
    </row>
    <row r="271" spans="2:12" ht="16.5" customHeight="1" x14ac:dyDescent="0.25"/>
    <row r="272" spans="2:12" ht="20.25" customHeight="1" x14ac:dyDescent="0.25"/>
    <row r="273" ht="5.25" customHeight="1" x14ac:dyDescent="0.25"/>
  </sheetData>
  <sheetProtection password="9AA6" sheet="1" objects="1" scenarios="1"/>
  <mergeCells count="777">
    <mergeCell ref="C269:E269"/>
    <mergeCell ref="F269:H269"/>
    <mergeCell ref="I269:K269"/>
    <mergeCell ref="I264:K264"/>
    <mergeCell ref="D265:E268"/>
    <mergeCell ref="F265:G268"/>
    <mergeCell ref="I265:K265"/>
    <mergeCell ref="L265:L268"/>
    <mergeCell ref="I266:K266"/>
    <mergeCell ref="I267:K267"/>
    <mergeCell ref="I268:K268"/>
    <mergeCell ref="C259:C268"/>
    <mergeCell ref="D259:E264"/>
    <mergeCell ref="F259:G264"/>
    <mergeCell ref="H259:H268"/>
    <mergeCell ref="I259:K259"/>
    <mergeCell ref="L259:L264"/>
    <mergeCell ref="I260:K260"/>
    <mergeCell ref="I261:K261"/>
    <mergeCell ref="I262:K262"/>
    <mergeCell ref="I263:K263"/>
    <mergeCell ref="C257:C258"/>
    <mergeCell ref="D257:E257"/>
    <mergeCell ref="F257:G257"/>
    <mergeCell ref="H257:H258"/>
    <mergeCell ref="I257:K257"/>
    <mergeCell ref="L257:L258"/>
    <mergeCell ref="D258:E258"/>
    <mergeCell ref="F258:G258"/>
    <mergeCell ref="I258:K258"/>
    <mergeCell ref="C255:C256"/>
    <mergeCell ref="D255:E255"/>
    <mergeCell ref="F255:G255"/>
    <mergeCell ref="H255:H256"/>
    <mergeCell ref="I255:K255"/>
    <mergeCell ref="L255:L256"/>
    <mergeCell ref="D256:E256"/>
    <mergeCell ref="F256:G256"/>
    <mergeCell ref="I256:K256"/>
    <mergeCell ref="C253:C254"/>
    <mergeCell ref="D253:E253"/>
    <mergeCell ref="F253:G253"/>
    <mergeCell ref="H253:H254"/>
    <mergeCell ref="I253:K253"/>
    <mergeCell ref="L253:L254"/>
    <mergeCell ref="D254:E254"/>
    <mergeCell ref="F254:G254"/>
    <mergeCell ref="I254:K254"/>
    <mergeCell ref="I250:K250"/>
    <mergeCell ref="C251:C252"/>
    <mergeCell ref="D251:E251"/>
    <mergeCell ref="F251:G251"/>
    <mergeCell ref="H251:H252"/>
    <mergeCell ref="I251:K251"/>
    <mergeCell ref="L251:L252"/>
    <mergeCell ref="D252:E252"/>
    <mergeCell ref="F252:G252"/>
    <mergeCell ref="I252:K252"/>
    <mergeCell ref="H247:H248"/>
    <mergeCell ref="I247:K247"/>
    <mergeCell ref="L247:L248"/>
    <mergeCell ref="D248:E248"/>
    <mergeCell ref="F248:G248"/>
    <mergeCell ref="I248:K248"/>
    <mergeCell ref="C242:G242"/>
    <mergeCell ref="H242:L242"/>
    <mergeCell ref="B244:L244"/>
    <mergeCell ref="B246:B269"/>
    <mergeCell ref="C246:E246"/>
    <mergeCell ref="F246:H246"/>
    <mergeCell ref="I246:K246"/>
    <mergeCell ref="C247:C248"/>
    <mergeCell ref="D247:E247"/>
    <mergeCell ref="F247:G247"/>
    <mergeCell ref="C249:C250"/>
    <mergeCell ref="D249:E249"/>
    <mergeCell ref="F249:G249"/>
    <mergeCell ref="H249:H250"/>
    <mergeCell ref="I249:K249"/>
    <mergeCell ref="L249:L250"/>
    <mergeCell ref="D250:E250"/>
    <mergeCell ref="F250:G250"/>
    <mergeCell ref="C240:C241"/>
    <mergeCell ref="D240:E240"/>
    <mergeCell ref="F240:G240"/>
    <mergeCell ref="H240:H241"/>
    <mergeCell ref="I240:L240"/>
    <mergeCell ref="D241:E241"/>
    <mergeCell ref="F241:G241"/>
    <mergeCell ref="I241:L241"/>
    <mergeCell ref="F238:G238"/>
    <mergeCell ref="H238:H239"/>
    <mergeCell ref="I238:L238"/>
    <mergeCell ref="D239:E239"/>
    <mergeCell ref="F239:G239"/>
    <mergeCell ref="I239:L239"/>
    <mergeCell ref="C235:C239"/>
    <mergeCell ref="D235:E235"/>
    <mergeCell ref="F235:G235"/>
    <mergeCell ref="I235:L235"/>
    <mergeCell ref="D236:E236"/>
    <mergeCell ref="F236:G237"/>
    <mergeCell ref="I236:L236"/>
    <mergeCell ref="D237:E237"/>
    <mergeCell ref="I237:L237"/>
    <mergeCell ref="D238:E238"/>
    <mergeCell ref="F233:G233"/>
    <mergeCell ref="H233:H234"/>
    <mergeCell ref="I233:L233"/>
    <mergeCell ref="D234:E234"/>
    <mergeCell ref="F234:G234"/>
    <mergeCell ref="I234:L234"/>
    <mergeCell ref="C230:C234"/>
    <mergeCell ref="D230:E230"/>
    <mergeCell ref="F230:G230"/>
    <mergeCell ref="I230:L230"/>
    <mergeCell ref="D231:E231"/>
    <mergeCell ref="F231:G232"/>
    <mergeCell ref="I231:L231"/>
    <mergeCell ref="D232:E232"/>
    <mergeCell ref="I232:L232"/>
    <mergeCell ref="D233:E233"/>
    <mergeCell ref="F228:G228"/>
    <mergeCell ref="H228:H229"/>
    <mergeCell ref="I228:L228"/>
    <mergeCell ref="D229:E229"/>
    <mergeCell ref="F229:G229"/>
    <mergeCell ref="I229:L229"/>
    <mergeCell ref="C225:C229"/>
    <mergeCell ref="D225:E225"/>
    <mergeCell ref="F225:G225"/>
    <mergeCell ref="I225:L225"/>
    <mergeCell ref="D226:E226"/>
    <mergeCell ref="F226:G227"/>
    <mergeCell ref="I226:L226"/>
    <mergeCell ref="D227:E227"/>
    <mergeCell ref="I227:L227"/>
    <mergeCell ref="D228:E228"/>
    <mergeCell ref="F223:G223"/>
    <mergeCell ref="H223:H224"/>
    <mergeCell ref="I223:L223"/>
    <mergeCell ref="D224:E224"/>
    <mergeCell ref="F224:G224"/>
    <mergeCell ref="I224:L224"/>
    <mergeCell ref="C220:C224"/>
    <mergeCell ref="D220:E220"/>
    <mergeCell ref="F220:G220"/>
    <mergeCell ref="I220:L220"/>
    <mergeCell ref="D221:E221"/>
    <mergeCell ref="F221:G222"/>
    <mergeCell ref="I221:L221"/>
    <mergeCell ref="D222:E222"/>
    <mergeCell ref="I222:L222"/>
    <mergeCell ref="D223:E223"/>
    <mergeCell ref="D218:E218"/>
    <mergeCell ref="F218:G218"/>
    <mergeCell ref="H218:H219"/>
    <mergeCell ref="I218:L218"/>
    <mergeCell ref="D219:E219"/>
    <mergeCell ref="F219:G219"/>
    <mergeCell ref="I219:L219"/>
    <mergeCell ref="I213:L213"/>
    <mergeCell ref="D214:E214"/>
    <mergeCell ref="F214:G214"/>
    <mergeCell ref="I214:L214"/>
    <mergeCell ref="F210:G210"/>
    <mergeCell ref="I210:L210"/>
    <mergeCell ref="F211:G212"/>
    <mergeCell ref="I211:L211"/>
    <mergeCell ref="I212:L212"/>
    <mergeCell ref="D213:E213"/>
    <mergeCell ref="F213:G213"/>
    <mergeCell ref="H213:H214"/>
    <mergeCell ref="I217:L217"/>
    <mergeCell ref="C208:D208"/>
    <mergeCell ref="E208:G208"/>
    <mergeCell ref="H208:J208"/>
    <mergeCell ref="K208:L208"/>
    <mergeCell ref="C209:E209"/>
    <mergeCell ref="F209:L209"/>
    <mergeCell ref="C202:G202"/>
    <mergeCell ref="H202:L202"/>
    <mergeCell ref="B204:L204"/>
    <mergeCell ref="B206:B242"/>
    <mergeCell ref="C206:J206"/>
    <mergeCell ref="K206:L206"/>
    <mergeCell ref="C207:D207"/>
    <mergeCell ref="E207:G207"/>
    <mergeCell ref="H207:J207"/>
    <mergeCell ref="K207:L207"/>
    <mergeCell ref="C215:C219"/>
    <mergeCell ref="D215:E217"/>
    <mergeCell ref="F215:G215"/>
    <mergeCell ref="I215:L215"/>
    <mergeCell ref="F216:G217"/>
    <mergeCell ref="I216:L216"/>
    <mergeCell ref="C210:C214"/>
    <mergeCell ref="D210:E212"/>
    <mergeCell ref="C200:C201"/>
    <mergeCell ref="D200:E200"/>
    <mergeCell ref="F200:G200"/>
    <mergeCell ref="H200:H201"/>
    <mergeCell ref="I200:L200"/>
    <mergeCell ref="D201:E201"/>
    <mergeCell ref="F201:G201"/>
    <mergeCell ref="I201:L201"/>
    <mergeCell ref="F198:G198"/>
    <mergeCell ref="H198:H199"/>
    <mergeCell ref="I198:L198"/>
    <mergeCell ref="D199:E199"/>
    <mergeCell ref="F199:G199"/>
    <mergeCell ref="I199:L199"/>
    <mergeCell ref="C195:C199"/>
    <mergeCell ref="D195:E195"/>
    <mergeCell ref="F195:G195"/>
    <mergeCell ref="I195:L195"/>
    <mergeCell ref="D196:E196"/>
    <mergeCell ref="F196:G197"/>
    <mergeCell ref="I196:L196"/>
    <mergeCell ref="D197:E197"/>
    <mergeCell ref="I197:L197"/>
    <mergeCell ref="D198:E198"/>
    <mergeCell ref="F193:G193"/>
    <mergeCell ref="H193:H194"/>
    <mergeCell ref="I193:L193"/>
    <mergeCell ref="D194:E194"/>
    <mergeCell ref="F194:G194"/>
    <mergeCell ref="I194:L194"/>
    <mergeCell ref="C190:C194"/>
    <mergeCell ref="D190:E190"/>
    <mergeCell ref="F190:G190"/>
    <mergeCell ref="I190:L190"/>
    <mergeCell ref="D191:E191"/>
    <mergeCell ref="F191:G192"/>
    <mergeCell ref="I191:L191"/>
    <mergeCell ref="D192:E192"/>
    <mergeCell ref="I192:L192"/>
    <mergeCell ref="D193:E193"/>
    <mergeCell ref="F188:G188"/>
    <mergeCell ref="H188:H189"/>
    <mergeCell ref="I188:L188"/>
    <mergeCell ref="D189:E189"/>
    <mergeCell ref="F189:G189"/>
    <mergeCell ref="I189:L189"/>
    <mergeCell ref="C185:C189"/>
    <mergeCell ref="D185:E185"/>
    <mergeCell ref="F185:G185"/>
    <mergeCell ref="I185:L185"/>
    <mergeCell ref="D186:E186"/>
    <mergeCell ref="F186:G187"/>
    <mergeCell ref="I186:L186"/>
    <mergeCell ref="D187:E187"/>
    <mergeCell ref="I187:L187"/>
    <mergeCell ref="D188:E188"/>
    <mergeCell ref="F183:G183"/>
    <mergeCell ref="H183:H184"/>
    <mergeCell ref="I183:L183"/>
    <mergeCell ref="D184:E184"/>
    <mergeCell ref="F184:G184"/>
    <mergeCell ref="I184:L184"/>
    <mergeCell ref="C180:C184"/>
    <mergeCell ref="D180:E180"/>
    <mergeCell ref="F180:G180"/>
    <mergeCell ref="I180:L180"/>
    <mergeCell ref="D181:E181"/>
    <mergeCell ref="F181:G182"/>
    <mergeCell ref="I181:L181"/>
    <mergeCell ref="D182:E182"/>
    <mergeCell ref="I182:L182"/>
    <mergeCell ref="D183:E183"/>
    <mergeCell ref="D178:E178"/>
    <mergeCell ref="F178:G178"/>
    <mergeCell ref="H178:H179"/>
    <mergeCell ref="I178:L178"/>
    <mergeCell ref="D179:E179"/>
    <mergeCell ref="F179:G179"/>
    <mergeCell ref="I179:L179"/>
    <mergeCell ref="I173:L173"/>
    <mergeCell ref="D174:E174"/>
    <mergeCell ref="F174:G174"/>
    <mergeCell ref="I174:L174"/>
    <mergeCell ref="F170:G170"/>
    <mergeCell ref="I170:L170"/>
    <mergeCell ref="F171:G172"/>
    <mergeCell ref="I171:L171"/>
    <mergeCell ref="I172:L172"/>
    <mergeCell ref="D173:E173"/>
    <mergeCell ref="F173:G173"/>
    <mergeCell ref="H173:H174"/>
    <mergeCell ref="I177:L177"/>
    <mergeCell ref="C168:D168"/>
    <mergeCell ref="E168:G168"/>
    <mergeCell ref="H168:J168"/>
    <mergeCell ref="K168:L168"/>
    <mergeCell ref="C169:E169"/>
    <mergeCell ref="F169:L169"/>
    <mergeCell ref="C162:G162"/>
    <mergeCell ref="H162:L162"/>
    <mergeCell ref="B164:L164"/>
    <mergeCell ref="B166:B202"/>
    <mergeCell ref="C166:J166"/>
    <mergeCell ref="K166:L166"/>
    <mergeCell ref="C167:D167"/>
    <mergeCell ref="E167:G167"/>
    <mergeCell ref="H167:J167"/>
    <mergeCell ref="K167:L167"/>
    <mergeCell ref="C175:C179"/>
    <mergeCell ref="D175:E177"/>
    <mergeCell ref="F175:G175"/>
    <mergeCell ref="I175:L175"/>
    <mergeCell ref="F176:G177"/>
    <mergeCell ref="I176:L176"/>
    <mergeCell ref="C170:C174"/>
    <mergeCell ref="D170:E172"/>
    <mergeCell ref="C160:C161"/>
    <mergeCell ref="D160:E160"/>
    <mergeCell ref="F160:G160"/>
    <mergeCell ref="H160:H161"/>
    <mergeCell ref="I160:L160"/>
    <mergeCell ref="D161:E161"/>
    <mergeCell ref="F161:G161"/>
    <mergeCell ref="I161:L161"/>
    <mergeCell ref="F158:G158"/>
    <mergeCell ref="H158:H159"/>
    <mergeCell ref="I158:L158"/>
    <mergeCell ref="D159:E159"/>
    <mergeCell ref="F159:G159"/>
    <mergeCell ref="I159:L159"/>
    <mergeCell ref="C155:C159"/>
    <mergeCell ref="D155:E155"/>
    <mergeCell ref="F155:G155"/>
    <mergeCell ref="I155:L155"/>
    <mergeCell ref="D156:E156"/>
    <mergeCell ref="F156:G157"/>
    <mergeCell ref="I156:L156"/>
    <mergeCell ref="D157:E157"/>
    <mergeCell ref="I157:L157"/>
    <mergeCell ref="D158:E158"/>
    <mergeCell ref="F153:G153"/>
    <mergeCell ref="H153:H154"/>
    <mergeCell ref="I153:L153"/>
    <mergeCell ref="D154:E154"/>
    <mergeCell ref="F154:G154"/>
    <mergeCell ref="I154:L154"/>
    <mergeCell ref="C150:C154"/>
    <mergeCell ref="D150:E150"/>
    <mergeCell ref="F150:G150"/>
    <mergeCell ref="I150:L150"/>
    <mergeCell ref="D151:E151"/>
    <mergeCell ref="F151:G152"/>
    <mergeCell ref="I151:L151"/>
    <mergeCell ref="D152:E152"/>
    <mergeCell ref="I152:L152"/>
    <mergeCell ref="D153:E153"/>
    <mergeCell ref="F148:G148"/>
    <mergeCell ref="H148:H149"/>
    <mergeCell ref="I148:L148"/>
    <mergeCell ref="D149:E149"/>
    <mergeCell ref="F149:G149"/>
    <mergeCell ref="I149:L149"/>
    <mergeCell ref="C145:C149"/>
    <mergeCell ref="D145:E145"/>
    <mergeCell ref="F145:G145"/>
    <mergeCell ref="I145:L145"/>
    <mergeCell ref="D146:E146"/>
    <mergeCell ref="F146:G147"/>
    <mergeCell ref="I146:L146"/>
    <mergeCell ref="D147:E147"/>
    <mergeCell ref="I147:L147"/>
    <mergeCell ref="D148:E148"/>
    <mergeCell ref="F143:G143"/>
    <mergeCell ref="H143:H144"/>
    <mergeCell ref="I143:L143"/>
    <mergeCell ref="D144:E144"/>
    <mergeCell ref="F144:G144"/>
    <mergeCell ref="I144:L144"/>
    <mergeCell ref="C140:C144"/>
    <mergeCell ref="D140:E140"/>
    <mergeCell ref="F140:G140"/>
    <mergeCell ref="I140:L140"/>
    <mergeCell ref="D141:E141"/>
    <mergeCell ref="F141:G142"/>
    <mergeCell ref="I141:L141"/>
    <mergeCell ref="D142:E142"/>
    <mergeCell ref="I142:L142"/>
    <mergeCell ref="D143:E143"/>
    <mergeCell ref="D138:E138"/>
    <mergeCell ref="F138:G138"/>
    <mergeCell ref="H138:H139"/>
    <mergeCell ref="I138:L138"/>
    <mergeCell ref="D139:E139"/>
    <mergeCell ref="F139:G139"/>
    <mergeCell ref="I139:L139"/>
    <mergeCell ref="I133:L133"/>
    <mergeCell ref="D134:E134"/>
    <mergeCell ref="F134:G134"/>
    <mergeCell ref="I134:L134"/>
    <mergeCell ref="F130:G130"/>
    <mergeCell ref="I130:L130"/>
    <mergeCell ref="F131:G132"/>
    <mergeCell ref="I131:L131"/>
    <mergeCell ref="I132:L132"/>
    <mergeCell ref="D133:E133"/>
    <mergeCell ref="F133:G133"/>
    <mergeCell ref="H133:H134"/>
    <mergeCell ref="I137:L137"/>
    <mergeCell ref="C128:D128"/>
    <mergeCell ref="E128:G128"/>
    <mergeCell ref="H128:J128"/>
    <mergeCell ref="K128:L128"/>
    <mergeCell ref="C129:E129"/>
    <mergeCell ref="F129:L129"/>
    <mergeCell ref="C122:G122"/>
    <mergeCell ref="H122:L122"/>
    <mergeCell ref="B124:L124"/>
    <mergeCell ref="B126:B162"/>
    <mergeCell ref="C126:J126"/>
    <mergeCell ref="K126:L126"/>
    <mergeCell ref="C127:D127"/>
    <mergeCell ref="E127:G127"/>
    <mergeCell ref="H127:J127"/>
    <mergeCell ref="K127:L127"/>
    <mergeCell ref="C135:C139"/>
    <mergeCell ref="D135:E137"/>
    <mergeCell ref="F135:G135"/>
    <mergeCell ref="I135:L135"/>
    <mergeCell ref="F136:G137"/>
    <mergeCell ref="I136:L136"/>
    <mergeCell ref="C130:C134"/>
    <mergeCell ref="D130:E132"/>
    <mergeCell ref="C120:C121"/>
    <mergeCell ref="D120:E120"/>
    <mergeCell ref="F120:G120"/>
    <mergeCell ref="H120:H121"/>
    <mergeCell ref="I120:L120"/>
    <mergeCell ref="D121:E121"/>
    <mergeCell ref="F121:G121"/>
    <mergeCell ref="I121:L121"/>
    <mergeCell ref="F118:G118"/>
    <mergeCell ref="H118:H119"/>
    <mergeCell ref="I118:L118"/>
    <mergeCell ref="D119:E119"/>
    <mergeCell ref="F119:G119"/>
    <mergeCell ref="I119:L119"/>
    <mergeCell ref="C115:C119"/>
    <mergeCell ref="D115:E115"/>
    <mergeCell ref="F115:G115"/>
    <mergeCell ref="I115:L115"/>
    <mergeCell ref="D116:E116"/>
    <mergeCell ref="F116:G117"/>
    <mergeCell ref="I116:L116"/>
    <mergeCell ref="D117:E117"/>
    <mergeCell ref="I117:L117"/>
    <mergeCell ref="D118:E118"/>
    <mergeCell ref="F113:G113"/>
    <mergeCell ref="H113:H114"/>
    <mergeCell ref="I113:L113"/>
    <mergeCell ref="D114:E114"/>
    <mergeCell ref="F114:G114"/>
    <mergeCell ref="I114:L114"/>
    <mergeCell ref="C110:C114"/>
    <mergeCell ref="D110:E110"/>
    <mergeCell ref="F110:G110"/>
    <mergeCell ref="I110:L110"/>
    <mergeCell ref="D111:E111"/>
    <mergeCell ref="F111:G112"/>
    <mergeCell ref="I111:L111"/>
    <mergeCell ref="D112:E112"/>
    <mergeCell ref="I112:L112"/>
    <mergeCell ref="D113:E113"/>
    <mergeCell ref="F108:G108"/>
    <mergeCell ref="H108:H109"/>
    <mergeCell ref="I108:L108"/>
    <mergeCell ref="D109:E109"/>
    <mergeCell ref="F109:G109"/>
    <mergeCell ref="I109:L109"/>
    <mergeCell ref="C105:C109"/>
    <mergeCell ref="D105:E105"/>
    <mergeCell ref="F105:G105"/>
    <mergeCell ref="I105:L105"/>
    <mergeCell ref="D106:E106"/>
    <mergeCell ref="F106:G107"/>
    <mergeCell ref="I106:L106"/>
    <mergeCell ref="D107:E107"/>
    <mergeCell ref="I107:L107"/>
    <mergeCell ref="D108:E108"/>
    <mergeCell ref="F103:G103"/>
    <mergeCell ref="H103:H104"/>
    <mergeCell ref="I103:L103"/>
    <mergeCell ref="D104:E104"/>
    <mergeCell ref="F104:G104"/>
    <mergeCell ref="I104:L104"/>
    <mergeCell ref="C100:C104"/>
    <mergeCell ref="D100:E100"/>
    <mergeCell ref="F100:G100"/>
    <mergeCell ref="I100:L100"/>
    <mergeCell ref="D101:E101"/>
    <mergeCell ref="F101:G102"/>
    <mergeCell ref="I101:L101"/>
    <mergeCell ref="D102:E102"/>
    <mergeCell ref="I102:L102"/>
    <mergeCell ref="D103:E103"/>
    <mergeCell ref="D98:E98"/>
    <mergeCell ref="F98:G98"/>
    <mergeCell ref="H98:H99"/>
    <mergeCell ref="I98:L98"/>
    <mergeCell ref="D99:E99"/>
    <mergeCell ref="F99:G99"/>
    <mergeCell ref="I99:L99"/>
    <mergeCell ref="I93:L93"/>
    <mergeCell ref="D94:E94"/>
    <mergeCell ref="F94:G94"/>
    <mergeCell ref="I94:L94"/>
    <mergeCell ref="F90:G90"/>
    <mergeCell ref="I90:L90"/>
    <mergeCell ref="F91:G92"/>
    <mergeCell ref="I91:L91"/>
    <mergeCell ref="I92:L92"/>
    <mergeCell ref="D93:E93"/>
    <mergeCell ref="F93:G93"/>
    <mergeCell ref="H93:H94"/>
    <mergeCell ref="I97:L97"/>
    <mergeCell ref="C88:D88"/>
    <mergeCell ref="E88:G88"/>
    <mergeCell ref="H88:J88"/>
    <mergeCell ref="K88:L88"/>
    <mergeCell ref="C89:E89"/>
    <mergeCell ref="F89:L89"/>
    <mergeCell ref="C82:G82"/>
    <mergeCell ref="H82:L82"/>
    <mergeCell ref="B84:L84"/>
    <mergeCell ref="B86:B122"/>
    <mergeCell ref="C86:J86"/>
    <mergeCell ref="K86:L86"/>
    <mergeCell ref="C87:D87"/>
    <mergeCell ref="E87:G87"/>
    <mergeCell ref="H87:J87"/>
    <mergeCell ref="K87:L87"/>
    <mergeCell ref="C95:C99"/>
    <mergeCell ref="D95:E97"/>
    <mergeCell ref="F95:G95"/>
    <mergeCell ref="I95:L95"/>
    <mergeCell ref="F96:G97"/>
    <mergeCell ref="I96:L96"/>
    <mergeCell ref="C90:C94"/>
    <mergeCell ref="D90:E92"/>
    <mergeCell ref="C80:C81"/>
    <mergeCell ref="D80:E80"/>
    <mergeCell ref="F80:G80"/>
    <mergeCell ref="H80:H81"/>
    <mergeCell ref="I80:L80"/>
    <mergeCell ref="D81:E81"/>
    <mergeCell ref="F81:G81"/>
    <mergeCell ref="I81:L81"/>
    <mergeCell ref="F78:G78"/>
    <mergeCell ref="H78:H79"/>
    <mergeCell ref="I78:L78"/>
    <mergeCell ref="D79:E79"/>
    <mergeCell ref="F79:G79"/>
    <mergeCell ref="I79:L79"/>
    <mergeCell ref="C75:C79"/>
    <mergeCell ref="D75:E75"/>
    <mergeCell ref="F75:G75"/>
    <mergeCell ref="I75:L75"/>
    <mergeCell ref="D76:E76"/>
    <mergeCell ref="F76:G77"/>
    <mergeCell ref="I76:L76"/>
    <mergeCell ref="D77:E77"/>
    <mergeCell ref="I77:L77"/>
    <mergeCell ref="D78:E78"/>
    <mergeCell ref="F73:G73"/>
    <mergeCell ref="H73:H74"/>
    <mergeCell ref="I73:L73"/>
    <mergeCell ref="D74:E74"/>
    <mergeCell ref="F74:G74"/>
    <mergeCell ref="I74:L74"/>
    <mergeCell ref="C70:C74"/>
    <mergeCell ref="D70:E70"/>
    <mergeCell ref="F70:G70"/>
    <mergeCell ref="I70:L70"/>
    <mergeCell ref="D71:E71"/>
    <mergeCell ref="F71:G72"/>
    <mergeCell ref="I71:L71"/>
    <mergeCell ref="D72:E72"/>
    <mergeCell ref="I72:L72"/>
    <mergeCell ref="D73:E73"/>
    <mergeCell ref="F68:G68"/>
    <mergeCell ref="H68:H69"/>
    <mergeCell ref="I68:L68"/>
    <mergeCell ref="D69:E69"/>
    <mergeCell ref="F69:G69"/>
    <mergeCell ref="I69:L69"/>
    <mergeCell ref="C65:C69"/>
    <mergeCell ref="D65:E65"/>
    <mergeCell ref="F65:G65"/>
    <mergeCell ref="I65:L65"/>
    <mergeCell ref="D66:E66"/>
    <mergeCell ref="F66:G67"/>
    <mergeCell ref="I66:L66"/>
    <mergeCell ref="D67:E67"/>
    <mergeCell ref="I67:L67"/>
    <mergeCell ref="D68:E68"/>
    <mergeCell ref="F63:G63"/>
    <mergeCell ref="H63:H64"/>
    <mergeCell ref="I63:L63"/>
    <mergeCell ref="D64:E64"/>
    <mergeCell ref="F64:G64"/>
    <mergeCell ref="I64:L64"/>
    <mergeCell ref="C60:C64"/>
    <mergeCell ref="D60:E60"/>
    <mergeCell ref="F60:G60"/>
    <mergeCell ref="I60:L60"/>
    <mergeCell ref="D61:E61"/>
    <mergeCell ref="F61:G62"/>
    <mergeCell ref="I61:L61"/>
    <mergeCell ref="D62:E62"/>
    <mergeCell ref="I62:L62"/>
    <mergeCell ref="D63:E63"/>
    <mergeCell ref="D58:E58"/>
    <mergeCell ref="F58:G58"/>
    <mergeCell ref="H58:H59"/>
    <mergeCell ref="I58:L58"/>
    <mergeCell ref="D59:E59"/>
    <mergeCell ref="F59:G59"/>
    <mergeCell ref="I59:L59"/>
    <mergeCell ref="I53:L53"/>
    <mergeCell ref="D54:E54"/>
    <mergeCell ref="F54:G54"/>
    <mergeCell ref="I54:L54"/>
    <mergeCell ref="F50:G50"/>
    <mergeCell ref="I50:L50"/>
    <mergeCell ref="F51:G52"/>
    <mergeCell ref="I51:L51"/>
    <mergeCell ref="I52:L52"/>
    <mergeCell ref="D53:E53"/>
    <mergeCell ref="F53:G53"/>
    <mergeCell ref="H53:H54"/>
    <mergeCell ref="I57:L57"/>
    <mergeCell ref="C48:D48"/>
    <mergeCell ref="E48:G48"/>
    <mergeCell ref="H48:J48"/>
    <mergeCell ref="K48:L48"/>
    <mergeCell ref="C49:E49"/>
    <mergeCell ref="F49:L49"/>
    <mergeCell ref="C42:G42"/>
    <mergeCell ref="H42:L42"/>
    <mergeCell ref="B44:L44"/>
    <mergeCell ref="B46:B82"/>
    <mergeCell ref="C46:J46"/>
    <mergeCell ref="K46:L46"/>
    <mergeCell ref="C47:D47"/>
    <mergeCell ref="E47:G47"/>
    <mergeCell ref="H47:J47"/>
    <mergeCell ref="K47:L47"/>
    <mergeCell ref="C55:C59"/>
    <mergeCell ref="D55:E57"/>
    <mergeCell ref="F55:G55"/>
    <mergeCell ref="I55:L55"/>
    <mergeCell ref="F56:G57"/>
    <mergeCell ref="I56:L56"/>
    <mergeCell ref="C50:C54"/>
    <mergeCell ref="D50:E52"/>
    <mergeCell ref="C40:C41"/>
    <mergeCell ref="D40:E40"/>
    <mergeCell ref="F40:G40"/>
    <mergeCell ref="H40:H41"/>
    <mergeCell ref="I40:L40"/>
    <mergeCell ref="D41:E41"/>
    <mergeCell ref="F41:G41"/>
    <mergeCell ref="I41:L41"/>
    <mergeCell ref="F38:G38"/>
    <mergeCell ref="H38:H39"/>
    <mergeCell ref="I38:L38"/>
    <mergeCell ref="D39:E39"/>
    <mergeCell ref="F39:G39"/>
    <mergeCell ref="I39:L39"/>
    <mergeCell ref="C35:C39"/>
    <mergeCell ref="D35:E35"/>
    <mergeCell ref="F35:G35"/>
    <mergeCell ref="I35:L35"/>
    <mergeCell ref="D36:E36"/>
    <mergeCell ref="F36:G37"/>
    <mergeCell ref="I36:L36"/>
    <mergeCell ref="D37:E37"/>
    <mergeCell ref="I37:L37"/>
    <mergeCell ref="D38:E38"/>
    <mergeCell ref="C20:C24"/>
    <mergeCell ref="D20:E20"/>
    <mergeCell ref="F20:G20"/>
    <mergeCell ref="I20:L20"/>
    <mergeCell ref="D21:E21"/>
    <mergeCell ref="F21:G22"/>
    <mergeCell ref="F33:G33"/>
    <mergeCell ref="H33:H34"/>
    <mergeCell ref="I33:L33"/>
    <mergeCell ref="D34:E34"/>
    <mergeCell ref="F34:G34"/>
    <mergeCell ref="I34:L34"/>
    <mergeCell ref="C30:C34"/>
    <mergeCell ref="D30:E30"/>
    <mergeCell ref="F30:G30"/>
    <mergeCell ref="I30:L30"/>
    <mergeCell ref="D31:E31"/>
    <mergeCell ref="F31:G32"/>
    <mergeCell ref="I31:L31"/>
    <mergeCell ref="D32:E32"/>
    <mergeCell ref="I32:L32"/>
    <mergeCell ref="D33:E33"/>
    <mergeCell ref="F28:G28"/>
    <mergeCell ref="H28:H29"/>
    <mergeCell ref="I28:L28"/>
    <mergeCell ref="D29:E29"/>
    <mergeCell ref="F29:G29"/>
    <mergeCell ref="I29:L29"/>
    <mergeCell ref="C25:C29"/>
    <mergeCell ref="D25:E25"/>
    <mergeCell ref="F25:G25"/>
    <mergeCell ref="I25:L25"/>
    <mergeCell ref="D26:E26"/>
    <mergeCell ref="F26:G27"/>
    <mergeCell ref="I26:L26"/>
    <mergeCell ref="D27:E27"/>
    <mergeCell ref="I27:L27"/>
    <mergeCell ref="D28:E28"/>
    <mergeCell ref="C15:C19"/>
    <mergeCell ref="D15:E17"/>
    <mergeCell ref="F15:G15"/>
    <mergeCell ref="I15:L15"/>
    <mergeCell ref="F16:G17"/>
    <mergeCell ref="I16:L16"/>
    <mergeCell ref="I17:L17"/>
    <mergeCell ref="D18:E18"/>
    <mergeCell ref="F18:G18"/>
    <mergeCell ref="H18:H19"/>
    <mergeCell ref="I21:L21"/>
    <mergeCell ref="D22:E22"/>
    <mergeCell ref="I22:L22"/>
    <mergeCell ref="D23:E23"/>
    <mergeCell ref="F23:G23"/>
    <mergeCell ref="H23:H24"/>
    <mergeCell ref="I23:L23"/>
    <mergeCell ref="D24:E24"/>
    <mergeCell ref="H13:H14"/>
    <mergeCell ref="I13:L13"/>
    <mergeCell ref="D14:E14"/>
    <mergeCell ref="F14:G14"/>
    <mergeCell ref="I14:L14"/>
    <mergeCell ref="I18:L18"/>
    <mergeCell ref="D19:E19"/>
    <mergeCell ref="F19:G19"/>
    <mergeCell ref="I19:L19"/>
    <mergeCell ref="F24:G24"/>
    <mergeCell ref="I24:L24"/>
    <mergeCell ref="B2:L2"/>
    <mergeCell ref="B4:L4"/>
    <mergeCell ref="B6:B42"/>
    <mergeCell ref="C6:J6"/>
    <mergeCell ref="K6:L6"/>
    <mergeCell ref="C7:D7"/>
    <mergeCell ref="E7:G7"/>
    <mergeCell ref="H7:J7"/>
    <mergeCell ref="K7:L7"/>
    <mergeCell ref="C8:D8"/>
    <mergeCell ref="E8:G8"/>
    <mergeCell ref="H8:J8"/>
    <mergeCell ref="K8:L8"/>
    <mergeCell ref="C9:E9"/>
    <mergeCell ref="F9:L9"/>
    <mergeCell ref="C10:C14"/>
    <mergeCell ref="D10:E12"/>
    <mergeCell ref="F10:G10"/>
    <mergeCell ref="I10:L10"/>
    <mergeCell ref="F11:G12"/>
    <mergeCell ref="I11:L11"/>
    <mergeCell ref="I12:L12"/>
    <mergeCell ref="D13:E13"/>
    <mergeCell ref="F13:G13"/>
  </mergeCells>
  <dataValidations count="4">
    <dataValidation allowBlank="1" showInputMessage="1" showErrorMessage="1" promptTitle="Escala:" prompt="Se genera de forma automática a partir del valor del promedio._x000a_De acuerdo al promedio:_x000a_&quot;Muy alta&quot; --&gt; Mayor o igual 1,5._x000a_&quot;Alta&quot;         --&gt; Entre 1 y &lt; 1,49._x000a_&quot;Media&quot;     --&gt; Entre 0,5 y &lt;0,99_x000a_&quot;Baja&quot;         --&gt; Entre 0 y &lt; 0,49" sqref="H13:H14 H233:H234 H18:H19 H23:H24 H28:H29 H33:H34 H38:H39 H53:H54 H58:H59 H63:H64 H68:H69 H73:H74 H78:H79 H93:H94 H98:H99 H103:H104 H108:H109 H113:H114 H118:H119 H133:H134 H138:H139 H143:H144 H148:H149 H153:H154 H158:H159 H173:H174 H178:H179 H183:H184 H188:H189 H193:H194 H198:H199 H213:H214 H218:H219 H223:H224 H228:H229 H238:H239 H247:H258"/>
    <dataValidation allowBlank="1" showInputMessage="1" showErrorMessage="1" prompt="El formulador deberá consignar las medidas establecidas para la mejora y/o ampliación de los activos" sqref="I247:K258 I268:K268"/>
    <dataValidation allowBlank="1" showInputMessage="1" showErrorMessage="1" prompt="El formulador deberá consignar las medidas para fortalecer los niveles de resiliencia frente a los niveles de peligro." sqref="I259:I267 J259:K264"/>
    <dataValidation allowBlank="1" showInputMessage="1" showErrorMessage="1" promptTitle="Escalas nivel de resiliencia:" prompt="Se genera de forma automática a partir del valor del promedio._x000a_De acuerdo al promedio:_x000a_&quot;Muy alta&quot; --&gt; Mayor o igual 1,5._x000a_&quot;Alta&quot;         --&gt; Entre 1 y &lt; 1,49._x000a_&quot;Media&quot;     --&gt; Entre 0,5 y &lt;0,99_x000a_&quot;Baja&quot;         --&gt; Entre 0 y &lt; 0,49" sqref="H259:H268 H240:H241 H200:H201 H160:H161 H120:H121 H80:H81 H40:H41"/>
  </dataValidations>
  <pageMargins left="0.70866141732283472" right="0.70866141732283472" top="0.74803149606299213" bottom="0.74803149606299213" header="0.31496062992125984" footer="0.31496062992125984"/>
  <pageSetup paperSize="9" scale="75" orientation="landscape" r:id="rId1"/>
  <headerFooter>
    <oddHeader>&amp;L&amp;"Arial,Negrita"&amp;9MINISTERIO DE DESARROLLO AGRARIO Y RIEGO
&amp;"Arial,Normal"&amp;7Oficina de Programación Multianual de Inversiones - OPMI&amp;R&amp;"Arial,Normal"&amp;7&amp;D
&amp;T</oddHeader>
    <oddFooter>&amp;R&amp;"Arial,Normal"&amp;7Ficha Técnica Específica Estandar.
Servicio de provisión de agua para riego -Naturaleza : Mejoramiento</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108" id="{72FC5D40-B711-4AF5-9E83-EF50E49355DE}">
            <xm:f>'UNIDAD PRODUCTORA'!$F$96="No"</xm:f>
            <x14:dxf>
              <fill>
                <patternFill>
                  <bgColor rgb="FFFF0000"/>
                </patternFill>
              </fill>
            </x14:dxf>
          </x14:cfRule>
          <xm:sqref>H10</xm:sqref>
        </x14:conditionalFormatting>
        <x14:conditionalFormatting xmlns:xm="http://schemas.microsoft.com/office/excel/2006/main">
          <x14:cfRule type="expression" priority="107" id="{8AC35374-3102-4AA3-8985-D96BA339EE82}">
            <xm:f>'UNIDAD PRODUCTORA'!$G$96="No"</xm:f>
            <x14:dxf>
              <fill>
                <patternFill>
                  <bgColor rgb="FFFF0000"/>
                </patternFill>
              </fill>
            </x14:dxf>
          </x14:cfRule>
          <xm:sqref>H11</xm:sqref>
        </x14:conditionalFormatting>
        <x14:conditionalFormatting xmlns:xm="http://schemas.microsoft.com/office/excel/2006/main">
          <x14:cfRule type="expression" priority="106" id="{DA8CD4D6-4313-4D7A-9E6A-2C4E6E8B9166}">
            <xm:f>'UNIDAD PRODUCTORA'!$G$96="Sí"</xm:f>
            <x14:dxf>
              <fill>
                <patternFill>
                  <bgColor rgb="FFFF0000"/>
                </patternFill>
              </fill>
            </x14:dxf>
          </x14:cfRule>
          <xm:sqref>H12</xm:sqref>
        </x14:conditionalFormatting>
        <x14:conditionalFormatting xmlns:xm="http://schemas.microsoft.com/office/excel/2006/main">
          <x14:cfRule type="expression" priority="105" id="{BAF79672-D647-43B2-8B10-A056632B13EE}">
            <xm:f>'UNIDAD PRODUCTORA'!$F$97="No"</xm:f>
            <x14:dxf>
              <fill>
                <patternFill>
                  <bgColor rgb="FFFF0000"/>
                </patternFill>
              </fill>
            </x14:dxf>
          </x14:cfRule>
          <xm:sqref>H15</xm:sqref>
        </x14:conditionalFormatting>
        <x14:conditionalFormatting xmlns:xm="http://schemas.microsoft.com/office/excel/2006/main">
          <x14:cfRule type="expression" priority="104" id="{D8954A8E-3FC8-4549-B73D-A2BC3AAD55D2}">
            <xm:f>'UNIDAD PRODUCTORA'!$G$97="No"</xm:f>
            <x14:dxf>
              <fill>
                <patternFill>
                  <bgColor rgb="FFFF0000"/>
                </patternFill>
              </fill>
            </x14:dxf>
          </x14:cfRule>
          <xm:sqref>H16</xm:sqref>
        </x14:conditionalFormatting>
        <x14:conditionalFormatting xmlns:xm="http://schemas.microsoft.com/office/excel/2006/main">
          <x14:cfRule type="expression" priority="103" id="{5CCD31D1-6079-4808-9031-1A89ACC87C50}">
            <xm:f>'UNIDAD PRODUCTORA'!$G$97="Sí"</xm:f>
            <x14:dxf>
              <fill>
                <patternFill>
                  <bgColor rgb="FFFF0000"/>
                </patternFill>
              </fill>
            </x14:dxf>
          </x14:cfRule>
          <xm:sqref>H17</xm:sqref>
        </x14:conditionalFormatting>
        <x14:conditionalFormatting xmlns:xm="http://schemas.microsoft.com/office/excel/2006/main">
          <x14:cfRule type="expression" priority="102" id="{FBF99499-5DD4-4306-A70F-3FC4E62332AD}">
            <xm:f>'UNIDAD PRODUCTORA'!$F$98="No"</xm:f>
            <x14:dxf>
              <fill>
                <patternFill>
                  <bgColor rgb="FFFF0000"/>
                </patternFill>
              </fill>
            </x14:dxf>
          </x14:cfRule>
          <xm:sqref>H20</xm:sqref>
        </x14:conditionalFormatting>
        <x14:conditionalFormatting xmlns:xm="http://schemas.microsoft.com/office/excel/2006/main">
          <x14:cfRule type="expression" priority="101" id="{95CF32BB-0207-40B0-9618-9C6764AD78A5}">
            <xm:f>'UNIDAD PRODUCTORA'!$G$98="No"</xm:f>
            <x14:dxf>
              <fill>
                <patternFill>
                  <bgColor rgb="FFFF0000"/>
                </patternFill>
              </fill>
            </x14:dxf>
          </x14:cfRule>
          <xm:sqref>H21</xm:sqref>
        </x14:conditionalFormatting>
        <x14:conditionalFormatting xmlns:xm="http://schemas.microsoft.com/office/excel/2006/main">
          <x14:cfRule type="expression" priority="100" id="{1D60FC4F-BF6D-4732-9024-B2ECC422175D}">
            <xm:f>'UNIDAD PRODUCTORA'!$G$98="Sí"</xm:f>
            <x14:dxf>
              <fill>
                <patternFill>
                  <bgColor rgb="FFFF0000"/>
                </patternFill>
              </fill>
            </x14:dxf>
          </x14:cfRule>
          <xm:sqref>H22</xm:sqref>
        </x14:conditionalFormatting>
        <x14:conditionalFormatting xmlns:xm="http://schemas.microsoft.com/office/excel/2006/main">
          <x14:cfRule type="expression" priority="99" id="{CB364DE8-C1EC-4A45-AA5C-82F113C8775A}">
            <xm:f>'UNIDAD PRODUCTORA'!$F$99="No"</xm:f>
            <x14:dxf>
              <fill>
                <patternFill>
                  <bgColor rgb="FFFF0000"/>
                </patternFill>
              </fill>
            </x14:dxf>
          </x14:cfRule>
          <xm:sqref>H25</xm:sqref>
        </x14:conditionalFormatting>
        <x14:conditionalFormatting xmlns:xm="http://schemas.microsoft.com/office/excel/2006/main">
          <x14:cfRule type="expression" priority="98" id="{A329F282-627B-4962-833C-BA3052C43D58}">
            <xm:f>'UNIDAD PRODUCTORA'!$G$99="No"</xm:f>
            <x14:dxf>
              <fill>
                <patternFill>
                  <bgColor rgb="FFFF0000"/>
                </patternFill>
              </fill>
            </x14:dxf>
          </x14:cfRule>
          <xm:sqref>H26</xm:sqref>
        </x14:conditionalFormatting>
        <x14:conditionalFormatting xmlns:xm="http://schemas.microsoft.com/office/excel/2006/main">
          <x14:cfRule type="expression" priority="97" id="{F7473A63-2239-461B-8B7E-E6F5CE56F80B}">
            <xm:f>'UNIDAD PRODUCTORA'!$G$99="Sí"</xm:f>
            <x14:dxf>
              <fill>
                <patternFill>
                  <bgColor rgb="FFFF0000"/>
                </patternFill>
              </fill>
            </x14:dxf>
          </x14:cfRule>
          <xm:sqref>H27</xm:sqref>
        </x14:conditionalFormatting>
        <x14:conditionalFormatting xmlns:xm="http://schemas.microsoft.com/office/excel/2006/main">
          <x14:cfRule type="expression" priority="96" id="{DA249774-D79C-4B52-974C-DD6EB6942F7D}">
            <xm:f>'UNIDAD PRODUCTORA'!$F$100="No"</xm:f>
            <x14:dxf>
              <fill>
                <patternFill>
                  <bgColor rgb="FFFF0000"/>
                </patternFill>
              </fill>
            </x14:dxf>
          </x14:cfRule>
          <xm:sqref>H30</xm:sqref>
        </x14:conditionalFormatting>
        <x14:conditionalFormatting xmlns:xm="http://schemas.microsoft.com/office/excel/2006/main">
          <x14:cfRule type="expression" priority="95" id="{75AB3304-8AE0-4986-8B21-13434FBF2BA3}">
            <xm:f>'UNIDAD PRODUCTORA'!$G$100="No"</xm:f>
            <x14:dxf>
              <fill>
                <patternFill>
                  <bgColor rgb="FFFF0000"/>
                </patternFill>
              </fill>
            </x14:dxf>
          </x14:cfRule>
          <xm:sqref>H31</xm:sqref>
        </x14:conditionalFormatting>
        <x14:conditionalFormatting xmlns:xm="http://schemas.microsoft.com/office/excel/2006/main">
          <x14:cfRule type="expression" priority="94" id="{CFDF018E-5145-4FCE-AA24-7683BB2A66EA}">
            <xm:f>'UNIDAD PRODUCTORA'!$G$100="Sí"</xm:f>
            <x14:dxf>
              <fill>
                <patternFill>
                  <bgColor rgb="FFFF0000"/>
                </patternFill>
              </fill>
            </x14:dxf>
          </x14:cfRule>
          <xm:sqref>H32</xm:sqref>
        </x14:conditionalFormatting>
        <x14:conditionalFormatting xmlns:xm="http://schemas.microsoft.com/office/excel/2006/main">
          <x14:cfRule type="expression" priority="93" id="{10BA4726-A6D1-4131-93A2-C452C48F390A}">
            <xm:f>'UNIDAD PRODUCTORA'!$F$101="No"</xm:f>
            <x14:dxf>
              <fill>
                <patternFill>
                  <bgColor rgb="FFFF0000"/>
                </patternFill>
              </fill>
            </x14:dxf>
          </x14:cfRule>
          <xm:sqref>H35</xm:sqref>
        </x14:conditionalFormatting>
        <x14:conditionalFormatting xmlns:xm="http://schemas.microsoft.com/office/excel/2006/main">
          <x14:cfRule type="expression" priority="92" id="{2383C7EE-D11C-4238-B303-959352CC09BC}">
            <xm:f>'UNIDAD PRODUCTORA'!$G$101="No"</xm:f>
            <x14:dxf>
              <fill>
                <patternFill>
                  <bgColor rgb="FFFF0000"/>
                </patternFill>
              </fill>
            </x14:dxf>
          </x14:cfRule>
          <xm:sqref>H36</xm:sqref>
        </x14:conditionalFormatting>
        <x14:conditionalFormatting xmlns:xm="http://schemas.microsoft.com/office/excel/2006/main">
          <x14:cfRule type="expression" priority="91" id="{01814D7F-DCB1-4ECC-B10A-2818CD740D88}">
            <xm:f>'UNIDAD PRODUCTORA'!$G$101="Sí"</xm:f>
            <x14:dxf>
              <fill>
                <patternFill>
                  <bgColor rgb="FFFF0000"/>
                </patternFill>
              </fill>
            </x14:dxf>
          </x14:cfRule>
          <xm:sqref>H37</xm:sqref>
        </x14:conditionalFormatting>
        <x14:conditionalFormatting xmlns:xm="http://schemas.microsoft.com/office/excel/2006/main">
          <x14:cfRule type="expression" priority="90" id="{62025829-9B4E-403D-8921-B9EFB442F8CA}">
            <xm:f>'UNIDAD PRODUCTORA'!$F$102="No"</xm:f>
            <x14:dxf>
              <fill>
                <patternFill>
                  <bgColor rgb="FFFF0000"/>
                </patternFill>
              </fill>
            </x14:dxf>
          </x14:cfRule>
          <xm:sqref>H50</xm:sqref>
        </x14:conditionalFormatting>
        <x14:conditionalFormatting xmlns:xm="http://schemas.microsoft.com/office/excel/2006/main">
          <x14:cfRule type="expression" priority="89" id="{79775798-D508-4C26-884D-119D3C2883C8}">
            <xm:f>'UNIDAD PRODUCTORA'!$G$102="No"</xm:f>
            <x14:dxf>
              <fill>
                <patternFill>
                  <bgColor rgb="FFFF0000"/>
                </patternFill>
              </fill>
            </x14:dxf>
          </x14:cfRule>
          <xm:sqref>H51</xm:sqref>
        </x14:conditionalFormatting>
        <x14:conditionalFormatting xmlns:xm="http://schemas.microsoft.com/office/excel/2006/main">
          <x14:cfRule type="expression" priority="88" id="{A0AE1C5A-461E-4750-B894-AED159318114}">
            <xm:f>'UNIDAD PRODUCTORA'!$G$102="Sí"</xm:f>
            <x14:dxf>
              <fill>
                <patternFill>
                  <bgColor rgb="FFFF0000"/>
                </patternFill>
              </fill>
            </x14:dxf>
          </x14:cfRule>
          <xm:sqref>H52</xm:sqref>
        </x14:conditionalFormatting>
        <x14:conditionalFormatting xmlns:xm="http://schemas.microsoft.com/office/excel/2006/main">
          <x14:cfRule type="expression" priority="87" id="{179A9397-743F-4F6D-973D-77E712F4ACBC}">
            <xm:f>'UNIDAD PRODUCTORA'!$F$103="No"</xm:f>
            <x14:dxf>
              <fill>
                <patternFill>
                  <bgColor rgb="FFFF0000"/>
                </patternFill>
              </fill>
            </x14:dxf>
          </x14:cfRule>
          <xm:sqref>H55</xm:sqref>
        </x14:conditionalFormatting>
        <x14:conditionalFormatting xmlns:xm="http://schemas.microsoft.com/office/excel/2006/main">
          <x14:cfRule type="expression" priority="86" id="{777DABAD-9BE3-4BB5-9683-B4CEE1191C88}">
            <xm:f>'UNIDAD PRODUCTORA'!$G$103="No"</xm:f>
            <x14:dxf>
              <fill>
                <patternFill>
                  <bgColor rgb="FFFF0000"/>
                </patternFill>
              </fill>
            </x14:dxf>
          </x14:cfRule>
          <xm:sqref>H56</xm:sqref>
        </x14:conditionalFormatting>
        <x14:conditionalFormatting xmlns:xm="http://schemas.microsoft.com/office/excel/2006/main">
          <x14:cfRule type="expression" priority="85" id="{3CBBDE1E-87AE-4A14-90DE-1323921FCC3F}">
            <xm:f>'UNIDAD PRODUCTORA'!$G$103="Sí"</xm:f>
            <x14:dxf>
              <fill>
                <patternFill>
                  <bgColor rgb="FFFF0000"/>
                </patternFill>
              </fill>
            </x14:dxf>
          </x14:cfRule>
          <xm:sqref>H57</xm:sqref>
        </x14:conditionalFormatting>
        <x14:conditionalFormatting xmlns:xm="http://schemas.microsoft.com/office/excel/2006/main">
          <x14:cfRule type="expression" priority="84" id="{03142602-F621-4145-B36F-F05BFF71F2C8}">
            <xm:f>'UNIDAD PRODUCTORA'!$F$104="No"</xm:f>
            <x14:dxf>
              <fill>
                <patternFill>
                  <bgColor rgb="FFFF0000"/>
                </patternFill>
              </fill>
            </x14:dxf>
          </x14:cfRule>
          <xm:sqref>H60</xm:sqref>
        </x14:conditionalFormatting>
        <x14:conditionalFormatting xmlns:xm="http://schemas.microsoft.com/office/excel/2006/main">
          <x14:cfRule type="expression" priority="83" id="{76543E9B-43FC-4B31-8476-0E09C69F65BD}">
            <xm:f>'UNIDAD PRODUCTORA'!$G$104="No"</xm:f>
            <x14:dxf>
              <fill>
                <patternFill>
                  <bgColor rgb="FFFF0000"/>
                </patternFill>
              </fill>
            </x14:dxf>
          </x14:cfRule>
          <xm:sqref>H61</xm:sqref>
        </x14:conditionalFormatting>
        <x14:conditionalFormatting xmlns:xm="http://schemas.microsoft.com/office/excel/2006/main">
          <x14:cfRule type="expression" priority="82" id="{E962DB7B-2B6B-4AD1-A7BD-6E40BE3D977D}">
            <xm:f>'UNIDAD PRODUCTORA'!$G$104="Sí"</xm:f>
            <x14:dxf>
              <fill>
                <patternFill>
                  <bgColor rgb="FFFF0000"/>
                </patternFill>
              </fill>
            </x14:dxf>
          </x14:cfRule>
          <xm:sqref>H62</xm:sqref>
        </x14:conditionalFormatting>
        <x14:conditionalFormatting xmlns:xm="http://schemas.microsoft.com/office/excel/2006/main">
          <x14:cfRule type="expression" priority="81" id="{4DC651FA-451E-42EB-ABC3-A0C760E02B47}">
            <xm:f>'UNIDAD PRODUCTORA'!$F$105="No"</xm:f>
            <x14:dxf>
              <fill>
                <patternFill>
                  <bgColor rgb="FFFF0000"/>
                </patternFill>
              </fill>
            </x14:dxf>
          </x14:cfRule>
          <xm:sqref>H65</xm:sqref>
        </x14:conditionalFormatting>
        <x14:conditionalFormatting xmlns:xm="http://schemas.microsoft.com/office/excel/2006/main">
          <x14:cfRule type="expression" priority="80" id="{2D08CC93-E283-48D4-A8B7-4497E26D7458}">
            <xm:f>'UNIDAD PRODUCTORA'!$G$105="No"</xm:f>
            <x14:dxf>
              <fill>
                <patternFill>
                  <bgColor rgb="FFFF0000"/>
                </patternFill>
              </fill>
            </x14:dxf>
          </x14:cfRule>
          <xm:sqref>H66</xm:sqref>
        </x14:conditionalFormatting>
        <x14:conditionalFormatting xmlns:xm="http://schemas.microsoft.com/office/excel/2006/main">
          <x14:cfRule type="expression" priority="79" id="{B8E4424C-85EF-47B7-988E-95C1A9D51C22}">
            <xm:f>'UNIDAD PRODUCTORA'!$G$105="Sí"</xm:f>
            <x14:dxf>
              <fill>
                <patternFill>
                  <bgColor rgb="FFFF0000"/>
                </patternFill>
              </fill>
            </x14:dxf>
          </x14:cfRule>
          <xm:sqref>H67</xm:sqref>
        </x14:conditionalFormatting>
        <x14:conditionalFormatting xmlns:xm="http://schemas.microsoft.com/office/excel/2006/main">
          <x14:cfRule type="expression" priority="78" id="{BE1C5BDF-CE95-449C-9AD8-2F8A4F033E71}">
            <xm:f>'UNIDAD PRODUCTORA'!$F$106="No"</xm:f>
            <x14:dxf>
              <fill>
                <patternFill>
                  <bgColor rgb="FFFF0000"/>
                </patternFill>
              </fill>
            </x14:dxf>
          </x14:cfRule>
          <xm:sqref>H70</xm:sqref>
        </x14:conditionalFormatting>
        <x14:conditionalFormatting xmlns:xm="http://schemas.microsoft.com/office/excel/2006/main">
          <x14:cfRule type="expression" priority="77" id="{202C5CE1-438E-4DC4-BC80-CCCFC2E79FDA}">
            <xm:f>'UNIDAD PRODUCTORA'!$G$106="No"</xm:f>
            <x14:dxf>
              <fill>
                <patternFill>
                  <bgColor rgb="FFFF0000"/>
                </patternFill>
              </fill>
            </x14:dxf>
          </x14:cfRule>
          <xm:sqref>H71</xm:sqref>
        </x14:conditionalFormatting>
        <x14:conditionalFormatting xmlns:xm="http://schemas.microsoft.com/office/excel/2006/main">
          <x14:cfRule type="expression" priority="76" id="{3BBE564C-8FA9-4A07-8856-A528719C899C}">
            <xm:f>'UNIDAD PRODUCTORA'!$G$106="Sí"</xm:f>
            <x14:dxf>
              <fill>
                <patternFill>
                  <bgColor rgb="FFFF0000"/>
                </patternFill>
              </fill>
            </x14:dxf>
          </x14:cfRule>
          <xm:sqref>H72</xm:sqref>
        </x14:conditionalFormatting>
        <x14:conditionalFormatting xmlns:xm="http://schemas.microsoft.com/office/excel/2006/main">
          <x14:cfRule type="expression" priority="75" id="{89CD1B58-BB32-490D-8428-E975736BA7D8}">
            <xm:f>'UNIDAD PRODUCTORA'!$F$107="No"</xm:f>
            <x14:dxf>
              <fill>
                <patternFill>
                  <bgColor rgb="FFFF0000"/>
                </patternFill>
              </fill>
            </x14:dxf>
          </x14:cfRule>
          <xm:sqref>H75</xm:sqref>
        </x14:conditionalFormatting>
        <x14:conditionalFormatting xmlns:xm="http://schemas.microsoft.com/office/excel/2006/main">
          <x14:cfRule type="expression" priority="74" id="{A2CE5AB8-531F-4ED3-8987-8B73BBC9EF67}">
            <xm:f>'UNIDAD PRODUCTORA'!$G$107="No"</xm:f>
            <x14:dxf>
              <fill>
                <patternFill>
                  <bgColor rgb="FFFF0000"/>
                </patternFill>
              </fill>
            </x14:dxf>
          </x14:cfRule>
          <xm:sqref>H76</xm:sqref>
        </x14:conditionalFormatting>
        <x14:conditionalFormatting xmlns:xm="http://schemas.microsoft.com/office/excel/2006/main">
          <x14:cfRule type="expression" priority="73" id="{3F031929-B058-4089-A2B8-A2CEA60E94C5}">
            <xm:f>'UNIDAD PRODUCTORA'!$G$107="Sí"</xm:f>
            <x14:dxf>
              <fill>
                <patternFill>
                  <bgColor rgb="FFFF0000"/>
                </patternFill>
              </fill>
            </x14:dxf>
          </x14:cfRule>
          <xm:sqref>H77</xm:sqref>
        </x14:conditionalFormatting>
        <x14:conditionalFormatting xmlns:xm="http://schemas.microsoft.com/office/excel/2006/main">
          <x14:cfRule type="expression" priority="72" id="{DF866B83-7F81-4E12-8ECB-C13B8121E483}">
            <xm:f>'UNIDAD PRODUCTORA'!$F$108="No"</xm:f>
            <x14:dxf>
              <fill>
                <patternFill>
                  <bgColor rgb="FFFF0000"/>
                </patternFill>
              </fill>
            </x14:dxf>
          </x14:cfRule>
          <xm:sqref>H90</xm:sqref>
        </x14:conditionalFormatting>
        <x14:conditionalFormatting xmlns:xm="http://schemas.microsoft.com/office/excel/2006/main">
          <x14:cfRule type="expression" priority="71" id="{B4F94E4D-6F2F-473D-9209-D9437708A36C}">
            <xm:f>'UNIDAD PRODUCTORA'!$G$108="No"</xm:f>
            <x14:dxf>
              <fill>
                <patternFill>
                  <bgColor rgb="FFFF0000"/>
                </patternFill>
              </fill>
            </x14:dxf>
          </x14:cfRule>
          <xm:sqref>H91</xm:sqref>
        </x14:conditionalFormatting>
        <x14:conditionalFormatting xmlns:xm="http://schemas.microsoft.com/office/excel/2006/main">
          <x14:cfRule type="expression" priority="70" id="{D2FB9A32-FA2A-4D18-8B62-20B2789A8DB5}">
            <xm:f>'UNIDAD PRODUCTORA'!$G$108="Sí"</xm:f>
            <x14:dxf>
              <fill>
                <patternFill>
                  <bgColor rgb="FFFF0000"/>
                </patternFill>
              </fill>
            </x14:dxf>
          </x14:cfRule>
          <xm:sqref>H92</xm:sqref>
        </x14:conditionalFormatting>
        <x14:conditionalFormatting xmlns:xm="http://schemas.microsoft.com/office/excel/2006/main">
          <x14:cfRule type="expression" priority="69" id="{84115DE2-6F65-4507-AA57-32476792B615}">
            <xm:f>'UNIDAD PRODUCTORA'!$F$109="No"</xm:f>
            <x14:dxf>
              <fill>
                <patternFill>
                  <bgColor rgb="FFFF0000"/>
                </patternFill>
              </fill>
            </x14:dxf>
          </x14:cfRule>
          <xm:sqref>H95</xm:sqref>
        </x14:conditionalFormatting>
        <x14:conditionalFormatting xmlns:xm="http://schemas.microsoft.com/office/excel/2006/main">
          <x14:cfRule type="expression" priority="68" id="{5F30B4B4-CF8B-4CD4-906C-0FDCCAD35D9E}">
            <xm:f>'UNIDAD PRODUCTORA'!$G$109="No"</xm:f>
            <x14:dxf>
              <fill>
                <patternFill>
                  <bgColor rgb="FFFF0000"/>
                </patternFill>
              </fill>
            </x14:dxf>
          </x14:cfRule>
          <xm:sqref>H96</xm:sqref>
        </x14:conditionalFormatting>
        <x14:conditionalFormatting xmlns:xm="http://schemas.microsoft.com/office/excel/2006/main">
          <x14:cfRule type="expression" priority="67" id="{7C1DAED7-6552-40E0-8833-E727DBD087B7}">
            <xm:f>'UNIDAD PRODUCTORA'!$G$109="Sí"</xm:f>
            <x14:dxf>
              <fill>
                <patternFill>
                  <bgColor rgb="FFFF0000"/>
                </patternFill>
              </fill>
            </x14:dxf>
          </x14:cfRule>
          <xm:sqref>H97</xm:sqref>
        </x14:conditionalFormatting>
        <x14:conditionalFormatting xmlns:xm="http://schemas.microsoft.com/office/excel/2006/main">
          <x14:cfRule type="expression" priority="66" id="{448FA56A-6713-403F-8992-A17CAC30F69E}">
            <xm:f>'UNIDAD PRODUCTORA'!$F$110="No"</xm:f>
            <x14:dxf>
              <fill>
                <patternFill>
                  <bgColor rgb="FFFF0000"/>
                </patternFill>
              </fill>
            </x14:dxf>
          </x14:cfRule>
          <xm:sqref>H100</xm:sqref>
        </x14:conditionalFormatting>
        <x14:conditionalFormatting xmlns:xm="http://schemas.microsoft.com/office/excel/2006/main">
          <x14:cfRule type="expression" priority="65" id="{D331A98A-DA4B-43BD-AE7A-37243B2D78A3}">
            <xm:f>'UNIDAD PRODUCTORA'!$G$110="No"</xm:f>
            <x14:dxf>
              <fill>
                <patternFill>
                  <bgColor rgb="FFFF0000"/>
                </patternFill>
              </fill>
            </x14:dxf>
          </x14:cfRule>
          <xm:sqref>H101</xm:sqref>
        </x14:conditionalFormatting>
        <x14:conditionalFormatting xmlns:xm="http://schemas.microsoft.com/office/excel/2006/main">
          <x14:cfRule type="expression" priority="64" id="{1EB5E5C5-5FC2-468B-9629-A81EA5FEE88D}">
            <xm:f>'UNIDAD PRODUCTORA'!$G$110="Sí"</xm:f>
            <x14:dxf>
              <fill>
                <patternFill>
                  <bgColor rgb="FFFF0000"/>
                </patternFill>
              </fill>
            </x14:dxf>
          </x14:cfRule>
          <xm:sqref>H102</xm:sqref>
        </x14:conditionalFormatting>
        <x14:conditionalFormatting xmlns:xm="http://schemas.microsoft.com/office/excel/2006/main">
          <x14:cfRule type="expression" priority="63" id="{289F1056-605F-4B67-950F-A1E3BF1C3CD0}">
            <xm:f>'UNIDAD PRODUCTORA'!$F$111="No"</xm:f>
            <x14:dxf>
              <fill>
                <patternFill>
                  <bgColor rgb="FFFF0000"/>
                </patternFill>
              </fill>
            </x14:dxf>
          </x14:cfRule>
          <xm:sqref>H105</xm:sqref>
        </x14:conditionalFormatting>
        <x14:conditionalFormatting xmlns:xm="http://schemas.microsoft.com/office/excel/2006/main">
          <x14:cfRule type="expression" priority="62" id="{301C79EA-9934-4362-9A89-09BF8E3C39EE}">
            <xm:f>'UNIDAD PRODUCTORA'!$G$111="No"</xm:f>
            <x14:dxf>
              <fill>
                <patternFill>
                  <bgColor rgb="FFFF0000"/>
                </patternFill>
              </fill>
            </x14:dxf>
          </x14:cfRule>
          <xm:sqref>H106</xm:sqref>
        </x14:conditionalFormatting>
        <x14:conditionalFormatting xmlns:xm="http://schemas.microsoft.com/office/excel/2006/main">
          <x14:cfRule type="expression" priority="61" id="{B9C518AE-3449-43DB-BDC3-FC618209BF04}">
            <xm:f>'UNIDAD PRODUCTORA'!$G$111="Sí"</xm:f>
            <x14:dxf>
              <fill>
                <patternFill>
                  <bgColor rgb="FFFF0000"/>
                </patternFill>
              </fill>
            </x14:dxf>
          </x14:cfRule>
          <xm:sqref>H107</xm:sqref>
        </x14:conditionalFormatting>
        <x14:conditionalFormatting xmlns:xm="http://schemas.microsoft.com/office/excel/2006/main">
          <x14:cfRule type="expression" priority="60" id="{BA63F92E-D511-4014-9EBA-E01356826F7C}">
            <xm:f>'UNIDAD PRODUCTORA'!$F$112="No"</xm:f>
            <x14:dxf>
              <fill>
                <patternFill>
                  <bgColor rgb="FFFF0000"/>
                </patternFill>
              </fill>
            </x14:dxf>
          </x14:cfRule>
          <xm:sqref>H110</xm:sqref>
        </x14:conditionalFormatting>
        <x14:conditionalFormatting xmlns:xm="http://schemas.microsoft.com/office/excel/2006/main">
          <x14:cfRule type="expression" priority="59" id="{53BA8C92-2743-4440-8A69-17BE5253721D}">
            <xm:f>'UNIDAD PRODUCTORA'!$G$112="No"</xm:f>
            <x14:dxf>
              <fill>
                <patternFill>
                  <bgColor rgb="FFFF0000"/>
                </patternFill>
              </fill>
            </x14:dxf>
          </x14:cfRule>
          <xm:sqref>H111</xm:sqref>
        </x14:conditionalFormatting>
        <x14:conditionalFormatting xmlns:xm="http://schemas.microsoft.com/office/excel/2006/main">
          <x14:cfRule type="expression" priority="58" id="{BB004FD0-60C4-4912-AA86-EB1A643B9773}">
            <xm:f>'UNIDAD PRODUCTORA'!$G$112="Sí"</xm:f>
            <x14:dxf>
              <fill>
                <patternFill>
                  <bgColor rgb="FFFF0000"/>
                </patternFill>
              </fill>
            </x14:dxf>
          </x14:cfRule>
          <xm:sqref>H112</xm:sqref>
        </x14:conditionalFormatting>
        <x14:conditionalFormatting xmlns:xm="http://schemas.microsoft.com/office/excel/2006/main">
          <x14:cfRule type="expression" priority="57" id="{266FEF55-769F-4F14-9071-90FEA7972662}">
            <xm:f>'UNIDAD PRODUCTORA'!$F$113="No"</xm:f>
            <x14:dxf>
              <fill>
                <patternFill>
                  <bgColor rgb="FFFF0000"/>
                </patternFill>
              </fill>
            </x14:dxf>
          </x14:cfRule>
          <xm:sqref>H115</xm:sqref>
        </x14:conditionalFormatting>
        <x14:conditionalFormatting xmlns:xm="http://schemas.microsoft.com/office/excel/2006/main">
          <x14:cfRule type="expression" priority="56" id="{BEC5F61D-C6BC-4066-8F78-66DE83C4B6DA}">
            <xm:f>'UNIDAD PRODUCTORA'!$G$113="No"</xm:f>
            <x14:dxf>
              <fill>
                <patternFill>
                  <bgColor rgb="FFFF0000"/>
                </patternFill>
              </fill>
            </x14:dxf>
          </x14:cfRule>
          <xm:sqref>H116</xm:sqref>
        </x14:conditionalFormatting>
        <x14:conditionalFormatting xmlns:xm="http://schemas.microsoft.com/office/excel/2006/main">
          <x14:cfRule type="expression" priority="55" id="{136C01D1-AB13-4DB0-924A-83FD428B8753}">
            <xm:f>'UNIDAD PRODUCTORA'!$G$113="Sí"</xm:f>
            <x14:dxf>
              <fill>
                <patternFill>
                  <bgColor rgb="FFFF0000"/>
                </patternFill>
              </fill>
            </x14:dxf>
          </x14:cfRule>
          <xm:sqref>H117</xm:sqref>
        </x14:conditionalFormatting>
        <x14:conditionalFormatting xmlns:xm="http://schemas.microsoft.com/office/excel/2006/main">
          <x14:cfRule type="expression" priority="54" id="{8A484D63-EC19-46FA-AECA-12ABC8BD12B4}">
            <xm:f>'UNIDAD PRODUCTORA'!$F$114="No"</xm:f>
            <x14:dxf>
              <fill>
                <patternFill>
                  <bgColor rgb="FFFF0000"/>
                </patternFill>
              </fill>
            </x14:dxf>
          </x14:cfRule>
          <xm:sqref>H130</xm:sqref>
        </x14:conditionalFormatting>
        <x14:conditionalFormatting xmlns:xm="http://schemas.microsoft.com/office/excel/2006/main">
          <x14:cfRule type="expression" priority="53" id="{10DDCA21-1B97-4B11-839B-6316D878043E}">
            <xm:f>'UNIDAD PRODUCTORA'!$G$114="No"</xm:f>
            <x14:dxf>
              <fill>
                <patternFill>
                  <bgColor rgb="FFFF0000"/>
                </patternFill>
              </fill>
            </x14:dxf>
          </x14:cfRule>
          <xm:sqref>H131</xm:sqref>
        </x14:conditionalFormatting>
        <x14:conditionalFormatting xmlns:xm="http://schemas.microsoft.com/office/excel/2006/main">
          <x14:cfRule type="expression" priority="52" id="{BF084465-569B-417B-B5BD-02908B8DF53C}">
            <xm:f>'UNIDAD PRODUCTORA'!$G$114="Sí"</xm:f>
            <x14:dxf>
              <fill>
                <patternFill>
                  <bgColor rgb="FFFF0000"/>
                </patternFill>
              </fill>
            </x14:dxf>
          </x14:cfRule>
          <xm:sqref>H132</xm:sqref>
        </x14:conditionalFormatting>
        <x14:conditionalFormatting xmlns:xm="http://schemas.microsoft.com/office/excel/2006/main">
          <x14:cfRule type="expression" priority="51" id="{513B1F97-0047-4BA2-8DF9-5037132FB0A1}">
            <xm:f>'UNIDAD PRODUCTORA'!$F$115="No"</xm:f>
            <x14:dxf>
              <fill>
                <patternFill>
                  <bgColor rgb="FFFF0000"/>
                </patternFill>
              </fill>
            </x14:dxf>
          </x14:cfRule>
          <xm:sqref>H135</xm:sqref>
        </x14:conditionalFormatting>
        <x14:conditionalFormatting xmlns:xm="http://schemas.microsoft.com/office/excel/2006/main">
          <x14:cfRule type="expression" priority="50" id="{DC9D4C49-116D-4113-8F78-2F28D67AE2E2}">
            <xm:f>'UNIDAD PRODUCTORA'!$G$115="No"</xm:f>
            <x14:dxf>
              <fill>
                <patternFill>
                  <bgColor rgb="FFFF0000"/>
                </patternFill>
              </fill>
            </x14:dxf>
          </x14:cfRule>
          <xm:sqref>H136</xm:sqref>
        </x14:conditionalFormatting>
        <x14:conditionalFormatting xmlns:xm="http://schemas.microsoft.com/office/excel/2006/main">
          <x14:cfRule type="expression" priority="49" id="{25E29A59-B2DF-41F1-972C-5E07F9966B9A}">
            <xm:f>'UNIDAD PRODUCTORA'!$G$115="Sí"</xm:f>
            <x14:dxf>
              <fill>
                <patternFill>
                  <bgColor rgb="FFFF0000"/>
                </patternFill>
              </fill>
            </x14:dxf>
          </x14:cfRule>
          <xm:sqref>H137</xm:sqref>
        </x14:conditionalFormatting>
        <x14:conditionalFormatting xmlns:xm="http://schemas.microsoft.com/office/excel/2006/main">
          <x14:cfRule type="expression" priority="48" id="{4A37F989-26C5-4770-8B05-C983D339CA3A}">
            <xm:f>'UNIDAD PRODUCTORA'!$F$116="No"</xm:f>
            <x14:dxf>
              <fill>
                <patternFill>
                  <bgColor rgb="FFFF0000"/>
                </patternFill>
              </fill>
            </x14:dxf>
          </x14:cfRule>
          <xm:sqref>H140</xm:sqref>
        </x14:conditionalFormatting>
        <x14:conditionalFormatting xmlns:xm="http://schemas.microsoft.com/office/excel/2006/main">
          <x14:cfRule type="expression" priority="47" id="{20428CF6-2F3F-49DE-BD8E-9806671C8B87}">
            <xm:f>'UNIDAD PRODUCTORA'!$G$116="No"</xm:f>
            <x14:dxf>
              <fill>
                <patternFill>
                  <bgColor rgb="FFFF0000"/>
                </patternFill>
              </fill>
            </x14:dxf>
          </x14:cfRule>
          <xm:sqref>H141</xm:sqref>
        </x14:conditionalFormatting>
        <x14:conditionalFormatting xmlns:xm="http://schemas.microsoft.com/office/excel/2006/main">
          <x14:cfRule type="expression" priority="46" id="{37655466-2036-4E56-9E8B-B7C52269B306}">
            <xm:f>'UNIDAD PRODUCTORA'!$G$116="Sí"</xm:f>
            <x14:dxf>
              <fill>
                <patternFill>
                  <bgColor rgb="FFFF0000"/>
                </patternFill>
              </fill>
            </x14:dxf>
          </x14:cfRule>
          <xm:sqref>H142</xm:sqref>
        </x14:conditionalFormatting>
        <x14:conditionalFormatting xmlns:xm="http://schemas.microsoft.com/office/excel/2006/main">
          <x14:cfRule type="expression" priority="45" id="{7E513AEA-7AC7-4281-88DD-17E0D91F9B55}">
            <xm:f>'UNIDAD PRODUCTORA'!$F$117="No"</xm:f>
            <x14:dxf>
              <fill>
                <patternFill>
                  <bgColor rgb="FFFF0000"/>
                </patternFill>
              </fill>
            </x14:dxf>
          </x14:cfRule>
          <xm:sqref>H145</xm:sqref>
        </x14:conditionalFormatting>
        <x14:conditionalFormatting xmlns:xm="http://schemas.microsoft.com/office/excel/2006/main">
          <x14:cfRule type="expression" priority="44" id="{F3775A4E-95A9-455E-8401-3D0BC496B991}">
            <xm:f>'UNIDAD PRODUCTORA'!$G$117="No"</xm:f>
            <x14:dxf>
              <fill>
                <patternFill>
                  <bgColor rgb="FFFF0000"/>
                </patternFill>
              </fill>
            </x14:dxf>
          </x14:cfRule>
          <xm:sqref>H146</xm:sqref>
        </x14:conditionalFormatting>
        <x14:conditionalFormatting xmlns:xm="http://schemas.microsoft.com/office/excel/2006/main">
          <x14:cfRule type="expression" priority="43" id="{C5CC0094-06AA-4D12-84C8-9A7CD4296F17}">
            <xm:f>'UNIDAD PRODUCTORA'!$G$117="Sí"</xm:f>
            <x14:dxf>
              <fill>
                <patternFill>
                  <bgColor rgb="FFFF0000"/>
                </patternFill>
              </fill>
            </x14:dxf>
          </x14:cfRule>
          <xm:sqref>H147</xm:sqref>
        </x14:conditionalFormatting>
        <x14:conditionalFormatting xmlns:xm="http://schemas.microsoft.com/office/excel/2006/main">
          <x14:cfRule type="expression" priority="42" id="{A2126A5F-1709-4EF6-8180-8C32E41E365E}">
            <xm:f>'UNIDAD PRODUCTORA'!$F$118="No"</xm:f>
            <x14:dxf>
              <fill>
                <patternFill>
                  <bgColor rgb="FFFF0000"/>
                </patternFill>
              </fill>
            </x14:dxf>
          </x14:cfRule>
          <xm:sqref>H150</xm:sqref>
        </x14:conditionalFormatting>
        <x14:conditionalFormatting xmlns:xm="http://schemas.microsoft.com/office/excel/2006/main">
          <x14:cfRule type="expression" priority="41" id="{05EF4210-E702-4D65-B249-CACE788D7644}">
            <xm:f>'UNIDAD PRODUCTORA'!$G$118="No"</xm:f>
            <x14:dxf>
              <fill>
                <patternFill>
                  <bgColor rgb="FFFF0000"/>
                </patternFill>
              </fill>
            </x14:dxf>
          </x14:cfRule>
          <xm:sqref>H151</xm:sqref>
        </x14:conditionalFormatting>
        <x14:conditionalFormatting xmlns:xm="http://schemas.microsoft.com/office/excel/2006/main">
          <x14:cfRule type="expression" priority="40" id="{62EE7FF9-0F8D-48D6-BD13-5ECF0C563824}">
            <xm:f>'UNIDAD PRODUCTORA'!$G$118="Sí"</xm:f>
            <x14:dxf>
              <fill>
                <patternFill>
                  <bgColor rgb="FFFF0000"/>
                </patternFill>
              </fill>
            </x14:dxf>
          </x14:cfRule>
          <xm:sqref>H152</xm:sqref>
        </x14:conditionalFormatting>
        <x14:conditionalFormatting xmlns:xm="http://schemas.microsoft.com/office/excel/2006/main">
          <x14:cfRule type="expression" priority="39" id="{24FD3078-8B2C-4D4E-8B82-C0BF67BD54B0}">
            <xm:f>'UNIDAD PRODUCTORA'!$F$119="No"</xm:f>
            <x14:dxf>
              <fill>
                <patternFill>
                  <bgColor rgb="FFFF0000"/>
                </patternFill>
              </fill>
            </x14:dxf>
          </x14:cfRule>
          <xm:sqref>H155</xm:sqref>
        </x14:conditionalFormatting>
        <x14:conditionalFormatting xmlns:xm="http://schemas.microsoft.com/office/excel/2006/main">
          <x14:cfRule type="expression" priority="38" id="{7213FD0E-BEA6-46C1-B174-BA622B333956}">
            <xm:f>'UNIDAD PRODUCTORA'!$G$119="No"</xm:f>
            <x14:dxf>
              <fill>
                <patternFill>
                  <bgColor rgb="FFFF0000"/>
                </patternFill>
              </fill>
            </x14:dxf>
          </x14:cfRule>
          <xm:sqref>H156</xm:sqref>
        </x14:conditionalFormatting>
        <x14:conditionalFormatting xmlns:xm="http://schemas.microsoft.com/office/excel/2006/main">
          <x14:cfRule type="expression" priority="37" id="{12BB3DAB-E865-4FEF-8E43-F40918D6F8EE}">
            <xm:f>'UNIDAD PRODUCTORA'!$G$119="Sí"</xm:f>
            <x14:dxf>
              <fill>
                <patternFill>
                  <bgColor rgb="FFFF0000"/>
                </patternFill>
              </fill>
            </x14:dxf>
          </x14:cfRule>
          <xm:sqref>H157</xm:sqref>
        </x14:conditionalFormatting>
        <x14:conditionalFormatting xmlns:xm="http://schemas.microsoft.com/office/excel/2006/main">
          <x14:cfRule type="expression" priority="36" id="{5F5E3C35-730E-44B0-AF80-BF47AD4A4189}">
            <xm:f>'UNIDAD PRODUCTORA'!$F$120="No"</xm:f>
            <x14:dxf>
              <fill>
                <patternFill>
                  <bgColor rgb="FFFF0000"/>
                </patternFill>
              </fill>
            </x14:dxf>
          </x14:cfRule>
          <xm:sqref>H170</xm:sqref>
        </x14:conditionalFormatting>
        <x14:conditionalFormatting xmlns:xm="http://schemas.microsoft.com/office/excel/2006/main">
          <x14:cfRule type="expression" priority="35" id="{2BC6CCFF-0028-40DD-B030-E8D2789FE20B}">
            <xm:f>'UNIDAD PRODUCTORA'!$G$120="No"</xm:f>
            <x14:dxf>
              <fill>
                <patternFill>
                  <bgColor rgb="FFFF0000"/>
                </patternFill>
              </fill>
            </x14:dxf>
          </x14:cfRule>
          <xm:sqref>H171</xm:sqref>
        </x14:conditionalFormatting>
        <x14:conditionalFormatting xmlns:xm="http://schemas.microsoft.com/office/excel/2006/main">
          <x14:cfRule type="expression" priority="34" id="{163A2729-124E-4D24-86F5-28841AFF7DA1}">
            <xm:f>'UNIDAD PRODUCTORA'!$G$120="Sí"</xm:f>
            <x14:dxf>
              <fill>
                <patternFill>
                  <bgColor rgb="FFFF0000"/>
                </patternFill>
              </fill>
            </x14:dxf>
          </x14:cfRule>
          <xm:sqref>H172</xm:sqref>
        </x14:conditionalFormatting>
        <x14:conditionalFormatting xmlns:xm="http://schemas.microsoft.com/office/excel/2006/main">
          <x14:cfRule type="expression" priority="33" id="{E0F75A2D-12D6-4382-8F20-2A5755DC28A1}">
            <xm:f>'UNIDAD PRODUCTORA'!$F$121="No"</xm:f>
            <x14:dxf>
              <fill>
                <patternFill>
                  <bgColor rgb="FFFF0000"/>
                </patternFill>
              </fill>
            </x14:dxf>
          </x14:cfRule>
          <xm:sqref>H175</xm:sqref>
        </x14:conditionalFormatting>
        <x14:conditionalFormatting xmlns:xm="http://schemas.microsoft.com/office/excel/2006/main">
          <x14:cfRule type="expression" priority="32" id="{F9527699-FA5E-4770-83BC-F9DDD6D6B134}">
            <xm:f>'UNIDAD PRODUCTORA'!$G$121="No"</xm:f>
            <x14:dxf>
              <fill>
                <patternFill>
                  <bgColor rgb="FFFF0000"/>
                </patternFill>
              </fill>
            </x14:dxf>
          </x14:cfRule>
          <xm:sqref>H176</xm:sqref>
        </x14:conditionalFormatting>
        <x14:conditionalFormatting xmlns:xm="http://schemas.microsoft.com/office/excel/2006/main">
          <x14:cfRule type="expression" priority="31" id="{E63B9987-CBF4-4F8E-8568-37802CB133F6}">
            <xm:f>'UNIDAD PRODUCTORA'!$G$121="Sí"</xm:f>
            <x14:dxf>
              <fill>
                <patternFill>
                  <bgColor rgb="FFFF0000"/>
                </patternFill>
              </fill>
            </x14:dxf>
          </x14:cfRule>
          <xm:sqref>H177</xm:sqref>
        </x14:conditionalFormatting>
        <x14:conditionalFormatting xmlns:xm="http://schemas.microsoft.com/office/excel/2006/main">
          <x14:cfRule type="expression" priority="30" id="{F5C84095-73C3-4123-8B7D-0179630C8932}">
            <xm:f>'UNIDAD PRODUCTORA'!$F$122="No"</xm:f>
            <x14:dxf>
              <fill>
                <patternFill>
                  <bgColor rgb="FFFF0000"/>
                </patternFill>
              </fill>
            </x14:dxf>
          </x14:cfRule>
          <xm:sqref>H180</xm:sqref>
        </x14:conditionalFormatting>
        <x14:conditionalFormatting xmlns:xm="http://schemas.microsoft.com/office/excel/2006/main">
          <x14:cfRule type="expression" priority="29" id="{4571908D-7348-4F4E-84FA-B7CC8BB06E57}">
            <xm:f>'UNIDAD PRODUCTORA'!$G$122="No"</xm:f>
            <x14:dxf>
              <fill>
                <patternFill>
                  <bgColor rgb="FFFF0000"/>
                </patternFill>
              </fill>
            </x14:dxf>
          </x14:cfRule>
          <xm:sqref>H181</xm:sqref>
        </x14:conditionalFormatting>
        <x14:conditionalFormatting xmlns:xm="http://schemas.microsoft.com/office/excel/2006/main">
          <x14:cfRule type="expression" priority="28" id="{A8AAD45E-CB86-43E3-B6F3-102F3B4BBB06}">
            <xm:f>'UNIDAD PRODUCTORA'!$G$122="Sí"</xm:f>
            <x14:dxf>
              <fill>
                <patternFill>
                  <bgColor rgb="FFFF0000"/>
                </patternFill>
              </fill>
            </x14:dxf>
          </x14:cfRule>
          <xm:sqref>H182</xm:sqref>
        </x14:conditionalFormatting>
        <x14:conditionalFormatting xmlns:xm="http://schemas.microsoft.com/office/excel/2006/main">
          <x14:cfRule type="expression" priority="27" id="{2D4D6CEF-E081-408B-B3E1-DC767C63C04C}">
            <xm:f>'UNIDAD PRODUCTORA'!$F$123="No"</xm:f>
            <x14:dxf>
              <fill>
                <patternFill>
                  <bgColor rgb="FFFF0000"/>
                </patternFill>
              </fill>
            </x14:dxf>
          </x14:cfRule>
          <xm:sqref>H185</xm:sqref>
        </x14:conditionalFormatting>
        <x14:conditionalFormatting xmlns:xm="http://schemas.microsoft.com/office/excel/2006/main">
          <x14:cfRule type="expression" priority="26" id="{348959E4-BE82-4B9D-A802-3532845D8DDA}">
            <xm:f>'UNIDAD PRODUCTORA'!$G$123="No"</xm:f>
            <x14:dxf>
              <fill>
                <patternFill>
                  <bgColor rgb="FFFF0000"/>
                </patternFill>
              </fill>
            </x14:dxf>
          </x14:cfRule>
          <xm:sqref>H186</xm:sqref>
        </x14:conditionalFormatting>
        <x14:conditionalFormatting xmlns:xm="http://schemas.microsoft.com/office/excel/2006/main">
          <x14:cfRule type="expression" priority="25" id="{DE2E5BE3-3792-44DF-8863-1480F2F38FF7}">
            <xm:f>'UNIDAD PRODUCTORA'!$G$123="Sí"</xm:f>
            <x14:dxf>
              <fill>
                <patternFill>
                  <bgColor rgb="FFFF0000"/>
                </patternFill>
              </fill>
            </x14:dxf>
          </x14:cfRule>
          <xm:sqref>H187</xm:sqref>
        </x14:conditionalFormatting>
        <x14:conditionalFormatting xmlns:xm="http://schemas.microsoft.com/office/excel/2006/main">
          <x14:cfRule type="expression" priority="24" id="{26467B4C-5B94-458D-A983-FC48825BEBC4}">
            <xm:f>'UNIDAD PRODUCTORA'!$F$124="No"</xm:f>
            <x14:dxf>
              <fill>
                <patternFill>
                  <bgColor rgb="FFFF0000"/>
                </patternFill>
              </fill>
            </x14:dxf>
          </x14:cfRule>
          <xm:sqref>H190</xm:sqref>
        </x14:conditionalFormatting>
        <x14:conditionalFormatting xmlns:xm="http://schemas.microsoft.com/office/excel/2006/main">
          <x14:cfRule type="expression" priority="23" id="{0DB393DA-E652-4D58-B5D4-4AD90541B70E}">
            <xm:f>'UNIDAD PRODUCTORA'!$G$124="No"</xm:f>
            <x14:dxf>
              <fill>
                <patternFill>
                  <bgColor rgb="FFFF0000"/>
                </patternFill>
              </fill>
            </x14:dxf>
          </x14:cfRule>
          <xm:sqref>H191</xm:sqref>
        </x14:conditionalFormatting>
        <x14:conditionalFormatting xmlns:xm="http://schemas.microsoft.com/office/excel/2006/main">
          <x14:cfRule type="expression" priority="22" id="{7EA9AC86-D6EA-4099-BD6C-BA1EE655253E}">
            <xm:f>'UNIDAD PRODUCTORA'!$G$124="Sí"</xm:f>
            <x14:dxf>
              <fill>
                <patternFill>
                  <bgColor rgb="FFFF0000"/>
                </patternFill>
              </fill>
            </x14:dxf>
          </x14:cfRule>
          <xm:sqref>H192</xm:sqref>
        </x14:conditionalFormatting>
        <x14:conditionalFormatting xmlns:xm="http://schemas.microsoft.com/office/excel/2006/main">
          <x14:cfRule type="expression" priority="21" id="{1099A8FB-C66B-414F-9C8B-6388CAD06746}">
            <xm:f>'UNIDAD PRODUCTORA'!$F$125="No"</xm:f>
            <x14:dxf>
              <fill>
                <patternFill>
                  <bgColor rgb="FFFF0000"/>
                </patternFill>
              </fill>
            </x14:dxf>
          </x14:cfRule>
          <xm:sqref>H195</xm:sqref>
        </x14:conditionalFormatting>
        <x14:conditionalFormatting xmlns:xm="http://schemas.microsoft.com/office/excel/2006/main">
          <x14:cfRule type="expression" priority="20" id="{F62BCE62-9460-4F1B-8F25-748EB313B72A}">
            <xm:f>'UNIDAD PRODUCTORA'!$G$125="No"</xm:f>
            <x14:dxf>
              <fill>
                <patternFill>
                  <bgColor rgb="FFFF0000"/>
                </patternFill>
              </fill>
            </x14:dxf>
          </x14:cfRule>
          <xm:sqref>H196</xm:sqref>
        </x14:conditionalFormatting>
        <x14:conditionalFormatting xmlns:xm="http://schemas.microsoft.com/office/excel/2006/main">
          <x14:cfRule type="expression" priority="19" id="{3B35B835-6972-43E0-B796-328BD87F3350}">
            <xm:f>'UNIDAD PRODUCTORA'!$G$125="Sí"</xm:f>
            <x14:dxf>
              <fill>
                <patternFill>
                  <bgColor rgb="FFFF0000"/>
                </patternFill>
              </fill>
            </x14:dxf>
          </x14:cfRule>
          <xm:sqref>H197</xm:sqref>
        </x14:conditionalFormatting>
        <x14:conditionalFormatting xmlns:xm="http://schemas.microsoft.com/office/excel/2006/main">
          <x14:cfRule type="expression" priority="18" id="{3ED3FC02-C212-4F75-A6D9-09A81515C419}">
            <xm:f>'UNIDAD PRODUCTORA'!$F$126="No"</xm:f>
            <x14:dxf>
              <fill>
                <patternFill>
                  <bgColor rgb="FFFF0000"/>
                </patternFill>
              </fill>
            </x14:dxf>
          </x14:cfRule>
          <xm:sqref>H210</xm:sqref>
        </x14:conditionalFormatting>
        <x14:conditionalFormatting xmlns:xm="http://schemas.microsoft.com/office/excel/2006/main">
          <x14:cfRule type="expression" priority="17" id="{2F59DD0A-FA33-4C92-82C3-A90634DDA929}">
            <xm:f>'UNIDAD PRODUCTORA'!$G$126="No"</xm:f>
            <x14:dxf>
              <fill>
                <patternFill>
                  <bgColor rgb="FFFF0000"/>
                </patternFill>
              </fill>
            </x14:dxf>
          </x14:cfRule>
          <xm:sqref>H211</xm:sqref>
        </x14:conditionalFormatting>
        <x14:conditionalFormatting xmlns:xm="http://schemas.microsoft.com/office/excel/2006/main">
          <x14:cfRule type="expression" priority="16" id="{728F1DFC-1B8A-4872-B351-6D1FFE805656}">
            <xm:f>'UNIDAD PRODUCTORA'!$G$126="Sí"</xm:f>
            <x14:dxf>
              <fill>
                <patternFill>
                  <bgColor rgb="FFFF0000"/>
                </patternFill>
              </fill>
            </x14:dxf>
          </x14:cfRule>
          <xm:sqref>H212</xm:sqref>
        </x14:conditionalFormatting>
        <x14:conditionalFormatting xmlns:xm="http://schemas.microsoft.com/office/excel/2006/main">
          <x14:cfRule type="expression" priority="15" id="{E4D6932E-F5D7-46D3-9E7A-BA06BFD36B8C}">
            <xm:f>'UNIDAD PRODUCTORA'!$F$127="No"</xm:f>
            <x14:dxf>
              <fill>
                <patternFill>
                  <bgColor rgb="FFFF0000"/>
                </patternFill>
              </fill>
            </x14:dxf>
          </x14:cfRule>
          <xm:sqref>H215</xm:sqref>
        </x14:conditionalFormatting>
        <x14:conditionalFormatting xmlns:xm="http://schemas.microsoft.com/office/excel/2006/main">
          <x14:cfRule type="expression" priority="14" id="{85BBACC7-EC84-47BB-A268-A3A5944AADF1}">
            <xm:f>'UNIDAD PRODUCTORA'!$G$127="No"</xm:f>
            <x14:dxf>
              <fill>
                <patternFill>
                  <bgColor rgb="FFFF0000"/>
                </patternFill>
              </fill>
            </x14:dxf>
          </x14:cfRule>
          <xm:sqref>H216</xm:sqref>
        </x14:conditionalFormatting>
        <x14:conditionalFormatting xmlns:xm="http://schemas.microsoft.com/office/excel/2006/main">
          <x14:cfRule type="expression" priority="13" id="{8437E021-0867-42E9-BD19-E5F08F70E3B9}">
            <xm:f>'UNIDAD PRODUCTORA'!$G$127="Sí"</xm:f>
            <x14:dxf>
              <fill>
                <patternFill>
                  <bgColor rgb="FFFF0000"/>
                </patternFill>
              </fill>
            </x14:dxf>
          </x14:cfRule>
          <xm:sqref>H217</xm:sqref>
        </x14:conditionalFormatting>
        <x14:conditionalFormatting xmlns:xm="http://schemas.microsoft.com/office/excel/2006/main">
          <x14:cfRule type="expression" priority="12" id="{A25CFB14-3FD2-4DA5-8911-4F78C6BBF76C}">
            <xm:f>'UNIDAD PRODUCTORA'!$F$128="No"</xm:f>
            <x14:dxf>
              <fill>
                <patternFill>
                  <bgColor rgb="FFFF0000"/>
                </patternFill>
              </fill>
            </x14:dxf>
          </x14:cfRule>
          <xm:sqref>H220</xm:sqref>
        </x14:conditionalFormatting>
        <x14:conditionalFormatting xmlns:xm="http://schemas.microsoft.com/office/excel/2006/main">
          <x14:cfRule type="expression" priority="11" id="{63B4C07E-E8F9-4159-85DC-B229668A3C6E}">
            <xm:f>'UNIDAD PRODUCTORA'!$G$128="No"</xm:f>
            <x14:dxf>
              <fill>
                <patternFill>
                  <bgColor rgb="FFFF0000"/>
                </patternFill>
              </fill>
            </x14:dxf>
          </x14:cfRule>
          <xm:sqref>H221</xm:sqref>
        </x14:conditionalFormatting>
        <x14:conditionalFormatting xmlns:xm="http://schemas.microsoft.com/office/excel/2006/main">
          <x14:cfRule type="expression" priority="10" id="{F2AAD247-A82D-4731-8FF7-56121B1C17DA}">
            <xm:f>'UNIDAD PRODUCTORA'!$G$128="Sí"</xm:f>
            <x14:dxf>
              <fill>
                <patternFill>
                  <bgColor rgb="FFFF0000"/>
                </patternFill>
              </fill>
            </x14:dxf>
          </x14:cfRule>
          <xm:sqref>H222</xm:sqref>
        </x14:conditionalFormatting>
        <x14:conditionalFormatting xmlns:xm="http://schemas.microsoft.com/office/excel/2006/main">
          <x14:cfRule type="expression" priority="9" id="{9B6A4B3D-7D75-4606-A930-66555C6414B1}">
            <xm:f>'UNIDAD PRODUCTORA'!$F$129="No"</xm:f>
            <x14:dxf>
              <fill>
                <patternFill>
                  <bgColor rgb="FFFF0000"/>
                </patternFill>
              </fill>
            </x14:dxf>
          </x14:cfRule>
          <xm:sqref>H225</xm:sqref>
        </x14:conditionalFormatting>
        <x14:conditionalFormatting xmlns:xm="http://schemas.microsoft.com/office/excel/2006/main">
          <x14:cfRule type="expression" priority="8" id="{76C9E52D-7187-4B45-8BAA-8A9FFC510761}">
            <xm:f>'UNIDAD PRODUCTORA'!$G$129="No"</xm:f>
            <x14:dxf>
              <fill>
                <patternFill>
                  <bgColor rgb="FFFF0000"/>
                </patternFill>
              </fill>
            </x14:dxf>
          </x14:cfRule>
          <xm:sqref>H226</xm:sqref>
        </x14:conditionalFormatting>
        <x14:conditionalFormatting xmlns:xm="http://schemas.microsoft.com/office/excel/2006/main">
          <x14:cfRule type="expression" priority="7" id="{4BA36453-5932-4527-BDE0-14685652B906}">
            <xm:f>'UNIDAD PRODUCTORA'!$G$129="Sí"</xm:f>
            <x14:dxf>
              <fill>
                <patternFill>
                  <bgColor rgb="FFFF0000"/>
                </patternFill>
              </fill>
            </x14:dxf>
          </x14:cfRule>
          <xm:sqref>H227</xm:sqref>
        </x14:conditionalFormatting>
        <x14:conditionalFormatting xmlns:xm="http://schemas.microsoft.com/office/excel/2006/main">
          <x14:cfRule type="expression" priority="6" id="{BFE8D901-5087-4F15-AF0A-20E43CF34D49}">
            <xm:f>'UNIDAD PRODUCTORA'!$F$130="No"</xm:f>
            <x14:dxf>
              <fill>
                <patternFill>
                  <bgColor rgb="FFFF0000"/>
                </patternFill>
              </fill>
            </x14:dxf>
          </x14:cfRule>
          <xm:sqref>H230</xm:sqref>
        </x14:conditionalFormatting>
        <x14:conditionalFormatting xmlns:xm="http://schemas.microsoft.com/office/excel/2006/main">
          <x14:cfRule type="expression" priority="5" id="{53B4DD47-7B93-4339-8218-284EFB647B7A}">
            <xm:f>'UNIDAD PRODUCTORA'!$G$130="No"</xm:f>
            <x14:dxf>
              <fill>
                <patternFill>
                  <bgColor rgb="FFFF0000"/>
                </patternFill>
              </fill>
            </x14:dxf>
          </x14:cfRule>
          <xm:sqref>H231</xm:sqref>
        </x14:conditionalFormatting>
        <x14:conditionalFormatting xmlns:xm="http://schemas.microsoft.com/office/excel/2006/main">
          <x14:cfRule type="expression" priority="4" id="{0ACB0B66-F8D8-473A-82AC-A2B10767AFC6}">
            <xm:f>'UNIDAD PRODUCTORA'!$G$130="Sí"</xm:f>
            <x14:dxf>
              <fill>
                <patternFill>
                  <bgColor rgb="FFFF0000"/>
                </patternFill>
              </fill>
            </x14:dxf>
          </x14:cfRule>
          <xm:sqref>H232</xm:sqref>
        </x14:conditionalFormatting>
        <x14:conditionalFormatting xmlns:xm="http://schemas.microsoft.com/office/excel/2006/main">
          <x14:cfRule type="expression" priority="3" id="{8AA53BB4-C9A9-4F75-A4A8-2EF4C218D81E}">
            <xm:f>'UNIDAD PRODUCTORA'!$F$131="No"</xm:f>
            <x14:dxf>
              <fill>
                <patternFill>
                  <bgColor rgb="FFFF0000"/>
                </patternFill>
              </fill>
            </x14:dxf>
          </x14:cfRule>
          <xm:sqref>H235</xm:sqref>
        </x14:conditionalFormatting>
        <x14:conditionalFormatting xmlns:xm="http://schemas.microsoft.com/office/excel/2006/main">
          <x14:cfRule type="expression" priority="2" id="{E19CAE8E-E1D3-44B8-82CF-F5D787FD706A}">
            <xm:f>'UNIDAD PRODUCTORA'!$G$131="No"</xm:f>
            <x14:dxf>
              <fill>
                <patternFill>
                  <bgColor rgb="FFFF0000"/>
                </patternFill>
              </fill>
            </x14:dxf>
          </x14:cfRule>
          <xm:sqref>H236</xm:sqref>
        </x14:conditionalFormatting>
        <x14:conditionalFormatting xmlns:xm="http://schemas.microsoft.com/office/excel/2006/main">
          <x14:cfRule type="expression" priority="1" id="{EC733D1F-ABF6-4DDA-A93D-CE745FEC6DDF}">
            <xm:f>'UNIDAD PRODUCTORA'!$G$131="Sí"</xm:f>
            <x14:dxf>
              <fill>
                <patternFill>
                  <bgColor rgb="FFFF0000"/>
                </patternFill>
              </fill>
            </x14:dxf>
          </x14:cfRule>
          <xm:sqref>H237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313</vt:i4>
      </vt:variant>
    </vt:vector>
  </HeadingPairs>
  <TitlesOfParts>
    <vt:vector size="345" baseType="lpstr">
      <vt:lpstr>MENÚ</vt:lpstr>
      <vt:lpstr>DATOS GENERALES</vt:lpstr>
      <vt:lpstr>AREA DE ESTUDIO</vt:lpstr>
      <vt:lpstr>UNIDAD PRODUCTORA</vt:lpstr>
      <vt:lpstr>INVOLUCRADOS</vt:lpstr>
      <vt:lpstr>PROBLEMA-OBJETIVO</vt:lpstr>
      <vt:lpstr>HORIZONTE DE EVALUACIÓN</vt:lpstr>
      <vt:lpstr>BRECHA DE SERVICIO</vt:lpstr>
      <vt:lpstr>ANALISIS TÉCNICO</vt:lpstr>
      <vt:lpstr>GESTIÓN</vt:lpstr>
      <vt:lpstr>SOSTENIBILIDAD</vt:lpstr>
      <vt:lpstr>COSTO TOTAL</vt:lpstr>
      <vt:lpstr>EVALUACION SOCIAL</vt:lpstr>
      <vt:lpstr>MARCO LOGICO</vt:lpstr>
      <vt:lpstr>CONCLUSIONES</vt:lpstr>
      <vt:lpstr>FIRMAS</vt:lpstr>
      <vt:lpstr>ANEXOS</vt:lpstr>
      <vt:lpstr>Protocolo final</vt:lpstr>
      <vt:lpstr>Personal </vt:lpstr>
      <vt:lpstr>Base de datos</vt:lpstr>
      <vt:lpstr>ReporteBalance</vt:lpstr>
      <vt:lpstr>BalanceHSP</vt:lpstr>
      <vt:lpstr>BalanceHCP</vt:lpstr>
      <vt:lpstr>Evaluacion_economicaAnexo</vt:lpstr>
      <vt:lpstr>BaseDatosCultivos</vt:lpstr>
      <vt:lpstr>Informacion</vt:lpstr>
      <vt:lpstr>Area de Impacto</vt:lpstr>
      <vt:lpstr>Caracterizacion</vt:lpstr>
      <vt:lpstr>Vulnerabilidad</vt:lpstr>
      <vt:lpstr>Vulnerabilidad_AT</vt:lpstr>
      <vt:lpstr>MRR MACC (COSTOS)</vt:lpstr>
      <vt:lpstr>Resumen</vt:lpstr>
      <vt:lpstr>_01</vt:lpstr>
      <vt:lpstr>_0101</vt:lpstr>
      <vt:lpstr>_0102</vt:lpstr>
      <vt:lpstr>_0103</vt:lpstr>
      <vt:lpstr>_0104</vt:lpstr>
      <vt:lpstr>_0105</vt:lpstr>
      <vt:lpstr>_0106</vt:lpstr>
      <vt:lpstr>_0107</vt:lpstr>
      <vt:lpstr>_02</vt:lpstr>
      <vt:lpstr>_0201</vt:lpstr>
      <vt:lpstr>_0202</vt:lpstr>
      <vt:lpstr>_0203</vt:lpstr>
      <vt:lpstr>_0204</vt:lpstr>
      <vt:lpstr>_0205</vt:lpstr>
      <vt:lpstr>_0206</vt:lpstr>
      <vt:lpstr>_0207</vt:lpstr>
      <vt:lpstr>_0208</vt:lpstr>
      <vt:lpstr>_0209</vt:lpstr>
      <vt:lpstr>_0210</vt:lpstr>
      <vt:lpstr>_0211</vt:lpstr>
      <vt:lpstr>_0212</vt:lpstr>
      <vt:lpstr>_0213</vt:lpstr>
      <vt:lpstr>_0214</vt:lpstr>
      <vt:lpstr>_0215</vt:lpstr>
      <vt:lpstr>_0216</vt:lpstr>
      <vt:lpstr>_0217</vt:lpstr>
      <vt:lpstr>_0218</vt:lpstr>
      <vt:lpstr>_0219</vt:lpstr>
      <vt:lpstr>_0220</vt:lpstr>
      <vt:lpstr>_03</vt:lpstr>
      <vt:lpstr>_0301</vt:lpstr>
      <vt:lpstr>_0302</vt:lpstr>
      <vt:lpstr>_0303</vt:lpstr>
      <vt:lpstr>_0304</vt:lpstr>
      <vt:lpstr>_0305</vt:lpstr>
      <vt:lpstr>_0306</vt:lpstr>
      <vt:lpstr>_0307</vt:lpstr>
      <vt:lpstr>_04</vt:lpstr>
      <vt:lpstr>_0401</vt:lpstr>
      <vt:lpstr>_0402</vt:lpstr>
      <vt:lpstr>_0403</vt:lpstr>
      <vt:lpstr>_0404</vt:lpstr>
      <vt:lpstr>_0405</vt:lpstr>
      <vt:lpstr>_0406</vt:lpstr>
      <vt:lpstr>_0407</vt:lpstr>
      <vt:lpstr>_0408</vt:lpstr>
      <vt:lpstr>_05</vt:lpstr>
      <vt:lpstr>_0501</vt:lpstr>
      <vt:lpstr>_0502</vt:lpstr>
      <vt:lpstr>_0503</vt:lpstr>
      <vt:lpstr>_0504</vt:lpstr>
      <vt:lpstr>_0505</vt:lpstr>
      <vt:lpstr>_0506</vt:lpstr>
      <vt:lpstr>_0507</vt:lpstr>
      <vt:lpstr>_0508</vt:lpstr>
      <vt:lpstr>_0509</vt:lpstr>
      <vt:lpstr>_0510</vt:lpstr>
      <vt:lpstr>_0511</vt:lpstr>
      <vt:lpstr>_06</vt:lpstr>
      <vt:lpstr>_0601</vt:lpstr>
      <vt:lpstr>_0602</vt:lpstr>
      <vt:lpstr>_0603</vt:lpstr>
      <vt:lpstr>_0604</vt:lpstr>
      <vt:lpstr>_0605</vt:lpstr>
      <vt:lpstr>_0606</vt:lpstr>
      <vt:lpstr>_0607</vt:lpstr>
      <vt:lpstr>_0608</vt:lpstr>
      <vt:lpstr>_0609</vt:lpstr>
      <vt:lpstr>_0610</vt:lpstr>
      <vt:lpstr>_0611</vt:lpstr>
      <vt:lpstr>_0612</vt:lpstr>
      <vt:lpstr>_0613</vt:lpstr>
      <vt:lpstr>_07</vt:lpstr>
      <vt:lpstr>_0701</vt:lpstr>
      <vt:lpstr>_08</vt:lpstr>
      <vt:lpstr>_0801</vt:lpstr>
      <vt:lpstr>_0802</vt:lpstr>
      <vt:lpstr>_0803</vt:lpstr>
      <vt:lpstr>_0804</vt:lpstr>
      <vt:lpstr>_0805</vt:lpstr>
      <vt:lpstr>_0806</vt:lpstr>
      <vt:lpstr>_0807</vt:lpstr>
      <vt:lpstr>_0808</vt:lpstr>
      <vt:lpstr>_0809</vt:lpstr>
      <vt:lpstr>_0810</vt:lpstr>
      <vt:lpstr>_0811</vt:lpstr>
      <vt:lpstr>_0812</vt:lpstr>
      <vt:lpstr>_0813</vt:lpstr>
      <vt:lpstr>_09</vt:lpstr>
      <vt:lpstr>_0901</vt:lpstr>
      <vt:lpstr>_0902</vt:lpstr>
      <vt:lpstr>_0903</vt:lpstr>
      <vt:lpstr>_0904</vt:lpstr>
      <vt:lpstr>_0905</vt:lpstr>
      <vt:lpstr>_0906</vt:lpstr>
      <vt:lpstr>_0907</vt:lpstr>
      <vt:lpstr>_10</vt:lpstr>
      <vt:lpstr>_1001</vt:lpstr>
      <vt:lpstr>_1002</vt:lpstr>
      <vt:lpstr>_1003</vt:lpstr>
      <vt:lpstr>_1004</vt:lpstr>
      <vt:lpstr>_1005</vt:lpstr>
      <vt:lpstr>_1006</vt:lpstr>
      <vt:lpstr>_1007</vt:lpstr>
      <vt:lpstr>_1008</vt:lpstr>
      <vt:lpstr>_1009</vt:lpstr>
      <vt:lpstr>_1010</vt:lpstr>
      <vt:lpstr>_1011</vt:lpstr>
      <vt:lpstr>_11</vt:lpstr>
      <vt:lpstr>_1101</vt:lpstr>
      <vt:lpstr>_1102</vt:lpstr>
      <vt:lpstr>_1103</vt:lpstr>
      <vt:lpstr>_1104</vt:lpstr>
      <vt:lpstr>_1105</vt:lpstr>
      <vt:lpstr>_12</vt:lpstr>
      <vt:lpstr>_1201</vt:lpstr>
      <vt:lpstr>_1202</vt:lpstr>
      <vt:lpstr>_1203</vt:lpstr>
      <vt:lpstr>_1204</vt:lpstr>
      <vt:lpstr>_1205</vt:lpstr>
      <vt:lpstr>_1206</vt:lpstr>
      <vt:lpstr>_1207</vt:lpstr>
      <vt:lpstr>_1208</vt:lpstr>
      <vt:lpstr>_1209</vt:lpstr>
      <vt:lpstr>_13</vt:lpstr>
      <vt:lpstr>_1301</vt:lpstr>
      <vt:lpstr>_1302</vt:lpstr>
      <vt:lpstr>_1303</vt:lpstr>
      <vt:lpstr>_1304</vt:lpstr>
      <vt:lpstr>_1305</vt:lpstr>
      <vt:lpstr>_1306</vt:lpstr>
      <vt:lpstr>_1307</vt:lpstr>
      <vt:lpstr>_1308</vt:lpstr>
      <vt:lpstr>_1309</vt:lpstr>
      <vt:lpstr>_1310</vt:lpstr>
      <vt:lpstr>_1311</vt:lpstr>
      <vt:lpstr>_1312</vt:lpstr>
      <vt:lpstr>_14</vt:lpstr>
      <vt:lpstr>_1401</vt:lpstr>
      <vt:lpstr>_1402</vt:lpstr>
      <vt:lpstr>_1403</vt:lpstr>
      <vt:lpstr>_15</vt:lpstr>
      <vt:lpstr>_1501</vt:lpstr>
      <vt:lpstr>_1502</vt:lpstr>
      <vt:lpstr>_1503</vt:lpstr>
      <vt:lpstr>_1504</vt:lpstr>
      <vt:lpstr>_1505</vt:lpstr>
      <vt:lpstr>_1506</vt:lpstr>
      <vt:lpstr>_1507</vt:lpstr>
      <vt:lpstr>_1508</vt:lpstr>
      <vt:lpstr>_1509</vt:lpstr>
      <vt:lpstr>_1510</vt:lpstr>
      <vt:lpstr>_16</vt:lpstr>
      <vt:lpstr>_1601</vt:lpstr>
      <vt:lpstr>_1602</vt:lpstr>
      <vt:lpstr>_1603</vt:lpstr>
      <vt:lpstr>_1604</vt:lpstr>
      <vt:lpstr>_1605</vt:lpstr>
      <vt:lpstr>_1606</vt:lpstr>
      <vt:lpstr>_1607</vt:lpstr>
      <vt:lpstr>_1608</vt:lpstr>
      <vt:lpstr>_17</vt:lpstr>
      <vt:lpstr>_1701</vt:lpstr>
      <vt:lpstr>_1702</vt:lpstr>
      <vt:lpstr>_1703</vt:lpstr>
      <vt:lpstr>_18</vt:lpstr>
      <vt:lpstr>_1801</vt:lpstr>
      <vt:lpstr>_1802</vt:lpstr>
      <vt:lpstr>_1803</vt:lpstr>
      <vt:lpstr>_19</vt:lpstr>
      <vt:lpstr>_1901</vt:lpstr>
      <vt:lpstr>_1902</vt:lpstr>
      <vt:lpstr>_1903</vt:lpstr>
      <vt:lpstr>_20</vt:lpstr>
      <vt:lpstr>_2001</vt:lpstr>
      <vt:lpstr>_2002</vt:lpstr>
      <vt:lpstr>_2003</vt:lpstr>
      <vt:lpstr>_2004</vt:lpstr>
      <vt:lpstr>_2005</vt:lpstr>
      <vt:lpstr>_2006</vt:lpstr>
      <vt:lpstr>_2007</vt:lpstr>
      <vt:lpstr>_2008</vt:lpstr>
      <vt:lpstr>_21</vt:lpstr>
      <vt:lpstr>_2101</vt:lpstr>
      <vt:lpstr>_2102</vt:lpstr>
      <vt:lpstr>_2103</vt:lpstr>
      <vt:lpstr>_2104</vt:lpstr>
      <vt:lpstr>_2105</vt:lpstr>
      <vt:lpstr>_2106</vt:lpstr>
      <vt:lpstr>_2107</vt:lpstr>
      <vt:lpstr>_2108</vt:lpstr>
      <vt:lpstr>_2109</vt:lpstr>
      <vt:lpstr>_2110</vt:lpstr>
      <vt:lpstr>_2111</vt:lpstr>
      <vt:lpstr>_2112</vt:lpstr>
      <vt:lpstr>_2113</vt:lpstr>
      <vt:lpstr>_22</vt:lpstr>
      <vt:lpstr>_2201</vt:lpstr>
      <vt:lpstr>_2202</vt:lpstr>
      <vt:lpstr>_2203</vt:lpstr>
      <vt:lpstr>_2204</vt:lpstr>
      <vt:lpstr>_2205</vt:lpstr>
      <vt:lpstr>_2206</vt:lpstr>
      <vt:lpstr>_2207</vt:lpstr>
      <vt:lpstr>_2208</vt:lpstr>
      <vt:lpstr>_2209</vt:lpstr>
      <vt:lpstr>_2210</vt:lpstr>
      <vt:lpstr>_23</vt:lpstr>
      <vt:lpstr>_2301</vt:lpstr>
      <vt:lpstr>_2302</vt:lpstr>
      <vt:lpstr>_2303</vt:lpstr>
      <vt:lpstr>_2304</vt:lpstr>
      <vt:lpstr>_24</vt:lpstr>
      <vt:lpstr>_2401</vt:lpstr>
      <vt:lpstr>_2402</vt:lpstr>
      <vt:lpstr>_2403</vt:lpstr>
      <vt:lpstr>_25</vt:lpstr>
      <vt:lpstr>_2501</vt:lpstr>
      <vt:lpstr>_2502</vt:lpstr>
      <vt:lpstr>_2503</vt:lpstr>
      <vt:lpstr>_2504</vt:lpstr>
      <vt:lpstr>_cd1</vt:lpstr>
      <vt:lpstr>_cd11</vt:lpstr>
      <vt:lpstr>_cd111</vt:lpstr>
      <vt:lpstr>_cd12</vt:lpstr>
      <vt:lpstr>_cd121</vt:lpstr>
      <vt:lpstr>_cd13</vt:lpstr>
      <vt:lpstr>_cd131</vt:lpstr>
      <vt:lpstr>_cd2</vt:lpstr>
      <vt:lpstr>_cd21</vt:lpstr>
      <vt:lpstr>_cd211</vt:lpstr>
      <vt:lpstr>_cd22</vt:lpstr>
      <vt:lpstr>_cd221</vt:lpstr>
      <vt:lpstr>_cd23</vt:lpstr>
      <vt:lpstr>_cd231</vt:lpstr>
      <vt:lpstr>_cd24</vt:lpstr>
      <vt:lpstr>_cd241</vt:lpstr>
      <vt:lpstr>_cd25</vt:lpstr>
      <vt:lpstr>_cd251</vt:lpstr>
      <vt:lpstr>_cd3</vt:lpstr>
      <vt:lpstr>_cd31</vt:lpstr>
      <vt:lpstr>_cd311</vt:lpstr>
      <vt:lpstr>_cd32</vt:lpstr>
      <vt:lpstr>_cd321</vt:lpstr>
      <vt:lpstr>_cd33</vt:lpstr>
      <vt:lpstr>_cd331</vt:lpstr>
      <vt:lpstr>_cd34</vt:lpstr>
      <vt:lpstr>_cd341</vt:lpstr>
      <vt:lpstr>_cd4</vt:lpstr>
      <vt:lpstr>_cd41</vt:lpstr>
      <vt:lpstr>_cd411</vt:lpstr>
      <vt:lpstr>_cd42</vt:lpstr>
      <vt:lpstr>_cd421</vt:lpstr>
      <vt:lpstr>_cd43</vt:lpstr>
      <vt:lpstr>_cd431</vt:lpstr>
      <vt:lpstr>_cd44</vt:lpstr>
      <vt:lpstr>_cd441</vt:lpstr>
      <vt:lpstr>_cd45</vt:lpstr>
      <vt:lpstr>_cd451</vt:lpstr>
      <vt:lpstr>_ed1</vt:lpstr>
      <vt:lpstr>_ed2</vt:lpstr>
      <vt:lpstr>_fd1</vt:lpstr>
      <vt:lpstr>_fd2</vt:lpstr>
      <vt:lpstr>a_1</vt:lpstr>
      <vt:lpstr>a_2</vt:lpstr>
      <vt:lpstr>Ac</vt:lpstr>
      <vt:lpstr>Activos</vt:lpstr>
      <vt:lpstr>Ae</vt:lpstr>
      <vt:lpstr>Ai</vt:lpstr>
      <vt:lpstr>'ANALISIS TÉCNICO'!Área_de_impresión</vt:lpstr>
      <vt:lpstr>ANEXOS!Área_de_impresión</vt:lpstr>
      <vt:lpstr>'AREA DE ESTUDIO'!Área_de_impresión</vt:lpstr>
      <vt:lpstr>'Area de Impacto'!Área_de_impresión</vt:lpstr>
      <vt:lpstr>BalanceHCP!Área_de_impresión</vt:lpstr>
      <vt:lpstr>BalanceHSP!Área_de_impresión</vt:lpstr>
      <vt:lpstr>'Base de datos'!Área_de_impresión</vt:lpstr>
      <vt:lpstr>'BRECHA DE SERVICIO'!Área_de_impresión</vt:lpstr>
      <vt:lpstr>Caracterizacion!Área_de_impresión</vt:lpstr>
      <vt:lpstr>CONCLUSIONES!Área_de_impresión</vt:lpstr>
      <vt:lpstr>'COSTO TOTAL'!Área_de_impresión</vt:lpstr>
      <vt:lpstr>'DATOS GENERALES'!Área_de_impresión</vt:lpstr>
      <vt:lpstr>'EVALUACION SOCIAL'!Área_de_impresión</vt:lpstr>
      <vt:lpstr>Evaluacion_economicaAnexo!Área_de_impresión</vt:lpstr>
      <vt:lpstr>FIRMAS!Área_de_impresión</vt:lpstr>
      <vt:lpstr>GESTIÓN!Área_de_impresión</vt:lpstr>
      <vt:lpstr>'HORIZONTE DE EVALUACIÓN'!Área_de_impresión</vt:lpstr>
      <vt:lpstr>Informacion!Área_de_impresión</vt:lpstr>
      <vt:lpstr>INVOLUCRADOS!Área_de_impresión</vt:lpstr>
      <vt:lpstr>'MARCO LOGICO'!Área_de_impresión</vt:lpstr>
      <vt:lpstr>'MRR MACC (COSTOS)'!Área_de_impresión</vt:lpstr>
      <vt:lpstr>'Personal '!Área_de_impresión</vt:lpstr>
      <vt:lpstr>'PROBLEMA-OBJETIVO'!Área_de_impresión</vt:lpstr>
      <vt:lpstr>'Protocolo final'!Área_de_impresión</vt:lpstr>
      <vt:lpstr>Resumen!Área_de_impresión</vt:lpstr>
      <vt:lpstr>SOSTENIBILIDAD!Área_de_impresión</vt:lpstr>
      <vt:lpstr>'UNIDAD PRODUCTORA'!Área_de_impresión</vt:lpstr>
      <vt:lpstr>Vulnerabilidad!Área_de_impresión</vt:lpstr>
      <vt:lpstr>Vulnerabilidad_AT!Área_de_impresión</vt:lpstr>
      <vt:lpstr>Beneficios</vt:lpstr>
      <vt:lpstr>Equipos</vt:lpstr>
      <vt:lpstr>Inf_tecnologia</vt:lpstr>
      <vt:lpstr>Infraestructura</vt:lpstr>
      <vt:lpstr>Infraestructura_Captacion</vt:lpstr>
      <vt:lpstr>Infraestructura_Conduccion</vt:lpstr>
      <vt:lpstr>Infraestructura_Distribucion</vt:lpstr>
      <vt:lpstr>Intangibles</vt:lpstr>
      <vt:lpstr>Involucrado</vt:lpstr>
      <vt:lpstr>mm</vt:lpstr>
      <vt:lpstr>nn</vt:lpstr>
      <vt:lpstr>NT_Infraestructura</vt:lpstr>
      <vt:lpstr>NT_Intangibles</vt:lpstr>
      <vt:lpstr>Tecnologia</vt:lpstr>
      <vt:lpstr>Terreno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Cabrera Coronado, Christian Julio</dc:creator>
  <cp:lastModifiedBy>Roxana Roman Perez</cp:lastModifiedBy>
  <cp:lastPrinted>2021-03-22T15:52:54Z</cp:lastPrinted>
  <dcterms:created xsi:type="dcterms:W3CDTF">2018-12-17T15:02:45Z</dcterms:created>
  <dcterms:modified xsi:type="dcterms:W3CDTF">2021-10-27T23:12:20Z</dcterms:modified>
</cp:coreProperties>
</file>